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61.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tables/table62.xml" ContentType="application/vnd.openxmlformats-officedocument.spreadsheetml.table+xml"/>
  <Override PartName="/xl/tables/table63.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updateLinks="always" codeName="ThisWorkbook"/>
  <mc:AlternateContent xmlns:mc="http://schemas.openxmlformats.org/markup-compatibility/2006">
    <mc:Choice Requires="x15">
      <x15ac:absPath xmlns:x15ac="http://schemas.microsoft.com/office/spreadsheetml/2010/11/ac" url="C:\Users\craig\Downloads\"/>
    </mc:Choice>
  </mc:AlternateContent>
  <xr:revisionPtr revIDLastSave="0" documentId="13_ncr:1_{840EBB7D-5F62-4FB7-AF25-F9784AD8475C}" xr6:coauthVersionLast="47" xr6:coauthVersionMax="47" xr10:uidLastSave="{00000000-0000-0000-0000-000000000000}"/>
  <bookViews>
    <workbookView showSheetTabs="0" xWindow="-110" yWindow="-110" windowWidth="19420" windowHeight="10300" tabRatio="880" firstSheet="8" activeTab="8" xr2:uid="{00000000-000D-0000-FFFF-FFFF00000000}"/>
  </bookViews>
  <sheets>
    <sheet name="Applicant Lists" sheetId="127" state="veryHidden" r:id="rId1"/>
    <sheet name="Income Calculation" sheetId="18" state="veryHidden" r:id="rId2"/>
    <sheet name="IncomeData" sheetId="129" state="veryHidden" r:id="rId3"/>
    <sheet name="SEApplicantBusinessData" sheetId="135" state="veryHidden" r:id="rId4"/>
    <sheet name="SERentalIncomeData" sheetId="138" state="veryHidden" r:id="rId5"/>
    <sheet name="SEBusinessLiabilityData" sheetId="139" state="veryHidden" r:id="rId6"/>
    <sheet name="Expense Calculation" sheetId="110" state="veryHidden" r:id="rId7"/>
    <sheet name="Static Data" sheetId="123" state="veryHidden" r:id="rId8"/>
    <sheet name="Serviceability" sheetId="125" r:id="rId9"/>
    <sheet name="Employer Income" sheetId="130" r:id="rId10"/>
    <sheet name="Self-employed Applicant" sheetId="132" r:id="rId11"/>
    <sheet name="Self-employed Setup Assistant" sheetId="150" r:id="rId12"/>
    <sheet name="Self-employed Business" sheetId="134" r:id="rId13"/>
    <sheet name="Self-employed Business Diagram" sheetId="151" r:id="rId14"/>
    <sheet name="Self-employed Liabilities" sheetId="136" r:id="rId15"/>
    <sheet name="Self-employed Rental Income" sheetId="137" r:id="rId16"/>
    <sheet name="Other Income" sheetId="131" r:id="rId17"/>
    <sheet name="Rental Income" sheetId="107" r:id="rId18"/>
    <sheet name="RITD" sheetId="108" r:id="rId19"/>
    <sheet name="Customer Declared Expenses" sheetId="128" r:id="rId20"/>
    <sheet name="Remaining Term Calculator" sheetId="142" r:id="rId21"/>
    <sheet name="Bridging Loan Calculator" sheetId="112" r:id="rId22"/>
    <sheet name="Family Guarantee Calculator" sheetId="114" r:id="rId23"/>
    <sheet name="Shared Equity Guarantee Calc" sheetId="154" r:id="rId24"/>
    <sheet name="Second Mortgage Calculator" sheetId="117" r:id="rId25"/>
    <sheet name="LVR Override Calculator" sheetId="147" state="veryHidden" r:id="rId26"/>
    <sheet name="Foreign Currency Checklist" sheetId="148" r:id="rId27"/>
    <sheet name="Simple LVR Calculator" sheetId="116" r:id="rId28"/>
    <sheet name="Repayment Pause Calculator" sheetId="153" r:id="rId29"/>
    <sheet name="STSL Calculator" sheetId="149" r:id="rId30"/>
    <sheet name="Navigation" sheetId="146" r:id="rId31"/>
  </sheets>
  <functionGroups builtInGroupCount="19"/>
  <definedNames>
    <definedName name="_xleta.AND" hidden="1" xlm="1">#NAME?</definedName>
    <definedName name="_xleta.IF" hidden="1" xlm="1">#NAME?</definedName>
    <definedName name="_xleta.INDIRECT" hidden="1" xlm="1">#NAME?</definedName>
    <definedName name="_xleta.IPMT" hidden="1" xlm="1">#NAME?</definedName>
    <definedName name="_xleta.ISBLANK" hidden="1" xlm="1">#NAME?</definedName>
    <definedName name="_xleta.MATCH"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OUND" hidden="1" xlm="1">#NAME?</definedName>
    <definedName name="AICApplicantID" hidden="1">'Employer Income'!$I$6</definedName>
    <definedName name="AICApplicantName" hidden="1">'Employer Income'!$C$11</definedName>
    <definedName name="AICApplicationReference" hidden="1">'Employer Income'!$C$12</definedName>
    <definedName name="AICAssessedAnnualBase" hidden="1">'Employer Income'!$H$7</definedName>
    <definedName name="AICAssessedAnnualBonus" hidden="1">'Employer Income'!$J$7</definedName>
    <definedName name="AICAssessedAnnualNonBase" hidden="1">'Employer Income'!$I$7</definedName>
    <definedName name="AICCasualAccountCreditAnnualGrossBase" hidden="1">'Employer Income'!$G$138</definedName>
    <definedName name="AICCasualAccountCreditAnnualiseWeeks" hidden="1">'Employer Income'!$C$134</definedName>
    <definedName name="AICCasualAccountCreditData" hidden="1">'Employer Income'!$C$133:$C$134,'Employer Income'!$C$137:$D$137</definedName>
    <definedName name="AICCasualAccountCreditDeposit1" hidden="1">'Employer Income'!$C$137</definedName>
    <definedName name="AICCasualAccountCreditDeposit2" hidden="1">'Employer Income'!$D$137</definedName>
    <definedName name="AICCasualAccountCreditGroup2Required" hidden="1">'Employer Income'!$X$104</definedName>
    <definedName name="AICCasualAccountCreditMandatoryFieldCheck" hidden="1">'Employer Income'!$X$103</definedName>
    <definedName name="AICCasualAccountCreditPayCycle" hidden="1">'Employer Income'!$C$133</definedName>
    <definedName name="AICCasualAccountCreditSection" hidden="1">'Employer Income'!$A$130:$A$139</definedName>
    <definedName name="AICCasualAllData" hidden="1">'Employer Income'!$C$103:$C$105,'Employer Income'!$C$109,'Employer Income'!$C$112:$C$116,'Employer Income'!$C$122,'Employer Income'!$C$126:$D$127,'Employer Income'!$C$133,'Employer Income'!$C$137:$D$137,'Employer Income'!$C$144:$C$145,'Employer Income'!$C$149,'Employer Income'!$C$141,'Employer Income'!$C$152</definedName>
    <definedName name="AICCasualBonusIncomeFlag" hidden="1">'Employer Income'!$C$105</definedName>
    <definedName name="AICCasualBonusSection" hidden="1">'Employer Income'!$A$140:$A$142</definedName>
    <definedName name="AICCasualGroup2Section" hidden="1">'Employer Income'!$A$146:$A$149</definedName>
    <definedName name="AICCasualIncomeVerificationType" hidden="1">'Employer Income'!$C$103</definedName>
    <definedName name="AICCasualNoYTDAnnualiseWeeks" hidden="1">'Employer Income'!$C$123</definedName>
    <definedName name="AICCasualNoYTDAnnualNumberofPays" hidden="1">'Employer Income'!$S$107</definedName>
    <definedName name="AICCasualNoYTDBonusPay1" hidden="1">'Employer Income'!$C$127</definedName>
    <definedName name="AICCasualNoYTDBonusPay2" hidden="1">'Employer Income'!$D$127</definedName>
    <definedName name="AICCasualNoYTDBonusSection" hidden="1">'Employer Income'!$A$127</definedName>
    <definedName name="AICCasualNoYTDData" hidden="1">'Employer Income'!$C$122:$C$123,'Employer Income'!$C$126:$D$127</definedName>
    <definedName name="AICCasualNoYTDGrossPay1" hidden="1">'Employer Income'!$C$126</definedName>
    <definedName name="AICCasualNoYTDGrossPay2" hidden="1">'Employer Income'!$D$126</definedName>
    <definedName name="AICCasualNoYTDGroup2Required" hidden="1">'Employer Income'!$S$104</definedName>
    <definedName name="AICCasualNoYTDMandatoryFieldCheck" hidden="1">'Employer Income'!$S$103</definedName>
    <definedName name="AICCasualNoYTDPayCycle" hidden="1">'Employer Income'!$C$122</definedName>
    <definedName name="AICCasualNoYTDSection" hidden="1">'Employer Income'!$A$120:$A$130</definedName>
    <definedName name="AICCasualNoYTDTransactionHistoryRequired" hidden="1">'Employer Income'!$S$105</definedName>
    <definedName name="AICCasualPaidBonusLast12Months" hidden="1">'Employer Income'!$C$141</definedName>
    <definedName name="AICCasualPreTaxDeduction" hidden="1">'Employer Income'!$C$145</definedName>
    <definedName name="AICCasualPreTaxDeductionFlag" hidden="1">'Employer Income'!$C$144</definedName>
    <definedName name="AICCasualPYIncomeSummaryAmount" hidden="1">'Employer Income'!$C$149</definedName>
    <definedName name="AICCasualSalarySacrificeData" hidden="1">'Employer Income'!$C$144:$C$145</definedName>
    <definedName name="AICCasualSalarySacrificeSection" hidden="1">'Employer Income'!$A$143:$A$145</definedName>
    <definedName name="AICCasualSection" hidden="1">'Employer Income'!$A$101:$A$154</definedName>
    <definedName name="AICCasualStartSection" hidden="1">'Employer Income'!$A$100:$A$103,'Employer Income'!$A$106</definedName>
    <definedName name="AICCasualTransactionHistoryAnnualGrossBase" hidden="1">'Employer Income'!$C$154</definedName>
    <definedName name="AICCasualTransactionHistoryLowestDeposit" hidden="1">'Employer Income'!$C$152</definedName>
    <definedName name="AICCasualTransactionHistorySection" hidden="1">'Employer Income'!$A$150:$A$154</definedName>
    <definedName name="AICCasualYTDAnnualiseWeeks" hidden="1">'Employer Income'!$C$110</definedName>
    <definedName name="AICCasualYTDAnnualNumberofPays" hidden="1">'Employer Income'!$R$107</definedName>
    <definedName name="AICCasualYTDBonusSection" hidden="1">'Employer Income'!$A$116</definedName>
    <definedName name="AICCasualYTDData" hidden="1">'Employer Income'!$C$109:$C$110,'Employer Income'!$C$112:$C$116</definedName>
    <definedName name="AICCasualYTDEndPayDate" hidden="1">'Employer Income'!$C$113</definedName>
    <definedName name="AICCasualYTDGroup2Required" hidden="1">'Employer Income'!$R$104</definedName>
    <definedName name="AICCasualYTDMandatoryFieldCheck" hidden="1">'Employer Income'!$R$103</definedName>
    <definedName name="AICCasualYTDNumberofPays" hidden="1">'Employer Income'!$G$114</definedName>
    <definedName name="AICCasualYTDPaidBonus" hidden="1">'Employer Income'!$C$116</definedName>
    <definedName name="AICCasualYTDPayCycle" hidden="1">'Employer Income'!$C$109</definedName>
    <definedName name="AICCasualYTDPayslipFlag" hidden="1">'Employer Income'!$C$104</definedName>
    <definedName name="AICCasualYTDSection" hidden="1">'Employer Income'!$A$106:$A$119</definedName>
    <definedName name="AICCasualYTDStartPayDate" hidden="1">'Employer Income'!$C$112</definedName>
    <definedName name="AICCasualYTDTotalPay" hidden="1">'Employer Income'!$C$114</definedName>
    <definedName name="AICCasualYTDTotalPayTaxStatus" hidden="1">'Employer Income'!$C$115</definedName>
    <definedName name="AICCasualYTDTransactionHistoryRequired" hidden="1">'Employer Income'!$R$105</definedName>
    <definedName name="AICEmployerIncomeID" hidden="1">'Employer Income'!$H$6</definedName>
    <definedName name="AICEmployerName" hidden="1">'Employer Income'!$C$15</definedName>
    <definedName name="AICEmploymentBasis" hidden="1">'Employer Income'!$C$14</definedName>
    <definedName name="AICForeignIncomeFlag" hidden="1">'Employer Income'!$G$15</definedName>
    <definedName name="AICIntegratedSection" hidden="1">'Employer Income'!$A$6:$A$8</definedName>
    <definedName name="AICJobID" hidden="1">'Employer Income'!$K$6</definedName>
    <definedName name="AICPermanentAccountCreditAnnualGrossBase" hidden="1">'Employer Income'!$G$65</definedName>
    <definedName name="AICPermanentAccountCreditConsistent" hidden="1">'Employer Income'!$C$64</definedName>
    <definedName name="AICPermanentAccountCreditData" hidden="1">'Employer Income'!$C$62,'Employer Income'!$C$64:$C$65</definedName>
    <definedName name="AICPermanentAccountCreditLowest" hidden="1">'Employer Income'!$C$65</definedName>
    <definedName name="AICPermanentAccountCreditPayCycle" hidden="1">'Employer Income'!$C$62</definedName>
    <definedName name="AICPermanentAccountCreditsAnnualNumberofPays" hidden="1">'Employer Income'!$X$19</definedName>
    <definedName name="AICPermanentAccountCreditSection" hidden="1">'Employer Income'!$A$59:$A$67</definedName>
    <definedName name="AICPermanentAccountCreditsMandatoryFieldCheck" hidden="1">'Employer Income'!$X$17</definedName>
    <definedName name="AICPermanentAccountCreditsVariance" hidden="1">'Employer Income'!$X$65</definedName>
    <definedName name="AICPermanentAllData" hidden="1">'Employer Income'!$C$19:$C$26,'Employer Income'!$C$31,'Employer Income'!$C$34:$D$39,'Employer Income'!$C$42:$D$43,'Employer Income'!$C$49,'Employer Income'!$C$52:$D$54,'Employer Income'!$C$62,'Employer Income'!$C$64:$C$65, 'Employer Income'!$C$70:$C$71, 'Employer Income'!$C$75,'Employer Income'!$C$78:$C$80,'Employer Income'!$D$79:$D$80,'Employer Income'!$C$84,'Employer Income'!$C$87:$C$89,'Employer Income'!$C$94,'Employer Income'!$C$97</definedName>
    <definedName name="AICPermanentAUDForeignEmploymentAnnualNumberofPays" hidden="1">'Employer Income'!$Y$19</definedName>
    <definedName name="AICPermanentAUDForeignEmploymentData" hidden="1">'Employer Income'!$C$26,'Employer Income'!$C$87:$C$89,'Employer Income'!$C$84</definedName>
    <definedName name="AICPermanentAUDForeignEmploymentDocType" hidden="1">'Employer Income'!$C$26</definedName>
    <definedName name="AICPermanentAUDForeignEmploymentGrossBasePayslip1" hidden="1">'Employer Income'!$C$87</definedName>
    <definedName name="AICPermanentAUDForeignEmploymentGrossBasePayslip2" hidden="1">'Employer Income'!$C$88</definedName>
    <definedName name="AICPermanentAUDForeignEmploymentGrossBasePayslip3" hidden="1">'Employer Income'!$C$89</definedName>
    <definedName name="AICPermanentAUDForeignEmploymentGroup2Required" hidden="1">'Employer Income'!$Y$23</definedName>
    <definedName name="AICPermanentAUDForeignEmploymentMandatoryFieldCheck" hidden="1">'Employer Income'!$Y$17</definedName>
    <definedName name="AICPermanentAUDForeignEmploymentPayCycle" hidden="1">'Employer Income'!$C$84</definedName>
    <definedName name="AICPermanentAUDForeignEmploymentQuestions" hidden="1">'Employer Income'!$A$26:$A$27</definedName>
    <definedName name="AICPermanentAUDForeignEmploymentSection" hidden="1">'Employer Income'!$A$82:$A$91</definedName>
    <definedName name="AICPermanentBaseIncomeIncreaseFlag" hidden="1">'Employer Income'!$C$23</definedName>
    <definedName name="AICPermanentBaseIncomeIncreaseType" hidden="1">'Employer Income'!$C$24</definedName>
    <definedName name="AICPermanentBaseIncomeSupported" hidden="1">'Employer Income'!$R$25</definedName>
    <definedName name="AICPermanentBonusIncomeFlag" hidden="1">'Employer Income'!$C$21</definedName>
    <definedName name="AICPermanentBonusIncomeSection" hidden="1">'Employer Income'!$A$74:$A$76</definedName>
    <definedName name="AICPermanentCurrentIncomeAnnualBase" hidden="1">'Employer Income'!$G$70</definedName>
    <definedName name="AICPermanentEmergencyServicesGroup2Required" hidden="1">'Employer Income'!$V$23</definedName>
    <definedName name="AICPermanentEmergencyServicesQuestions" hidden="1">'Employer Income'!$A$20:$A$22</definedName>
    <definedName name="AICPermanentEmergencyServicesTransitionFlag" hidden="1">'Employer Income'!$V$29</definedName>
    <definedName name="AICPermanentFamilyEmployeeQuestions" hidden="1">'Employer Income'!$A$20:$A$21</definedName>
    <definedName name="AICPermanentFutureIncomeAnnualBase" hidden="1">'Employer Income'!$C$72</definedName>
    <definedName name="AICPermanentFutureIncomeData" hidden="1">'Employer Income'!$C$70:$C$71</definedName>
    <definedName name="AICPermanentFutureIncomeEmploymentState" hidden="1">'Employer Income'!$C$70</definedName>
    <definedName name="AICPermanentFutureIncomeEmploymentYear" hidden="1">'Employer Income'!$C$71</definedName>
    <definedName name="AICPermanentFutureIncomeSection" hidden="1">'Employer Income'!$A$69:$A$73</definedName>
    <definedName name="AICPermanentGroup1AccountCreditsSection" hidden="1">'Employer Income'!$A$58:$A$68</definedName>
    <definedName name="AICPermanentGroup1NoYTDSection" hidden="1">'Employer Income'!$A$45:$A$58</definedName>
    <definedName name="AICPermanentGroup1YTDSection" hidden="1">'Employer Income'!$A$27:$A$45</definedName>
    <definedName name="AICPermanentGroup2RequiredCoverage" hidden="1">'Employer Income'!$R$24</definedName>
    <definedName name="AICPermanentGroup2Section" hidden="1">'Employer Income'!$A$92:$A$94</definedName>
    <definedName name="AICPermanentHospitalEmployedDoctorFlag" hidden="1">'Employer Income'!$C$25</definedName>
    <definedName name="AICPermanentIncomeVerificationType" hidden="1">'Employer Income'!$C$19</definedName>
    <definedName name="AICPermanentLowerPreTaxDeduction" hidden="1">'Employer Income'!$C$80</definedName>
    <definedName name="AICPermanentLowerPreTaxDeductionPY" hidden="1">'Employer Income'!$D$80</definedName>
    <definedName name="AICPermanentNonBaseIncomeFlag" hidden="1">'Employer Income'!$C$22</definedName>
    <definedName name="AICPermanentNoYTDAnnualNumberofPays" hidden="1">'Employer Income'!$S$19</definedName>
    <definedName name="AICPermanentNoYTDData" hidden="1">'Employer Income'!$C$49,'Employer Income'!$C$52:$D$54</definedName>
    <definedName name="AICPermanentNoYTDGroup2Required" hidden="1">'Employer Income'!$S$23</definedName>
    <definedName name="AICPermanentNoYTDMandatoryFieldCheck" hidden="1">'Employer Income'!$S$17</definedName>
    <definedName name="AICPermanentNoYTDNonBaseSupported" hidden="1">'Employer Income'!$S$28</definedName>
    <definedName name="AICPermanentNoYTDPayCycle" hidden="1">'Employer Income'!$C$49</definedName>
    <definedName name="AICPermanentNoYTDPayslip1BasePay" hidden="1">'Employer Income'!$C$52</definedName>
    <definedName name="AICPermanentNoYTDPayslip1Bonus" hidden="1">'Employer Income'!$C$54</definedName>
    <definedName name="AICPermanentNoYTDPayslip1TotalPay" hidden="1">'Employer Income'!$C$53</definedName>
    <definedName name="AICPermanentNoYTDPayslip2BasePay" hidden="1">'Employer Income'!$D$52</definedName>
    <definedName name="AICPermanentNoYTDPayslip2Bonus" hidden="1">'Employer Income'!$D$54</definedName>
    <definedName name="AICPermanentNoYTDPayslip2TotalPay" hidden="1">'Employer Income'!$D$53</definedName>
    <definedName name="AICPermanentNoYTDPreTaxDeductionMandatoryFieldCheck" hidden="1">'Employer Income'!$S$78</definedName>
    <definedName name="AICPermanentNoYTDSalarySacrificeAmountSupported" hidden="1">'Employer Income'!$S$79</definedName>
    <definedName name="AICPermanentNoYTDTransactionHistoryRequired" hidden="1">'Employer Income'!$S$26</definedName>
    <definedName name="AICPermanentPaidBonusLast12Months" hidden="1">'Employer Income'!$C$75</definedName>
    <definedName name="AICPermanentPAYGQuestions" hidden="1">'Employer Income'!$A$20:$A$21</definedName>
    <definedName name="AICPermanentPreTaxDeduction" hidden="1">'Employer Income'!$C$79</definedName>
    <definedName name="AICPermanentPreTaxDeductionFlag" hidden="1">'Employer Income'!$C$78</definedName>
    <definedName name="AICPermanentPreTaxDeductionPY" hidden="1">'Employer Income'!$D$79</definedName>
    <definedName name="AICPermanentPYIncomeSummaryAmount" hidden="1">'Employer Income'!$C$94</definedName>
    <definedName name="AICPermanentSalarySacrificeData" hidden="1">'Employer Income'!$C$78:$C$80,'Employer Income'!$D$79:$D$80</definedName>
    <definedName name="AICPermanentSalarySacrificeSection" hidden="1">'Employer Income'!$A$77:$A$81</definedName>
    <definedName name="AICPermanentSection" hidden="1">'Employer Income'!$A$17:$A$100</definedName>
    <definedName name="AICPermanentStartSection" hidden="1">'Employer Income'!$A$17:$A$19</definedName>
    <definedName name="AICPermanentTransactionHistoryAnnualGrossBase" hidden="1">'Employer Income'!$C$99</definedName>
    <definedName name="AICPermanentTransactionHistoryLowestDeposit" hidden="1">'Employer Income'!$C$97</definedName>
    <definedName name="AICPermanentTransactionHistorySection" hidden="1">'Employer Income'!$A$95:$A$99</definedName>
    <definedName name="AICPermanentTransitionCYLessThanPYCheck" hidden="1">'Employer Income'!$AB$39</definedName>
    <definedName name="AICPermanentYTDAnnualNumberofPays" hidden="1">'Employer Income'!$R$19</definedName>
    <definedName name="AICPermanentYTDBaseIncomeIncreasePolicyCheck" hidden="1">'Employer Income'!$R$21</definedName>
    <definedName name="AICPermanentYTDBaseIncomeIncreaseValidityCheck" hidden="1">'Employer Income'!$R$22</definedName>
    <definedName name="AICPermanentYTDBasePay" hidden="1">'Employer Income'!$C$36</definedName>
    <definedName name="AICPermanentYTDBasePayPY" hidden="1">'Employer Income'!$D$36</definedName>
    <definedName name="AICPermanentYTDCurrentYearLessThanPriorYearCheck" hidden="1">'Employer Income'!$R$20</definedName>
    <definedName name="AICPermanentYTDData" hidden="1">'Employer Income'!$C$31,'Employer Income'!$C$34:$D$39,'Employer Income'!$C$42:$D$43</definedName>
    <definedName name="AICPermanentYTDEndPayDate" hidden="1">'Employer Income'!$C$35</definedName>
    <definedName name="AICPermanentYTDEndPayDatePY" hidden="1">'Employer Income'!$D$35</definedName>
    <definedName name="AICPermanentYTDGroup2Required" hidden="1">'Employer Income'!$R$23</definedName>
    <definedName name="AICPermanentYTDLowerBasePay" hidden="1">'Employer Income'!$C$43</definedName>
    <definedName name="AICPermanentYTDLowerBasePayData" hidden="1">'Employer Income'!$C$42:$C$43,'Employer Income'!$C$80</definedName>
    <definedName name="AICPermanentYTDLowerBasePayDataAll" hidden="1">'Employer Income'!$C$42:$D$43,'Employer Income'!$C$80:$D$80</definedName>
    <definedName name="AICPermanentYTDLowerBasePayDataPY" hidden="1">'Employer Income'!$D$42:$D$43,'Employer Income'!$D$80</definedName>
    <definedName name="AICPermanentYTDLowerBasePayLastDate" hidden="1">'Employer Income'!$C$42</definedName>
    <definedName name="AICPermanentYTDLowerBasePayLastDatePY" hidden="1">'Employer Income'!$D$42</definedName>
    <definedName name="AICPermanentYTDLowerBasePayPY" hidden="1">'Employer Income'!$D$43</definedName>
    <definedName name="AICPermanentYTDLowerBasePaySection" hidden="1">'Employer Income'!$A$41:$A$44,'Employer Income'!$A$80</definedName>
    <definedName name="AICPermanentYTDMandatoryFieldCheck" hidden="1">'Employer Income'!$R$17</definedName>
    <definedName name="AICPermanentYTDNonBaseIncomeSupportedCheck" hidden="1">'Employer Income'!$R$28</definedName>
    <definedName name="AICPermanentYTDNumberofPays" hidden="1">'Employer Income'!$G$33</definedName>
    <definedName name="AICPermanentYTDNumberofPaysLowerBase" hidden="1">'Employer Income'!$G$42</definedName>
    <definedName name="AICPermanentYTDNumberofPaysLowerBasePY" hidden="1">'Employer Income'!$H$42</definedName>
    <definedName name="AICPermanentYTDNumberofPaysPY" hidden="1">'Employer Income'!$H$33</definedName>
    <definedName name="AICPermanentYTDPaidBonus" hidden="1">'Employer Income'!$C$39</definedName>
    <definedName name="AICPermanentYTDPaidBonusPY" hidden="1">'Employer Income'!$D$39</definedName>
    <definedName name="AICPermanentYTDPayCycle" hidden="1">'Employer Income'!$C$31</definedName>
    <definedName name="AICPermanentYTDPayslipCoverageMonths" hidden="1">'Employer Income'!$AB$41</definedName>
    <definedName name="AICPermanentYTDPayslipCoverageMonthsCY" hidden="1">'Employer Income'!$AB$42</definedName>
    <definedName name="AICPermanentYTDPayslipFlag" hidden="1">'Employer Income'!$C$20</definedName>
    <definedName name="AICPermanentYTDPayslipNonBaseMinimumCoverageMonths" hidden="1">'Employer Income'!$AB$43</definedName>
    <definedName name="AICPermanentYTDPreTaxDeductionMandatoryFieldCheck" hidden="1">'Employer Income'!$R$78</definedName>
    <definedName name="AICPermanentYTDPriorYearData" hidden="1">'Employer Income'!$D$34:$D$39,'Employer Income'!$D$42:$D$43,'Employer Income'!$D$79:$D$80</definedName>
    <definedName name="AICPermanentYTDSalarySacrificeAmountSupported" hidden="1">'Employer Income'!$R$79</definedName>
    <definedName name="AICPermanentYTDStartPayDate" hidden="1">'Employer Income'!$C$34</definedName>
    <definedName name="AICPermanentYTDStartPayDatePY" hidden="1">'Employer Income'!$D$34</definedName>
    <definedName name="AICPermanentYTDTotalPay" hidden="1">'Employer Income'!$C$37</definedName>
    <definedName name="AICPermanentYTDTotalPayPY" hidden="1">'Employer Income'!$D$37</definedName>
    <definedName name="AICPermanentYTDTotalPayTaxStatus" hidden="1">'Employer Income'!$C$38</definedName>
    <definedName name="AICPermanentYTDTotalPayTaxStatusPY" hidden="1">'Employer Income'!$D$38</definedName>
    <definedName name="AICPermanentYTDTransactionHistoryRequired" hidden="1">'Employer Income'!$R$26</definedName>
    <definedName name="AICPermanentYTDTransitionFlag" hidden="1">'Employer Income'!$T$29</definedName>
    <definedName name="AICSpouseIncomeFlag" hidden="1">'Employer Income'!$J$6</definedName>
    <definedName name="AICStandaloneSection" hidden="1">'Employer Income'!$A$11:$A$13</definedName>
    <definedName name="APPAllApplicantNameList" hidden="1">'Applicant Lists'!$D$35:INDEX(APPAllApplicantList[ApplicantName],COUNTIF(APPAllApplicantList[ApplicantName],"?*"))</definedName>
    <definedName name="Applicant1SpouseLookup" hidden="1">'Applicant Lists'!$G$4:INDEX(Applicant1SpouseList[Spouse],COUNTIF(Applicant1SpouseList[Spouse],"?*"))</definedName>
    <definedName name="Applicant2SpouseLookup" hidden="1">'Applicant Lists'!$I$4:INDEX(Applicant2SpouseList[Spouse],COUNTIF(Applicant2SpouseList[Spouse],"?*"))</definedName>
    <definedName name="Applicant3SpouseLookup" hidden="1">'Applicant Lists'!$K$4:INDEX(Applicant3SpouseList[Spouse],COUNTIF(Applicant3SpouseList[Spouse],"?*"))</definedName>
    <definedName name="Applicant4SpouseLookup" hidden="1">'Applicant Lists'!$M$4:INDEX(Applicant4SpouseList[Spouse],COUNTIF(Applicant4SpouseList[Spouse],"?*"))</definedName>
    <definedName name="Applicant5SpouseLookup" hidden="1">'Applicant Lists'!$O$4:INDEX(Applicant5SpouseList[Spouse],COUNTIF(Applicant5SpouseList[Spouse],"?*"))</definedName>
    <definedName name="Applicant6SpouseLookup" hidden="1">'Applicant Lists'!$Q$4:INDEX(Applicant6SpouseList[Spouse],COUNTIF(Applicant6SpouseList[Spouse],"?*"))</definedName>
    <definedName name="ApplicantLookup" hidden="1">'Applicant Lists'!$B$4:INDEX(ApplicantList[Applicant Name],COUNTIF(ApplicantList[Applicant Name],"?*"))</definedName>
    <definedName name="BaseShade" hidden="1">'Static Data'!$B$18</definedName>
    <definedName name="BLCBridgingLoanAmount" hidden="1">'Bridging Loan Calculator'!$K$21</definedName>
    <definedName name="BLCBridgingLoanMonthlyFee" hidden="1">'Bridging Loan Calculator'!$P$20</definedName>
    <definedName name="BLCBridgingLoanRate" hidden="1">'Bridging Loan Calculator'!$K$24</definedName>
    <definedName name="BLCClearData" hidden="1">'Bridging Loan Calculator'!$D$11:$D$15,'Bridging Loan Calculator'!$F$11:$F$15,'Bridging Loan Calculator'!$D$25:$D$29,'Bridging Loan Calculator'!$F$25:$F$29,'Bridging Loan Calculator'!$K$11:$K$13,'Bridging Loan Calculator'!$K$15,'Bridging Loan Calculator'!$K$24:$K$25,'Bridging Loan Calculator'!$P$20,'Bridging Loan Calculator'!$P$12</definedName>
    <definedName name="BonusIncomeAnnualThreshold" hidden="1">'Static Data'!$B$36</definedName>
    <definedName name="BonusShade" hidden="1">'Static Data'!$B$22</definedName>
    <definedName name="BufferRate" hidden="1">'Static Data'!$B$14</definedName>
    <definedName name="CasualIncomeShade" hidden="1">'Static Data'!$B$19</definedName>
    <definedName name="CDEApp1Data" hidden="1">'Customer Declared Expenses'!$D$14:$D$24,'Customer Declared Expenses'!$D$30:$D$35,'Customer Declared Expenses'!$D$41:$D$42</definedName>
    <definedName name="CDEApp1HEMChildcare" hidden="1">'Customer Declared Expenses'!$D$17</definedName>
    <definedName name="CDEApp1HEMClothes" hidden="1">'Customer Declared Expenses'!$D$14</definedName>
    <definedName name="CDEApp1HEMCommunication" hidden="1">'Customer Declared Expenses'!$D$21</definedName>
    <definedName name="CDEApp1HEMEntertainment" hidden="1">'Customer Declared Expenses'!$D$23</definedName>
    <definedName name="CDEApp1HEMGroceries" hidden="1">'Customer Declared Expenses'!$D$15</definedName>
    <definedName name="CDEApp1HEMHigherEducation" hidden="1">'Customer Declared Expenses'!$D$19</definedName>
    <definedName name="CDEApp1HEMInsurance" hidden="1">'Customer Declared Expenses'!$D$20</definedName>
    <definedName name="CDEApp1HEMMedical" hidden="1">'Customer Declared Expenses'!$D$16</definedName>
    <definedName name="CDEApp1HEMPrimaryResidence" hidden="1">'Customer Declared Expenses'!$D$24</definedName>
    <definedName name="CDEApp1HEMPublicSchool" hidden="1">'Customer Declared Expenses'!$D$18</definedName>
    <definedName name="CDEApp1HEMTransport" hidden="1">'Customer Declared Expenses'!$D$22</definedName>
    <definedName name="CDEApp1NonHEMChildSupport" hidden="1">'Customer Declared Expenses'!$D$34</definedName>
    <definedName name="CDEApp1NonHEMInsurance" hidden="1">'Customer Declared Expenses'!$D$32</definedName>
    <definedName name="CDEApp1NonHEMOther" hidden="1">'Customer Declared Expenses'!$D$35</definedName>
    <definedName name="CDEApp1NonHEMPrimaryResidence" hidden="1">'Customer Declared Expenses'!$D$30</definedName>
    <definedName name="CDEApp1NonHEMPrivateSchool" hidden="1">'Customer Declared Expenses'!$D$33</definedName>
    <definedName name="CDEApp1NonHEMSecondaryResidence" hidden="1">'Customer Declared Expenses'!$D$31</definedName>
    <definedName name="CDEApp1Rent" hidden="1">'Customer Declared Expenses'!$D$42</definedName>
    <definedName name="CDEApp1RentAssessed" hidden="1">'Customer Declared Expenses'!$D$44</definedName>
    <definedName name="CDEApp1RentFlag" hidden="1">'Customer Declared Expenses'!$D$41</definedName>
    <definedName name="CDEApp2Data" hidden="1">'Customer Declared Expenses'!$F$14:$F$24,'Customer Declared Expenses'!$F$30:$F$35,'Customer Declared Expenses'!$F$41:$F$42</definedName>
    <definedName name="CDEApp2HEMChildcare" hidden="1">'Customer Declared Expenses'!$F$17</definedName>
    <definedName name="CDEApp2HEMClothes" hidden="1">'Customer Declared Expenses'!$F$14</definedName>
    <definedName name="CDEApp2HEMCommunication" hidden="1">'Customer Declared Expenses'!$F$21</definedName>
    <definedName name="CDEApp2HEMEntertainment" hidden="1">'Customer Declared Expenses'!$F$23</definedName>
    <definedName name="CDEApp2HEMGroceries" hidden="1">'Customer Declared Expenses'!$F$15</definedName>
    <definedName name="CDEApp2HEMHigherEducation" hidden="1">'Customer Declared Expenses'!$F$19</definedName>
    <definedName name="CDEApp2HEMInsurance" hidden="1">'Customer Declared Expenses'!$F$20</definedName>
    <definedName name="CDEApp2HEMMedical" hidden="1">'Customer Declared Expenses'!$F$16</definedName>
    <definedName name="CDEApp2HEMPrimaryResidence" hidden="1">'Customer Declared Expenses'!$F$24</definedName>
    <definedName name="CDEApp2HEMPublicSchool" hidden="1">'Customer Declared Expenses'!$F$18</definedName>
    <definedName name="CDEApp2HEMTransport" hidden="1">'Customer Declared Expenses'!$F$22</definedName>
    <definedName name="CDEApp2NonHEMChildSupport" hidden="1">'Customer Declared Expenses'!$F$34</definedName>
    <definedName name="CDEApp2NonHEMInsurance" hidden="1">'Customer Declared Expenses'!$F$32</definedName>
    <definedName name="CDEApp2NonHEMOther" hidden="1">'Customer Declared Expenses'!$F$35</definedName>
    <definedName name="CDEApp2NonHEMPrimaryResidence" hidden="1">'Customer Declared Expenses'!$F$30</definedName>
    <definedName name="CDEApp2NonHEMPrivateSchool" hidden="1">'Customer Declared Expenses'!$F$33</definedName>
    <definedName name="CDEApp2NonHEMSecondaryResidence" hidden="1">'Customer Declared Expenses'!$F$31</definedName>
    <definedName name="CDEApp2Rent" hidden="1">'Customer Declared Expenses'!$F$42</definedName>
    <definedName name="CDEApp2RentAssessed" hidden="1">'Customer Declared Expenses'!$F$44</definedName>
    <definedName name="CDEApp2RentFlag" hidden="1">'Customer Declared Expenses'!$F$41</definedName>
    <definedName name="CDEApp3Data" hidden="1">'Customer Declared Expenses'!$H$14:$H$24,'Customer Declared Expenses'!$H$30:$H$35,'Customer Declared Expenses'!$H$41:$H$42</definedName>
    <definedName name="CDEApp3HEMChildcare" hidden="1">'Customer Declared Expenses'!$H$17</definedName>
    <definedName name="CDEApp3HEMClothes" hidden="1">'Customer Declared Expenses'!$H$14</definedName>
    <definedName name="CDEApp3HEMCommunication" hidden="1">'Customer Declared Expenses'!$H$21</definedName>
    <definedName name="CDEApp3HEMEntertainment" hidden="1">'Customer Declared Expenses'!$H$23</definedName>
    <definedName name="CDEApp3HEMGroceries" hidden="1">'Customer Declared Expenses'!$H$15</definedName>
    <definedName name="CDEApp3HEMHigherEducation" hidden="1">'Customer Declared Expenses'!$H$19</definedName>
    <definedName name="CDEApp3HEMInsurance" hidden="1">'Customer Declared Expenses'!$H$20</definedName>
    <definedName name="CDEApp3HEMMedical" hidden="1">'Customer Declared Expenses'!$H$16</definedName>
    <definedName name="CDEApp3HEMPrimaryResidence" hidden="1">'Customer Declared Expenses'!$H$24</definedName>
    <definedName name="CDEApp3HEMPublicSchool" hidden="1">'Customer Declared Expenses'!$H$18</definedName>
    <definedName name="CDEApp3HEMTransport" hidden="1">'Customer Declared Expenses'!$H$22</definedName>
    <definedName name="CDEApp3NonHEMChildSupport" hidden="1">'Customer Declared Expenses'!$H$34</definedName>
    <definedName name="CDEApp3NonHEMInsurance" hidden="1">'Customer Declared Expenses'!$H$32</definedName>
    <definedName name="CDEApp3NonHEMOther" hidden="1">'Customer Declared Expenses'!$H$35</definedName>
    <definedName name="CDEApp3NonHEMPrimaryResidence" hidden="1">'Customer Declared Expenses'!$H$30</definedName>
    <definedName name="CDEApp3NonHEMPrivateSchool" hidden="1">'Customer Declared Expenses'!$H$33</definedName>
    <definedName name="CDEApp3NonHEMSecondaryResidence" hidden="1">'Customer Declared Expenses'!$H$31</definedName>
    <definedName name="CDEApp3Rent" hidden="1">'Customer Declared Expenses'!$H$42</definedName>
    <definedName name="CDEApp3RentAssessed" hidden="1">'Customer Declared Expenses'!$H$44</definedName>
    <definedName name="CDEApp3RentFlag" hidden="1">'Customer Declared Expenses'!$H$41</definedName>
    <definedName name="CDEApp4Data" hidden="1">'Customer Declared Expenses'!$J$14:$J$24,'Customer Declared Expenses'!$J$30:$J$35,'Customer Declared Expenses'!$J$41:$J$42</definedName>
    <definedName name="CDEApp4HEMChildcare" hidden="1">'Customer Declared Expenses'!$J$17</definedName>
    <definedName name="CDEApp4HEMClothes" hidden="1">'Customer Declared Expenses'!$J$14</definedName>
    <definedName name="CDEApp4HEMCommunication" hidden="1">'Customer Declared Expenses'!$J$21</definedName>
    <definedName name="CDEApp4HEMEntertainment" hidden="1">'Customer Declared Expenses'!$J$23</definedName>
    <definedName name="CDEApp4HEMGroceries" hidden="1">'Customer Declared Expenses'!$J$15</definedName>
    <definedName name="CDEApp4HEMHigherEducation" hidden="1">'Customer Declared Expenses'!$J$19</definedName>
    <definedName name="CDEApp4HEMInsurance" hidden="1">'Customer Declared Expenses'!$J$20</definedName>
    <definedName name="CDEApp4HEMMedical" hidden="1">'Customer Declared Expenses'!$J$16</definedName>
    <definedName name="CDEApp4HEMPrimaryResidence" hidden="1">'Customer Declared Expenses'!$J$24</definedName>
    <definedName name="CDEApp4HEMPublicSchool" hidden="1">'Customer Declared Expenses'!$J$18</definedName>
    <definedName name="CDEApp4HEMTransport" hidden="1">'Customer Declared Expenses'!$J$22</definedName>
    <definedName name="CDEApp4NonHEMChildSupport" hidden="1">'Customer Declared Expenses'!$J$34</definedName>
    <definedName name="CDEApp4NonHEMInsurance" hidden="1">'Customer Declared Expenses'!$J$32</definedName>
    <definedName name="CDEApp4NonHEMOther" hidden="1">'Customer Declared Expenses'!$J$35</definedName>
    <definedName name="CDEApp4NonHEMPrimaryResidence" hidden="1">'Customer Declared Expenses'!$J$30</definedName>
    <definedName name="CDEApp4NonHEMPrivateSchool" hidden="1">'Customer Declared Expenses'!$J$33</definedName>
    <definedName name="CDEApp4NonHEMSecondaryResidence" hidden="1">'Customer Declared Expenses'!$J$31</definedName>
    <definedName name="CDEApp4Rent" hidden="1">'Customer Declared Expenses'!$J$42</definedName>
    <definedName name="CDEApp4RentAssessed" hidden="1">'Customer Declared Expenses'!$J$44</definedName>
    <definedName name="CDEApp4RentFlag" hidden="1">'Customer Declared Expenses'!$J$41</definedName>
    <definedName name="CDEApp5Data" hidden="1">'Customer Declared Expenses'!$L$14:$L$24,'Customer Declared Expenses'!$L$30:$L$35,'Customer Declared Expenses'!$L$41:$L$42</definedName>
    <definedName name="CDEApp5HEMChildcare" hidden="1">'Customer Declared Expenses'!$L$17</definedName>
    <definedName name="CDEApp5HEMClothes" hidden="1">'Customer Declared Expenses'!$L$14</definedName>
    <definedName name="CDEApp5HEMCommunication" hidden="1">'Customer Declared Expenses'!$L$21</definedName>
    <definedName name="CDEApp5HEMEntertainment" hidden="1">'Customer Declared Expenses'!$L$23</definedName>
    <definedName name="CDEApp5HEMGroceries" hidden="1">'Customer Declared Expenses'!$L$15</definedName>
    <definedName name="CDEApp5HEMHigherEducation" hidden="1">'Customer Declared Expenses'!$L$19</definedName>
    <definedName name="CDEApp5HEMInsurance" hidden="1">'Customer Declared Expenses'!$L$20</definedName>
    <definedName name="CDEApp5HEMMedical" hidden="1">'Customer Declared Expenses'!$L$16</definedName>
    <definedName name="CDEApp5HEMPrimaryResidence" hidden="1">'Customer Declared Expenses'!$L$24</definedName>
    <definedName name="CDEApp5HEMPublicSchool" hidden="1">'Customer Declared Expenses'!$L$18</definedName>
    <definedName name="CDEApp5HEMTransport" hidden="1">'Customer Declared Expenses'!$L$22</definedName>
    <definedName name="CDEApp5NonHEMChildSupport" hidden="1">'Customer Declared Expenses'!$L$34</definedName>
    <definedName name="CDEApp5NonHEMInsurance" hidden="1">'Customer Declared Expenses'!$L$32</definedName>
    <definedName name="CDEApp5NonHEMOther" hidden="1">'Customer Declared Expenses'!$L$35</definedName>
    <definedName name="CDEApp5NonHEMPrimaryResidence" hidden="1">'Customer Declared Expenses'!$L$30</definedName>
    <definedName name="CDEApp5NonHEMPrivateSchool" hidden="1">'Customer Declared Expenses'!$L$33</definedName>
    <definedName name="CDEApp5NonHEMSecondaryResidence" hidden="1">'Customer Declared Expenses'!$L$31</definedName>
    <definedName name="CDEApp5Rent" hidden="1">'Customer Declared Expenses'!$L$42</definedName>
    <definedName name="CDEApp5RentAssessed" hidden="1">'Customer Declared Expenses'!$L$44</definedName>
    <definedName name="CDEApp5RentFlag" hidden="1">'Customer Declared Expenses'!$L$41</definedName>
    <definedName name="CDEApp6Data" hidden="1">'Customer Declared Expenses'!$N$14:$N$24,'Customer Declared Expenses'!$N$30:$N$35,'Customer Declared Expenses'!$N$41:$N$42</definedName>
    <definedName name="CDEApp6HEMChildcare" hidden="1">'Customer Declared Expenses'!$N$17</definedName>
    <definedName name="CDEApp6HEMClothes" hidden="1">'Customer Declared Expenses'!$N$14</definedName>
    <definedName name="CDEApp6HEMCommunication" hidden="1">'Customer Declared Expenses'!$N$21</definedName>
    <definedName name="CDEApp6HEMEntertainment" hidden="1">'Customer Declared Expenses'!$N$23</definedName>
    <definedName name="CDEApp6HEMGroceries" hidden="1">'Customer Declared Expenses'!$N$15</definedName>
    <definedName name="CDEApp6HEMHigherEducation" hidden="1">'Customer Declared Expenses'!$N$19</definedName>
    <definedName name="CDEApp6HEMInsurance" hidden="1">'Customer Declared Expenses'!$N$20</definedName>
    <definedName name="CDEApp6HEMMedical" hidden="1">'Customer Declared Expenses'!$N$16</definedName>
    <definedName name="CDEApp6HEMPrimaryResidence" hidden="1">'Customer Declared Expenses'!$N$24</definedName>
    <definedName name="CDEApp6HEMPublicSchool" hidden="1">'Customer Declared Expenses'!$N$18</definedName>
    <definedName name="CDEApp6HEMTransport" hidden="1">'Customer Declared Expenses'!$N$22</definedName>
    <definedName name="CDEApp6NonHEMChildSupport" hidden="1">'Customer Declared Expenses'!$N$34</definedName>
    <definedName name="CDEApp6NonHEMInsurance" hidden="1">'Customer Declared Expenses'!$N$32</definedName>
    <definedName name="CDEApp6NonHEMOther" hidden="1">'Customer Declared Expenses'!$N$35</definedName>
    <definedName name="CDEApp6NonHEMPrimaryResidence" hidden="1">'Customer Declared Expenses'!$N$30</definedName>
    <definedName name="CDEApp6NonHEMPrivateSchool" hidden="1">'Customer Declared Expenses'!$N$33</definedName>
    <definedName name="CDEApp6NonHEMSecondaryResidence" hidden="1">'Customer Declared Expenses'!$N$31</definedName>
    <definedName name="CDEApp6Rent" hidden="1">'Customer Declared Expenses'!$N$42</definedName>
    <definedName name="CDEApp6RentAssessed" hidden="1">'Customer Declared Expenses'!$N$44</definedName>
    <definedName name="CDEApp6RentFlag" hidden="1">'Customer Declared Expenses'!$N$41</definedName>
    <definedName name="CDEApportionedHouseholdExpensesSection" hidden="1">'Customer Declared Expenses'!$A$10,'Customer Declared Expenses'!$A$26,'Customer Declared Expenses'!$A$37,'Customer Declared Expenses'!$A$44</definedName>
    <definedName name="CDEGeneralNotes" hidden="1">'Customer Declared Expenses'!$D$53</definedName>
    <definedName name="CDENotes" hidden="1">'Customer Declared Expenses'!$D$53</definedName>
    <definedName name="ChildSupportShade" hidden="1">'Static Data'!$B$28</definedName>
    <definedName name="DTIThresholdHighRisk" hidden="1">'Static Data'!$B$38</definedName>
    <definedName name="DTIThresholdMaximum" hidden="1">'Static Data'!$B$37</definedName>
    <definedName name="DTIThresholdStreamlinedRefinance" hidden="1">'Static Data'!$B$49</definedName>
    <definedName name="ExistingShareableCommitmentTypeListData" hidden="1">'Static Data'!$X$6:INDEX(ExistingShareableCommitmentTypeList[CommitmentType],COUNTIF(ExistingShareableCommitmentTypeList[CommitmentType],"?*"))</definedName>
    <definedName name="FCCAllSections" hidden="1">'Foreign Currency Checklist'!$A$33:$A$52,'Foreign Currency Checklist'!$A$55:$A$71,'Foreign Currency Checklist'!$A$74:$A$87,'Foreign Currency Checklist'!$A$90:$A$102,'Foreign Currency Checklist'!$A$105:$A$119,'Foreign Currency Checklist'!$A$122:$A$137,'Foreign Currency Checklist'!$A$140:$A$153,'Foreign Currency Checklist'!$A$156:$A$198,'Foreign Currency Checklist'!$A$201:$A$215</definedName>
    <definedName name="FCCApp1Data" hidden="1">'Foreign Currency Checklist'!$E$13,'Foreign Currency Checklist'!$E$38:$E$40,'Foreign Currency Checklist'!$E$42:$E$43,'Foreign Currency Checklist'!$E$45,'Foreign Currency Checklist'!$E$47,'Foreign Currency Checklist'!$E$48,'Foreign Currency Checklist'!$E$51,'Foreign Currency Checklist'!$E$60:$E$62,'Foreign Currency Checklist'!$E$64:$E$65,'Foreign Currency Checklist'!$E$67,'Foreign Currency Checklist'!$E$69,'Foreign Currency Checklist'!$E$70,'Foreign Currency Checklist'!$E$79:$E$80,'Foreign Currency Checklist'!$E$83:$E$85,'Foreign Currency Checklist'!$E$86,'Foreign Currency Checklist'!$E$95:$E$96,'Foreign Currency Checklist'!$E$98:$E$100,'Foreign Currency Checklist'!$E$101,'Foreign Currency Checklist'!$E$110:$E$111,'Foreign Currency Checklist'!$E$114:$E$116,'Foreign Currency Checklist'!$E$117,'Foreign Currency Checklist'!$E$127:$E$130,'Foreign Currency Checklist'!$E$134:$E$135,'Foreign Currency Checklist'!$E$136,'Foreign Currency Checklist'!$E$143:$E$146,'Foreign Currency Checklist'!$E$150:$E$151,'Foreign Currency Checklist'!$E$152,'Foreign Currency Checklist'!$E$159:$E$163,'Foreign Currency Checklist'!$E$166:$E$168,'Foreign Currency Checklist'!$E$169,'Foreign Currency Checklist'!$E$173:$E$175,'Foreign Currency Checklist'!$E$176,'Foreign Currency Checklist'!$E$180:$E$182,'Foreign Currency Checklist'!$E$183,'Foreign Currency Checklist'!$E$187:$E$189,'Foreign Currency Checklist'!$E$190,'Foreign Currency Checklist'!$E$194:$E$196,'Foreign Currency Checklist'!$E$197,'Foreign Currency Checklist'!$E$204:$E$208,'Foreign Currency Checklist'!$E$212:$E$213,'Foreign Currency Checklist'!$E$214</definedName>
    <definedName name="FCCApp1Name" hidden="1">'Foreign Currency Checklist'!$E$13</definedName>
    <definedName name="FCCApp2Data" hidden="1">'Foreign Currency Checklist'!$G$13,'Foreign Currency Checklist'!$G$38:$G$40,'Foreign Currency Checklist'!$G$42:$G$43,'Foreign Currency Checklist'!$G$45,'Foreign Currency Checklist'!$G$47,'Foreign Currency Checklist'!$G$48,'Foreign Currency Checklist'!$G$51,'Foreign Currency Checklist'!$G$60:$G$62,'Foreign Currency Checklist'!$G$64:$G$65,'Foreign Currency Checklist'!$G$67,'Foreign Currency Checklist'!$G$69,'Foreign Currency Checklist'!$G$70,'Foreign Currency Checklist'!$G$79:$G$80,'Foreign Currency Checklist'!$G$83:$G$85,'Foreign Currency Checklist'!$G$86,'Foreign Currency Checklist'!$G$95:$G$96,'Foreign Currency Checklist'!$G$98:$G$100,'Foreign Currency Checklist'!$G$101,'Foreign Currency Checklist'!$G$110:$G$111,'Foreign Currency Checklist'!$G$114:$G$116,'Foreign Currency Checklist'!$G$117,'Foreign Currency Checklist'!$G$127:$G$130,'Foreign Currency Checklist'!$G$134:$G$135,'Foreign Currency Checklist'!$G$136,'Foreign Currency Checklist'!$G$143:$G$146,'Foreign Currency Checklist'!$G$150:$G$151,'Foreign Currency Checklist'!$G$152,'Foreign Currency Checklist'!$G$159:$G$163,'Foreign Currency Checklist'!$G$166:$G$168,'Foreign Currency Checklist'!$G$169,'Foreign Currency Checklist'!$G$173:$G$175,'Foreign Currency Checklist'!$G$176,'Foreign Currency Checklist'!$G$180:$G$182,'Foreign Currency Checklist'!$G$183,'Foreign Currency Checklist'!$G$187:$G$189,'Foreign Currency Checklist'!$G$190,'Foreign Currency Checklist'!$G$194:$G$196,'Foreign Currency Checklist'!$G$197,'Foreign Currency Checklist'!$G$204:$G$208,'Foreign Currency Checklist'!$G$212:$G$213,'Foreign Currency Checklist'!$G$214</definedName>
    <definedName name="FCCApp2Name" hidden="1">'Foreign Currency Checklist'!$G$13</definedName>
    <definedName name="FCCApp3Data" hidden="1">'Foreign Currency Checklist'!$I$13,'Foreign Currency Checklist'!$I$38:$I$40,'Foreign Currency Checklist'!$I$42:$I$43,'Foreign Currency Checklist'!$I$45,'Foreign Currency Checklist'!$I$47,'Foreign Currency Checklist'!$I$48,'Foreign Currency Checklist'!$I$51,'Foreign Currency Checklist'!$I$60:$I$62,'Foreign Currency Checklist'!$I$64:$I$65,'Foreign Currency Checklist'!$I$67,'Foreign Currency Checklist'!$I$69,'Foreign Currency Checklist'!$I$70,'Foreign Currency Checklist'!$I$79:$I$80,'Foreign Currency Checklist'!$I$83:$I$85,'Foreign Currency Checklist'!$I$86,'Foreign Currency Checklist'!$I$95:$I$96,'Foreign Currency Checklist'!$I$98:$I$100,'Foreign Currency Checklist'!$I$101,'Foreign Currency Checklist'!$I$110:$I$111,'Foreign Currency Checklist'!$I$114:$I$116,'Foreign Currency Checklist'!$I$117,'Foreign Currency Checklist'!$I$127:$I$130,'Foreign Currency Checklist'!$I$134:$I$135,'Foreign Currency Checklist'!$I$136,'Foreign Currency Checklist'!$I$143:$I$146,'Foreign Currency Checklist'!$I$150:$I$151,'Foreign Currency Checklist'!$I$152,'Foreign Currency Checklist'!$I$159:$I$163,'Foreign Currency Checklist'!$I$166:$I$168,'Foreign Currency Checklist'!$I$169,'Foreign Currency Checklist'!$I$173:$I$175,'Foreign Currency Checklist'!$I$176,'Foreign Currency Checklist'!$I$180:$I$182,'Foreign Currency Checklist'!$I$183,'Foreign Currency Checklist'!$I$187:$I$189,'Foreign Currency Checklist'!$I$190,'Foreign Currency Checklist'!$I$194:$I$196,'Foreign Currency Checklist'!$I$197,'Foreign Currency Checklist'!$I$204:$I$208,'Foreign Currency Checklist'!$I$212:$I$213,'Foreign Currency Checklist'!$I$214</definedName>
    <definedName name="FCCApp3Name" hidden="1">'Foreign Currency Checklist'!$I$13</definedName>
    <definedName name="FCCApp4Data" hidden="1">'Foreign Currency Checklist'!$K$13,'Foreign Currency Checklist'!$K$38:$K$40,'Foreign Currency Checklist'!$K$42:$K$43,'Foreign Currency Checklist'!$K$45,'Foreign Currency Checklist'!$K$47,'Foreign Currency Checklist'!$K$48,'Foreign Currency Checklist'!$K$51,'Foreign Currency Checklist'!$K$60:$K$62,'Foreign Currency Checklist'!$K$64:$K$65,'Foreign Currency Checklist'!$K$67,'Foreign Currency Checklist'!$K$69,'Foreign Currency Checklist'!$K$70,'Foreign Currency Checklist'!$K$79:$K$80,'Foreign Currency Checklist'!$K$83:$K$85,'Foreign Currency Checklist'!$K$86,'Foreign Currency Checklist'!$K$95:$K$96,'Foreign Currency Checklist'!$K$98:$K$100,'Foreign Currency Checklist'!$K$101,'Foreign Currency Checklist'!$K$110:$K$111,'Foreign Currency Checklist'!$K$114:$K$116,'Foreign Currency Checklist'!$K$117,'Foreign Currency Checklist'!$K$127:$K$130,'Foreign Currency Checklist'!$K$134:$K$135,'Foreign Currency Checklist'!$K$136,'Foreign Currency Checklist'!$K$143:$K$146,'Foreign Currency Checklist'!$K$150:$K$151,'Foreign Currency Checklist'!$K$152,'Foreign Currency Checklist'!$K$159:$K$163,'Foreign Currency Checklist'!$K$166:$K$168,'Foreign Currency Checklist'!$K$169,'Foreign Currency Checklist'!$K$173:$K$175,'Foreign Currency Checklist'!$K$176,'Foreign Currency Checklist'!$K$180:$K$182,'Foreign Currency Checklist'!$K$183,'Foreign Currency Checklist'!$K$187:$K$189,'Foreign Currency Checklist'!$K$190,'Foreign Currency Checklist'!$K$194:$K$196,'Foreign Currency Checklist'!$K$197,'Foreign Currency Checklist'!$K$204:$K$208,'Foreign Currency Checklist'!$K$212:$K$213,'Foreign Currency Checklist'!$K$214</definedName>
    <definedName name="FCCApp4Name" hidden="1">'Foreign Currency Checklist'!$K$13</definedName>
    <definedName name="FCCApp5Data" hidden="1">'Foreign Currency Checklist'!$M$13,'Foreign Currency Checklist'!$M$38:$M$40,'Foreign Currency Checklist'!$M$42:$M$43,'Foreign Currency Checklist'!$M$45,'Foreign Currency Checklist'!$M$47,'Foreign Currency Checklist'!$M$48,'Foreign Currency Checklist'!$M$51,'Foreign Currency Checklist'!$M$60:$M$62,'Foreign Currency Checklist'!$M$64:$M$65,'Foreign Currency Checklist'!$M$67,'Foreign Currency Checklist'!$M$69,'Foreign Currency Checklist'!$M$70,'Foreign Currency Checklist'!$M$79:$M$80,'Foreign Currency Checklist'!$M$83:$M$85,'Foreign Currency Checklist'!$M$86,'Foreign Currency Checklist'!$M$95:$M$96,'Foreign Currency Checklist'!$M$98:$M$100,'Foreign Currency Checklist'!$M$101,'Foreign Currency Checklist'!$M$110:$M$111,'Foreign Currency Checklist'!$M$114:$M$116,'Foreign Currency Checklist'!$M$117,'Foreign Currency Checklist'!$M$127:$M$130,'Foreign Currency Checklist'!$M$134:$M$135,'Foreign Currency Checklist'!$M$136,'Foreign Currency Checklist'!$M$143:$M$146,'Foreign Currency Checklist'!$M$150:$M$151,'Foreign Currency Checklist'!$M$152,'Foreign Currency Checklist'!$M$159:$M$163,'Foreign Currency Checklist'!$M$166:$M$168,'Foreign Currency Checklist'!$M$169,'Foreign Currency Checklist'!$M$173:$M$175,'Foreign Currency Checklist'!$M$176,'Foreign Currency Checklist'!$M$180:$M$182,'Foreign Currency Checklist'!$M$183,'Foreign Currency Checklist'!$M$187:$M$189,'Foreign Currency Checklist'!$M$190,'Foreign Currency Checklist'!$M$194:$M$196,'Foreign Currency Checklist'!$M$197,'Foreign Currency Checklist'!$M$204:$M$208,'Foreign Currency Checklist'!$M$212:$M$213,'Foreign Currency Checklist'!$M$214</definedName>
    <definedName name="FCCApp5Name" hidden="1">'Foreign Currency Checklist'!$M$13</definedName>
    <definedName name="FCCApp6Data" hidden="1">'Foreign Currency Checklist'!$O$13,'Foreign Currency Checklist'!$O$38:$O$40,'Foreign Currency Checklist'!$O$42:$O$43,'Foreign Currency Checklist'!$O$45,'Foreign Currency Checklist'!$O$47,'Foreign Currency Checklist'!$O$48,'Foreign Currency Checklist'!$O$51,'Foreign Currency Checklist'!$O$60:$O$62,'Foreign Currency Checklist'!$O$64:$O$65,'Foreign Currency Checklist'!$O$67,'Foreign Currency Checklist'!$O$69,'Foreign Currency Checklist'!$O$70,'Foreign Currency Checklist'!$O$79:$O$80,'Foreign Currency Checklist'!$O$83:$O$85,'Foreign Currency Checklist'!$O$86,'Foreign Currency Checklist'!$O$95:$O$96,'Foreign Currency Checklist'!$O$98:$O$100,'Foreign Currency Checklist'!$O$101,'Foreign Currency Checklist'!$O$110:$O$111,'Foreign Currency Checklist'!$O$114:$O$116,'Foreign Currency Checklist'!$O$117,'Foreign Currency Checklist'!$O$127:$O$130,'Foreign Currency Checklist'!$O$134:$O$135,'Foreign Currency Checklist'!$O$136,'Foreign Currency Checklist'!$O$143:$O$146,'Foreign Currency Checklist'!$O$150:$O$151,'Foreign Currency Checklist'!$O$152,'Foreign Currency Checklist'!$O$159:$O$163,'Foreign Currency Checklist'!$O$166:$O$168,'Foreign Currency Checklist'!$O$169,'Foreign Currency Checklist'!$O$173:$O$175,'Foreign Currency Checklist'!$O$176,'Foreign Currency Checklist'!$O$180:$O$182,'Foreign Currency Checklist'!$O$183,'Foreign Currency Checklist'!$O$187:$O$189,'Foreign Currency Checklist'!$O$190,'Foreign Currency Checklist'!$O$194:$O$196,'Foreign Currency Checklist'!$O$197,'Foreign Currency Checklist'!$O$204:$O$208,'Foreign Currency Checklist'!$O$212:$O$213,'Foreign Currency Checklist'!$O$214</definedName>
    <definedName name="FCCApp6Name" hidden="1">'Foreign Currency Checklist'!$O$13</definedName>
    <definedName name="FCCApplicantCount" hidden="1">'Foreign Currency Checklist'!$C$12</definedName>
    <definedName name="FCCApplicationReference" hidden="1">'Foreign Currency Checklist'!$C$11</definedName>
    <definedName name="FCCChildSupportOtherDocs" hidden="1">'Foreign Currency Checklist'!$B$147</definedName>
    <definedName name="FCCChildSupportSection" hidden="1">'Foreign Currency Checklist'!$A$140:$A$153</definedName>
    <definedName name="FCCExchangeRateNotFoundMessage" hidden="1">'Static Data'!$B$44</definedName>
    <definedName name="FCCLiabilitiesOtherDocs" hidden="1">'Foreign Currency Checklist'!$B$164</definedName>
    <definedName name="FCCLiabilitiesSection" hidden="1">'Foreign Currency Checklist'!$A$156:$A$198</definedName>
    <definedName name="FCCOwnFundsOtherDocs" hidden="1">'Foreign Currency Checklist'!$B$112</definedName>
    <definedName name="FCCOwnFundsSection" hidden="1">'Foreign Currency Checklist'!$A$105:$A$119</definedName>
    <definedName name="FCCPAYGNonResiSection" hidden="1">'Foreign Currency Checklist'!$A$55:$A$71</definedName>
    <definedName name="FCCPAYGResidentSection" hidden="1">'Foreign Currency Checklist'!$A$33:$A$52</definedName>
    <definedName name="FCCPensionSection" hidden="1">'Foreign Currency Checklist'!$A$90:$A$102</definedName>
    <definedName name="FCCRentalIncomeOtherDocs" hidden="1">'Foreign Currency Checklist'!$B$81</definedName>
    <definedName name="FCCRentalOutgoingsOtherDocs" hidden="1">'Foreign Currency Checklist'!$B$209</definedName>
    <definedName name="FCCRentalOutgoSection" hidden="1">'Foreign Currency Checklist'!$A$201:$A$215</definedName>
    <definedName name="FCCRentalSection" hidden="1">'Foreign Currency Checklist'!$A$74:$A$87</definedName>
    <definedName name="FCCSelfEmployedOtherDocs" hidden="1">'Foreign Currency Checklist'!$B$131</definedName>
    <definedName name="FCCSESection" hidden="1">'Foreign Currency Checklist'!$A$122:$A$137</definedName>
    <definedName name="FCCShowApplicant1" hidden="1">'Foreign Currency Checklist'!$F$12</definedName>
    <definedName name="FCCShowApplicant2" hidden="1">'Foreign Currency Checklist'!$H$12</definedName>
    <definedName name="FCCShowApplicant3" hidden="1">'Foreign Currency Checklist'!$J$12</definedName>
    <definedName name="FCCShowApplicant4" hidden="1">'Foreign Currency Checklist'!$L$12</definedName>
    <definedName name="FCCShowApplicant5" hidden="1">'Foreign Currency Checklist'!$N$12</definedName>
    <definedName name="FCCShowApplicant6" hidden="1">'Foreign Currency Checklist'!$P$12</definedName>
    <definedName name="FCCYourDetailsSectionClearFields" hidden="1">'Foreign Currency Checklist'!$C$11,'Foreign Currency Checklist'!$C$19,'Foreign Currency Checklist'!$C$20,'Foreign Currency Checklist'!$G$19,'Foreign Currency Checklist'!$G$20,'Foreign Currency Checklist'!$K$19,'Foreign Currency Checklist'!$K$20,'Foreign Currency Checklist'!$K$22</definedName>
    <definedName name="FGCClearData" hidden="1">'Family Guarantee Calculator'!$F$8,'Family Guarantee Calculator'!$F$12,'Family Guarantee Calculator'!$L$12,'Family Guarantee Calculator'!$F$14,'Family Guarantee Calculator'!$L$14,'Family Guarantee Calculator'!$F$22,'Family Guarantee Calculator'!$F$24,'Family Guarantee Calculator'!$F$25</definedName>
    <definedName name="FGCClearLVR" hidden="1">'Family Guarantee Calculator'!$D$13:$D$13,'Family Guarantee Calculator'!$J$13:$J$13,'Family Guarantee Calculator'!$D$23:$D$23</definedName>
    <definedName name="FGCExistingCommitmentsExternal" hidden="1">'Family Guarantee Calculator'!$F$25</definedName>
    <definedName name="FGCExistingCommitmentsInternal" hidden="1">'Family Guarantee Calculator'!$F$24</definedName>
    <definedName name="FGCGuarantorLVR" hidden="1">'Family Guarantee Calculator'!$D$23</definedName>
    <definedName name="FGCSecurityType" hidden="1">'Family Guarantee Calculator'!$F$20</definedName>
    <definedName name="FGCSecurityTypeListRRB" hidden="1">'Family Guarantee Calculator'!$T$20</definedName>
    <definedName name="FGCSecurityTypeListWBC" hidden="1">'Family Guarantee Calculator'!$T$20:$T$21</definedName>
    <definedName name="FloorRateMCAR" hidden="1">'Static Data'!$B$12</definedName>
    <definedName name="FloorRateMCIR" hidden="1">'Static Data'!$B$13</definedName>
    <definedName name="ForeignPensionShade" hidden="1">'Static Data'!$B$27</definedName>
    <definedName name="HELPRateEffectiveDate" hidden="1">'Static Data'!$AA$2</definedName>
    <definedName name="HEMEffectiveDate" hidden="1">'Expense Calculation'!$C$8</definedName>
    <definedName name="HEMMidpoint" hidden="1">'Expense Calculation'!$C$9</definedName>
    <definedName name="ICApp1ForeignIncomeFlag" hidden="1">'Income Calculation'!$E$49</definedName>
    <definedName name="ICApp1HouseholdIncomeApportioningRatio" hidden="1">'Income Calculation'!$E$44</definedName>
    <definedName name="ICApp1IncomeDTI" hidden="1">'Income Calculation'!$E$46</definedName>
    <definedName name="ICApp1IncomeHEM" hidden="1">'Income Calculation'!$E$45</definedName>
    <definedName name="ICApp1IncomeSTSL" hidden="1">'Income Calculation'!$E$47</definedName>
    <definedName name="ICApp1IncomeSTSLRT" hidden="1">'Income Calculation'!$E$48</definedName>
    <definedName name="ICApp1NetIncome" hidden="1">'Income Calculation'!$E$43</definedName>
    <definedName name="ICApp1NetIncomeServicing" hidden="1">'Income Calculation'!$E$50</definedName>
    <definedName name="ICApp2ForeignIncomeFlag" hidden="1">'Income Calculation'!$G$49</definedName>
    <definedName name="ICApp2HouseholdIncomeApportioningRatio" hidden="1">'Income Calculation'!$G$44</definedName>
    <definedName name="ICApp2IncomeDTI" hidden="1">'Income Calculation'!$G$46</definedName>
    <definedName name="ICApp2IncomeHEM" hidden="1">'Income Calculation'!$G$45</definedName>
    <definedName name="ICApp2IncomeSTSL" hidden="1">'Income Calculation'!$G$47</definedName>
    <definedName name="ICApp2IncomeSTSLRT" hidden="1">'Income Calculation'!$G$48</definedName>
    <definedName name="ICApp2NetIncome" hidden="1">'Income Calculation'!$G$43</definedName>
    <definedName name="ICApp2NetIncomeServicing" hidden="1">'Income Calculation'!$G$50</definedName>
    <definedName name="ICApp3ForeignIncomeFlag" hidden="1">'Income Calculation'!$I$49</definedName>
    <definedName name="ICApp3HouseholdIncomeApportioningRatio" hidden="1">'Income Calculation'!$I$44</definedName>
    <definedName name="ICApp3IncomeDTI" hidden="1">'Income Calculation'!$I$46</definedName>
    <definedName name="ICApp3IncomeHEM" hidden="1">'Income Calculation'!$I$45</definedName>
    <definedName name="ICApp3IncomeSTSL" hidden="1">'Income Calculation'!$I$47</definedName>
    <definedName name="ICApp3IncomeSTSLRT" hidden="1">'Income Calculation'!$I$48</definedName>
    <definedName name="ICApp3NetIncome" hidden="1">'Income Calculation'!$I$43</definedName>
    <definedName name="ICApp3NetIncomeServicing" hidden="1">'Income Calculation'!$I$50</definedName>
    <definedName name="ICApp4ForeignIncomeFlag" hidden="1">'Income Calculation'!$K$49</definedName>
    <definedName name="ICApp4HouseholdIncomeApportioningRatio" hidden="1">'Income Calculation'!$K$44</definedName>
    <definedName name="ICApp4IncomeDTI" hidden="1">'Income Calculation'!$K$46</definedName>
    <definedName name="ICApp4IncomeHEM" hidden="1">'Income Calculation'!$K$45</definedName>
    <definedName name="ICApp4IncomeSTSL" hidden="1">'Income Calculation'!$K$47</definedName>
    <definedName name="ICApp4IncomeSTSLRT" hidden="1">'Income Calculation'!$K$48</definedName>
    <definedName name="ICApp4NetIncome" hidden="1">'Income Calculation'!$K$43</definedName>
    <definedName name="ICApp4NetIncomeServicing" hidden="1">'Income Calculation'!$K$50</definedName>
    <definedName name="ICApp5ForeignIncomeFlag" hidden="1">'Income Calculation'!$M$49</definedName>
    <definedName name="ICApp5HouseholdIncomeApportioningRatio" hidden="1">'Income Calculation'!$M$44</definedName>
    <definedName name="ICApp5IncomeDTI" hidden="1">'Income Calculation'!$M$46</definedName>
    <definedName name="ICApp5IncomeHEM" hidden="1">'Income Calculation'!$M$45</definedName>
    <definedName name="ICApp5IncomeSTSL" hidden="1">'Income Calculation'!$M$47</definedName>
    <definedName name="ICApp5IncomeSTSLRT" hidden="1">'Income Calculation'!$M$48</definedName>
    <definedName name="ICApp5NetIncome" hidden="1">'Income Calculation'!$M$43</definedName>
    <definedName name="ICApp5NetIncomeServicing" hidden="1">'Income Calculation'!$M$50</definedName>
    <definedName name="ICApp6ForeignIncomeFlag" hidden="1">'Income Calculation'!$O$49</definedName>
    <definedName name="ICApp6HouseholdIncomeApportioningRatio" hidden="1">'Income Calculation'!$O$44</definedName>
    <definedName name="ICApp6IncomeDTI" hidden="1">'Income Calculation'!$O$46</definedName>
    <definedName name="ICApp6IncomeHEM" hidden="1">'Income Calculation'!$O$45</definedName>
    <definedName name="ICApp6IncomeSTSL" hidden="1">'Income Calculation'!$O$47</definedName>
    <definedName name="ICApp6IncomeSTSLRT" hidden="1">'Income Calculation'!$O$48</definedName>
    <definedName name="ICApp6NetIncome" hidden="1">'Income Calculation'!$O$43</definedName>
    <definedName name="ICApp6NetIncomeServicing" hidden="1">'Income Calculation'!$O$50</definedName>
    <definedName name="ICDSCMinRequired" hidden="1">'Income Calculation'!$C$105</definedName>
    <definedName name="ICLMIFlagUpdateProLoanHEDImpactedRecordCount" hidden="1">'Income Calculation'!$C$116</definedName>
    <definedName name="ICLMIFlagUpdateSelfEmployedImpactedRecordCount" hidden="1">'Income Calculation'!$C$115</definedName>
    <definedName name="IncomeTaxEffectiveDate" hidden="1">'Static Data'!$F$2</definedName>
    <definedName name="InterestDividendShade" hidden="1">'Static Data'!$B$23</definedName>
    <definedName name="InternalVersionNumber" hidden="1">'Static Data'!$B$4</definedName>
    <definedName name="InvestmentIncomeShade" hidden="1">'Static Data'!$B$24</definedName>
    <definedName name="LOCApplicationReference" hidden="1">'LVR Override Calculator'!$I$11</definedName>
    <definedName name="LOCAssessmentDate" hidden="1">'LVR Override Calculator'!$E$11</definedName>
    <definedName name="LOCAssetCollateralCount" hidden="1">'LVR Override Calculator'!$G$51</definedName>
    <definedName name="LOCBridgingLoanAmount" hidden="1">'LVR Override Calculator'!$E$45</definedName>
    <definedName name="LOCBridgingLoanFlag" hidden="1">'LVR Override Calculator'!$E$43</definedName>
    <definedName name="LOCBridgingLoanMonthlyFee" hidden="1">'LVR Override Calculator'!$E$46</definedName>
    <definedName name="LOCBridgingLoanRate" hidden="1">'LVR Override Calculator'!$E$47</definedName>
    <definedName name="LOCBridgingLoanWithICAP" hidden="1">'LVR Override Calculator'!$E$49</definedName>
    <definedName name="LOCCalculatedBridgingLoanTotalAmount" hidden="1">'LVR Override Calculator'!$AI$57</definedName>
    <definedName name="LOCCollateralAdditionalSection" hidden="1">'LVR Override Calculator'!$P$39:$AD$39</definedName>
    <definedName name="LOCCollateralDataSection" hidden="1">'LVR Override Calculator'!$K$40:$AD$47</definedName>
    <definedName name="LOCCollateralTypeSection" hidden="1">'LVR Override Calculator'!$K$51:$AD$51</definedName>
    <definedName name="LOCCollateralVisibleColumnCount" hidden="1">'LVR Override Calculator'!$AF$39</definedName>
    <definedName name="LOCDebtAllocationDataSection" hidden="1">'LVR Override Calculator'!$K$57:$AD$76</definedName>
    <definedName name="LOCDebtAllocationMessage" hidden="1">'LVR Override Calculator'!$K$56</definedName>
    <definedName name="LOCFacilitiesAdditionalSection" hidden="1">'LVR Override Calculator'!$A$62:$A$76</definedName>
    <definedName name="LOCFacilitiesDataSection" hidden="1">'LVR Override Calculator'!$C$57:$G$76</definedName>
    <definedName name="LOCFacilitiesVisibleRowCount" hidden="1">'LVR Override Calculator'!$G$79</definedName>
    <definedName name="LOCLLVR" hidden="1">'LVR Override Calculator'!$E$20</definedName>
    <definedName name="LOCLMICapitalisedPremium" hidden="1">'LVR Override Calculator'!$E$14</definedName>
    <definedName name="LOCLMIFlag" hidden="1">'LVR Override Calculator'!$E$13</definedName>
    <definedName name="LOCLMIPolicyAssetCollateralAnswer" hidden="1">'LVR Override Calculator'!$G$27</definedName>
    <definedName name="LOCLMIPolicyFamilyGuaranteeAnswer" hidden="1">'LVR Override Calculator'!$G$30</definedName>
    <definedName name="LOCLMIPolicyNonApplicantBorrowerAnswer" hidden="1">'LVR Override Calculator'!$G$33</definedName>
    <definedName name="LOCLMIPolicyValidationsSection" hidden="1">'LVR Override Calculator'!$A$25:$A$36</definedName>
    <definedName name="LOCLVRBase" hidden="1">'LVR Override Calculator'!$E$21</definedName>
    <definedName name="LOCLVRTotal" hidden="1">'LVR Override Calculator'!$E$19</definedName>
    <definedName name="LOCMandatoryFieldCheck" hidden="1">'LVR Override Calculator'!$M$7</definedName>
    <definedName name="LOCMaxBaseLVR" hidden="1">'LVR Override Calculator'!$G$17</definedName>
    <definedName name="LOCMaxLendDataEntrySection" hidden="1">'LVR Override Calculator'!$K$46:$AD$47</definedName>
    <definedName name="LOCTotalSecurityExposure" hidden="1">'LVR Override Calculator'!$E$17</definedName>
    <definedName name="LOCTotalSecurityMarketValue" hidden="1">'LVR Override Calculator'!$E$16</definedName>
    <definedName name="LOCUserComments" hidden="1">'LVR Override Calculator'!$G$14</definedName>
    <definedName name="LVCClearData" hidden="1">'Simple LVR Calculator'!$D$14,'Simple LVR Calculator'!$F$14,'Simple LVR Calculator'!$D$15,'Simple LVR Calculator'!$F$15,'Simple LVR Calculator'!$D$16,'Simple LVR Calculator'!$F$16,'Simple LVR Calculator'!$D$17,'Simple LVR Calculator'!$F$17,'Simple LVR Calculator'!$D$18,'Simple LVR Calculator'!$F$18,'Simple LVR Calculator'!$K$14,'Simple LVR Calculator'!$M$14,'Simple LVR Calculator'!$K$15,'Simple LVR Calculator'!$M$15,'Simple LVR Calculator'!$K$16,'Simple LVR Calculator'!$M$16,'Simple LVR Calculator'!$K$17,'Simple LVR Calculator'!$M$17,'Simple LVR Calculator'!$K$18,'Simple LVR Calculator'!$M$18,'Simple LVR Calculator'!$M$10,'Simple LVR Calculator'!$M$9</definedName>
    <definedName name="LVRSecurityExistingLending" hidden="1">Serviceability!$AN$348</definedName>
    <definedName name="LVRTotalApplicationSecurity" hidden="1">Serviceability!$P$348</definedName>
    <definedName name="MedicareLevyEffectiveDate" hidden="1">'Static Data'!$J$2</definedName>
    <definedName name="MQBufferEstimatorSection" hidden="1">Serviceability!$A$352:$A$403</definedName>
    <definedName name="NAV10Section" hidden="1">Navigation!$A$17</definedName>
    <definedName name="NAV11Section" hidden="1">Navigation!$A$18</definedName>
    <definedName name="NAV12Section" hidden="1">Navigation!$A$19</definedName>
    <definedName name="NAV1Section" hidden="1">Navigation!$A$8</definedName>
    <definedName name="NAV2Section" hidden="1">Navigation!$A$9</definedName>
    <definedName name="NAV3Section" hidden="1">Navigation!$A$10</definedName>
    <definedName name="NAV4Section" hidden="1">Navigation!$A$11</definedName>
    <definedName name="NAV5Section" hidden="1">Navigation!$A$12</definedName>
    <definedName name="NAV6Section" hidden="1">Navigation!$A$13</definedName>
    <definedName name="NAV7Section" hidden="1">Navigation!$A$14</definedName>
    <definedName name="NAV8Section" hidden="1">Navigation!$A$15</definedName>
    <definedName name="NAV9Section" hidden="1">Navigation!$A$16</definedName>
    <definedName name="NewLoanTypeListData" hidden="1">'Static Data'!$U$39:INDEX(NewLoanTypeList[NewLoanType],COUNTIF(NewLoanTypeList[NewLoanType],"?*"))</definedName>
    <definedName name="NonBaseShade" hidden="1">'Static Data'!$B$21</definedName>
    <definedName name="NotionalRent" hidden="1">'Static Data'!$B$11</definedName>
    <definedName name="OICApplicantID" hidden="1">'Other Income'!$H$6</definedName>
    <definedName name="OICApplicantName" hidden="1">'Other Income'!$B$7</definedName>
    <definedName name="OICAssessedFrankingCredit" hidden="1">'Other Income'!$Q$15</definedName>
    <definedName name="OICChildSupportFrequencyLY" hidden="1">'Other Income'!$F$22</definedName>
    <definedName name="OICChildSupportLY" hidden="1">'Other Income'!$G$22</definedName>
    <definedName name="OICChildSupportUnshadedIncome" hidden="1">'Other Income'!$L$22</definedName>
    <definedName name="OICClearFields" hidden="1">'Other Income'!$F$14:$G$15,'Other Income'!$E$17:$K$17,'Other Income'!$E$18:$G$18,'Other Income'!$J$18,'Other Income'!$F$21:$G$25,'Other Income'!$E$29,'Other Income'!$E$30,'Other Income'!$E$19:$G$19,'Other Income'!$G$16,'Other Income'!$G$20</definedName>
    <definedName name="OICCompanyCarLY" hidden="1">'Other Income'!$G$20</definedName>
    <definedName name="OICCompanyCarUnshadedIncome" hidden="1">'Other Income'!$L$20</definedName>
    <definedName name="OICDividendFrankingCreditUnshadedIncome" hidden="1">'Other Income'!$L$15</definedName>
    <definedName name="OICDividendFrequencyLY" hidden="1">'Other Income'!$F$15</definedName>
    <definedName name="OICDividendLY" hidden="1">'Other Income'!$G$15</definedName>
    <definedName name="OICFamilyTaxBenefitAFrequencyLY" hidden="1">'Other Income'!$F$24</definedName>
    <definedName name="OICFamilyTaxBenefitALY" hidden="1">'Other Income'!$G$24</definedName>
    <definedName name="OICFamilyTaxBenefitAUnshadedIncome" hidden="1">'Other Income'!$L$24</definedName>
    <definedName name="OICFamilyTaxBenefitBFrequencyLY" hidden="1">'Other Income'!$F$25</definedName>
    <definedName name="OICFamilyTaxBenefitBLY" hidden="1">'Other Income'!$G$25</definedName>
    <definedName name="OICFamilyTaxBenefitBUnshadedIncome" hidden="1">'Other Income'!$L$25</definedName>
    <definedName name="OICFamilyTaxBenefitDependantsSection" hidden="1">'Other Income'!$A$27:$A$31</definedName>
    <definedName name="OICFamilyTaxBenefitDependantsUnder11" hidden="1">'Other Income'!$E$30</definedName>
    <definedName name="OICFamilyTaxBenefitDependantsUnder8" hidden="1">'Other Income'!$E$29</definedName>
    <definedName name="OICForeignPensionFrequencyLY" hidden="1">'Other Income'!$F$21</definedName>
    <definedName name="OICForeignPensionLY" hidden="1">'Other Income'!$G$21</definedName>
    <definedName name="OICForeignPensionUnshadedIncome" hidden="1">'Other Income'!$L$21</definedName>
    <definedName name="OICFrankingCreditLY" hidden="1">'Other Income'!$G$16</definedName>
    <definedName name="OICInterestFrequencyLY" hidden="1">'Other Income'!$F$14</definedName>
    <definedName name="OICInterestLY" hidden="1">'Other Income'!$G$14</definedName>
    <definedName name="OICInterestUnshadedIncome" hidden="1">'Other Income'!$L$14</definedName>
    <definedName name="OICInvestmentFrequencyLY" hidden="1">'Other Income'!$F$18</definedName>
    <definedName name="OICInvestmentLY" hidden="1">'Other Income'!$G$18</definedName>
    <definedName name="OICInvestmentNetLY" hidden="1">'Other Income'!$J$18</definedName>
    <definedName name="OICInvestmentTaxTreatment" hidden="1">'Other Income'!$E$18</definedName>
    <definedName name="OICInvestmentUnshadedIncome" hidden="1">'Other Income'!$L$18</definedName>
    <definedName name="OICOtherIncomeID" hidden="1">'Other Income'!$H$7</definedName>
    <definedName name="OICSelfManagedSuperFundAnnualIncomeLY" hidden="1">'Other Income'!$O$17</definedName>
    <definedName name="OICSelfManagedSuperFundAnnualIncomePY" hidden="1">'Other Income'!$N$17</definedName>
    <definedName name="OICSelfManagedSuperFundFrequencyLY" hidden="1">'Other Income'!$F$17</definedName>
    <definedName name="OICSelfManagedSuperFundFrequencyPY" hidden="1">'Other Income'!$H$17</definedName>
    <definedName name="OICSelfManagedSuperFundLY" hidden="1">'Other Income'!$G$17</definedName>
    <definedName name="OICSelfManagedSuperFundNetLY" hidden="1">'Other Income'!$J$17</definedName>
    <definedName name="OICSelfManagedSuperFundNetPY" hidden="1">'Other Income'!$K$17</definedName>
    <definedName name="OICSelfManagedSuperFundPY" hidden="1">'Other Income'!$I$17</definedName>
    <definedName name="OICSelfManagedSuperFundTaxTreatment" hidden="1">'Other Income'!$E$17</definedName>
    <definedName name="OICSelfManagedSuperFundUnshadedIncome" hidden="1">'Other Income'!$L$17</definedName>
    <definedName name="OICSocialSecurityFrequencyLY" hidden="1">'Other Income'!$F$23</definedName>
    <definedName name="OICSocialSecurityLY" hidden="1">'Other Income'!$G$23</definedName>
    <definedName name="OICSocialSecurityUnshadedIncome" hidden="1">'Other Income'!$L$23</definedName>
    <definedName name="OICSpouseIncomeFlag" hidden="1">'Other Income'!$I$7</definedName>
    <definedName name="OICStipendFrequencyLY" hidden="1">'Other Income'!$F$19</definedName>
    <definedName name="OICStipendLY" hidden="1">'Other Income'!$G$19</definedName>
    <definedName name="OICStipendTaxTreatment" hidden="1">'Other Income'!$E$19</definedName>
    <definedName name="OICStipendUnshadedIncome" hidden="1">'Other Income'!$L$19</definedName>
    <definedName name="_xlnm.Print_Area" localSheetId="21" hidden="1">'Bridging Loan Calculator'!$A$1:$U$39</definedName>
    <definedName name="_xlnm.Print_Area" localSheetId="19" hidden="1">'Customer Declared Expenses'!$A$1:$O$54</definedName>
    <definedName name="_xlnm.Print_Area" localSheetId="9" hidden="1">'Employer Income'!$A$1:$N$155</definedName>
    <definedName name="_xlnm.Print_Area" localSheetId="22" hidden="1">'Family Guarantee Calculator'!$A$1:$Q$34</definedName>
    <definedName name="_xlnm.Print_Area" localSheetId="26" hidden="1">'Foreign Currency Checklist'!$A$1:$P$216</definedName>
    <definedName name="_xlnm.Print_Area" localSheetId="25" hidden="1">'LVR Override Calculator'!$A$1:$AE$80</definedName>
    <definedName name="_xlnm.Print_Area" localSheetId="16" hidden="1">'Other Income'!$A$1:$M$35</definedName>
    <definedName name="_xlnm.Print_Area" localSheetId="20" hidden="1">'Remaining Term Calculator'!$A$1:$I$22</definedName>
    <definedName name="_xlnm.Print_Area" localSheetId="17" hidden="1">'Rental Income'!$A$1:$AA$38</definedName>
    <definedName name="_xlnm.Print_Area" localSheetId="28" hidden="1">'Repayment Pause Calculator'!$A$1:$N$35</definedName>
    <definedName name="_xlnm.Print_Area" localSheetId="18" hidden="1">RITD!$A$1:$M$37</definedName>
    <definedName name="_xlnm.Print_Area" localSheetId="24" hidden="1">'Second Mortgage Calculator'!$A$1:$G$15</definedName>
    <definedName name="_xlnm.Print_Area" localSheetId="10" hidden="1">'Self-employed Applicant'!$A$1:$N$89</definedName>
    <definedName name="_xlnm.Print_Area" localSheetId="12" hidden="1">'Self-employed Business'!$A$1:$U$173</definedName>
    <definedName name="_xlnm.Print_Area" localSheetId="13" hidden="1">'Self-employed Business Diagram'!$A$1:$L$42</definedName>
    <definedName name="_xlnm.Print_Area" localSheetId="14" hidden="1">'Self-employed Liabilities'!$A$1:$P$67</definedName>
    <definedName name="_xlnm.Print_Area" localSheetId="15" hidden="1">'Self-employed Rental Income'!$A$1:$W$67</definedName>
    <definedName name="_xlnm.Print_Area" localSheetId="8" hidden="1">Serviceability!$A$1:$CD$405</definedName>
    <definedName name="_xlnm.Print_Area" localSheetId="23" hidden="1">'Shared Equity Guarantee Calc'!$A$1:$Q$35</definedName>
    <definedName name="_xlnm.Print_Area" localSheetId="27" hidden="1">'Simple LVR Calculator'!$A$1:$O$25</definedName>
    <definedName name="_xlnm.Print_Area" localSheetId="29" hidden="1">'STSL Calculator'!$A$1:$P$74</definedName>
    <definedName name="RICAdditionalPropertiesSection" hidden="1">'Rental Income'!$C$14:$Z$32</definedName>
    <definedName name="RICApp1ExpenseTotal" hidden="1">'Rental Income'!$BM$34</definedName>
    <definedName name="RICApp1ForeignIncomeFlag" hidden="1">'Rental Income'!$AI$35</definedName>
    <definedName name="RICApp1GrossTotal" hidden="1">'Rental Income'!$AI$34</definedName>
    <definedName name="RICApp1OwnershipSection" hidden="1">'Rental Income'!$J$13:$J$32</definedName>
    <definedName name="RICApp1ShadedTotal" hidden="1">'Rental Income'!$AW$34</definedName>
    <definedName name="RICApp1SpouseExpenseTotal" hidden="1">'Rental Income'!$BN$34</definedName>
    <definedName name="RICApp1SpouseGrossTotal" hidden="1">'Rental Income'!$AJ$34</definedName>
    <definedName name="RICApp1SpouseOwnershipSection" hidden="1">'Rental Income'!$K$13:$K$32</definedName>
    <definedName name="RICApp1SpouseShadedTotal" hidden="1">'Rental Income'!$AX$34</definedName>
    <definedName name="RICApp2ExpenseTotal" hidden="1">'Rental Income'!$BO$34</definedName>
    <definedName name="RICApp2ForeignIncomeFlag" hidden="1">'Rental Income'!$AK$35</definedName>
    <definedName name="RICApp2GrossTotal" hidden="1">'Rental Income'!$AK$34</definedName>
    <definedName name="RICApp2OwnershipSection" hidden="1">'Rental Income'!$L$13:$L$32</definedName>
    <definedName name="RICApp2ShadedTotal" hidden="1">'Rental Income'!$AY$34</definedName>
    <definedName name="RICApp2SpouseExpenseTotal" hidden="1">'Rental Income'!$BP$34</definedName>
    <definedName name="RICApp2SpouseGrossTotal" hidden="1">'Rental Income'!$AL$34</definedName>
    <definedName name="RICApp2SpouseOwnershipSection" hidden="1">'Rental Income'!$M$13:$M$32</definedName>
    <definedName name="RICApp2SpouseShadedTotal" hidden="1">'Rental Income'!$AZ$34</definedName>
    <definedName name="RICApp3ExpenseTotal" hidden="1">'Rental Income'!$BQ$34</definedName>
    <definedName name="RICApp3ForeignIncomeFlag" hidden="1">'Rental Income'!$AM$35</definedName>
    <definedName name="RICApp3GrossTotal" hidden="1">'Rental Income'!$AM$34</definedName>
    <definedName name="RICApp3OwnershipSection" hidden="1">'Rental Income'!$N$13:$N$32</definedName>
    <definedName name="RICApp3ShadedTotal" hidden="1">'Rental Income'!$BA$34</definedName>
    <definedName name="RICApp3SpouseExpenseTotal" hidden="1">'Rental Income'!$BR$34</definedName>
    <definedName name="RICApp3SpouseGrossTotal" hidden="1">'Rental Income'!$AN$34</definedName>
    <definedName name="RICApp3SpouseOwnershipSection" hidden="1">'Rental Income'!$O$13:$O$32</definedName>
    <definedName name="RICApp3SpouseShadedTotal" hidden="1">'Rental Income'!$BB$34</definedName>
    <definedName name="RICApp4ExpenseTotal" hidden="1">'Rental Income'!$BS$34</definedName>
    <definedName name="RICApp4ForeignIncomeFlag" hidden="1">'Rental Income'!$AO$35</definedName>
    <definedName name="RICApp4GrossTotal" hidden="1">'Rental Income'!$AO$34</definedName>
    <definedName name="RICApp4OwnershipSection" hidden="1">'Rental Income'!$P$13:$P$32</definedName>
    <definedName name="RICApp4ShadedTotal" hidden="1">'Rental Income'!$BC$34</definedName>
    <definedName name="RICApp4SpouseExpenseTotal" hidden="1">'Rental Income'!$BT$34</definedName>
    <definedName name="RICApp4SpouseGrossTotal" hidden="1">'Rental Income'!$AP$34</definedName>
    <definedName name="RICApp4SpouseOwnershipSection" hidden="1">'Rental Income'!$Q$13:$Q$32</definedName>
    <definedName name="RICApp4SpouseShadedTotal" hidden="1">'Rental Income'!$BD$34</definedName>
    <definedName name="RICApp5ExpenseTotal" hidden="1">'Rental Income'!$BU$34</definedName>
    <definedName name="RICApp5ForeignIncomeFlag" hidden="1">'Rental Income'!$AQ$35</definedName>
    <definedName name="RICApp5GrossTotal" hidden="1">'Rental Income'!$AQ$34</definedName>
    <definedName name="RICApp5OwnershipSection" hidden="1">'Rental Income'!$R$13:$R$32</definedName>
    <definedName name="RICApp5ShadedTotal" hidden="1">'Rental Income'!$BE$34</definedName>
    <definedName name="RICApp5SpouseExpenseTotal" hidden="1">'Rental Income'!$BV$34</definedName>
    <definedName name="RICApp5SpouseGrossTotal" hidden="1">'Rental Income'!$AR$34</definedName>
    <definedName name="RICApp5SpouseOwnershipSection" hidden="1">'Rental Income'!$S$13:$S$32</definedName>
    <definedName name="RICApp5SpouseShadedTotal" hidden="1">'Rental Income'!$BF$34</definedName>
    <definedName name="RICApp6ExpenseTotal" hidden="1">'Rental Income'!$BW$34</definedName>
    <definedName name="RICApp6ForeignIncomeFlag" hidden="1">'Rental Income'!$AS$35</definedName>
    <definedName name="RICApp6GrossTotal" hidden="1">'Rental Income'!$AS$34</definedName>
    <definedName name="RICApp6OwnershipSection" hidden="1">'Rental Income'!$T$13:$T$32</definedName>
    <definedName name="RICApp6ShadedTotal" hidden="1">'Rental Income'!$BG$34</definedName>
    <definedName name="RICApp6SpouseExpenseTotal" hidden="1">'Rental Income'!$BX$34</definedName>
    <definedName name="RICApp6SpouseGrossTotal" hidden="1">'Rental Income'!$AT$34</definedName>
    <definedName name="RICApp6SpouseOwnershipSection" hidden="1">'Rental Income'!$U$13:$U$32</definedName>
    <definedName name="RICApp6SpouseShadedTotal" hidden="1">'Rental Income'!$BH$34</definedName>
    <definedName name="RICApplicantID" hidden="1">'Rental Income'!$Z$6</definedName>
    <definedName name="RICClearFields" hidden="1">'Rental Income'!$C$13:$X$32</definedName>
    <definedName name="RICFrequencyAll" hidden="1">'Rental Income'!$V$13:$V$32</definedName>
    <definedName name="RICHasData" hidden="1">'Rental Income'!$AC$34</definedName>
    <definedName name="RICOwnershipApp11" hidden="1">'Rental Income'!$J$13</definedName>
    <definedName name="RICOwnershipApp110" hidden="1">'Rental Income'!$J$22</definedName>
    <definedName name="RICOwnershipApp111" hidden="1">'Rental Income'!$J$23</definedName>
    <definedName name="RICOwnershipApp112" hidden="1">'Rental Income'!$J$24</definedName>
    <definedName name="RICOwnershipApp113" hidden="1">'Rental Income'!$J$25</definedName>
    <definedName name="RICOwnershipApp114" hidden="1">'Rental Income'!$J$26</definedName>
    <definedName name="RICOwnershipApp115" hidden="1">'Rental Income'!$J$27</definedName>
    <definedName name="RICOwnershipApp116" hidden="1">'Rental Income'!$J$28</definedName>
    <definedName name="RICOwnershipApp117" hidden="1">'Rental Income'!$J$29</definedName>
    <definedName name="RICOwnershipApp118" hidden="1">'Rental Income'!$J$30</definedName>
    <definedName name="RICOwnershipApp119" hidden="1">'Rental Income'!$J$31</definedName>
    <definedName name="RICOwnershipApp12" hidden="1">'Rental Income'!$J$14</definedName>
    <definedName name="RICOwnershipApp120" hidden="1">'Rental Income'!$J$32</definedName>
    <definedName name="RICOwnershipApp13" hidden="1">'Rental Income'!$J$15</definedName>
    <definedName name="RICOwnershipApp14" hidden="1">'Rental Income'!$J$16</definedName>
    <definedName name="RICOwnershipApp15" hidden="1">'Rental Income'!$J$17</definedName>
    <definedName name="RICOwnershipApp16" hidden="1">'Rental Income'!$J$18</definedName>
    <definedName name="RICOwnershipApp17" hidden="1">'Rental Income'!$J$19</definedName>
    <definedName name="RICOwnershipApp18" hidden="1">'Rental Income'!$J$20</definedName>
    <definedName name="RICOwnershipApp19" hidden="1">'Rental Income'!$J$21</definedName>
    <definedName name="RICOwnershipApp21" hidden="1">'Rental Income'!$L$13</definedName>
    <definedName name="RICOwnershipApp210" hidden="1">'Rental Income'!$L$22</definedName>
    <definedName name="RICOwnershipApp211" hidden="1">'Rental Income'!$L$23</definedName>
    <definedName name="RICOwnershipApp212" hidden="1">'Rental Income'!$L$24</definedName>
    <definedName name="RICOwnershipApp213" hidden="1">'Rental Income'!$L$25</definedName>
    <definedName name="RICOwnershipApp214" hidden="1">'Rental Income'!$L$26</definedName>
    <definedName name="RICOwnershipApp215" hidden="1">'Rental Income'!$L$27</definedName>
    <definedName name="RICOwnershipApp216" hidden="1">'Rental Income'!$L$28</definedName>
    <definedName name="RICOwnershipApp217" hidden="1">'Rental Income'!$L$29</definedName>
    <definedName name="RICOwnershipApp218" hidden="1">'Rental Income'!$L$30</definedName>
    <definedName name="RICOwnershipApp219" hidden="1">'Rental Income'!$L$31</definedName>
    <definedName name="RICOwnershipApp22" hidden="1">'Rental Income'!$L$14</definedName>
    <definedName name="RICOwnershipApp220" hidden="1">'Rental Income'!$L$32</definedName>
    <definedName name="RICOwnershipApp23" hidden="1">'Rental Income'!$L$15</definedName>
    <definedName name="RICOwnershipApp24" hidden="1">'Rental Income'!$L$16</definedName>
    <definedName name="RICOwnershipApp25" hidden="1">'Rental Income'!$L$17</definedName>
    <definedName name="RICOwnershipApp26" hidden="1">'Rental Income'!$L$18</definedName>
    <definedName name="RICOwnershipApp27" hidden="1">'Rental Income'!$L$19</definedName>
    <definedName name="RICOwnershipApp28" hidden="1">'Rental Income'!$L$20</definedName>
    <definedName name="RICOwnershipApp29" hidden="1">'Rental Income'!$L$21</definedName>
    <definedName name="RICOwnershipApp31" hidden="1">'Rental Income'!$N$13</definedName>
    <definedName name="RICOwnershipApp310" hidden="1">'Rental Income'!$N$22</definedName>
    <definedName name="RICOwnershipApp311" hidden="1">'Rental Income'!$N$23</definedName>
    <definedName name="RICOwnershipApp312" hidden="1">'Rental Income'!$N$24</definedName>
    <definedName name="RICOwnershipApp313" hidden="1">'Rental Income'!$N$25</definedName>
    <definedName name="RICOwnershipApp314" hidden="1">'Rental Income'!$N$26</definedName>
    <definedName name="RICOwnershipApp315" hidden="1">'Rental Income'!$N$27</definedName>
    <definedName name="RICOwnershipApp316" hidden="1">'Rental Income'!$N$28</definedName>
    <definedName name="RICOwnershipApp317" hidden="1">'Rental Income'!$N$29</definedName>
    <definedName name="RICOwnershipApp318" hidden="1">'Rental Income'!$N$30</definedName>
    <definedName name="RICOwnershipApp319" hidden="1">'Rental Income'!$N$31</definedName>
    <definedName name="RICOwnershipApp32" hidden="1">'Rental Income'!$N$14</definedName>
    <definedName name="RICOwnershipApp320" hidden="1">'Rental Income'!$N$32</definedName>
    <definedName name="RICOwnershipApp33" hidden="1">'Rental Income'!$N$15</definedName>
    <definedName name="RICOwnershipApp34" hidden="1">'Rental Income'!$N$16</definedName>
    <definedName name="RICOwnershipApp35" hidden="1">'Rental Income'!$N$17</definedName>
    <definedName name="RICOwnershipApp36" hidden="1">'Rental Income'!$N$18</definedName>
    <definedName name="RICOwnershipApp37" hidden="1">'Rental Income'!$N$19</definedName>
    <definedName name="RICOwnershipApp38" hidden="1">'Rental Income'!$N$20</definedName>
    <definedName name="RICOwnershipApp39" hidden="1">'Rental Income'!$N$21</definedName>
    <definedName name="RICOwnershipApp41" hidden="1">'Rental Income'!$P$13</definedName>
    <definedName name="RICOwnershipApp410" hidden="1">'Rental Income'!$P$22</definedName>
    <definedName name="RICOwnershipApp411" hidden="1">'Rental Income'!$P$23</definedName>
    <definedName name="RICOwnershipApp412" hidden="1">'Rental Income'!$P$24</definedName>
    <definedName name="RICOwnershipApp413" hidden="1">'Rental Income'!$P$25</definedName>
    <definedName name="RICOwnershipApp414" hidden="1">'Rental Income'!$P$26</definedName>
    <definedName name="RICOwnershipApp415" hidden="1">'Rental Income'!$P$27</definedName>
    <definedName name="RICOwnershipApp416" hidden="1">'Rental Income'!$P$28</definedName>
    <definedName name="RICOwnershipApp417" hidden="1">'Rental Income'!$P$29</definedName>
    <definedName name="RICOwnershipApp418" hidden="1">'Rental Income'!$P$30</definedName>
    <definedName name="RICOwnershipApp419" hidden="1">'Rental Income'!$P$31</definedName>
    <definedName name="RICOwnershipApp42" hidden="1">'Rental Income'!$P$14</definedName>
    <definedName name="RICOwnershipApp420" hidden="1">'Rental Income'!$P$32</definedName>
    <definedName name="RICOwnershipApp43" hidden="1">'Rental Income'!$P$15</definedName>
    <definedName name="RICOwnershipApp44" hidden="1">'Rental Income'!$P$16</definedName>
    <definedName name="RICOwnershipApp45" hidden="1">'Rental Income'!$P$17</definedName>
    <definedName name="RICOwnershipApp46" hidden="1">'Rental Income'!$P$18</definedName>
    <definedName name="RICOwnershipApp47" hidden="1">'Rental Income'!$P$19</definedName>
    <definedName name="RICOwnershipApp48" hidden="1">'Rental Income'!$P$20</definedName>
    <definedName name="RICOwnershipApp49" hidden="1">'Rental Income'!$P$21</definedName>
    <definedName name="RICOwnershipApp51" hidden="1">'Rental Income'!$R$13</definedName>
    <definedName name="RICOwnershipApp510" hidden="1">'Rental Income'!$R$22</definedName>
    <definedName name="RICOwnershipApp511" hidden="1">'Rental Income'!$R$23</definedName>
    <definedName name="RICOwnershipApp512" hidden="1">'Rental Income'!$R$24</definedName>
    <definedName name="RICOwnershipApp513" hidden="1">'Rental Income'!$R$25</definedName>
    <definedName name="RICOwnershipApp514" hidden="1">'Rental Income'!$R$26</definedName>
    <definedName name="RICOwnershipApp515" hidden="1">'Rental Income'!$R$27</definedName>
    <definedName name="RICOwnershipApp516" hidden="1">'Rental Income'!$R$28</definedName>
    <definedName name="RICOwnershipApp517" hidden="1">'Rental Income'!$R$29</definedName>
    <definedName name="RICOwnershipApp518" hidden="1">'Rental Income'!$R$30</definedName>
    <definedName name="RICOwnershipApp519" hidden="1">'Rental Income'!$R$31</definedName>
    <definedName name="RICOwnershipApp52" hidden="1">'Rental Income'!$R$14</definedName>
    <definedName name="RICOwnershipApp520" hidden="1">'Rental Income'!$R$32</definedName>
    <definedName name="RICOwnershipApp53" hidden="1">'Rental Income'!$R$15</definedName>
    <definedName name="RICOwnershipApp54" hidden="1">'Rental Income'!$R$16</definedName>
    <definedName name="RICOwnershipApp55" hidden="1">'Rental Income'!$R$17</definedName>
    <definedName name="RICOwnershipApp56" hidden="1">'Rental Income'!$R$18</definedName>
    <definedName name="RICOwnershipApp57" hidden="1">'Rental Income'!$R$19</definedName>
    <definedName name="RICOwnershipApp58" hidden="1">'Rental Income'!$R$20</definedName>
    <definedName name="RICOwnershipApp59" hidden="1">'Rental Income'!$R$21</definedName>
    <definedName name="RICOwnershipApp61" hidden="1">'Rental Income'!$T$13</definedName>
    <definedName name="RICOwnershipApp610" hidden="1">'Rental Income'!$T$22</definedName>
    <definedName name="RICOwnershipApp611" hidden="1">'Rental Income'!$T$23</definedName>
    <definedName name="RICOwnershipApp612" hidden="1">'Rental Income'!$T$24</definedName>
    <definedName name="RICOwnershipApp613" hidden="1">'Rental Income'!$T$25</definedName>
    <definedName name="RICOwnershipApp614" hidden="1">'Rental Income'!$T$26</definedName>
    <definedName name="RICOwnershipApp615" hidden="1">'Rental Income'!$T$27</definedName>
    <definedName name="RICOwnershipApp616" hidden="1">'Rental Income'!$T$28</definedName>
    <definedName name="RICOwnershipApp617" hidden="1">'Rental Income'!$T$29</definedName>
    <definedName name="RICOwnershipApp618" hidden="1">'Rental Income'!$T$30</definedName>
    <definedName name="RICOwnershipApp619" hidden="1">'Rental Income'!$T$31</definedName>
    <definedName name="RICOwnershipApp62" hidden="1">'Rental Income'!$T$14</definedName>
    <definedName name="RICOwnershipApp620" hidden="1">'Rental Income'!$T$32</definedName>
    <definedName name="RICOwnershipApp63" hidden="1">'Rental Income'!$T$15</definedName>
    <definedName name="RICOwnershipApp64" hidden="1">'Rental Income'!$T$16</definedName>
    <definedName name="RICOwnershipApp65" hidden="1">'Rental Income'!$T$17</definedName>
    <definedName name="RICOwnershipApp66" hidden="1">'Rental Income'!$T$18</definedName>
    <definedName name="RICOwnershipApp67" hidden="1">'Rental Income'!$T$19</definedName>
    <definedName name="RICOwnershipApp68" hidden="1">'Rental Income'!$T$20</definedName>
    <definedName name="RICOwnershipApp69" hidden="1">'Rental Income'!$T$21</definedName>
    <definedName name="RICOwnershipAppSpouse11" hidden="1">'Rental Income'!$K$13</definedName>
    <definedName name="RICOwnershipAppSpouse110" hidden="1">'Rental Income'!$K$22</definedName>
    <definedName name="RICOwnershipAppSpouse111" hidden="1">'Rental Income'!$K$23</definedName>
    <definedName name="RICOwnershipAppSpouse112" hidden="1">'Rental Income'!$K$24</definedName>
    <definedName name="RICOwnershipAppSpouse113" hidden="1">'Rental Income'!$K$25</definedName>
    <definedName name="RICOwnershipAppSpouse114" hidden="1">'Rental Income'!$K$26</definedName>
    <definedName name="RICOwnershipAppSpouse115" hidden="1">'Rental Income'!$K$27</definedName>
    <definedName name="RICOwnershipAppSpouse116" hidden="1">'Rental Income'!$K$28</definedName>
    <definedName name="RICOwnershipAppSpouse117" hidden="1">'Rental Income'!$K$29</definedName>
    <definedName name="RICOwnershipAppSpouse118" hidden="1">'Rental Income'!$K$30</definedName>
    <definedName name="RICOwnershipAppSpouse119" hidden="1">'Rental Income'!$K$31</definedName>
    <definedName name="RICOwnershipAppSpouse12" hidden="1">'Rental Income'!$K$14</definedName>
    <definedName name="RICOwnershipAppSpouse120" hidden="1">'Rental Income'!$K$32</definedName>
    <definedName name="RICOwnershipAppSpouse13" hidden="1">'Rental Income'!$K$15</definedName>
    <definedName name="RICOwnershipAppSpouse14" hidden="1">'Rental Income'!$K$16</definedName>
    <definedName name="RICOwnershipAppSpouse15" hidden="1">'Rental Income'!$K$17</definedName>
    <definedName name="RICOwnershipAppSpouse16" hidden="1">'Rental Income'!$K$18</definedName>
    <definedName name="RICOwnershipAppSpouse17" hidden="1">'Rental Income'!$K$19</definedName>
    <definedName name="RICOwnershipAppSpouse18" hidden="1">'Rental Income'!$K$20</definedName>
    <definedName name="RICOwnershipAppSpouse19" hidden="1">'Rental Income'!$K$21</definedName>
    <definedName name="RICOwnershipAppSpouse21" hidden="1">'Rental Income'!$M$13</definedName>
    <definedName name="RICOwnershipAppSpouse210" hidden="1">'Rental Income'!$M$22</definedName>
    <definedName name="RICOwnershipAppSpouse211" hidden="1">'Rental Income'!$M$23</definedName>
    <definedName name="RICOwnershipAppSpouse212" hidden="1">'Rental Income'!$M$24</definedName>
    <definedName name="RICOwnershipAppSpouse213" hidden="1">'Rental Income'!$M$25</definedName>
    <definedName name="RICOwnershipAppSpouse214" hidden="1">'Rental Income'!$M$26</definedName>
    <definedName name="RICOwnershipAppSpouse215" hidden="1">'Rental Income'!$M$27</definedName>
    <definedName name="RICOwnershipAppSpouse216" hidden="1">'Rental Income'!$M$28</definedName>
    <definedName name="RICOwnershipAppSpouse217" hidden="1">'Rental Income'!$M$29</definedName>
    <definedName name="RICOwnershipAppSpouse218" hidden="1">'Rental Income'!$M$30</definedName>
    <definedName name="RICOwnershipAppSpouse219" hidden="1">'Rental Income'!$M$31</definedName>
    <definedName name="RICOwnershipAppSpouse22" hidden="1">'Rental Income'!$M$14</definedName>
    <definedName name="RICOwnershipAppSpouse220" hidden="1">'Rental Income'!$M$32</definedName>
    <definedName name="RICOwnershipAppSpouse23" hidden="1">'Rental Income'!$M$15</definedName>
    <definedName name="RICOwnershipAppSpouse24" hidden="1">'Rental Income'!$M$16</definedName>
    <definedName name="RICOwnershipAppSpouse25" hidden="1">'Rental Income'!$M$17</definedName>
    <definedName name="RICOwnershipAppSpouse26" hidden="1">'Rental Income'!$M$18</definedName>
    <definedName name="RICOwnershipAppSpouse27" hidden="1">'Rental Income'!$M$19</definedName>
    <definedName name="RICOwnershipAppSpouse28" hidden="1">'Rental Income'!$M$20</definedName>
    <definedName name="RICOwnershipAppSpouse29" hidden="1">'Rental Income'!$M$21</definedName>
    <definedName name="RICOwnershipAppSpouse31" hidden="1">'Rental Income'!$O$13</definedName>
    <definedName name="RICOwnershipAppSpouse310" hidden="1">'Rental Income'!$O$22</definedName>
    <definedName name="RICOwnershipAppSpouse311" hidden="1">'Rental Income'!$O$23</definedName>
    <definedName name="RICOwnershipAppSpouse312" hidden="1">'Rental Income'!$O$24</definedName>
    <definedName name="RICOwnershipAppSpouse313" hidden="1">'Rental Income'!$O$25</definedName>
    <definedName name="RICOwnershipAppSpouse314" hidden="1">'Rental Income'!$O$26</definedName>
    <definedName name="RICOwnershipAppSpouse315" hidden="1">'Rental Income'!$O$27</definedName>
    <definedName name="RICOwnershipAppSpouse316" hidden="1">'Rental Income'!$O$28</definedName>
    <definedName name="RICOwnershipAppSpouse317" hidden="1">'Rental Income'!$O$29</definedName>
    <definedName name="RICOwnershipAppSpouse318" hidden="1">'Rental Income'!$O$30</definedName>
    <definedName name="RICOwnershipAppSpouse319" hidden="1">'Rental Income'!$O$31</definedName>
    <definedName name="RICOwnershipAppSpouse32" hidden="1">'Rental Income'!$O$14</definedName>
    <definedName name="RICOwnershipAppSpouse320" hidden="1">'Rental Income'!$O$32</definedName>
    <definedName name="RICOwnershipAppSpouse33" hidden="1">'Rental Income'!$O$15</definedName>
    <definedName name="RICOwnershipAppSpouse34" hidden="1">'Rental Income'!$O$16</definedName>
    <definedName name="RICOwnershipAppSpouse35" hidden="1">'Rental Income'!$O$17</definedName>
    <definedName name="RICOwnershipAppSpouse36" hidden="1">'Rental Income'!$O$18</definedName>
    <definedName name="RICOwnershipAppSpouse37" hidden="1">'Rental Income'!$O$19</definedName>
    <definedName name="RICOwnershipAppSpouse38" hidden="1">'Rental Income'!$O$20</definedName>
    <definedName name="RICOwnershipAppSpouse39" hidden="1">'Rental Income'!$O$21</definedName>
    <definedName name="RICOwnershipAppSpouse41" hidden="1">'Rental Income'!$Q$13</definedName>
    <definedName name="RICOwnershipAppSpouse410" hidden="1">'Rental Income'!$Q$22</definedName>
    <definedName name="RICOwnershipAppSpouse411" hidden="1">'Rental Income'!$Q$23</definedName>
    <definedName name="RICOwnershipAppSpouse412" hidden="1">'Rental Income'!$Q$24</definedName>
    <definedName name="RICOwnershipAppSpouse413" hidden="1">'Rental Income'!$Q$25</definedName>
    <definedName name="RICOwnershipAppSpouse414" hidden="1">'Rental Income'!$Q$26</definedName>
    <definedName name="RICOwnershipAppSpouse415" hidden="1">'Rental Income'!$Q$27</definedName>
    <definedName name="RICOwnershipAppSpouse416" hidden="1">'Rental Income'!$Q$28</definedName>
    <definedName name="RICOwnershipAppSpouse417" hidden="1">'Rental Income'!$Q$29</definedName>
    <definedName name="RICOwnershipAppSpouse418" hidden="1">'Rental Income'!$Q$30</definedName>
    <definedName name="RICOwnershipAppSpouse419" hidden="1">'Rental Income'!$Q$31</definedName>
    <definedName name="RICOwnershipAppSpouse42" hidden="1">'Rental Income'!$Q$14</definedName>
    <definedName name="RICOwnershipAppSpouse420" hidden="1">'Rental Income'!$Q$32</definedName>
    <definedName name="RICOwnershipAppSpouse43" hidden="1">'Rental Income'!$Q$15</definedName>
    <definedName name="RICOwnershipAppSpouse44" hidden="1">'Rental Income'!$Q$16</definedName>
    <definedName name="RICOwnershipAppSpouse45" hidden="1">'Rental Income'!$Q$17</definedName>
    <definedName name="RICOwnershipAppSpouse46" hidden="1">'Rental Income'!$Q$18</definedName>
    <definedName name="RICOwnershipAppSpouse47" hidden="1">'Rental Income'!$Q$19</definedName>
    <definedName name="RICOwnershipAppSpouse48" hidden="1">'Rental Income'!$Q$20</definedName>
    <definedName name="RICOwnershipAppSpouse49" hidden="1">'Rental Income'!$Q$21</definedName>
    <definedName name="RICOwnershipAppSpouse51" hidden="1">'Rental Income'!$S$13</definedName>
    <definedName name="RICOwnershipAppSpouse510" hidden="1">'Rental Income'!$S$22</definedName>
    <definedName name="RICOwnershipAppSpouse511" hidden="1">'Rental Income'!$S$23</definedName>
    <definedName name="RICOwnershipAppSpouse512" hidden="1">'Rental Income'!$S$24</definedName>
    <definedName name="RICOwnershipAppSpouse513" hidden="1">'Rental Income'!$S$25</definedName>
    <definedName name="RICOwnershipAppSpouse514" hidden="1">'Rental Income'!$S$26</definedName>
    <definedName name="RICOwnershipAppSpouse515" hidden="1">'Rental Income'!$S$27</definedName>
    <definedName name="RICOwnershipAppSpouse516" hidden="1">'Rental Income'!$S$28</definedName>
    <definedName name="RICOwnershipAppSpouse517" hidden="1">'Rental Income'!$S$29</definedName>
    <definedName name="RICOwnershipAppSpouse518" hidden="1">'Rental Income'!$S$30</definedName>
    <definedName name="RICOwnershipAppSpouse519" hidden="1">'Rental Income'!$S$31</definedName>
    <definedName name="RICOwnershipAppSpouse52" hidden="1">'Rental Income'!$S$14</definedName>
    <definedName name="RICOwnershipAppSpouse520" hidden="1">'Rental Income'!$S$32</definedName>
    <definedName name="RICOwnershipAppSpouse53" hidden="1">'Rental Income'!$S$15</definedName>
    <definedName name="RICOwnershipAppSpouse54" hidden="1">'Rental Income'!$S$16</definedName>
    <definedName name="RICOwnershipAppSpouse55" hidden="1">'Rental Income'!$S$17</definedName>
    <definedName name="RICOwnershipAppSpouse56" hidden="1">'Rental Income'!$S$18</definedName>
    <definedName name="RICOwnershipAppSpouse57" hidden="1">'Rental Income'!$S$19</definedName>
    <definedName name="RICOwnershipAppSpouse58" hidden="1">'Rental Income'!$S$20</definedName>
    <definedName name="RICOwnershipAppSpouse59" hidden="1">'Rental Income'!$S$21</definedName>
    <definedName name="RICOwnershipAppSpouse61" hidden="1">'Rental Income'!$U$13</definedName>
    <definedName name="RICOwnershipAppSpouse610" hidden="1">'Rental Income'!$U$22</definedName>
    <definedName name="RICOwnershipAppSpouse611" hidden="1">'Rental Income'!$U$23</definedName>
    <definedName name="RICOwnershipAppSpouse612" hidden="1">'Rental Income'!$U$24</definedName>
    <definedName name="RICOwnershipAppSpouse613" hidden="1">'Rental Income'!$U$25</definedName>
    <definedName name="RICOwnershipAppSpouse614" hidden="1">'Rental Income'!$U$26</definedName>
    <definedName name="RICOwnershipAppSpouse615" hidden="1">'Rental Income'!$U$27</definedName>
    <definedName name="RICOwnershipAppSpouse616" hidden="1">'Rental Income'!$U$28</definedName>
    <definedName name="RICOwnershipAppSpouse617" hidden="1">'Rental Income'!$U$29</definedName>
    <definedName name="RICOwnershipAppSpouse618" hidden="1">'Rental Income'!$U$30</definedName>
    <definedName name="RICOwnershipAppSpouse619" hidden="1">'Rental Income'!$U$31</definedName>
    <definedName name="RICOwnershipAppSpouse62" hidden="1">'Rental Income'!$U$14</definedName>
    <definedName name="RICOwnershipAppSpouse620" hidden="1">'Rental Income'!$U$32</definedName>
    <definedName name="RICOwnershipAppSpouse63" hidden="1">'Rental Income'!$U$15</definedName>
    <definedName name="RICOwnershipAppSpouse64" hidden="1">'Rental Income'!$U$16</definedName>
    <definedName name="RICOwnershipAppSpouse65" hidden="1">'Rental Income'!$U$17</definedName>
    <definedName name="RICOwnershipAppSpouse66" hidden="1">'Rental Income'!$U$18</definedName>
    <definedName name="RICOwnershipAppSpouse67" hidden="1">'Rental Income'!$U$19</definedName>
    <definedName name="RICOwnershipAppSpouse68" hidden="1">'Rental Income'!$U$20</definedName>
    <definedName name="RICOwnershipAppSpouse69" hidden="1">'Rental Income'!$U$21</definedName>
    <definedName name="RICProperty1" hidden="1">'Rental Income'!$C$13:$C$13</definedName>
    <definedName name="RICPropertyCount" hidden="1">'Rental Income'!$A$34</definedName>
    <definedName name="RICPropertyDetails1" hidden="1">'Rental Income'!$C$13</definedName>
    <definedName name="RICPropertyDetails10" hidden="1">'Rental Income'!$C$22</definedName>
    <definedName name="RICPropertyDetails11" hidden="1">'Rental Income'!$C$23</definedName>
    <definedName name="RICPropertyDetails12" hidden="1">'Rental Income'!$C$24</definedName>
    <definedName name="RICPropertyDetails13" hidden="1">'Rental Income'!$C$25</definedName>
    <definedName name="RICPropertyDetails14" hidden="1">'Rental Income'!$C$26</definedName>
    <definedName name="RICPropertyDetails15" hidden="1">'Rental Income'!$C$27</definedName>
    <definedName name="RICPropertyDetails16" hidden="1">'Rental Income'!$C$28</definedName>
    <definedName name="RICPropertyDetails17" hidden="1">'Rental Income'!$C$29</definedName>
    <definedName name="RICPropertyDetails18" hidden="1">'Rental Income'!$C$30</definedName>
    <definedName name="RICPropertyDetails19" hidden="1">'Rental Income'!$C$31</definedName>
    <definedName name="RICPropertyDetails2" hidden="1">'Rental Income'!$C$14</definedName>
    <definedName name="RICPropertyDetails20" hidden="1">'Rental Income'!$C$32</definedName>
    <definedName name="RICPropertyDetails3" hidden="1">'Rental Income'!$C$15</definedName>
    <definedName name="RICPropertyDetails4" hidden="1">'Rental Income'!$C$16</definedName>
    <definedName name="RICPropertyDetails5" hidden="1">'Rental Income'!$C$17</definedName>
    <definedName name="RICPropertyDetails6" hidden="1">'Rental Income'!$C$18</definedName>
    <definedName name="RICPropertyDetails7" hidden="1">'Rental Income'!$C$19</definedName>
    <definedName name="RICPropertyDetails8" hidden="1">'Rental Income'!$C$20</definedName>
    <definedName name="RICPropertyDetails9" hidden="1">'Rental Income'!$C$21</definedName>
    <definedName name="RICPropertyExpenses1" hidden="1">'Rental Income'!$X$13</definedName>
    <definedName name="RICPropertyExpenses10" hidden="1">'Rental Income'!$X$22</definedName>
    <definedName name="RICPropertyExpenses11" hidden="1">'Rental Income'!$X$23</definedName>
    <definedName name="RICPropertyExpenses12" hidden="1">'Rental Income'!$X$24</definedName>
    <definedName name="RICPropertyExpenses13" hidden="1">'Rental Income'!$X$25</definedName>
    <definedName name="RICPropertyExpenses14" hidden="1">'Rental Income'!$X$26</definedName>
    <definedName name="RICPropertyExpenses15" hidden="1">'Rental Income'!$X$27</definedName>
    <definedName name="RICPropertyExpenses16" hidden="1">'Rental Income'!$X$28</definedName>
    <definedName name="RICPropertyExpenses17" hidden="1">'Rental Income'!$X$29</definedName>
    <definedName name="RICPropertyExpenses18" hidden="1">'Rental Income'!$X$30</definedName>
    <definedName name="RICPropertyExpenses19" hidden="1">'Rental Income'!$X$31</definedName>
    <definedName name="RICPropertyExpenses2" hidden="1">'Rental Income'!$X$14</definedName>
    <definedName name="RICPropertyExpenses20" hidden="1">'Rental Income'!$X$32</definedName>
    <definedName name="RICPropertyExpenses3" hidden="1">'Rental Income'!$X$15</definedName>
    <definedName name="RICPropertyExpenses4" hidden="1">'Rental Income'!$X$16</definedName>
    <definedName name="RICPropertyExpenses5" hidden="1">'Rental Income'!$X$17</definedName>
    <definedName name="RICPropertyExpenses6" hidden="1">'Rental Income'!$X$18</definedName>
    <definedName name="RICPropertyExpenses7" hidden="1">'Rental Income'!$X$19</definedName>
    <definedName name="RICPropertyExpenses8" hidden="1">'Rental Income'!$X$20</definedName>
    <definedName name="RICPropertyExpenses9" hidden="1">'Rental Income'!$X$21</definedName>
    <definedName name="RICPropertyFrequency1" hidden="1">'Rental Income'!$V$13</definedName>
    <definedName name="RICPropertyFrequency10" hidden="1">'Rental Income'!$V$22</definedName>
    <definedName name="RICPropertyFrequency11" hidden="1">'Rental Income'!$V$23</definedName>
    <definedName name="RICPropertyFrequency12" hidden="1">'Rental Income'!$V$24</definedName>
    <definedName name="RICPropertyFrequency13" hidden="1">'Rental Income'!$V$25</definedName>
    <definedName name="RICPropertyFrequency14" hidden="1">'Rental Income'!$V$26</definedName>
    <definedName name="RICPropertyFrequency15" hidden="1">'Rental Income'!$V$27</definedName>
    <definedName name="RICPropertyFrequency16" hidden="1">'Rental Income'!$V$28</definedName>
    <definedName name="RICPropertyFrequency17" hidden="1">'Rental Income'!$V$29</definedName>
    <definedName name="RICPropertyFrequency18" hidden="1">'Rental Income'!$V$30</definedName>
    <definedName name="RICPropertyFrequency19" hidden="1">'Rental Income'!$V$31</definedName>
    <definedName name="RICPropertyFrequency2" hidden="1">'Rental Income'!$V$14</definedName>
    <definedName name="RICPropertyFrequency20" hidden="1">'Rental Income'!$V$32</definedName>
    <definedName name="RICPropertyFrequency3" hidden="1">'Rental Income'!$V$15</definedName>
    <definedName name="RICPropertyFrequency4" hidden="1">'Rental Income'!$V$16</definedName>
    <definedName name="RICPropertyFrequency5" hidden="1">'Rental Income'!$V$17</definedName>
    <definedName name="RICPropertyFrequency6" hidden="1">'Rental Income'!$V$18</definedName>
    <definedName name="RICPropertyFrequency7" hidden="1">'Rental Income'!$V$19</definedName>
    <definedName name="RICPropertyFrequency8" hidden="1">'Rental Income'!$V$20</definedName>
    <definedName name="RICPropertyFrequency9" hidden="1">'Rental Income'!$V$21</definedName>
    <definedName name="RICPropertyPostcode1" hidden="1">'Rental Income'!$F$13</definedName>
    <definedName name="RICPropertyPostcode10" hidden="1">'Rental Income'!$F$22</definedName>
    <definedName name="RICPropertyPostcode11" hidden="1">'Rental Income'!$F$23</definedName>
    <definedName name="RICPropertyPostcode12" hidden="1">'Rental Income'!$F$24</definedName>
    <definedName name="RICPropertyPostcode13" hidden="1">'Rental Income'!$F$25</definedName>
    <definedName name="RICPropertyPostcode14" hidden="1">'Rental Income'!$F$26</definedName>
    <definedName name="RICPropertyPostcode15" hidden="1">'Rental Income'!$F$27</definedName>
    <definedName name="RICPropertyPostcode16" hidden="1">'Rental Income'!$F$28</definedName>
    <definedName name="RICPropertyPostcode17" hidden="1">'Rental Income'!$F$29</definedName>
    <definedName name="RICPropertyPostcode18" hidden="1">'Rental Income'!$F$30</definedName>
    <definedName name="RICPropertyPostcode19" hidden="1">'Rental Income'!$F$31</definedName>
    <definedName name="RICPropertyPostcode2" hidden="1">'Rental Income'!$F$14</definedName>
    <definedName name="RICPropertyPostcode20" hidden="1">'Rental Income'!$F$32</definedName>
    <definedName name="RICPropertyPostcode3" hidden="1">'Rental Income'!$F$15</definedName>
    <definedName name="RICPropertyPostcode4" hidden="1">'Rental Income'!$F$16</definedName>
    <definedName name="RICPropertyPostcode5" hidden="1">'Rental Income'!$F$17</definedName>
    <definedName name="RICPropertyPostcode6" hidden="1">'Rental Income'!$F$18</definedName>
    <definedName name="RICPropertyPostcode7" hidden="1">'Rental Income'!$F$19</definedName>
    <definedName name="RICPropertyPostcode8" hidden="1">'Rental Income'!$F$20</definedName>
    <definedName name="RICPropertyPostcode9" hidden="1">'Rental Income'!$F$21</definedName>
    <definedName name="RICPropertyRent1" hidden="1">'Rental Income'!$W$13</definedName>
    <definedName name="RICPropertyRent10" hidden="1">'Rental Income'!$W$22</definedName>
    <definedName name="RICPropertyRent11" hidden="1">'Rental Income'!$W$23</definedName>
    <definedName name="RICPropertyRent12" hidden="1">'Rental Income'!$W$24</definedName>
    <definedName name="RICPropertyRent13" hidden="1">'Rental Income'!$W$25</definedName>
    <definedName name="RICPropertyRent14" hidden="1">'Rental Income'!$W$26</definedName>
    <definedName name="RICPropertyRent15" hidden="1">'Rental Income'!$W$27</definedName>
    <definedName name="RICPropertyRent16" hidden="1">'Rental Income'!$W$28</definedName>
    <definedName name="RICPropertyRent17" hidden="1">'Rental Income'!$W$29</definedName>
    <definedName name="RICPropertyRent18" hidden="1">'Rental Income'!$W$30</definedName>
    <definedName name="RICPropertyRent19" hidden="1">'Rental Income'!$W$31</definedName>
    <definedName name="RICPropertyRent2" hidden="1">'Rental Income'!$W$14</definedName>
    <definedName name="RICPropertyRent20" hidden="1">'Rental Income'!$W$32</definedName>
    <definedName name="RICPropertyRent3" hidden="1">'Rental Income'!$W$15</definedName>
    <definedName name="RICPropertyRent4" hidden="1">'Rental Income'!$W$16</definedName>
    <definedName name="RICPropertyRent5" hidden="1">'Rental Income'!$W$17</definedName>
    <definedName name="RICPropertyRent6" hidden="1">'Rental Income'!$W$18</definedName>
    <definedName name="RICPropertyRent7" hidden="1">'Rental Income'!$W$19</definedName>
    <definedName name="RICPropertyRent8" hidden="1">'Rental Income'!$W$20</definedName>
    <definedName name="RICPropertyRent9" hidden="1">'Rental Income'!$W$21</definedName>
    <definedName name="RICPropertyRentalType1" hidden="1">'Rental Income'!$I$13</definedName>
    <definedName name="RICPropertyRentalType10" hidden="1">'Rental Income'!$I$22</definedName>
    <definedName name="RICPropertyRentalType11" hidden="1">'Rental Income'!$I$23</definedName>
    <definedName name="RICPropertyRentalType12" hidden="1">'Rental Income'!$I$24</definedName>
    <definedName name="RICPropertyRentalType13" hidden="1">'Rental Income'!$I$25</definedName>
    <definedName name="RICPropertyRentalType14" hidden="1">'Rental Income'!$I$26</definedName>
    <definedName name="RICPropertyRentalType15" hidden="1">'Rental Income'!$I$27</definedName>
    <definedName name="RICPropertyRentalType16" hidden="1">'Rental Income'!$I$28</definedName>
    <definedName name="RICPropertyRentalType17" hidden="1">'Rental Income'!$I$29</definedName>
    <definedName name="RICPropertyRentalType18" hidden="1">'Rental Income'!$I$30</definedName>
    <definedName name="RICPropertyRentalType19" hidden="1">'Rental Income'!$I$31</definedName>
    <definedName name="RICPropertyRentalType2" hidden="1">'Rental Income'!$I$14</definedName>
    <definedName name="RICPropertyRentalType20" hidden="1">'Rental Income'!$I$32</definedName>
    <definedName name="RICPropertyRentalType3" hidden="1">'Rental Income'!$I$15</definedName>
    <definedName name="RICPropertyRentalType4" hidden="1">'Rental Income'!$I$16</definedName>
    <definedName name="RICPropertyRentalType5" hidden="1">'Rental Income'!$I$17</definedName>
    <definedName name="RICPropertyRentalType6" hidden="1">'Rental Income'!$I$18</definedName>
    <definedName name="RICPropertyRentalType7" hidden="1">'Rental Income'!$I$19</definedName>
    <definedName name="RICPropertyRentalType8" hidden="1">'Rental Income'!$I$20</definedName>
    <definedName name="RICPropertyRentalType9" hidden="1">'Rental Income'!$I$21</definedName>
    <definedName name="RICPropertyRural1" hidden="1">'Rental Income'!$H$13</definedName>
    <definedName name="RICPropertyRural10" hidden="1">'Rental Income'!$H$22</definedName>
    <definedName name="RICPropertyRural11" hidden="1">'Rental Income'!$H$23</definedName>
    <definedName name="RICPropertyRural12" hidden="1">'Rental Income'!$H$24</definedName>
    <definedName name="RICPropertyRural13" hidden="1">'Rental Income'!$H$25</definedName>
    <definedName name="RICPropertyRural14" hidden="1">'Rental Income'!$H$26</definedName>
    <definedName name="RICPropertyRural15" hidden="1">'Rental Income'!$H$27</definedName>
    <definedName name="RICPropertyRural16" hidden="1">'Rental Income'!$H$28</definedName>
    <definedName name="RICPropertyRural17" hidden="1">'Rental Income'!$H$29</definedName>
    <definedName name="RICPropertyRural18" hidden="1">'Rental Income'!$H$30</definedName>
    <definedName name="RICPropertyRural19" hidden="1">'Rental Income'!$H$31</definedName>
    <definedName name="RICPropertyRural2" hidden="1">'Rental Income'!$H$14</definedName>
    <definedName name="RICPropertyRural20" hidden="1">'Rental Income'!$H$32</definedName>
    <definedName name="RICPropertyRural3" hidden="1">'Rental Income'!$H$15</definedName>
    <definedName name="RICPropertyRural4" hidden="1">'Rental Income'!$H$16</definedName>
    <definedName name="RICPropertyRural5" hidden="1">'Rental Income'!$H$17</definedName>
    <definedName name="RICPropertyRural6" hidden="1">'Rental Income'!$H$18</definedName>
    <definedName name="RICPropertyRural7" hidden="1">'Rental Income'!$H$19</definedName>
    <definedName name="RICPropertyRural8" hidden="1">'Rental Income'!$H$20</definedName>
    <definedName name="RICPropertyRural9" hidden="1">'Rental Income'!$H$21</definedName>
    <definedName name="RICPropertyState1" hidden="1">'Rental Income'!$E$13</definedName>
    <definedName name="RICPropertyState10" hidden="1">'Rental Income'!$E$22</definedName>
    <definedName name="RICPropertyState11" hidden="1">'Rental Income'!$E$23</definedName>
    <definedName name="RICPropertyState12" hidden="1">'Rental Income'!$E$24</definedName>
    <definedName name="RICPropertyState13" hidden="1">'Rental Income'!$E$25</definedName>
    <definedName name="RICPropertyState14" hidden="1">'Rental Income'!$E$26</definedName>
    <definedName name="RICPropertyState15" hidden="1">'Rental Income'!$E$27</definedName>
    <definedName name="RICPropertyState16" hidden="1">'Rental Income'!$E$28</definedName>
    <definedName name="RICPropertyState17" hidden="1">'Rental Income'!$E$29</definedName>
    <definedName name="RICPropertyState18" hidden="1">'Rental Income'!$E$30</definedName>
    <definedName name="RICPropertyState19" hidden="1">'Rental Income'!$E$31</definedName>
    <definedName name="RICPropertyState2" hidden="1">'Rental Income'!$E$14</definedName>
    <definedName name="RICPropertyState20" hidden="1">'Rental Income'!$E$32</definedName>
    <definedName name="RICPropertyState3" hidden="1">'Rental Income'!$E$15</definedName>
    <definedName name="RICPropertyState4" hidden="1">'Rental Income'!$E$16</definedName>
    <definedName name="RICPropertyState5" hidden="1">'Rental Income'!$E$17</definedName>
    <definedName name="RICPropertyState6" hidden="1">'Rental Income'!$E$18</definedName>
    <definedName name="RICPropertyState7" hidden="1">'Rental Income'!$E$19</definedName>
    <definedName name="RICPropertyState8" hidden="1">'Rental Income'!$E$20</definedName>
    <definedName name="RICPropertyState9" hidden="1">'Rental Income'!$E$21</definedName>
    <definedName name="RICPropertyType1" hidden="1">'Rental Income'!$G$13</definedName>
    <definedName name="RICPropertyType10" hidden="1">'Rental Income'!$G$22</definedName>
    <definedName name="RICPropertyType11" hidden="1">'Rental Income'!$G$23</definedName>
    <definedName name="RICPropertyType12" hidden="1">'Rental Income'!$G$24</definedName>
    <definedName name="RICPropertyType13" hidden="1">'Rental Income'!$G$25</definedName>
    <definedName name="RICPropertyType14" hidden="1">'Rental Income'!$G$26</definedName>
    <definedName name="RICPropertyType15" hidden="1">'Rental Income'!$G$27</definedName>
    <definedName name="RICPropertyType16" hidden="1">'Rental Income'!$G$28</definedName>
    <definedName name="RICPropertyType17" hidden="1">'Rental Income'!$G$29</definedName>
    <definedName name="RICPropertyType18" hidden="1">'Rental Income'!$G$30</definedName>
    <definedName name="RICPropertyType19" hidden="1">'Rental Income'!$G$31</definedName>
    <definedName name="RICPropertyType2" hidden="1">'Rental Income'!$G$14</definedName>
    <definedName name="RICPropertyType20" hidden="1">'Rental Income'!$G$32</definedName>
    <definedName name="RICPropertyType3" hidden="1">'Rental Income'!$G$15</definedName>
    <definedName name="RICPropertyType4" hidden="1">'Rental Income'!$G$16</definedName>
    <definedName name="RICPropertyType5" hidden="1">'Rental Income'!$G$17</definedName>
    <definedName name="RICPropertyType6" hidden="1">'Rental Income'!$G$18</definedName>
    <definedName name="RICPropertyType7" hidden="1">'Rental Income'!$G$19</definedName>
    <definedName name="RICPropertyType8" hidden="1">'Rental Income'!$G$20</definedName>
    <definedName name="RICPropertyType9" hidden="1">'Rental Income'!$G$21</definedName>
    <definedName name="RICPropertyTypeAll" hidden="1">'Rental Income'!$G$13:$G$32</definedName>
    <definedName name="RICPropertyValue1" hidden="1">'Rental Income'!$D$13</definedName>
    <definedName name="RICPropertyValue10" hidden="1">'Rental Income'!$D$22</definedName>
    <definedName name="RICPropertyValue11" hidden="1">'Rental Income'!$D$23</definedName>
    <definedName name="RICPropertyValue12" hidden="1">'Rental Income'!$D$24</definedName>
    <definedName name="RICPropertyValue13" hidden="1">'Rental Income'!$D$25</definedName>
    <definedName name="RICPropertyValue14" hidden="1">'Rental Income'!$D$26</definedName>
    <definedName name="RICPropertyValue15" hidden="1">'Rental Income'!$D$27</definedName>
    <definedName name="RICPropertyValue16" hidden="1">'Rental Income'!$D$28</definedName>
    <definedName name="RICPropertyValue17" hidden="1">'Rental Income'!$D$29</definedName>
    <definedName name="RICPropertyValue18" hidden="1">'Rental Income'!$D$30</definedName>
    <definedName name="RICPropertyValue19" hidden="1">'Rental Income'!$D$31</definedName>
    <definedName name="RICPropertyValue2" hidden="1">'Rental Income'!$D$14</definedName>
    <definedName name="RICPropertyValue20" hidden="1">'Rental Income'!$D$32</definedName>
    <definedName name="RICPropertyValue3" hidden="1">'Rental Income'!$D$15</definedName>
    <definedName name="RICPropertyValue4" hidden="1">'Rental Income'!$D$16</definedName>
    <definedName name="RICPropertyValue5" hidden="1">'Rental Income'!$D$17</definedName>
    <definedName name="RICPropertyValue6" hidden="1">'Rental Income'!$D$18</definedName>
    <definedName name="RICPropertyValue7" hidden="1">'Rental Income'!$D$19</definedName>
    <definedName name="RICPropertyValue8" hidden="1">'Rental Income'!$D$20</definedName>
    <definedName name="RICPropertyValue9" hidden="1">'Rental Income'!$D$21</definedName>
    <definedName name="RICRentalAgreementTypeAll" hidden="1">'Rental Income'!$I$13:$I$32</definedName>
    <definedName name="RICRuralPropertyAll" hidden="1">'Rental Income'!$H$13:$H$32</definedName>
    <definedName name="RITDAccount1" hidden="1">RITD!$H$12</definedName>
    <definedName name="RITDAccount10" hidden="1">RITD!$H$21</definedName>
    <definedName name="RITDAccount11" hidden="1">RITD!$H$22</definedName>
    <definedName name="RITDAccount12" hidden="1">RITD!$H$23</definedName>
    <definedName name="RITDAccount13" hidden="1">RITD!$H$24</definedName>
    <definedName name="RITDAccount14" hidden="1">RITD!$H$25</definedName>
    <definedName name="RITDAccount15" hidden="1">RITD!$H$26</definedName>
    <definedName name="RITDAccount16" hidden="1">RITD!$H$27</definedName>
    <definedName name="RITDAccount17" hidden="1">RITD!$H$28</definedName>
    <definedName name="RITDAccount18" hidden="1">RITD!$H$29</definedName>
    <definedName name="RITDAccount19" hidden="1">RITD!$H$30</definedName>
    <definedName name="RITDAccount2" hidden="1">RITD!$H$13</definedName>
    <definedName name="RITDAccount20" hidden="1">RITD!$H$31</definedName>
    <definedName name="RITDAccount3" hidden="1">RITD!$H$14</definedName>
    <definedName name="RITDAccount4" hidden="1">RITD!$H$15</definedName>
    <definedName name="RITDAccount5" hidden="1">RITD!$H$16</definedName>
    <definedName name="RITDAccount6" hidden="1">RITD!$H$17</definedName>
    <definedName name="RITDAccount7" hidden="1">RITD!$H$18</definedName>
    <definedName name="RITDAccount8" hidden="1">RITD!$H$19</definedName>
    <definedName name="RITDAccount9" hidden="1">RITD!$H$20</definedName>
    <definedName name="RITDAdditionalLoansSection" hidden="1">RITD!$B$13:$K$31</definedName>
    <definedName name="RITDApp1DeductionTotal" hidden="1">RITD!$Q$33</definedName>
    <definedName name="RITDApp1OwnershipSection" hidden="1">RITD!$B$12:$B$31</definedName>
    <definedName name="RITDApp2DeductionTotal" hidden="1">RITD!$R$33</definedName>
    <definedName name="RITDApp2OwnershipSection" hidden="1">RITD!$C$12:$C$31</definedName>
    <definedName name="RITDApp3DeductionTotal" hidden="1">RITD!$S$33</definedName>
    <definedName name="RITDApp3OwnershipSection" hidden="1">RITD!$D$12:$D$31</definedName>
    <definedName name="RITDApp4DeductionTotal" hidden="1">RITD!$T$33</definedName>
    <definedName name="RITDApp4OwnershipSection" hidden="1">RITD!$E$12:$E$31</definedName>
    <definedName name="RITDApp5DeductionTotal" hidden="1">RITD!$U$33</definedName>
    <definedName name="RITDApp5OwnershipSection" hidden="1">RITD!$F$12:$F$31</definedName>
    <definedName name="RITDApp6DeductionTotal" hidden="1">RITD!$V$33</definedName>
    <definedName name="RITDApp6OwnershipSection" hidden="1">RITD!$G$12:$G$31</definedName>
    <definedName name="RITDAppplicantID" hidden="1">RITD!$K$6</definedName>
    <definedName name="RITDBalance1" hidden="1">RITD!$I$12</definedName>
    <definedName name="RITDBalance10" hidden="1">RITD!$I$21</definedName>
    <definedName name="RITDBalance11" hidden="1">RITD!$I$22</definedName>
    <definedName name="RITDBalance12" hidden="1">RITD!$I$23</definedName>
    <definedName name="RITDBalance13" hidden="1">RITD!$I$24</definedName>
    <definedName name="RITDBalance14" hidden="1">RITD!$I$25</definedName>
    <definedName name="RITDBalance15" hidden="1">RITD!$I$26</definedName>
    <definedName name="RITDBalance16" hidden="1">RITD!$I$27</definedName>
    <definedName name="RITDBalance17" hidden="1">RITD!$I$28</definedName>
    <definedName name="RITDBalance18" hidden="1">RITD!$I$29</definedName>
    <definedName name="RITDBalance19" hidden="1">RITD!$I$30</definedName>
    <definedName name="RITDBalance2" hidden="1">RITD!$I$13</definedName>
    <definedName name="RITDBalance20" hidden="1">RITD!$I$31</definedName>
    <definedName name="RITDBalance3" hidden="1">RITD!$I$14</definedName>
    <definedName name="RITDBalance4" hidden="1">RITD!$I$15</definedName>
    <definedName name="RITDBalance5" hidden="1">RITD!$I$16</definedName>
    <definedName name="RITDBalance6" hidden="1">RITD!$I$17</definedName>
    <definedName name="RITDBalance7" hidden="1">RITD!$I$18</definedName>
    <definedName name="RITDBalance8" hidden="1">RITD!$I$19</definedName>
    <definedName name="RITDBalance9" hidden="1">RITD!$I$20</definedName>
    <definedName name="RITDClearFields" hidden="1">RITD!$B$12:$J$31</definedName>
    <definedName name="RITDHasData" hidden="1">RITD!$P$33</definedName>
    <definedName name="RITDInterestRate1" hidden="1">RITD!$J$12</definedName>
    <definedName name="RITDInterestRate10" hidden="1">RITD!$J$21</definedName>
    <definedName name="RITDInterestRate11" hidden="1">RITD!$J$22</definedName>
    <definedName name="RITDInterestRate12" hidden="1">RITD!$J$23</definedName>
    <definedName name="RITDInterestRate13" hidden="1">RITD!$J$24</definedName>
    <definedName name="RITDInterestRate14" hidden="1">RITD!$J$25</definedName>
    <definedName name="RITDInterestRate15" hidden="1">RITD!$J$26</definedName>
    <definedName name="RITDInterestRate16" hidden="1">RITD!$J$27</definedName>
    <definedName name="RITDInterestRate17" hidden="1">RITD!$J$28</definedName>
    <definedName name="RITDInterestRate18" hidden="1">RITD!$J$29</definedName>
    <definedName name="RITDInterestRate19" hidden="1">RITD!$J$30</definedName>
    <definedName name="RITDInterestRate2" hidden="1">RITD!$J$13</definedName>
    <definedName name="RITDInterestRate20" hidden="1">RITD!$J$31</definedName>
    <definedName name="RITDInterestRate3" hidden="1">RITD!$J$14</definedName>
    <definedName name="RITDInterestRate4" hidden="1">RITD!$J$15</definedName>
    <definedName name="RITDInterestRate5" hidden="1">RITD!$J$16</definedName>
    <definedName name="RITDInterestRate6" hidden="1">RITD!$J$17</definedName>
    <definedName name="RITDInterestRate7" hidden="1">RITD!$J$18</definedName>
    <definedName name="RITDInterestRate8" hidden="1">RITD!$J$19</definedName>
    <definedName name="RITDInterestRate9" hidden="1">RITD!$J$20</definedName>
    <definedName name="RITDLoan1Section" hidden="1">RITD!$B$12:$K$12</definedName>
    <definedName name="RITDLoanCount" hidden="1">RITD!$A$33</definedName>
    <definedName name="RITDOwnershipApp11" hidden="1">RITD!$B$12</definedName>
    <definedName name="RITDOwnershipApp110" hidden="1">RITD!$B$21</definedName>
    <definedName name="RITDOwnershipApp111" hidden="1">RITD!$B$22</definedName>
    <definedName name="RITDOwnershipApp112" hidden="1">RITD!$B$23</definedName>
    <definedName name="RITDOwnershipApp113" hidden="1">RITD!$B$24</definedName>
    <definedName name="RITDOwnershipApp114" hidden="1">RITD!$B$25</definedName>
    <definedName name="RITDOwnershipApp115" hidden="1">RITD!$B$26</definedName>
    <definedName name="RITDOwnershipApp116" hidden="1">RITD!$B$27</definedName>
    <definedName name="RITDOwnershipApp117" hidden="1">RITD!$B$28</definedName>
    <definedName name="RITDOwnershipApp118" hidden="1">RITD!$B$29</definedName>
    <definedName name="RITDOwnershipApp119" hidden="1">RITD!$B$30</definedName>
    <definedName name="RITDOwnershipApp12" hidden="1">RITD!$B$13</definedName>
    <definedName name="RITDOwnershipApp120" hidden="1">RITD!$B$31</definedName>
    <definedName name="RITDOwnershipApp13" hidden="1">RITD!$B$14</definedName>
    <definedName name="RITDOwnershipApp14" hidden="1">RITD!$B$15</definedName>
    <definedName name="RITDOwnershipApp15" hidden="1">RITD!$B$16</definedName>
    <definedName name="RITDOwnershipApp16" hidden="1">RITD!$B$17</definedName>
    <definedName name="RITDOwnershipApp17" hidden="1">RITD!$B$18</definedName>
    <definedName name="RITDOwnershipApp18" hidden="1">RITD!$B$19</definedName>
    <definedName name="RITDOwnershipApp19" hidden="1">RITD!$B$20</definedName>
    <definedName name="RITDOwnershipApp21" hidden="1">RITD!$C$12</definedName>
    <definedName name="RITDOwnershipApp210" hidden="1">RITD!$C$21</definedName>
    <definedName name="RITDOwnershipApp211" hidden="1">RITD!$C$22</definedName>
    <definedName name="RITDOwnershipApp212" hidden="1">RITD!$C$23</definedName>
    <definedName name="RITDOwnershipApp213" hidden="1">RITD!$C$24</definedName>
    <definedName name="RITDOwnershipApp214" hidden="1">RITD!$C$25</definedName>
    <definedName name="RITDOwnershipApp215" hidden="1">RITD!$C$26</definedName>
    <definedName name="RITDOwnershipApp216" hidden="1">RITD!$C$27</definedName>
    <definedName name="RITDOwnershipApp217" hidden="1">RITD!$C$28</definedName>
    <definedName name="RITDOwnershipApp218" hidden="1">RITD!$C$29</definedName>
    <definedName name="RITDOwnershipApp219" hidden="1">RITD!$C$30</definedName>
    <definedName name="RITDOwnershipApp22" hidden="1">RITD!$C$13</definedName>
    <definedName name="RITDOwnershipApp220" hidden="1">RITD!$C$31</definedName>
    <definedName name="RITDOwnershipApp23" hidden="1">RITD!$C$14</definedName>
    <definedName name="RITDOwnershipApp24" hidden="1">RITD!$C$15</definedName>
    <definedName name="RITDOwnershipApp25" hidden="1">RITD!$C$16</definedName>
    <definedName name="RITDOwnershipApp26" hidden="1">RITD!$C$17</definedName>
    <definedName name="RITDOwnershipApp27" hidden="1">RITD!$C$18</definedName>
    <definedName name="RITDOwnershipApp28" hidden="1">RITD!$C$19</definedName>
    <definedName name="RITDOwnershipApp29" hidden="1">RITD!$C$20</definedName>
    <definedName name="RITDOwnershipApp31" hidden="1">RITD!$D$12</definedName>
    <definedName name="RITDOwnershipApp310" hidden="1">RITD!$D$21</definedName>
    <definedName name="RITDOwnershipApp311" hidden="1">RITD!$D$22</definedName>
    <definedName name="RITDOwnershipApp312" hidden="1">RITD!$D$23</definedName>
    <definedName name="RITDOwnershipApp313" hidden="1">RITD!$D$24</definedName>
    <definedName name="RITDOwnershipApp314" hidden="1">RITD!$D$25</definedName>
    <definedName name="RITDOwnershipApp315" hidden="1">RITD!$D$26</definedName>
    <definedName name="RITDOwnershipApp316" hidden="1">RITD!$D$27</definedName>
    <definedName name="RITDOwnershipApp317" hidden="1">RITD!$D$28</definedName>
    <definedName name="RITDOwnershipApp318" hidden="1">RITD!$D$29</definedName>
    <definedName name="RITDOwnershipApp319" hidden="1">RITD!$D$30</definedName>
    <definedName name="RITDOwnershipApp32" hidden="1">RITD!$D$13</definedName>
    <definedName name="RITDOwnershipApp320" hidden="1">RITD!$D$31</definedName>
    <definedName name="RITDOwnershipApp33" hidden="1">RITD!$D$14</definedName>
    <definedName name="RITDOwnershipApp34" hidden="1">RITD!$D$15</definedName>
    <definedName name="RITDOwnershipApp35" hidden="1">RITD!$D$16</definedName>
    <definedName name="RITDOwnershipApp36" hidden="1">RITD!$D$17</definedName>
    <definedName name="RITDOwnershipApp37" hidden="1">RITD!$D$18</definedName>
    <definedName name="RITDOwnershipApp38" hidden="1">RITD!$D$19</definedName>
    <definedName name="RITDOwnershipApp39" hidden="1">RITD!$D$20</definedName>
    <definedName name="RITDOwnershipApp41" hidden="1">RITD!$E$12</definedName>
    <definedName name="RITDOwnershipApp410" hidden="1">RITD!$E$21</definedName>
    <definedName name="RITDOwnershipApp411" hidden="1">RITD!$E$22</definedName>
    <definedName name="RITDOwnershipApp412" hidden="1">RITD!$E$23</definedName>
    <definedName name="RITDOwnershipApp413" hidden="1">RITD!$E$24</definedName>
    <definedName name="RITDOwnershipApp414" hidden="1">RITD!$E$25</definedName>
    <definedName name="RITDOwnershipApp415" hidden="1">RITD!$E$26</definedName>
    <definedName name="RITDOwnershipApp416" hidden="1">RITD!$E$27</definedName>
    <definedName name="RITDOwnershipApp417" hidden="1">RITD!$E$28</definedName>
    <definedName name="RITDOwnershipApp418" hidden="1">RITD!$E$29</definedName>
    <definedName name="RITDOwnershipApp419" hidden="1">RITD!$E$30</definedName>
    <definedName name="RITDOwnershipApp42" hidden="1">RITD!$E$13</definedName>
    <definedName name="RITDOwnershipApp420" hidden="1">RITD!$E$31</definedName>
    <definedName name="RITDOwnershipApp43" hidden="1">RITD!$E$14</definedName>
    <definedName name="RITDOwnershipApp44" hidden="1">RITD!$E$15</definedName>
    <definedName name="RITDOwnershipApp45" hidden="1">RITD!$E$16</definedName>
    <definedName name="RITDOwnershipApp46" hidden="1">RITD!$E$17</definedName>
    <definedName name="RITDOwnershipApp47" hidden="1">RITD!$E$18</definedName>
    <definedName name="RITDOwnershipApp48" hidden="1">RITD!$E$19</definedName>
    <definedName name="RITDOwnershipApp49" hidden="1">RITD!$E$20</definedName>
    <definedName name="RITDOwnershipApp51" hidden="1">RITD!$F$12</definedName>
    <definedName name="RITDOwnershipApp510" hidden="1">RITD!$F$21</definedName>
    <definedName name="RITDOwnershipApp511" hidden="1">RITD!$F$22</definedName>
    <definedName name="RITDOwnershipApp512" hidden="1">RITD!$F$23</definedName>
    <definedName name="RITDOwnershipApp513" hidden="1">RITD!$F$24</definedName>
    <definedName name="RITDOwnershipApp514" hidden="1">RITD!$F$25</definedName>
    <definedName name="RITDOwnershipApp515" hidden="1">RITD!$F$26</definedName>
    <definedName name="RITDOwnershipApp516" hidden="1">RITD!$F$27</definedName>
    <definedName name="RITDOwnershipApp517" hidden="1">RITD!$F$28</definedName>
    <definedName name="RITDOwnershipApp518" hidden="1">RITD!$F$29</definedName>
    <definedName name="RITDOwnershipApp519" hidden="1">RITD!$F$30</definedName>
    <definedName name="RITDOwnershipApp52" hidden="1">RITD!$F$13</definedName>
    <definedName name="RITDOwnershipApp520" hidden="1">RITD!$F$31</definedName>
    <definedName name="RITDOwnershipApp53" hidden="1">RITD!$F$14</definedName>
    <definedName name="RITDOwnershipApp54" hidden="1">RITD!$F$15</definedName>
    <definedName name="RITDOwnershipApp55" hidden="1">RITD!$F$16</definedName>
    <definedName name="RITDOwnershipApp56" hidden="1">RITD!$F$17</definedName>
    <definedName name="RITDOwnershipApp57" hidden="1">RITD!$F$18</definedName>
    <definedName name="RITDOwnershipApp58" hidden="1">RITD!$F$19</definedName>
    <definedName name="RITDOwnershipApp59" hidden="1">RITD!$F$20</definedName>
    <definedName name="RITDOwnershipApp61" hidden="1">RITD!$G$12</definedName>
    <definedName name="RITDOwnershipApp610" hidden="1">RITD!$G$21</definedName>
    <definedName name="RITDOwnershipApp611" hidden="1">RITD!$G$22</definedName>
    <definedName name="RITDOwnershipApp612" hidden="1">RITD!$G$23</definedName>
    <definedName name="RITDOwnershipApp613" hidden="1">RITD!$G$24</definedName>
    <definedName name="RITDOwnershipApp614" hidden="1">RITD!$G$25</definedName>
    <definedName name="RITDOwnershipApp615" hidden="1">RITD!$G$26</definedName>
    <definedName name="RITDOwnershipApp616" hidden="1">RITD!$G$27</definedName>
    <definedName name="RITDOwnershipApp617" hidden="1">RITD!$G$28</definedName>
    <definedName name="RITDOwnershipApp618" hidden="1">RITD!$G$29</definedName>
    <definedName name="RITDOwnershipApp619" hidden="1">RITD!$G$30</definedName>
    <definedName name="RITDOwnershipApp62" hidden="1">RITD!$G$13</definedName>
    <definedName name="RITDOwnershipApp620" hidden="1">RITD!$G$31</definedName>
    <definedName name="RITDOwnershipApp63" hidden="1">RITD!$G$14</definedName>
    <definedName name="RITDOwnershipApp64" hidden="1">RITD!$G$15</definedName>
    <definedName name="RITDOwnershipApp65" hidden="1">RITD!$G$16</definedName>
    <definedName name="RITDOwnershipApp66" hidden="1">RITD!$G$17</definedName>
    <definedName name="RITDOwnershipApp67" hidden="1">RITD!$G$18</definedName>
    <definedName name="RITDOwnershipApp68" hidden="1">RITD!$G$19</definedName>
    <definedName name="RITDOwnershipApp69" hidden="1">RITD!$G$20</definedName>
    <definedName name="RPCAccountNumber" hidden="1">'Repayment Pause Calculator'!$C$12</definedName>
    <definedName name="RPCBalanceEnquiryDate" hidden="1">'Repayment Pause Calculator'!$C$20</definedName>
    <definedName name="RPCCalculationStartDate" hidden="1">'Repayment Pause Calculator'!$Q$16</definedName>
    <definedName name="RPCChargeCycle" hidden="1">'Repayment Pause Calculator'!$G$21</definedName>
    <definedName name="RPCClearFields" hidden="1">'Repayment Pause Calculator'!$C$12:$C$16,'Repayment Pause Calculator'!$C$20:$C$23,'Repayment Pause Calculator'!$C$25,'Repayment Pause Calculator'!$C$27:$C$29,'Repayment Pause Calculator'!$C$32,'Repayment Pause Calculator'!$G$12,'Repayment Pause Calculator'!$G$14:$G$15,'Repayment Pause Calculator'!$G$20:$G$23</definedName>
    <definedName name="RPCCurrentBalance" hidden="1">'Repayment Pause Calculator'!$C$21</definedName>
    <definedName name="RPCCurrentRepayment" hidden="1">'Repayment Pause Calculator'!$C$15</definedName>
    <definedName name="RPCDailyInterestRate" hidden="1">'Repayment Pause Calculator'!#REF!</definedName>
    <definedName name="RPCDaysInYear" hidden="1">'Repayment Pause Calculator'!$Q$15</definedName>
    <definedName name="RPCInterestOnlyMaturityDate" hidden="1">'Repayment Pause Calculator'!$G$15</definedName>
    <definedName name="RPCInterestRate" hidden="1">'Repayment Pause Calculator'!$C$14</definedName>
    <definedName name="RPCLMIPremium" hidden="1">'Repayment Pause Calculator'!$C$29</definedName>
    <definedName name="RPCLoanPauseFee" hidden="1">'Repayment Pause Calculator'!$C$27</definedName>
    <definedName name="RPCMandatoryFieldCheck" hidden="1">'Repayment Pause Calculator'!$Q$12</definedName>
    <definedName name="RPCNextPaymentTransferDate" hidden="1">'Repayment Pause Calculator'!$C$22</definedName>
    <definedName name="RPCPauseEndDate" hidden="1">'Repayment Pause Calculator'!$C$26</definedName>
    <definedName name="RPCPausePeriod" hidden="1">'Repayment Pause Calculator'!$G$20</definedName>
    <definedName name="RPCPausePeriodEndDebt" hidden="1">'Repayment Pause Calculator'!$C$31</definedName>
    <definedName name="RPCPauseRepayment" hidden="1">'Repayment Pause Calculator'!$C$25</definedName>
    <definedName name="RPCPauseStartDate" hidden="1">'Repayment Pause Calculator'!$C$24</definedName>
    <definedName name="RPCPauseStartOption" hidden="1">'Repayment Pause Calculator'!$C$23</definedName>
    <definedName name="RPCPaymentDay" hidden="1">'Repayment Pause Calculator'!$G$22</definedName>
    <definedName name="RPCPrepaymentAmount" hidden="1">'Repayment Pause Calculator'!$C$32</definedName>
    <definedName name="RPCProduct" hidden="1">'Repayment Pause Calculator'!$C$13</definedName>
    <definedName name="RPCRemainingTerm" hidden="1">'Repayment Pause Calculator'!$G$12</definedName>
    <definedName name="RPCRepaymentFrequency" hidden="1">'Repayment Pause Calculator'!$C$16</definedName>
    <definedName name="RPCRepaymentType" hidden="1">'Repayment Pause Calculator'!$G$23</definedName>
    <definedName name="RPCShortTermMaturityDate" hidden="1">'Repayment Pause Calculator'!$G$14</definedName>
    <definedName name="RPCValuationFee" hidden="1">'Repayment Pause Calculator'!$C$28</definedName>
    <definedName name="RPCZeroDefaultFields" hidden="1">'Repayment Pause Calculator'!$C$14:$C$15,'Repayment Pause Calculator'!$C$21,'Repayment Pause Calculator'!$C$25,'Repayment Pause Calculator'!$C$27:$C$29,'Repayment Pause Calculator'!$C$32,'Repayment Pause Calculator'!$G$12</definedName>
    <definedName name="RTCClearData" hidden="1">'Remaining Term Calculator'!$C$7,'Remaining Term Calculator'!$C$8,'Remaining Term Calculator'!$C$10,'Remaining Term Calculator'!$C$14</definedName>
    <definedName name="RTCInterestOnlyEndDate" hidden="1">'Remaining Term Calculator'!$C$14</definedName>
    <definedName name="RTCInterestOnlyRemainingTermMonths" hidden="1">'Remaining Term Calculator'!$C$15</definedName>
    <definedName name="RTCLoanEndDate" hidden="1">'Remaining Term Calculator'!$C$10</definedName>
    <definedName name="RTCLoanStartDate" hidden="1">'Remaining Term Calculator'!$C$7</definedName>
    <definedName name="RTCLoanTermMonths" hidden="1">'Remaining Term Calculator'!$C$8</definedName>
    <definedName name="RTCPIFRemainingTermMonths" hidden="1">'Remaining Term Calculator'!$C$17</definedName>
    <definedName name="RTCTotalRemainingTermMonths" hidden="1">'Remaining Term Calculator'!$C$12</definedName>
    <definedName name="SCAApp1CDERent" hidden="1">Serviceability!$K$92</definedName>
    <definedName name="SCAApp1CompCDE" hidden="1">Serviceability!$K$90</definedName>
    <definedName name="SCAApp1Dependants" hidden="1">Serviceability!$K$23</definedName>
    <definedName name="SCAApp1EstimateBaseIncome" hidden="1">Serviceability!$K$31</definedName>
    <definedName name="SCAApp1EstimateBonusIncome" hidden="1">Serviceability!$K$33</definedName>
    <definedName name="SCAApp1EstimateNonBaseIncome" hidden="1">Serviceability!$K$32</definedName>
    <definedName name="SCAApp1HEM" hidden="1">Serviceability!$K$94</definedName>
    <definedName name="SCAApp1Marital" hidden="1">Serviceability!$K$20</definedName>
    <definedName name="SCAApp1Name" hidden="1">Serviceability!$K$19</definedName>
    <definedName name="SCAApp1NetBase" hidden="1">Serviceability!$K$66</definedName>
    <definedName name="SCAApp1NetBonus" hidden="1">Serviceability!$K$68</definedName>
    <definedName name="SCAApp1NetNonBase" hidden="1">Serviceability!$K$67</definedName>
    <definedName name="SCAApp1NonCompCDE" hidden="1">Serviceability!$K$91</definedName>
    <definedName name="SCAApp1NumberofEmployers" hidden="1">Serviceability!$K$34</definedName>
    <definedName name="SCAApp1Postcode" hidden="1">Serviceability!$K$24</definedName>
    <definedName name="SCAApp1SameHousehold" hidden="1">Serviceability!$K$22</definedName>
    <definedName name="SCAApp1Spouse" hidden="1">Serviceability!$K$21</definedName>
    <definedName name="SCAApp1SpouseApplicantNumber" hidden="1">Serviceability!$S$21</definedName>
    <definedName name="SCAApp1SpouseEstimateBaseIncome" hidden="1">Serviceability!$K$48</definedName>
    <definedName name="SCAApp1SpouseEstimateBonusIncome" hidden="1">Serviceability!$K$50</definedName>
    <definedName name="SCAApp1SpouseEstimateNonBaseIncome" hidden="1">Serviceability!$K$49</definedName>
    <definedName name="SCAApp1SpouseNumberofEmployers" hidden="1">Serviceability!$K$51</definedName>
    <definedName name="SCAApp1TotalNet" hidden="1">Serviceability!$K$71</definedName>
    <definedName name="SCAApp2CDERent" hidden="1">Serviceability!$U$92</definedName>
    <definedName name="SCAApp2CompCDE" hidden="1">Serviceability!$U$90</definedName>
    <definedName name="SCAApp2Dependants" hidden="1">Serviceability!$U$23</definedName>
    <definedName name="SCAApp2EstimateBaseIncome" hidden="1">Serviceability!$U$31</definedName>
    <definedName name="SCAApp2EstimateBonusIncome" hidden="1">Serviceability!$U$33</definedName>
    <definedName name="SCAApp2EstimateNonBaseIncome" hidden="1">Serviceability!$U$32</definedName>
    <definedName name="SCAApp2HEM" hidden="1">Serviceability!$U$94</definedName>
    <definedName name="SCAApp2Marital" hidden="1">Serviceability!$U$20</definedName>
    <definedName name="SCAApp2Name" hidden="1">Serviceability!$U$19</definedName>
    <definedName name="SCAApp2NonCompCDE" hidden="1">Serviceability!$U$91</definedName>
    <definedName name="SCAApp2NumberofEmployers" hidden="1">Serviceability!$U$34</definedName>
    <definedName name="SCAApp2Postcode" hidden="1">Serviceability!$U$24</definedName>
    <definedName name="SCAApp2SameHousehold" hidden="1">Serviceability!$U$22</definedName>
    <definedName name="SCAApp2Spouse" hidden="1">Serviceability!$U$21</definedName>
    <definedName name="SCAApp2SpouseApplicantNumber" hidden="1">Serviceability!$AC$21</definedName>
    <definedName name="SCAApp2SpouseEstimateBaseIncome" hidden="1">Serviceability!$U$48</definedName>
    <definedName name="SCAApp2SpouseEstimateBonusIncome" hidden="1">Serviceability!$U$50</definedName>
    <definedName name="SCAApp2SpouseEstimateNonBaseIncome" hidden="1">Serviceability!$U$49</definedName>
    <definedName name="SCAApp2SpouseNumberofEmployers" hidden="1">Serviceability!$U$51</definedName>
    <definedName name="SCAApp2TotalNet" hidden="1">Serviceability!$U$71</definedName>
    <definedName name="SCAApp3CDERent" hidden="1">Serviceability!$AE$92</definedName>
    <definedName name="SCAApp3CompCDE" hidden="1">Serviceability!$AE$90</definedName>
    <definedName name="SCAApp3Dependants" hidden="1">Serviceability!$AE$23</definedName>
    <definedName name="SCAApp3EstimateBaseIncome" hidden="1">Serviceability!$AE$31</definedName>
    <definedName name="SCAApp3EstimateBonusIncome" hidden="1">Serviceability!$AE$33</definedName>
    <definedName name="SCAApp3EstimateNonBaseIncome" hidden="1">Serviceability!$AE$32</definedName>
    <definedName name="SCAApp3HEM" hidden="1">Serviceability!$AE$94</definedName>
    <definedName name="SCAApp3Marital" hidden="1">Serviceability!$AE$20</definedName>
    <definedName name="SCAApp3Name" hidden="1">Serviceability!$AE$19</definedName>
    <definedName name="SCAApp3NonCompCDE" hidden="1">Serviceability!$AE$91</definedName>
    <definedName name="SCAApp3NumberofEmployers" hidden="1">Serviceability!$AE$34</definedName>
    <definedName name="SCAApp3Postcode" hidden="1">Serviceability!$AE$24</definedName>
    <definedName name="SCAApp3SameHousehold" hidden="1">Serviceability!$AE$22</definedName>
    <definedName name="SCAApp3Spouse" hidden="1">Serviceability!$AE$21</definedName>
    <definedName name="SCAApp3SpouseApplicantNumber" hidden="1">Serviceability!$AM$21</definedName>
    <definedName name="SCAApp3SpouseEstimateBaseIncome" hidden="1">Serviceability!$AE$48</definedName>
    <definedName name="SCAApp3SpouseEstimateBonusIncome" hidden="1">Serviceability!$AE$50</definedName>
    <definedName name="SCAApp3SpouseEstimateNonBaseIncome" hidden="1">Serviceability!$AE$49</definedName>
    <definedName name="SCAApp3SpouseNumberofEmployers" hidden="1">Serviceability!$AE$51</definedName>
    <definedName name="SCAApp3TotalNet" hidden="1">Serviceability!$AE$71</definedName>
    <definedName name="SCAApp4CDERent" hidden="1">Serviceability!$AO$92</definedName>
    <definedName name="SCAApp4CompCDE" hidden="1">Serviceability!$AO$90</definedName>
    <definedName name="SCAApp4Dependants" hidden="1">Serviceability!$AO$23</definedName>
    <definedName name="SCAApp4EstimateBaseIncome" hidden="1">Serviceability!$AO$31</definedName>
    <definedName name="SCAApp4EstimateBonusIncome" hidden="1">Serviceability!$AO$33</definedName>
    <definedName name="SCAApp4EstimateNonBaseIncome" hidden="1">Serviceability!$AO$32</definedName>
    <definedName name="SCAApp4HEM" hidden="1">Serviceability!$AO$94</definedName>
    <definedName name="SCAApp4Marital" hidden="1">Serviceability!$AO$20</definedName>
    <definedName name="SCAApp4Name" hidden="1">Serviceability!$AO$19</definedName>
    <definedName name="SCAApp4NonCompCDE" hidden="1">Serviceability!$AO$91</definedName>
    <definedName name="SCAApp4NumberofEmployers" hidden="1">Serviceability!$AO$34</definedName>
    <definedName name="SCAApp4Postcode" hidden="1">Serviceability!$AO$24</definedName>
    <definedName name="SCAApp4SameHousehold" hidden="1">Serviceability!$AO$22</definedName>
    <definedName name="SCAApp4Spouse" hidden="1">Serviceability!$AO$21</definedName>
    <definedName name="SCAApp4SpouseApplicantNumber" hidden="1">Serviceability!$AW$21</definedName>
    <definedName name="SCAApp4SpouseEstimateBaseIncome" hidden="1">Serviceability!$AO$48</definedName>
    <definedName name="SCAApp4SpouseEstimateBonusIncome" hidden="1">Serviceability!$AO$50</definedName>
    <definedName name="SCAApp4SpouseEstimateNonBaseIncome" hidden="1">Serviceability!$AO$49</definedName>
    <definedName name="SCAApp4SpouseNumberofEmployers" hidden="1">Serviceability!$AO$51</definedName>
    <definedName name="SCAApp4TotalNet" hidden="1">Serviceability!$AO$71</definedName>
    <definedName name="SCAApp5CDERent" hidden="1">Serviceability!$AY$92</definedName>
    <definedName name="SCAApp5CompCDE" hidden="1">Serviceability!$AY$90</definedName>
    <definedName name="SCAApp5Dependants" hidden="1">Serviceability!$AY$23</definedName>
    <definedName name="SCAApp5EstimateBaseIncome" hidden="1">Serviceability!$AY$31</definedName>
    <definedName name="SCAApp5EstimateBonusIncome" hidden="1">Serviceability!$AY$33</definedName>
    <definedName name="SCAApp5EstimateNonBaseIncome" hidden="1">Serviceability!$AY$32</definedName>
    <definedName name="SCAApp5HEM" hidden="1">Serviceability!$AY$94</definedName>
    <definedName name="SCAApp5Marital" hidden="1">Serviceability!$AY$20</definedName>
    <definedName name="SCAApp5Name" hidden="1">Serviceability!$AY$19</definedName>
    <definedName name="SCAApp5NonCompCDE" hidden="1">Serviceability!$AY$91</definedName>
    <definedName name="SCAApp5NumberofEmployers" hidden="1">Serviceability!$AY$34</definedName>
    <definedName name="SCAApp5Postcode" hidden="1">Serviceability!$AY$24</definedName>
    <definedName name="SCAApp5SameHousehold" hidden="1">Serviceability!$AY$22</definedName>
    <definedName name="SCAApp5Spouse" hidden="1">Serviceability!$AY$21</definedName>
    <definedName name="SCAApp5SpouseApplicantNumber" hidden="1">Serviceability!$BG$21</definedName>
    <definedName name="SCAApp5SpouseEstimateBaseIncome" hidden="1">Serviceability!$AY$48</definedName>
    <definedName name="SCAApp5SpouseEstimateBonusIncome" hidden="1">Serviceability!$AY$50</definedName>
    <definedName name="SCAApp5SpouseEstimateNonBaseIncome" hidden="1">Serviceability!$AY$49</definedName>
    <definedName name="SCAApp5SpouseNumberofEmployers" hidden="1">Serviceability!$AY$51</definedName>
    <definedName name="SCAApp5TotalNet" hidden="1">Serviceability!$AY$71</definedName>
    <definedName name="SCAApp6CDERent" hidden="1">Serviceability!$BI$92</definedName>
    <definedName name="SCAApp6CompCDE" hidden="1">Serviceability!$BI$90</definedName>
    <definedName name="SCAApp6Dependants" hidden="1">Serviceability!$BI$23</definedName>
    <definedName name="SCAApp6EstimateBaseIncome" hidden="1">Serviceability!$BI$31</definedName>
    <definedName name="SCAApp6EstimateBonusIncome" hidden="1">Serviceability!$BI$33</definedName>
    <definedName name="SCAApp6EstimateNonBaseIncome" hidden="1">Serviceability!$BI$32</definedName>
    <definedName name="SCAApp6HEM" hidden="1">Serviceability!$BI$94</definedName>
    <definedName name="SCAApp6Marital" hidden="1">Serviceability!$BI$20</definedName>
    <definedName name="SCAApp6Name" hidden="1">Serviceability!$BI$19</definedName>
    <definedName name="SCAApp6NonCompCDE" hidden="1">Serviceability!$BI$91</definedName>
    <definedName name="SCAApp6NumberofEmployers" hidden="1">Serviceability!$BI$34</definedName>
    <definedName name="SCAApp6Postcode" hidden="1">Serviceability!$BI$24</definedName>
    <definedName name="SCAApp6SameHousehold" hidden="1">Serviceability!$BI$22</definedName>
    <definedName name="SCAApp6Spouse" hidden="1">Serviceability!$BI$21</definedName>
    <definedName name="SCAApp6SpouseApplicantNumber" hidden="1">Serviceability!$BQ$21</definedName>
    <definedName name="SCAApp6SpouseEstimateBaseIncome" hidden="1">Serviceability!$BI$48</definedName>
    <definedName name="SCAApp6SpouseEstimateBonusIncome" hidden="1">Serviceability!$BI$50</definedName>
    <definedName name="SCAApp6SpouseEstimateNonBaseIncome" hidden="1">Serviceability!$BI$49</definedName>
    <definedName name="SCAApp6SpouseNumberofEmployers" hidden="1">Serviceability!$BI$51</definedName>
    <definedName name="SCAApp6TotalNet" hidden="1">Serviceability!$BI$71</definedName>
    <definedName name="SCAApplicantCount" hidden="1">Serviceability!$K$15</definedName>
    <definedName name="SCAApplicantExpensesHeadingRow" hidden="1">Serviceability!$A$73</definedName>
    <definedName name="SCAApplicantIncomeEstimateClearFields" hidden="1">Serviceability!$K$31:$R$33,Serviceability!$U$31:$AB$33,Serviceability!$AE$31:$AL$33,Serviceability!$AO$31:$AV$33,Serviceability!$AY$31:$BF$33,Serviceability!$BI$31:$BP$33</definedName>
    <definedName name="SCAApplicantIncomeEstimateSection" hidden="1">Serviceability!$A$31:$A$33</definedName>
    <definedName name="SCAApplicantIncomeHeadingRow" hidden="1">Serviceability!$A$26</definedName>
    <definedName name="SCAApplicantIncomeVerifiedSection" hidden="1">Serviceability!$A$34:$A$39</definedName>
    <definedName name="SCAApplicantSpouseIncomeEstimateClearFields" hidden="1">Serviceability!$K$48:$R$50,Serviceability!$U$48:$AB$50,Serviceability!$AE$48:$AL$50,Serviceability!$AO$48:$AV$50,Serviceability!$AY$48:$BF$50,Serviceability!$BI$48:$BP$50</definedName>
    <definedName name="SCAApplicantSpouseIncomeEstimateSection" hidden="1">Serviceability!$A$48:$A$50</definedName>
    <definedName name="SCAApplicantSpouseIncomeVerifiedSection" hidden="1">Serviceability!$A$51:$A$56</definedName>
    <definedName name="SCAApplicationReference" hidden="1">Serviceability!$K$13</definedName>
    <definedName name="SCABuildingLoanFlag" hidden="1">Serviceability!$AM$14</definedName>
    <definedName name="SCACDEApp1ChildSupport" hidden="1">Serviceability!$K$82</definedName>
    <definedName name="SCACDEApp1Comparable" hidden="1">Serviceability!$K$78</definedName>
    <definedName name="SCACDEApp1NonComparable" hidden="1">Serviceability!$K$80</definedName>
    <definedName name="SCACDEApp1Rent" hidden="1">Serviceability!$K$87</definedName>
    <definedName name="SCACDEApp1RentFlag" hidden="1">Serviceability!$K$86</definedName>
    <definedName name="SCACDEApp2ChildSupport" hidden="1">Serviceability!$U$82</definedName>
    <definedName name="SCACDEApp2Comparable" hidden="1">Serviceability!$U$78</definedName>
    <definedName name="SCACDEApp2NonComparable" hidden="1">Serviceability!$U$80</definedName>
    <definedName name="SCACDEApp2Rent" hidden="1">Serviceability!$U$87</definedName>
    <definedName name="SCACDEApp2RentFlag" hidden="1">Serviceability!$U$86</definedName>
    <definedName name="SCACDEApp3ChildSupport" hidden="1">Serviceability!$AE$82</definedName>
    <definedName name="SCACDEApp3Comparable" hidden="1">Serviceability!$AE$78</definedName>
    <definedName name="SCACDEApp3NonComparable" hidden="1">Serviceability!$AE$80</definedName>
    <definedName name="SCACDEApp3Rent" hidden="1">Serviceability!$AE$87</definedName>
    <definedName name="SCACDEApp3RentFlag" hidden="1">Serviceability!$AE$86</definedName>
    <definedName name="SCACDEApp4ChildSupport" hidden="1">Serviceability!$AO$82</definedName>
    <definedName name="SCACDEApp4Comparable" hidden="1">Serviceability!$AO$78</definedName>
    <definedName name="SCACDEApp4NonComparable" hidden="1">Serviceability!$AO$80</definedName>
    <definedName name="SCACDEApp4Rent" hidden="1">Serviceability!$AO$87</definedName>
    <definedName name="SCACDEApp4RentFlag" hidden="1">Serviceability!$AO$86</definedName>
    <definedName name="SCACDEApp5ChildSupport" hidden="1">Serviceability!$AY$82</definedName>
    <definedName name="SCACDEApp5Comparable" hidden="1">Serviceability!$AY$78</definedName>
    <definedName name="SCACDEApp5NonComparable" hidden="1">Serviceability!$AY$80</definedName>
    <definedName name="SCACDEApp5Rent" hidden="1">Serviceability!$AY$87</definedName>
    <definedName name="SCACDEApp5RentFlag" hidden="1">Serviceability!$AY$86</definedName>
    <definedName name="SCACDEApp6ChildSupport" hidden="1">Serviceability!$BI$82</definedName>
    <definedName name="SCACDEApp6Comparable" hidden="1">Serviceability!$BI$78</definedName>
    <definedName name="SCACDEApp6NonComparable" hidden="1">Serviceability!$BI$80</definedName>
    <definedName name="SCACDEApp6Rent" hidden="1">Serviceability!$BI$87</definedName>
    <definedName name="SCACDEApp6RentFlag" hidden="1">Serviceability!$BI$86</definedName>
    <definedName name="SCAIncomeVerificationType" hidden="1">Serviceability!$K$29</definedName>
    <definedName name="SCALivingExpensesApportioningSection" hidden="1">Serviceability!$A$79,Serviceability!$A$81,Serviceability!$A$89</definedName>
    <definedName name="SCALivingExpensesConsolidatedSection" hidden="1">Serviceability!$A$78:$A$89</definedName>
    <definedName name="SCALivingExpensesItemisedSection" hidden="1">Serviceability!$A$90:$A$92</definedName>
    <definedName name="SCALivingExpensesVerificationType" hidden="1">Serviceability!$K$75</definedName>
    <definedName name="SCALMIFlag" hidden="1">Serviceability!$AM$13</definedName>
    <definedName name="SCAMaxNumberofEmployers" hidden="1">Serviceability!$J$34</definedName>
    <definedName name="SCAMaxNumberofSpouseEmployers" hidden="1">Serviceability!$J$51</definedName>
    <definedName name="SCANonApplicantSpouseIncomeSection" hidden="1">Serviceability!$A$46:$A$62</definedName>
    <definedName name="SCAServiceabilityAssessmentType" hidden="1">Serviceability!$AM$15</definedName>
    <definedName name="SCAStreamlinedRefinanceClearFields" hidden="1">Serviceability!$C$123:$V$132</definedName>
    <definedName name="SCAStreamlinedRefinanceSection" hidden="1">Serviceability!$A$117:$A$133</definedName>
    <definedName name="SCASubmissionDate" hidden="1">Serviceability!$K$14</definedName>
    <definedName name="SCAUserID" hidden="1">Serviceability!$BK$9</definedName>
    <definedName name="SCCAdditionalNewLoansSection" hidden="1">Serviceability!$J$104:$BW$112</definedName>
    <definedName name="SCCFacilityNameList" hidden="1">Serviceability!$BT$103:INDEX(Serviceability!$BT$103:$BT$112,COUNTIF(Serviceability!$BT$103:$BT$112,"?*"))</definedName>
    <definedName name="SCCNewLoan1" hidden="1">Serviceability!$C$103:$BF$103</definedName>
    <definedName name="SCCNewLoan10" hidden="1">Serviceability!$C$112:$BF$112</definedName>
    <definedName name="SCCNewLoan10Amount" hidden="1">Serviceability!$J$112</definedName>
    <definedName name="SCCNewLoan10FinalRate" hidden="1">Serviceability!$U$112</definedName>
    <definedName name="SCCNewLoan10IORate" hidden="1">Serviceability!$BH$112</definedName>
    <definedName name="SCCNewLoan10IOTerm" hidden="1">Serviceability!$AS$112</definedName>
    <definedName name="SCCNewLoan10LoanID" hidden="1">Serviceability!$BL$112</definedName>
    <definedName name="SCCNewLoan10LoanType" hidden="1">Serviceability!$C$112</definedName>
    <definedName name="SCCNewLoan10Term" hidden="1">Serviceability!$AP$112</definedName>
    <definedName name="SCCNewLoan1Amount" hidden="1">Serviceability!$J$103</definedName>
    <definedName name="SCCNewLoan1FinalRate" hidden="1">Serviceability!$U$103</definedName>
    <definedName name="SCCNewLoan1IORate" hidden="1">Serviceability!$BH$103</definedName>
    <definedName name="SCCNewLoan1IOTerm" hidden="1">Serviceability!$AS$103</definedName>
    <definedName name="SCCNewLoan1LoanID" hidden="1">Serviceability!$BL$103</definedName>
    <definedName name="SCCNewLoan1LoanType" hidden="1">Serviceability!$C$103</definedName>
    <definedName name="SCCNewLoan1Term" hidden="1">Serviceability!$AP$103</definedName>
    <definedName name="SCCNewLoan2" hidden="1">Serviceability!$C$104:$BF$104</definedName>
    <definedName name="SCCNewLoan2Amount" hidden="1">Serviceability!$J$104</definedName>
    <definedName name="SCCNewLoan2FinalRate" hidden="1">Serviceability!$U$104</definedName>
    <definedName name="SCCNewLoan2IORate" hidden="1">Serviceability!$BH$104</definedName>
    <definedName name="SCCNewLoan2IOTerm" hidden="1">Serviceability!$AS$104</definedName>
    <definedName name="SCCNewLoan2LoanID" hidden="1">Serviceability!$BL$104</definedName>
    <definedName name="SCCNewLoan2LoanType" hidden="1">Serviceability!$C$104</definedName>
    <definedName name="SCCNewLoan2Term" hidden="1">Serviceability!$AP$104</definedName>
    <definedName name="SCCNewLoan3" hidden="1">Serviceability!$C$105:$BF$105</definedName>
    <definedName name="SCCNewLoan3Amount" hidden="1">Serviceability!$J$105</definedName>
    <definedName name="SCCNewLoan3FinalRate" hidden="1">Serviceability!$U$105</definedName>
    <definedName name="SCCNewLoan3IORate" hidden="1">Serviceability!$BH$105</definedName>
    <definedName name="SCCNewLoan3IOTerm" hidden="1">Serviceability!$AS$105</definedName>
    <definedName name="SCCNewLoan3LoanID" hidden="1">Serviceability!$BL$105</definedName>
    <definedName name="SCCNewLoan3LoanType" hidden="1">Serviceability!$C$105</definedName>
    <definedName name="SCCNewLoan3Term" hidden="1">Serviceability!$AP$105</definedName>
    <definedName name="SCCNewLoan4" hidden="1">Serviceability!$C$106:$BF$106</definedName>
    <definedName name="SCCNewLoan4Amount" hidden="1">Serviceability!$J$106</definedName>
    <definedName name="SCCNewLoan4FinalRate" hidden="1">Serviceability!$U$106</definedName>
    <definedName name="SCCNewLoan4IORate" hidden="1">Serviceability!$BH$106</definedName>
    <definedName name="SCCNewLoan4IOTerm" hidden="1">Serviceability!$AS$106</definedName>
    <definedName name="SCCNewLoan4LoanID" hidden="1">Serviceability!$BL$106</definedName>
    <definedName name="SCCNewLoan4LoanType" hidden="1">Serviceability!$C$106</definedName>
    <definedName name="SCCNewLoan4Term" hidden="1">Serviceability!$AP$106</definedName>
    <definedName name="SCCNewLoan5" hidden="1">Serviceability!$C$107:$BF$107</definedName>
    <definedName name="SCCNewLoan5Amount" hidden="1">Serviceability!$J$107</definedName>
    <definedName name="SCCNewLoan5FinalRate" hidden="1">Serviceability!$U$107</definedName>
    <definedName name="SCCNewLoan5IORate" hidden="1">Serviceability!$BH$107</definedName>
    <definedName name="SCCNewLoan5IOTerm" hidden="1">Serviceability!$AS$107</definedName>
    <definedName name="SCCNewLoan5LoanID" hidden="1">Serviceability!$BL$107</definedName>
    <definedName name="SCCNewLoan5LoanType" hidden="1">Serviceability!$C$107</definedName>
    <definedName name="SCCNewLoan5Term" hidden="1">Serviceability!$AP$107</definedName>
    <definedName name="SCCNewLoan6" hidden="1">Serviceability!$C$108:$BF$108</definedName>
    <definedName name="SCCNewLoan6Amount" hidden="1">Serviceability!$J$108</definedName>
    <definedName name="SCCNewLoan6FinalRate" hidden="1">Serviceability!$U$108</definedName>
    <definedName name="SCCNewLoan6IORate" hidden="1">Serviceability!$BH$108</definedName>
    <definedName name="SCCNewLoan6IOTerm" hidden="1">Serviceability!$AS$108</definedName>
    <definedName name="SCCNewLoan6LoanID" hidden="1">Serviceability!$BL$108</definedName>
    <definedName name="SCCNewLoan6LoanType" hidden="1">Serviceability!$C$108</definedName>
    <definedName name="SCCNewLoan6Term" hidden="1">Serviceability!$AP$108</definedName>
    <definedName name="SCCNewLoan7" hidden="1">Serviceability!$C$109:$BF$109</definedName>
    <definedName name="SCCNewLoan7Amount" hidden="1">Serviceability!$J$109</definedName>
    <definedName name="SCCNewLoan7FinalRate" hidden="1">Serviceability!$U$109</definedName>
    <definedName name="SCCNewLoan7IORate" hidden="1">Serviceability!$BH$109</definedName>
    <definedName name="SCCNewLoan7IOTerm" hidden="1">Serviceability!$AS$109</definedName>
    <definedName name="SCCNewLoan7LoanID" hidden="1">Serviceability!$BL$109</definedName>
    <definedName name="SCCNewLoan7LoanType" hidden="1">Serviceability!$C$109</definedName>
    <definedName name="SCCNewLoan7Term" hidden="1">Serviceability!$AP$109</definedName>
    <definedName name="SCCNewLoan8" hidden="1">Serviceability!$C$110:$BF$110</definedName>
    <definedName name="SCCNewLoan8Amount" hidden="1">Serviceability!$J$110</definedName>
    <definedName name="SCCNewLoan8FinalRate" hidden="1">Serviceability!$U$110</definedName>
    <definedName name="SCCNewLoan8IORate" hidden="1">Serviceability!$BH$110</definedName>
    <definedName name="SCCNewLoan8IOTerm" hidden="1">Serviceability!$AS$110</definedName>
    <definedName name="SCCNewLoan8LoanID" hidden="1">Serviceability!$BL$110</definedName>
    <definedName name="SCCNewLoan8LoanType" hidden="1">Serviceability!$C$110</definedName>
    <definedName name="SCCNewLoan8Term" hidden="1">Serviceability!$AP$110</definedName>
    <definedName name="SCCNewLoan9" hidden="1">Serviceability!$C$111:$BF$111</definedName>
    <definedName name="SCCNewLoan9Amount" hidden="1">Serviceability!$J$111</definedName>
    <definedName name="SCCNewLoan9FinalRate" hidden="1">Serviceability!$U$111</definedName>
    <definedName name="SCCNewLoan9IORate" hidden="1">Serviceability!$BH$111</definedName>
    <definedName name="SCCNewLoan9IOTerm" hidden="1">Serviceability!$AS$111</definedName>
    <definedName name="SCCNewLoan9LoanID" hidden="1">Serviceability!$BL$111</definedName>
    <definedName name="SCCNewLoan9LoanType" hidden="1">Serviceability!$C$111</definedName>
    <definedName name="SCCNewLoan9Term" hidden="1">Serviceability!$AP$111</definedName>
    <definedName name="SCCNewLoanClearFields" hidden="1">Serviceability!$C$103:$I$112,Serviceability!$J$103:$AA$112,Serviceability!$AP$103:$AU$112,Serviceability!$BH$103:$BJ$112,Serviceability!$BL$103:$BR$112</definedName>
    <definedName name="SCCNewLoanCount" hidden="1">Serviceability!$S$114</definedName>
    <definedName name="SCCNewLoanIORateAll" hidden="1">Serviceability!$BH$103:$BJ$112</definedName>
    <definedName name="SCCNewLoanLoanIDAll" hidden="1">Serviceability!$BL$103:$BR$112</definedName>
    <definedName name="SCCNewLoans" hidden="1">Serviceability!$C$103:$BR$112</definedName>
    <definedName name="SCCNewLoanTerms" hidden="1">Serviceability!$AP$103:$AR$112</definedName>
    <definedName name="SCCNewLoanTypeAll" hidden="1">Serviceability!$C$103:$I$112</definedName>
    <definedName name="SCCNonSharableCommitment1" hidden="1">Serviceability!$C$264</definedName>
    <definedName name="SCCNonSharableCommitmentBorrowers" hidden="1">Serviceability!$N$264:$R$281</definedName>
    <definedName name="SCCNonSharableCommitmentCount" hidden="1">Serviceability!$A$282</definedName>
    <definedName name="SCCNonSharableCommitmentsClearAll" hidden="1">Serviceability!$C$264:$AD$281,Serviceability!$AO$264:$AZ$281</definedName>
    <definedName name="SCCNonSharableCommitmentsDataEntry" hidden="1">Serviceability!$C$264:$AZ$281</definedName>
    <definedName name="SCCNonSharableCommitmentsHideAll" hidden="1">Serviceability!$C$265:$AH$281</definedName>
    <definedName name="SCCNSC10ApplicantName" hidden="1">Serviceability!$N$273</definedName>
    <definedName name="SCCNSC10Balance" hidden="1">Serviceability!$S$273</definedName>
    <definedName name="SCCNSC10DeclaredRepayment" hidden="1">Serviceability!$AA$273</definedName>
    <definedName name="SCCNSC10Limit" hidden="1">Serviceability!$W$273</definedName>
    <definedName name="SCCNSC10Notes" hidden="1">Serviceability!$AO$273</definedName>
    <definedName name="SCCNSC10Type" hidden="1">Serviceability!$C$273</definedName>
    <definedName name="SCCNSC11ApplicantName" hidden="1">Serviceability!$N$274</definedName>
    <definedName name="SCCNSC11Balance" hidden="1">Serviceability!$S$274</definedName>
    <definedName name="SCCNSC11DeclaredRepayment" hidden="1">Serviceability!$AA$274</definedName>
    <definedName name="SCCNSC11Limit" hidden="1">Serviceability!$W$274</definedName>
    <definedName name="SCCNSC11Notes" hidden="1">Serviceability!$AO$274</definedName>
    <definedName name="SCCNSC11Type" hidden="1">Serviceability!$C$274</definedName>
    <definedName name="SCCNSC12ApplicantName" hidden="1">Serviceability!$N$275</definedName>
    <definedName name="SCCNSC12Balance" hidden="1">Serviceability!$S$275</definedName>
    <definedName name="SCCNSC12DeclaredRepayment" hidden="1">Serviceability!$AA$275</definedName>
    <definedName name="SCCNSC12Limit" hidden="1">Serviceability!$W$275</definedName>
    <definedName name="SCCNSC12Notes" hidden="1">Serviceability!$AO$275</definedName>
    <definedName name="SCCNSC12Type" hidden="1">Serviceability!$C$275</definedName>
    <definedName name="SCCNSC13ApplicantName" hidden="1">Serviceability!$N$276</definedName>
    <definedName name="SCCNSC13Balance" hidden="1">Serviceability!$S$276</definedName>
    <definedName name="SCCNSC13DeclaredRepayment" hidden="1">Serviceability!$AA$276</definedName>
    <definedName name="SCCNSC13Limit" hidden="1">Serviceability!$W$276</definedName>
    <definedName name="SCCNSC13Notes" hidden="1">Serviceability!$AO$276</definedName>
    <definedName name="SCCNSC13Type" hidden="1">Serviceability!$C$276</definedName>
    <definedName name="SCCNSC14ApplicantName" hidden="1">Serviceability!$N$277</definedName>
    <definedName name="SCCNSC14Balance" hidden="1">Serviceability!$S$277</definedName>
    <definedName name="SCCNSC14DeclaredRepayment" hidden="1">Serviceability!$AA$277</definedName>
    <definedName name="SCCNSC14Limit" hidden="1">Serviceability!$W$277</definedName>
    <definedName name="SCCNSC14Notes" hidden="1">Serviceability!$AO$277</definedName>
    <definedName name="SCCNSC14Type" hidden="1">Serviceability!$C$277</definedName>
    <definedName name="SCCNSC15ApplicantName" hidden="1">Serviceability!$N$278</definedName>
    <definedName name="SCCNSC15Balance" hidden="1">Serviceability!$S$278</definedName>
    <definedName name="SCCNSC15DeclaredRepayment" hidden="1">Serviceability!$AA$278</definedName>
    <definedName name="SCCNSC15Limit" hidden="1">Serviceability!$W$278</definedName>
    <definedName name="SCCNSC15Notes" hidden="1">Serviceability!$AO$278</definedName>
    <definedName name="SCCNSC15Type" hidden="1">Serviceability!$C$278</definedName>
    <definedName name="SCCNSC16ApplicantName" hidden="1">Serviceability!$N$279</definedName>
    <definedName name="SCCNSC16Balance" hidden="1">Serviceability!$S$279</definedName>
    <definedName name="SCCNSC16DeclaredRepayment" hidden="1">Serviceability!$AA$279</definedName>
    <definedName name="SCCNSC16Limit" hidden="1">Serviceability!$W$279</definedName>
    <definedName name="SCCNSC16Notes" hidden="1">Serviceability!$AO$279</definedName>
    <definedName name="SCCNSC16Type" hidden="1">Serviceability!$C$279</definedName>
    <definedName name="SCCNSC17ApplicantName" hidden="1">Serviceability!$N$280</definedName>
    <definedName name="SCCNSC17Balance" hidden="1">Serviceability!$S$280</definedName>
    <definedName name="SCCNSC17DeclaredRepayment" hidden="1">Serviceability!$AA$280</definedName>
    <definedName name="SCCNSC17Limit" hidden="1">Serviceability!$W$280</definedName>
    <definedName name="SCCNSC17Notes" hidden="1">Serviceability!$AO$280</definedName>
    <definedName name="SCCNSC17Type" hidden="1">Serviceability!$C$280</definedName>
    <definedName name="SCCNSC18ApplicantName" hidden="1">Serviceability!$N$281</definedName>
    <definedName name="SCCNSC18Balance" hidden="1">Serviceability!$S$281</definedName>
    <definedName name="SCCNSC18DeclaredRepayment" hidden="1">Serviceability!$AA$281</definedName>
    <definedName name="SCCNSC18Limit" hidden="1">Serviceability!$W$281</definedName>
    <definedName name="SCCNSC18Notes" hidden="1">Serviceability!$AO$281</definedName>
    <definedName name="SCCNSC18Type" hidden="1">Serviceability!$C$281</definedName>
    <definedName name="SCCNSC1ApplicantName" hidden="1">Serviceability!$N$264</definedName>
    <definedName name="SCCNSC1Balance" hidden="1">Serviceability!$S$264</definedName>
    <definedName name="SCCNSC1DeclaredRepayment" hidden="1">Serviceability!$AA$264</definedName>
    <definedName name="SCCNSC1Limit" hidden="1">Serviceability!$W$264</definedName>
    <definedName name="SCCNSC1Notes" hidden="1">Serviceability!$AO$264</definedName>
    <definedName name="SCCNSC1Type" hidden="1">Serviceability!$C$264</definedName>
    <definedName name="SCCNSC2ApplicantName" hidden="1">Serviceability!$N$265</definedName>
    <definedName name="SCCNSC2Balance" hidden="1">Serviceability!$S$265</definedName>
    <definedName name="SCCNSC2DeclaredRepayment" hidden="1">Serviceability!$AA$265</definedName>
    <definedName name="SCCNSC2Limit" hidden="1">Serviceability!$W$265</definedName>
    <definedName name="SCCNSC2Notes" hidden="1">Serviceability!$AO$265</definedName>
    <definedName name="SCCNSC2Type" hidden="1">Serviceability!$C$265</definedName>
    <definedName name="SCCNSC3ApplicantName" hidden="1">Serviceability!$N$266</definedName>
    <definedName name="SCCNSC3Balance" hidden="1">Serviceability!$S$266</definedName>
    <definedName name="SCCNSC3DeclaredRepayment" hidden="1">Serviceability!$AA$266</definedName>
    <definedName name="SCCNSC3Limit" hidden="1">Serviceability!$W$266</definedName>
    <definedName name="SCCNSC3Notes" hidden="1">Serviceability!$AO$266</definedName>
    <definedName name="SCCNSC3Type" hidden="1">Serviceability!$C$266</definedName>
    <definedName name="SCCNSC4ApplicantName" hidden="1">Serviceability!$N$267</definedName>
    <definedName name="SCCNSC4Balance" hidden="1">Serviceability!$S$267</definedName>
    <definedName name="SCCNSC4DeclaredRepayment" hidden="1">Serviceability!$AA$267</definedName>
    <definedName name="SCCNSC4Limit" hidden="1">Serviceability!$W$267</definedName>
    <definedName name="SCCNSC4Notes" hidden="1">Serviceability!$AO$267</definedName>
    <definedName name="SCCNSC4Type" hidden="1">Serviceability!$C$267</definedName>
    <definedName name="SCCNSC5ApplicantName" hidden="1">Serviceability!$N$268</definedName>
    <definedName name="SCCNSC5Balance" hidden="1">Serviceability!$S$268</definedName>
    <definedName name="SCCNSC5DeclaredRepayment" hidden="1">Serviceability!$AA$268</definedName>
    <definedName name="SCCNSC5Limit" hidden="1">Serviceability!$W$268</definedName>
    <definedName name="SCCNSC5Notes" hidden="1">Serviceability!$AO$268</definedName>
    <definedName name="SCCNSC5Type" hidden="1">Serviceability!$C$268</definedName>
    <definedName name="SCCNSC6ApplicantName" hidden="1">Serviceability!$N$269</definedName>
    <definedName name="SCCNSC6Balance" hidden="1">Serviceability!$S$269</definedName>
    <definedName name="SCCNSC6DeclaredRepayment" hidden="1">Serviceability!$AA$269</definedName>
    <definedName name="SCCNSC6Limit" hidden="1">Serviceability!$W$269</definedName>
    <definedName name="SCCNSC6Notes" hidden="1">Serviceability!$AO$269</definedName>
    <definedName name="SCCNSC6Type" hidden="1">Serviceability!$C$269</definedName>
    <definedName name="SCCNSC7ApplicantName" hidden="1">Serviceability!$N$270</definedName>
    <definedName name="SCCNSC7Balance" hidden="1">Serviceability!$S$270</definedName>
    <definedName name="SCCNSC7DeclaredRepayment" hidden="1">Serviceability!$AA$270</definedName>
    <definedName name="SCCNSC7Limit" hidden="1">Serviceability!$W$270</definedName>
    <definedName name="SCCNSC7Notes" hidden="1">Serviceability!$AO$270</definedName>
    <definedName name="SCCNSC7Type" hidden="1">Serviceability!$C$270</definedName>
    <definedName name="SCCNSC8ApplicantName" hidden="1">Serviceability!$N$271</definedName>
    <definedName name="SCCNSC8Balance" hidden="1">Serviceability!$S$271</definedName>
    <definedName name="SCCNSC8DeclaredRepayment" hidden="1">Serviceability!$AA$271</definedName>
    <definedName name="SCCNSC8Limit" hidden="1">Serviceability!$W$271</definedName>
    <definedName name="SCCNSC8Notes" hidden="1">Serviceability!$AO$271</definedName>
    <definedName name="SCCNSC8Type" hidden="1">Serviceability!$C$271</definedName>
    <definedName name="SCCNSC9ApplicantName" hidden="1">Serviceability!$N$272</definedName>
    <definedName name="SCCNSC9Balance" hidden="1">Serviceability!$S$272</definedName>
    <definedName name="SCCNSC9DeclaredRepayment" hidden="1">Serviceability!$AA$272</definedName>
    <definedName name="SCCNSC9Limit" hidden="1">Serviceability!$W$272</definedName>
    <definedName name="SCCNSC9Notes" hidden="1">Serviceability!$AO$272</definedName>
    <definedName name="SCCNSC9Type" hidden="1">Serviceability!$C$272</definedName>
    <definedName name="SCCProLoanIORateFlag" hidden="1">Serviceability!$BI$99</definedName>
    <definedName name="SCCRemainingTermAll" hidden="1">Serviceability!$BG$140,Serviceability!$BG$146,Serviceability!$BG$152,Serviceability!$BG$158,Serviceability!$BG$164,Serviceability!$BG$170,Serviceability!$BG$176,Serviceability!$BG$182,Serviceability!$BG$188,Serviceability!$BG$194,Serviceability!$BG$200,Serviceability!$BG$206,Serviceability!$BG$212,Serviceability!$BG$218,Serviceability!$BG$224,Serviceability!$BG$230,Serviceability!$BG$236,Serviceability!$BG$242,Serviceability!$BG$248,Serviceability!$BG$254</definedName>
    <definedName name="SCCSC10ApplicantAssetOwnershipB1" hidden="1">Serviceability!$AD$194</definedName>
    <definedName name="SCCSC10ApplicantAssetOwnershipB2" hidden="1">Serviceability!$AD$195</definedName>
    <definedName name="SCCSC10ApplicantAssetOwnershipB3" hidden="1">Serviceability!$AD$196</definedName>
    <definedName name="SCCSC10ApplicantAssetOwnershipB4" hidden="1">Serviceability!$AD$197</definedName>
    <definedName name="SCCSC10ApplicantAssetOwnershipB5" hidden="1">Serviceability!$AD$198</definedName>
    <definedName name="SCCSC10ApplicantAssetOwnershipB6" hidden="1">Serviceability!$AD$199</definedName>
    <definedName name="SCCSC10ApplicantBorrowerCount" hidden="1">Serviceability!$R$194</definedName>
    <definedName name="SCCSC10ApplicantLiabilityOwnershipB1" hidden="1">Serviceability!$Z$194</definedName>
    <definedName name="SCCSC10ApplicantLiabilityOwnershipB2" hidden="1">Serviceability!$Z$195</definedName>
    <definedName name="SCCSC10ApplicantLiabilityOwnershipB3" hidden="1">Serviceability!$Z$196</definedName>
    <definedName name="SCCSC10ApplicantLiabilityOwnershipB4" hidden="1">Serviceability!$Z$197</definedName>
    <definedName name="SCCSC10ApplicantLiabilityOwnershipB5" hidden="1">Serviceability!$Z$198</definedName>
    <definedName name="SCCSC10ApplicantLiabilityOwnershipB6" hidden="1">Serviceability!$Z$199</definedName>
    <definedName name="SCCSC10ApplicantNameB1" hidden="1">Serviceability!$U$194</definedName>
    <definedName name="SCCSC10ApplicantNameB2" hidden="1">Serviceability!$U$195</definedName>
    <definedName name="SCCSC10ApplicantNameB3" hidden="1">Serviceability!$U$196</definedName>
    <definedName name="SCCSC10ApplicantNameB4" hidden="1">Serviceability!$U$197</definedName>
    <definedName name="SCCSC10ApplicantNameB5" hidden="1">Serviceability!$U$198</definedName>
    <definedName name="SCCSC10ApplicantNameB6" hidden="1">Serviceability!$U$199</definedName>
    <definedName name="SCCSC10Balance" hidden="1">Serviceability!$AV$194</definedName>
    <definedName name="SCCSC10BalloonPayment" hidden="1">Serviceability!$BM$194</definedName>
    <definedName name="SCCSC10DeclaredRepayment" hidden="1">Serviceability!$BI$194</definedName>
    <definedName name="SCCSC10FinalRate" hidden="1">Serviceability!$BD$194</definedName>
    <definedName name="SCCSC10Limit" hidden="1">Serviceability!$AZ$194</definedName>
    <definedName name="SCCSC10Notes" hidden="1">Serviceability!$CC$194</definedName>
    <definedName name="SCCSC10PortfolioAccount" hidden="1">Serviceability!$BQ$194</definedName>
    <definedName name="SCCSC10RemainingPITerm" hidden="1">Serviceability!$BG$194</definedName>
    <definedName name="SCCSC10Rule" hidden="1">Serviceability!$M$194</definedName>
    <definedName name="SCCSC10SpouseAssetOwnership" hidden="1">Serviceability!$AR$194</definedName>
    <definedName name="SCCSC10SpouseBorrowerCount" hidden="1">Serviceability!$AK$194</definedName>
    <definedName name="SCCSC10SpouseLiabilityOwnership" hidden="1">Serviceability!$AN$194</definedName>
    <definedName name="SCCSC10TotalBorrowerCount" hidden="1">Serviceability!$AH$194</definedName>
    <definedName name="SCCSC10Type" hidden="1">Serviceability!$C$194</definedName>
    <definedName name="SCCSC11ApplicantAssetOwnershipB1" hidden="1">Serviceability!$AD$200</definedName>
    <definedName name="SCCSC11ApplicantAssetOwnershipB2" hidden="1">Serviceability!$AD$201</definedName>
    <definedName name="SCCSC11ApplicantAssetOwnershipB3" hidden="1">Serviceability!$AD$202</definedName>
    <definedName name="SCCSC11ApplicantAssetOwnershipB4" hidden="1">Serviceability!$AD$203</definedName>
    <definedName name="SCCSC11ApplicantAssetOwnershipB5" hidden="1">Serviceability!$AD$204</definedName>
    <definedName name="SCCSC11ApplicantAssetOwnershipB6" hidden="1">Serviceability!$AD$205</definedName>
    <definedName name="SCCSC11ApplicantBorrowerCount" hidden="1">Serviceability!$R$200</definedName>
    <definedName name="SCCSC11ApplicantLiabilityOwnershipB1" hidden="1">Serviceability!$Z$200</definedName>
    <definedName name="SCCSC11ApplicantLiabilityOwnershipB2" hidden="1">Serviceability!$Z$201</definedName>
    <definedName name="SCCSC11ApplicantLiabilityOwnershipB3" hidden="1">Serviceability!$Z$202</definedName>
    <definedName name="SCCSC11ApplicantLiabilityOwnershipB4" hidden="1">Serviceability!$Z$203</definedName>
    <definedName name="SCCSC11ApplicantLiabilityOwnershipB5" hidden="1">Serviceability!$Z$204</definedName>
    <definedName name="SCCSC11ApplicantLiabilityOwnershipB6" hidden="1">Serviceability!$Z$205</definedName>
    <definedName name="SCCSC11ApplicantNameB1" hidden="1">Serviceability!$U$200</definedName>
    <definedName name="SCCSC11ApplicantNameB2" hidden="1">Serviceability!$U$201</definedName>
    <definedName name="SCCSC11ApplicantNameB3" hidden="1">Serviceability!$U$202</definedName>
    <definedName name="SCCSC11ApplicantNameB4" hidden="1">Serviceability!$U$203</definedName>
    <definedName name="SCCSC11ApplicantNameB5" hidden="1">Serviceability!$U$204</definedName>
    <definedName name="SCCSC11ApplicantNameB6" hidden="1">Serviceability!$U$205</definedName>
    <definedName name="SCCSC11Balance" hidden="1">Serviceability!$AV$200</definedName>
    <definedName name="SCCSC11BalloonPayment" hidden="1">Serviceability!$BM$200</definedName>
    <definedName name="SCCSC11DeclaredRepayment" hidden="1">Serviceability!$BI$200</definedName>
    <definedName name="SCCSC11FinalRate" hidden="1">Serviceability!$BD$200</definedName>
    <definedName name="SCCSC11Limit" hidden="1">Serviceability!$AZ$200</definedName>
    <definedName name="SCCSC11Notes" hidden="1">Serviceability!$CC$200</definedName>
    <definedName name="SCCSC11PortfolioAccount" hidden="1">Serviceability!$BQ$200</definedName>
    <definedName name="SCCSC11RemainingPITerm" hidden="1">Serviceability!$BG$200</definedName>
    <definedName name="SCCSC11Rule" hidden="1">Serviceability!$M$200</definedName>
    <definedName name="SCCSC11SpouseAssetOwnership" hidden="1">Serviceability!$AR$200</definedName>
    <definedName name="SCCSC11SpouseBorrowerCount" hidden="1">Serviceability!$AK$200</definedName>
    <definedName name="SCCSC11SpouseLiabilityOwnership" hidden="1">Serviceability!$AN$200</definedName>
    <definedName name="SCCSC11TotalBorrowerCount" hidden="1">Serviceability!$AH$200</definedName>
    <definedName name="SCCSC11Type" hidden="1">Serviceability!$C$200</definedName>
    <definedName name="SCCSC12ApplicantAssetOwnershipB1" hidden="1">Serviceability!$AD$206</definedName>
    <definedName name="SCCSC12ApplicantAssetOwnershipB2" hidden="1">Serviceability!$AD$207</definedName>
    <definedName name="SCCSC12ApplicantAssetOwnershipB3" hidden="1">Serviceability!$AD$208</definedName>
    <definedName name="SCCSC12ApplicantAssetOwnershipB4" hidden="1">Serviceability!$AD$209</definedName>
    <definedName name="SCCSC12ApplicantAssetOwnershipB5" hidden="1">Serviceability!$AD$210</definedName>
    <definedName name="SCCSC12ApplicantAssetOwnershipB6" hidden="1">Serviceability!$AD$211</definedName>
    <definedName name="SCCSC12ApplicantBorrowerCount" hidden="1">Serviceability!$R$206</definedName>
    <definedName name="SCCSC12ApplicantLiabilityOwnershipB1" hidden="1">Serviceability!$Z$206</definedName>
    <definedName name="SCCSC12ApplicantLiabilityOwnershipB2" hidden="1">Serviceability!$Z$207</definedName>
    <definedName name="SCCSC12ApplicantLiabilityOwnershipB3" hidden="1">Serviceability!$Z$208</definedName>
    <definedName name="SCCSC12ApplicantLiabilityOwnershipB4" hidden="1">Serviceability!$Z$209</definedName>
    <definedName name="SCCSC12ApplicantLiabilityOwnershipB5" hidden="1">Serviceability!$Z$210</definedName>
    <definedName name="SCCSC12ApplicantLiabilityOwnershipB6" hidden="1">Serviceability!$Z$211</definedName>
    <definedName name="SCCSC12ApplicantNameB1" hidden="1">Serviceability!$U$206</definedName>
    <definedName name="SCCSC12ApplicantNameB2" hidden="1">Serviceability!$U$207</definedName>
    <definedName name="SCCSC12ApplicantNameB3" hidden="1">Serviceability!$U$208</definedName>
    <definedName name="SCCSC12ApplicantNameB4" hidden="1">Serviceability!$U$209</definedName>
    <definedName name="SCCSC12ApplicantNameB5" hidden="1">Serviceability!$U$210</definedName>
    <definedName name="SCCSC12ApplicantNameB6" hidden="1">Serviceability!$U$211</definedName>
    <definedName name="SCCSC12Balance" hidden="1">Serviceability!$AV$206</definedName>
    <definedName name="SCCSC12BalloonPayment" hidden="1">Serviceability!$BM$206</definedName>
    <definedName name="SCCSC12DeclaredRepayment" hidden="1">Serviceability!$BI$206</definedName>
    <definedName name="SCCSC12FinalRate" hidden="1">Serviceability!$BD$206</definedName>
    <definedName name="SCCSC12Limit" hidden="1">Serviceability!$AZ$206</definedName>
    <definedName name="SCCSC12Notes" hidden="1">Serviceability!$CC$206</definedName>
    <definedName name="SCCSC12PortfolioAccount" hidden="1">Serviceability!$BQ$206</definedName>
    <definedName name="SCCSC12RemainingPITerm" hidden="1">Serviceability!$BG$206</definedName>
    <definedName name="SCCSC12Rule" hidden="1">Serviceability!$M$206</definedName>
    <definedName name="SCCSC12SpouseAssetOwnership" hidden="1">Serviceability!$AR$206</definedName>
    <definedName name="SCCSC12SpouseBorrowerCount" hidden="1">Serviceability!$AK$206</definedName>
    <definedName name="SCCSC12SpouseLiabilityOwnership" hidden="1">Serviceability!$AN$206</definedName>
    <definedName name="SCCSC12TotalBorrowerCount" hidden="1">Serviceability!$AH$206</definedName>
    <definedName name="SCCSC12Type" hidden="1">Serviceability!$C$206</definedName>
    <definedName name="SCCSC13ApplicantAssetOwnershipB1" hidden="1">Serviceability!$AD$212</definedName>
    <definedName name="SCCSC13ApplicantAssetOwnershipB2" hidden="1">Serviceability!$AD$213</definedName>
    <definedName name="SCCSC13ApplicantAssetOwnershipB3" hidden="1">Serviceability!$AD$214</definedName>
    <definedName name="SCCSC13ApplicantAssetOwnershipB4" hidden="1">Serviceability!$AD$215</definedName>
    <definedName name="SCCSC13ApplicantAssetOwnershipB5" hidden="1">Serviceability!$AD$216</definedName>
    <definedName name="SCCSC13ApplicantAssetOwnershipB6" hidden="1">Serviceability!$AD$217</definedName>
    <definedName name="SCCSC13ApplicantBorrowerCount" hidden="1">Serviceability!$R$212</definedName>
    <definedName name="SCCSC13ApplicantLiabilityOwnershipB1" hidden="1">Serviceability!$Z$212</definedName>
    <definedName name="SCCSC13ApplicantLiabilityOwnershipB2" hidden="1">Serviceability!$Z$213</definedName>
    <definedName name="SCCSC13ApplicantLiabilityOwnershipB3" hidden="1">Serviceability!$Z$214</definedName>
    <definedName name="SCCSC13ApplicantLiabilityOwnershipB4" hidden="1">Serviceability!$Z$215</definedName>
    <definedName name="SCCSC13ApplicantLiabilityOwnershipB5" hidden="1">Serviceability!$Z$216</definedName>
    <definedName name="SCCSC13ApplicantLiabilityOwnershipB6" hidden="1">Serviceability!$Z$217</definedName>
    <definedName name="SCCSC13ApplicantNameB1" hidden="1">Serviceability!$U$212</definedName>
    <definedName name="SCCSC13ApplicantNameB2" hidden="1">Serviceability!$U$213</definedName>
    <definedName name="SCCSC13ApplicantNameB3" hidden="1">Serviceability!$U$214</definedName>
    <definedName name="SCCSC13ApplicantNameB4" hidden="1">Serviceability!$U$215</definedName>
    <definedName name="SCCSC13ApplicantNameB5" hidden="1">Serviceability!$U$216</definedName>
    <definedName name="SCCSC13ApplicantNameB6" hidden="1">Serviceability!$U$217</definedName>
    <definedName name="SCCSC13Balance" hidden="1">Serviceability!$AV$212</definedName>
    <definedName name="SCCSC13BalloonPayment" hidden="1">Serviceability!$BM$212</definedName>
    <definedName name="SCCSC13DeclaredRepayment" hidden="1">Serviceability!$BI$212</definedName>
    <definedName name="SCCSC13FinalRate" hidden="1">Serviceability!$BD$212</definedName>
    <definedName name="SCCSC13Limit" hidden="1">Serviceability!$AZ$212</definedName>
    <definedName name="SCCSC13Notes" hidden="1">Serviceability!$CC$212</definedName>
    <definedName name="SCCSC13PortfolioAccount" hidden="1">Serviceability!$BQ$212</definedName>
    <definedName name="SCCSC13RemainingPITerm" hidden="1">Serviceability!$BG$212</definedName>
    <definedName name="SCCSC13Rule" hidden="1">Serviceability!$M$212</definedName>
    <definedName name="SCCSC13SpouseAssetOwnership" hidden="1">Serviceability!$AR$212</definedName>
    <definedName name="SCCSC13SpouseBorrowerCount" hidden="1">Serviceability!$AK$212</definedName>
    <definedName name="SCCSC13SpouseLiabilityOwnership" hidden="1">Serviceability!$AN$212</definedName>
    <definedName name="SCCSC13TotalBorrowerCount" hidden="1">Serviceability!$AH$212</definedName>
    <definedName name="SCCSC13Type" hidden="1">Serviceability!$C$212</definedName>
    <definedName name="SCCSC14ApplicantAssetOwnershipB1" hidden="1">Serviceability!$AD$218</definedName>
    <definedName name="SCCSC14ApplicantAssetOwnershipB2" hidden="1">Serviceability!$AD$219</definedName>
    <definedName name="SCCSC14ApplicantAssetOwnershipB3" hidden="1">Serviceability!$AD$220</definedName>
    <definedName name="SCCSC14ApplicantAssetOwnershipB4" hidden="1">Serviceability!$AD$221</definedName>
    <definedName name="SCCSC14ApplicantAssetOwnershipB5" hidden="1">Serviceability!$AD$222</definedName>
    <definedName name="SCCSC14ApplicantAssetOwnershipB6" hidden="1">Serviceability!$AD$223</definedName>
    <definedName name="SCCSC14ApplicantBorrowerCount" hidden="1">Serviceability!$R$218</definedName>
    <definedName name="SCCSC14ApplicantLiabilityOwnershipB1" hidden="1">Serviceability!$Z$218</definedName>
    <definedName name="SCCSC14ApplicantLiabilityOwnershipB2" hidden="1">Serviceability!$Z$219</definedName>
    <definedName name="SCCSC14ApplicantLiabilityOwnershipB3" hidden="1">Serviceability!$Z$220</definedName>
    <definedName name="SCCSC14ApplicantLiabilityOwnershipB4" hidden="1">Serviceability!$Z$221</definedName>
    <definedName name="SCCSC14ApplicantLiabilityOwnershipB5" hidden="1">Serviceability!$Z$222</definedName>
    <definedName name="SCCSC14ApplicantLiabilityOwnershipB6" hidden="1">Serviceability!$Z$223</definedName>
    <definedName name="SCCSC14ApplicantNameB1" hidden="1">Serviceability!$U$218</definedName>
    <definedName name="SCCSC14ApplicantNameB2" hidden="1">Serviceability!$U$219</definedName>
    <definedName name="SCCSC14ApplicantNameB3" hidden="1">Serviceability!$U$220</definedName>
    <definedName name="SCCSC14ApplicantNameB4" hidden="1">Serviceability!$U$221</definedName>
    <definedName name="SCCSC14ApplicantNameB5" hidden="1">Serviceability!$U$222</definedName>
    <definedName name="SCCSC14ApplicantNameB6" hidden="1">Serviceability!$U$223</definedName>
    <definedName name="SCCSC14Balance" hidden="1">Serviceability!$AV$218</definedName>
    <definedName name="SCCSC14BalloonPayment" hidden="1">Serviceability!$BM$218</definedName>
    <definedName name="SCCSC14DeclaredRepayment" hidden="1">Serviceability!$BI$218</definedName>
    <definedName name="SCCSC14FinalRate" hidden="1">Serviceability!$BD$218</definedName>
    <definedName name="SCCSC14Limit" hidden="1">Serviceability!$AZ$218</definedName>
    <definedName name="SCCSC14Notes" hidden="1">Serviceability!$CC$218</definedName>
    <definedName name="SCCSC14PortfolioAccount" hidden="1">Serviceability!$BQ$218</definedName>
    <definedName name="SCCSC14RemainingPITerm" hidden="1">Serviceability!$BG$218</definedName>
    <definedName name="SCCSC14Rule" hidden="1">Serviceability!$M$218</definedName>
    <definedName name="SCCSC14SpouseAssetOwnership" hidden="1">Serviceability!$AR$218</definedName>
    <definedName name="SCCSC14SpouseBorrowerCount" hidden="1">Serviceability!$AK$218</definedName>
    <definedName name="SCCSC14SpouseLiabilityOwnership" hidden="1">Serviceability!$AN$218</definedName>
    <definedName name="SCCSC14TotalBorrowerCount" hidden="1">Serviceability!$AH$218</definedName>
    <definedName name="SCCSC14Type" hidden="1">Serviceability!$C$218</definedName>
    <definedName name="SCCSC15ApplicantAssetOwnershipB1" hidden="1">Serviceability!$AD$224</definedName>
    <definedName name="SCCSC15ApplicantAssetOwnershipB2" hidden="1">Serviceability!$AD$225</definedName>
    <definedName name="SCCSC15ApplicantAssetOwnershipB3" hidden="1">Serviceability!$AD$226</definedName>
    <definedName name="SCCSC15ApplicantAssetOwnershipB4" hidden="1">Serviceability!$AD$227</definedName>
    <definedName name="SCCSC15ApplicantAssetOwnershipB5" hidden="1">Serviceability!$AD$228</definedName>
    <definedName name="SCCSC15ApplicantAssetOwnershipB6" hidden="1">Serviceability!$AD$229</definedName>
    <definedName name="SCCSC15ApplicantBorrowerCount" hidden="1">Serviceability!$R$224</definedName>
    <definedName name="SCCSC15ApplicantLiabilityOwnershipB1" hidden="1">Serviceability!$Z$224</definedName>
    <definedName name="SCCSC15ApplicantLiabilityOwnershipB2" hidden="1">Serviceability!$Z$225</definedName>
    <definedName name="SCCSC15ApplicantLiabilityOwnershipB3" hidden="1">Serviceability!$Z$226</definedName>
    <definedName name="SCCSC15ApplicantLiabilityOwnershipB4" hidden="1">Serviceability!$Z$227</definedName>
    <definedName name="SCCSC15ApplicantLiabilityOwnershipB5" hidden="1">Serviceability!$Z$228</definedName>
    <definedName name="SCCSC15ApplicantLiabilityOwnershipB6" hidden="1">Serviceability!$Z$229</definedName>
    <definedName name="SCCSC15ApplicantNameB1" hidden="1">Serviceability!$U$224</definedName>
    <definedName name="SCCSC15ApplicantNameB2" hidden="1">Serviceability!$U$225</definedName>
    <definedName name="SCCSC15ApplicantNameB3" hidden="1">Serviceability!$U$226</definedName>
    <definedName name="SCCSC15ApplicantNameB4" hidden="1">Serviceability!$U$227</definedName>
    <definedName name="SCCSC15ApplicantNameB5" hidden="1">Serviceability!$U$228</definedName>
    <definedName name="SCCSC15ApplicantNameB6" hidden="1">Serviceability!$U$229</definedName>
    <definedName name="SCCSC15Balance" hidden="1">Serviceability!$AV$224</definedName>
    <definedName name="SCCSC15BalloonPayment" hidden="1">Serviceability!$BM$224</definedName>
    <definedName name="SCCSC15DeclaredRepayment" hidden="1">Serviceability!$BI$224</definedName>
    <definedName name="SCCSC15FinalRate" hidden="1">Serviceability!$BD$224</definedName>
    <definedName name="SCCSC15Limit" hidden="1">Serviceability!$AZ$224</definedName>
    <definedName name="SCCSC15Notes" hidden="1">Serviceability!$CC$224</definedName>
    <definedName name="SCCSC15PortfolioAccount" hidden="1">Serviceability!$BQ$224</definedName>
    <definedName name="SCCSC15RemainingPITerm" hidden="1">Serviceability!$BG$224</definedName>
    <definedName name="SCCSC15Rule" hidden="1">Serviceability!$M$224</definedName>
    <definedName name="SCCSC15SpouseAssetOwnership" hidden="1">Serviceability!$AR$224</definedName>
    <definedName name="SCCSC15SpouseBorrowerCount" hidden="1">Serviceability!$AK$224</definedName>
    <definedName name="SCCSC15SpouseLiabilityOwnership" hidden="1">Serviceability!$AN$224</definedName>
    <definedName name="SCCSC15TotalBorrowerCount" hidden="1">Serviceability!$AH$224</definedName>
    <definedName name="SCCSC15Type" hidden="1">Serviceability!$C$224</definedName>
    <definedName name="SCCSC16ApplicantAssetOwnershipB1" hidden="1">Serviceability!$AD$230</definedName>
    <definedName name="SCCSC16ApplicantAssetOwnershipB2" hidden="1">Serviceability!$AD$231</definedName>
    <definedName name="SCCSC16ApplicantAssetOwnershipB3" hidden="1">Serviceability!$AD$232</definedName>
    <definedName name="SCCSC16ApplicantAssetOwnershipB4" hidden="1">Serviceability!$AD$233</definedName>
    <definedName name="SCCSC16ApplicantAssetOwnershipB5" hidden="1">Serviceability!$AD$234</definedName>
    <definedName name="SCCSC16ApplicantAssetOwnershipB6" hidden="1">Serviceability!$AD$235</definedName>
    <definedName name="SCCSC16ApplicantBorrowerCount" hidden="1">Serviceability!$R$230</definedName>
    <definedName name="SCCSC16ApplicantLiabilityOwnershipB1" hidden="1">Serviceability!$Z$230</definedName>
    <definedName name="SCCSC16ApplicantLiabilityOwnershipB2" hidden="1">Serviceability!$Z$231</definedName>
    <definedName name="SCCSC16ApplicantLiabilityOwnershipB3" hidden="1">Serviceability!$Z$232</definedName>
    <definedName name="SCCSC16ApplicantLiabilityOwnershipB4" hidden="1">Serviceability!$Z$233</definedName>
    <definedName name="SCCSC16ApplicantLiabilityOwnershipB5" hidden="1">Serviceability!$Z$234</definedName>
    <definedName name="SCCSC16ApplicantLiabilityOwnershipB6" hidden="1">Serviceability!$Z$235</definedName>
    <definedName name="SCCSC16ApplicantNameB1" hidden="1">Serviceability!$U$230</definedName>
    <definedName name="SCCSC16ApplicantNameB2" hidden="1">Serviceability!$U$231</definedName>
    <definedName name="SCCSC16ApplicantNameB3" hidden="1">Serviceability!$U$232</definedName>
    <definedName name="SCCSC16ApplicantNameB4" hidden="1">Serviceability!$U$233</definedName>
    <definedName name="SCCSC16ApplicantNameB5" hidden="1">Serviceability!$U$234</definedName>
    <definedName name="SCCSC16ApplicantNameB6" hidden="1">Serviceability!$U$235</definedName>
    <definedName name="SCCSC16Balance" hidden="1">Serviceability!$AV$230</definedName>
    <definedName name="SCCSC16BalloonPayment" hidden="1">Serviceability!$BM$230</definedName>
    <definedName name="SCCSC16DeclaredRepayment" hidden="1">Serviceability!$BI$230</definedName>
    <definedName name="SCCSC16FinalRate" hidden="1">Serviceability!$BD$230</definedName>
    <definedName name="SCCSC16Limit" hidden="1">Serviceability!$AZ$230</definedName>
    <definedName name="SCCSC16Notes" hidden="1">Serviceability!$CC$230</definedName>
    <definedName name="SCCSC16PortfolioAccount" hidden="1">Serviceability!$BQ$230</definedName>
    <definedName name="SCCSC16RemainingPITerm" hidden="1">Serviceability!$BG$230</definedName>
    <definedName name="SCCSC16Rule" hidden="1">Serviceability!$M$230</definedName>
    <definedName name="SCCSC16SpouseAssetOwnership" hidden="1">Serviceability!$AR$230</definedName>
    <definedName name="SCCSC16SpouseBorrowerCount" hidden="1">Serviceability!$AK$230</definedName>
    <definedName name="SCCSC16SpouseLiabilityOwnership" hidden="1">Serviceability!$AN$230</definedName>
    <definedName name="SCCSC16TotalBorrowerCount" hidden="1">Serviceability!$AH$230</definedName>
    <definedName name="SCCSC16Type" hidden="1">Serviceability!$C$230</definedName>
    <definedName name="SCCSC17ApplicantAssetOwnershipB1" hidden="1">Serviceability!$AD$236</definedName>
    <definedName name="SCCSC17ApplicantAssetOwnershipB2" hidden="1">Serviceability!$AD$237</definedName>
    <definedName name="SCCSC17ApplicantAssetOwnershipB3" hidden="1">Serviceability!$AD$238</definedName>
    <definedName name="SCCSC17ApplicantAssetOwnershipB4" hidden="1">Serviceability!$AD$239</definedName>
    <definedName name="SCCSC17ApplicantAssetOwnershipB5" hidden="1">Serviceability!$AD$240</definedName>
    <definedName name="SCCSC17ApplicantAssetOwnershipB6" hidden="1">Serviceability!$AD$241</definedName>
    <definedName name="SCCSC17ApplicantBorrowerCount" hidden="1">Serviceability!$R$236</definedName>
    <definedName name="SCCSC17ApplicantLiabilityOwnershipB1" hidden="1">Serviceability!$Z$236</definedName>
    <definedName name="SCCSC17ApplicantLiabilityOwnershipB2" hidden="1">Serviceability!$Z$237</definedName>
    <definedName name="SCCSC17ApplicantLiabilityOwnershipB3" hidden="1">Serviceability!$Z$238</definedName>
    <definedName name="SCCSC17ApplicantLiabilityOwnershipB4" hidden="1">Serviceability!$Z$239</definedName>
    <definedName name="SCCSC17ApplicantLiabilityOwnershipB5" hidden="1">Serviceability!$Z$240</definedName>
    <definedName name="SCCSC17ApplicantLiabilityOwnershipB6" hidden="1">Serviceability!$Z$241</definedName>
    <definedName name="SCCSC17ApplicantNameB1" hidden="1">Serviceability!$U$236</definedName>
    <definedName name="SCCSC17ApplicantNameB2" hidden="1">Serviceability!$U$237</definedName>
    <definedName name="SCCSC17ApplicantNameB3" hidden="1">Serviceability!$U$238</definedName>
    <definedName name="SCCSC17ApplicantNameB4" hidden="1">Serviceability!$U$239</definedName>
    <definedName name="SCCSC17ApplicantNameB5" hidden="1">Serviceability!$U$240</definedName>
    <definedName name="SCCSC17ApplicantNameB6" hidden="1">Serviceability!$U$241</definedName>
    <definedName name="SCCSC17Balance" hidden="1">Serviceability!$AV$236</definedName>
    <definedName name="SCCSC17BalloonPayment" hidden="1">Serviceability!$BM$236</definedName>
    <definedName name="SCCSC17DeclaredRepayment" hidden="1">Serviceability!$BI$236</definedName>
    <definedName name="SCCSC17FinalRate" hidden="1">Serviceability!$BD$236</definedName>
    <definedName name="SCCSC17Limit" hidden="1">Serviceability!$AZ$236</definedName>
    <definedName name="SCCSC17Notes" hidden="1">Serviceability!$CC$236</definedName>
    <definedName name="SCCSC17PortfolioAccount" hidden="1">Serviceability!$BQ$236</definedName>
    <definedName name="SCCSC17RemainingPITerm" hidden="1">Serviceability!$BG$236</definedName>
    <definedName name="SCCSC17Rule" hidden="1">Serviceability!$M$236</definedName>
    <definedName name="SCCSC17SpouseAssetOwnership" hidden="1">Serviceability!$AR$236</definedName>
    <definedName name="SCCSC17SpouseBorrowerCount" hidden="1">Serviceability!$AK$236</definedName>
    <definedName name="SCCSC17SpouseLiabilityOwnership" hidden="1">Serviceability!$AN$236</definedName>
    <definedName name="SCCSC17TotalBorrowerCount" hidden="1">Serviceability!$AH$236</definedName>
    <definedName name="SCCSC17Type" hidden="1">Serviceability!$C$236</definedName>
    <definedName name="SCCSC18ApplicantAssetOwnershipB1" hidden="1">Serviceability!$AD$242</definedName>
    <definedName name="SCCSC18ApplicantAssetOwnershipB2" hidden="1">Serviceability!$AD$243</definedName>
    <definedName name="SCCSC18ApplicantAssetOwnershipB3" hidden="1">Serviceability!$AD$244</definedName>
    <definedName name="SCCSC18ApplicantAssetOwnershipB4" hidden="1">Serviceability!$AD$245</definedName>
    <definedName name="SCCSC18ApplicantAssetOwnershipB5" hidden="1">Serviceability!$AD$246</definedName>
    <definedName name="SCCSC18ApplicantAssetOwnershipB6" hidden="1">Serviceability!$AD$247</definedName>
    <definedName name="SCCSC18ApplicantBorrowerCount" hidden="1">Serviceability!$R$242</definedName>
    <definedName name="SCCSC18ApplicantLiabilityOwnershipB1" hidden="1">Serviceability!$Z$242</definedName>
    <definedName name="SCCSC18ApplicantLiabilityOwnershipB2" hidden="1">Serviceability!$Z$243</definedName>
    <definedName name="SCCSC18ApplicantLiabilityOwnershipB3" hidden="1">Serviceability!$Z$244</definedName>
    <definedName name="SCCSC18ApplicantLiabilityOwnershipB4" hidden="1">Serviceability!$Z$245</definedName>
    <definedName name="SCCSC18ApplicantLiabilityOwnershipB5" hidden="1">Serviceability!$Z$246</definedName>
    <definedName name="SCCSC18ApplicantLiabilityOwnershipB6" hidden="1">Serviceability!$Z$247</definedName>
    <definedName name="SCCSC18ApplicantNameB1" hidden="1">Serviceability!$U$242</definedName>
    <definedName name="SCCSC18ApplicantNameB2" hidden="1">Serviceability!$U$243</definedName>
    <definedName name="SCCSC18ApplicantNameB3" hidden="1">Serviceability!$U$244</definedName>
    <definedName name="SCCSC18ApplicantNameB4" hidden="1">Serviceability!$U$245</definedName>
    <definedName name="SCCSC18ApplicantNameB5" hidden="1">Serviceability!$U$246</definedName>
    <definedName name="SCCSC18ApplicantNameB6" hidden="1">Serviceability!$U$247</definedName>
    <definedName name="SCCSC18Balance" hidden="1">Serviceability!$AV$242</definedName>
    <definedName name="SCCSC18BalloonPayment" hidden="1">Serviceability!$BM$242</definedName>
    <definedName name="SCCSC18DeclaredRepayment" hidden="1">Serviceability!$BI$242</definedName>
    <definedName name="SCCSC18FinalRate" hidden="1">Serviceability!$BD$242</definedName>
    <definedName name="SCCSC18Limit" hidden="1">Serviceability!$AZ$242</definedName>
    <definedName name="SCCSC18Notes" hidden="1">Serviceability!$CC$242</definedName>
    <definedName name="SCCSC18PortfolioAccount" hidden="1">Serviceability!$BQ$242</definedName>
    <definedName name="SCCSC18RemainingPITerm" hidden="1">Serviceability!$BG$242</definedName>
    <definedName name="SCCSC18Rule" hidden="1">Serviceability!$M$242</definedName>
    <definedName name="SCCSC18SpouseAssetOwnership" hidden="1">Serviceability!$AR$242</definedName>
    <definedName name="SCCSC18SpouseBorrowerCount" hidden="1">Serviceability!$AK$242</definedName>
    <definedName name="SCCSC18SpouseLiabilityOwnership" hidden="1">Serviceability!$AN$242</definedName>
    <definedName name="SCCSC18TotalBorrowerCount" hidden="1">Serviceability!$AH$242</definedName>
    <definedName name="SCCSC18Type" hidden="1">Serviceability!$C$242</definedName>
    <definedName name="SCCSC19ApplicantAssetOwnershipB1" hidden="1">Serviceability!$AD$248</definedName>
    <definedName name="SCCSC19ApplicantAssetOwnershipB2" hidden="1">Serviceability!$AD$249</definedName>
    <definedName name="SCCSC19ApplicantAssetOwnershipB3" hidden="1">Serviceability!$AD$250</definedName>
    <definedName name="SCCSC19ApplicantAssetOwnershipB4" hidden="1">Serviceability!$AD$251</definedName>
    <definedName name="SCCSC19ApplicantAssetOwnershipB5" hidden="1">Serviceability!$AD$252</definedName>
    <definedName name="SCCSC19ApplicantAssetOwnershipB6" hidden="1">Serviceability!$AD$253</definedName>
    <definedName name="SCCSC19ApplicantBorrowerCount" hidden="1">Serviceability!$R$248</definedName>
    <definedName name="SCCSC19ApplicantLiabilityOwnershipB1" hidden="1">Serviceability!$Z$248</definedName>
    <definedName name="SCCSC19ApplicantLiabilityOwnershipB2" hidden="1">Serviceability!$Z$249</definedName>
    <definedName name="SCCSC19ApplicantLiabilityOwnershipB3" hidden="1">Serviceability!$Z$250</definedName>
    <definedName name="SCCSC19ApplicantLiabilityOwnershipB4" hidden="1">Serviceability!$Z$251</definedName>
    <definedName name="SCCSC19ApplicantLiabilityOwnershipB5" hidden="1">Serviceability!$Z$252</definedName>
    <definedName name="SCCSC19ApplicantLiabilityOwnershipB6" hidden="1">Serviceability!$Z$253</definedName>
    <definedName name="SCCSC19ApplicantNameB1" hidden="1">Serviceability!$U$248</definedName>
    <definedName name="SCCSC19ApplicantNameB2" hidden="1">Serviceability!$U$249</definedName>
    <definedName name="SCCSC19ApplicantNameB3" hidden="1">Serviceability!$U$250</definedName>
    <definedName name="SCCSC19ApplicantNameB4" hidden="1">Serviceability!$U$251</definedName>
    <definedName name="SCCSC19ApplicantNameB5" hidden="1">Serviceability!$U$252</definedName>
    <definedName name="SCCSC19ApplicantNameB6" hidden="1">Serviceability!$U$253</definedName>
    <definedName name="SCCSC19Balance" hidden="1">Serviceability!$AV$248</definedName>
    <definedName name="SCCSC19BalloonPayment" hidden="1">Serviceability!$BM$248</definedName>
    <definedName name="SCCSC19DeclaredRepayment" hidden="1">Serviceability!$BI$248</definedName>
    <definedName name="SCCSC19FinalRate" hidden="1">Serviceability!$BD$248</definedName>
    <definedName name="SCCSC19Limit" hidden="1">Serviceability!$AZ$248</definedName>
    <definedName name="SCCSC19Notes" hidden="1">Serviceability!$CC$248</definedName>
    <definedName name="SCCSC19PortfolioAccount" hidden="1">Serviceability!$BQ$248</definedName>
    <definedName name="SCCSC19RemainingPITerm" hidden="1">Serviceability!$BG$248</definedName>
    <definedName name="SCCSC19Rule" hidden="1">Serviceability!$M$248</definedName>
    <definedName name="SCCSC19SpouseAssetOwnership" hidden="1">Serviceability!$AR$248</definedName>
    <definedName name="SCCSC19SpouseBorrowerCount" hidden="1">Serviceability!$AK$248</definedName>
    <definedName name="SCCSC19SpouseLiabilityOwnership" hidden="1">Serviceability!$AN$248</definedName>
    <definedName name="SCCSC19TotalBorrowerCount" hidden="1">Serviceability!$AH$248</definedName>
    <definedName name="SCCSC19Type" hidden="1">Serviceability!$C$248</definedName>
    <definedName name="SCCSC1ApplicantAssetOwnershipB1" hidden="1">Serviceability!$AD$140</definedName>
    <definedName name="SCCSC1ApplicantAssetOwnershipB2" hidden="1">Serviceability!$AD$141</definedName>
    <definedName name="SCCSC1ApplicantAssetOwnershipB3" hidden="1">Serviceability!$AD$142</definedName>
    <definedName name="SCCSC1ApplicantAssetOwnershipB4" hidden="1">Serviceability!$AD$143</definedName>
    <definedName name="SCCSC1ApplicantAssetOwnershipB5" hidden="1">Serviceability!$AD$144</definedName>
    <definedName name="SCCSC1ApplicantAssetOwnershipB6" hidden="1">Serviceability!$AD$145</definedName>
    <definedName name="SCCSC1ApplicantBorrowerCount" hidden="1">Serviceability!$R$140</definedName>
    <definedName name="SCCSC1ApplicantLiabilityOwnershipB1" hidden="1">Serviceability!$Z$140</definedName>
    <definedName name="SCCSC1ApplicantLiabilityOwnershipB2" hidden="1">Serviceability!$Z$141</definedName>
    <definedName name="SCCSC1ApplicantLiabilityOwnershipB3" hidden="1">Serviceability!$Z$142</definedName>
    <definedName name="SCCSC1ApplicantLiabilityOwnershipB4" hidden="1">Serviceability!$Z$143</definedName>
    <definedName name="SCCSC1ApplicantLiabilityOwnershipB5" hidden="1">Serviceability!$Z$144</definedName>
    <definedName name="SCCSC1ApplicantLiabilityOwnershipB6" hidden="1">Serviceability!$Z$145</definedName>
    <definedName name="SCCSC1ApplicantNameB1" hidden="1">Serviceability!$U$140</definedName>
    <definedName name="SCCSC1ApplicantNameB2" hidden="1">Serviceability!$U$141</definedName>
    <definedName name="SCCSC1ApplicantNameB3" hidden="1">Serviceability!$U$142</definedName>
    <definedName name="SCCSC1ApplicantNameB4" hidden="1">Serviceability!$U$143</definedName>
    <definedName name="SCCSC1ApplicantNameB5" hidden="1">Serviceability!$U$144</definedName>
    <definedName name="SCCSC1ApplicantNameB6" hidden="1">Serviceability!$U$145</definedName>
    <definedName name="SCCSC1Balance" hidden="1">Serviceability!$AV$140</definedName>
    <definedName name="SCCSC1BalloonPayment" hidden="1">Serviceability!$BM$140</definedName>
    <definedName name="SCCSC1DeclaredRepayment" hidden="1">Serviceability!$BI$140</definedName>
    <definedName name="SCCSC1FinalRate" hidden="1">Serviceability!$BD$140</definedName>
    <definedName name="SCCSC1Limit" hidden="1">Serviceability!$AZ$140</definedName>
    <definedName name="SCCSC1Notes" hidden="1">Serviceability!$CC$140</definedName>
    <definedName name="SCCSC1PortfolioAccount" hidden="1">Serviceability!$BQ$140</definedName>
    <definedName name="SCCSC1RemainingPITerm" hidden="1">Serviceability!$BG$140</definedName>
    <definedName name="SCCSC1Rule" hidden="1">Serviceability!$M$140</definedName>
    <definedName name="SCCSC1SpouseAssetOwnership" hidden="1">Serviceability!$AR$140</definedName>
    <definedName name="SCCSC1SpouseBorrowerCount" hidden="1">Serviceability!$AK$140</definedName>
    <definedName name="SCCSC1SpouseLiabilityOwnership" hidden="1">Serviceability!$AN$140</definedName>
    <definedName name="SCCSC1TotalBorrowerCount" hidden="1">Serviceability!$AH$140</definedName>
    <definedName name="SCCSC1Type" hidden="1">Serviceability!$C$140</definedName>
    <definedName name="SCCSC20ApplicantAssetOwnershipB1" hidden="1">Serviceability!$AD$254</definedName>
    <definedName name="SCCSC20ApplicantAssetOwnershipB2" hidden="1">Serviceability!$AD$255</definedName>
    <definedName name="SCCSC20ApplicantAssetOwnershipB3" hidden="1">Serviceability!$AD$256</definedName>
    <definedName name="SCCSC20ApplicantAssetOwnershipB4" hidden="1">Serviceability!$AD$257</definedName>
    <definedName name="SCCSC20ApplicantAssetOwnershipB5" hidden="1">Serviceability!$AD$258</definedName>
    <definedName name="SCCSC20ApplicantAssetOwnershipB6" hidden="1">Serviceability!$AD$259</definedName>
    <definedName name="SCCSC20ApplicantBorrowerCount" hidden="1">Serviceability!$R$254</definedName>
    <definedName name="SCCSC20ApplicantLiabilityOwnershipB1" hidden="1">Serviceability!$Z$254</definedName>
    <definedName name="SCCSC20ApplicantLiabilityOwnershipB2" hidden="1">Serviceability!$Z$255</definedName>
    <definedName name="SCCSC20ApplicantLiabilityOwnershipB3" hidden="1">Serviceability!$Z$256</definedName>
    <definedName name="SCCSC20ApplicantLiabilityOwnershipB4" hidden="1">Serviceability!$Z$257</definedName>
    <definedName name="SCCSC20ApplicantLiabilityOwnershipB5" hidden="1">Serviceability!$Z$258</definedName>
    <definedName name="SCCSC20ApplicantLiabilityOwnershipB6" hidden="1">Serviceability!$Z$259</definedName>
    <definedName name="SCCSC20ApplicantNameB1" hidden="1">Serviceability!$U$254</definedName>
    <definedName name="SCCSC20ApplicantNameB2" hidden="1">Serviceability!$U$255</definedName>
    <definedName name="SCCSC20ApplicantNameB3" hidden="1">Serviceability!$U$256</definedName>
    <definedName name="SCCSC20ApplicantNameB4" hidden="1">Serviceability!$U$257</definedName>
    <definedName name="SCCSC20ApplicantNameB5" hidden="1">Serviceability!$U$258</definedName>
    <definedName name="SCCSC20ApplicantNameB6" hidden="1">Serviceability!$U$259</definedName>
    <definedName name="SCCSC20Balance" hidden="1">Serviceability!$AV$254</definedName>
    <definedName name="SCCSC20BalloonPayment" hidden="1">Serviceability!$BM$254</definedName>
    <definedName name="SCCSC20DeclaredRepayment" hidden="1">Serviceability!$BI$254</definedName>
    <definedName name="SCCSC20FinalRate" hidden="1">Serviceability!$BD$254</definedName>
    <definedName name="SCCSC20Limit" hidden="1">Serviceability!$AZ$254</definedName>
    <definedName name="SCCSC20Notes" hidden="1">Serviceability!$CC$254</definedName>
    <definedName name="SCCSC20PortfolioAccount" hidden="1">Serviceability!$BQ$254</definedName>
    <definedName name="SCCSC20RemainingPITerm" hidden="1">Serviceability!$BG$254</definedName>
    <definedName name="SCCSC20Rule" hidden="1">Serviceability!$M$254</definedName>
    <definedName name="SCCSC20SpouseAssetOwnership" hidden="1">Serviceability!$AR$254</definedName>
    <definedName name="SCCSC20SpouseBorrowerCount" hidden="1">Serviceability!$AK$254</definedName>
    <definedName name="SCCSC20SpouseLiabilityOwnership" hidden="1">Serviceability!$AN$254</definedName>
    <definedName name="SCCSC20TotalBorrowerCount" hidden="1">Serviceability!$AH$254</definedName>
    <definedName name="SCCSC20Type" hidden="1">Serviceability!$C$254</definedName>
    <definedName name="SCCSC2ApplicantAssetOwnershipB1" hidden="1">Serviceability!$AD$146</definedName>
    <definedName name="SCCSC2ApplicantAssetOwnershipB2" hidden="1">Serviceability!$AD$147</definedName>
    <definedName name="SCCSC2ApplicantAssetOwnershipB3" hidden="1">Serviceability!$AD$148</definedName>
    <definedName name="SCCSC2ApplicantAssetOwnershipB4" hidden="1">Serviceability!$AD$149</definedName>
    <definedName name="SCCSC2ApplicantAssetOwnershipB5" hidden="1">Serviceability!$AD$150</definedName>
    <definedName name="SCCSC2ApplicantAssetOwnershipB6" hidden="1">Serviceability!$AD$151</definedName>
    <definedName name="SCCSC2ApplicantBorrowerCount" hidden="1">Serviceability!$R$146</definedName>
    <definedName name="SCCSC2ApplicantLiabilityOwnershipB1" hidden="1">Serviceability!$Z$146</definedName>
    <definedName name="SCCSC2ApplicantLiabilityOwnershipB2" hidden="1">Serviceability!$Z$147</definedName>
    <definedName name="SCCSC2ApplicantLiabilityOwnershipB3" hidden="1">Serviceability!$Z$148</definedName>
    <definedName name="SCCSC2ApplicantLiabilityOwnershipB4" hidden="1">Serviceability!$Z$149</definedName>
    <definedName name="SCCSC2ApplicantLiabilityOwnershipB5" hidden="1">Serviceability!$Z$150</definedName>
    <definedName name="SCCSC2ApplicantLiabilityOwnershipB6" hidden="1">Serviceability!$Z$151</definedName>
    <definedName name="SCCSC2ApplicantNameB1" hidden="1">Serviceability!$U$146</definedName>
    <definedName name="SCCSC2ApplicantNameB2" hidden="1">Serviceability!$U$147</definedName>
    <definedName name="SCCSC2ApplicantNameB3" hidden="1">Serviceability!$U$148</definedName>
    <definedName name="SCCSC2ApplicantNameB4" hidden="1">Serviceability!$U$149</definedName>
    <definedName name="SCCSC2ApplicantNameB5" hidden="1">Serviceability!$U$150</definedName>
    <definedName name="SCCSC2ApplicantNameB6" hidden="1">Serviceability!$U$151</definedName>
    <definedName name="SCCSC2Balance" hidden="1">Serviceability!$AV$146</definedName>
    <definedName name="SCCSC2BalloonPayment" hidden="1">Serviceability!$BM$146</definedName>
    <definedName name="SCCSC2DeclaredRepayment" hidden="1">Serviceability!$BI$146</definedName>
    <definedName name="SCCSC2FinalRate" hidden="1">Serviceability!$BD$146</definedName>
    <definedName name="SCCSC2Limit" hidden="1">Serviceability!$AZ$146</definedName>
    <definedName name="SCCSC2Notes" hidden="1">Serviceability!$CC$146</definedName>
    <definedName name="SCCSC2PortfolioAccount" hidden="1">Serviceability!$BQ$146</definedName>
    <definedName name="SCCSC2RemainingPITerm" hidden="1">Serviceability!$BG$146</definedName>
    <definedName name="SCCSC2Rule" hidden="1">Serviceability!$M$146</definedName>
    <definedName name="SCCSC2SpouseAssetOwnership" hidden="1">Serviceability!$AR$146</definedName>
    <definedName name="SCCSC2SpouseBorrowerCount" hidden="1">Serviceability!$AK$146</definedName>
    <definedName name="SCCSC2SpouseLiabilityOwnership" hidden="1">Serviceability!$AN$146</definedName>
    <definedName name="SCCSC2TotalBorrowerCount" hidden="1">Serviceability!$AH$146</definedName>
    <definedName name="SCCSC2Type" hidden="1">Serviceability!$C$146</definedName>
    <definedName name="SCCSC3ApplicantAssetOwnershipB1" hidden="1">Serviceability!$AD$152</definedName>
    <definedName name="SCCSC3ApplicantAssetOwnershipB2" hidden="1">Serviceability!$AD$153</definedName>
    <definedName name="SCCSC3ApplicantAssetOwnershipB3" hidden="1">Serviceability!$AD$154</definedName>
    <definedName name="SCCSC3ApplicantAssetOwnershipB4" hidden="1">Serviceability!$AD$155</definedName>
    <definedName name="SCCSC3ApplicantAssetOwnershipB5" hidden="1">Serviceability!$AD$156</definedName>
    <definedName name="SCCSC3ApplicantAssetOwnershipB6" hidden="1">Serviceability!$AD$157</definedName>
    <definedName name="SCCSC3ApplicantBorrowerCount" hidden="1">Serviceability!$R$152</definedName>
    <definedName name="SCCSC3ApplicantLiabilityOwnershipB1" hidden="1">Serviceability!$Z$152</definedName>
    <definedName name="SCCSC3ApplicantLiabilityOwnershipB2" hidden="1">Serviceability!$Z$153</definedName>
    <definedName name="SCCSC3ApplicantLiabilityOwnershipB3" hidden="1">Serviceability!$Z$154</definedName>
    <definedName name="SCCSC3ApplicantLiabilityOwnershipB4" hidden="1">Serviceability!$Z$155</definedName>
    <definedName name="SCCSC3ApplicantLiabilityOwnershipB5" hidden="1">Serviceability!$Z$156</definedName>
    <definedName name="SCCSC3ApplicantLiabilityOwnershipB6" hidden="1">Serviceability!$Z$157</definedName>
    <definedName name="SCCSC3ApplicantNameB1" hidden="1">Serviceability!$U$152</definedName>
    <definedName name="SCCSC3ApplicantNameB2" hidden="1">Serviceability!$U$153</definedName>
    <definedName name="SCCSC3ApplicantNameB3" hidden="1">Serviceability!$U$154</definedName>
    <definedName name="SCCSC3ApplicantNameB4" hidden="1">Serviceability!$U$155</definedName>
    <definedName name="SCCSC3ApplicantNameB5" hidden="1">Serviceability!$U$156</definedName>
    <definedName name="SCCSC3ApplicantNameB6" hidden="1">Serviceability!$U$157</definedName>
    <definedName name="SCCSC3Balance" hidden="1">Serviceability!$AV$152</definedName>
    <definedName name="SCCSC3BalloonPayment" hidden="1">Serviceability!$BM$152</definedName>
    <definedName name="SCCSC3DeclaredRepayment" hidden="1">Serviceability!$BI$152</definedName>
    <definedName name="SCCSC3FinalRate" hidden="1">Serviceability!$BD$152</definedName>
    <definedName name="SCCSC3Limit" hidden="1">Serviceability!$AZ$152</definedName>
    <definedName name="SCCSC3Notes" hidden="1">Serviceability!$CC$152</definedName>
    <definedName name="SCCSC3PortfolioAccount" hidden="1">Serviceability!$BQ$152</definedName>
    <definedName name="SCCSC3RemainingPITerm" hidden="1">Serviceability!$BG$152</definedName>
    <definedName name="SCCSC3Rule" hidden="1">Serviceability!$M$152</definedName>
    <definedName name="SCCSC3SpouseAssetOwnership" hidden="1">Serviceability!$AR$152</definedName>
    <definedName name="SCCSC3SpouseBorrowerCount" hidden="1">Serviceability!$AK$152</definedName>
    <definedName name="SCCSC3SpouseLiabilityOwnership" hidden="1">Serviceability!$AN$152</definedName>
    <definedName name="SCCSC3TotalBorrowerCount" hidden="1">Serviceability!$AH$152</definedName>
    <definedName name="SCCSC3Type" hidden="1">Serviceability!$C$152</definedName>
    <definedName name="SCCSC4ApplicantAssetOwnershipB1" hidden="1">Serviceability!$AD$158</definedName>
    <definedName name="SCCSC4ApplicantAssetOwnershipB2" hidden="1">Serviceability!$AD$159</definedName>
    <definedName name="SCCSC4ApplicantAssetOwnershipB3" hidden="1">Serviceability!$AD$160</definedName>
    <definedName name="SCCSC4ApplicantAssetOwnershipB4" hidden="1">Serviceability!$AD$161</definedName>
    <definedName name="SCCSC4ApplicantAssetOwnershipB5" hidden="1">Serviceability!$AD$162</definedName>
    <definedName name="SCCSC4ApplicantAssetOwnershipB6" hidden="1">Serviceability!$AD$163</definedName>
    <definedName name="SCCSC4ApplicantBorrowerCount" hidden="1">Serviceability!$R$158</definedName>
    <definedName name="SCCSC4ApplicantLiabilityOwnershipB1" hidden="1">Serviceability!$Z$158</definedName>
    <definedName name="SCCSC4ApplicantLiabilityOwnershipB2" hidden="1">Serviceability!$Z$159</definedName>
    <definedName name="SCCSC4ApplicantLiabilityOwnershipB3" hidden="1">Serviceability!$Z$160</definedName>
    <definedName name="SCCSC4ApplicantLiabilityOwnershipB4" hidden="1">Serviceability!$Z$161</definedName>
    <definedName name="SCCSC4ApplicantLiabilityOwnershipB5" hidden="1">Serviceability!$Z$162</definedName>
    <definedName name="SCCSC4ApplicantLiabilityOwnershipB6" hidden="1">Serviceability!$Z$163</definedName>
    <definedName name="SCCSC4ApplicantNameB1" hidden="1">Serviceability!$U$158</definedName>
    <definedName name="SCCSC4ApplicantNameB2" hidden="1">Serviceability!$U$159</definedName>
    <definedName name="SCCSC4ApplicantNameB3" hidden="1">Serviceability!$U$160</definedName>
    <definedName name="SCCSC4ApplicantNameB4" hidden="1">Serviceability!$U$161</definedName>
    <definedName name="SCCSC4ApplicantNameB5" hidden="1">Serviceability!$U$162</definedName>
    <definedName name="SCCSC4ApplicantNameB6" hidden="1">Serviceability!$U$163</definedName>
    <definedName name="SCCSC4Balance" hidden="1">Serviceability!$AV$158</definedName>
    <definedName name="SCCSC4BalloonPayment" hidden="1">Serviceability!$BM$158</definedName>
    <definedName name="SCCSC4DeclaredRepayment" hidden="1">Serviceability!$BI$158</definedName>
    <definedName name="SCCSC4FinalRate" hidden="1">Serviceability!$BD$158</definedName>
    <definedName name="SCCSC4Limit" hidden="1">Serviceability!$AZ$158</definedName>
    <definedName name="SCCSC4Notes" hidden="1">Serviceability!$CC$158</definedName>
    <definedName name="SCCSC4PortfolioAccount" hidden="1">Serviceability!$BQ$158</definedName>
    <definedName name="SCCSC4RemainingPITerm" hidden="1">Serviceability!$BG$158</definedName>
    <definedName name="SCCSC4Rule" hidden="1">Serviceability!$M$158</definedName>
    <definedName name="SCCSC4SpouseAssetOwnership" hidden="1">Serviceability!$AR$158</definedName>
    <definedName name="SCCSC4SpouseBorrowerCount" hidden="1">Serviceability!$AK$158</definedName>
    <definedName name="SCCSC4SpouseLiabilityOwnership" hidden="1">Serviceability!$AN$158</definedName>
    <definedName name="SCCSC4TotalBorrowerCount" hidden="1">Serviceability!$AH$158</definedName>
    <definedName name="SCCSC4Type" hidden="1">Serviceability!$C$158</definedName>
    <definedName name="SCCSC5ApplicantAssetOwnershipB1" hidden="1">Serviceability!$AD$164</definedName>
    <definedName name="SCCSC5ApplicantAssetOwnershipB2" hidden="1">Serviceability!$AD$165</definedName>
    <definedName name="SCCSC5ApplicantAssetOwnershipB3" hidden="1">Serviceability!$AD$166</definedName>
    <definedName name="SCCSC5ApplicantAssetOwnershipB4" hidden="1">Serviceability!$AD$167</definedName>
    <definedName name="SCCSC5ApplicantAssetOwnershipB5" hidden="1">Serviceability!$AD$168</definedName>
    <definedName name="SCCSC5ApplicantAssetOwnershipB6" hidden="1">Serviceability!$AD$169</definedName>
    <definedName name="SCCSC5ApplicantBorrowerCount" hidden="1">Serviceability!$R$164</definedName>
    <definedName name="SCCSC5ApplicantLiabilityOwnershipB1" hidden="1">Serviceability!$Z$164</definedName>
    <definedName name="SCCSC5ApplicantLiabilityOwnershipB2" hidden="1">Serviceability!$Z$165</definedName>
    <definedName name="SCCSC5ApplicantLiabilityOwnershipB3" hidden="1">Serviceability!$Z$166</definedName>
    <definedName name="SCCSC5ApplicantLiabilityOwnershipB4" hidden="1">Serviceability!$Z$167</definedName>
    <definedName name="SCCSC5ApplicantLiabilityOwnershipB5" hidden="1">Serviceability!$Z$168</definedName>
    <definedName name="SCCSC5ApplicantLiabilityOwnershipB6" hidden="1">Serviceability!$Z$169</definedName>
    <definedName name="SCCSC5ApplicantNameB1" hidden="1">Serviceability!$U$164</definedName>
    <definedName name="SCCSC5ApplicantNameB2" hidden="1">Serviceability!$U$165</definedName>
    <definedName name="SCCSC5ApplicantNameB3" hidden="1">Serviceability!$U$166</definedName>
    <definedName name="SCCSC5ApplicantNameB4" hidden="1">Serviceability!$U$167</definedName>
    <definedName name="SCCSC5ApplicantNameB5" hidden="1">Serviceability!$U$168</definedName>
    <definedName name="SCCSC5ApplicantNameB6" hidden="1">Serviceability!$U$169</definedName>
    <definedName name="SCCSC5Balance" hidden="1">Serviceability!$AV$164</definedName>
    <definedName name="SCCSC5BalloonPayment" hidden="1">Serviceability!$BM$164</definedName>
    <definedName name="SCCSC5DeclaredRepayment" hidden="1">Serviceability!$BI$164</definedName>
    <definedName name="SCCSC5FinalRate" hidden="1">Serviceability!$BD$164</definedName>
    <definedName name="SCCSC5Limit" hidden="1">Serviceability!$AZ$164</definedName>
    <definedName name="SCCSC5Notes" hidden="1">Serviceability!$CC$164</definedName>
    <definedName name="SCCSC5PortfolioAccount" hidden="1">Serviceability!$BQ$164</definedName>
    <definedName name="SCCSC5RemainingPITerm" hidden="1">Serviceability!$BG$164</definedName>
    <definedName name="SCCSC5Rule" hidden="1">Serviceability!$M$164</definedName>
    <definedName name="SCCSC5SpouseAssetOwnership" hidden="1">Serviceability!$AR$164</definedName>
    <definedName name="SCCSC5SpouseBorrowerCount" hidden="1">Serviceability!$AK$164</definedName>
    <definedName name="SCCSC5SpouseLiabilityOwnership" hidden="1">Serviceability!$AN$164</definedName>
    <definedName name="SCCSC5TotalBorrowerCount" hidden="1">Serviceability!$AH$164</definedName>
    <definedName name="SCCSC5Type" hidden="1">Serviceability!$C$164</definedName>
    <definedName name="SCCSC6ApplicantAssetOwnershipB1" hidden="1">Serviceability!$AD$170</definedName>
    <definedName name="SCCSC6ApplicantAssetOwnershipB2" hidden="1">Serviceability!$AD$171</definedName>
    <definedName name="SCCSC6ApplicantAssetOwnershipB3" hidden="1">Serviceability!$AD$172</definedName>
    <definedName name="SCCSC6ApplicantAssetOwnershipB4" hidden="1">Serviceability!$AD$173</definedName>
    <definedName name="SCCSC6ApplicantAssetOwnershipB5" hidden="1">Serviceability!$AD$174</definedName>
    <definedName name="SCCSC6ApplicantAssetOwnershipB6" hidden="1">Serviceability!$AD$175</definedName>
    <definedName name="SCCSC6ApplicantBorrowerCount" hidden="1">Serviceability!$R$170</definedName>
    <definedName name="SCCSC6ApplicantLiabilityOwnershipB1" hidden="1">Serviceability!$Z$170</definedName>
    <definedName name="SCCSC6ApplicantLiabilityOwnershipB2" hidden="1">Serviceability!$Z$171</definedName>
    <definedName name="SCCSC6ApplicantLiabilityOwnershipB3" hidden="1">Serviceability!$Z$172</definedName>
    <definedName name="SCCSC6ApplicantLiabilityOwnershipB4" hidden="1">Serviceability!$Z$173</definedName>
    <definedName name="SCCSC6ApplicantLiabilityOwnershipB5" hidden="1">Serviceability!$Z$174</definedName>
    <definedName name="SCCSC6ApplicantLiabilityOwnershipB6" hidden="1">Serviceability!$Z$175</definedName>
    <definedName name="SCCSC6ApplicantNameB1" hidden="1">Serviceability!$U$170</definedName>
    <definedName name="SCCSC6ApplicantNameB2" hidden="1">Serviceability!$U$171</definedName>
    <definedName name="SCCSC6ApplicantNameB3" hidden="1">Serviceability!$U$172</definedName>
    <definedName name="SCCSC6ApplicantNameB4" hidden="1">Serviceability!$U$173</definedName>
    <definedName name="SCCSC6ApplicantNameB5" hidden="1">Serviceability!$U$174</definedName>
    <definedName name="SCCSC6ApplicantNameB6" hidden="1">Serviceability!$U$175</definedName>
    <definedName name="SCCSC6Balance" hidden="1">Serviceability!$AV$170</definedName>
    <definedName name="SCCSC6BalloonPayment" hidden="1">Serviceability!$BM$170</definedName>
    <definedName name="SCCSC6DeclaredRepayment" hidden="1">Serviceability!$BI$170</definedName>
    <definedName name="SCCSC6FinalRate" hidden="1">Serviceability!$BD$170</definedName>
    <definedName name="SCCSC6Limit" hidden="1">Serviceability!$AZ$170</definedName>
    <definedName name="SCCSC6Notes" hidden="1">Serviceability!$CC$170</definedName>
    <definedName name="SCCSC6PortfolioAccount" hidden="1">Serviceability!$BQ$170</definedName>
    <definedName name="SCCSC6RemainingPITerm" hidden="1">Serviceability!$BG$170</definedName>
    <definedName name="SCCSC6Rule" hidden="1">Serviceability!$M$170</definedName>
    <definedName name="SCCSC6SpouseAssetOwnership" hidden="1">Serviceability!$AR$170</definedName>
    <definedName name="SCCSC6SpouseBorrowerCount" hidden="1">Serviceability!$AK$170</definedName>
    <definedName name="SCCSC6SpouseLiabilityOwnership" hidden="1">Serviceability!$AN$170</definedName>
    <definedName name="SCCSC6TotalBorrowerCount" hidden="1">Serviceability!$AH$170</definedName>
    <definedName name="SCCSC6Type" hidden="1">Serviceability!$C$170</definedName>
    <definedName name="SCCSC7ApplicantAssetOwnershipB1" hidden="1">Serviceability!$AD$176</definedName>
    <definedName name="SCCSC7ApplicantAssetOwnershipB2" hidden="1">Serviceability!$AD$177</definedName>
    <definedName name="SCCSC7ApplicantAssetOwnershipB3" hidden="1">Serviceability!$AD$178</definedName>
    <definedName name="SCCSC7ApplicantAssetOwnershipB4" hidden="1">Serviceability!$AD$179</definedName>
    <definedName name="SCCSC7ApplicantAssetOwnershipB5" hidden="1">Serviceability!$AD$180</definedName>
    <definedName name="SCCSC7ApplicantAssetOwnershipB6" hidden="1">Serviceability!$AD$181</definedName>
    <definedName name="SCCSC7ApplicantBorrowerCount" hidden="1">Serviceability!$R$176</definedName>
    <definedName name="SCCSC7ApplicantLiabilityOwnershipB1" hidden="1">Serviceability!$Z$176</definedName>
    <definedName name="SCCSC7ApplicantLiabilityOwnershipB2" hidden="1">Serviceability!$Z$177</definedName>
    <definedName name="SCCSC7ApplicantLiabilityOwnershipB3" hidden="1">Serviceability!$Z$178</definedName>
    <definedName name="SCCSC7ApplicantLiabilityOwnershipB4" hidden="1">Serviceability!$Z$179</definedName>
    <definedName name="SCCSC7ApplicantLiabilityOwnershipB5" hidden="1">Serviceability!$Z$180</definedName>
    <definedName name="SCCSC7ApplicantLiabilityOwnershipB6" hidden="1">Serviceability!$Z$181</definedName>
    <definedName name="SCCSC7ApplicantNameB1" hidden="1">Serviceability!$U$176</definedName>
    <definedName name="SCCSC7ApplicantNameB2" hidden="1">Serviceability!$U$177</definedName>
    <definedName name="SCCSC7ApplicantNameB3" hidden="1">Serviceability!$U$178</definedName>
    <definedName name="SCCSC7ApplicantNameB4" hidden="1">Serviceability!$U$179</definedName>
    <definedName name="SCCSC7ApplicantNameB5" hidden="1">Serviceability!$U$180</definedName>
    <definedName name="SCCSC7ApplicantNameB6" hidden="1">Serviceability!$U$181</definedName>
    <definedName name="SCCSC7Balance" hidden="1">Serviceability!$AV$176</definedName>
    <definedName name="SCCSC7BalloonPayment" hidden="1">Serviceability!$BM$176</definedName>
    <definedName name="SCCSC7DeclaredRepayment" hidden="1">Serviceability!$BI$176</definedName>
    <definedName name="SCCSC7FinalRate" hidden="1">Serviceability!$BD$176</definedName>
    <definedName name="SCCSC7Limit" hidden="1">Serviceability!$AZ$176</definedName>
    <definedName name="SCCSC7Notes" hidden="1">Serviceability!$CC$176</definedName>
    <definedName name="SCCSC7PortfolioAccount" hidden="1">Serviceability!$BQ$176</definedName>
    <definedName name="SCCSC7RemainingPITerm" hidden="1">Serviceability!$BG$176</definedName>
    <definedName name="SCCSC7Rule" hidden="1">Serviceability!$M$176</definedName>
    <definedName name="SCCSC7SpouseAssetOwnership" hidden="1">Serviceability!$AR$176</definedName>
    <definedName name="SCCSC7SpouseBorrowerCount" hidden="1">Serviceability!$AK$176</definedName>
    <definedName name="SCCSC7SpouseLiabilityOwnership" hidden="1">Serviceability!$AN$176</definedName>
    <definedName name="SCCSC7TotalBorrowerCount" hidden="1">Serviceability!$AH$176</definedName>
    <definedName name="SCCSC7Type" hidden="1">Serviceability!$C$176</definedName>
    <definedName name="SCCSC8ApplicantAssetOwnershipB1" hidden="1">Serviceability!$AD$182</definedName>
    <definedName name="SCCSC8ApplicantAssetOwnershipB2" hidden="1">Serviceability!$AD$183</definedName>
    <definedName name="SCCSC8ApplicantAssetOwnershipB3" hidden="1">Serviceability!$AD$184</definedName>
    <definedName name="SCCSC8ApplicantAssetOwnershipB4" hidden="1">Serviceability!$AD$185</definedName>
    <definedName name="SCCSC8ApplicantAssetOwnershipB5" hidden="1">Serviceability!$AD$186</definedName>
    <definedName name="SCCSC8ApplicantAssetOwnershipB6" hidden="1">Serviceability!$AD$187</definedName>
    <definedName name="SCCSC8ApplicantBorrowerCount" hidden="1">Serviceability!$R$182</definedName>
    <definedName name="SCCSC8ApplicantLiabilityOwnershipB1" hidden="1">Serviceability!$Z$182</definedName>
    <definedName name="SCCSC8ApplicantLiabilityOwnershipB2" hidden="1">Serviceability!$Z$183</definedName>
    <definedName name="SCCSC8ApplicantLiabilityOwnershipB3" hidden="1">Serviceability!$Z$184</definedName>
    <definedName name="SCCSC8ApplicantLiabilityOwnershipB4" hidden="1">Serviceability!$Z$185</definedName>
    <definedName name="SCCSC8ApplicantLiabilityOwnershipB5" hidden="1">Serviceability!$Z$186</definedName>
    <definedName name="SCCSC8ApplicantLiabilityOwnershipB6" hidden="1">Serviceability!$Z$187</definedName>
    <definedName name="SCCSC8ApplicantNameB1" hidden="1">Serviceability!$U$182</definedName>
    <definedName name="SCCSC8ApplicantNameB2" hidden="1">Serviceability!$U$183</definedName>
    <definedName name="SCCSC8ApplicantNameB3" hidden="1">Serviceability!$U$184</definedName>
    <definedName name="SCCSC8ApplicantNameB4" hidden="1">Serviceability!$U$185</definedName>
    <definedName name="SCCSC8ApplicantNameB5" hidden="1">Serviceability!$U$186</definedName>
    <definedName name="SCCSC8ApplicantNameB6" hidden="1">Serviceability!$U$187</definedName>
    <definedName name="SCCSC8Balance" hidden="1">Serviceability!$AV$182</definedName>
    <definedName name="SCCSC8BalloonPayment" hidden="1">Serviceability!$BM$182</definedName>
    <definedName name="SCCSC8DeclaredRepayment" hidden="1">Serviceability!$BI$182</definedName>
    <definedName name="SCCSC8FinalRate" hidden="1">Serviceability!$BD$182</definedName>
    <definedName name="SCCSC8Limit" hidden="1">Serviceability!$AZ$182</definedName>
    <definedName name="SCCSC8Notes" hidden="1">Serviceability!$CC$182</definedName>
    <definedName name="SCCSC8PortfolioAccount" hidden="1">Serviceability!$BQ$182</definedName>
    <definedName name="SCCSC8RemainingPITerm" hidden="1">Serviceability!$BG$182</definedName>
    <definedName name="SCCSC8Rule" hidden="1">Serviceability!$M$182</definedName>
    <definedName name="SCCSC8SpouseAssetOwnership" hidden="1">Serviceability!$AR$182</definedName>
    <definedName name="SCCSC8SpouseBorrowerCount" hidden="1">Serviceability!$AK$182</definedName>
    <definedName name="SCCSC8SpouseLiabilityOwnership" hidden="1">Serviceability!$AN$182</definedName>
    <definedName name="SCCSC8TotalBorrowerCount" hidden="1">Serviceability!$AH$182</definedName>
    <definedName name="SCCSC8Type" hidden="1">Serviceability!$C$182</definedName>
    <definedName name="SCCSC9ApplicantAssetOwnershipB1" hidden="1">Serviceability!$AD$188</definedName>
    <definedName name="SCCSC9ApplicantAssetOwnershipB2" hidden="1">Serviceability!$AD$189</definedName>
    <definedName name="SCCSC9ApplicantAssetOwnershipB3" hidden="1">Serviceability!$AD$190</definedName>
    <definedName name="SCCSC9ApplicantAssetOwnershipB4" hidden="1">Serviceability!$AD$191</definedName>
    <definedName name="SCCSC9ApplicantAssetOwnershipB5" hidden="1">Serviceability!$AD$192</definedName>
    <definedName name="SCCSC9ApplicantAssetOwnershipB6" hidden="1">Serviceability!$AD$193</definedName>
    <definedName name="SCCSC9ApplicantBorrowerCount" hidden="1">Serviceability!$R$188</definedName>
    <definedName name="SCCSC9ApplicantLiabilityOwnershipB1" hidden="1">Serviceability!$Z$188</definedName>
    <definedName name="SCCSC9ApplicantLiabilityOwnershipB2" hidden="1">Serviceability!$Z$189</definedName>
    <definedName name="SCCSC9ApplicantLiabilityOwnershipB3" hidden="1">Serviceability!$Z$190</definedName>
    <definedName name="SCCSC9ApplicantLiabilityOwnershipB4" hidden="1">Serviceability!$Z$191</definedName>
    <definedName name="SCCSC9ApplicantLiabilityOwnershipB5" hidden="1">Serviceability!$Z$192</definedName>
    <definedName name="SCCSC9ApplicantLiabilityOwnershipB6" hidden="1">Serviceability!$Z$193</definedName>
    <definedName name="SCCSC9ApplicantNameB1" hidden="1">Serviceability!$U$188</definedName>
    <definedName name="SCCSC9ApplicantNameB2" hidden="1">Serviceability!$U$189</definedName>
    <definedName name="SCCSC9ApplicantNameB3" hidden="1">Serviceability!$U$190</definedName>
    <definedName name="SCCSC9ApplicantNameB4" hidden="1">Serviceability!$U$191</definedName>
    <definedName name="SCCSC9ApplicantNameB5" hidden="1">Serviceability!$U$192</definedName>
    <definedName name="SCCSC9ApplicantNameB6" hidden="1">Serviceability!$U$193</definedName>
    <definedName name="SCCSC9Balance" hidden="1">Serviceability!$AV$188</definedName>
    <definedName name="SCCSC9BalloonPayment" hidden="1">Serviceability!$BM$188</definedName>
    <definedName name="SCCSC9DeclaredRepayment" hidden="1">Serviceability!$BI$188</definedName>
    <definedName name="SCCSC9FinalRate" hidden="1">Serviceability!$BD$188</definedName>
    <definedName name="SCCSC9Limit" hidden="1">Serviceability!$AZ$188</definedName>
    <definedName name="SCCSC9Notes" hidden="1">Serviceability!$CC$188</definedName>
    <definedName name="SCCSC9PortfolioAccount" hidden="1">Serviceability!$BQ$188</definedName>
    <definedName name="SCCSC9RemainingPITerm" hidden="1">Serviceability!$BG$188</definedName>
    <definedName name="SCCSC9Rule" hidden="1">Serviceability!$M$188</definedName>
    <definedName name="SCCSC9SpouseAssetOwnership" hidden="1">Serviceability!$AR$188</definedName>
    <definedName name="SCCSC9SpouseBorrowerCount" hidden="1">Serviceability!$AK$188</definedName>
    <definedName name="SCCSC9SpouseLiabilityOwnership" hidden="1">Serviceability!$AN$188</definedName>
    <definedName name="SCCSC9TotalBorrowerCount" hidden="1">Serviceability!$AH$188</definedName>
    <definedName name="SCCSC9Type" hidden="1">Serviceability!$C$188</definedName>
    <definedName name="SCCSharableCommitment1" hidden="1">Serviceability!$C$140</definedName>
    <definedName name="SCCSharableCommitmentBorrowers" hidden="1">Serviceability!$U$140:$Y$259</definedName>
    <definedName name="SCCSharableCommitmentCount" hidden="1">Serviceability!$A$260</definedName>
    <definedName name="SCCSharableCommitmentsApplicantBorrowerCountAll" hidden="1">Serviceability!$R$140,Serviceability!$R$146,Serviceability!$R$152,Serviceability!$R$158,Serviceability!$R$164,Serviceability!$R$170,Serviceability!$R$176,Serviceability!$R$182,Serviceability!$R$188,Serviceability!$R$194,Serviceability!$R$200,Serviceability!$R$206,Serviceability!$R$212,Serviceability!$R$218,Serviceability!$R$224,Serviceability!$R$230,Serviceability!$R$236,Serviceability!$R$242,Serviceability!$R$248,Serviceability!$R$254</definedName>
    <definedName name="SCCSharableCommitmentsClearAll" hidden="1">Serviceability!$C$140:$BT$140,Serviceability!$U$141:$AG$145,Serviceability!$C$146:$BT$146,Serviceability!$U$147:$AG$151,Serviceability!$C$152:$BT$152,Serviceability!$U$153:$AG$157,Serviceability!$C$158:$BT$158,Serviceability!$U$159:$AG$163,Serviceability!$C$164:$BT$164,Serviceability!$U$165:$AG$169,Serviceability!$C$170:$BT$170,Serviceability!$U$171:$AG$175,Serviceability!$C$176:$BT$176,Serviceability!$U$177:$AG$181,Serviceability!$C$182:$BT$182,Serviceability!$U$183:$AG$187,Serviceability!$C$188:$BT$188,Serviceability!$U$189:$AG$193,Serviceability!$C$194:$BT$194,Serviceability!$U$195:$AG$199,Serviceability!$C$200:$BT$200,Serviceability!$U$201:$AG$205,Serviceability!$C$206:$BT$206,Serviceability!$U$207:$AG$211,Serviceability!$C$212:$BT$212,Serviceability!$U$213:$AG$217,Serviceability!$C$218:$BT$218,Serviceability!$U$219:$AG$223,Serviceability!$C$224:$BT$224,Serviceability!$U$225:$AG$229,Serviceability!$C$230:$BT$230,Serviceability!$U$231:$AG$235,Serviceability!$C$236:$BT$236,Serviceability!$U$237:$AG$241,Serviceability!$C$242:$BT$242,Serviceability!$U$243:$AG$247,Serviceability!$C$248:$BT$248,Serviceability!$U$249:$AG$253,Serviceability!$C$254:$BT$254,Serviceability!$U$255:$AG$259,Serviceability!$CC$140,Serviceability!$CC$146,Serviceability!$CC$152,Serviceability!$CC$158,Serviceability!$CC$164,Serviceability!$CC$170,Serviceability!$CC$176,Serviceability!$CC$182,Serviceability!$CC$188,Serviceability!$CC$194,Serviceability!$CC$200,Serviceability!$CC$206,Serviceability!$CC$212,Serviceability!$CC$218,Serviceability!$CC$224,Serviceability!$CC$230,Serviceability!$CC$236,Serviceability!$CC$242,Serviceability!$CC$248,Serviceability!$CC$254</definedName>
    <definedName name="SCCSharableCommitmentsDataEntry" hidden="1">Serviceability!$C$140:$CC$259</definedName>
    <definedName name="SCCSharableCommitmentsHideAll" hidden="1">Serviceability!$C$141:$CB$259</definedName>
    <definedName name="SCCSharableCommitmentsRuleTypeAll" hidden="1">Serviceability!$M$140,Serviceability!$M$146,Serviceability!$M$152,Serviceability!$M$158,Serviceability!$M$164,Serviceability!$M$170,Serviceability!$M$176,Serviceability!$M$182,Serviceability!$M$188,Serviceability!$M$194,Serviceability!$M$200,Serviceability!$M$206,Serviceability!$M$212,Serviceability!$M$218,Serviceability!$M$224,Serviceability!$M$230,Serviceability!$M$236,Serviceability!$M$242,Serviceability!$M$248,Serviceability!$M$254</definedName>
    <definedName name="SCCSRLoanLink1" hidden="1">Serviceability!$J$123</definedName>
    <definedName name="SCCSRLoanLink10" hidden="1">Serviceability!$J$132</definedName>
    <definedName name="SCCSRLoanLink2" hidden="1">Serviceability!$J$124</definedName>
    <definedName name="SCCSRLoanLink3" hidden="1">Serviceability!$J$125</definedName>
    <definedName name="SCCSRLoanLink4" hidden="1">Serviceability!$J$126</definedName>
    <definedName name="SCCSRLoanLink5" hidden="1">Serviceability!$J$127</definedName>
    <definedName name="SCCSRLoanLink6" hidden="1">Serviceability!$J$128</definedName>
    <definedName name="SCCSRLoanLink7" hidden="1">Serviceability!$J$129</definedName>
    <definedName name="SCCSRLoanLink8" hidden="1">Serviceability!$J$130</definedName>
    <definedName name="SCCSRLoanLink9" hidden="1">Serviceability!$J$131</definedName>
    <definedName name="SCCSRLoanReference1" hidden="1">Serviceability!$C$123</definedName>
    <definedName name="SCCSRLoanReference10" hidden="1">Serviceability!$C$132</definedName>
    <definedName name="SCCSRLoanReference2" hidden="1">Serviceability!$C$124</definedName>
    <definedName name="SCCSRLoanReference3" hidden="1">Serviceability!$C$125</definedName>
    <definedName name="SCCSRLoanReference4" hidden="1">Serviceability!$C$126</definedName>
    <definedName name="SCCSRLoanReference5" hidden="1">Serviceability!$C$127</definedName>
    <definedName name="SCCSRLoanReference6" hidden="1">Serviceability!$C$128</definedName>
    <definedName name="SCCSRLoanReference7" hidden="1">Serviceability!$C$129</definedName>
    <definedName name="SCCSRLoanReference8" hidden="1">Serviceability!$C$130</definedName>
    <definedName name="SCCSRLoanReference9" hidden="1">Serviceability!$C$131</definedName>
    <definedName name="SCCSRLoanRepayment1" hidden="1">Serviceability!$Q$123</definedName>
    <definedName name="SCCSRLoanRepayment10" hidden="1">Serviceability!$Q$132</definedName>
    <definedName name="SCCSRLoanRepayment2" hidden="1">Serviceability!$Q$124</definedName>
    <definedName name="SCCSRLoanRepayment3" hidden="1">Serviceability!$Q$125</definedName>
    <definedName name="SCCSRLoanRepayment4" hidden="1">Serviceability!$Q$126</definedName>
    <definedName name="SCCSRLoanRepayment5" hidden="1">Serviceability!$Q$127</definedName>
    <definedName name="SCCSRLoanRepayment6" hidden="1">Serviceability!$Q$128</definedName>
    <definedName name="SCCSRLoanRepayment7" hidden="1">Serviceability!$Q$129</definedName>
    <definedName name="SCCSRLoanRepayment8" hidden="1">Serviceability!$Q$130</definedName>
    <definedName name="SCCSRLoanRepayment9" hidden="1">Serviceability!$Q$131</definedName>
    <definedName name="SCSBorrowingCapacityRate" hidden="1">Serviceability!$P$299</definedName>
    <definedName name="SCSBorrowingCapacityTerm" hidden="1">Serviceability!$P$300</definedName>
    <definedName name="SCSMeasureDSC" hidden="1">Serviceability!$AN$293</definedName>
    <definedName name="SCSMeasureDTI" hidden="1">Serviceability!$AN$294</definedName>
    <definedName name="SCSOngoingPrivateSchoolingCosts" hidden="1">Serviceability!$BP$306</definedName>
    <definedName name="SCSProLoanPolicy" hidden="1">Serviceability!$CC$289</definedName>
    <definedName name="SCSProLoanSchoolFeesSection" hidden="1">Serviceability!$A$286,Serviceability!$A$302:$A$323</definedName>
    <definedName name="SCSProLoanSTSLSection" hidden="1">Serviceability!$A$286,Serviceability!$A$324:$A$345</definedName>
    <definedName name="SCSServiceabilityResult" hidden="1">Serviceability!$AN$295</definedName>
    <definedName name="SCSServiceabilitySummaryHeadingRow" hidden="1">Serviceability!$A$285</definedName>
    <definedName name="SDAICPermanentAccountCreditVarianceThreshold" hidden="1">'Static Data'!$B$48</definedName>
    <definedName name="SDBusinessAdditionalRentShade" hidden="1">'Static Data'!$B$35</definedName>
    <definedName name="SDCommercialRentShade" hidden="1">'Static Data'!$B$34</definedName>
    <definedName name="SDCompanyTaxRate" hidden="1">'Static Data'!$B$42</definedName>
    <definedName name="SDCompanyTaxRateFloor" hidden="1">'Static Data'!$B$43</definedName>
    <definedName name="SDConcentrationRiskRentShade" hidden="1">'Static Data'!$B$32</definedName>
    <definedName name="SDDefaultCasualIncomeAnnualisationWeeks" hidden="1">'Static Data'!$B$46</definedName>
    <definedName name="SDExistingMortgageTempFloorStandard" hidden="1">'Static Data'!$B$40</definedName>
    <definedName name="SDExistingMortgageTempFloorStreamlinedRefi" hidden="1">'Static Data'!$B$41</definedName>
    <definedName name="SDFinancialYearEndDate" hidden="1">'Static Data'!$B$57</definedName>
    <definedName name="SDFinancialYearStartDate" hidden="1">'Static Data'!$B$56</definedName>
    <definedName name="SDForeignRentShade" hidden="1">'Static Data'!$B$33</definedName>
    <definedName name="SDIACBaseIncomeAnnualisationVarianceThreshold" hidden="1">'Static Data'!$B$51</definedName>
    <definedName name="SDInvestmentPropertyExpenseFloor" hidden="1">'Static Data'!$B$47</definedName>
    <definedName name="SDOICCompanyCarYearlyMaximum" hidden="1">'Static Data'!$B$50</definedName>
    <definedName name="SDPrestigeRentShade" hidden="1">'Static Data'!$B$31</definedName>
    <definedName name="SDSEBIncomeGrowthThreshold" hidden="1">'Static Data'!$B$39</definedName>
    <definedName name="SDShortTermRentShade" hidden="1">'Static Data'!$B$30</definedName>
    <definedName name="SDStandardRentShade" hidden="1">'Static Data'!$B$29</definedName>
    <definedName name="SDStreamlinedRefinanceBufferRate" hidden="1">'Static Data'!$B$15</definedName>
    <definedName name="SDSTSLIndexationRate" hidden="1">'Static Data'!$B$45</definedName>
    <definedName name="SDVersionBrand" hidden="1">'Static Data'!$B$7</definedName>
    <definedName name="SDVersionChannel" hidden="1">'Static Data'!$B$8</definedName>
    <definedName name="SEAApplicantDataID" hidden="1">'Self-employed Applicant'!$Q$25</definedName>
    <definedName name="SEAApplicantHasAssociatedBusiness" hidden="1">'Self-employed Applicant'!$Q$29</definedName>
    <definedName name="SEAApplicantHasFullyVerifiedAssociatedBusiness" hidden="1">'Self-employed Applicant'!$Q$28</definedName>
    <definedName name="SEAApplicantID" hidden="1">'Self-employed Applicant'!$Q$26</definedName>
    <definedName name="SEAApplicantName" hidden="1">'Self-employed Applicant'!$D$8</definedName>
    <definedName name="SEAAssessmentType" hidden="1">'Self-employed Applicant'!$D$10</definedName>
    <definedName name="SEAAssociatedBusinessAll" hidden="1">'Self-employed Applicant'!$C$25:$N$84</definedName>
    <definedName name="SEAAssociatedBusinessDataAnchor" hidden="1">'Self-employed Applicant'!$C$25</definedName>
    <definedName name="SEABusinessListSection" hidden="1">'Self-employed Applicant'!$A$26:$A$84</definedName>
    <definedName name="SEABusinessListSectionStart" hidden="1">'Self-employed Applicant'!$A$22:$A$25,'Self-employed Applicant'!$A$85:$A$88</definedName>
    <definedName name="SEACapitalGainsNoALY" hidden="1">'Self-employed Applicant'!$D$17</definedName>
    <definedName name="SEACapitalGainsNoAPY" hidden="1">'Self-employed Applicant'!$E$17</definedName>
    <definedName name="SEAClearFields" hidden="1">'Self-employed Applicant'!$D$10,'Self-employed Applicant'!$D$15:$D$16,'Self-employed Applicant'!$E$16,'Self-employed Applicant'!$C$25:$L$84,'Self-employed Applicant'!$D$17:$E$17</definedName>
    <definedName name="SEAFastTrackSection" hidden="1">'Self-employed Applicant'!$A$12:$A$21</definedName>
    <definedName name="SEAFinancialYearLY" hidden="1">'Self-employed Applicant'!$D$15</definedName>
    <definedName name="SEAFinancialYearPY" hidden="1">'Self-employed Applicant'!$E$15</definedName>
    <definedName name="SEASpouseIncomeFlag" hidden="1">'Self-employed Applicant'!$Q$27</definedName>
    <definedName name="SEATaxableIncomeNoALY" hidden="1">'Self-employed Applicant'!$D$16</definedName>
    <definedName name="SEATaxableIncomeNoAPY" hidden="1">'Self-employed Applicant'!$E$16</definedName>
    <definedName name="SEATotalAssessedIncome" hidden="1">'Self-employed Applicant'!$D$19</definedName>
    <definedName name="SEATotalTaxableIncomeLY" hidden="1">'Self-employed Applicant'!$D$18</definedName>
    <definedName name="SEATotalTaxableIncomePY" hidden="1">'Self-employed Applicant'!$E$18</definedName>
    <definedName name="SEBAAssessmentType" hidden="1">'Self-employed Setup Assistant'!$C$10</definedName>
    <definedName name="SEBAdjustedBusinessLossApp1" hidden="1">'Self-employed Business'!$D$18</definedName>
    <definedName name="SEBAdjustedBusinessLossApp2" hidden="1">'Self-employed Business'!$G$18</definedName>
    <definedName name="SEBAdjustedBusinessLossApp3" hidden="1">'Self-employed Business'!$J$18</definedName>
    <definedName name="SEBAdjustedBusinessLossApp4" hidden="1">'Self-employed Business'!$M$18</definedName>
    <definedName name="SEBAdjustedBusinessLossApp5" hidden="1">'Self-employed Business'!$P$18</definedName>
    <definedName name="SEBAdjustedBusinessLossApp6" hidden="1">'Self-employed Business'!$S$18</definedName>
    <definedName name="SEBAdjustedFrankingCreditApp1" hidden="1">'Self-employed Business'!$D$19</definedName>
    <definedName name="SEBAdjustedFrankingCreditApp2" hidden="1">'Self-employed Business'!$G$19</definedName>
    <definedName name="SEBAdjustedFrankingCreditApp3" hidden="1">'Self-employed Business'!$J$19</definedName>
    <definedName name="SEBAdjustedFrankingCreditApp4" hidden="1">'Self-employed Business'!$M$19</definedName>
    <definedName name="SEBAdjustedFrankingCreditApp5" hidden="1">'Self-employed Business'!$P$19</definedName>
    <definedName name="SEBAdjustedFrankingCreditApp6" hidden="1">'Self-employed Business'!$S$19</definedName>
    <definedName name="SEBAdjustedNetProfitAfterTaxAndRepaymentsLY" hidden="1">'Self-employed Business'!$D$141</definedName>
    <definedName name="SEBAdjustedNetProfitAfterTaxAndRepaymentsPY" hidden="1">'Self-employed Business'!$E$141</definedName>
    <definedName name="SEBAdjustedNetProfitLY" hidden="1">'Self-employed Business'!$X$44</definedName>
    <definedName name="SEBAdjustedNetProfitPY" hidden="1">'Self-employed Business'!$Y$44</definedName>
    <definedName name="SEBAdjustedTaxableIncomeApp1" hidden="1">'Self-employed Business'!$D$16</definedName>
    <definedName name="SEBAdjustedTaxableIncomeApp2" hidden="1">'Self-employed Business'!$G$16</definedName>
    <definedName name="SEBAdjustedTaxableIncomeApp3" hidden="1">'Self-employed Business'!$J$16</definedName>
    <definedName name="SEBAdjustedTaxableIncomeApp4" hidden="1">'Self-employed Business'!$M$16</definedName>
    <definedName name="SEBAdjustedTaxableIncomeApp5" hidden="1">'Self-employed Business'!$P$16</definedName>
    <definedName name="SEBAdjustedTaxableIncomeApp6" hidden="1">'Self-employed Business'!$S$16</definedName>
    <definedName name="SEBAdjustedUntaxedIncomeApp1" hidden="1">'Self-employed Business'!$D$17</definedName>
    <definedName name="SEBAdjustedUntaxedIncomeApp2" hidden="1">'Self-employed Business'!$G$17</definedName>
    <definedName name="SEBAdjustedUntaxedIncomeApp3" hidden="1">'Self-employed Business'!$J$17</definedName>
    <definedName name="SEBAdjustedUntaxedIncomeApp4" hidden="1">'Self-employed Business'!$M$17</definedName>
    <definedName name="SEBAdjustedUntaxedIncomeApp5" hidden="1">'Self-employed Business'!$P$17</definedName>
    <definedName name="SEBAdjustedUntaxedIncomeApp6" hidden="1">'Self-employed Business'!$S$17</definedName>
    <definedName name="SEBAFinancialYearLY" hidden="1">'Self-employed Setup Assistant'!$C$11</definedName>
    <definedName name="SEBAMandatoryFieldCheck" hidden="1">'Self-employed Setup Assistant'!$M$7</definedName>
    <definedName name="SEBANumberOfBusinesses" hidden="1">'Self-employed Setup Assistant'!$C$9</definedName>
    <definedName name="SEBApplicantAssessmentType" hidden="1">'Self-employed Business'!$S$8</definedName>
    <definedName name="SEBApplicantIncomeAllApp1" hidden="1">'Self-employed Business'!$D$31:$E$31,'Self-employed Business'!$D$24:$E$24,'Self-employed Business'!$D$26:$E$26,'Self-employed Business'!$D$27:$E$27,'Self-employed Business'!$D$35:$E$35,'Self-employed Business'!$D$37,'Self-employed Business'!$D$38</definedName>
    <definedName name="SEBApplicantIncomeAllApp2" hidden="1">'Self-employed Business'!$G$31:$H$31,'Self-employed Business'!$G$24:$H$24,'Self-employed Business'!$G$26:$H$27,'Self-employed Business'!$G$35:$H$35,'Self-employed Business'!$G$37:$G$38</definedName>
    <definedName name="SEBApplicantIncomeAllApp3" hidden="1">'Self-employed Business'!$J$31:$K$31,'Self-employed Business'!$J$24:$K$24,'Self-employed Business'!$J$26:$K$27,'Self-employed Business'!$J$35:$K$35,'Self-employed Business'!$J$37:$J$38</definedName>
    <definedName name="SEBApplicantIncomeAllApp4" hidden="1">'Self-employed Business'!$M$31:$N$31,'Self-employed Business'!$M$24:$N$24,'Self-employed Business'!$M$26:$N$27,'Self-employed Business'!$M$35:$N$35,'Self-employed Business'!$M$37:$M$38</definedName>
    <definedName name="SEBApplicantIncomeAllApp5" hidden="1">'Self-employed Business'!$P$31:$Q$31,'Self-employed Business'!$P$24:$Q$24,'Self-employed Business'!$P$26:$Q$27,'Self-employed Business'!$P$35:$Q$35,'Self-employed Business'!$P$37:$P$38</definedName>
    <definedName name="SEBApplicantIncomeAllApp6" hidden="1">'Self-employed Business'!$S$31:$T$31,'Self-employed Business'!$S$24:$T$24,'Self-employed Business'!$S$26:$T$27,'Self-employed Business'!$S$35:$T$35,'Self-employed Business'!$S$37:$S$38</definedName>
    <definedName name="SEBApplicantIncomeCalculationSection" hidden="1">'Self-employed Business'!$A$16:$A$19</definedName>
    <definedName name="SEBApplicantIncomeClearFields" hidden="1">'Self-employed Business'!$D$31:$E$31,'Self-employed Business'!$D$24:$E$24,'Self-employed Business'!$D$26:$E$27,'Self-employed Business'!$G$31:$H$31,'Self-employed Business'!$G$24:$H$24,'Self-employed Business'!$G$26:$H$27,'Self-employed Business'!$J$31:$K$31,'Self-employed Business'!$J$24:$K$24,'Self-employed Business'!$J$26:$K$27,'Self-employed Business'!$M$31:$N$31,'Self-employed Business'!$M$24:$N$24,'Self-employed Business'!$M$26:$N$27,'Self-employed Business'!$P$31:$Q$31,'Self-employed Business'!$P$24:$Q$24,'Self-employed Business'!$P$26:$Q$27,'Self-employed Business'!$S$31:$T$31,'Self-employed Business'!$S$24:$T$24,'Self-employed Business'!$S$26:$T$27</definedName>
    <definedName name="SEBApplicantIncomeCompanySection" hidden="1">'Self-employed Business'!$A$20:$A$29,'Self-employed Business'!$A$34:$A$37,'Self-employed Business'!$A$39:$A$41</definedName>
    <definedName name="SEBApplicantIncomePartnershipSection" hidden="1">'Self-employed Business'!$A$21:$A$25,'Self-employed Business'!$A$27,'Self-employed Business'!$A$29:$A$34,'Self-employed Business'!$A$36,'Self-employed Business'!$A$41</definedName>
    <definedName name="SEBApplicantIncomeTrustSection" hidden="1">'Self-employed Business'!$A$21:$A$25,'Self-employed Business'!$A$27,'Self-employed Business'!$A$29:$A$34,'Self-employed Business'!$A$36,'Self-employed Business'!$A$38,'Self-employed Business'!$A$41</definedName>
    <definedName name="SEBAssessmentType" hidden="1">'Self-employed Business'!$D$9</definedName>
    <definedName name="SEBAssociatedApplicantSection" hidden="1">'Self-employed Business'!$A$12:$A$20</definedName>
    <definedName name="SEBAssociatedBusinessSection" hidden="1">'Self-employed Business'!$A$42:$A$107</definedName>
    <definedName name="SEBAssociatedFlagApp1" hidden="1">'Self-employed Business'!$D$15</definedName>
    <definedName name="SEBAssociatedFlagApp2" hidden="1">'Self-employed Business'!$G$15</definedName>
    <definedName name="SEBAssociatedFlagApp3" hidden="1">'Self-employed Business'!$J$15</definedName>
    <definedName name="SEBAssociatedFlagApp4" hidden="1">'Self-employed Business'!$M$15</definedName>
    <definedName name="SEBAssociatedFlagApp5" hidden="1">'Self-employed Business'!$P$15</definedName>
    <definedName name="SEBAssociatedFlagApp6" hidden="1">'Self-employed Business'!$S$15</definedName>
    <definedName name="SEBBeneficialOwnershipLYApp1" hidden="1">'Self-employed Business'!$D$36</definedName>
    <definedName name="SEBBeneficialOwnershipLYApp2" hidden="1">'Self-employed Business'!$G$36</definedName>
    <definedName name="SEBBeneficialOwnershipLYApp3" hidden="1">'Self-employed Business'!$J$36</definedName>
    <definedName name="SEBBeneficialOwnershipLYApp4" hidden="1">'Self-employed Business'!$M$36</definedName>
    <definedName name="SEBBeneficialOwnershipLYApp5" hidden="1">'Self-employed Business'!$P$36</definedName>
    <definedName name="SEBBeneficialOwnershipLYApp6" hidden="1">'Self-employed Business'!$S$36</definedName>
    <definedName name="SEBBeneficialOwnershipPYApp1" hidden="1">'Self-employed Business'!$E$36</definedName>
    <definedName name="SEBBeneficialOwnershipPYApp2" hidden="1">'Self-employed Business'!$H$36</definedName>
    <definedName name="SEBBeneficialOwnershipPYApp3" hidden="1">'Self-employed Business'!$K$36</definedName>
    <definedName name="SEBBeneficialOwnershipPYApp4" hidden="1">'Self-employed Business'!$N$36</definedName>
    <definedName name="SEBBeneficialOwnershipPYApp5" hidden="1">'Self-employed Business'!$Q$36</definedName>
    <definedName name="SEBBeneficialOwnershipPYApp6" hidden="1">'Self-employed Business'!$T$36</definedName>
    <definedName name="SEBBusinessDataCount" hidden="1">SEApplicantBusinessData!$D$17</definedName>
    <definedName name="SEBBusinessID" hidden="1">'Self-employed Business'!$R$8</definedName>
    <definedName name="SEBBusinessName" hidden="1">'Self-employed Business'!$J$8</definedName>
    <definedName name="SEBBusinessNumber" hidden="1">'Self-employed Business'!$J$9</definedName>
    <definedName name="SEBBusinessType" hidden="1">'Self-employed Business'!$D$8</definedName>
    <definedName name="SEBClearBusinessFields" hidden="1">'Self-employed Business'!$D$8:$E$10,'Self-employed Business'!$J$8:$K$10</definedName>
    <definedName name="SEBClearFields" hidden="1">'Self-employed Business'!$D$31:$E$31,'Self-employed Business'!$G$31:$H$31,'Self-employed Business'!$J$31:$K$31,'Self-employed Business'!$M$31:$N$31,'Self-employed Business'!$P$31:$Q$31,'Self-employed Business'!$S$31:$T$31,'Self-employed Business'!$D$24:$E$24,'Self-employed Business'!$G$24:$H$24,'Self-employed Business'!$J$24:$K$24,'Self-employed Business'!$M$24:$N$24,'Self-employed Business'!$P$24:$Q$24,'Self-employed Business'!$S$24:$T$24,'Self-employed Business'!$D$26:$E$27,'Self-employed Business'!$G$26:$H$27,'Self-employed Business'!$J$26:$K$27,'Self-employed Business'!$M$26:$N$27,'Self-employed Business'!$P$26:$Q$27,'Self-employed Business'!$S$26:$T$27,'Self-employed Business'!$D$35:$E$35,'Self-employed Business'!$G$35:$H$35,'Self-employed Business'!$J$35:$K$35,'Self-employed Business'!$M$35:$N$35,'Self-employed Business'!$P$35:$Q$35,'Self-employed Business'!$S$35:$T$35,'Self-employed Business'!$D$37:$D$38,'Self-employed Business'!$G$37:$G$38,'Self-employed Business'!$J$37:$J$38,'Self-employed Business'!$M$37:$M$38,'Self-employed Business'!$P$37:$P$38,'Self-employed Business'!$S$37:$S$38,'Self-employed Business'!$D$111:$E$111,'Self-employed Business'!$D$118:$E$119,'Self-employed Business'!$D$142:$E$143,'Self-employed Business'!$D$139:$E$139,'Self-employed Business'!$D$47:$E$106,'Self-employed Business'!$D$113,'Self-employed Business'!$D$114,'Self-employed Business'!$D$121:$E$125,'Self-employed Business'!$D$127:$E$131,'Self-employed Business'!$B$121:$B$125,'Self-employed Business'!$B$127:$B$131</definedName>
    <definedName name="SEBCompanyShareholdingAll" hidden="1">'Self-employed Business'!$D$35:$E$35,'Self-employed Business'!$G$35:$H$35,'Self-employed Business'!$J$35:$K$35,'Self-employed Business'!$M$35:$N$35,'Self-employed Business'!$P$35:$Q$35,'Self-employed Business'!$S$35:$T$35</definedName>
    <definedName name="SEBCompanyShareholdingLYApp1" hidden="1">'Self-employed Business'!$D$35</definedName>
    <definedName name="SEBCompanyShareholdingLYApp2" hidden="1">'Self-employed Business'!$G$35</definedName>
    <definedName name="SEBCompanyShareholdingLYApp3" hidden="1">'Self-employed Business'!$J$35</definedName>
    <definedName name="SEBCompanyShareholdingLYApp4" hidden="1">'Self-employed Business'!$M$35</definedName>
    <definedName name="SEBCompanyShareholdingLYApp5" hidden="1">'Self-employed Business'!$P$35</definedName>
    <definedName name="SEBCompanyShareholdingLYApp6" hidden="1">'Self-employed Business'!$S$35</definedName>
    <definedName name="SEBCompanyShareholdingPYApp1" hidden="1">'Self-employed Business'!$E$35</definedName>
    <definedName name="SEBCompanyShareholdingPYApp2" hidden="1">'Self-employed Business'!$H$35</definedName>
    <definedName name="SEBCompanyShareholdingPYApp3" hidden="1">'Self-employed Business'!$K$35</definedName>
    <definedName name="SEBCompanyShareholdingPYApp4" hidden="1">'Self-employed Business'!$N$35</definedName>
    <definedName name="SEBCompanyShareholdingPYApp5" hidden="1">'Self-employed Business'!$Q$35</definedName>
    <definedName name="SEBCompanyShareholdingPYApp6" hidden="1">'Self-employed Business'!$T$35</definedName>
    <definedName name="SEBDCallingWorksheetName" hidden="1">'Self-employed Business Diagram'!$D$11</definedName>
    <definedName name="SEBDDrawingAnchor" hidden="1">'Self-employed Business Diagram'!$F$8</definedName>
    <definedName name="SEBDepreciationAmortisationLY" hidden="1">'Self-employed Business'!$D$119</definedName>
    <definedName name="SEBDepreciationAmortisationPY" hidden="1">'Self-employed Business'!$E$119</definedName>
    <definedName name="SEBDerivedOwnershipAll" hidden="1">'Self-employed Business'!$X$106:$AN$106</definedName>
    <definedName name="SEBDistributionAmountAssociatedBusiness1" hidden="1">'Self-employed Business'!$E$47</definedName>
    <definedName name="SEBDistributionAmountAssociatedBusiness10" hidden="1">'Self-employed Business'!$E$56</definedName>
    <definedName name="SEBDistributionAmountAssociatedBusiness11" hidden="1">'Self-employed Business'!$E$57</definedName>
    <definedName name="SEBDistributionAmountAssociatedBusiness12" hidden="1">'Self-employed Business'!$E$58</definedName>
    <definedName name="SEBDistributionAmountAssociatedBusiness13" hidden="1">'Self-employed Business'!$E$59</definedName>
    <definedName name="SEBDistributionAmountAssociatedBusiness14" hidden="1">'Self-employed Business'!$E$60</definedName>
    <definedName name="SEBDistributionAmountAssociatedBusiness15" hidden="1">'Self-employed Business'!$E$61</definedName>
    <definedName name="SEBDistributionAmountAssociatedBusiness16" hidden="1">'Self-employed Business'!$E$62</definedName>
    <definedName name="SEBDistributionAmountAssociatedBusiness17" hidden="1">'Self-employed Business'!$E$63</definedName>
    <definedName name="SEBDistributionAmountAssociatedBusiness18" hidden="1">'Self-employed Business'!$E$64</definedName>
    <definedName name="SEBDistributionAmountAssociatedBusiness19" hidden="1">'Self-employed Business'!$E$65</definedName>
    <definedName name="SEBDistributionAmountAssociatedBusiness2" hidden="1">'Self-employed Business'!$E$48</definedName>
    <definedName name="SEBDistributionAmountAssociatedBusiness20" hidden="1">'Self-employed Business'!$E$66</definedName>
    <definedName name="SEBDistributionAmountAssociatedBusiness21" hidden="1">'Self-employed Business'!$E$67</definedName>
    <definedName name="SEBDistributionAmountAssociatedBusiness22" hidden="1">'Self-employed Business'!$E$68</definedName>
    <definedName name="SEBDistributionAmountAssociatedBusiness23" hidden="1">'Self-employed Business'!$E$69</definedName>
    <definedName name="SEBDistributionAmountAssociatedBusiness24" hidden="1">'Self-employed Business'!$E$70</definedName>
    <definedName name="SEBDistributionAmountAssociatedBusiness25" hidden="1">'Self-employed Business'!$E$71</definedName>
    <definedName name="SEBDistributionAmountAssociatedBusiness26" hidden="1">'Self-employed Business'!$E$72</definedName>
    <definedName name="SEBDistributionAmountAssociatedBusiness27" hidden="1">'Self-employed Business'!$E$73</definedName>
    <definedName name="SEBDistributionAmountAssociatedBusiness28" hidden="1">'Self-employed Business'!$E$74</definedName>
    <definedName name="SEBDistributionAmountAssociatedBusiness29" hidden="1">'Self-employed Business'!$E$75</definedName>
    <definedName name="SEBDistributionAmountAssociatedBusiness3" hidden="1">'Self-employed Business'!$E$49</definedName>
    <definedName name="SEBDistributionAmountAssociatedBusiness30" hidden="1">'Self-employed Business'!$E$76</definedName>
    <definedName name="SEBDistributionAmountAssociatedBusiness31" hidden="1">'Self-employed Business'!$E$77</definedName>
    <definedName name="SEBDistributionAmountAssociatedBusiness32" hidden="1">'Self-employed Business'!$E$78</definedName>
    <definedName name="SEBDistributionAmountAssociatedBusiness33" hidden="1">'Self-employed Business'!$E$79</definedName>
    <definedName name="SEBDistributionAmountAssociatedBusiness34" hidden="1">'Self-employed Business'!$E$80</definedName>
    <definedName name="SEBDistributionAmountAssociatedBusiness35" hidden="1">'Self-employed Business'!$E$81</definedName>
    <definedName name="SEBDistributionAmountAssociatedBusiness36" hidden="1">'Self-employed Business'!$E$82</definedName>
    <definedName name="SEBDistributionAmountAssociatedBusiness37" hidden="1">'Self-employed Business'!$E$83</definedName>
    <definedName name="SEBDistributionAmountAssociatedBusiness38" hidden="1">'Self-employed Business'!$E$84</definedName>
    <definedName name="SEBDistributionAmountAssociatedBusiness39" hidden="1">'Self-employed Business'!$E$85</definedName>
    <definedName name="SEBDistributionAmountAssociatedBusiness4" hidden="1">'Self-employed Business'!$E$50</definedName>
    <definedName name="SEBDistributionAmountAssociatedBusiness40" hidden="1">'Self-employed Business'!$E$86</definedName>
    <definedName name="SEBDistributionAmountAssociatedBusiness41" hidden="1">'Self-employed Business'!$E$87</definedName>
    <definedName name="SEBDistributionAmountAssociatedBusiness42" hidden="1">'Self-employed Business'!$E$88</definedName>
    <definedName name="SEBDistributionAmountAssociatedBusiness43" hidden="1">'Self-employed Business'!$E$89</definedName>
    <definedName name="SEBDistributionAmountAssociatedBusiness44" hidden="1">'Self-employed Business'!$E$90</definedName>
    <definedName name="SEBDistributionAmountAssociatedBusiness45" hidden="1">'Self-employed Business'!$E$91</definedName>
    <definedName name="SEBDistributionAmountAssociatedBusiness46" hidden="1">'Self-employed Business'!$E$92</definedName>
    <definedName name="SEBDistributionAmountAssociatedBusiness47" hidden="1">'Self-employed Business'!$E$93</definedName>
    <definedName name="SEBDistributionAmountAssociatedBusiness48" hidden="1">'Self-employed Business'!$E$94</definedName>
    <definedName name="SEBDistributionAmountAssociatedBusiness49" hidden="1">'Self-employed Business'!$E$95</definedName>
    <definedName name="SEBDistributionAmountAssociatedBusiness5" hidden="1">'Self-employed Business'!$E$51</definedName>
    <definedName name="SEBDistributionAmountAssociatedBusiness50" hidden="1">'Self-employed Business'!$E$96</definedName>
    <definedName name="SEBDistributionAmountAssociatedBusiness51" hidden="1">'Self-employed Business'!$E$97</definedName>
    <definedName name="SEBDistributionAmountAssociatedBusiness52" hidden="1">'Self-employed Business'!$E$98</definedName>
    <definedName name="SEBDistributionAmountAssociatedBusiness53" hidden="1">'Self-employed Business'!$E$99</definedName>
    <definedName name="SEBDistributionAmountAssociatedBusiness54" hidden="1">'Self-employed Business'!$E$100</definedName>
    <definedName name="SEBDistributionAmountAssociatedBusiness55" hidden="1">'Self-employed Business'!$E$101</definedName>
    <definedName name="SEBDistributionAmountAssociatedBusiness56" hidden="1">'Self-employed Business'!$E$102</definedName>
    <definedName name="SEBDistributionAmountAssociatedBusiness57" hidden="1">'Self-employed Business'!$E$103</definedName>
    <definedName name="SEBDistributionAmountAssociatedBusiness58" hidden="1">'Self-employed Business'!$E$104</definedName>
    <definedName name="SEBDistributionAmountAssociatedBusiness59" hidden="1">'Self-employed Business'!$E$105</definedName>
    <definedName name="SEBDistributionAmountAssociatedBusiness6" hidden="1">'Self-employed Business'!$E$52</definedName>
    <definedName name="SEBDistributionAmountAssociatedBusiness60" hidden="1">'Self-employed Business'!$E$106</definedName>
    <definedName name="SEBDistributionAmountAssociatedBusiness7" hidden="1">'Self-employed Business'!$E$53</definedName>
    <definedName name="SEBDistributionAmountAssociatedBusiness8" hidden="1">'Self-employed Business'!$E$54</definedName>
    <definedName name="SEBDistributionAmountAssociatedBusiness9" hidden="1">'Self-employed Business'!$E$55</definedName>
    <definedName name="SEBDistributionAnnualIncomeApp1" hidden="1">'Self-employed Business'!$D$33</definedName>
    <definedName name="SEBDistributionAnnualIncomeApp2" hidden="1">'Self-employed Business'!$G$33</definedName>
    <definedName name="SEBDistributionAnnualIncomeApp3" hidden="1">'Self-employed Business'!$J$33</definedName>
    <definedName name="SEBDistributionAnnualIncomeApp4" hidden="1">'Self-employed Business'!$M$33</definedName>
    <definedName name="SEBDistributionAnnualIncomeApp5" hidden="1">'Self-employed Business'!$P$33</definedName>
    <definedName name="SEBDistributionAnnualIncomeApp6" hidden="1">'Self-employed Business'!$S$33</definedName>
    <definedName name="SEBDistributionClearFields" hidden="1">'Self-employed Business'!$E$31,'Self-employed Business'!$D$31,'Self-employed Business'!$H$31,'Self-employed Business'!$G$31,'Self-employed Business'!$K$31,'Self-employed Business'!$J$31,'Self-employed Business'!$N$31,'Self-employed Business'!$M$31,'Self-employed Business'!$Q$31,'Self-employed Business'!$P$31,'Self-employed Business'!$T$31,'Self-employed Business'!$S$31</definedName>
    <definedName name="SEBDistributionLYAll" hidden="1">'Self-employed Business'!$D$31,'Self-employed Business'!$G$31,'Self-employed Business'!$J$31,'Self-employed Business'!$M$31,'Self-employed Business'!$P$31,'Self-employed Business'!$S$31,'Self-employed Business'!$E$47:$E$106</definedName>
    <definedName name="SEBDistributionLYApp1" hidden="1">'Self-employed Business'!$D$31</definedName>
    <definedName name="SEBDistributionLYApp2" hidden="1">'Self-employed Business'!$G$31</definedName>
    <definedName name="SEBDistributionLYApp3" hidden="1">'Self-employed Business'!$J$31</definedName>
    <definedName name="SEBDistributionLYApp4" hidden="1">'Self-employed Business'!$M$31</definedName>
    <definedName name="SEBDistributionLYApp5" hidden="1">'Self-employed Business'!$P$31</definedName>
    <definedName name="SEBDistributionLYApp6" hidden="1">'Self-employed Business'!$S$31</definedName>
    <definedName name="SEBDistributionPercentageLYApp1" hidden="1">'Self-employed Business'!$D$32</definedName>
    <definedName name="SEBDistributionPercentageLYApp2" hidden="1">'Self-employed Business'!$G$32</definedName>
    <definedName name="SEBDistributionPercentageLYApp3" hidden="1">'Self-employed Business'!$J$32</definedName>
    <definedName name="SEBDistributionPercentageLYApp4" hidden="1">'Self-employed Business'!$M$32</definedName>
    <definedName name="SEBDistributionPercentageLYApp5" hidden="1">'Self-employed Business'!$P$32</definedName>
    <definedName name="SEBDistributionPercentageLYApp6" hidden="1">'Self-employed Business'!$S$32</definedName>
    <definedName name="SEBDistributionPercentagePYApp1" hidden="1">'Self-employed Business'!$E$32</definedName>
    <definedName name="SEBDistributionPercentagePYApp2" hidden="1">'Self-employed Business'!$H$32</definedName>
    <definedName name="SEBDistributionPercentagePYApp3" hidden="1">'Self-employed Business'!$K$32</definedName>
    <definedName name="SEBDistributionPercentagePYApp4" hidden="1">'Self-employed Business'!$N$32</definedName>
    <definedName name="SEBDistributionPercentagePYApp5" hidden="1">'Self-employed Business'!$Q$32</definedName>
    <definedName name="SEBDistributionPercentagePYApp6" hidden="1">'Self-employed Business'!$T$32</definedName>
    <definedName name="SEBDistributionPYAll" hidden="1">'Self-employed Business'!$E$31,'Self-employed Business'!$H$31,'Self-employed Business'!$K$31,'Self-employed Business'!$N$31,'Self-employed Business'!$Q$31,'Self-employed Business'!$T$31</definedName>
    <definedName name="SEBDistributionPYApp1" hidden="1">'Self-employed Business'!$E$31</definedName>
    <definedName name="SEBDistributionPYApp2" hidden="1">'Self-employed Business'!$H$31</definedName>
    <definedName name="SEBDistributionPYApp3" hidden="1">'Self-employed Business'!$K$31</definedName>
    <definedName name="SEBDistributionPYApp4" hidden="1">'Self-employed Business'!$N$31</definedName>
    <definedName name="SEBDistributionPYApp5" hidden="1">'Self-employed Business'!$Q$31</definedName>
    <definedName name="SEBDistributionPYApp6" hidden="1">'Self-employed Business'!$T$31</definedName>
    <definedName name="SEBDistributionSignCheckLY" hidden="1">'Self-employed Business'!$AR$55</definedName>
    <definedName name="SEBDistributionSignCheckPY" hidden="1">'Self-employed Business'!$AS$55</definedName>
    <definedName name="SEBDividendAnnualIncomeApp1" hidden="1">'Self-employed Business'!$D$29</definedName>
    <definedName name="SEBDividendAnnualIncomeApp2" hidden="1">'Self-employed Business'!$G$29</definedName>
    <definedName name="SEBDividendAnnualIncomeApp3" hidden="1">'Self-employed Business'!$J$29</definedName>
    <definedName name="SEBDividendAnnualIncomeApp4" hidden="1">'Self-employed Business'!$M$29</definedName>
    <definedName name="SEBDividendAnnualIncomeApp5" hidden="1">'Self-employed Business'!$P$29</definedName>
    <definedName name="SEBDividendAnnualIncomeApp6" hidden="1">'Self-employed Business'!$S$29</definedName>
    <definedName name="SEBDividendsClearFields" hidden="1">'Self-employed Business'!$D$26:$E$26,'Self-employed Business'!$G$26:$H$26,'Self-employed Business'!$J$26:$K$26,'Self-employed Business'!$M$26:$N$26,'Self-employed Business'!$P$26:$Q$26,'Self-employed Business'!$S$26:$T$26</definedName>
    <definedName name="SEBDividendsLYApp1" hidden="1">'Self-employed Business'!$D$26</definedName>
    <definedName name="SEBDividendsLYApp2" hidden="1">'Self-employed Business'!$G$26</definedName>
    <definedName name="SEBDividendsLYApp3" hidden="1">'Self-employed Business'!$J$26</definedName>
    <definedName name="SEBDividendsLYApp4" hidden="1">'Self-employed Business'!$M$26</definedName>
    <definedName name="SEBDividendsLYApp5" hidden="1">'Self-employed Business'!$P$26</definedName>
    <definedName name="SEBDividendsLYApp6" hidden="1">'Self-employed Business'!$S$26</definedName>
    <definedName name="SEBDividendsPYApp1" hidden="1">'Self-employed Business'!$E$26</definedName>
    <definedName name="SEBDividendsPYApp2" hidden="1">'Self-employed Business'!$H$26</definedName>
    <definedName name="SEBDividendsPYApp3" hidden="1">'Self-employed Business'!$K$26</definedName>
    <definedName name="SEBDividendsPYApp4" hidden="1">'Self-employed Business'!$N$26</definedName>
    <definedName name="SEBDividendsPYApp5" hidden="1">'Self-employed Business'!$Q$26</definedName>
    <definedName name="SEBDividendsPYApp6" hidden="1">'Self-employed Business'!$T$26</definedName>
    <definedName name="SEBDShowApplicantPAYGIncome" hidden="1">'Self-employed Business Diagram'!$D$9</definedName>
    <definedName name="SEBDShowBeneficialOwnership" hidden="1">'Self-employed Business Diagram'!$D$8</definedName>
    <definedName name="SEBDShowBusinessData" hidden="1">'Self-employed Business Diagram'!$D$7</definedName>
    <definedName name="SEBFinancialStatementsCompanySection" hidden="1">'Self-employed Business'!$A$108:$A$112,'Self-employed Business'!$A$117:$A$141,'Self-employed Business'!$A$143:$A$144</definedName>
    <definedName name="SEBFinancialStatementsPartnershipSection" hidden="1">'Self-employed Business'!$A$108:$A$112,'Self-employed Business'!$A$117:$A$137,'Self-employed Business'!$A$141</definedName>
    <definedName name="SEBFinancialStatementsSoleTraderSection" hidden="1">'Self-employed Business'!$A$108:$A$112,'Self-employed Business'!$A$117:$A$131,'Self-employed Business'!$A$137,'Self-employed Business'!$A$141</definedName>
    <definedName name="SEBFinancialStatementsTrustSection" hidden="1">'Self-employed Business'!$A$108:$A$112,'Self-employed Business'!$A$117:$A$137,'Self-employed Business'!$A$141</definedName>
    <definedName name="SEBFinancialYearLY" hidden="1">'Self-employed Business'!$D$10</definedName>
    <definedName name="SEBFooterSection" hidden="1">'Self-employed Business'!$A$145:$A$172</definedName>
    <definedName name="SEBFrankingCreditLYApp1" hidden="1">'Self-employed Business'!$D$27</definedName>
    <definedName name="SEBFrankingCreditLYApp2" hidden="1">'Self-employed Business'!$G$27</definedName>
    <definedName name="SEBFrankingCreditLYApp3" hidden="1">'Self-employed Business'!$J$27</definedName>
    <definedName name="SEBFrankingCreditLYApp4" hidden="1">'Self-employed Business'!$M$27</definedName>
    <definedName name="SEBFrankingCreditLYApp5" hidden="1">'Self-employed Business'!$P$27</definedName>
    <definedName name="SEBFrankingCreditLYApp6" hidden="1">'Self-employed Business'!$S$27</definedName>
    <definedName name="SEBFrankingCreditPYApp1" hidden="1">'Self-employed Business'!$E$27</definedName>
    <definedName name="SEBFrankingCreditPYApp2" hidden="1">'Self-employed Business'!$H$27</definedName>
    <definedName name="SEBFrankingCreditPYApp3" hidden="1">'Self-employed Business'!$K$27</definedName>
    <definedName name="SEBFrankingCreditPYApp4" hidden="1">'Self-employed Business'!$N$27</definedName>
    <definedName name="SEBFrankingCreditPYApp5" hidden="1">'Self-employed Business'!$Q$27</definedName>
    <definedName name="SEBFrankingCreditPYApp6" hidden="1">'Self-employed Business'!$T$27</definedName>
    <definedName name="SEBGeneralNotes" hidden="1">'Self-employed Business'!$B$146</definedName>
    <definedName name="SEBHideAllSection" hidden="1">'Self-employed Business'!$A$12:$A$172</definedName>
    <definedName name="SEBHistoricalInterestLeaseHirePurchaseLY" hidden="1">'Self-employed Business'!$D$118</definedName>
    <definedName name="SEBHistoricalInterestLeaseHirePurchasePY" hidden="1">'Self-employed Business'!$E$118</definedName>
    <definedName name="SEBHistoricDistributionLY" hidden="1">'Self-employed Business'!$D$142</definedName>
    <definedName name="SEBHistoricDistributionPY" hidden="1">'Self-employed Business'!$E$142</definedName>
    <definedName name="SEBHistoricDividendsAll" hidden="1">'Self-employed Business'!$D$143:$E$143</definedName>
    <definedName name="SEBHistoricDividendsLY" hidden="1">'Self-employed Business'!$D$143</definedName>
    <definedName name="SEBHistoricDividendsPY" hidden="1">'Self-employed Business'!$E$143</definedName>
    <definedName name="SEBIncomeGrowthThresholdCheck" hidden="1">'Self-employed Business'!$X$36</definedName>
    <definedName name="SEBIncomeUseInfoSection" hidden="1">'Self-employed Business'!$A$39:$A$40</definedName>
    <definedName name="SEBInterestLeaseCostTaxDeductibleLY" hidden="1">'Self-employed Business'!$D$134</definedName>
    <definedName name="SEBInterestLeaseCostTaxDeductiblePY" hidden="1">'Self-employed Business'!$E$134</definedName>
    <definedName name="SEBInterestNonDeductibleLY" hidden="1">'Self-employed Business'!$D$135</definedName>
    <definedName name="SEBInterestNonDeductiblePY" hidden="1">'Self-employed Business'!$E$135</definedName>
    <definedName name="SEBIssueFlag" hidden="1">'Self-employed Business'!$X$28</definedName>
    <definedName name="SEBMessageID" hidden="1">'Self-employed Business'!$X$38</definedName>
    <definedName name="SEBNetProfitLossLY" hidden="1">'Self-employed Business'!$D$111</definedName>
    <definedName name="SEBNetProfitLossPY" hidden="1">'Self-employed Business'!$E$111</definedName>
    <definedName name="SEBNetRentalIncomeAdjustmentLY" hidden="1">'Self-employed Business'!$D$132</definedName>
    <definedName name="SEBNetRentalIncomeAdjustmentPY" hidden="1">'Self-employed Business'!$E$132</definedName>
    <definedName name="SEBNextBusinessID" hidden="1">SEApplicantBusinessData!$B$17</definedName>
    <definedName name="SEBOtherAdditionsLY1" hidden="1">'Self-employed Business'!$D$121</definedName>
    <definedName name="SEBOtherAdditionsLY2" hidden="1">'Self-employed Business'!$D$122</definedName>
    <definedName name="SEBOtherAdditionsLY3" hidden="1">'Self-employed Business'!$D$123</definedName>
    <definedName name="SEBOtherAdditionsLY4" hidden="1">'Self-employed Business'!$D$124</definedName>
    <definedName name="SEBOtherAdditionsLY5" hidden="1">'Self-employed Business'!$D$125</definedName>
    <definedName name="SEBOtherAdditionsName1" hidden="1">'Self-employed Business'!$B$121</definedName>
    <definedName name="SEBOtherAdditionsName2" hidden="1">'Self-employed Business'!$B$122</definedName>
    <definedName name="SEBOtherAdditionsName3" hidden="1">'Self-employed Business'!$B$123</definedName>
    <definedName name="SEBOtherAdditionsName4" hidden="1">'Self-employed Business'!$B$124</definedName>
    <definedName name="SEBOtherAdditionsName5" hidden="1">'Self-employed Business'!$B$125</definedName>
    <definedName name="SEBOtherAdditionsNote1" hidden="1">'Self-employed Business'!$H$121</definedName>
    <definedName name="SEBOtherAdditionsNote2" hidden="1">'Self-employed Business'!$H$122</definedName>
    <definedName name="SEBOtherAdditionsNote3" hidden="1">'Self-employed Business'!$H$123</definedName>
    <definedName name="SEBOtherAdditionsNote4" hidden="1">'Self-employed Business'!$H$124</definedName>
    <definedName name="SEBOtherAdditionsNote5" hidden="1">'Self-employed Business'!$H$125</definedName>
    <definedName name="SEBOtherAdditionsNotesAll" hidden="1">'Self-employed Business'!$H$121:$Q$125</definedName>
    <definedName name="SEBOtherAdditionsPY1" hidden="1">'Self-employed Business'!$E$121</definedName>
    <definedName name="SEBOtherAdditionsPY2" hidden="1">'Self-employed Business'!$E$122</definedName>
    <definedName name="SEBOtherAdditionsPY3" hidden="1">'Self-employed Business'!$E$123</definedName>
    <definedName name="SEBOtherAdditionsPY4" hidden="1">'Self-employed Business'!$E$124</definedName>
    <definedName name="SEBOtherAdditionsPY5" hidden="1">'Self-employed Business'!$E$125</definedName>
    <definedName name="SEBOtherSubtractionsLY1" hidden="1">'Self-employed Business'!$D$127</definedName>
    <definedName name="SEBOtherSubtractionsLY2" hidden="1">'Self-employed Business'!$D$128</definedName>
    <definedName name="SEBOtherSubtractionsLY3" hidden="1">'Self-employed Business'!$D$129</definedName>
    <definedName name="SEBOtherSubtractionsLY4" hidden="1">'Self-employed Business'!$D$130</definedName>
    <definedName name="SEBOtherSubtractionsLY5" hidden="1">'Self-employed Business'!$D$131</definedName>
    <definedName name="SEBOtherSubtractionsName1" hidden="1">'Self-employed Business'!$B$127</definedName>
    <definedName name="SEBOtherSubtractionsName2" hidden="1">'Self-employed Business'!$B$128</definedName>
    <definedName name="SEBOtherSubtractionsName3" hidden="1">'Self-employed Business'!$B$129</definedName>
    <definedName name="SEBOtherSubtractionsName4" hidden="1">'Self-employed Business'!$B$130</definedName>
    <definedName name="SEBOtherSubtractionsName5" hidden="1">'Self-employed Business'!$B$131</definedName>
    <definedName name="SEBOtherSubtractionsNote1" hidden="1">'Self-employed Business'!$H$127</definedName>
    <definedName name="SEBOtherSubtractionsNote2" hidden="1">'Self-employed Business'!$H$128</definedName>
    <definedName name="SEBOtherSubtractionsNote3" hidden="1">'Self-employed Business'!$H$129</definedName>
    <definedName name="SEBOtherSubtractionsNote4" hidden="1">'Self-employed Business'!$H$130</definedName>
    <definedName name="SEBOtherSubtractionsNote5" hidden="1">'Self-employed Business'!$H$131</definedName>
    <definedName name="SEBOtherSubtractionsNotesAll" hidden="1">'Self-employed Business'!$H$127:$Q$131</definedName>
    <definedName name="SEBOtherSubtractionsPY1" hidden="1">'Self-employed Business'!$E$127</definedName>
    <definedName name="SEBOtherSubtractionsPY2" hidden="1">'Self-employed Business'!$E$128</definedName>
    <definedName name="SEBOtherSubtractionsPY3" hidden="1">'Self-employed Business'!$E$129</definedName>
    <definedName name="SEBOtherSubtractionsPY4" hidden="1">'Self-employed Business'!$E$130</definedName>
    <definedName name="SEBOtherSubtractionsPY5" hidden="1">'Self-employed Business'!$E$131</definedName>
    <definedName name="SEBOwnershipAssociatedBusiness1" hidden="1">'Self-employed Business'!$G$47</definedName>
    <definedName name="SEBOwnershipAssociatedBusiness10" hidden="1">'Self-employed Business'!$G$56</definedName>
    <definedName name="SEBOwnershipAssociatedBusiness11" hidden="1">'Self-employed Business'!$G$57</definedName>
    <definedName name="SEBOwnershipAssociatedBusiness12" hidden="1">'Self-employed Business'!$G$58</definedName>
    <definedName name="SEBOwnershipAssociatedBusiness13" hidden="1">'Self-employed Business'!$G$59</definedName>
    <definedName name="SEBOwnershipAssociatedBusiness14" hidden="1">'Self-employed Business'!$G$60</definedName>
    <definedName name="SEBOwnershipAssociatedBusiness15" hidden="1">'Self-employed Business'!$G$61</definedName>
    <definedName name="SEBOwnershipAssociatedBusiness16" hidden="1">'Self-employed Business'!$G$62</definedName>
    <definedName name="SEBOwnershipAssociatedBusiness17" hidden="1">'Self-employed Business'!$G$63</definedName>
    <definedName name="SEBOwnershipAssociatedBusiness18" hidden="1">'Self-employed Business'!$G$64</definedName>
    <definedName name="SEBOwnershipAssociatedBusiness19" hidden="1">'Self-employed Business'!$G$65</definedName>
    <definedName name="SEBOwnershipAssociatedBusiness2" hidden="1">'Self-employed Business'!$G$48</definedName>
    <definedName name="SEBOwnershipAssociatedBusiness20" hidden="1">'Self-employed Business'!$G$66</definedName>
    <definedName name="SEBOwnershipAssociatedBusiness21" hidden="1">'Self-employed Business'!$G$67</definedName>
    <definedName name="SEBOwnershipAssociatedBusiness22" hidden="1">'Self-employed Business'!$G$68</definedName>
    <definedName name="SEBOwnershipAssociatedBusiness23" hidden="1">'Self-employed Business'!$G$69</definedName>
    <definedName name="SEBOwnershipAssociatedBusiness24" hidden="1">'Self-employed Business'!$G$70</definedName>
    <definedName name="SEBOwnershipAssociatedBusiness25" hidden="1">'Self-employed Business'!$G$71</definedName>
    <definedName name="SEBOwnershipAssociatedBusiness26" hidden="1">'Self-employed Business'!$G$72</definedName>
    <definedName name="SEBOwnershipAssociatedBusiness27" hidden="1">'Self-employed Business'!$G$73</definedName>
    <definedName name="SEBOwnershipAssociatedBusiness28" hidden="1">'Self-employed Business'!$G$74</definedName>
    <definedName name="SEBOwnershipAssociatedBusiness29" hidden="1">'Self-employed Business'!$G$75</definedName>
    <definedName name="SEBOwnershipAssociatedBusiness3" hidden="1">'Self-employed Business'!$G$49</definedName>
    <definedName name="SEBOwnershipAssociatedBusiness30" hidden="1">'Self-employed Business'!$G$76</definedName>
    <definedName name="SEBOwnershipAssociatedBusiness31" hidden="1">'Self-employed Business'!$G$77</definedName>
    <definedName name="SEBOwnershipAssociatedBusiness32" hidden="1">'Self-employed Business'!$G$78</definedName>
    <definedName name="SEBOwnershipAssociatedBusiness33" hidden="1">'Self-employed Business'!$G$79</definedName>
    <definedName name="SEBOwnershipAssociatedBusiness34" hidden="1">'Self-employed Business'!$G$80</definedName>
    <definedName name="SEBOwnershipAssociatedBusiness35" hidden="1">'Self-employed Business'!$G$81</definedName>
    <definedName name="SEBOwnershipAssociatedBusiness36" hidden="1">'Self-employed Business'!$G$82</definedName>
    <definedName name="SEBOwnershipAssociatedBusiness37" hidden="1">'Self-employed Business'!$G$83</definedName>
    <definedName name="SEBOwnershipAssociatedBusiness38" hidden="1">'Self-employed Business'!$G$84</definedName>
    <definedName name="SEBOwnershipAssociatedBusiness39" hidden="1">'Self-employed Business'!$G$85</definedName>
    <definedName name="SEBOwnershipAssociatedBusiness4" hidden="1">'Self-employed Business'!$G$50</definedName>
    <definedName name="SEBOwnershipAssociatedBusiness40" hidden="1">'Self-employed Business'!$G$86</definedName>
    <definedName name="SEBOwnershipAssociatedBusiness41" hidden="1">'Self-employed Business'!$G$87</definedName>
    <definedName name="SEBOwnershipAssociatedBusiness42" hidden="1">'Self-employed Business'!$G$88</definedName>
    <definedName name="SEBOwnershipAssociatedBusiness43" hidden="1">'Self-employed Business'!$G$89</definedName>
    <definedName name="SEBOwnershipAssociatedBusiness44" hidden="1">'Self-employed Business'!$G$90</definedName>
    <definedName name="SEBOwnershipAssociatedBusiness45" hidden="1">'Self-employed Business'!$G$91</definedName>
    <definedName name="SEBOwnershipAssociatedBusiness46" hidden="1">'Self-employed Business'!$G$92</definedName>
    <definedName name="SEBOwnershipAssociatedBusiness47" hidden="1">'Self-employed Business'!$G$93</definedName>
    <definedName name="SEBOwnershipAssociatedBusiness48" hidden="1">'Self-employed Business'!$G$94</definedName>
    <definedName name="SEBOwnershipAssociatedBusiness49" hidden="1">'Self-employed Business'!$G$95</definedName>
    <definedName name="SEBOwnershipAssociatedBusiness5" hidden="1">'Self-employed Business'!$G$51</definedName>
    <definedName name="SEBOwnershipAssociatedBusiness50" hidden="1">'Self-employed Business'!$G$96</definedName>
    <definedName name="SEBOwnershipAssociatedBusiness51" hidden="1">'Self-employed Business'!$G$97</definedName>
    <definedName name="SEBOwnershipAssociatedBusiness52" hidden="1">'Self-employed Business'!$G$98</definedName>
    <definedName name="SEBOwnershipAssociatedBusiness53" hidden="1">'Self-employed Business'!$G$99</definedName>
    <definedName name="SEBOwnershipAssociatedBusiness54" hidden="1">'Self-employed Business'!$G$100</definedName>
    <definedName name="SEBOwnershipAssociatedBusiness55" hidden="1">'Self-employed Business'!$G$101</definedName>
    <definedName name="SEBOwnershipAssociatedBusiness56" hidden="1">'Self-employed Business'!$G$102</definedName>
    <definedName name="SEBOwnershipAssociatedBusiness57" hidden="1">'Self-employed Business'!$G$103</definedName>
    <definedName name="SEBOwnershipAssociatedBusiness58" hidden="1">'Self-employed Business'!$G$104</definedName>
    <definedName name="SEBOwnershipAssociatedBusiness59" hidden="1">'Self-employed Business'!$G$105</definedName>
    <definedName name="SEBOwnershipAssociatedBusiness6" hidden="1">'Self-employed Business'!$G$52</definedName>
    <definedName name="SEBOwnershipAssociatedBusiness60" hidden="1">'Self-employed Business'!$G$106</definedName>
    <definedName name="SEBOwnershipAssociatedBusiness7" hidden="1">'Self-employed Business'!$G$53</definedName>
    <definedName name="SEBOwnershipAssociatedBusiness8" hidden="1">'Self-employed Business'!$G$54</definedName>
    <definedName name="SEBOwnershipAssociatedBusiness9" hidden="1">'Self-employed Business'!$G$55</definedName>
    <definedName name="SEBPrincipalLoanRepaymentsLY" hidden="1">'Self-employed Business'!$D$136</definedName>
    <definedName name="SEBPrincipalLoanRepaymentsPY" hidden="1">'Self-employed Business'!$E$136</definedName>
    <definedName name="SEBPYDataAll" hidden="1">'Self-employed Business'!$E$31,'Self-employed Business'!$E$24,'Self-employed Business'!$E$26:$E$27,'Self-employed Business'!$E$35,'Self-employed Business'!$H$31,'Self-employed Business'!$H$24,'Self-employed Business'!$H$26:$H$27,'Self-employed Business'!$H$35,'Self-employed Business'!$K$31,'Self-employed Business'!$K$24,'Self-employed Business'!$K$26:$K$27,'Self-employed Business'!$K$35,'Self-employed Business'!$N$31,'Self-employed Business'!$N$24,'Self-employed Business'!$N$26:$N$27,'Self-employed Business'!$N$35,'Self-employed Business'!$Q$31,'Self-employed Business'!$Q$24,'Self-employed Business'!$Q$26:$Q$27,'Self-employed Business'!$Q$35,'Self-employed Business'!$T$31,'Self-employed Business'!$T$24,'Self-employed Business'!$T$26:$T$27,'Self-employed Business'!$T$35,'Self-employed Business'!$E$111,'Self-employed Business'!$E$118:$E$119,'Self-employed Business'!$E$121:$E$125,'Self-employed Business'!$E$127:$E$131,'Self-employed Business'!$E$139,'Self-employed Business'!$E$142:$E$143</definedName>
    <definedName name="SEBPYDataApplicantIncomeAll" hidden="1">'Self-employed Business'!$E$24,'Self-employed Business'!$E$26,'Self-employed Business'!$E$27,'Self-employed Business'!$H$24,'Self-employed Business'!$H$26:$H$27,'Self-employed Business'!$K$24,'Self-employed Business'!$K$26:$K$27,'Self-employed Business'!$N$24,'Self-employed Business'!$N$26:$N$27,'Self-employed Business'!$Q$24,'Self-employed Business'!$Q$26:$Q$27,'Self-employed Business'!$T$24,'Self-employed Business'!$T$26:$T$27</definedName>
    <definedName name="SEBShareholdingAssociatedBusiness1" hidden="1">'Self-employed Business'!$D$47</definedName>
    <definedName name="SEBShareholdingAssociatedBusiness10" hidden="1">'Self-employed Business'!$D$56</definedName>
    <definedName name="SEBShareholdingAssociatedBusiness11" hidden="1">'Self-employed Business'!$D$57</definedName>
    <definedName name="SEBShareholdingAssociatedBusiness12" hidden="1">'Self-employed Business'!$D$58</definedName>
    <definedName name="SEBShareholdingAssociatedBusiness13" hidden="1">'Self-employed Business'!$D$59</definedName>
    <definedName name="SEBShareholdingAssociatedBusiness14" hidden="1">'Self-employed Business'!$D$60</definedName>
    <definedName name="SEBShareholdingAssociatedBusiness15" hidden="1">'Self-employed Business'!$D$61</definedName>
    <definedName name="SEBShareholdingAssociatedBusiness16" hidden="1">'Self-employed Business'!$D$62</definedName>
    <definedName name="SEBShareholdingAssociatedBusiness17" hidden="1">'Self-employed Business'!$D$63</definedName>
    <definedName name="SEBShareholdingAssociatedBusiness18" hidden="1">'Self-employed Business'!$D$64</definedName>
    <definedName name="SEBShareholdingAssociatedBusiness19" hidden="1">'Self-employed Business'!$D$65</definedName>
    <definedName name="SEBShareholdingAssociatedBusiness2" hidden="1">'Self-employed Business'!$D$48</definedName>
    <definedName name="SEBShareholdingAssociatedBusiness20" hidden="1">'Self-employed Business'!$D$66</definedName>
    <definedName name="SEBShareholdingAssociatedBusiness21" hidden="1">'Self-employed Business'!$D$67</definedName>
    <definedName name="SEBShareholdingAssociatedBusiness22" hidden="1">'Self-employed Business'!$D$68</definedName>
    <definedName name="SEBShareholdingAssociatedBusiness23" hidden="1">'Self-employed Business'!$D$69</definedName>
    <definedName name="SEBShareholdingAssociatedBusiness24" hidden="1">'Self-employed Business'!$D$70</definedName>
    <definedName name="SEBShareholdingAssociatedBusiness25" hidden="1">'Self-employed Business'!$D$71</definedName>
    <definedName name="SEBShareholdingAssociatedBusiness26" hidden="1">'Self-employed Business'!$D$72</definedName>
    <definedName name="SEBShareholdingAssociatedBusiness27" hidden="1">'Self-employed Business'!$D$73</definedName>
    <definedName name="SEBShareholdingAssociatedBusiness28" hidden="1">'Self-employed Business'!$D$74</definedName>
    <definedName name="SEBShareholdingAssociatedBusiness29" hidden="1">'Self-employed Business'!$D$75</definedName>
    <definedName name="SEBShareholdingAssociatedBusiness3" hidden="1">'Self-employed Business'!$D$49</definedName>
    <definedName name="SEBShareholdingAssociatedBusiness30" hidden="1">'Self-employed Business'!$D$76</definedName>
    <definedName name="SEBShareholdingAssociatedBusiness31" hidden="1">'Self-employed Business'!$D$77</definedName>
    <definedName name="SEBShareholdingAssociatedBusiness32" hidden="1">'Self-employed Business'!$D$78</definedName>
    <definedName name="SEBShareholdingAssociatedBusiness33" hidden="1">'Self-employed Business'!$D$79</definedName>
    <definedName name="SEBShareholdingAssociatedBusiness34" hidden="1">'Self-employed Business'!$D$80</definedName>
    <definedName name="SEBShareholdingAssociatedBusiness35" hidden="1">'Self-employed Business'!$D$81</definedName>
    <definedName name="SEBShareholdingAssociatedBusiness36" hidden="1">'Self-employed Business'!$D$82</definedName>
    <definedName name="SEBShareholdingAssociatedBusiness37" hidden="1">'Self-employed Business'!$D$83</definedName>
    <definedName name="SEBShareholdingAssociatedBusiness38" hidden="1">'Self-employed Business'!$D$84</definedName>
    <definedName name="SEBShareholdingAssociatedBusiness39" hidden="1">'Self-employed Business'!$D$85</definedName>
    <definedName name="SEBShareholdingAssociatedBusiness4" hidden="1">'Self-employed Business'!$D$50</definedName>
    <definedName name="SEBShareholdingAssociatedBusiness40" hidden="1">'Self-employed Business'!$D$86</definedName>
    <definedName name="SEBShareholdingAssociatedBusiness41" hidden="1">'Self-employed Business'!$D$87</definedName>
    <definedName name="SEBShareholdingAssociatedBusiness42" hidden="1">'Self-employed Business'!$D$88</definedName>
    <definedName name="SEBShareholdingAssociatedBusiness43" hidden="1">'Self-employed Business'!$D$89</definedName>
    <definedName name="SEBShareholdingAssociatedBusiness44" hidden="1">'Self-employed Business'!$D$90</definedName>
    <definedName name="SEBShareholdingAssociatedBusiness45" hidden="1">'Self-employed Business'!$D$91</definedName>
    <definedName name="SEBShareholdingAssociatedBusiness46" hidden="1">'Self-employed Business'!$D$92</definedName>
    <definedName name="SEBShareholdingAssociatedBusiness47" hidden="1">'Self-employed Business'!$D$93</definedName>
    <definedName name="SEBShareholdingAssociatedBusiness48" hidden="1">'Self-employed Business'!$D$94</definedName>
    <definedName name="SEBShareholdingAssociatedBusiness49" hidden="1">'Self-employed Business'!$D$95</definedName>
    <definedName name="SEBShareholdingAssociatedBusiness5" hidden="1">'Self-employed Business'!$D$51</definedName>
    <definedName name="SEBShareholdingAssociatedBusiness50" hidden="1">'Self-employed Business'!$D$96</definedName>
    <definedName name="SEBShareholdingAssociatedBusiness51" hidden="1">'Self-employed Business'!$D$97</definedName>
    <definedName name="SEBShareholdingAssociatedBusiness52" hidden="1">'Self-employed Business'!$D$98</definedName>
    <definedName name="SEBShareholdingAssociatedBusiness53" hidden="1">'Self-employed Business'!$D$99</definedName>
    <definedName name="SEBShareholdingAssociatedBusiness54" hidden="1">'Self-employed Business'!$D$100</definedName>
    <definedName name="SEBShareholdingAssociatedBusiness55" hidden="1">'Self-employed Business'!$D$101</definedName>
    <definedName name="SEBShareholdingAssociatedBusiness56" hidden="1">'Self-employed Business'!$D$102</definedName>
    <definedName name="SEBShareholdingAssociatedBusiness57" hidden="1">'Self-employed Business'!$D$103</definedName>
    <definedName name="SEBShareholdingAssociatedBusiness58" hidden="1">'Self-employed Business'!$D$104</definedName>
    <definedName name="SEBShareholdingAssociatedBusiness59" hidden="1">'Self-employed Business'!$D$105</definedName>
    <definedName name="SEBShareholdingAssociatedBusiness6" hidden="1">'Self-employed Business'!$D$52</definedName>
    <definedName name="SEBShareholdingAssociatedBusiness60" hidden="1">'Self-employed Business'!$D$106</definedName>
    <definedName name="SEBShareholdingAssociatedBusiness7" hidden="1">'Self-employed Business'!$D$53</definedName>
    <definedName name="SEBShareholdingAssociatedBusiness8" hidden="1">'Self-employed Business'!$D$54</definedName>
    <definedName name="SEBShareholdingAssociatedBusiness9" hidden="1">'Self-employed Business'!$D$55</definedName>
    <definedName name="SEBSimpleSolvencyTestSection" hidden="1">'Self-employed Business'!$A$108:$A$116</definedName>
    <definedName name="SEBSolvencyAssetsLY" hidden="1">'Self-employed Business'!$D$113</definedName>
    <definedName name="SEBSolvencyLiabilitiesLY" hidden="1">'Self-employed Business'!$D$114</definedName>
    <definedName name="SEBSolvencyTestResult" hidden="1">'Self-employed Business'!$D$116</definedName>
    <definedName name="SEBTaxPayableAll" hidden="1">'Self-employed Business'!$D$139:$E$139</definedName>
    <definedName name="SEBTaxPayableLY" hidden="1">'Self-employed Business'!$D$139</definedName>
    <definedName name="SEBTaxPayablePY" hidden="1">'Self-employed Business'!$E$139</definedName>
    <definedName name="SEBTaxRateLY" hidden="1">'Self-employed Business'!$D$138</definedName>
    <definedName name="SEBTaxRatePY" hidden="1">'Self-employed Business'!$E$138</definedName>
    <definedName name="SEBTrusteePartnerCount" hidden="1">'Self-employed Business'!$J$10</definedName>
    <definedName name="SEBTrustExcessIncomeFlagAll" hidden="1">'Self-employed Business'!$D$38,'Self-employed Business'!$G$38,'Self-employed Business'!$J$38,'Self-employed Business'!$M$38,'Self-employed Business'!$P$38,'Self-employed Business'!$S$38</definedName>
    <definedName name="SEBTrustExcessIncomeFlagApp1" hidden="1">'Self-employed Business'!$D$38</definedName>
    <definedName name="SEBTrustExcessIncomeFlagApp2" hidden="1">'Self-employed Business'!$G$38</definedName>
    <definedName name="SEBTrustExcessIncomeFlagApp3" hidden="1">'Self-employed Business'!$J$38</definedName>
    <definedName name="SEBTrustExcessIncomeFlagApp4" hidden="1">'Self-employed Business'!$M$38</definedName>
    <definedName name="SEBTrustExcessIncomeFlagApp5" hidden="1">'Self-employed Business'!$P$38</definedName>
    <definedName name="SEBTrustExcessIncomeFlagApp6" hidden="1">'Self-employed Business'!$S$38</definedName>
    <definedName name="SEBUndistributedCompanyProfitsLY" hidden="1">'Self-employed Business'!$D$144</definedName>
    <definedName name="SEBUndistributedCompanyProfitsPY" hidden="1">'Self-employed Business'!$E$144</definedName>
    <definedName name="SEBUndistributedProfitFlagApp1" hidden="1">'Self-employed Business'!$D$37</definedName>
    <definedName name="SEBUndistributedProfitFlagApp2" hidden="1">'Self-employed Business'!$G$37</definedName>
    <definedName name="SEBUndistributedProfitFlagApp3" hidden="1">'Self-employed Business'!$J$37</definedName>
    <definedName name="SEBUndistributedProfitFlagApp4" hidden="1">'Self-employed Business'!$M$37</definedName>
    <definedName name="SEBUndistributedProfitFlagApp5" hidden="1">'Self-employed Business'!$P$37</definedName>
    <definedName name="SEBUndistributedProfitFlagApp6" hidden="1">'Self-employed Business'!$S$37</definedName>
    <definedName name="SEBUndistributedProfitsFlagAll" hidden="1">'Self-employed Business'!$D$37,'Self-employed Business'!$G$37,'Self-employed Business'!$J$37,'Self-employed Business'!$M$37,'Self-employed Business'!$P$37,'Self-employed Business'!$S$37</definedName>
    <definedName name="SEBusinessLiabilityListData" hidden="1">'Static Data'!$X$91:INDEX(SEBusinessLiabilityList[LiabilityType],COUNTIF(SEBusinessLiabilityList[LiabilityType],"?*"))</definedName>
    <definedName name="SEBWageDirectorFeeAnnualIncomeApp1" hidden="1">'Self-employed Business'!$D$25</definedName>
    <definedName name="SEBWageDirectorFeeAnnualIncomeApp2" hidden="1">'Self-employed Business'!$G$25</definedName>
    <definedName name="SEBWageDirectorFeeAnnualIncomeApp3" hidden="1">'Self-employed Business'!$J$25</definedName>
    <definedName name="SEBWageDirectorFeeAnnualIncomeApp4" hidden="1">'Self-employed Business'!$M$25</definedName>
    <definedName name="SEBWageDirectorFeeAnnualIncomeApp5" hidden="1">'Self-employed Business'!$P$25</definedName>
    <definedName name="SEBWageDirectorFeeAnnualIncomeApp6" hidden="1">'Self-employed Business'!$S$25</definedName>
    <definedName name="SEBWageDirectorFeeClearFields" hidden="1">'Self-employed Business'!$D$24:$E$24,'Self-employed Business'!$G$24:$H$24,'Self-employed Business'!$J$24:$K$24,'Self-employed Business'!$M$24:$N$24,'Self-employed Business'!$P$24:$Q$24,'Self-employed Business'!$S$24:$T$24</definedName>
    <definedName name="SEBWageDirectorFeeLYApp1" hidden="1">'Self-employed Business'!$D$24</definedName>
    <definedName name="SEBWageDirectorFeeLYApp2" hidden="1">'Self-employed Business'!$G$24</definedName>
    <definedName name="SEBWageDirectorFeeLYApp3" hidden="1">'Self-employed Business'!$J$24</definedName>
    <definedName name="SEBWageDirectorFeeLYApp4" hidden="1">'Self-employed Business'!$M$24</definedName>
    <definedName name="SEBWageDirectorFeeLYApp5" hidden="1">'Self-employed Business'!$P$24</definedName>
    <definedName name="SEBWageDirectorFeeLYApp6" hidden="1">'Self-employed Business'!$S$24</definedName>
    <definedName name="SEBWageDirectorFeePYApp1" hidden="1">'Self-employed Business'!$E$24</definedName>
    <definedName name="SEBWageDirectorFeePYApp2" hidden="1">'Self-employed Business'!$H$24</definedName>
    <definedName name="SEBWageDirectorFeePYApp3" hidden="1">'Self-employed Business'!$K$24</definedName>
    <definedName name="SEBWageDirectorFeePYApp4" hidden="1">'Self-employed Business'!$N$24</definedName>
    <definedName name="SEBWageDirectorFeePYApp5" hidden="1">'Self-employed Business'!$Q$24</definedName>
    <definedName name="SEBWageDirectorFeePYApp6" hidden="1">'Self-employed Business'!$T$24</definedName>
    <definedName name="SEGApplicantCount" hidden="1">'Shared Equity Guarantee Calc'!$D$8</definedName>
    <definedName name="SEGClearFields" hidden="1">'Shared Equity Guarantee Calc'!$D$9,'Shared Equity Guarantee Calc'!$F$13:$F$14,'Shared Equity Guarantee Calc'!$H$13:$H$14,'Shared Equity Guarantee Calc'!$J$13:$J$14,'Shared Equity Guarantee Calc'!$L$13:$L$14,'Shared Equity Guarantee Calc'!$N$13:$N$14,'Shared Equity Guarantee Calc'!$P$13:$P$14,'Shared Equity Guarantee Calc'!$D$21:$D$23,'Shared Equity Guarantee Calc'!$F$21:$F$23,'Shared Equity Guarantee Calc'!$H$21:$H$23,'Shared Equity Guarantee Calc'!$J$21:$J$23,'Shared Equity Guarantee Calc'!$L$21:$L$23,'Shared Equity Guarantee Calc'!$N$21:$N$23,'Shared Equity Guarantee Calc'!$P$21:$P$23</definedName>
    <definedName name="SEGLiabilityData" hidden="1">'Shared Equity Guarantee Calc'!$D$21:$D$23</definedName>
    <definedName name="SEGLiabilityDataAll" hidden="1">'Shared Equity Guarantee Calc'!$D$21:$P$23</definedName>
    <definedName name="SEGLiabilityDataApp1" hidden="1">'Shared Equity Guarantee Calc'!$F$21:$F$23</definedName>
    <definedName name="SEGLiabilityDataApp2" hidden="1">'Shared Equity Guarantee Calc'!$H$21:$H$23</definedName>
    <definedName name="SEGLiabilityDataApp3" hidden="1">'Shared Equity Guarantee Calc'!$J$21:$J$23</definedName>
    <definedName name="SEGLiabilityDataApp4" hidden="1">'Shared Equity Guarantee Calc'!$L$21:$L$23</definedName>
    <definedName name="SEGLiabilityDataApp5" hidden="1">'Shared Equity Guarantee Calc'!$N$21:$N$23</definedName>
    <definedName name="SEGLiabilityDataApp6" hidden="1">'Shared Equity Guarantee Calc'!$P$21:$P$23</definedName>
    <definedName name="SEGMaximumLVR" hidden="1">'Shared Equity Guarantee Calc'!$D$10</definedName>
    <definedName name="SEGPropertyValue" hidden="1">'Shared Equity Guarantee Calc'!$D$9</definedName>
    <definedName name="SEGSecurityDataApp1" hidden="1">'Shared Equity Guarantee Calc'!$F$13:$F$14</definedName>
    <definedName name="SEGSecurityDataApp2" hidden="1">'Shared Equity Guarantee Calc'!$H$13:$H$14</definedName>
    <definedName name="SEGSecurityDataApp3" hidden="1">'Shared Equity Guarantee Calc'!$J$13:$J$14</definedName>
    <definedName name="SEGSecurityDataApp4" hidden="1">'Shared Equity Guarantee Calc'!$L$13:$L$14</definedName>
    <definedName name="SEGSecurityDataApp5" hidden="1">'Shared Equity Guarantee Calc'!$N$13:$N$14</definedName>
    <definedName name="SEGSecurityDataApp6" hidden="1">'Shared Equity Guarantee Calc'!$P$13:$P$14</definedName>
    <definedName name="SELBusinessID" hidden="1">'Self-employed Liabilities'!$D$7</definedName>
    <definedName name="SELClearFields" hidden="1">'Self-employed Liabilities'!$B$12:$K$61</definedName>
    <definedName name="SelfEmployedIncomeShade" hidden="1">'Static Data'!$B$20</definedName>
    <definedName name="SELLiabilityCount" hidden="1">'Self-employed Liabilities'!$C$63</definedName>
    <definedName name="SELLiabilityDataAnchor" hidden="1">'Self-employed Liabilities'!$B$12</definedName>
    <definedName name="SELLiabilityTypeAll" hidden="1">'Self-employed Liabilities'!$B$12:$B$61</definedName>
    <definedName name="SELMandatoryFieldCheck" hidden="1">'Self-employed Liabilities'!$U$6</definedName>
    <definedName name="SELNotionalTermAll" hidden="1">'Self-employed Liabilities'!$K$12:$K$61</definedName>
    <definedName name="SELRemainingTermAll" hidden="1">'Self-employed Liabilities'!$G$12:$G$61</definedName>
    <definedName name="SERBusinessID" hidden="1">'Self-employed Rental Income'!$G$7</definedName>
    <definedName name="SERClearFields" hidden="1">'Self-employed Rental Income'!$B$13:$J$62,'Self-employed Rental Income'!$K$13:$L$62,'Self-employed Rental Income'!$N$13:$N$62,'Self-employed Rental Income'!$R$13:$S$62</definedName>
    <definedName name="SERFrequencyAll" hidden="1">'Self-employed Rental Income'!$J$13:$J$62</definedName>
    <definedName name="SERPreviousYearSection" hidden="1">'Self-employed Rental Income'!$R$11</definedName>
    <definedName name="SERPropertyCount" hidden="1">'Self-employed Rental Income'!$D$64</definedName>
    <definedName name="SERPropertyDataAnchor" hidden="1">'Self-employed Rental Income'!$B$13</definedName>
    <definedName name="SERRentalTypeAll" hidden="1">'Self-employed Rental Income'!$G$13:$G$62</definedName>
    <definedName name="SERRentedDuringTaxReturnPeriodFlagAll" hidden="1">'Self-employed Rental Income'!$I$13:$I$62</definedName>
    <definedName name="SERRuralPropertyAll" hidden="1">'Self-employed Rental Income'!$F$13:$F$62</definedName>
    <definedName name="ShowApplicant2" hidden="1">Serviceability!$AB$18</definedName>
    <definedName name="ShowApplicant3" hidden="1">Serviceability!$AL$18</definedName>
    <definedName name="ShowApplicant4" hidden="1">Serviceability!$AV$18</definedName>
    <definedName name="ShowApplicant5" hidden="1">Serviceability!$BF$18</definedName>
    <definedName name="ShowApplicant6" hidden="1">Serviceability!$BP$18</definedName>
    <definedName name="SMCClearData" hidden="1">'Second Mortgage Calculator'!$C$7,'Second Mortgage Calculator'!$C$8,'Second Mortgage Calculator'!$C$9</definedName>
    <definedName name="SocialSecurityIncomeShade" hidden="1">'Static Data'!$B$25</definedName>
    <definedName name="StipendIncomeShade" hidden="1">'Static Data'!$B$26</definedName>
    <definedName name="STSLRemainingTermApp1" hidden="1">'STSL Calculator'!$D$13</definedName>
    <definedName name="STSLRemainingTermApp2" hidden="1">'STSL Calculator'!$I$13</definedName>
    <definedName name="STSLRemainingTermApp3" hidden="1">'STSL Calculator'!$N$13</definedName>
    <definedName name="STSLRemainingTermApp4" hidden="1">'STSL Calculator'!$D$46</definedName>
    <definedName name="STSLRemainingTermApp5" hidden="1">'STSL Calculator'!$I$46</definedName>
    <definedName name="STSLRemainingTermApp6" hidden="1">'STSL Calculator'!$N$46</definedName>
    <definedName name="VersionNumber" hidden="1">'Static Data'!$B$5</definedName>
    <definedName name="VersionNumberText" hidden="1">'Static Data'!$B$6</definedName>
    <definedName name="VersionReleaseDate" hidden="1">'Static Data'!$B$3</definedName>
    <definedName name="WSCP" hidden="1">"dxdU)0rqX3AfmbevR_nC"</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1" i="125" l="1"/>
  <c r="J34" i="125"/>
  <c r="U25" i="130"/>
  <c r="AI112" i="125" l="1"/>
  <c r="AI111" i="125"/>
  <c r="AI110" i="125"/>
  <c r="AI109" i="125"/>
  <c r="AI108" i="125"/>
  <c r="AI107" i="125"/>
  <c r="AI106" i="125"/>
  <c r="AI105" i="125"/>
  <c r="AI104" i="125"/>
  <c r="T37" i="130" l="1"/>
  <c r="B376" i="125" l="1" a="1"/>
  <c r="B376" i="125" s="1"/>
  <c r="B394" i="125" a="1"/>
  <c r="B394" i="125" s="1"/>
  <c r="B393" i="125" a="1"/>
  <c r="B393" i="125" s="1"/>
  <c r="B392" i="125" a="1"/>
  <c r="B392" i="125" s="1"/>
  <c r="B391" i="125" a="1"/>
  <c r="B391" i="125" s="1"/>
  <c r="B390" i="125" a="1"/>
  <c r="B390" i="125" s="1"/>
  <c r="B389" i="125" a="1"/>
  <c r="B389" i="125" s="1"/>
  <c r="B388" i="125" a="1"/>
  <c r="B388" i="125" s="1"/>
  <c r="B387" i="125" a="1"/>
  <c r="B387" i="125" s="1"/>
  <c r="B386" i="125" a="1"/>
  <c r="B386" i="125" s="1"/>
  <c r="B385" i="125" a="1"/>
  <c r="B385" i="125" s="1"/>
  <c r="B384" i="125" a="1"/>
  <c r="B384" i="125" s="1"/>
  <c r="B383" i="125" a="1"/>
  <c r="B383" i="125" s="1"/>
  <c r="B382" i="125" a="1"/>
  <c r="B382" i="125" s="1"/>
  <c r="B381" i="125" a="1"/>
  <c r="B381" i="125" s="1"/>
  <c r="B380" i="125" a="1"/>
  <c r="B380" i="125" s="1"/>
  <c r="B379" i="125" a="1"/>
  <c r="B379" i="125" s="1"/>
  <c r="B378" i="125" a="1"/>
  <c r="B378" i="125" s="1"/>
  <c r="B377" i="125" a="1"/>
  <c r="B377" i="125" s="1"/>
  <c r="B375" i="125" a="1"/>
  <c r="B375" i="125" s="1"/>
  <c r="F97" i="123" l="1"/>
  <c r="E97" i="123"/>
  <c r="D97" i="123"/>
  <c r="X97" i="123" s="1" a="1"/>
  <c r="X97" i="123" s="1"/>
  <c r="X98" i="123" l="1" a="1"/>
  <c r="X98" i="123" s="1"/>
  <c r="X91" i="123" a="1"/>
  <c r="X91" i="123" s="1"/>
  <c r="X96" i="123" a="1"/>
  <c r="X96" i="123" s="1"/>
  <c r="X102" i="123" a="1"/>
  <c r="X102" i="123" s="1"/>
  <c r="X94" i="123" a="1"/>
  <c r="X94" i="123" s="1"/>
  <c r="X101" i="123" a="1"/>
  <c r="X101" i="123" s="1"/>
  <c r="X95" i="123" a="1"/>
  <c r="X95" i="123" s="1"/>
  <c r="X100" i="123" a="1"/>
  <c r="X100" i="123" s="1"/>
  <c r="X93" i="123" a="1"/>
  <c r="X93" i="123" s="1"/>
  <c r="X99" i="123" a="1"/>
  <c r="X99" i="123" s="1"/>
  <c r="X92" i="123" a="1"/>
  <c r="X92" i="123" s="1"/>
  <c r="CM104" i="125" l="1"/>
  <c r="CM105" i="125"/>
  <c r="CM106" i="125"/>
  <c r="CM107" i="125"/>
  <c r="CM108" i="125"/>
  <c r="CM109" i="125"/>
  <c r="CM110" i="125"/>
  <c r="CM111" i="125"/>
  <c r="CM112" i="125"/>
  <c r="CM103" i="125"/>
  <c r="T22" i="154"/>
  <c r="T23" i="154"/>
  <c r="T21" i="154"/>
  <c r="M11" i="123" l="1"/>
  <c r="CG254" i="125"/>
  <c r="CG248" i="125"/>
  <c r="CG242" i="125"/>
  <c r="CG236" i="125"/>
  <c r="CG230" i="125"/>
  <c r="CG224" i="125"/>
  <c r="CG218" i="125"/>
  <c r="CG212" i="125"/>
  <c r="CG206" i="125"/>
  <c r="CG200" i="125"/>
  <c r="CG194" i="125"/>
  <c r="CG182" i="125"/>
  <c r="CG176" i="125"/>
  <c r="CG170" i="125"/>
  <c r="M41" i="123"/>
  <c r="P40" i="123"/>
  <c r="P39" i="123"/>
  <c r="CM248" i="125" l="1"/>
  <c r="X106" i="123" a="1"/>
  <c r="X106" i="123" s="1"/>
  <c r="X103" i="123" a="1"/>
  <c r="X103" i="123" s="1"/>
  <c r="X104" i="123" a="1"/>
  <c r="X104" i="123" s="1"/>
  <c r="X105" i="123" a="1"/>
  <c r="X105" i="123" s="1"/>
  <c r="CK146" i="125"/>
  <c r="CM158" i="125"/>
  <c r="CL176" i="125"/>
  <c r="CK194" i="125"/>
  <c r="CM206" i="125"/>
  <c r="CL224" i="125"/>
  <c r="CK242" i="125"/>
  <c r="X14" i="123" a="1"/>
  <c r="X14" i="123" s="1"/>
  <c r="CM254" i="125"/>
  <c r="CL146" i="125"/>
  <c r="CL194" i="125"/>
  <c r="CK212" i="125"/>
  <c r="CM224" i="125"/>
  <c r="CL242" i="125"/>
  <c r="CM146" i="125"/>
  <c r="CL164" i="125"/>
  <c r="CK182" i="125"/>
  <c r="CM194" i="125"/>
  <c r="CL212" i="125"/>
  <c r="CK230" i="125"/>
  <c r="CM242" i="125"/>
  <c r="CM176" i="125"/>
  <c r="CM164" i="125"/>
  <c r="CL182" i="125"/>
  <c r="CK200" i="125"/>
  <c r="CM212" i="125"/>
  <c r="CL230" i="125"/>
  <c r="CK248" i="125"/>
  <c r="CK170" i="125"/>
  <c r="CM182" i="125"/>
  <c r="CL200" i="125"/>
  <c r="CK218" i="125"/>
  <c r="CM230" i="125"/>
  <c r="CL248" i="125"/>
  <c r="CK140" i="125"/>
  <c r="CM152" i="125"/>
  <c r="CL170" i="125"/>
  <c r="CK188" i="125"/>
  <c r="CM200" i="125"/>
  <c r="CL218" i="125"/>
  <c r="CK236" i="125"/>
  <c r="X7" i="123" a="1"/>
  <c r="X7" i="123" s="1"/>
  <c r="AZ142" i="125"/>
  <c r="CL152" i="125"/>
  <c r="CL140" i="125"/>
  <c r="CK158" i="125"/>
  <c r="CM170" i="125"/>
  <c r="CL188" i="125"/>
  <c r="CK206" i="125"/>
  <c r="CM218" i="125"/>
  <c r="CL236" i="125"/>
  <c r="CK254" i="125"/>
  <c r="CH110" i="125"/>
  <c r="CH103" i="125"/>
  <c r="CK164" i="125"/>
  <c r="CK152" i="125"/>
  <c r="CM140" i="125"/>
  <c r="CL158" i="125"/>
  <c r="CK176" i="125"/>
  <c r="CM188" i="125"/>
  <c r="CL206" i="125"/>
  <c r="CK224" i="125"/>
  <c r="CM236" i="125"/>
  <c r="CL254" i="125"/>
  <c r="X16" i="123" a="1"/>
  <c r="X16" i="123" s="1"/>
  <c r="X20" i="123" a="1"/>
  <c r="X20" i="123" s="1"/>
  <c r="X17" i="123" a="1"/>
  <c r="X17" i="123" s="1"/>
  <c r="X8" i="123" a="1"/>
  <c r="X8" i="123" s="1"/>
  <c r="X11" i="123" a="1"/>
  <c r="X11" i="123" s="1"/>
  <c r="X21" i="123" a="1"/>
  <c r="X21" i="123" s="1"/>
  <c r="X18" i="123" a="1"/>
  <c r="X18" i="123" s="1"/>
  <c r="X6" i="123" a="1"/>
  <c r="X6" i="123" s="1"/>
  <c r="X13" i="123" a="1"/>
  <c r="X13" i="123" s="1"/>
  <c r="X9" i="123" a="1"/>
  <c r="X9" i="123" s="1"/>
  <c r="X12" i="123" a="1"/>
  <c r="X12" i="123" s="1"/>
  <c r="X15" i="123" a="1"/>
  <c r="X15" i="123" s="1"/>
  <c r="X19" i="123" a="1"/>
  <c r="X19" i="123" s="1"/>
  <c r="X10" i="123" a="1"/>
  <c r="X10" i="123" s="1"/>
  <c r="CF110" i="125"/>
  <c r="CK110" i="125" s="1"/>
  <c r="U41" i="123" a="1"/>
  <c r="U41" i="123" s="1"/>
  <c r="CF103" i="125"/>
  <c r="CK103" i="125" s="1"/>
  <c r="CG103" i="125"/>
  <c r="CL103" i="125" s="1"/>
  <c r="CF106" i="125"/>
  <c r="CK106" i="125" s="1"/>
  <c r="CF105" i="125"/>
  <c r="CK105" i="125" s="1"/>
  <c r="CG109" i="125"/>
  <c r="CL109" i="125" s="1"/>
  <c r="CJ103" i="125"/>
  <c r="CH107" i="125"/>
  <c r="U39" i="123" a="1"/>
  <c r="U39" i="123" s="1"/>
  <c r="U40" i="123" a="1"/>
  <c r="U40" i="123" s="1"/>
  <c r="CG108" i="125"/>
  <c r="CL108" i="125" s="1"/>
  <c r="CH109" i="125"/>
  <c r="CF108" i="125"/>
  <c r="CK108" i="125" s="1"/>
  <c r="CF107" i="125"/>
  <c r="CK107" i="125" s="1"/>
  <c r="CI108" i="125"/>
  <c r="CN108" i="125" s="1"/>
  <c r="AV108" i="125" s="1"/>
  <c r="CJ109" i="125"/>
  <c r="CG107" i="125"/>
  <c r="CL107" i="125" s="1"/>
  <c r="CG106" i="125"/>
  <c r="CL106" i="125" s="1"/>
  <c r="CF112" i="125"/>
  <c r="CK112" i="125" s="1"/>
  <c r="CF104" i="125"/>
  <c r="CK104" i="125" s="1"/>
  <c r="CG105" i="125"/>
  <c r="CL105" i="125" s="1"/>
  <c r="CH106" i="125"/>
  <c r="CI107" i="125"/>
  <c r="CN107" i="125" s="1"/>
  <c r="AV107" i="125" s="1"/>
  <c r="CJ108" i="125"/>
  <c r="CF111" i="125"/>
  <c r="CK111" i="125" s="1"/>
  <c r="CG112" i="125"/>
  <c r="CL112" i="125" s="1"/>
  <c r="CG104" i="125"/>
  <c r="CL104" i="125" s="1"/>
  <c r="CH105" i="125"/>
  <c r="CI106" i="125"/>
  <c r="CN106" i="125" s="1"/>
  <c r="AV106" i="125" s="1"/>
  <c r="CJ107" i="125"/>
  <c r="CG111" i="125"/>
  <c r="CL111" i="125" s="1"/>
  <c r="CH104" i="125"/>
  <c r="CI105" i="125"/>
  <c r="CN105" i="125" s="1"/>
  <c r="AV105" i="125" s="1"/>
  <c r="CJ106" i="125"/>
  <c r="CH112" i="125"/>
  <c r="CI103" i="125"/>
  <c r="CN103" i="125" s="1"/>
  <c r="CF109" i="125"/>
  <c r="CK109" i="125" s="1"/>
  <c r="CG110" i="125"/>
  <c r="CL110" i="125" s="1"/>
  <c r="CH111" i="125"/>
  <c r="CI112" i="125"/>
  <c r="CN112" i="125" s="1"/>
  <c r="AV112" i="125" s="1"/>
  <c r="CI104" i="125"/>
  <c r="CN104" i="125" s="1"/>
  <c r="AV104" i="125" s="1"/>
  <c r="CJ105" i="125"/>
  <c r="CI111" i="125"/>
  <c r="CN111" i="125" s="1"/>
  <c r="AV111" i="125" s="1"/>
  <c r="CJ112" i="125"/>
  <c r="CJ104" i="125"/>
  <c r="CI110" i="125"/>
  <c r="CN110" i="125" s="1"/>
  <c r="AV110" i="125" s="1"/>
  <c r="CJ111" i="125"/>
  <c r="CH108" i="125"/>
  <c r="CI109" i="125"/>
  <c r="CN109" i="125" s="1"/>
  <c r="AV109" i="125" s="1"/>
  <c r="CJ110" i="125"/>
  <c r="Y29" i="154"/>
  <c r="V29" i="154"/>
  <c r="W29" i="154"/>
  <c r="X29" i="154"/>
  <c r="U29" i="154"/>
  <c r="P15" i="154"/>
  <c r="N15" i="154"/>
  <c r="L15" i="154"/>
  <c r="H24" i="154" l="1"/>
  <c r="J24" i="154"/>
  <c r="L24" i="154"/>
  <c r="N24" i="154"/>
  <c r="P24" i="154"/>
  <c r="F24" i="154"/>
  <c r="D24" i="154"/>
  <c r="D11" i="154"/>
  <c r="S23" i="154"/>
  <c r="S22" i="154"/>
  <c r="U22" i="154" s="1"/>
  <c r="S21" i="154"/>
  <c r="T14" i="154"/>
  <c r="U23" i="154" l="1"/>
  <c r="U21" i="154"/>
  <c r="T29" i="154"/>
  <c r="J15" i="154"/>
  <c r="D31" i="154"/>
  <c r="F15" i="154"/>
  <c r="H15" i="154"/>
  <c r="X81" i="134"/>
  <c r="T28" i="154" l="1"/>
  <c r="N29" i="154" s="1"/>
  <c r="R70" i="130"/>
  <c r="D72" i="130" s="1"/>
  <c r="AE281" i="125"/>
  <c r="AE280" i="125"/>
  <c r="AE279" i="125"/>
  <c r="AE278" i="125"/>
  <c r="AE277" i="125"/>
  <c r="AE276" i="125"/>
  <c r="AE275" i="125"/>
  <c r="AE274" i="125"/>
  <c r="AE273" i="125"/>
  <c r="AE272" i="125"/>
  <c r="AE271" i="125"/>
  <c r="AE270" i="125"/>
  <c r="AE269" i="125"/>
  <c r="AE268" i="125"/>
  <c r="AE267" i="125"/>
  <c r="AE266" i="125"/>
  <c r="AE265" i="125"/>
  <c r="AE264" i="125"/>
  <c r="F29" i="154" l="1"/>
  <c r="F8" i="154"/>
  <c r="P31" i="154"/>
  <c r="F31" i="154"/>
  <c r="H29" i="154"/>
  <c r="J29" i="154"/>
  <c r="L31" i="154"/>
  <c r="P29" i="154"/>
  <c r="N31" i="154"/>
  <c r="H31" i="154"/>
  <c r="J31" i="154"/>
  <c r="L29" i="154"/>
  <c r="C72" i="130"/>
  <c r="I17" i="18"/>
  <c r="J17" i="18" s="1"/>
  <c r="O65" i="18"/>
  <c r="M65" i="18"/>
  <c r="K65" i="18"/>
  <c r="I65" i="18"/>
  <c r="G65" i="18"/>
  <c r="E65" i="18"/>
  <c r="O17" i="18"/>
  <c r="P17" i="18" s="1"/>
  <c r="M17" i="18"/>
  <c r="N17" i="18" s="1"/>
  <c r="K17" i="18"/>
  <c r="L17" i="18" s="1"/>
  <c r="G17" i="18"/>
  <c r="H17" i="18" s="1"/>
  <c r="E17" i="18"/>
  <c r="F17" i="18" s="1"/>
  <c r="E16" i="18"/>
  <c r="AN24" i="123"/>
  <c r="D69" i="129" a="1"/>
  <c r="D69" i="129" s="1"/>
  <c r="D70" i="129" a="1"/>
  <c r="D70" i="129" s="1"/>
  <c r="D71" i="129" a="1"/>
  <c r="D71" i="129" s="1"/>
  <c r="D72" i="129" a="1"/>
  <c r="D72" i="129" s="1"/>
  <c r="D73" i="129" a="1"/>
  <c r="D73" i="129" s="1"/>
  <c r="D74" i="129" a="1"/>
  <c r="D74" i="129" s="1"/>
  <c r="D75" i="129" a="1"/>
  <c r="D75" i="129" s="1"/>
  <c r="D76" i="129" a="1"/>
  <c r="D76" i="129" s="1"/>
  <c r="D77" i="129" a="1"/>
  <c r="D77" i="129" s="1"/>
  <c r="D78" i="129" a="1"/>
  <c r="D78" i="129" s="1"/>
  <c r="D79" i="129" a="1"/>
  <c r="D79" i="129" s="1"/>
  <c r="D80" i="129" a="1"/>
  <c r="D80" i="129" s="1"/>
  <c r="L20" i="131"/>
  <c r="Q29" i="132"/>
  <c r="D29" i="154" l="1"/>
  <c r="D33" i="154" s="1"/>
  <c r="AB34" i="130"/>
  <c r="E7" i="127" a="1"/>
  <c r="E9" i="127" a="1"/>
  <c r="E4" i="127" a="1"/>
  <c r="E5" i="127" a="1"/>
  <c r="E6" i="127" a="1"/>
  <c r="E8" i="127" a="1"/>
  <c r="E7" i="127" l="1"/>
  <c r="E6" i="127"/>
  <c r="E5" i="127"/>
  <c r="E9" i="127"/>
  <c r="E8" i="127"/>
  <c r="E4" i="127"/>
  <c r="X31" i="134" l="1"/>
  <c r="BY254" i="125"/>
  <c r="BY248" i="125"/>
  <c r="BY242" i="125"/>
  <c r="BY236" i="125"/>
  <c r="BY230" i="125"/>
  <c r="BY224" i="125"/>
  <c r="BY218" i="125"/>
  <c r="BY212" i="125"/>
  <c r="BY206" i="125"/>
  <c r="BY182" i="125"/>
  <c r="CJ140" i="125"/>
  <c r="CJ254" i="125"/>
  <c r="CJ248" i="125"/>
  <c r="CJ242" i="125"/>
  <c r="CJ236" i="125"/>
  <c r="CJ230" i="125"/>
  <c r="CJ224" i="125"/>
  <c r="CJ218" i="125"/>
  <c r="CJ212" i="125"/>
  <c r="CJ206" i="125"/>
  <c r="CJ200" i="125"/>
  <c r="CJ194" i="125"/>
  <c r="CJ188" i="125"/>
  <c r="CJ182" i="125"/>
  <c r="CJ176" i="125"/>
  <c r="CJ170" i="125"/>
  <c r="CJ164" i="125"/>
  <c r="CJ158" i="125"/>
  <c r="CJ152" i="125"/>
  <c r="CJ146" i="125"/>
  <c r="Q18" i="153" l="1"/>
  <c r="Q21" i="153"/>
  <c r="CE140" i="125" l="1"/>
  <c r="C24" i="153"/>
  <c r="C26" i="153" s="1"/>
  <c r="Q12" i="153" l="1"/>
  <c r="J20" i="153" s="1"/>
  <c r="Q16" i="153"/>
  <c r="Q15" i="153" s="1"/>
  <c r="D116" i="134" l="1"/>
  <c r="B44" i="134" l="1"/>
  <c r="J7" i="123"/>
  <c r="D19" i="130" l="1"/>
  <c r="D25" i="153"/>
  <c r="AE21" i="153"/>
  <c r="AE20" i="153" s="1"/>
  <c r="T20" i="153"/>
  <c r="Q20" i="153"/>
  <c r="Q26" i="153" s="1"/>
  <c r="P26" i="153"/>
  <c r="D15" i="153"/>
  <c r="T12" i="153"/>
  <c r="Q14" i="153"/>
  <c r="M7" i="153"/>
  <c r="C7" i="153"/>
  <c r="B7" i="153"/>
  <c r="T15" i="153" l="1"/>
  <c r="AE22" i="153"/>
  <c r="AE23" i="153" s="1"/>
  <c r="AE24" i="153" s="1"/>
  <c r="AE25" i="153" s="1"/>
  <c r="AE26" i="153" s="1"/>
  <c r="AE27" i="153" s="1"/>
  <c r="AE28" i="153" s="1"/>
  <c r="AE29" i="153" s="1"/>
  <c r="AE30" i="153" s="1"/>
  <c r="AE31" i="153" s="1"/>
  <c r="AE32" i="153" s="1"/>
  <c r="AE33" i="153" s="1"/>
  <c r="AE34" i="153" s="1"/>
  <c r="AE35" i="153" s="1"/>
  <c r="AE36" i="153" s="1"/>
  <c r="AE37" i="153" s="1"/>
  <c r="AE38" i="153" s="1"/>
  <c r="AE39" i="153" s="1"/>
  <c r="AE40" i="153" s="1"/>
  <c r="AE41" i="153" s="1"/>
  <c r="AE42" i="153" s="1"/>
  <c r="AE43" i="153" s="1"/>
  <c r="AE44" i="153" s="1"/>
  <c r="AE45" i="153" s="1"/>
  <c r="AE46" i="153" s="1"/>
  <c r="AE47" i="153" s="1"/>
  <c r="AE48" i="153" s="1"/>
  <c r="AE49" i="153" s="1"/>
  <c r="AE50" i="153" s="1"/>
  <c r="AE51" i="153" s="1"/>
  <c r="AE52" i="153" s="1"/>
  <c r="AE53" i="153" s="1"/>
  <c r="AE54" i="153" s="1"/>
  <c r="AE55" i="153" s="1"/>
  <c r="AE56" i="153" s="1"/>
  <c r="AE57" i="153" s="1"/>
  <c r="AE58" i="153" s="1"/>
  <c r="AE59" i="153" s="1"/>
  <c r="AE60" i="153" s="1"/>
  <c r="AE61" i="153" s="1"/>
  <c r="AE62" i="153" s="1"/>
  <c r="AE63" i="153" s="1"/>
  <c r="AE64" i="153" s="1"/>
  <c r="AE65" i="153" s="1"/>
  <c r="AE66" i="153" s="1"/>
  <c r="AE67" i="153" s="1"/>
  <c r="AE68" i="153" s="1"/>
  <c r="AE69" i="153" s="1"/>
  <c r="AE70" i="153" s="1"/>
  <c r="AE71" i="153" s="1"/>
  <c r="AE72" i="153" s="1"/>
  <c r="AE73" i="153" s="1"/>
  <c r="AE74" i="153" s="1"/>
  <c r="AE75" i="153" s="1"/>
  <c r="AE76" i="153" s="1"/>
  <c r="AE77" i="153" s="1"/>
  <c r="AE78" i="153" s="1"/>
  <c r="AE79" i="153" s="1"/>
  <c r="AE80" i="153" s="1"/>
  <c r="AE81" i="153" s="1"/>
  <c r="AE82" i="153" s="1"/>
  <c r="AE83" i="153" s="1"/>
  <c r="AE84" i="153" s="1"/>
  <c r="AE85" i="153" s="1"/>
  <c r="AE86" i="153" s="1"/>
  <c r="AE87" i="153" s="1"/>
  <c r="AE88" i="153" s="1"/>
  <c r="AE89" i="153" s="1"/>
  <c r="AE90" i="153" s="1"/>
  <c r="AE91" i="153" s="1"/>
  <c r="AE92" i="153" s="1"/>
  <c r="AE93" i="153" s="1"/>
  <c r="AE94" i="153" s="1"/>
  <c r="AE95" i="153" s="1"/>
  <c r="AE96" i="153" s="1"/>
  <c r="AE97" i="153" s="1"/>
  <c r="AE98" i="153" s="1"/>
  <c r="AE99" i="153" s="1"/>
  <c r="AE100" i="153" s="1"/>
  <c r="AE101" i="153" s="1"/>
  <c r="AE102" i="153" s="1"/>
  <c r="AE103" i="153" s="1"/>
  <c r="AE104" i="153" s="1"/>
  <c r="AE105" i="153" s="1"/>
  <c r="AE106" i="153" s="1"/>
  <c r="AE107" i="153" s="1"/>
  <c r="AE108" i="153" s="1"/>
  <c r="AE109" i="153" s="1"/>
  <c r="AE110" i="153" s="1"/>
  <c r="AE111" i="153" s="1"/>
  <c r="AE112" i="153" s="1"/>
  <c r="AE113" i="153" s="1"/>
  <c r="AE114" i="153" s="1"/>
  <c r="AE115" i="153" s="1"/>
  <c r="AE116" i="153" s="1"/>
  <c r="AE117" i="153" s="1"/>
  <c r="AE118" i="153" s="1"/>
  <c r="AE119" i="153" s="1"/>
  <c r="AE120" i="153" s="1"/>
  <c r="AE121" i="153" s="1"/>
  <c r="AE122" i="153" s="1"/>
  <c r="AE123" i="153" s="1"/>
  <c r="AE124" i="153" s="1"/>
  <c r="AE125" i="153" s="1"/>
  <c r="AE126" i="153" s="1"/>
  <c r="AE127" i="153" s="1"/>
  <c r="AE128" i="153" s="1"/>
  <c r="AE129" i="153" s="1"/>
  <c r="AE130" i="153" s="1"/>
  <c r="AE131" i="153" s="1"/>
  <c r="AE132" i="153" s="1"/>
  <c r="AE133" i="153" s="1"/>
  <c r="AE134" i="153" s="1"/>
  <c r="AE135" i="153" s="1"/>
  <c r="AE136" i="153" s="1"/>
  <c r="AE137" i="153" s="1"/>
  <c r="AE138" i="153" s="1"/>
  <c r="AE139" i="153" s="1"/>
  <c r="AE140" i="153" s="1"/>
  <c r="AE141" i="153" s="1"/>
  <c r="AE142" i="153" s="1"/>
  <c r="P27" i="153"/>
  <c r="T13" i="153"/>
  <c r="T14" i="153" s="1"/>
  <c r="T16" i="153"/>
  <c r="AN85" i="134"/>
  <c r="AM85" i="134"/>
  <c r="AK85" i="134"/>
  <c r="AJ85" i="134"/>
  <c r="AH85" i="134"/>
  <c r="AG85" i="134"/>
  <c r="AE85" i="134"/>
  <c r="AD85" i="134"/>
  <c r="AN84" i="134"/>
  <c r="AM84" i="134"/>
  <c r="AK84" i="134"/>
  <c r="AJ84" i="134"/>
  <c r="AH84" i="134"/>
  <c r="AG84" i="134"/>
  <c r="AE84" i="134"/>
  <c r="AD84" i="134"/>
  <c r="T21" i="153" l="1"/>
  <c r="AC30" i="153" s="1"/>
  <c r="AC29" i="153" s="1"/>
  <c r="AC28" i="153" s="1"/>
  <c r="AC27" i="153" s="1"/>
  <c r="AC26" i="153" s="1"/>
  <c r="AC25" i="153" s="1"/>
  <c r="AC24" i="153" s="1"/>
  <c r="AC23" i="153" s="1"/>
  <c r="AC22" i="153" s="1"/>
  <c r="AC21" i="153" s="1"/>
  <c r="AC20" i="153" s="1"/>
  <c r="P28" i="153"/>
  <c r="T27" i="153"/>
  <c r="T26" i="153"/>
  <c r="B105" i="134"/>
  <c r="AC31" i="153" l="1"/>
  <c r="AC32" i="153" s="1"/>
  <c r="AC33" i="153" s="1"/>
  <c r="AC34" i="153" s="1"/>
  <c r="AC35" i="153" s="1"/>
  <c r="AC36" i="153" s="1"/>
  <c r="AC37" i="153" s="1"/>
  <c r="AC38" i="153" s="1"/>
  <c r="AC39" i="153" s="1"/>
  <c r="AC40" i="153" s="1"/>
  <c r="AC41" i="153" s="1"/>
  <c r="AC42" i="153" s="1"/>
  <c r="AC43" i="153" s="1"/>
  <c r="AC44" i="153" s="1"/>
  <c r="AC45" i="153" s="1"/>
  <c r="AC46" i="153" s="1"/>
  <c r="AC47" i="153" s="1"/>
  <c r="AC48" i="153" s="1"/>
  <c r="AC49" i="153" s="1"/>
  <c r="AC50" i="153" s="1"/>
  <c r="AC51" i="153" s="1"/>
  <c r="AC52" i="153" s="1"/>
  <c r="AC53" i="153" s="1"/>
  <c r="AC54" i="153" s="1"/>
  <c r="AC55" i="153" s="1"/>
  <c r="AC56" i="153" s="1"/>
  <c r="AC57" i="153" s="1"/>
  <c r="AC58" i="153" s="1"/>
  <c r="AC59" i="153" s="1"/>
  <c r="AC60" i="153" s="1"/>
  <c r="AC61" i="153" s="1"/>
  <c r="AC62" i="153" s="1"/>
  <c r="AC63" i="153" s="1"/>
  <c r="AC64" i="153" s="1"/>
  <c r="AC65" i="153" s="1"/>
  <c r="AC66" i="153" s="1"/>
  <c r="AC67" i="153" s="1"/>
  <c r="AC68" i="153" s="1"/>
  <c r="AC69" i="153" s="1"/>
  <c r="AC70" i="153" s="1"/>
  <c r="AC71" i="153" s="1"/>
  <c r="AC72" i="153" s="1"/>
  <c r="AC73" i="153" s="1"/>
  <c r="AC74" i="153" s="1"/>
  <c r="AC75" i="153" s="1"/>
  <c r="AC76" i="153" s="1"/>
  <c r="AC77" i="153" s="1"/>
  <c r="AC78" i="153" s="1"/>
  <c r="AC79" i="153" s="1"/>
  <c r="AC80" i="153" s="1"/>
  <c r="AC81" i="153" s="1"/>
  <c r="AC82" i="153" s="1"/>
  <c r="AC83" i="153" s="1"/>
  <c r="AC84" i="153" s="1"/>
  <c r="AC85" i="153" s="1"/>
  <c r="AC86" i="153" s="1"/>
  <c r="AC87" i="153" s="1"/>
  <c r="AC88" i="153" s="1"/>
  <c r="AC89" i="153" s="1"/>
  <c r="AC90" i="153" s="1"/>
  <c r="AC91" i="153" s="1"/>
  <c r="AC92" i="153" s="1"/>
  <c r="AC93" i="153" s="1"/>
  <c r="AC94" i="153" s="1"/>
  <c r="AC95" i="153" s="1"/>
  <c r="AC96" i="153" s="1"/>
  <c r="AC97" i="153" s="1"/>
  <c r="AC98" i="153" s="1"/>
  <c r="AC99" i="153" s="1"/>
  <c r="AC100" i="153" s="1"/>
  <c r="AC101" i="153" s="1"/>
  <c r="AC102" i="153" s="1"/>
  <c r="AC103" i="153" s="1"/>
  <c r="AC104" i="153" s="1"/>
  <c r="AC105" i="153" s="1"/>
  <c r="AC106" i="153" s="1"/>
  <c r="AC107" i="153" s="1"/>
  <c r="AC108" i="153" s="1"/>
  <c r="AC109" i="153" s="1"/>
  <c r="AC110" i="153" s="1"/>
  <c r="AC111" i="153" s="1"/>
  <c r="AC112" i="153" s="1"/>
  <c r="AC113" i="153" s="1"/>
  <c r="AC114" i="153" s="1"/>
  <c r="AC115" i="153" s="1"/>
  <c r="AC116" i="153" s="1"/>
  <c r="AC117" i="153" s="1"/>
  <c r="AC118" i="153" s="1"/>
  <c r="AC119" i="153" s="1"/>
  <c r="AC120" i="153" s="1"/>
  <c r="AC121" i="153" s="1"/>
  <c r="AC122" i="153" s="1"/>
  <c r="AC123" i="153" s="1"/>
  <c r="AC124" i="153" s="1"/>
  <c r="AC125" i="153" s="1"/>
  <c r="AC126" i="153" s="1"/>
  <c r="AC127" i="153" s="1"/>
  <c r="AC128" i="153" s="1"/>
  <c r="AC129" i="153" s="1"/>
  <c r="AC130" i="153" s="1"/>
  <c r="AC131" i="153" s="1"/>
  <c r="AC132" i="153" s="1"/>
  <c r="AC133" i="153" s="1"/>
  <c r="AC134" i="153" s="1"/>
  <c r="AC135" i="153" s="1"/>
  <c r="AC136" i="153" s="1"/>
  <c r="AC137" i="153" s="1"/>
  <c r="AC138" i="153" s="1"/>
  <c r="AC139" i="153" s="1"/>
  <c r="AC140" i="153" s="1"/>
  <c r="AC141" i="153" s="1"/>
  <c r="AC142" i="153" s="1"/>
  <c r="AC143" i="153" s="1"/>
  <c r="AC144" i="153" s="1"/>
  <c r="AC145" i="153" s="1"/>
  <c r="AC146" i="153" s="1"/>
  <c r="AC147" i="153" s="1"/>
  <c r="AC148" i="153" s="1"/>
  <c r="AC149" i="153" s="1"/>
  <c r="AC150" i="153" s="1"/>
  <c r="AC151" i="153" s="1"/>
  <c r="AC152" i="153" s="1"/>
  <c r="AC153" i="153" s="1"/>
  <c r="AC154" i="153" s="1"/>
  <c r="AC155" i="153" s="1"/>
  <c r="AC156" i="153" s="1"/>
  <c r="AC157" i="153" s="1"/>
  <c r="AC158" i="153" s="1"/>
  <c r="AC159" i="153" s="1"/>
  <c r="AC160" i="153" s="1"/>
  <c r="AC161" i="153" s="1"/>
  <c r="AC162" i="153" s="1"/>
  <c r="AC163" i="153" s="1"/>
  <c r="AC164" i="153" s="1"/>
  <c r="AC165" i="153" s="1"/>
  <c r="AC166" i="153" s="1"/>
  <c r="AC167" i="153" s="1"/>
  <c r="AC168" i="153" s="1"/>
  <c r="AC169" i="153" s="1"/>
  <c r="AC170" i="153" s="1"/>
  <c r="AC171" i="153" s="1"/>
  <c r="AC172" i="153" s="1"/>
  <c r="AC173" i="153" s="1"/>
  <c r="AC174" i="153" s="1"/>
  <c r="AC175" i="153" s="1"/>
  <c r="AC176" i="153" s="1"/>
  <c r="AC177" i="153" s="1"/>
  <c r="AC178" i="153" s="1"/>
  <c r="AC179" i="153" s="1"/>
  <c r="AC180" i="153" s="1"/>
  <c r="AC181" i="153" s="1"/>
  <c r="AC182" i="153" s="1"/>
  <c r="AC183" i="153" s="1"/>
  <c r="AC184" i="153" s="1"/>
  <c r="AC185" i="153" s="1"/>
  <c r="AC186" i="153" s="1"/>
  <c r="AC187" i="153" s="1"/>
  <c r="AC188" i="153" s="1"/>
  <c r="AC189" i="153" s="1"/>
  <c r="AC190" i="153" s="1"/>
  <c r="AC191" i="153" s="1"/>
  <c r="AC192" i="153" s="1"/>
  <c r="AC193" i="153" s="1"/>
  <c r="AC194" i="153" s="1"/>
  <c r="AC195" i="153" s="1"/>
  <c r="AC196" i="153" s="1"/>
  <c r="AC197" i="153" s="1"/>
  <c r="AC198" i="153" s="1"/>
  <c r="AC199" i="153" s="1"/>
  <c r="AC200" i="153" s="1"/>
  <c r="AC201" i="153" s="1"/>
  <c r="AC202" i="153" s="1"/>
  <c r="AC203" i="153" s="1"/>
  <c r="AC204" i="153" s="1"/>
  <c r="AC205" i="153" s="1"/>
  <c r="AC206" i="153" s="1"/>
  <c r="AC207" i="153" s="1"/>
  <c r="AC208" i="153" s="1"/>
  <c r="AC209" i="153" s="1"/>
  <c r="AC210" i="153" s="1"/>
  <c r="AC211" i="153" s="1"/>
  <c r="AC212" i="153" s="1"/>
  <c r="AC213" i="153" s="1"/>
  <c r="AC214" i="153" s="1"/>
  <c r="AC215" i="153" s="1"/>
  <c r="AC216" i="153" s="1"/>
  <c r="AC217" i="153" s="1"/>
  <c r="AC218" i="153" s="1"/>
  <c r="AC219" i="153" s="1"/>
  <c r="AC220" i="153" s="1"/>
  <c r="AC221" i="153" s="1"/>
  <c r="AC222" i="153" s="1"/>
  <c r="AC223" i="153" s="1"/>
  <c r="AC224" i="153" s="1"/>
  <c r="AC225" i="153" s="1"/>
  <c r="AC226" i="153" s="1"/>
  <c r="AC227" i="153" s="1"/>
  <c r="AC228" i="153" s="1"/>
  <c r="AC229" i="153" s="1"/>
  <c r="AC230" i="153" s="1"/>
  <c r="AC231" i="153" s="1"/>
  <c r="AC232" i="153" s="1"/>
  <c r="AC233" i="153" s="1"/>
  <c r="AC234" i="153" s="1"/>
  <c r="AC235" i="153" s="1"/>
  <c r="AC236" i="153" s="1"/>
  <c r="AC237" i="153" s="1"/>
  <c r="AC238" i="153" s="1"/>
  <c r="AC239" i="153" s="1"/>
  <c r="AC240" i="153" s="1"/>
  <c r="AC241" i="153" s="1"/>
  <c r="AC242" i="153" s="1"/>
  <c r="AC243" i="153" s="1"/>
  <c r="AC244" i="153" s="1"/>
  <c r="AC245" i="153" s="1"/>
  <c r="AC246" i="153" s="1"/>
  <c r="AC247" i="153" s="1"/>
  <c r="AC248" i="153" s="1"/>
  <c r="AC249" i="153" s="1"/>
  <c r="AC250" i="153" s="1"/>
  <c r="AC251" i="153" s="1"/>
  <c r="AC252" i="153" s="1"/>
  <c r="AC253" i="153" s="1"/>
  <c r="AC254" i="153" s="1"/>
  <c r="AC255" i="153" s="1"/>
  <c r="AC256" i="153" s="1"/>
  <c r="AC257" i="153" s="1"/>
  <c r="AC258" i="153" s="1"/>
  <c r="AC259" i="153" s="1"/>
  <c r="AC260" i="153" s="1"/>
  <c r="AC261" i="153" s="1"/>
  <c r="AC262" i="153" s="1"/>
  <c r="AC263" i="153" s="1"/>
  <c r="AC264" i="153" s="1"/>
  <c r="AC265" i="153" s="1"/>
  <c r="AC266" i="153" s="1"/>
  <c r="AC267" i="153" s="1"/>
  <c r="AC268" i="153" s="1"/>
  <c r="AC269" i="153" s="1"/>
  <c r="AC270" i="153" s="1"/>
  <c r="AC271" i="153" s="1"/>
  <c r="AC272" i="153" s="1"/>
  <c r="AC273" i="153" s="1"/>
  <c r="AC274" i="153" s="1"/>
  <c r="AC275" i="153" s="1"/>
  <c r="AC276" i="153" s="1"/>
  <c r="AC277" i="153" s="1"/>
  <c r="AC278" i="153" s="1"/>
  <c r="AC279" i="153" s="1"/>
  <c r="AC280" i="153" s="1"/>
  <c r="AC281" i="153" s="1"/>
  <c r="AC282" i="153" s="1"/>
  <c r="AC283" i="153" s="1"/>
  <c r="AC284" i="153" s="1"/>
  <c r="AC285" i="153" s="1"/>
  <c r="AC286" i="153" s="1"/>
  <c r="AC287" i="153" s="1"/>
  <c r="AC288" i="153" s="1"/>
  <c r="AC289" i="153" s="1"/>
  <c r="AC290" i="153" s="1"/>
  <c r="AC291" i="153" s="1"/>
  <c r="AC292" i="153" s="1"/>
  <c r="AC293" i="153" s="1"/>
  <c r="AC294" i="153" s="1"/>
  <c r="AC295" i="153" s="1"/>
  <c r="AC296" i="153" s="1"/>
  <c r="AC297" i="153" s="1"/>
  <c r="AC298" i="153" s="1"/>
  <c r="AC299" i="153" s="1"/>
  <c r="AC300" i="153" s="1"/>
  <c r="AC301" i="153" s="1"/>
  <c r="AC302" i="153" s="1"/>
  <c r="AC303" i="153" s="1"/>
  <c r="AC304" i="153" s="1"/>
  <c r="AC305" i="153" s="1"/>
  <c r="AC306" i="153" s="1"/>
  <c r="AC307" i="153" s="1"/>
  <c r="AC308" i="153" s="1"/>
  <c r="AC309" i="153" s="1"/>
  <c r="AC310" i="153" s="1"/>
  <c r="AC311" i="153" s="1"/>
  <c r="AC312" i="153" s="1"/>
  <c r="AC313" i="153" s="1"/>
  <c r="AC314" i="153" s="1"/>
  <c r="AC315" i="153" s="1"/>
  <c r="AC316" i="153" s="1"/>
  <c r="AC317" i="153" s="1"/>
  <c r="AC318" i="153" s="1"/>
  <c r="AC319" i="153" s="1"/>
  <c r="AC320" i="153" s="1"/>
  <c r="AC321" i="153" s="1"/>
  <c r="AC322" i="153" s="1"/>
  <c r="AC323" i="153" s="1"/>
  <c r="AC324" i="153" s="1"/>
  <c r="AC325" i="153" s="1"/>
  <c r="AC326" i="153" s="1"/>
  <c r="AC327" i="153" s="1"/>
  <c r="AC328" i="153" s="1"/>
  <c r="AC329" i="153" s="1"/>
  <c r="AC330" i="153" s="1"/>
  <c r="AC331" i="153" s="1"/>
  <c r="AC332" i="153" s="1"/>
  <c r="AC333" i="153" s="1"/>
  <c r="AC334" i="153" s="1"/>
  <c r="AC335" i="153" s="1"/>
  <c r="AC336" i="153" s="1"/>
  <c r="AC337" i="153" s="1"/>
  <c r="AC338" i="153" s="1"/>
  <c r="AC339" i="153" s="1"/>
  <c r="AC340" i="153" s="1"/>
  <c r="AC341" i="153" s="1"/>
  <c r="AC342" i="153" s="1"/>
  <c r="AC343" i="153" s="1"/>
  <c r="AC344" i="153" s="1"/>
  <c r="AC345" i="153" s="1"/>
  <c r="AC346" i="153" s="1"/>
  <c r="AC347" i="153" s="1"/>
  <c r="AC348" i="153" s="1"/>
  <c r="AC349" i="153" s="1"/>
  <c r="AC350" i="153" s="1"/>
  <c r="AC351" i="153" s="1"/>
  <c r="AC352" i="153" s="1"/>
  <c r="AC353" i="153" s="1"/>
  <c r="AC354" i="153" s="1"/>
  <c r="AC355" i="153" s="1"/>
  <c r="AC356" i="153" s="1"/>
  <c r="AC357" i="153" s="1"/>
  <c r="AC358" i="153" s="1"/>
  <c r="AC359" i="153" s="1"/>
  <c r="AC360" i="153" s="1"/>
  <c r="AC361" i="153" s="1"/>
  <c r="AC362" i="153" s="1"/>
  <c r="AC363" i="153" s="1"/>
  <c r="AC364" i="153" s="1"/>
  <c r="AC365" i="153" s="1"/>
  <c r="AC366" i="153" s="1"/>
  <c r="AC367" i="153" s="1"/>
  <c r="AC368" i="153" s="1"/>
  <c r="AC369" i="153" s="1"/>
  <c r="AC370" i="153" s="1"/>
  <c r="AC371" i="153" s="1"/>
  <c r="AC372" i="153" s="1"/>
  <c r="AC373" i="153" s="1"/>
  <c r="AC374" i="153" s="1"/>
  <c r="AC375" i="153" s="1"/>
  <c r="AC376" i="153" s="1"/>
  <c r="AC377" i="153" s="1"/>
  <c r="AC378" i="153" s="1"/>
  <c r="AC379" i="153" s="1"/>
  <c r="AC380" i="153" s="1"/>
  <c r="AC381" i="153" s="1"/>
  <c r="AC382" i="153" s="1"/>
  <c r="AC383" i="153" s="1"/>
  <c r="AC384" i="153" s="1"/>
  <c r="AC385" i="153" s="1"/>
  <c r="AC386" i="153" s="1"/>
  <c r="AC387" i="153" s="1"/>
  <c r="AC388" i="153" s="1"/>
  <c r="AC389" i="153" s="1"/>
  <c r="AC390" i="153" s="1"/>
  <c r="AC391" i="153" s="1"/>
  <c r="AC392" i="153" s="1"/>
  <c r="AC393" i="153" s="1"/>
  <c r="AC394" i="153" s="1"/>
  <c r="AC395" i="153" s="1"/>
  <c r="AC396" i="153" s="1"/>
  <c r="AC397" i="153" s="1"/>
  <c r="AC398" i="153" s="1"/>
  <c r="AC399" i="153" s="1"/>
  <c r="AC400" i="153" s="1"/>
  <c r="AC401" i="153" s="1"/>
  <c r="AC402" i="153" s="1"/>
  <c r="AC403" i="153" s="1"/>
  <c r="AC404" i="153" s="1"/>
  <c r="AC405" i="153" s="1"/>
  <c r="AC406" i="153" s="1"/>
  <c r="AC407" i="153" s="1"/>
  <c r="AC408" i="153" s="1"/>
  <c r="AC409" i="153" s="1"/>
  <c r="AC410" i="153" s="1"/>
  <c r="AC411" i="153" s="1"/>
  <c r="AC412" i="153" s="1"/>
  <c r="AC413" i="153" s="1"/>
  <c r="AC414" i="153" s="1"/>
  <c r="AC415" i="153" s="1"/>
  <c r="AC416" i="153" s="1"/>
  <c r="AC417" i="153" s="1"/>
  <c r="AC418" i="153" s="1"/>
  <c r="AC419" i="153" s="1"/>
  <c r="AC420" i="153" s="1"/>
  <c r="AC421" i="153" s="1"/>
  <c r="AC422" i="153" s="1"/>
  <c r="AC423" i="153" s="1"/>
  <c r="AC424" i="153" s="1"/>
  <c r="AC425" i="153" s="1"/>
  <c r="AC426" i="153" s="1"/>
  <c r="AC427" i="153" s="1"/>
  <c r="AC428" i="153" s="1"/>
  <c r="AC429" i="153" s="1"/>
  <c r="AC430" i="153" s="1"/>
  <c r="AC431" i="153" s="1"/>
  <c r="AC432" i="153" s="1"/>
  <c r="AC433" i="153" s="1"/>
  <c r="AC434" i="153" s="1"/>
  <c r="AC435" i="153" s="1"/>
  <c r="AC436" i="153" s="1"/>
  <c r="AC437" i="153" s="1"/>
  <c r="AC438" i="153" s="1"/>
  <c r="AC439" i="153" s="1"/>
  <c r="AC440" i="153" s="1"/>
  <c r="AC441" i="153" s="1"/>
  <c r="AC442" i="153" s="1"/>
  <c r="AC443" i="153" s="1"/>
  <c r="AC444" i="153" s="1"/>
  <c r="AC445" i="153" s="1"/>
  <c r="AC446" i="153" s="1"/>
  <c r="AC447" i="153" s="1"/>
  <c r="AC448" i="153" s="1"/>
  <c r="AC449" i="153" s="1"/>
  <c r="AC450" i="153" s="1"/>
  <c r="AC451" i="153" s="1"/>
  <c r="AC452" i="153" s="1"/>
  <c r="AC453" i="153" s="1"/>
  <c r="AC454" i="153" s="1"/>
  <c r="AC455" i="153" s="1"/>
  <c r="AC456" i="153" s="1"/>
  <c r="AC457" i="153" s="1"/>
  <c r="AC458" i="153" s="1"/>
  <c r="AC459" i="153" s="1"/>
  <c r="AC460" i="153" s="1"/>
  <c r="AC461" i="153" s="1"/>
  <c r="AC462" i="153" s="1"/>
  <c r="AC463" i="153" s="1"/>
  <c r="AC464" i="153" s="1"/>
  <c r="AC465" i="153" s="1"/>
  <c r="AC466" i="153" s="1"/>
  <c r="AC467" i="153" s="1"/>
  <c r="AC468" i="153" s="1"/>
  <c r="AC469" i="153" s="1"/>
  <c r="AC470" i="153" s="1"/>
  <c r="AC471" i="153" s="1"/>
  <c r="AC472" i="153" s="1"/>
  <c r="AC473" i="153" s="1"/>
  <c r="AC474" i="153" s="1"/>
  <c r="AC475" i="153" s="1"/>
  <c r="AC476" i="153" s="1"/>
  <c r="AC477" i="153" s="1"/>
  <c r="AC478" i="153" s="1"/>
  <c r="AC479" i="153" s="1"/>
  <c r="AC480" i="153" s="1"/>
  <c r="AC481" i="153" s="1"/>
  <c r="AC482" i="153" s="1"/>
  <c r="AC483" i="153" s="1"/>
  <c r="AC484" i="153" s="1"/>
  <c r="AC485" i="153" s="1"/>
  <c r="AC486" i="153" s="1"/>
  <c r="AC487" i="153" s="1"/>
  <c r="AC488" i="153" s="1"/>
  <c r="AC489" i="153" s="1"/>
  <c r="AC490" i="153" s="1"/>
  <c r="AC491" i="153" s="1"/>
  <c r="AC492" i="153" s="1"/>
  <c r="AC493" i="153" s="1"/>
  <c r="AC494" i="153" s="1"/>
  <c r="AC495" i="153" s="1"/>
  <c r="AC496" i="153" s="1"/>
  <c r="AC497" i="153" s="1"/>
  <c r="AC498" i="153" s="1"/>
  <c r="AC499" i="153" s="1"/>
  <c r="AC500" i="153" s="1"/>
  <c r="AC501" i="153" s="1"/>
  <c r="AC502" i="153" s="1"/>
  <c r="AC503" i="153" s="1"/>
  <c r="AC504" i="153" s="1"/>
  <c r="AC505" i="153" s="1"/>
  <c r="AC506" i="153" s="1"/>
  <c r="AC507" i="153" s="1"/>
  <c r="AC508" i="153" s="1"/>
  <c r="AC509" i="153" s="1"/>
  <c r="AC510" i="153" s="1"/>
  <c r="AC511" i="153" s="1"/>
  <c r="AC512" i="153" s="1"/>
  <c r="AC513" i="153" s="1"/>
  <c r="AC514" i="153" s="1"/>
  <c r="AC515" i="153" s="1"/>
  <c r="AC516" i="153" s="1"/>
  <c r="AC517" i="153" s="1"/>
  <c r="AC518" i="153" s="1"/>
  <c r="AC519" i="153" s="1"/>
  <c r="AC520" i="153" s="1"/>
  <c r="AC521" i="153" s="1"/>
  <c r="AC522" i="153" s="1"/>
  <c r="AC523" i="153" s="1"/>
  <c r="AC524" i="153" s="1"/>
  <c r="AC525" i="153" s="1"/>
  <c r="AC526" i="153" s="1"/>
  <c r="AC527" i="153" s="1"/>
  <c r="AC528" i="153" s="1"/>
  <c r="AC529" i="153" s="1"/>
  <c r="AC530" i="153" s="1"/>
  <c r="AC531" i="153" s="1"/>
  <c r="AC532" i="153" s="1"/>
  <c r="AC533" i="153" s="1"/>
  <c r="AC534" i="153" s="1"/>
  <c r="AC535" i="153" s="1"/>
  <c r="AC536" i="153" s="1"/>
  <c r="AC537" i="153" s="1"/>
  <c r="AC538" i="153" s="1"/>
  <c r="AC539" i="153" s="1"/>
  <c r="AC540" i="153" s="1"/>
  <c r="AC541" i="153" s="1"/>
  <c r="AC542" i="153" s="1"/>
  <c r="AC543" i="153" s="1"/>
  <c r="AC544" i="153" s="1"/>
  <c r="AC545" i="153" s="1"/>
  <c r="AC546" i="153" s="1"/>
  <c r="AC547" i="153" s="1"/>
  <c r="AC548" i="153" s="1"/>
  <c r="AC549" i="153" s="1"/>
  <c r="AC550" i="153" s="1"/>
  <c r="AC551" i="153" s="1"/>
  <c r="AC552" i="153" s="1"/>
  <c r="AC553" i="153" s="1"/>
  <c r="AC554" i="153" s="1"/>
  <c r="AC555" i="153" s="1"/>
  <c r="AC556" i="153" s="1"/>
  <c r="AC557" i="153" s="1"/>
  <c r="AC558" i="153" s="1"/>
  <c r="AC559" i="153" s="1"/>
  <c r="AC560" i="153" s="1"/>
  <c r="AC561" i="153" s="1"/>
  <c r="AC562" i="153" s="1"/>
  <c r="AC563" i="153" s="1"/>
  <c r="AC564" i="153" s="1"/>
  <c r="AC565" i="153" s="1"/>
  <c r="AC566" i="153" s="1"/>
  <c r="AC567" i="153" s="1"/>
  <c r="AC568" i="153" s="1"/>
  <c r="AC569" i="153" s="1"/>
  <c r="AC570" i="153" s="1"/>
  <c r="AC571" i="153" s="1"/>
  <c r="AC572" i="153" s="1"/>
  <c r="AC573" i="153" s="1"/>
  <c r="AC574" i="153" s="1"/>
  <c r="AC575" i="153" s="1"/>
  <c r="AC576" i="153" s="1"/>
  <c r="AC577" i="153" s="1"/>
  <c r="AC578" i="153" s="1"/>
  <c r="AC579" i="153" s="1"/>
  <c r="AC580" i="153" s="1"/>
  <c r="AC581" i="153" s="1"/>
  <c r="AC582" i="153" s="1"/>
  <c r="AC583" i="153" s="1"/>
  <c r="AC584" i="153" s="1"/>
  <c r="AC585" i="153" s="1"/>
  <c r="AC586" i="153" s="1"/>
  <c r="AC587" i="153" s="1"/>
  <c r="AC588" i="153" s="1"/>
  <c r="AC589" i="153" s="1"/>
  <c r="AC590" i="153" s="1"/>
  <c r="AC591" i="153" s="1"/>
  <c r="AC592" i="153" s="1"/>
  <c r="AC593" i="153" s="1"/>
  <c r="AC594" i="153" s="1"/>
  <c r="AC595" i="153" s="1"/>
  <c r="AC596" i="153" s="1"/>
  <c r="AC597" i="153" s="1"/>
  <c r="AC598" i="153" s="1"/>
  <c r="AC599" i="153" s="1"/>
  <c r="AC600" i="153" s="1"/>
  <c r="AC601" i="153" s="1"/>
  <c r="AC602" i="153" s="1"/>
  <c r="AC603" i="153" s="1"/>
  <c r="AC604" i="153" s="1"/>
  <c r="AC605" i="153" s="1"/>
  <c r="AC606" i="153" s="1"/>
  <c r="AC607" i="153" s="1"/>
  <c r="AC608" i="153" s="1"/>
  <c r="AC609" i="153" s="1"/>
  <c r="AC610" i="153" s="1"/>
  <c r="AC611" i="153" s="1"/>
  <c r="AC612" i="153" s="1"/>
  <c r="AC613" i="153" s="1"/>
  <c r="AC614" i="153" s="1"/>
  <c r="AC615" i="153" s="1"/>
  <c r="AC616" i="153" s="1"/>
  <c r="AC617" i="153" s="1"/>
  <c r="AC618" i="153" s="1"/>
  <c r="AC619" i="153" s="1"/>
  <c r="AC620" i="153" s="1"/>
  <c r="AC621" i="153" s="1"/>
  <c r="AC622" i="153" s="1"/>
  <c r="AC623" i="153" s="1"/>
  <c r="AC624" i="153" s="1"/>
  <c r="AC625" i="153" s="1"/>
  <c r="AC626" i="153" s="1"/>
  <c r="AC627" i="153" s="1"/>
  <c r="AC628" i="153" s="1"/>
  <c r="AC629" i="153" s="1"/>
  <c r="AC630" i="153" s="1"/>
  <c r="AC631" i="153" s="1"/>
  <c r="AC632" i="153" s="1"/>
  <c r="AC633" i="153" s="1"/>
  <c r="AC634" i="153" s="1"/>
  <c r="AC635" i="153" s="1"/>
  <c r="AC636" i="153" s="1"/>
  <c r="AC637" i="153" s="1"/>
  <c r="AC638" i="153" s="1"/>
  <c r="AC639" i="153" s="1"/>
  <c r="AC640" i="153" s="1"/>
  <c r="AC641" i="153" s="1"/>
  <c r="AC642" i="153" s="1"/>
  <c r="AC643" i="153" s="1"/>
  <c r="AC644" i="153" s="1"/>
  <c r="AC645" i="153" s="1"/>
  <c r="AC646" i="153" s="1"/>
  <c r="AC647" i="153" s="1"/>
  <c r="AC648" i="153" s="1"/>
  <c r="AC649" i="153" s="1"/>
  <c r="AC650" i="153" s="1"/>
  <c r="AC651" i="153" s="1"/>
  <c r="AC652" i="153" s="1"/>
  <c r="AC653" i="153" s="1"/>
  <c r="AC654" i="153" s="1"/>
  <c r="AC655" i="153" s="1"/>
  <c r="AC656" i="153" s="1"/>
  <c r="AC657" i="153" s="1"/>
  <c r="AC658" i="153" s="1"/>
  <c r="AC659" i="153" s="1"/>
  <c r="AC660" i="153" s="1"/>
  <c r="AC661" i="153" s="1"/>
  <c r="AC662" i="153" s="1"/>
  <c r="AC663" i="153" s="1"/>
  <c r="AC664" i="153" s="1"/>
  <c r="AC665" i="153" s="1"/>
  <c r="AC666" i="153" s="1"/>
  <c r="AC667" i="153" s="1"/>
  <c r="AC668" i="153" s="1"/>
  <c r="AC669" i="153" s="1"/>
  <c r="AC670" i="153" s="1"/>
  <c r="AC671" i="153" s="1"/>
  <c r="AC672" i="153" s="1"/>
  <c r="AC673" i="153" s="1"/>
  <c r="AC674" i="153" s="1"/>
  <c r="AC675" i="153" s="1"/>
  <c r="AC676" i="153" s="1"/>
  <c r="AC677" i="153" s="1"/>
  <c r="AC678" i="153" s="1"/>
  <c r="AC679" i="153" s="1"/>
  <c r="AC680" i="153" s="1"/>
  <c r="AC681" i="153" s="1"/>
  <c r="AC682" i="153" s="1"/>
  <c r="AC683" i="153" s="1"/>
  <c r="AC684" i="153" s="1"/>
  <c r="AC685" i="153" s="1"/>
  <c r="AC686" i="153" s="1"/>
  <c r="AC687" i="153" s="1"/>
  <c r="AC688" i="153" s="1"/>
  <c r="AC689" i="153" s="1"/>
  <c r="AC690" i="153" s="1"/>
  <c r="AC691" i="153" s="1"/>
  <c r="AC692" i="153" s="1"/>
  <c r="AC693" i="153" s="1"/>
  <c r="AC694" i="153" s="1"/>
  <c r="AC695" i="153" s="1"/>
  <c r="AC696" i="153" s="1"/>
  <c r="AC697" i="153" s="1"/>
  <c r="AC698" i="153" s="1"/>
  <c r="AC699" i="153" s="1"/>
  <c r="AC700" i="153" s="1"/>
  <c r="AC701" i="153" s="1"/>
  <c r="AC702" i="153" s="1"/>
  <c r="AC703" i="153" s="1"/>
  <c r="AC704" i="153" s="1"/>
  <c r="AC705" i="153" s="1"/>
  <c r="AC706" i="153" s="1"/>
  <c r="AC707" i="153" s="1"/>
  <c r="AC708" i="153" s="1"/>
  <c r="AC709" i="153" s="1"/>
  <c r="AC710" i="153" s="1"/>
  <c r="AC711" i="153" s="1"/>
  <c r="AC712" i="153" s="1"/>
  <c r="AC713" i="153" s="1"/>
  <c r="AC714" i="153" s="1"/>
  <c r="AC715" i="153" s="1"/>
  <c r="AC716" i="153" s="1"/>
  <c r="AC717" i="153" s="1"/>
  <c r="AC718" i="153" s="1"/>
  <c r="AC719" i="153" s="1"/>
  <c r="AC720" i="153" s="1"/>
  <c r="AC721" i="153" s="1"/>
  <c r="AC722" i="153" s="1"/>
  <c r="AC723" i="153" s="1"/>
  <c r="AC724" i="153" s="1"/>
  <c r="AC725" i="153" s="1"/>
  <c r="AC726" i="153" s="1"/>
  <c r="AC727" i="153" s="1"/>
  <c r="AC728" i="153" s="1"/>
  <c r="AC729" i="153" s="1"/>
  <c r="AC730" i="153" s="1"/>
  <c r="AC731" i="153" s="1"/>
  <c r="AC732" i="153" s="1"/>
  <c r="AC733" i="153" s="1"/>
  <c r="AC734" i="153" s="1"/>
  <c r="AC735" i="153" s="1"/>
  <c r="AC736" i="153" s="1"/>
  <c r="AC737" i="153" s="1"/>
  <c r="AC738" i="153" s="1"/>
  <c r="AC739" i="153" s="1"/>
  <c r="AC740" i="153" s="1"/>
  <c r="AC741" i="153" s="1"/>
  <c r="AC742" i="153" s="1"/>
  <c r="AC743" i="153" s="1"/>
  <c r="AC744" i="153" s="1"/>
  <c r="AC745" i="153" s="1"/>
  <c r="AC746" i="153" s="1"/>
  <c r="AC747" i="153" s="1"/>
  <c r="AC748" i="153" s="1"/>
  <c r="AC749" i="153" s="1"/>
  <c r="AC750" i="153" s="1"/>
  <c r="AC751" i="153" s="1"/>
  <c r="AC752" i="153" s="1"/>
  <c r="AC753" i="153" s="1"/>
  <c r="AC754" i="153" s="1"/>
  <c r="AC755" i="153" s="1"/>
  <c r="AC756" i="153" s="1"/>
  <c r="AC757" i="153" s="1"/>
  <c r="AC758" i="153" s="1"/>
  <c r="AC759" i="153" s="1"/>
  <c r="AC760" i="153" s="1"/>
  <c r="AC761" i="153" s="1"/>
  <c r="AC762" i="153" s="1"/>
  <c r="AC763" i="153" s="1"/>
  <c r="AC764" i="153" s="1"/>
  <c r="AC765" i="153" s="1"/>
  <c r="AC766" i="153" s="1"/>
  <c r="AC767" i="153" s="1"/>
  <c r="AC768" i="153" s="1"/>
  <c r="AC769" i="153" s="1"/>
  <c r="AC770" i="153" s="1"/>
  <c r="AC771" i="153" s="1"/>
  <c r="AC772" i="153" s="1"/>
  <c r="AC773" i="153" s="1"/>
  <c r="AC774" i="153" s="1"/>
  <c r="AC775" i="153" s="1"/>
  <c r="AC776" i="153" s="1"/>
  <c r="AC777" i="153" s="1"/>
  <c r="AC778" i="153" s="1"/>
  <c r="AC779" i="153" s="1"/>
  <c r="AC780" i="153" s="1"/>
  <c r="AC781" i="153" s="1"/>
  <c r="AC782" i="153" s="1"/>
  <c r="AC783" i="153" s="1"/>
  <c r="AC784" i="153" s="1"/>
  <c r="AC785" i="153" s="1"/>
  <c r="AC786" i="153" s="1"/>
  <c r="AC787" i="153" s="1"/>
  <c r="AC788" i="153" s="1"/>
  <c r="AC789" i="153" s="1"/>
  <c r="AC790" i="153" s="1"/>
  <c r="AC791" i="153" s="1"/>
  <c r="AC792" i="153" s="1"/>
  <c r="AC793" i="153" s="1"/>
  <c r="AC794" i="153" s="1"/>
  <c r="AC795" i="153" s="1"/>
  <c r="AC796" i="153" s="1"/>
  <c r="AC797" i="153" s="1"/>
  <c r="AC798" i="153" s="1"/>
  <c r="AC799" i="153" s="1"/>
  <c r="AC800" i="153" s="1"/>
  <c r="AC801" i="153" s="1"/>
  <c r="AC802" i="153" s="1"/>
  <c r="AC803" i="153" s="1"/>
  <c r="AC804" i="153" s="1"/>
  <c r="AC805" i="153" s="1"/>
  <c r="AC806" i="153" s="1"/>
  <c r="AC807" i="153" s="1"/>
  <c r="AC808" i="153" s="1"/>
  <c r="AC809" i="153" s="1"/>
  <c r="AC810" i="153" s="1"/>
  <c r="AC811" i="153" s="1"/>
  <c r="AC812" i="153" s="1"/>
  <c r="AC813" i="153" s="1"/>
  <c r="AC814" i="153" s="1"/>
  <c r="AC815" i="153" s="1"/>
  <c r="AC816" i="153" s="1"/>
  <c r="AC817" i="153" s="1"/>
  <c r="AC818" i="153" s="1"/>
  <c r="AC819" i="153" s="1"/>
  <c r="AC820" i="153" s="1"/>
  <c r="AC821" i="153" s="1"/>
  <c r="AC822" i="153" s="1"/>
  <c r="AC823" i="153" s="1"/>
  <c r="AC824" i="153" s="1"/>
  <c r="AC825" i="153" s="1"/>
  <c r="U26" i="153"/>
  <c r="U27" i="153" s="1"/>
  <c r="W27" i="153"/>
  <c r="T28" i="153"/>
  <c r="P29" i="153"/>
  <c r="OR20" i="135"/>
  <c r="OR21" i="135"/>
  <c r="OR22" i="135"/>
  <c r="OR23" i="135"/>
  <c r="OR24" i="135"/>
  <c r="OR25" i="135"/>
  <c r="OR26" i="135"/>
  <c r="OR27" i="135"/>
  <c r="OR28" i="135"/>
  <c r="OR29" i="135"/>
  <c r="OR30" i="135"/>
  <c r="OR31" i="135"/>
  <c r="OR32" i="135"/>
  <c r="OR33" i="135"/>
  <c r="OR34" i="135"/>
  <c r="OR35" i="135"/>
  <c r="OR36" i="135"/>
  <c r="OR37" i="135"/>
  <c r="OR38" i="135"/>
  <c r="OR39" i="135"/>
  <c r="OR40" i="135"/>
  <c r="OR41" i="135"/>
  <c r="OR42" i="135"/>
  <c r="OR43" i="135"/>
  <c r="OR44" i="135"/>
  <c r="OR45" i="135"/>
  <c r="OR46" i="135"/>
  <c r="OR47" i="135"/>
  <c r="OR48" i="135"/>
  <c r="OR49" i="135"/>
  <c r="OR50" i="135"/>
  <c r="OR51" i="135"/>
  <c r="OR52" i="135"/>
  <c r="OR53" i="135"/>
  <c r="OR54" i="135"/>
  <c r="OR55" i="135"/>
  <c r="OR56" i="135"/>
  <c r="OR57" i="135"/>
  <c r="OR58" i="135"/>
  <c r="OR59" i="135"/>
  <c r="OR60" i="135"/>
  <c r="OR61" i="135"/>
  <c r="OR62" i="135"/>
  <c r="OR63" i="135"/>
  <c r="OR64" i="135"/>
  <c r="OR65" i="135"/>
  <c r="OR66" i="135"/>
  <c r="OR67" i="135"/>
  <c r="OR68" i="135"/>
  <c r="OR69" i="135"/>
  <c r="OR70" i="135"/>
  <c r="OR71" i="135"/>
  <c r="OR72" i="135"/>
  <c r="OR73" i="135"/>
  <c r="OR74" i="135"/>
  <c r="OR75" i="135"/>
  <c r="OR76" i="135"/>
  <c r="OR77" i="135"/>
  <c r="OR78" i="135"/>
  <c r="OR79" i="135"/>
  <c r="W26" i="153" l="1"/>
  <c r="R28" i="153"/>
  <c r="S28" i="153" s="1"/>
  <c r="R26" i="153"/>
  <c r="S26" i="153" s="1"/>
  <c r="V26" i="153" s="1"/>
  <c r="R27" i="153"/>
  <c r="S27" i="153" s="1"/>
  <c r="P30" i="153"/>
  <c r="R29" i="153"/>
  <c r="S29" i="153" s="1"/>
  <c r="T29" i="153"/>
  <c r="W28" i="153"/>
  <c r="U28" i="153"/>
  <c r="B7" i="137"/>
  <c r="B7" i="136"/>
  <c r="B7" i="130" a="1"/>
  <c r="X26" i="153" l="1"/>
  <c r="Q27" i="153" s="1"/>
  <c r="V27" i="153" s="1"/>
  <c r="P31" i="153"/>
  <c r="R30" i="153"/>
  <c r="S30" i="153" s="1"/>
  <c r="T30" i="153"/>
  <c r="U29" i="153"/>
  <c r="B7" i="130"/>
  <c r="B48" i="134"/>
  <c r="B49" i="134"/>
  <c r="B50" i="134"/>
  <c r="B51" i="134"/>
  <c r="B52" i="134"/>
  <c r="B53" i="134"/>
  <c r="B54" i="134"/>
  <c r="B55" i="134"/>
  <c r="B56" i="134"/>
  <c r="B57" i="134"/>
  <c r="B58" i="134"/>
  <c r="B59" i="134"/>
  <c r="B60" i="134"/>
  <c r="B61" i="134"/>
  <c r="B62" i="134"/>
  <c r="B63" i="134"/>
  <c r="B64" i="134"/>
  <c r="B65" i="134"/>
  <c r="B66" i="134"/>
  <c r="B67" i="134"/>
  <c r="B68" i="134"/>
  <c r="B69" i="134"/>
  <c r="B70" i="134"/>
  <c r="B71" i="134"/>
  <c r="B72" i="134"/>
  <c r="B73" i="134"/>
  <c r="B74" i="134"/>
  <c r="B75" i="134"/>
  <c r="B76" i="134"/>
  <c r="B77" i="134"/>
  <c r="B78" i="134"/>
  <c r="B79" i="134"/>
  <c r="B80" i="134"/>
  <c r="B81" i="134"/>
  <c r="B82" i="134"/>
  <c r="B83" i="134"/>
  <c r="B84" i="134"/>
  <c r="B85" i="134"/>
  <c r="B86" i="134"/>
  <c r="B87" i="134"/>
  <c r="B88" i="134"/>
  <c r="B89" i="134"/>
  <c r="B90" i="134"/>
  <c r="B91" i="134"/>
  <c r="B92" i="134"/>
  <c r="B93" i="134"/>
  <c r="B94" i="134"/>
  <c r="B95" i="134"/>
  <c r="B96" i="134"/>
  <c r="B97" i="134"/>
  <c r="B98" i="134"/>
  <c r="B99" i="134"/>
  <c r="B100" i="134"/>
  <c r="B101" i="134"/>
  <c r="B102" i="134"/>
  <c r="B103" i="134"/>
  <c r="B104" i="134"/>
  <c r="B106" i="134"/>
  <c r="B47" i="134"/>
  <c r="M10" i="150"/>
  <c r="M11" i="150"/>
  <c r="M12" i="150"/>
  <c r="M13" i="150"/>
  <c r="M14" i="150"/>
  <c r="M15" i="150"/>
  <c r="M16" i="150"/>
  <c r="M17" i="150"/>
  <c r="M18" i="150"/>
  <c r="M19" i="150"/>
  <c r="M20" i="150"/>
  <c r="M21" i="150"/>
  <c r="M22" i="150"/>
  <c r="M23" i="150"/>
  <c r="M24" i="150"/>
  <c r="M25" i="150"/>
  <c r="M26" i="150"/>
  <c r="M27" i="150"/>
  <c r="M28" i="150"/>
  <c r="M29" i="150"/>
  <c r="M30" i="150"/>
  <c r="M31" i="150"/>
  <c r="M32" i="150"/>
  <c r="M33" i="150"/>
  <c r="M34" i="150"/>
  <c r="M35" i="150"/>
  <c r="M36" i="150"/>
  <c r="M37" i="150"/>
  <c r="M38" i="150"/>
  <c r="M39" i="150"/>
  <c r="M40" i="150"/>
  <c r="M41" i="150"/>
  <c r="M42" i="150"/>
  <c r="M43" i="150"/>
  <c r="M44" i="150"/>
  <c r="M45" i="150"/>
  <c r="M46" i="150"/>
  <c r="M47" i="150"/>
  <c r="M48" i="150"/>
  <c r="M49" i="150"/>
  <c r="M50" i="150"/>
  <c r="M51" i="150"/>
  <c r="M52" i="150"/>
  <c r="M53" i="150"/>
  <c r="M54" i="150"/>
  <c r="M55" i="150"/>
  <c r="M56" i="150"/>
  <c r="M57" i="150"/>
  <c r="M58" i="150"/>
  <c r="M59" i="150"/>
  <c r="M60" i="150"/>
  <c r="M61" i="150"/>
  <c r="M62" i="150"/>
  <c r="M63" i="150"/>
  <c r="M64" i="150"/>
  <c r="M65" i="150"/>
  <c r="M66" i="150"/>
  <c r="M67" i="150"/>
  <c r="M68" i="150"/>
  <c r="M9" i="150"/>
  <c r="X27" i="153" l="1"/>
  <c r="Q28" i="153" s="1"/>
  <c r="V28" i="153" s="1"/>
  <c r="W30" i="153"/>
  <c r="U30" i="153"/>
  <c r="T31" i="153"/>
  <c r="R31" i="153"/>
  <c r="S31" i="153" s="1"/>
  <c r="P32" i="153"/>
  <c r="M7" i="150"/>
  <c r="F23" i="114"/>
  <c r="X28" i="153" l="1"/>
  <c r="Q29" i="153" s="1"/>
  <c r="V29" i="153" s="1"/>
  <c r="T32" i="153"/>
  <c r="P33" i="153"/>
  <c r="R32" i="153"/>
  <c r="S32" i="153" s="1"/>
  <c r="W31" i="153"/>
  <c r="U31" i="153"/>
  <c r="W29" i="153" l="1"/>
  <c r="R33" i="153"/>
  <c r="S33" i="153" s="1"/>
  <c r="P34" i="153"/>
  <c r="T33" i="153"/>
  <c r="U32" i="153"/>
  <c r="W32" i="153"/>
  <c r="AS63" i="134"/>
  <c r="AR123" i="134"/>
  <c r="AR64" i="134"/>
  <c r="AR65" i="134"/>
  <c r="AR66" i="134"/>
  <c r="AR67" i="134"/>
  <c r="AR68" i="134"/>
  <c r="AR69" i="134"/>
  <c r="AR70" i="134"/>
  <c r="AR71" i="134"/>
  <c r="AR72" i="134"/>
  <c r="AR73" i="134"/>
  <c r="AR74" i="134"/>
  <c r="AR75" i="134"/>
  <c r="AR76" i="134"/>
  <c r="AR77" i="134"/>
  <c r="AR78" i="134"/>
  <c r="AR79" i="134"/>
  <c r="AR80" i="134"/>
  <c r="AR81" i="134"/>
  <c r="AR82" i="134"/>
  <c r="AR83" i="134"/>
  <c r="AR84" i="134"/>
  <c r="AR85" i="134"/>
  <c r="AR86" i="134"/>
  <c r="AR87" i="134"/>
  <c r="AR88" i="134"/>
  <c r="AR89" i="134"/>
  <c r="AR90" i="134"/>
  <c r="AR91" i="134"/>
  <c r="AR92" i="134"/>
  <c r="AR93" i="134"/>
  <c r="AR94" i="134"/>
  <c r="AR95" i="134"/>
  <c r="AR96" i="134"/>
  <c r="AR97" i="134"/>
  <c r="AR98" i="134"/>
  <c r="AR99" i="134"/>
  <c r="AR100" i="134"/>
  <c r="AR101" i="134"/>
  <c r="AR102" i="134"/>
  <c r="AR103" i="134"/>
  <c r="AR104" i="134"/>
  <c r="AR105" i="134"/>
  <c r="AR106" i="134"/>
  <c r="AR107" i="134"/>
  <c r="AR108" i="134"/>
  <c r="AR109" i="134"/>
  <c r="AR110" i="134"/>
  <c r="AR111" i="134"/>
  <c r="AR112" i="134"/>
  <c r="AR113" i="134"/>
  <c r="AR114" i="134"/>
  <c r="AR115" i="134"/>
  <c r="AR116" i="134"/>
  <c r="AR117" i="134"/>
  <c r="AR118" i="134"/>
  <c r="AR119" i="134"/>
  <c r="AR120" i="134"/>
  <c r="AR121" i="134"/>
  <c r="AR122" i="134"/>
  <c r="AR63" i="134"/>
  <c r="AS58" i="134"/>
  <c r="AS59" i="134"/>
  <c r="AS60" i="134"/>
  <c r="AS61" i="134"/>
  <c r="AS62" i="134"/>
  <c r="AS57" i="134"/>
  <c r="AR62" i="134"/>
  <c r="AR61" i="134"/>
  <c r="AR60" i="134"/>
  <c r="AR59" i="134"/>
  <c r="AR58" i="134"/>
  <c r="AR57" i="134"/>
  <c r="X29" i="153" l="1"/>
  <c r="Q30" i="153" s="1"/>
  <c r="V30" i="153" s="1"/>
  <c r="U33" i="153"/>
  <c r="P35" i="153"/>
  <c r="T34" i="153"/>
  <c r="R34" i="153"/>
  <c r="S34" i="153" s="1"/>
  <c r="AR55" i="134"/>
  <c r="AS55" i="134"/>
  <c r="X30" i="153" l="1"/>
  <c r="Q31" i="153" s="1"/>
  <c r="V31" i="153" s="1"/>
  <c r="U34" i="153"/>
  <c r="T35" i="153"/>
  <c r="P36" i="153"/>
  <c r="R35" i="153"/>
  <c r="S35" i="153" s="1"/>
  <c r="AR9" i="136"/>
  <c r="S23" i="136"/>
  <c r="T23" i="136"/>
  <c r="U23" i="136"/>
  <c r="V23" i="136"/>
  <c r="W23" i="136"/>
  <c r="X23" i="136"/>
  <c r="Y23" i="136"/>
  <c r="Z23" i="136"/>
  <c r="AQ23" i="136" s="1"/>
  <c r="AA23" i="136"/>
  <c r="AS23" i="136" s="1"/>
  <c r="S24" i="136"/>
  <c r="T24" i="136"/>
  <c r="U24" i="136"/>
  <c r="V24" i="136"/>
  <c r="W24" i="136"/>
  <c r="X24" i="136"/>
  <c r="Y24" i="136"/>
  <c r="Z24" i="136"/>
  <c r="AQ24" i="136" s="1"/>
  <c r="AA24" i="136"/>
  <c r="AS24" i="136" s="1"/>
  <c r="S25" i="136"/>
  <c r="T25" i="136"/>
  <c r="U25" i="136"/>
  <c r="V25" i="136"/>
  <c r="W25" i="136"/>
  <c r="X25" i="136"/>
  <c r="Y25" i="136"/>
  <c r="Z25" i="136"/>
  <c r="AQ25" i="136" s="1"/>
  <c r="AA25" i="136"/>
  <c r="AS25" i="136" s="1"/>
  <c r="S26" i="136"/>
  <c r="T26" i="136"/>
  <c r="U26" i="136"/>
  <c r="V26" i="136"/>
  <c r="W26" i="136"/>
  <c r="X26" i="136"/>
  <c r="Y26" i="136"/>
  <c r="Z26" i="136"/>
  <c r="AQ26" i="136" s="1"/>
  <c r="AA26" i="136"/>
  <c r="AS26" i="136" s="1"/>
  <c r="S27" i="136"/>
  <c r="T27" i="136"/>
  <c r="U27" i="136"/>
  <c r="V27" i="136"/>
  <c r="W27" i="136"/>
  <c r="X27" i="136"/>
  <c r="Y27" i="136"/>
  <c r="Z27" i="136"/>
  <c r="AQ27" i="136" s="1"/>
  <c r="AA27" i="136"/>
  <c r="AS27" i="136" s="1"/>
  <c r="S28" i="136"/>
  <c r="T28" i="136"/>
  <c r="U28" i="136"/>
  <c r="V28" i="136"/>
  <c r="W28" i="136"/>
  <c r="X28" i="136"/>
  <c r="Y28" i="136"/>
  <c r="Z28" i="136"/>
  <c r="AQ28" i="136" s="1"/>
  <c r="AA28" i="136"/>
  <c r="AS28" i="136" s="1"/>
  <c r="S29" i="136"/>
  <c r="T29" i="136"/>
  <c r="U29" i="136"/>
  <c r="V29" i="136"/>
  <c r="W29" i="136"/>
  <c r="X29" i="136"/>
  <c r="Y29" i="136"/>
  <c r="Z29" i="136"/>
  <c r="AQ29" i="136" s="1"/>
  <c r="AA29" i="136"/>
  <c r="AS29" i="136" s="1"/>
  <c r="S30" i="136"/>
  <c r="T30" i="136"/>
  <c r="U30" i="136"/>
  <c r="V30" i="136"/>
  <c r="W30" i="136"/>
  <c r="X30" i="136"/>
  <c r="Y30" i="136"/>
  <c r="Z30" i="136"/>
  <c r="AQ30" i="136" s="1"/>
  <c r="AA30" i="136"/>
  <c r="AS30" i="136" s="1"/>
  <c r="S31" i="136"/>
  <c r="T31" i="136"/>
  <c r="U31" i="136"/>
  <c r="V31" i="136"/>
  <c r="W31" i="136"/>
  <c r="X31" i="136"/>
  <c r="Y31" i="136"/>
  <c r="Z31" i="136"/>
  <c r="AQ31" i="136" s="1"/>
  <c r="AA31" i="136"/>
  <c r="AS31" i="136" s="1"/>
  <c r="S32" i="136"/>
  <c r="T32" i="136"/>
  <c r="U32" i="136"/>
  <c r="V32" i="136"/>
  <c r="W32" i="136"/>
  <c r="X32" i="136"/>
  <c r="Y32" i="136"/>
  <c r="Z32" i="136"/>
  <c r="AQ32" i="136" s="1"/>
  <c r="AA32" i="136"/>
  <c r="AS32" i="136" s="1"/>
  <c r="S33" i="136"/>
  <c r="T33" i="136"/>
  <c r="U33" i="136"/>
  <c r="V33" i="136"/>
  <c r="W33" i="136"/>
  <c r="X33" i="136"/>
  <c r="Y33" i="136"/>
  <c r="Z33" i="136"/>
  <c r="AQ33" i="136" s="1"/>
  <c r="AA33" i="136"/>
  <c r="AS33" i="136" s="1"/>
  <c r="S34" i="136"/>
  <c r="T34" i="136"/>
  <c r="U34" i="136"/>
  <c r="V34" i="136"/>
  <c r="W34" i="136"/>
  <c r="X34" i="136"/>
  <c r="Y34" i="136"/>
  <c r="Z34" i="136"/>
  <c r="AQ34" i="136" s="1"/>
  <c r="AA34" i="136"/>
  <c r="AS34" i="136" s="1"/>
  <c r="S35" i="136"/>
  <c r="T35" i="136"/>
  <c r="U35" i="136"/>
  <c r="V35" i="136"/>
  <c r="W35" i="136"/>
  <c r="X35" i="136"/>
  <c r="Y35" i="136"/>
  <c r="Z35" i="136"/>
  <c r="AQ35" i="136" s="1"/>
  <c r="AA35" i="136"/>
  <c r="AS35" i="136" s="1"/>
  <c r="S36" i="136"/>
  <c r="T36" i="136"/>
  <c r="U36" i="136"/>
  <c r="V36" i="136"/>
  <c r="W36" i="136"/>
  <c r="X36" i="136"/>
  <c r="Y36" i="136"/>
  <c r="Z36" i="136"/>
  <c r="AQ36" i="136" s="1"/>
  <c r="AA36" i="136"/>
  <c r="AS36" i="136" s="1"/>
  <c r="S37" i="136"/>
  <c r="T37" i="136"/>
  <c r="U37" i="136"/>
  <c r="V37" i="136"/>
  <c r="W37" i="136"/>
  <c r="X37" i="136"/>
  <c r="Y37" i="136"/>
  <c r="Z37" i="136"/>
  <c r="AQ37" i="136" s="1"/>
  <c r="AA37" i="136"/>
  <c r="AS37" i="136" s="1"/>
  <c r="S38" i="136"/>
  <c r="T38" i="136"/>
  <c r="U38" i="136"/>
  <c r="V38" i="136"/>
  <c r="W38" i="136"/>
  <c r="X38" i="136"/>
  <c r="Y38" i="136"/>
  <c r="Z38" i="136"/>
  <c r="AQ38" i="136" s="1"/>
  <c r="AA38" i="136"/>
  <c r="AS38" i="136" s="1"/>
  <c r="S39" i="136"/>
  <c r="T39" i="136"/>
  <c r="U39" i="136"/>
  <c r="V39" i="136"/>
  <c r="W39" i="136"/>
  <c r="X39" i="136"/>
  <c r="Y39" i="136"/>
  <c r="Z39" i="136"/>
  <c r="AQ39" i="136" s="1"/>
  <c r="AA39" i="136"/>
  <c r="AS39" i="136" s="1"/>
  <c r="S40" i="136"/>
  <c r="T40" i="136"/>
  <c r="U40" i="136"/>
  <c r="V40" i="136"/>
  <c r="W40" i="136"/>
  <c r="X40" i="136"/>
  <c r="Y40" i="136"/>
  <c r="Z40" i="136"/>
  <c r="AQ40" i="136" s="1"/>
  <c r="AA40" i="136"/>
  <c r="AS40" i="136" s="1"/>
  <c r="S41" i="136"/>
  <c r="T41" i="136"/>
  <c r="U41" i="136"/>
  <c r="V41" i="136"/>
  <c r="W41" i="136"/>
  <c r="X41" i="136"/>
  <c r="Y41" i="136"/>
  <c r="Z41" i="136"/>
  <c r="AQ41" i="136" s="1"/>
  <c r="AA41" i="136"/>
  <c r="AS41" i="136" s="1"/>
  <c r="S42" i="136"/>
  <c r="T42" i="136"/>
  <c r="U42" i="136"/>
  <c r="V42" i="136"/>
  <c r="W42" i="136"/>
  <c r="X42" i="136"/>
  <c r="Y42" i="136"/>
  <c r="Z42" i="136"/>
  <c r="AQ42" i="136" s="1"/>
  <c r="AA42" i="136"/>
  <c r="AS42" i="136" s="1"/>
  <c r="S43" i="136"/>
  <c r="T43" i="136"/>
  <c r="U43" i="136"/>
  <c r="V43" i="136"/>
  <c r="W43" i="136"/>
  <c r="X43" i="136"/>
  <c r="Y43" i="136"/>
  <c r="Z43" i="136"/>
  <c r="AQ43" i="136" s="1"/>
  <c r="AA43" i="136"/>
  <c r="AS43" i="136" s="1"/>
  <c r="S44" i="136"/>
  <c r="T44" i="136"/>
  <c r="U44" i="136"/>
  <c r="V44" i="136"/>
  <c r="W44" i="136"/>
  <c r="X44" i="136"/>
  <c r="Y44" i="136"/>
  <c r="Z44" i="136"/>
  <c r="AQ44" i="136" s="1"/>
  <c r="AA44" i="136"/>
  <c r="AS44" i="136" s="1"/>
  <c r="S45" i="136"/>
  <c r="T45" i="136"/>
  <c r="U45" i="136"/>
  <c r="V45" i="136"/>
  <c r="W45" i="136"/>
  <c r="X45" i="136"/>
  <c r="Y45" i="136"/>
  <c r="Z45" i="136"/>
  <c r="AQ45" i="136" s="1"/>
  <c r="AA45" i="136"/>
  <c r="AS45" i="136" s="1"/>
  <c r="S46" i="136"/>
  <c r="T46" i="136"/>
  <c r="U46" i="136"/>
  <c r="V46" i="136"/>
  <c r="W46" i="136"/>
  <c r="X46" i="136"/>
  <c r="Y46" i="136"/>
  <c r="Z46" i="136"/>
  <c r="AQ46" i="136" s="1"/>
  <c r="AA46" i="136"/>
  <c r="AS46" i="136" s="1"/>
  <c r="S47" i="136"/>
  <c r="T47" i="136"/>
  <c r="U47" i="136"/>
  <c r="V47" i="136"/>
  <c r="W47" i="136"/>
  <c r="X47" i="136"/>
  <c r="Y47" i="136"/>
  <c r="Z47" i="136"/>
  <c r="AQ47" i="136" s="1"/>
  <c r="AA47" i="136"/>
  <c r="AS47" i="136" s="1"/>
  <c r="S48" i="136"/>
  <c r="T48" i="136"/>
  <c r="U48" i="136"/>
  <c r="V48" i="136"/>
  <c r="W48" i="136"/>
  <c r="X48" i="136"/>
  <c r="Y48" i="136"/>
  <c r="Z48" i="136"/>
  <c r="AQ48" i="136" s="1"/>
  <c r="AA48" i="136"/>
  <c r="AS48" i="136" s="1"/>
  <c r="S49" i="136"/>
  <c r="T49" i="136"/>
  <c r="U49" i="136"/>
  <c r="V49" i="136"/>
  <c r="W49" i="136"/>
  <c r="X49" i="136"/>
  <c r="Y49" i="136"/>
  <c r="Z49" i="136"/>
  <c r="AQ49" i="136" s="1"/>
  <c r="AA49" i="136"/>
  <c r="AS49" i="136" s="1"/>
  <c r="S50" i="136"/>
  <c r="T50" i="136"/>
  <c r="U50" i="136"/>
  <c r="V50" i="136"/>
  <c r="W50" i="136"/>
  <c r="X50" i="136"/>
  <c r="Y50" i="136"/>
  <c r="Z50" i="136"/>
  <c r="AQ50" i="136" s="1"/>
  <c r="AA50" i="136"/>
  <c r="AS50" i="136" s="1"/>
  <c r="S51" i="136"/>
  <c r="T51" i="136"/>
  <c r="U51" i="136"/>
  <c r="V51" i="136"/>
  <c r="W51" i="136"/>
  <c r="X51" i="136"/>
  <c r="Y51" i="136"/>
  <c r="Z51" i="136"/>
  <c r="AQ51" i="136" s="1"/>
  <c r="AA51" i="136"/>
  <c r="AS51" i="136" s="1"/>
  <c r="S52" i="136"/>
  <c r="T52" i="136"/>
  <c r="U52" i="136"/>
  <c r="V52" i="136"/>
  <c r="W52" i="136"/>
  <c r="X52" i="136"/>
  <c r="Y52" i="136"/>
  <c r="Z52" i="136"/>
  <c r="AQ52" i="136" s="1"/>
  <c r="AA52" i="136"/>
  <c r="AS52" i="136" s="1"/>
  <c r="S53" i="136"/>
  <c r="T53" i="136"/>
  <c r="U53" i="136"/>
  <c r="V53" i="136"/>
  <c r="W53" i="136"/>
  <c r="X53" i="136"/>
  <c r="Y53" i="136"/>
  <c r="Z53" i="136"/>
  <c r="AQ53" i="136" s="1"/>
  <c r="AA53" i="136"/>
  <c r="AS53" i="136" s="1"/>
  <c r="S54" i="136"/>
  <c r="T54" i="136"/>
  <c r="U54" i="136"/>
  <c r="V54" i="136"/>
  <c r="W54" i="136"/>
  <c r="X54" i="136"/>
  <c r="Y54" i="136"/>
  <c r="Z54" i="136"/>
  <c r="AQ54" i="136" s="1"/>
  <c r="AA54" i="136"/>
  <c r="AS54" i="136" s="1"/>
  <c r="S55" i="136"/>
  <c r="T55" i="136"/>
  <c r="U55" i="136"/>
  <c r="V55" i="136"/>
  <c r="W55" i="136"/>
  <c r="X55" i="136"/>
  <c r="Y55" i="136"/>
  <c r="Z55" i="136"/>
  <c r="AQ55" i="136" s="1"/>
  <c r="AA55" i="136"/>
  <c r="AS55" i="136" s="1"/>
  <c r="S56" i="136"/>
  <c r="T56" i="136"/>
  <c r="U56" i="136"/>
  <c r="V56" i="136"/>
  <c r="W56" i="136"/>
  <c r="X56" i="136"/>
  <c r="Y56" i="136"/>
  <c r="Z56" i="136"/>
  <c r="AQ56" i="136" s="1"/>
  <c r="AA56" i="136"/>
  <c r="AS56" i="136" s="1"/>
  <c r="S57" i="136"/>
  <c r="T57" i="136"/>
  <c r="U57" i="136"/>
  <c r="V57" i="136"/>
  <c r="W57" i="136"/>
  <c r="X57" i="136"/>
  <c r="Y57" i="136"/>
  <c r="Z57" i="136"/>
  <c r="AQ57" i="136" s="1"/>
  <c r="AA57" i="136"/>
  <c r="AS57" i="136" s="1"/>
  <c r="S58" i="136"/>
  <c r="T58" i="136"/>
  <c r="U58" i="136"/>
  <c r="V58" i="136"/>
  <c r="W58" i="136"/>
  <c r="X58" i="136"/>
  <c r="Y58" i="136"/>
  <c r="Z58" i="136"/>
  <c r="AQ58" i="136" s="1"/>
  <c r="AA58" i="136"/>
  <c r="AS58" i="136" s="1"/>
  <c r="S59" i="136"/>
  <c r="T59" i="136"/>
  <c r="U59" i="136"/>
  <c r="V59" i="136"/>
  <c r="W59" i="136"/>
  <c r="X59" i="136"/>
  <c r="Y59" i="136"/>
  <c r="Z59" i="136"/>
  <c r="AQ59" i="136" s="1"/>
  <c r="AA59" i="136"/>
  <c r="AS59" i="136" s="1"/>
  <c r="S60" i="136"/>
  <c r="T60" i="136"/>
  <c r="U60" i="136"/>
  <c r="V60" i="136"/>
  <c r="W60" i="136"/>
  <c r="X60" i="136"/>
  <c r="Y60" i="136"/>
  <c r="Z60" i="136"/>
  <c r="AQ60" i="136" s="1"/>
  <c r="AA60" i="136"/>
  <c r="AS60" i="136" s="1"/>
  <c r="S61" i="136"/>
  <c r="T61" i="136"/>
  <c r="U61" i="136"/>
  <c r="V61" i="136"/>
  <c r="W61" i="136"/>
  <c r="X61" i="136"/>
  <c r="Y61" i="136"/>
  <c r="Z61" i="136"/>
  <c r="AQ61" i="136" s="1"/>
  <c r="AA61" i="136"/>
  <c r="AS61" i="136" s="1"/>
  <c r="AG22" i="136"/>
  <c r="AB23" i="136"/>
  <c r="AJ23" i="136" s="1"/>
  <c r="AC23" i="136"/>
  <c r="AD23" i="136"/>
  <c r="AE23" i="136"/>
  <c r="AF23" i="136"/>
  <c r="AG23" i="136"/>
  <c r="AH23" i="136"/>
  <c r="AB24" i="136"/>
  <c r="AJ24" i="136" s="1"/>
  <c r="AC24" i="136"/>
  <c r="AD24" i="136"/>
  <c r="AE24" i="136"/>
  <c r="AF24" i="136"/>
  <c r="AG24" i="136"/>
  <c r="AH24" i="136"/>
  <c r="AB25" i="136"/>
  <c r="AJ25" i="136" s="1"/>
  <c r="AC25" i="136"/>
  <c r="AD25" i="136"/>
  <c r="AE25" i="136"/>
  <c r="AF25" i="136"/>
  <c r="AG25" i="136"/>
  <c r="AH25" i="136"/>
  <c r="AB26" i="136"/>
  <c r="AJ26" i="136" s="1"/>
  <c r="AC26" i="136"/>
  <c r="AD26" i="136"/>
  <c r="AE26" i="136"/>
  <c r="AF26" i="136"/>
  <c r="AG26" i="136"/>
  <c r="AH26" i="136"/>
  <c r="AB27" i="136"/>
  <c r="AJ27" i="136" s="1"/>
  <c r="AC27" i="136"/>
  <c r="AK27" i="136" s="1"/>
  <c r="AD27" i="136"/>
  <c r="AE27" i="136"/>
  <c r="AF27" i="136"/>
  <c r="AG27" i="136"/>
  <c r="AH27" i="136"/>
  <c r="AB28" i="136"/>
  <c r="AJ28" i="136" s="1"/>
  <c r="AC28" i="136"/>
  <c r="AK28" i="136" s="1"/>
  <c r="AD28" i="136"/>
  <c r="AE28" i="136"/>
  <c r="AF28" i="136"/>
  <c r="AG28" i="136"/>
  <c r="AH28" i="136"/>
  <c r="AB29" i="136"/>
  <c r="AJ29" i="136" s="1"/>
  <c r="AC29" i="136"/>
  <c r="AK29" i="136" s="1"/>
  <c r="AD29" i="136"/>
  <c r="AE29" i="136"/>
  <c r="AF29" i="136"/>
  <c r="AG29" i="136"/>
  <c r="AH29" i="136"/>
  <c r="AB30" i="136"/>
  <c r="AJ30" i="136" s="1"/>
  <c r="AC30" i="136"/>
  <c r="AK30" i="136" s="1"/>
  <c r="AD30" i="136"/>
  <c r="AE30" i="136"/>
  <c r="AF30" i="136"/>
  <c r="AG30" i="136"/>
  <c r="AH30" i="136"/>
  <c r="AB31" i="136"/>
  <c r="AJ31" i="136" s="1"/>
  <c r="AC31" i="136"/>
  <c r="AK31" i="136" s="1"/>
  <c r="AD31" i="136"/>
  <c r="AE31" i="136"/>
  <c r="AF31" i="136"/>
  <c r="AG31" i="136"/>
  <c r="AH31" i="136"/>
  <c r="AB32" i="136"/>
  <c r="AJ32" i="136" s="1"/>
  <c r="AC32" i="136"/>
  <c r="AK32" i="136" s="1"/>
  <c r="AD32" i="136"/>
  <c r="AE32" i="136"/>
  <c r="AF32" i="136"/>
  <c r="AG32" i="136"/>
  <c r="AH32" i="136"/>
  <c r="AB33" i="136"/>
  <c r="AJ33" i="136" s="1"/>
  <c r="AC33" i="136"/>
  <c r="AK33" i="136" s="1"/>
  <c r="AD33" i="136"/>
  <c r="AE33" i="136"/>
  <c r="AF33" i="136"/>
  <c r="AG33" i="136"/>
  <c r="AH33" i="136"/>
  <c r="AB34" i="136"/>
  <c r="AJ34" i="136" s="1"/>
  <c r="AC34" i="136"/>
  <c r="AK34" i="136" s="1"/>
  <c r="AD34" i="136"/>
  <c r="AE34" i="136"/>
  <c r="AF34" i="136"/>
  <c r="AG34" i="136"/>
  <c r="AH34" i="136"/>
  <c r="AB35" i="136"/>
  <c r="AJ35" i="136" s="1"/>
  <c r="AC35" i="136"/>
  <c r="AK35" i="136" s="1"/>
  <c r="AD35" i="136"/>
  <c r="AE35" i="136"/>
  <c r="AF35" i="136"/>
  <c r="AG35" i="136"/>
  <c r="AH35" i="136"/>
  <c r="AB36" i="136"/>
  <c r="AJ36" i="136" s="1"/>
  <c r="AC36" i="136"/>
  <c r="AK36" i="136" s="1"/>
  <c r="AD36" i="136"/>
  <c r="AE36" i="136"/>
  <c r="AF36" i="136"/>
  <c r="AG36" i="136"/>
  <c r="AH36" i="136"/>
  <c r="AB37" i="136"/>
  <c r="AJ37" i="136" s="1"/>
  <c r="AC37" i="136"/>
  <c r="AK37" i="136" s="1"/>
  <c r="AD37" i="136"/>
  <c r="AE37" i="136"/>
  <c r="AF37" i="136"/>
  <c r="AG37" i="136"/>
  <c r="AH37" i="136"/>
  <c r="AB38" i="136"/>
  <c r="AJ38" i="136" s="1"/>
  <c r="AC38" i="136"/>
  <c r="AK38" i="136" s="1"/>
  <c r="AD38" i="136"/>
  <c r="AE38" i="136"/>
  <c r="AF38" i="136"/>
  <c r="AG38" i="136"/>
  <c r="AH38" i="136"/>
  <c r="AB39" i="136"/>
  <c r="AJ39" i="136" s="1"/>
  <c r="AC39" i="136"/>
  <c r="AK39" i="136" s="1"/>
  <c r="AD39" i="136"/>
  <c r="AE39" i="136"/>
  <c r="AF39" i="136"/>
  <c r="AG39" i="136"/>
  <c r="AH39" i="136"/>
  <c r="AB40" i="136"/>
  <c r="AJ40" i="136" s="1"/>
  <c r="AC40" i="136"/>
  <c r="AK40" i="136" s="1"/>
  <c r="AD40" i="136"/>
  <c r="AE40" i="136"/>
  <c r="AF40" i="136"/>
  <c r="AG40" i="136"/>
  <c r="AH40" i="136"/>
  <c r="AB41" i="136"/>
  <c r="AJ41" i="136" s="1"/>
  <c r="AC41" i="136"/>
  <c r="AK41" i="136" s="1"/>
  <c r="AD41" i="136"/>
  <c r="AE41" i="136"/>
  <c r="AF41" i="136"/>
  <c r="AG41" i="136"/>
  <c r="AH41" i="136"/>
  <c r="AB42" i="136"/>
  <c r="AJ42" i="136" s="1"/>
  <c r="AC42" i="136"/>
  <c r="AK42" i="136" s="1"/>
  <c r="AD42" i="136"/>
  <c r="AE42" i="136"/>
  <c r="AF42" i="136"/>
  <c r="AG42" i="136"/>
  <c r="AH42" i="136"/>
  <c r="AB43" i="136"/>
  <c r="AJ43" i="136" s="1"/>
  <c r="AC43" i="136"/>
  <c r="AK43" i="136" s="1"/>
  <c r="AD43" i="136"/>
  <c r="AE43" i="136"/>
  <c r="AF43" i="136"/>
  <c r="AG43" i="136"/>
  <c r="AH43" i="136"/>
  <c r="AB44" i="136"/>
  <c r="AJ44" i="136" s="1"/>
  <c r="AC44" i="136"/>
  <c r="AK44" i="136" s="1"/>
  <c r="AD44" i="136"/>
  <c r="AE44" i="136"/>
  <c r="AF44" i="136"/>
  <c r="AG44" i="136"/>
  <c r="AH44" i="136"/>
  <c r="AB45" i="136"/>
  <c r="AJ45" i="136" s="1"/>
  <c r="AC45" i="136"/>
  <c r="AK45" i="136" s="1"/>
  <c r="AD45" i="136"/>
  <c r="AE45" i="136"/>
  <c r="AF45" i="136"/>
  <c r="AG45" i="136"/>
  <c r="AH45" i="136"/>
  <c r="AB46" i="136"/>
  <c r="AJ46" i="136" s="1"/>
  <c r="AC46" i="136"/>
  <c r="AK46" i="136" s="1"/>
  <c r="AD46" i="136"/>
  <c r="AE46" i="136"/>
  <c r="AF46" i="136"/>
  <c r="AG46" i="136"/>
  <c r="AH46" i="136"/>
  <c r="AB47" i="136"/>
  <c r="AJ47" i="136" s="1"/>
  <c r="AC47" i="136"/>
  <c r="AK47" i="136" s="1"/>
  <c r="AD47" i="136"/>
  <c r="AE47" i="136"/>
  <c r="AF47" i="136"/>
  <c r="AG47" i="136"/>
  <c r="AH47" i="136"/>
  <c r="AB48" i="136"/>
  <c r="AJ48" i="136" s="1"/>
  <c r="AC48" i="136"/>
  <c r="AK48" i="136" s="1"/>
  <c r="AD48" i="136"/>
  <c r="AE48" i="136"/>
  <c r="AF48" i="136"/>
  <c r="AG48" i="136"/>
  <c r="AH48" i="136"/>
  <c r="AB49" i="136"/>
  <c r="AJ49" i="136" s="1"/>
  <c r="AC49" i="136"/>
  <c r="AK49" i="136" s="1"/>
  <c r="AD49" i="136"/>
  <c r="AE49" i="136"/>
  <c r="AF49" i="136"/>
  <c r="AG49" i="136"/>
  <c r="AH49" i="136"/>
  <c r="AB50" i="136"/>
  <c r="AJ50" i="136" s="1"/>
  <c r="AC50" i="136"/>
  <c r="AK50" i="136" s="1"/>
  <c r="AD50" i="136"/>
  <c r="AE50" i="136"/>
  <c r="AF50" i="136"/>
  <c r="AG50" i="136"/>
  <c r="AH50" i="136"/>
  <c r="AB51" i="136"/>
  <c r="AJ51" i="136" s="1"/>
  <c r="AC51" i="136"/>
  <c r="AK51" i="136" s="1"/>
  <c r="AD51" i="136"/>
  <c r="AE51" i="136"/>
  <c r="AF51" i="136"/>
  <c r="AG51" i="136"/>
  <c r="AH51" i="136"/>
  <c r="AB52" i="136"/>
  <c r="AJ52" i="136" s="1"/>
  <c r="AC52" i="136"/>
  <c r="AK52" i="136" s="1"/>
  <c r="AD52" i="136"/>
  <c r="AE52" i="136"/>
  <c r="AF52" i="136"/>
  <c r="AG52" i="136"/>
  <c r="AH52" i="136"/>
  <c r="AB53" i="136"/>
  <c r="AJ53" i="136" s="1"/>
  <c r="AC53" i="136"/>
  <c r="AK53" i="136" s="1"/>
  <c r="AD53" i="136"/>
  <c r="AE53" i="136"/>
  <c r="AF53" i="136"/>
  <c r="AG53" i="136"/>
  <c r="AH53" i="136"/>
  <c r="AB54" i="136"/>
  <c r="AJ54" i="136" s="1"/>
  <c r="AC54" i="136"/>
  <c r="AK54" i="136" s="1"/>
  <c r="AD54" i="136"/>
  <c r="AE54" i="136"/>
  <c r="AF54" i="136"/>
  <c r="AG54" i="136"/>
  <c r="AH54" i="136"/>
  <c r="AB55" i="136"/>
  <c r="AJ55" i="136" s="1"/>
  <c r="AC55" i="136"/>
  <c r="AK55" i="136" s="1"/>
  <c r="AD55" i="136"/>
  <c r="AE55" i="136"/>
  <c r="AF55" i="136"/>
  <c r="AG55" i="136"/>
  <c r="AH55" i="136"/>
  <c r="AB56" i="136"/>
  <c r="AJ56" i="136" s="1"/>
  <c r="AC56" i="136"/>
  <c r="AK56" i="136" s="1"/>
  <c r="AD56" i="136"/>
  <c r="AE56" i="136"/>
  <c r="AF56" i="136"/>
  <c r="AG56" i="136"/>
  <c r="AH56" i="136"/>
  <c r="AB57" i="136"/>
  <c r="AJ57" i="136" s="1"/>
  <c r="AC57" i="136"/>
  <c r="AK57" i="136" s="1"/>
  <c r="AD57" i="136"/>
  <c r="AE57" i="136"/>
  <c r="AF57" i="136"/>
  <c r="AG57" i="136"/>
  <c r="AH57" i="136"/>
  <c r="AB58" i="136"/>
  <c r="AJ58" i="136" s="1"/>
  <c r="AC58" i="136"/>
  <c r="AK58" i="136" s="1"/>
  <c r="AD58" i="136"/>
  <c r="AE58" i="136"/>
  <c r="AF58" i="136"/>
  <c r="AG58" i="136"/>
  <c r="AH58" i="136"/>
  <c r="AB59" i="136"/>
  <c r="AJ59" i="136" s="1"/>
  <c r="AC59" i="136"/>
  <c r="AK59" i="136" s="1"/>
  <c r="AD59" i="136"/>
  <c r="AE59" i="136"/>
  <c r="AF59" i="136"/>
  <c r="AG59" i="136"/>
  <c r="AH59" i="136"/>
  <c r="AB60" i="136"/>
  <c r="AJ60" i="136" s="1"/>
  <c r="AC60" i="136"/>
  <c r="AK60" i="136" s="1"/>
  <c r="AD60" i="136"/>
  <c r="AE60" i="136"/>
  <c r="AF60" i="136"/>
  <c r="AG60" i="136"/>
  <c r="AH60" i="136"/>
  <c r="AB61" i="136"/>
  <c r="AJ61" i="136" s="1"/>
  <c r="AC61" i="136"/>
  <c r="AK61" i="136" s="1"/>
  <c r="AD61" i="136"/>
  <c r="AE61" i="136"/>
  <c r="AF61" i="136"/>
  <c r="AG61" i="136"/>
  <c r="AH61" i="136"/>
  <c r="AD9" i="136"/>
  <c r="AD15" i="136" s="1"/>
  <c r="AE9" i="136"/>
  <c r="AE15" i="136" s="1"/>
  <c r="AF9" i="136"/>
  <c r="AF17" i="136" s="1"/>
  <c r="AG9" i="136"/>
  <c r="AG17" i="136" s="1"/>
  <c r="AH9" i="136"/>
  <c r="AH19" i="136" s="1"/>
  <c r="AC9" i="136"/>
  <c r="AC18" i="136" s="1"/>
  <c r="AB9" i="136"/>
  <c r="AB13" i="136" s="1"/>
  <c r="AJ13" i="136" s="1"/>
  <c r="Z9" i="136"/>
  <c r="Z16" i="136" s="1"/>
  <c r="AQ16" i="136" s="1"/>
  <c r="Y9" i="136"/>
  <c r="X9" i="136"/>
  <c r="X18" i="136" s="1"/>
  <c r="W9" i="136"/>
  <c r="V9" i="136"/>
  <c r="V20" i="136" s="1"/>
  <c r="U9" i="136"/>
  <c r="U20" i="136" s="1"/>
  <c r="T9" i="136"/>
  <c r="T13" i="136" s="1"/>
  <c r="S9" i="136"/>
  <c r="S12" i="136" s="1"/>
  <c r="AA9" i="136"/>
  <c r="AA15" i="136" s="1"/>
  <c r="AS15" i="136" s="1"/>
  <c r="AL13" i="136"/>
  <c r="AO13" i="136" s="1"/>
  <c r="AM13" i="136"/>
  <c r="AN13" i="136" a="1"/>
  <c r="AN13" i="136" s="1"/>
  <c r="AL14" i="136"/>
  <c r="AO14" i="136" s="1"/>
  <c r="AM14" i="136"/>
  <c r="AN14" i="136" a="1"/>
  <c r="AN14" i="136" s="1"/>
  <c r="AL15" i="136"/>
  <c r="AO15" i="136" s="1"/>
  <c r="AM15" i="136"/>
  <c r="AN15" i="136" a="1"/>
  <c r="AN15" i="136" s="1"/>
  <c r="AL16" i="136"/>
  <c r="AO16" i="136" s="1"/>
  <c r="AM16" i="136"/>
  <c r="AN16" i="136" a="1"/>
  <c r="AN16" i="136" s="1"/>
  <c r="AL17" i="136"/>
  <c r="AO17" i="136" s="1"/>
  <c r="AM17" i="136"/>
  <c r="AN17" i="136" a="1"/>
  <c r="AN17" i="136" s="1"/>
  <c r="AL18" i="136"/>
  <c r="AO18" i="136" s="1"/>
  <c r="AM18" i="136"/>
  <c r="AN18" i="136" a="1"/>
  <c r="AN18" i="136" s="1"/>
  <c r="AL19" i="136"/>
  <c r="AO19" i="136" s="1"/>
  <c r="AM19" i="136"/>
  <c r="AN19" i="136" a="1"/>
  <c r="AN19" i="136" s="1"/>
  <c r="AL20" i="136"/>
  <c r="AO20" i="136" s="1"/>
  <c r="AM20" i="136"/>
  <c r="AN20" i="136" a="1"/>
  <c r="AN20" i="136" s="1"/>
  <c r="AL21" i="136"/>
  <c r="AO21" i="136" s="1"/>
  <c r="AN21" i="136" a="1"/>
  <c r="AN21" i="136" s="1"/>
  <c r="AL22" i="136"/>
  <c r="AO22" i="136" s="1"/>
  <c r="AM22" i="136"/>
  <c r="AN22" i="136" a="1"/>
  <c r="AN22" i="136" s="1"/>
  <c r="AL23" i="136"/>
  <c r="AO23" i="136" s="1"/>
  <c r="AM23" i="136"/>
  <c r="AN23" i="136" a="1"/>
  <c r="AN23" i="136" s="1"/>
  <c r="AL24" i="136"/>
  <c r="AO24" i="136" s="1"/>
  <c r="AM24" i="136"/>
  <c r="AN24" i="136" a="1"/>
  <c r="AN24" i="136" s="1"/>
  <c r="AL25" i="136"/>
  <c r="AO25" i="136" s="1"/>
  <c r="AM25" i="136"/>
  <c r="AN25" i="136" a="1"/>
  <c r="AN25" i="136" s="1"/>
  <c r="AL26" i="136"/>
  <c r="AO26" i="136" s="1"/>
  <c r="AM26" i="136"/>
  <c r="AN26" i="136" a="1"/>
  <c r="AN26" i="136" s="1"/>
  <c r="AL27" i="136"/>
  <c r="AO27" i="136" s="1"/>
  <c r="AM27" i="136"/>
  <c r="AN27" i="136" a="1"/>
  <c r="AN27" i="136" s="1"/>
  <c r="AL28" i="136"/>
  <c r="AO28" i="136" s="1"/>
  <c r="AM28" i="136"/>
  <c r="AN28" i="136" a="1"/>
  <c r="AN28" i="136" s="1"/>
  <c r="AL29" i="136"/>
  <c r="AO29" i="136" s="1"/>
  <c r="AM29" i="136"/>
  <c r="AN29" i="136" a="1"/>
  <c r="AN29" i="136" s="1"/>
  <c r="AL30" i="136"/>
  <c r="AO30" i="136" s="1"/>
  <c r="AM30" i="136"/>
  <c r="AN30" i="136" a="1"/>
  <c r="AN30" i="136" s="1"/>
  <c r="AL31" i="136"/>
  <c r="AO31" i="136" s="1"/>
  <c r="AM31" i="136"/>
  <c r="AN31" i="136" a="1"/>
  <c r="AN31" i="136" s="1"/>
  <c r="AL32" i="136"/>
  <c r="AO32" i="136" s="1"/>
  <c r="AM32" i="136"/>
  <c r="AN32" i="136" a="1"/>
  <c r="AN32" i="136" s="1"/>
  <c r="AL33" i="136"/>
  <c r="AO33" i="136" s="1"/>
  <c r="AM33" i="136"/>
  <c r="AN33" i="136" a="1"/>
  <c r="AN33" i="136" s="1"/>
  <c r="AL34" i="136"/>
  <c r="AO34" i="136" s="1"/>
  <c r="AM34" i="136"/>
  <c r="AN34" i="136" a="1"/>
  <c r="AN34" i="136" s="1"/>
  <c r="AL35" i="136"/>
  <c r="AO35" i="136" s="1"/>
  <c r="AM35" i="136"/>
  <c r="AN35" i="136" a="1"/>
  <c r="AN35" i="136" s="1"/>
  <c r="AL36" i="136"/>
  <c r="AO36" i="136" s="1"/>
  <c r="AM36" i="136"/>
  <c r="AN36" i="136" a="1"/>
  <c r="AN36" i="136" s="1"/>
  <c r="AL37" i="136"/>
  <c r="AO37" i="136" s="1"/>
  <c r="AM37" i="136"/>
  <c r="AN37" i="136" a="1"/>
  <c r="AN37" i="136" s="1"/>
  <c r="AL38" i="136"/>
  <c r="AO38" i="136" s="1"/>
  <c r="AM38" i="136"/>
  <c r="AN38" i="136" a="1"/>
  <c r="AN38" i="136" s="1"/>
  <c r="AL39" i="136"/>
  <c r="AO39" i="136" s="1"/>
  <c r="AM39" i="136"/>
  <c r="AN39" i="136" a="1"/>
  <c r="AN39" i="136" s="1"/>
  <c r="AL40" i="136"/>
  <c r="AO40" i="136" s="1"/>
  <c r="AM40" i="136"/>
  <c r="AN40" i="136" a="1"/>
  <c r="AN40" i="136" s="1"/>
  <c r="AL41" i="136"/>
  <c r="AO41" i="136" s="1"/>
  <c r="AM41" i="136"/>
  <c r="AN41" i="136" a="1"/>
  <c r="AN41" i="136" s="1"/>
  <c r="AL42" i="136"/>
  <c r="AO42" i="136" s="1"/>
  <c r="AM42" i="136"/>
  <c r="AN42" i="136" a="1"/>
  <c r="AN42" i="136" s="1"/>
  <c r="AL43" i="136"/>
  <c r="AO43" i="136" s="1"/>
  <c r="AM43" i="136"/>
  <c r="AN43" i="136" a="1"/>
  <c r="AN43" i="136" s="1"/>
  <c r="AL44" i="136"/>
  <c r="AO44" i="136" s="1"/>
  <c r="AM44" i="136"/>
  <c r="AN44" i="136" a="1"/>
  <c r="AN44" i="136" s="1"/>
  <c r="AL45" i="136"/>
  <c r="AO45" i="136" s="1"/>
  <c r="AM45" i="136"/>
  <c r="AN45" i="136" a="1"/>
  <c r="AN45" i="136" s="1"/>
  <c r="AL46" i="136"/>
  <c r="AO46" i="136" s="1"/>
  <c r="AM46" i="136"/>
  <c r="AN46" i="136" a="1"/>
  <c r="AN46" i="136" s="1"/>
  <c r="AL47" i="136"/>
  <c r="AO47" i="136" s="1"/>
  <c r="AM47" i="136"/>
  <c r="AN47" i="136" a="1"/>
  <c r="AN47" i="136" s="1"/>
  <c r="AL48" i="136"/>
  <c r="AO48" i="136" s="1"/>
  <c r="AM48" i="136"/>
  <c r="AN48" i="136" a="1"/>
  <c r="AN48" i="136" s="1"/>
  <c r="AL49" i="136"/>
  <c r="AO49" i="136" s="1"/>
  <c r="AM49" i="136"/>
  <c r="AN49" i="136" a="1"/>
  <c r="AN49" i="136" s="1"/>
  <c r="AL50" i="136"/>
  <c r="AO50" i="136" s="1"/>
  <c r="AM50" i="136"/>
  <c r="AN50" i="136" a="1"/>
  <c r="AN50" i="136" s="1"/>
  <c r="AL51" i="136"/>
  <c r="AO51" i="136" s="1"/>
  <c r="AM51" i="136"/>
  <c r="AN51" i="136" a="1"/>
  <c r="AN51" i="136" s="1"/>
  <c r="AL52" i="136"/>
  <c r="AO52" i="136" s="1"/>
  <c r="AM52" i="136"/>
  <c r="AN52" i="136" a="1"/>
  <c r="AN52" i="136" s="1"/>
  <c r="AL53" i="136"/>
  <c r="AO53" i="136" s="1"/>
  <c r="AM53" i="136"/>
  <c r="AN53" i="136" a="1"/>
  <c r="AN53" i="136" s="1"/>
  <c r="AL54" i="136"/>
  <c r="AO54" i="136" s="1"/>
  <c r="AM54" i="136"/>
  <c r="AN54" i="136" a="1"/>
  <c r="AN54" i="136" s="1"/>
  <c r="AL55" i="136"/>
  <c r="AO55" i="136" s="1"/>
  <c r="AM55" i="136"/>
  <c r="AN55" i="136" a="1"/>
  <c r="AN55" i="136" s="1"/>
  <c r="AL56" i="136"/>
  <c r="AO56" i="136" s="1"/>
  <c r="AM56" i="136"/>
  <c r="AN56" i="136" a="1"/>
  <c r="AN56" i="136" s="1"/>
  <c r="AL57" i="136"/>
  <c r="AO57" i="136" s="1"/>
  <c r="AM57" i="136"/>
  <c r="AN57" i="136" a="1"/>
  <c r="AN57" i="136" s="1"/>
  <c r="AL58" i="136"/>
  <c r="AO58" i="136" s="1"/>
  <c r="AM58" i="136"/>
  <c r="AN58" i="136" a="1"/>
  <c r="AN58" i="136" s="1"/>
  <c r="AL59" i="136"/>
  <c r="AO59" i="136" s="1"/>
  <c r="AM59" i="136"/>
  <c r="AN59" i="136" a="1"/>
  <c r="AN59" i="136" s="1"/>
  <c r="AL60" i="136"/>
  <c r="AO60" i="136" s="1"/>
  <c r="AM60" i="136"/>
  <c r="AN60" i="136" a="1"/>
  <c r="AN60" i="136" s="1"/>
  <c r="AL61" i="136"/>
  <c r="AO61" i="136" s="1"/>
  <c r="AM61" i="136"/>
  <c r="AN61" i="136" a="1"/>
  <c r="AN61" i="136" s="1"/>
  <c r="AM12" i="136"/>
  <c r="E101" i="123"/>
  <c r="E91" i="123"/>
  <c r="F101" i="123"/>
  <c r="F91" i="123"/>
  <c r="AK23" i="136" l="1"/>
  <c r="AK25" i="136"/>
  <c r="AK26" i="136"/>
  <c r="AK24" i="136"/>
  <c r="X31" i="153"/>
  <c r="Q32" i="153" s="1"/>
  <c r="V32" i="153" s="1"/>
  <c r="P37" i="153"/>
  <c r="T36" i="153"/>
  <c r="R36" i="153"/>
  <c r="S36" i="153" s="1"/>
  <c r="W35" i="153"/>
  <c r="U35" i="153"/>
  <c r="AK18" i="136"/>
  <c r="AP32" i="136"/>
  <c r="AP36" i="136"/>
  <c r="AP55" i="136"/>
  <c r="AP51" i="136"/>
  <c r="AP31" i="136"/>
  <c r="AP47" i="136"/>
  <c r="AP28" i="136"/>
  <c r="AP43" i="136"/>
  <c r="AP27" i="136"/>
  <c r="AP40" i="136"/>
  <c r="AP24" i="136"/>
  <c r="AP39" i="136"/>
  <c r="AP23" i="136"/>
  <c r="AP59" i="136"/>
  <c r="AP35" i="136"/>
  <c r="AP61" i="136"/>
  <c r="AP53" i="136"/>
  <c r="AP45" i="136"/>
  <c r="AP37" i="136"/>
  <c r="AP29" i="136"/>
  <c r="AP60" i="136"/>
  <c r="AP52" i="136"/>
  <c r="AP44" i="136"/>
  <c r="AP58" i="136"/>
  <c r="AP50" i="136"/>
  <c r="AP42" i="136"/>
  <c r="AP34" i="136"/>
  <c r="AP26" i="136"/>
  <c r="AP57" i="136"/>
  <c r="AP49" i="136"/>
  <c r="AP41" i="136"/>
  <c r="AP33" i="136"/>
  <c r="AP25" i="136"/>
  <c r="AP56" i="136"/>
  <c r="AP48" i="136"/>
  <c r="AP16" i="136"/>
  <c r="AR38" i="136"/>
  <c r="AP54" i="136"/>
  <c r="AP46" i="136"/>
  <c r="AP38" i="136"/>
  <c r="AP30" i="136"/>
  <c r="AR30" i="136"/>
  <c r="AR54" i="136"/>
  <c r="AR46" i="136"/>
  <c r="AR61" i="136"/>
  <c r="AR53" i="136"/>
  <c r="AR45" i="136"/>
  <c r="AR37" i="136"/>
  <c r="AR29" i="136"/>
  <c r="AR60" i="136"/>
  <c r="AR52" i="136"/>
  <c r="AR44" i="136"/>
  <c r="AR36" i="136"/>
  <c r="AR28" i="136"/>
  <c r="AR59" i="136"/>
  <c r="AR51" i="136"/>
  <c r="AR43" i="136"/>
  <c r="AR35" i="136"/>
  <c r="AR27" i="136"/>
  <c r="AR58" i="136"/>
  <c r="AR50" i="136"/>
  <c r="AR42" i="136"/>
  <c r="AR34" i="136"/>
  <c r="AR26" i="136"/>
  <c r="AR57" i="136"/>
  <c r="AR49" i="136"/>
  <c r="AR41" i="136"/>
  <c r="AR33" i="136"/>
  <c r="AR25" i="136"/>
  <c r="AR56" i="136"/>
  <c r="AR48" i="136"/>
  <c r="AR40" i="136"/>
  <c r="AR32" i="136"/>
  <c r="AR24" i="136"/>
  <c r="AR55" i="136"/>
  <c r="AR47" i="136"/>
  <c r="AR39" i="136"/>
  <c r="AR31" i="136"/>
  <c r="AR23" i="136"/>
  <c r="AR16" i="136"/>
  <c r="R58" i="136"/>
  <c r="R50" i="136"/>
  <c r="R42" i="136"/>
  <c r="R34" i="136"/>
  <c r="R26" i="136"/>
  <c r="R60" i="136"/>
  <c r="R54" i="136"/>
  <c r="R52" i="136"/>
  <c r="R46" i="136"/>
  <c r="R44" i="136"/>
  <c r="R38" i="136"/>
  <c r="R36" i="136"/>
  <c r="R30" i="136"/>
  <c r="R28" i="136"/>
  <c r="R59" i="136"/>
  <c r="R51" i="136"/>
  <c r="R43" i="136"/>
  <c r="R35" i="136"/>
  <c r="R27" i="136"/>
  <c r="R57" i="136"/>
  <c r="R49" i="136"/>
  <c r="R41" i="136"/>
  <c r="R33" i="136"/>
  <c r="R25" i="136"/>
  <c r="R56" i="136"/>
  <c r="R48" i="136"/>
  <c r="R40" i="136"/>
  <c r="R32" i="136"/>
  <c r="R24" i="136"/>
  <c r="R55" i="136"/>
  <c r="R47" i="136"/>
  <c r="R39" i="136"/>
  <c r="R31" i="136"/>
  <c r="R23" i="136"/>
  <c r="R61" i="136"/>
  <c r="R53" i="136"/>
  <c r="R45" i="136"/>
  <c r="R37" i="136"/>
  <c r="R29" i="136"/>
  <c r="AE13" i="136"/>
  <c r="AG12" i="136"/>
  <c r="AE18" i="136"/>
  <c r="AG18" i="136"/>
  <c r="AE14" i="136"/>
  <c r="AE22" i="136"/>
  <c r="AD17" i="136"/>
  <c r="V12" i="136"/>
  <c r="AE21" i="136"/>
  <c r="AG16" i="136"/>
  <c r="AA22" i="136"/>
  <c r="AS22" i="136" s="1"/>
  <c r="AB21" i="136"/>
  <c r="AJ21" i="136" s="1"/>
  <c r="AM21" i="136" s="1"/>
  <c r="AE16" i="136"/>
  <c r="V19" i="136"/>
  <c r="AG20" i="136"/>
  <c r="AG15" i="136"/>
  <c r="X17" i="136"/>
  <c r="AE12" i="136"/>
  <c r="AE20" i="136"/>
  <c r="AB15" i="136"/>
  <c r="AJ15" i="136" s="1"/>
  <c r="Z15" i="136"/>
  <c r="AP15" i="136" s="1"/>
  <c r="AC19" i="136"/>
  <c r="AK19" i="136" s="1"/>
  <c r="AG14" i="136"/>
  <c r="AA14" i="136"/>
  <c r="AS14" i="136" s="1"/>
  <c r="W19" i="136"/>
  <c r="W20" i="136"/>
  <c r="W13" i="136"/>
  <c r="W21" i="136"/>
  <c r="W14" i="136"/>
  <c r="W22" i="136"/>
  <c r="W15" i="136"/>
  <c r="W16" i="136"/>
  <c r="W17" i="136"/>
  <c r="AF13" i="136"/>
  <c r="Y17" i="136"/>
  <c r="Y18" i="136"/>
  <c r="Y19" i="136"/>
  <c r="Y20" i="136"/>
  <c r="Y13" i="136"/>
  <c r="Y21" i="136"/>
  <c r="Y14" i="136"/>
  <c r="Y22" i="136"/>
  <c r="Y15" i="136"/>
  <c r="AC12" i="136"/>
  <c r="AK12" i="136" s="1"/>
  <c r="AC22" i="136"/>
  <c r="AK22" i="136" s="1"/>
  <c r="AD20" i="136"/>
  <c r="S15" i="136"/>
  <c r="S16" i="136"/>
  <c r="S17" i="136"/>
  <c r="S18" i="136"/>
  <c r="S19" i="136"/>
  <c r="S20" i="136"/>
  <c r="S13" i="136"/>
  <c r="S21" i="136"/>
  <c r="AB20" i="136"/>
  <c r="AJ20" i="136" s="1"/>
  <c r="AB16" i="136"/>
  <c r="AJ16" i="136" s="1"/>
  <c r="AB12" i="136"/>
  <c r="AJ12" i="136" s="1"/>
  <c r="AB14" i="136"/>
  <c r="AJ14" i="136" s="1"/>
  <c r="AB22" i="136"/>
  <c r="AJ22" i="136" s="1"/>
  <c r="AD12" i="136"/>
  <c r="AH21" i="136"/>
  <c r="AC20" i="136"/>
  <c r="AK20" i="136" s="1"/>
  <c r="AF14" i="136"/>
  <c r="Y12" i="136"/>
  <c r="T14" i="136"/>
  <c r="T22" i="136"/>
  <c r="T12" i="136"/>
  <c r="T15" i="136"/>
  <c r="T16" i="136"/>
  <c r="T17" i="136"/>
  <c r="T18" i="136"/>
  <c r="T19" i="136"/>
  <c r="T20" i="136"/>
  <c r="AC13" i="136"/>
  <c r="AK13" i="136" s="1"/>
  <c r="AC21" i="136"/>
  <c r="AK21" i="136" s="1"/>
  <c r="AC17" i="136"/>
  <c r="AK17" i="136" s="1"/>
  <c r="AC15" i="136"/>
  <c r="AK15" i="136" s="1"/>
  <c r="AF21" i="136"/>
  <c r="AB18" i="136"/>
  <c r="AJ18" i="136" s="1"/>
  <c r="AC16" i="136"/>
  <c r="AK16" i="136" s="1"/>
  <c r="W12" i="136"/>
  <c r="W18" i="136"/>
  <c r="U13" i="136"/>
  <c r="U21" i="136"/>
  <c r="U14" i="136"/>
  <c r="U22" i="136"/>
  <c r="U15" i="136"/>
  <c r="U16" i="136"/>
  <c r="U17" i="136"/>
  <c r="U18" i="136"/>
  <c r="U19" i="136"/>
  <c r="AH18" i="136"/>
  <c r="AH14" i="136"/>
  <c r="AH22" i="136"/>
  <c r="AH20" i="136"/>
  <c r="AH12" i="136"/>
  <c r="AF19" i="136"/>
  <c r="AH17" i="136"/>
  <c r="AH15" i="136"/>
  <c r="AC14" i="136"/>
  <c r="AK14" i="136" s="1"/>
  <c r="AD21" i="136"/>
  <c r="AD19" i="136"/>
  <c r="AH13" i="136"/>
  <c r="U12" i="136"/>
  <c r="Y16" i="136"/>
  <c r="AF16" i="136"/>
  <c r="AF12" i="136"/>
  <c r="AF20" i="136"/>
  <c r="AF18" i="136"/>
  <c r="AF15" i="136"/>
  <c r="AF22" i="136"/>
  <c r="AB19" i="136"/>
  <c r="AJ19" i="136" s="1"/>
  <c r="AB17" i="136"/>
  <c r="AJ17" i="136" s="1"/>
  <c r="S22" i="136"/>
  <c r="AD14" i="136"/>
  <c r="AD22" i="136"/>
  <c r="AD18" i="136"/>
  <c r="AD16" i="136"/>
  <c r="AH16" i="136"/>
  <c r="AD13" i="136"/>
  <c r="T21" i="136"/>
  <c r="S14" i="136"/>
  <c r="AG19" i="136"/>
  <c r="AE17" i="136"/>
  <c r="Z12" i="136"/>
  <c r="AP12" i="136" s="1"/>
  <c r="Z22" i="136"/>
  <c r="AP22" i="136" s="1"/>
  <c r="AA21" i="136"/>
  <c r="AS21" i="136" s="1"/>
  <c r="V18" i="136"/>
  <c r="X16" i="136"/>
  <c r="Z14" i="136"/>
  <c r="AP14" i="136" s="1"/>
  <c r="AA13" i="136"/>
  <c r="AS13" i="136" s="1"/>
  <c r="Z21" i="136"/>
  <c r="AP21" i="136" s="1"/>
  <c r="AA20" i="136"/>
  <c r="AS20" i="136" s="1"/>
  <c r="V17" i="136"/>
  <c r="X15" i="136"/>
  <c r="Z13" i="136"/>
  <c r="AP13" i="136" s="1"/>
  <c r="AG21" i="136"/>
  <c r="AE19" i="136"/>
  <c r="AG13" i="136"/>
  <c r="X12" i="136"/>
  <c r="X22" i="136"/>
  <c r="Z20" i="136"/>
  <c r="AP20" i="136" s="1"/>
  <c r="AA19" i="136"/>
  <c r="AS19" i="136" s="1"/>
  <c r="V16" i="136"/>
  <c r="X14" i="136"/>
  <c r="X21" i="136"/>
  <c r="Z19" i="136"/>
  <c r="AP19" i="136" s="1"/>
  <c r="AA18" i="136"/>
  <c r="AS18" i="136" s="1"/>
  <c r="V15" i="136"/>
  <c r="X13" i="136"/>
  <c r="V22" i="136"/>
  <c r="X20" i="136"/>
  <c r="Z18" i="136"/>
  <c r="AP18" i="136" s="1"/>
  <c r="AA17" i="136"/>
  <c r="AS17" i="136" s="1"/>
  <c r="V14" i="136"/>
  <c r="V21" i="136"/>
  <c r="X19" i="136"/>
  <c r="Z17" i="136"/>
  <c r="AP17" i="136" s="1"/>
  <c r="AA16" i="136"/>
  <c r="AS16" i="136" s="1"/>
  <c r="V13" i="136"/>
  <c r="AA12" i="136"/>
  <c r="AS12" i="136" s="1"/>
  <c r="O43" i="136" l="1"/>
  <c r="N43" i="136"/>
  <c r="M43" i="136"/>
  <c r="O39" i="136"/>
  <c r="N39" i="136"/>
  <c r="M39" i="136"/>
  <c r="L25" i="136"/>
  <c r="O25" i="136" s="1"/>
  <c r="M25" i="136"/>
  <c r="N25" i="136" s="1"/>
  <c r="O51" i="136"/>
  <c r="N51" i="136"/>
  <c r="M51" i="136"/>
  <c r="O52" i="136"/>
  <c r="N52" i="136"/>
  <c r="M52" i="136"/>
  <c r="O46" i="136"/>
  <c r="N46" i="136"/>
  <c r="M46" i="136"/>
  <c r="N29" i="136"/>
  <c r="M29" i="136"/>
  <c r="O29" i="136"/>
  <c r="O47" i="136"/>
  <c r="N47" i="136"/>
  <c r="M47" i="136"/>
  <c r="L33" i="136"/>
  <c r="O33" i="136"/>
  <c r="N33" i="136"/>
  <c r="M33" i="136"/>
  <c r="O59" i="136"/>
  <c r="N59" i="136"/>
  <c r="M59" i="136"/>
  <c r="O54" i="136"/>
  <c r="N54" i="136"/>
  <c r="M54" i="136"/>
  <c r="L31" i="136"/>
  <c r="O31" i="136"/>
  <c r="N31" i="136"/>
  <c r="M31" i="136"/>
  <c r="O58" i="136"/>
  <c r="N58" i="136"/>
  <c r="M58" i="136"/>
  <c r="N37" i="136"/>
  <c r="M37" i="136"/>
  <c r="O37" i="136"/>
  <c r="O55" i="136"/>
  <c r="N55" i="136"/>
  <c r="M55" i="136"/>
  <c r="L41" i="136"/>
  <c r="O41" i="136"/>
  <c r="N41" i="136"/>
  <c r="M41" i="136"/>
  <c r="O28" i="136"/>
  <c r="N28" i="136"/>
  <c r="M28" i="136"/>
  <c r="O60" i="136"/>
  <c r="N60" i="136"/>
  <c r="M60" i="136"/>
  <c r="M56" i="136"/>
  <c r="O56" i="136"/>
  <c r="N56" i="136"/>
  <c r="N45" i="136"/>
  <c r="M45" i="136"/>
  <c r="O45" i="136"/>
  <c r="M24" i="136"/>
  <c r="O24" i="136"/>
  <c r="N24" i="136"/>
  <c r="L49" i="136"/>
  <c r="O49" i="136"/>
  <c r="N49" i="136"/>
  <c r="M49" i="136"/>
  <c r="O30" i="136"/>
  <c r="N30" i="136"/>
  <c r="M30" i="136"/>
  <c r="L26" i="136"/>
  <c r="O26" i="136"/>
  <c r="N26" i="136"/>
  <c r="M26" i="136"/>
  <c r="N53" i="136"/>
  <c r="M53" i="136"/>
  <c r="O53" i="136"/>
  <c r="M32" i="136"/>
  <c r="O32" i="136"/>
  <c r="N32" i="136"/>
  <c r="O57" i="136"/>
  <c r="N57" i="136"/>
  <c r="M57" i="136"/>
  <c r="O36" i="136"/>
  <c r="N36" i="136"/>
  <c r="M36" i="136"/>
  <c r="O34" i="136"/>
  <c r="N34" i="136"/>
  <c r="M34" i="136"/>
  <c r="N61" i="136"/>
  <c r="M61" i="136"/>
  <c r="O61" i="136"/>
  <c r="M40" i="136"/>
  <c r="O40" i="136"/>
  <c r="N40" i="136"/>
  <c r="O27" i="136"/>
  <c r="M27" i="136"/>
  <c r="O38" i="136"/>
  <c r="N38" i="136"/>
  <c r="M38" i="136"/>
  <c r="O42" i="136"/>
  <c r="N42" i="136"/>
  <c r="M42" i="136"/>
  <c r="O23" i="136"/>
  <c r="N23" i="136"/>
  <c r="M23" i="136"/>
  <c r="M48" i="136"/>
  <c r="O48" i="136"/>
  <c r="N48" i="136"/>
  <c r="O35" i="136"/>
  <c r="N35" i="136"/>
  <c r="M35" i="136"/>
  <c r="L44" i="136"/>
  <c r="O44" i="136"/>
  <c r="N44" i="136"/>
  <c r="M44" i="136"/>
  <c r="L50" i="136"/>
  <c r="O50" i="136"/>
  <c r="N50" i="136"/>
  <c r="M50" i="136"/>
  <c r="X32" i="153"/>
  <c r="Q33" i="153" s="1"/>
  <c r="V33" i="153" s="1"/>
  <c r="W33" i="153" s="1"/>
  <c r="W36" i="153"/>
  <c r="U36" i="153"/>
  <c r="T37" i="153"/>
  <c r="R37" i="153"/>
  <c r="S37" i="153" s="1"/>
  <c r="P38" i="153"/>
  <c r="L46" i="136"/>
  <c r="L42" i="136"/>
  <c r="L34" i="136"/>
  <c r="AQ19" i="136"/>
  <c r="AR19" i="136"/>
  <c r="AQ18" i="136"/>
  <c r="AR18" i="136"/>
  <c r="AQ20" i="136"/>
  <c r="AR20" i="136"/>
  <c r="AQ22" i="136"/>
  <c r="AR22" i="136"/>
  <c r="AQ21" i="136"/>
  <c r="AR21" i="136"/>
  <c r="AQ15" i="136"/>
  <c r="AR15" i="136"/>
  <c r="AQ14" i="136"/>
  <c r="AR14" i="136"/>
  <c r="AQ13" i="136"/>
  <c r="AR13" i="136"/>
  <c r="AQ17" i="136"/>
  <c r="AR17" i="136"/>
  <c r="AQ12" i="136"/>
  <c r="AR12" i="136"/>
  <c r="L59" i="136"/>
  <c r="L32" i="136"/>
  <c r="L57" i="136"/>
  <c r="L53" i="136"/>
  <c r="L43" i="136"/>
  <c r="L28" i="136"/>
  <c r="L55" i="136"/>
  <c r="L48" i="136"/>
  <c r="L60" i="136"/>
  <c r="L24" i="136"/>
  <c r="R14" i="136"/>
  <c r="O14" i="136" s="1"/>
  <c r="L40" i="136"/>
  <c r="L27" i="136"/>
  <c r="L38" i="136"/>
  <c r="R12" i="136"/>
  <c r="N12" i="136" s="1"/>
  <c r="R20" i="136"/>
  <c r="R19" i="136"/>
  <c r="R18" i="136"/>
  <c r="R17" i="136"/>
  <c r="R22" i="136"/>
  <c r="R16" i="136"/>
  <c r="R15" i="136"/>
  <c r="R21" i="136"/>
  <c r="R13" i="136"/>
  <c r="L37" i="136"/>
  <c r="L54" i="136"/>
  <c r="L45" i="136"/>
  <c r="L29" i="136"/>
  <c r="L23" i="136"/>
  <c r="L47" i="136"/>
  <c r="L36" i="136"/>
  <c r="L35" i="136"/>
  <c r="L52" i="136"/>
  <c r="L56" i="136"/>
  <c r="L61" i="136"/>
  <c r="L58" i="136"/>
  <c r="L39" i="136"/>
  <c r="L30" i="136"/>
  <c r="L51" i="136"/>
  <c r="N27" i="136" l="1"/>
  <c r="O19" i="136"/>
  <c r="M19" i="136"/>
  <c r="N21" i="136"/>
  <c r="M21" i="136"/>
  <c r="O16" i="136"/>
  <c r="M16" i="136"/>
  <c r="N16" i="136" s="1"/>
  <c r="L22" i="136"/>
  <c r="O22" i="136" s="1"/>
  <c r="M22" i="136"/>
  <c r="L17" i="136"/>
  <c r="O17" i="136" s="1"/>
  <c r="M17" i="136"/>
  <c r="M12" i="136"/>
  <c r="M14" i="136"/>
  <c r="O18" i="136"/>
  <c r="M18" i="136"/>
  <c r="M13" i="136"/>
  <c r="O13" i="136"/>
  <c r="M20" i="136"/>
  <c r="N20" i="136"/>
  <c r="M15" i="136"/>
  <c r="X33" i="153"/>
  <c r="Q34" i="153" s="1"/>
  <c r="V34" i="153" s="1"/>
  <c r="W34" i="153" s="1"/>
  <c r="P39" i="153"/>
  <c r="R38" i="153"/>
  <c r="S38" i="153" s="1"/>
  <c r="T38" i="153"/>
  <c r="U37" i="153"/>
  <c r="W37" i="153"/>
  <c r="U6" i="136"/>
  <c r="L12" i="136"/>
  <c r="O12" i="136" s="1"/>
  <c r="L14" i="136"/>
  <c r="N14" i="136" s="1"/>
  <c r="L19" i="136"/>
  <c r="N19" i="136" s="1"/>
  <c r="L18" i="136"/>
  <c r="L15" i="136"/>
  <c r="O15" i="136" s="1"/>
  <c r="L16" i="136"/>
  <c r="L21" i="136"/>
  <c r="O21" i="136" s="1"/>
  <c r="L13" i="136"/>
  <c r="L20" i="136"/>
  <c r="O20" i="136" s="1"/>
  <c r="N18" i="136" l="1"/>
  <c r="N22" i="136"/>
  <c r="N17" i="136"/>
  <c r="N15" i="136"/>
  <c r="N13" i="136"/>
  <c r="X34" i="153"/>
  <c r="Q35" i="153" s="1"/>
  <c r="V35" i="153" s="1"/>
  <c r="W38" i="153"/>
  <c r="U38" i="153"/>
  <c r="T39" i="153"/>
  <c r="P40" i="153"/>
  <c r="R39" i="153"/>
  <c r="S39" i="153" s="1"/>
  <c r="H134" i="134"/>
  <c r="X35" i="153" l="1"/>
  <c r="Q36" i="153" s="1"/>
  <c r="V36" i="153" s="1"/>
  <c r="U39" i="153"/>
  <c r="P41" i="153"/>
  <c r="T40" i="153"/>
  <c r="R40" i="153"/>
  <c r="S40" i="153" s="1"/>
  <c r="C153" i="130"/>
  <c r="T78" i="130"/>
  <c r="S123" i="130"/>
  <c r="T123" i="130"/>
  <c r="U123" i="130"/>
  <c r="V123" i="130"/>
  <c r="R113" i="130"/>
  <c r="T113" i="130"/>
  <c r="U113" i="130"/>
  <c r="V113" i="130"/>
  <c r="R22" i="130"/>
  <c r="R21" i="130"/>
  <c r="B145" i="130"/>
  <c r="B137" i="130"/>
  <c r="B126" i="130"/>
  <c r="B86" i="130"/>
  <c r="B79" i="130"/>
  <c r="B80" i="130" s="1"/>
  <c r="B53" i="130"/>
  <c r="B52" i="130"/>
  <c r="B36" i="130"/>
  <c r="G114" i="130"/>
  <c r="X36" i="153" l="1"/>
  <c r="Q37" i="153" s="1"/>
  <c r="V37" i="153" s="1"/>
  <c r="U40" i="153"/>
  <c r="T41" i="153"/>
  <c r="R41" i="153"/>
  <c r="S41" i="153" s="1"/>
  <c r="P42" i="153"/>
  <c r="D138" i="130"/>
  <c r="C138" i="130"/>
  <c r="X37" i="153" l="1"/>
  <c r="Q38" i="153" s="1"/>
  <c r="V38" i="153" s="1"/>
  <c r="W41" i="153"/>
  <c r="U41" i="153"/>
  <c r="P43" i="153"/>
  <c r="T42" i="153"/>
  <c r="R42" i="153"/>
  <c r="S42" i="153" s="1"/>
  <c r="Y17" i="130"/>
  <c r="G88" i="130" s="1"/>
  <c r="Y19" i="130"/>
  <c r="X19" i="130"/>
  <c r="T34" i="130"/>
  <c r="U34" i="130"/>
  <c r="U38" i="130" s="1"/>
  <c r="V34" i="130"/>
  <c r="W35" i="130"/>
  <c r="U78" i="130"/>
  <c r="T51" i="130"/>
  <c r="U51" i="130"/>
  <c r="V51" i="130"/>
  <c r="V54" i="130"/>
  <c r="T54" i="130"/>
  <c r="H42" i="130"/>
  <c r="G42" i="130"/>
  <c r="G33" i="130"/>
  <c r="V37" i="130"/>
  <c r="T127" i="130"/>
  <c r="T117" i="130"/>
  <c r="S107" i="130"/>
  <c r="R107" i="130"/>
  <c r="T105" i="130"/>
  <c r="T104" i="130"/>
  <c r="X104" i="130"/>
  <c r="X103" i="130" s="1"/>
  <c r="U105" i="130"/>
  <c r="U144" i="130"/>
  <c r="T144" i="130"/>
  <c r="R144" i="130" s="1"/>
  <c r="R143" i="130"/>
  <c r="S143" i="130"/>
  <c r="T143" i="130"/>
  <c r="U143" i="130"/>
  <c r="V143" i="130"/>
  <c r="W143" i="130"/>
  <c r="X143" i="130"/>
  <c r="Y143" i="130"/>
  <c r="U104" i="130"/>
  <c r="U103" i="130" s="1"/>
  <c r="R148" i="130"/>
  <c r="S148" i="130"/>
  <c r="T148" i="130"/>
  <c r="U148" i="130"/>
  <c r="V148" i="130"/>
  <c r="W148" i="130"/>
  <c r="X148" i="130"/>
  <c r="Y148" i="130"/>
  <c r="R101" i="130"/>
  <c r="S101" i="130"/>
  <c r="T101" i="130"/>
  <c r="U101" i="130"/>
  <c r="V101" i="130"/>
  <c r="W101" i="130"/>
  <c r="X101" i="130"/>
  <c r="Y101" i="130"/>
  <c r="R93" i="130"/>
  <c r="S93" i="130"/>
  <c r="T93" i="130"/>
  <c r="U93" i="130"/>
  <c r="V93" i="130"/>
  <c r="W93" i="130"/>
  <c r="X93" i="130"/>
  <c r="Y93" i="130"/>
  <c r="R77" i="130"/>
  <c r="S77" i="130"/>
  <c r="T77" i="130"/>
  <c r="U77" i="130"/>
  <c r="V77" i="130"/>
  <c r="W77" i="130"/>
  <c r="X77" i="130"/>
  <c r="Y77" i="130"/>
  <c r="R64" i="130"/>
  <c r="S64" i="130"/>
  <c r="T64" i="130"/>
  <c r="U64" i="130"/>
  <c r="V64" i="130"/>
  <c r="W64" i="130"/>
  <c r="X64" i="130"/>
  <c r="Y64" i="130"/>
  <c r="AB42" i="130" l="1"/>
  <c r="V23" i="130" s="1"/>
  <c r="V29" i="130"/>
  <c r="X38" i="153"/>
  <c r="Q39" i="153" s="1"/>
  <c r="V39" i="153" s="1"/>
  <c r="W39" i="153" s="1"/>
  <c r="U42" i="153"/>
  <c r="T43" i="153"/>
  <c r="R43" i="153"/>
  <c r="S43" i="153" s="1"/>
  <c r="P44" i="153"/>
  <c r="K137" i="130"/>
  <c r="H33" i="130"/>
  <c r="AB31" i="130"/>
  <c r="S104" i="130"/>
  <c r="S144" i="130"/>
  <c r="T103" i="130"/>
  <c r="R103" i="130" s="1"/>
  <c r="S105" i="130"/>
  <c r="R104" i="130"/>
  <c r="R105" i="130"/>
  <c r="S19" i="130"/>
  <c r="C55" i="130" s="1"/>
  <c r="R19" i="130"/>
  <c r="AB36" i="130" s="1"/>
  <c r="V26" i="130"/>
  <c r="T26" i="130"/>
  <c r="D104" i="130"/>
  <c r="B152" i="130"/>
  <c r="X17" i="130"/>
  <c r="X23" i="130"/>
  <c r="Y23" i="130"/>
  <c r="U23" i="130"/>
  <c r="V78" i="130"/>
  <c r="R78" i="130" s="1"/>
  <c r="T29" i="130" l="1"/>
  <c r="R24" i="130" s="1"/>
  <c r="AB35" i="130"/>
  <c r="T25" i="130" s="1"/>
  <c r="X39" i="153"/>
  <c r="Q40" i="153" s="1"/>
  <c r="V40" i="153" s="1"/>
  <c r="W40" i="153" s="1"/>
  <c r="W42" i="153"/>
  <c r="P45" i="153"/>
  <c r="T44" i="153"/>
  <c r="R44" i="153"/>
  <c r="S44" i="153" s="1"/>
  <c r="U43" i="153"/>
  <c r="S78" i="130"/>
  <c r="U17" i="130" s="1"/>
  <c r="V35" i="130"/>
  <c r="C90" i="130"/>
  <c r="C66" i="130"/>
  <c r="C98" i="130"/>
  <c r="U6" i="18" s="1"/>
  <c r="S103" i="130"/>
  <c r="B97" i="130"/>
  <c r="T38" i="130" l="1"/>
  <c r="X40" i="153"/>
  <c r="Q41" i="153" s="1"/>
  <c r="V41" i="153" s="1"/>
  <c r="U44" i="153"/>
  <c r="P46" i="153"/>
  <c r="T45" i="153"/>
  <c r="R45" i="153"/>
  <c r="S45" i="153" s="1"/>
  <c r="V17" i="130"/>
  <c r="O63" i="18"/>
  <c r="M63" i="18"/>
  <c r="K63" i="18"/>
  <c r="I63" i="18"/>
  <c r="G63" i="18"/>
  <c r="E63" i="18"/>
  <c r="O15" i="18"/>
  <c r="P15" i="18" s="1"/>
  <c r="M15" i="18"/>
  <c r="N15" i="18" s="1"/>
  <c r="K15" i="18"/>
  <c r="L15" i="18" s="1"/>
  <c r="I15" i="18"/>
  <c r="J15" i="18" s="1"/>
  <c r="G15" i="18"/>
  <c r="H15" i="18" s="1"/>
  <c r="E15" i="18"/>
  <c r="F15" i="18" s="1"/>
  <c r="P14" i="131"/>
  <c r="L14" i="131" s="1"/>
  <c r="X41" i="153" l="1"/>
  <c r="Q42" i="153" s="1"/>
  <c r="V42" i="153" s="1"/>
  <c r="W44" i="153"/>
  <c r="U45" i="153"/>
  <c r="P47" i="153"/>
  <c r="R46" i="153"/>
  <c r="S46" i="153" s="1"/>
  <c r="T46" i="153"/>
  <c r="T28" i="134"/>
  <c r="S28" i="134"/>
  <c r="Q28" i="134"/>
  <c r="P28" i="134"/>
  <c r="N28" i="134"/>
  <c r="M28" i="134"/>
  <c r="K28" i="134"/>
  <c r="J28" i="134"/>
  <c r="H28" i="134"/>
  <c r="G28" i="134"/>
  <c r="E28" i="134"/>
  <c r="D28" i="134"/>
  <c r="Q15" i="131"/>
  <c r="H16" i="131" s="1"/>
  <c r="X42" i="153" l="1"/>
  <c r="Q43" i="153" s="1"/>
  <c r="V43" i="153" s="1"/>
  <c r="W43" i="153" s="1"/>
  <c r="U46" i="153"/>
  <c r="R47" i="153"/>
  <c r="S47" i="153" s="1"/>
  <c r="T47" i="153"/>
  <c r="P48" i="153"/>
  <c r="B24" i="134"/>
  <c r="X43" i="153" l="1"/>
  <c r="Q44" i="153" s="1"/>
  <c r="V44" i="153" s="1"/>
  <c r="W47" i="153"/>
  <c r="U47" i="153"/>
  <c r="T48" i="153"/>
  <c r="P49" i="153"/>
  <c r="R48" i="153"/>
  <c r="S48" i="153" s="1"/>
  <c r="BC69" i="129"/>
  <c r="E42" i="18" s="1"/>
  <c r="BC70" i="129"/>
  <c r="BC71" i="129"/>
  <c r="BC72" i="129"/>
  <c r="BC73" i="129"/>
  <c r="BC74" i="129"/>
  <c r="BC75" i="129"/>
  <c r="BC76" i="129"/>
  <c r="BC77" i="129"/>
  <c r="BC78" i="129"/>
  <c r="BC79" i="129"/>
  <c r="BC80" i="129"/>
  <c r="O215" i="148"/>
  <c r="M215" i="148"/>
  <c r="K215" i="148"/>
  <c r="I215" i="148"/>
  <c r="G215" i="148"/>
  <c r="E215" i="148"/>
  <c r="O198" i="148"/>
  <c r="M198" i="148"/>
  <c r="K198" i="148"/>
  <c r="I198" i="148"/>
  <c r="G198" i="148"/>
  <c r="E198" i="148"/>
  <c r="O191" i="148"/>
  <c r="M191" i="148"/>
  <c r="K191" i="148"/>
  <c r="I191" i="148"/>
  <c r="G191" i="148"/>
  <c r="E191" i="148"/>
  <c r="O184" i="148"/>
  <c r="M184" i="148"/>
  <c r="K184" i="148"/>
  <c r="I184" i="148"/>
  <c r="G184" i="148"/>
  <c r="E184" i="148"/>
  <c r="O177" i="148"/>
  <c r="M177" i="148"/>
  <c r="K177" i="148"/>
  <c r="I177" i="148"/>
  <c r="G177" i="148"/>
  <c r="E177" i="148"/>
  <c r="O170" i="148"/>
  <c r="M170" i="148"/>
  <c r="K170" i="148"/>
  <c r="I170" i="148"/>
  <c r="G170" i="148"/>
  <c r="E170" i="148"/>
  <c r="O153" i="148"/>
  <c r="M153" i="148"/>
  <c r="K153" i="148"/>
  <c r="I153" i="148"/>
  <c r="G153" i="148"/>
  <c r="E153" i="148"/>
  <c r="O137" i="148"/>
  <c r="M137" i="148"/>
  <c r="K137" i="148"/>
  <c r="I137" i="148"/>
  <c r="G137" i="148"/>
  <c r="E137" i="148"/>
  <c r="O118" i="148"/>
  <c r="M118" i="148"/>
  <c r="K118" i="148"/>
  <c r="I118" i="148"/>
  <c r="G118" i="148"/>
  <c r="E118" i="148"/>
  <c r="O71" i="148"/>
  <c r="M71" i="148"/>
  <c r="K71" i="148"/>
  <c r="I71" i="148"/>
  <c r="G71" i="148"/>
  <c r="E71" i="148"/>
  <c r="O49" i="148"/>
  <c r="M49" i="148"/>
  <c r="K49" i="148"/>
  <c r="I49" i="148"/>
  <c r="G49" i="148"/>
  <c r="X44" i="153" l="1"/>
  <c r="Q45" i="153" s="1"/>
  <c r="V45" i="153" s="1"/>
  <c r="W45" i="153" s="1"/>
  <c r="T49" i="153"/>
  <c r="R49" i="153"/>
  <c r="S49" i="153" s="1"/>
  <c r="P50" i="153"/>
  <c r="W48" i="153"/>
  <c r="U48" i="153"/>
  <c r="X65" i="130"/>
  <c r="W20" i="110"/>
  <c r="W91" i="110"/>
  <c r="W90" i="110"/>
  <c r="W89" i="110"/>
  <c r="W88" i="110"/>
  <c r="W87" i="110"/>
  <c r="W86" i="110"/>
  <c r="W85" i="110"/>
  <c r="W84" i="110"/>
  <c r="W83" i="110"/>
  <c r="W82" i="110"/>
  <c r="W81" i="110"/>
  <c r="W80" i="110"/>
  <c r="W79" i="110"/>
  <c r="W78" i="110"/>
  <c r="W77" i="110"/>
  <c r="W76" i="110"/>
  <c r="W75" i="110"/>
  <c r="W74" i="110"/>
  <c r="W73" i="110"/>
  <c r="W72" i="110"/>
  <c r="W71" i="110"/>
  <c r="W70" i="110"/>
  <c r="W66" i="110"/>
  <c r="W65" i="110"/>
  <c r="W64" i="110"/>
  <c r="W63" i="110"/>
  <c r="W62" i="110"/>
  <c r="W61" i="110"/>
  <c r="W60" i="110"/>
  <c r="W59" i="110"/>
  <c r="W58" i="110"/>
  <c r="W57" i="110"/>
  <c r="W56" i="110"/>
  <c r="W55" i="110"/>
  <c r="W54" i="110"/>
  <c r="W53" i="110"/>
  <c r="W52" i="110"/>
  <c r="W51" i="110"/>
  <c r="W50" i="110"/>
  <c r="W49" i="110"/>
  <c r="W48" i="110"/>
  <c r="W47" i="110"/>
  <c r="W46" i="110"/>
  <c r="W45" i="110"/>
  <c r="W41" i="110"/>
  <c r="W40" i="110"/>
  <c r="W39" i="110"/>
  <c r="W38" i="110"/>
  <c r="W37" i="110"/>
  <c r="W36" i="110"/>
  <c r="W35" i="110"/>
  <c r="W34" i="110"/>
  <c r="W33" i="110"/>
  <c r="W32" i="110"/>
  <c r="W31" i="110"/>
  <c r="W30" i="110"/>
  <c r="W29" i="110"/>
  <c r="W28" i="110"/>
  <c r="W27" i="110"/>
  <c r="W26" i="110"/>
  <c r="W25" i="110"/>
  <c r="W24" i="110"/>
  <c r="W23" i="110"/>
  <c r="W22" i="110"/>
  <c r="W21" i="110"/>
  <c r="X45" i="153" l="1"/>
  <c r="Q46" i="153" s="1"/>
  <c r="V46" i="153" s="1"/>
  <c r="W46" i="153" s="1"/>
  <c r="X46" i="153" s="1"/>
  <c r="Q47" i="153" s="1"/>
  <c r="V47" i="153" s="1"/>
  <c r="T50" i="153"/>
  <c r="P51" i="153"/>
  <c r="R50" i="153"/>
  <c r="S50" i="153" s="1"/>
  <c r="U49" i="153"/>
  <c r="K64" i="130"/>
  <c r="BI88" i="125" a="1"/>
  <c r="BI88" i="125" s="1"/>
  <c r="AY88" i="125" a="1"/>
  <c r="AY88" i="125" s="1"/>
  <c r="AO88" i="125" a="1"/>
  <c r="AO88" i="125" s="1"/>
  <c r="AE88" i="125" a="1"/>
  <c r="AE88" i="125" s="1"/>
  <c r="U88" i="125" a="1"/>
  <c r="U88" i="125" s="1"/>
  <c r="K88" i="125" a="1"/>
  <c r="K88" i="125" s="1"/>
  <c r="X47" i="153" l="1"/>
  <c r="Q48" i="153" s="1"/>
  <c r="V48" i="153" s="1"/>
  <c r="T51" i="153"/>
  <c r="P52" i="153"/>
  <c r="R51" i="153"/>
  <c r="S51" i="153" s="1"/>
  <c r="W50" i="153"/>
  <c r="U50" i="153"/>
  <c r="O55" i="18"/>
  <c r="M55" i="18"/>
  <c r="K55" i="18"/>
  <c r="I55" i="18"/>
  <c r="G55" i="18"/>
  <c r="O60" i="18"/>
  <c r="M60" i="18"/>
  <c r="K60" i="18"/>
  <c r="I60" i="18"/>
  <c r="G60" i="18"/>
  <c r="O59" i="18"/>
  <c r="M59" i="18"/>
  <c r="K59" i="18"/>
  <c r="I59" i="18"/>
  <c r="G59" i="18"/>
  <c r="E59" i="18"/>
  <c r="E60" i="18"/>
  <c r="E56" i="18"/>
  <c r="E55" i="18"/>
  <c r="O12" i="18"/>
  <c r="M12" i="18"/>
  <c r="K12" i="18"/>
  <c r="I12" i="18"/>
  <c r="G12" i="18"/>
  <c r="E12" i="18"/>
  <c r="O11" i="18"/>
  <c r="M11" i="18"/>
  <c r="K11" i="18"/>
  <c r="I11" i="18"/>
  <c r="G11" i="18"/>
  <c r="E11" i="18"/>
  <c r="O6" i="18"/>
  <c r="M6" i="18"/>
  <c r="K6" i="18"/>
  <c r="I6" i="18"/>
  <c r="G6" i="18"/>
  <c r="E6" i="18"/>
  <c r="AN80" i="134"/>
  <c r="AK80" i="134"/>
  <c r="AH80" i="134"/>
  <c r="X48" i="153" l="1"/>
  <c r="Q49" i="153" s="1"/>
  <c r="V49" i="153" s="1"/>
  <c r="W49" i="153" s="1"/>
  <c r="P53" i="153"/>
  <c r="T52" i="153"/>
  <c r="R52" i="153"/>
  <c r="S52" i="153" s="1"/>
  <c r="U51" i="153"/>
  <c r="B91" i="125"/>
  <c r="B90" i="125"/>
  <c r="X49" i="153" l="1"/>
  <c r="Q50" i="153" s="1"/>
  <c r="V50" i="153" s="1"/>
  <c r="U52" i="153"/>
  <c r="T53" i="153"/>
  <c r="P54" i="153"/>
  <c r="R53" i="153"/>
  <c r="S53" i="153" s="1"/>
  <c r="X33" i="134"/>
  <c r="AD23" i="134" s="1"/>
  <c r="X50" i="153" l="1"/>
  <c r="Q51" i="153" s="1"/>
  <c r="V51" i="153" s="1"/>
  <c r="W51" i="153" s="1"/>
  <c r="P55" i="153"/>
  <c r="R54" i="153"/>
  <c r="S54" i="153" s="1"/>
  <c r="T54" i="153"/>
  <c r="U53" i="153"/>
  <c r="W52" i="153"/>
  <c r="X51" i="153" l="1"/>
  <c r="Q52" i="153" s="1"/>
  <c r="V52" i="153" s="1"/>
  <c r="U54" i="153"/>
  <c r="W54" i="153"/>
  <c r="R55" i="153"/>
  <c r="S55" i="153" s="1"/>
  <c r="T55" i="153"/>
  <c r="P56" i="153"/>
  <c r="B15" i="134"/>
  <c r="AM51" i="123" s="1"/>
  <c r="X52" i="153" l="1"/>
  <c r="Q53" i="153" s="1"/>
  <c r="V53" i="153" s="1"/>
  <c r="W53" i="153" s="1"/>
  <c r="W55" i="153"/>
  <c r="U55" i="153"/>
  <c r="T56" i="153"/>
  <c r="P57" i="153"/>
  <c r="R56" i="153"/>
  <c r="S56" i="153" s="1"/>
  <c r="F96" i="18"/>
  <c r="F94" i="18"/>
  <c r="X53" i="153" l="1"/>
  <c r="Q54" i="153" s="1"/>
  <c r="V54" i="153" s="1"/>
  <c r="T57" i="153"/>
  <c r="R57" i="153"/>
  <c r="S57" i="153" s="1"/>
  <c r="P58" i="153"/>
  <c r="W56" i="153"/>
  <c r="U56" i="153"/>
  <c r="AM91" i="134"/>
  <c r="AM90" i="134"/>
  <c r="AM88" i="134"/>
  <c r="AN87" i="134"/>
  <c r="AM87" i="134"/>
  <c r="AM86" i="134"/>
  <c r="AM82" i="134"/>
  <c r="AN81" i="134"/>
  <c r="AM81" i="134"/>
  <c r="AM80" i="134"/>
  <c r="AN78" i="134"/>
  <c r="AM78" i="134"/>
  <c r="AM77" i="134"/>
  <c r="AJ91" i="134"/>
  <c r="AJ90" i="134"/>
  <c r="AJ88" i="134"/>
  <c r="AK87" i="134"/>
  <c r="AJ87" i="134"/>
  <c r="AJ86" i="134"/>
  <c r="AJ82" i="134"/>
  <c r="AK81" i="134"/>
  <c r="AJ81" i="134"/>
  <c r="AJ80" i="134"/>
  <c r="AK78" i="134"/>
  <c r="AJ78" i="134"/>
  <c r="AJ77" i="134"/>
  <c r="AG91" i="134"/>
  <c r="AG90" i="134"/>
  <c r="AG88" i="134"/>
  <c r="AH87" i="134"/>
  <c r="AG87" i="134"/>
  <c r="AG86" i="134"/>
  <c r="AG82" i="134"/>
  <c r="AH81" i="134"/>
  <c r="AG81" i="134"/>
  <c r="AG80" i="134"/>
  <c r="AH78" i="134"/>
  <c r="AG78" i="134"/>
  <c r="AG77" i="134"/>
  <c r="AE78" i="134"/>
  <c r="AD78" i="134"/>
  <c r="AB78" i="134"/>
  <c r="AA78" i="134"/>
  <c r="Y78" i="134"/>
  <c r="AM71" i="134"/>
  <c r="AM70" i="134"/>
  <c r="AM68" i="134"/>
  <c r="AN67" i="134"/>
  <c r="AM67" i="134"/>
  <c r="AM66" i="134"/>
  <c r="AN65" i="134"/>
  <c r="AM65" i="134"/>
  <c r="AM63" i="134"/>
  <c r="AN62" i="134"/>
  <c r="AM62" i="134"/>
  <c r="AN61" i="134"/>
  <c r="AM61" i="134"/>
  <c r="AN59" i="134"/>
  <c r="AM59" i="134"/>
  <c r="AM58" i="134"/>
  <c r="AJ71" i="134"/>
  <c r="AJ70" i="134"/>
  <c r="AJ68" i="134"/>
  <c r="AK67" i="134"/>
  <c r="AJ67" i="134"/>
  <c r="AJ66" i="134"/>
  <c r="AK65" i="134"/>
  <c r="AJ65" i="134"/>
  <c r="AJ63" i="134"/>
  <c r="AK62" i="134"/>
  <c r="AJ62" i="134"/>
  <c r="AK61" i="134"/>
  <c r="AJ61" i="134"/>
  <c r="AK59" i="134"/>
  <c r="AJ59" i="134"/>
  <c r="AJ58" i="134"/>
  <c r="AG71" i="134"/>
  <c r="AG70" i="134"/>
  <c r="AG68" i="134"/>
  <c r="AH67" i="134"/>
  <c r="AG67" i="134"/>
  <c r="AG66" i="134"/>
  <c r="AH65" i="134"/>
  <c r="AG65" i="134"/>
  <c r="AG63" i="134"/>
  <c r="AH62" i="134"/>
  <c r="AG62" i="134"/>
  <c r="AH61" i="134"/>
  <c r="AG61" i="134"/>
  <c r="AH59" i="134"/>
  <c r="AG59" i="134"/>
  <c r="AG58" i="134"/>
  <c r="AE67" i="134"/>
  <c r="AD67" i="134"/>
  <c r="AE59" i="134"/>
  <c r="AD59" i="134"/>
  <c r="AB67" i="134"/>
  <c r="AA67" i="134"/>
  <c r="AB59" i="134"/>
  <c r="AA59" i="134"/>
  <c r="Y59" i="134"/>
  <c r="D32" i="134"/>
  <c r="X54" i="153" l="1"/>
  <c r="Q55" i="153" s="1"/>
  <c r="V55" i="153" s="1"/>
  <c r="T58" i="153"/>
  <c r="P59" i="153"/>
  <c r="R58" i="153"/>
  <c r="S58" i="153" s="1"/>
  <c r="U57" i="153"/>
  <c r="AG89" i="134"/>
  <c r="AJ89" i="134"/>
  <c r="AM89" i="134"/>
  <c r="AM69" i="134"/>
  <c r="AJ69" i="134"/>
  <c r="AG69" i="134"/>
  <c r="X55" i="153" l="1"/>
  <c r="Q56" i="153" s="1"/>
  <c r="V56" i="153" s="1"/>
  <c r="W58" i="153"/>
  <c r="U58" i="153"/>
  <c r="T59" i="153"/>
  <c r="P60" i="153"/>
  <c r="R59" i="153"/>
  <c r="S59" i="153" s="1"/>
  <c r="X78" i="134"/>
  <c r="X59" i="134"/>
  <c r="X56" i="153" l="1"/>
  <c r="Q57" i="153" s="1"/>
  <c r="V57" i="153" s="1"/>
  <c r="W57" i="153" s="1"/>
  <c r="X57" i="153" s="1"/>
  <c r="Q58" i="153" s="1"/>
  <c r="V58" i="153" s="1"/>
  <c r="P61" i="153"/>
  <c r="R60" i="153"/>
  <c r="S60" i="153" s="1"/>
  <c r="T60" i="153"/>
  <c r="U59" i="153"/>
  <c r="W59" i="153"/>
  <c r="E46" i="134"/>
  <c r="X67" i="134"/>
  <c r="AM103" i="134"/>
  <c r="AN94" i="134"/>
  <c r="AM94" i="134"/>
  <c r="AJ103" i="134"/>
  <c r="AK94" i="134"/>
  <c r="AJ94" i="134"/>
  <c r="AG103" i="134"/>
  <c r="AH94" i="134"/>
  <c r="AG94" i="134"/>
  <c r="AE94" i="134"/>
  <c r="AD94" i="134"/>
  <c r="AB94" i="134"/>
  <c r="AA94" i="134"/>
  <c r="X58" i="153" l="1"/>
  <c r="Q59" i="153" s="1"/>
  <c r="V59" i="153" s="1"/>
  <c r="U60" i="153"/>
  <c r="T61" i="153"/>
  <c r="P62" i="153"/>
  <c r="R61" i="153"/>
  <c r="S61" i="153" s="1"/>
  <c r="G10" i="134"/>
  <c r="X59" i="153" l="1"/>
  <c r="Q60" i="153" s="1"/>
  <c r="V60" i="153" s="1"/>
  <c r="W60" i="153" s="1"/>
  <c r="T62" i="153"/>
  <c r="P63" i="153"/>
  <c r="R62" i="153"/>
  <c r="S62" i="153" s="1"/>
  <c r="W61" i="153"/>
  <c r="U61" i="153"/>
  <c r="E86" i="132" a="1"/>
  <c r="E86" i="132" s="1"/>
  <c r="E87" i="132" s="1"/>
  <c r="G42" i="18"/>
  <c r="X60" i="153" l="1"/>
  <c r="Q61" i="153" s="1"/>
  <c r="V61" i="153" s="1"/>
  <c r="R63" i="153"/>
  <c r="S63" i="153" s="1"/>
  <c r="T63" i="153"/>
  <c r="P64" i="153"/>
  <c r="U62" i="153"/>
  <c r="W62" i="153"/>
  <c r="G15" i="132"/>
  <c r="Y67" i="134"/>
  <c r="X61" i="153" l="1"/>
  <c r="Q62" i="153" s="1"/>
  <c r="V62" i="153" s="1"/>
  <c r="T64" i="153"/>
  <c r="P65" i="153"/>
  <c r="R64" i="153"/>
  <c r="S64" i="153" s="1"/>
  <c r="W63" i="153"/>
  <c r="U63" i="153"/>
  <c r="AB23" i="134"/>
  <c r="AA23" i="134"/>
  <c r="Y23" i="134"/>
  <c r="X47" i="134"/>
  <c r="Y47" i="134"/>
  <c r="X62" i="153" l="1"/>
  <c r="Q63" i="153" s="1"/>
  <c r="V63" i="153" s="1"/>
  <c r="X23" i="134"/>
  <c r="X111" i="134" s="1"/>
  <c r="Y106" i="134" s="1" a="1"/>
  <c r="U64" i="153"/>
  <c r="T65" i="153"/>
  <c r="P66" i="153"/>
  <c r="R65" i="153"/>
  <c r="S65" i="153" s="1"/>
  <c r="F16" i="131"/>
  <c r="AB106" i="134" l="1" a="1"/>
  <c r="AB106" i="134" s="1"/>
  <c r="Y106" i="134"/>
  <c r="AE106" i="134" a="1"/>
  <c r="AE106" i="134" s="1"/>
  <c r="AH106" i="134" a="1"/>
  <c r="AH106" i="134" s="1"/>
  <c r="AK106" i="134" a="1"/>
  <c r="AK106" i="134" s="1"/>
  <c r="AK95" i="134" s="1"/>
  <c r="AN106" i="134" a="1"/>
  <c r="AN106" i="134" s="1"/>
  <c r="X110" i="134"/>
  <c r="X63" i="153"/>
  <c r="Q64" i="153" s="1"/>
  <c r="V64" i="153" s="1"/>
  <c r="W64" i="153" s="1"/>
  <c r="T66" i="153"/>
  <c r="P67" i="153"/>
  <c r="R66" i="153"/>
  <c r="S66" i="153" s="1"/>
  <c r="U65" i="153"/>
  <c r="O30" i="18"/>
  <c r="M30" i="18"/>
  <c r="K30" i="18"/>
  <c r="I30" i="18"/>
  <c r="G30" i="18"/>
  <c r="AM106" i="134" l="1" a="1"/>
  <c r="AM106" i="134" s="1"/>
  <c r="AG106" i="134" a="1"/>
  <c r="AG106" i="134" s="1"/>
  <c r="AD106" i="134" a="1"/>
  <c r="AD106" i="134" s="1"/>
  <c r="AJ106" i="134" a="1"/>
  <c r="AJ106" i="134" s="1"/>
  <c r="AN95" i="134"/>
  <c r="AE95" i="134"/>
  <c r="AH95" i="134"/>
  <c r="X64" i="153"/>
  <c r="Q65" i="153" s="1"/>
  <c r="V65" i="153" s="1"/>
  <c r="W65" i="153" s="1"/>
  <c r="T67" i="153"/>
  <c r="P68" i="153"/>
  <c r="R67" i="153"/>
  <c r="S67" i="153" s="1"/>
  <c r="W66" i="153"/>
  <c r="U66" i="153"/>
  <c r="S8" i="134"/>
  <c r="O42" i="18"/>
  <c r="M42" i="18"/>
  <c r="K42" i="18"/>
  <c r="I42" i="18"/>
  <c r="G47" i="134"/>
  <c r="AM95" i="134" l="1"/>
  <c r="AD95" i="134"/>
  <c r="AJ95" i="134"/>
  <c r="AG95" i="134"/>
  <c r="X65" i="153"/>
  <c r="Q66" i="153" s="1"/>
  <c r="V66" i="153" s="1"/>
  <c r="P69" i="153"/>
  <c r="R68" i="153"/>
  <c r="S68" i="153" s="1"/>
  <c r="T68" i="153"/>
  <c r="U67" i="153"/>
  <c r="W67" i="153"/>
  <c r="E30" i="18"/>
  <c r="O29" i="18"/>
  <c r="M29" i="18"/>
  <c r="K29" i="18"/>
  <c r="I29" i="18"/>
  <c r="G29" i="18"/>
  <c r="E29" i="18"/>
  <c r="E9" i="18"/>
  <c r="O8" i="18"/>
  <c r="M8" i="18"/>
  <c r="K8" i="18"/>
  <c r="I8" i="18"/>
  <c r="G8" i="18"/>
  <c r="E8" i="18"/>
  <c r="X66" i="153" l="1"/>
  <c r="Q67" i="153" s="1"/>
  <c r="V67" i="153" s="1"/>
  <c r="W68" i="153"/>
  <c r="U68" i="153"/>
  <c r="T69" i="153"/>
  <c r="P70" i="153"/>
  <c r="R69" i="153"/>
  <c r="S69" i="153" s="1"/>
  <c r="Y94" i="134"/>
  <c r="Y95" i="134" s="1"/>
  <c r="H32" i="134"/>
  <c r="AB74" i="134" s="1"/>
  <c r="X94" i="134"/>
  <c r="G48" i="134"/>
  <c r="G49" i="134"/>
  <c r="G50" i="134"/>
  <c r="G51" i="134"/>
  <c r="G52" i="134"/>
  <c r="G53" i="134"/>
  <c r="G54" i="134"/>
  <c r="G55" i="134"/>
  <c r="G56" i="134"/>
  <c r="G57" i="134"/>
  <c r="G58" i="134"/>
  <c r="G59" i="134"/>
  <c r="G60" i="134"/>
  <c r="G61" i="134"/>
  <c r="G62" i="134"/>
  <c r="G63" i="134"/>
  <c r="G64" i="134"/>
  <c r="G65" i="134"/>
  <c r="G66" i="134"/>
  <c r="G67" i="134"/>
  <c r="G68" i="134"/>
  <c r="G69" i="134"/>
  <c r="G70" i="134"/>
  <c r="G71" i="134"/>
  <c r="G72" i="134"/>
  <c r="G73" i="134"/>
  <c r="G74" i="134"/>
  <c r="G75" i="134"/>
  <c r="G76" i="134"/>
  <c r="G77" i="134"/>
  <c r="G78" i="134"/>
  <c r="G79" i="134"/>
  <c r="G80" i="134"/>
  <c r="G81" i="134"/>
  <c r="G82" i="134"/>
  <c r="G83" i="134"/>
  <c r="G84" i="134"/>
  <c r="G85" i="134"/>
  <c r="G86" i="134"/>
  <c r="G87" i="134"/>
  <c r="G88" i="134"/>
  <c r="G89" i="134"/>
  <c r="G90" i="134"/>
  <c r="G91" i="134"/>
  <c r="G92" i="134"/>
  <c r="G93" i="134"/>
  <c r="G94" i="134"/>
  <c r="G95" i="134"/>
  <c r="G96" i="134"/>
  <c r="G97" i="134"/>
  <c r="G98" i="134"/>
  <c r="G99" i="134"/>
  <c r="G100" i="134"/>
  <c r="G101" i="134"/>
  <c r="G102" i="134"/>
  <c r="G103" i="134"/>
  <c r="G104" i="134"/>
  <c r="G105" i="134"/>
  <c r="G106" i="134"/>
  <c r="D46" i="134"/>
  <c r="G32" i="134"/>
  <c r="X74" i="134"/>
  <c r="T32" i="134"/>
  <c r="AN74" i="134" s="1"/>
  <c r="AN75" i="134" s="1"/>
  <c r="S32" i="134"/>
  <c r="AM74" i="134" s="1"/>
  <c r="AM75" i="134" s="1"/>
  <c r="Q32" i="134"/>
  <c r="AK74" i="134" s="1"/>
  <c r="AK75" i="134" s="1"/>
  <c r="P32" i="134"/>
  <c r="AJ74" i="134" s="1"/>
  <c r="AJ75" i="134" s="1"/>
  <c r="N32" i="134"/>
  <c r="AH74" i="134" s="1"/>
  <c r="AH75" i="134" s="1"/>
  <c r="M32" i="134"/>
  <c r="AG74" i="134" s="1"/>
  <c r="AG75" i="134" s="1"/>
  <c r="K32" i="134"/>
  <c r="AE74" i="134" s="1"/>
  <c r="AE75" i="134" s="1"/>
  <c r="J32" i="134"/>
  <c r="AD74" i="134" s="1"/>
  <c r="AD75" i="134" s="1"/>
  <c r="E32" i="134"/>
  <c r="Y74" i="134" s="1"/>
  <c r="AA106" i="134" a="1"/>
  <c r="X106" i="134" a="1"/>
  <c r="AA106" i="134" l="1"/>
  <c r="X106" i="134"/>
  <c r="AA74" i="134"/>
  <c r="X26" i="134"/>
  <c r="X25" i="134"/>
  <c r="AA95" i="134"/>
  <c r="X95" i="134"/>
  <c r="AB75" i="134"/>
  <c r="Y75" i="134"/>
  <c r="AA75" i="134"/>
  <c r="X75" i="134"/>
  <c r="AB95" i="134"/>
  <c r="X67" i="153"/>
  <c r="Q68" i="153" s="1"/>
  <c r="V68" i="153" s="1"/>
  <c r="T70" i="153"/>
  <c r="P71" i="153"/>
  <c r="R70" i="153"/>
  <c r="S70" i="153" s="1"/>
  <c r="U69" i="153"/>
  <c r="AH55" i="134"/>
  <c r="AH56" i="134" s="1"/>
  <c r="AE55" i="134"/>
  <c r="AE56" i="134" s="1"/>
  <c r="AK55" i="134"/>
  <c r="AK56" i="134" s="1"/>
  <c r="AN55" i="134"/>
  <c r="AN56" i="134" s="1"/>
  <c r="AJ55" i="134"/>
  <c r="AJ56" i="134" s="1"/>
  <c r="AG55" i="134"/>
  <c r="AG56" i="134" s="1"/>
  <c r="AM55" i="134"/>
  <c r="AM56" i="134" s="1"/>
  <c r="AD55" i="134"/>
  <c r="AD56" i="134" s="1"/>
  <c r="AB55" i="134"/>
  <c r="AA55" i="134"/>
  <c r="X55" i="134"/>
  <c r="Y55" i="134"/>
  <c r="AB56" i="134" l="1"/>
  <c r="Y56" i="134"/>
  <c r="X56" i="134"/>
  <c r="AA56" i="134"/>
  <c r="X68" i="153"/>
  <c r="Q69" i="153" s="1"/>
  <c r="V69" i="153" s="1"/>
  <c r="R71" i="153"/>
  <c r="S71" i="153" s="1"/>
  <c r="T71" i="153"/>
  <c r="P72" i="153"/>
  <c r="U70" i="153"/>
  <c r="W69" i="153"/>
  <c r="X69" i="153" l="1"/>
  <c r="Q70" i="153" s="1"/>
  <c r="V70" i="153" s="1"/>
  <c r="W70" i="153" s="1"/>
  <c r="T72" i="153"/>
  <c r="P73" i="153"/>
  <c r="R72" i="153"/>
  <c r="S72" i="153" s="1"/>
  <c r="W71" i="153"/>
  <c r="U71" i="153"/>
  <c r="C46" i="134"/>
  <c r="X70" i="153" l="1"/>
  <c r="Q71" i="153" s="1"/>
  <c r="V71" i="153" s="1"/>
  <c r="W72" i="153"/>
  <c r="U72" i="153"/>
  <c r="T73" i="153"/>
  <c r="P74" i="153"/>
  <c r="R73" i="153"/>
  <c r="S73" i="153" s="1"/>
  <c r="L86" i="132"/>
  <c r="B29" i="134"/>
  <c r="Q28" i="132"/>
  <c r="X71" i="153" l="1"/>
  <c r="Q72" i="153" s="1"/>
  <c r="V72" i="153" s="1"/>
  <c r="T74" i="153"/>
  <c r="P75" i="153"/>
  <c r="R74" i="153"/>
  <c r="S74" i="153" s="1"/>
  <c r="U73" i="153"/>
  <c r="G17" i="132"/>
  <c r="S131" i="134"/>
  <c r="S130" i="134"/>
  <c r="S129" i="134"/>
  <c r="S128" i="134"/>
  <c r="S127" i="134"/>
  <c r="S122" i="134"/>
  <c r="S123" i="134"/>
  <c r="S124" i="134"/>
  <c r="S125" i="134"/>
  <c r="S121" i="134"/>
  <c r="E138" i="134"/>
  <c r="D138" i="134"/>
  <c r="X72" i="153" l="1"/>
  <c r="Q73" i="153" s="1"/>
  <c r="V73" i="153" s="1"/>
  <c r="W73" i="153" s="1"/>
  <c r="T75" i="153"/>
  <c r="P76" i="153"/>
  <c r="R75" i="153"/>
  <c r="S75" i="153" s="1"/>
  <c r="U74" i="153"/>
  <c r="L10" i="134"/>
  <c r="X73" i="153" l="1"/>
  <c r="Q74" i="153" s="1"/>
  <c r="V74" i="153" s="1"/>
  <c r="P77" i="153"/>
  <c r="R76" i="153"/>
  <c r="S76" i="153" s="1"/>
  <c r="T76" i="153"/>
  <c r="U75" i="153"/>
  <c r="W74" i="153"/>
  <c r="B40" i="135"/>
  <c r="B41" i="135"/>
  <c r="B42" i="135"/>
  <c r="B43" i="135"/>
  <c r="B44" i="135"/>
  <c r="B45" i="135"/>
  <c r="B46" i="135"/>
  <c r="B47" i="135"/>
  <c r="B48" i="135"/>
  <c r="B49" i="135"/>
  <c r="B50" i="135"/>
  <c r="B51" i="135"/>
  <c r="B52" i="135"/>
  <c r="B53" i="135"/>
  <c r="B54" i="135"/>
  <c r="B55" i="135"/>
  <c r="B56" i="135"/>
  <c r="B57" i="135"/>
  <c r="B58" i="135"/>
  <c r="B59" i="135"/>
  <c r="B60" i="135"/>
  <c r="B61" i="135"/>
  <c r="B62" i="135"/>
  <c r="B63" i="135"/>
  <c r="B64" i="135"/>
  <c r="B65" i="135"/>
  <c r="B66" i="135"/>
  <c r="B67" i="135"/>
  <c r="B68" i="135"/>
  <c r="B69" i="135"/>
  <c r="B70" i="135"/>
  <c r="B71" i="135"/>
  <c r="B72" i="135"/>
  <c r="B73" i="135"/>
  <c r="B74" i="135"/>
  <c r="B75" i="135"/>
  <c r="B76" i="135"/>
  <c r="B77" i="135"/>
  <c r="B78" i="135"/>
  <c r="B79" i="135"/>
  <c r="J40" i="135"/>
  <c r="J41" i="135"/>
  <c r="J42" i="135"/>
  <c r="J43" i="135"/>
  <c r="J44" i="135"/>
  <c r="J45" i="135"/>
  <c r="J46" i="135"/>
  <c r="J47" i="135"/>
  <c r="J48" i="135"/>
  <c r="J49" i="135"/>
  <c r="J50" i="135"/>
  <c r="J51" i="135"/>
  <c r="J52" i="135"/>
  <c r="J53" i="135"/>
  <c r="J54" i="135"/>
  <c r="J55" i="135"/>
  <c r="J56" i="135"/>
  <c r="J57" i="135"/>
  <c r="J58" i="135"/>
  <c r="J59" i="135"/>
  <c r="J60" i="135"/>
  <c r="J61" i="135"/>
  <c r="J62" i="135"/>
  <c r="J63" i="135"/>
  <c r="J64" i="135"/>
  <c r="J65" i="135"/>
  <c r="J66" i="135"/>
  <c r="J67" i="135"/>
  <c r="J68" i="135"/>
  <c r="J69" i="135"/>
  <c r="J70" i="135"/>
  <c r="J71" i="135"/>
  <c r="J72" i="135"/>
  <c r="J73" i="135"/>
  <c r="J74" i="135"/>
  <c r="J75" i="135"/>
  <c r="J76" i="135"/>
  <c r="J77" i="135"/>
  <c r="J78" i="135"/>
  <c r="J79" i="135"/>
  <c r="D23" i="134"/>
  <c r="D45" i="134" s="1"/>
  <c r="X74" i="153" l="1"/>
  <c r="Q75" i="153" s="1"/>
  <c r="V75" i="153" s="1"/>
  <c r="W75" i="153"/>
  <c r="U76" i="153"/>
  <c r="T77" i="153"/>
  <c r="P78" i="153"/>
  <c r="R77" i="153"/>
  <c r="S77" i="153" s="1"/>
  <c r="D110" i="134"/>
  <c r="E45" i="134"/>
  <c r="G45" i="134"/>
  <c r="J23" i="134"/>
  <c r="M23" i="134"/>
  <c r="P23" i="134"/>
  <c r="G23" i="134"/>
  <c r="S23" i="134"/>
  <c r="P24" i="131"/>
  <c r="P25" i="131"/>
  <c r="X75" i="153" l="1"/>
  <c r="Q76" i="153" s="1"/>
  <c r="V76" i="153" s="1"/>
  <c r="W76" i="153" s="1"/>
  <c r="T78" i="153"/>
  <c r="P79" i="153"/>
  <c r="R78" i="153"/>
  <c r="S78" i="153" s="1"/>
  <c r="U77" i="153"/>
  <c r="E18" i="132"/>
  <c r="D18" i="132"/>
  <c r="D19" i="132" s="1"/>
  <c r="B141" i="134"/>
  <c r="X76" i="153" l="1"/>
  <c r="Q77" i="153" s="1"/>
  <c r="V77" i="153" s="1"/>
  <c r="W77" i="153" s="1"/>
  <c r="T79" i="153"/>
  <c r="P80" i="153"/>
  <c r="R79" i="153"/>
  <c r="S79" i="153" s="1"/>
  <c r="W78" i="153"/>
  <c r="U78" i="153"/>
  <c r="AD61" i="134"/>
  <c r="C127" i="134"/>
  <c r="C121" i="134"/>
  <c r="X77" i="153" l="1"/>
  <c r="Q78" i="153" s="1"/>
  <c r="V78" i="153" s="1"/>
  <c r="P81" i="153"/>
  <c r="T80" i="153"/>
  <c r="R80" i="153"/>
  <c r="S80" i="153" s="1"/>
  <c r="U79" i="153"/>
  <c r="AE61" i="134"/>
  <c r="Q14" i="137"/>
  <c r="Q15" i="137"/>
  <c r="Q16" i="137"/>
  <c r="Q17" i="137"/>
  <c r="Q18" i="137"/>
  <c r="Q19" i="137"/>
  <c r="Q20" i="137"/>
  <c r="Q21" i="137"/>
  <c r="Q22" i="137"/>
  <c r="Q23" i="137"/>
  <c r="Q24" i="137"/>
  <c r="Q25" i="137"/>
  <c r="Q26" i="137"/>
  <c r="Q27" i="137"/>
  <c r="Q28" i="137"/>
  <c r="Q29" i="137"/>
  <c r="Q30" i="137"/>
  <c r="Q31" i="137"/>
  <c r="Q32" i="137"/>
  <c r="Q33" i="137"/>
  <c r="Q34" i="137"/>
  <c r="Q35" i="137"/>
  <c r="Q36" i="137"/>
  <c r="Q37" i="137"/>
  <c r="Q38" i="137"/>
  <c r="Q39" i="137"/>
  <c r="Q40" i="137"/>
  <c r="Q41" i="137"/>
  <c r="Q42" i="137"/>
  <c r="Q43" i="137"/>
  <c r="Q44" i="137"/>
  <c r="Q45" i="137"/>
  <c r="Q46" i="137"/>
  <c r="Q47" i="137"/>
  <c r="Q48" i="137"/>
  <c r="Q49" i="137"/>
  <c r="Q50" i="137"/>
  <c r="Q51" i="137"/>
  <c r="Q52" i="137"/>
  <c r="Q53" i="137"/>
  <c r="Q54" i="137"/>
  <c r="Q55" i="137"/>
  <c r="Q56" i="137"/>
  <c r="Q57" i="137"/>
  <c r="Q58" i="137"/>
  <c r="Q59" i="137"/>
  <c r="Q60" i="137"/>
  <c r="Q61" i="137"/>
  <c r="Q62" i="137"/>
  <c r="P14" i="137"/>
  <c r="P15" i="137"/>
  <c r="P16" i="137"/>
  <c r="P17" i="137"/>
  <c r="P18" i="137"/>
  <c r="P19" i="137"/>
  <c r="P20" i="137"/>
  <c r="P21" i="137"/>
  <c r="P22" i="137"/>
  <c r="P23" i="137"/>
  <c r="P24" i="137"/>
  <c r="P25" i="137"/>
  <c r="P26" i="137"/>
  <c r="P27" i="137"/>
  <c r="P28" i="137"/>
  <c r="P29" i="137"/>
  <c r="P30" i="137"/>
  <c r="P31" i="137"/>
  <c r="P32" i="137"/>
  <c r="P33" i="137"/>
  <c r="P34" i="137"/>
  <c r="P35" i="137"/>
  <c r="P36" i="137"/>
  <c r="P37" i="137"/>
  <c r="P38" i="137"/>
  <c r="P39" i="137"/>
  <c r="P40" i="137"/>
  <c r="P41" i="137"/>
  <c r="P42" i="137"/>
  <c r="P43" i="137"/>
  <c r="P44" i="137"/>
  <c r="P45" i="137"/>
  <c r="P46" i="137"/>
  <c r="P47" i="137"/>
  <c r="P48" i="137"/>
  <c r="P49" i="137"/>
  <c r="P50" i="137"/>
  <c r="P51" i="137"/>
  <c r="P52" i="137"/>
  <c r="P53" i="137"/>
  <c r="P54" i="137"/>
  <c r="P55" i="137"/>
  <c r="P56" i="137"/>
  <c r="P57" i="137"/>
  <c r="P58" i="137"/>
  <c r="P59" i="137"/>
  <c r="P60" i="137"/>
  <c r="P61" i="137"/>
  <c r="P62" i="137"/>
  <c r="O14" i="137"/>
  <c r="O15" i="137"/>
  <c r="O16" i="137"/>
  <c r="O17" i="137"/>
  <c r="O18" i="137"/>
  <c r="O19" i="137"/>
  <c r="O20" i="137"/>
  <c r="O21" i="137"/>
  <c r="O22" i="137"/>
  <c r="O23" i="137"/>
  <c r="O24" i="137"/>
  <c r="O25" i="137"/>
  <c r="O26" i="137"/>
  <c r="O27" i="137"/>
  <c r="O28" i="137"/>
  <c r="O29" i="137"/>
  <c r="O30" i="137"/>
  <c r="O31" i="137"/>
  <c r="O32" i="137"/>
  <c r="O33" i="137"/>
  <c r="O34" i="137"/>
  <c r="O35" i="137"/>
  <c r="O36" i="137"/>
  <c r="O37" i="137"/>
  <c r="O38" i="137"/>
  <c r="O39" i="137"/>
  <c r="O40" i="137"/>
  <c r="O41" i="137"/>
  <c r="O42" i="137"/>
  <c r="O43" i="137"/>
  <c r="O44" i="137"/>
  <c r="O45" i="137"/>
  <c r="O46" i="137"/>
  <c r="O47" i="137"/>
  <c r="O48" i="137"/>
  <c r="O49" i="137"/>
  <c r="O50" i="137"/>
  <c r="O51" i="137"/>
  <c r="O52" i="137"/>
  <c r="O53" i="137"/>
  <c r="O54" i="137"/>
  <c r="O55" i="137"/>
  <c r="O56" i="137"/>
  <c r="O57" i="137"/>
  <c r="O58" i="137"/>
  <c r="O59" i="137"/>
  <c r="O60" i="137"/>
  <c r="O61" i="137"/>
  <c r="O62" i="137"/>
  <c r="O13" i="137"/>
  <c r="M14" i="137"/>
  <c r="M15" i="137"/>
  <c r="M16" i="137"/>
  <c r="M17" i="137"/>
  <c r="M18" i="137"/>
  <c r="M19" i="137"/>
  <c r="M20" i="137"/>
  <c r="M21" i="137"/>
  <c r="M22" i="137"/>
  <c r="M23" i="137"/>
  <c r="M24" i="137"/>
  <c r="M25" i="137"/>
  <c r="M26" i="137"/>
  <c r="M27" i="137"/>
  <c r="M28" i="137"/>
  <c r="M29" i="137"/>
  <c r="M30" i="137"/>
  <c r="M31" i="137"/>
  <c r="M32" i="137"/>
  <c r="M33" i="137"/>
  <c r="M34" i="137"/>
  <c r="M35" i="137"/>
  <c r="M36" i="137"/>
  <c r="M37" i="137"/>
  <c r="M38" i="137"/>
  <c r="M39" i="137"/>
  <c r="M40" i="137"/>
  <c r="M41" i="137"/>
  <c r="M42" i="137"/>
  <c r="M43" i="137"/>
  <c r="M44" i="137"/>
  <c r="M45" i="137"/>
  <c r="M46" i="137"/>
  <c r="M47" i="137"/>
  <c r="M48" i="137"/>
  <c r="M49" i="137"/>
  <c r="M50" i="137"/>
  <c r="M51" i="137"/>
  <c r="M52" i="137"/>
  <c r="M53" i="137"/>
  <c r="M54" i="137"/>
  <c r="M55" i="137"/>
  <c r="M56" i="137"/>
  <c r="M57" i="137"/>
  <c r="M58" i="137"/>
  <c r="M59" i="137"/>
  <c r="M60" i="137"/>
  <c r="M61" i="137"/>
  <c r="M62" i="137"/>
  <c r="M13" i="137"/>
  <c r="T13" i="137"/>
  <c r="X78" i="153" l="1"/>
  <c r="Q79" i="153" s="1"/>
  <c r="V79" i="153" s="1"/>
  <c r="W79" i="153" s="1"/>
  <c r="U80" i="153"/>
  <c r="P82" i="153"/>
  <c r="R81" i="153"/>
  <c r="S81" i="153" s="1"/>
  <c r="T81" i="153"/>
  <c r="B31" i="134"/>
  <c r="X79" i="153" l="1"/>
  <c r="Q80" i="153" s="1"/>
  <c r="V80" i="153" s="1"/>
  <c r="W81" i="153"/>
  <c r="U81" i="153"/>
  <c r="T82" i="153"/>
  <c r="P83" i="153"/>
  <c r="R82" i="153"/>
  <c r="S82" i="153" s="1"/>
  <c r="W80" i="153"/>
  <c r="P13" i="108" a="1"/>
  <c r="P13" i="108" s="1"/>
  <c r="P14" i="108" a="1"/>
  <c r="P14" i="108" s="1"/>
  <c r="P15" i="108" a="1"/>
  <c r="P15" i="108" s="1"/>
  <c r="P16" i="108" a="1"/>
  <c r="P16" i="108" s="1"/>
  <c r="P17" i="108" a="1"/>
  <c r="P17" i="108" s="1"/>
  <c r="P18" i="108" a="1"/>
  <c r="P18" i="108" s="1"/>
  <c r="P19" i="108" a="1"/>
  <c r="P19" i="108" s="1"/>
  <c r="P20" i="108" a="1"/>
  <c r="P20" i="108" s="1"/>
  <c r="P21" i="108" a="1"/>
  <c r="P21" i="108" s="1"/>
  <c r="P22" i="108" a="1"/>
  <c r="P22" i="108" s="1"/>
  <c r="P23" i="108" a="1"/>
  <c r="P23" i="108" s="1"/>
  <c r="P24" i="108" a="1"/>
  <c r="P24" i="108" s="1"/>
  <c r="P25" i="108" a="1"/>
  <c r="P25" i="108" s="1"/>
  <c r="P26" i="108" a="1"/>
  <c r="P26" i="108" s="1"/>
  <c r="P27" i="108" a="1"/>
  <c r="P27" i="108" s="1"/>
  <c r="P28" i="108" a="1"/>
  <c r="P28" i="108" s="1"/>
  <c r="P29" i="108" a="1"/>
  <c r="P29" i="108" s="1"/>
  <c r="P30" i="108" a="1"/>
  <c r="P30" i="108" s="1"/>
  <c r="P31" i="108" a="1"/>
  <c r="P31" i="108" s="1"/>
  <c r="P12" i="108" a="1"/>
  <c r="P12" i="108" s="1"/>
  <c r="AC14" i="107" a="1"/>
  <c r="AC14" i="107" s="1"/>
  <c r="AC15" i="107" a="1"/>
  <c r="AC15" i="107" s="1"/>
  <c r="AC16" i="107" a="1"/>
  <c r="AC16" i="107" s="1"/>
  <c r="AC17" i="107" a="1"/>
  <c r="AC17" i="107" s="1"/>
  <c r="AC18" i="107" a="1"/>
  <c r="AC18" i="107" s="1"/>
  <c r="AC19" i="107" a="1"/>
  <c r="AC19" i="107" s="1"/>
  <c r="AC20" i="107" a="1"/>
  <c r="AC20" i="107" s="1"/>
  <c r="AC21" i="107" a="1"/>
  <c r="AC21" i="107" s="1"/>
  <c r="AC22" i="107" a="1"/>
  <c r="AC22" i="107" s="1"/>
  <c r="AC23" i="107" a="1"/>
  <c r="AC23" i="107" s="1"/>
  <c r="AC24" i="107" a="1"/>
  <c r="AC24" i="107" s="1"/>
  <c r="AC25" i="107" a="1"/>
  <c r="AC25" i="107" s="1"/>
  <c r="AC26" i="107" a="1"/>
  <c r="AC26" i="107" s="1"/>
  <c r="AC27" i="107" a="1"/>
  <c r="AC27" i="107" s="1"/>
  <c r="AC28" i="107" a="1"/>
  <c r="AC28" i="107" s="1"/>
  <c r="AC29" i="107" a="1"/>
  <c r="AC29" i="107" s="1"/>
  <c r="AC30" i="107" a="1"/>
  <c r="AC30" i="107" s="1"/>
  <c r="AC31" i="107" a="1"/>
  <c r="AC31" i="107" s="1"/>
  <c r="AC32" i="107" a="1"/>
  <c r="AC32" i="107" s="1"/>
  <c r="AC13" i="107" a="1"/>
  <c r="AC13" i="107" s="1"/>
  <c r="A33" i="108"/>
  <c r="CI254" i="125"/>
  <c r="CI248" i="125"/>
  <c r="CI242" i="125"/>
  <c r="CI236" i="125"/>
  <c r="CI230" i="125"/>
  <c r="CI224" i="125"/>
  <c r="CI218" i="125"/>
  <c r="CI212" i="125"/>
  <c r="CI206" i="125"/>
  <c r="CI200" i="125"/>
  <c r="CI194" i="125"/>
  <c r="CI188" i="125"/>
  <c r="CI182" i="125"/>
  <c r="CI176" i="125"/>
  <c r="CI170" i="125"/>
  <c r="CI164" i="125"/>
  <c r="CI158" i="125"/>
  <c r="CI152" i="125"/>
  <c r="CI146" i="125"/>
  <c r="CI140" i="125"/>
  <c r="CH140" i="125" a="1"/>
  <c r="CH140" i="125" s="1"/>
  <c r="CF152" i="125"/>
  <c r="CE152" i="125"/>
  <c r="CF146" i="125"/>
  <c r="CE146" i="125"/>
  <c r="B140" i="130"/>
  <c r="AN12" i="136" a="1"/>
  <c r="AN12" i="136" s="1"/>
  <c r="AF97" i="123"/>
  <c r="AF98" i="123"/>
  <c r="AF99" i="123"/>
  <c r="AF100" i="123"/>
  <c r="AF101" i="123"/>
  <c r="AF102" i="123"/>
  <c r="AF103" i="123"/>
  <c r="AF104" i="123"/>
  <c r="AF105" i="123"/>
  <c r="AF106" i="123"/>
  <c r="AF107" i="123"/>
  <c r="AF108" i="123"/>
  <c r="AF109" i="123"/>
  <c r="AF110" i="123"/>
  <c r="AF111" i="123"/>
  <c r="AF112" i="123"/>
  <c r="AF113" i="123"/>
  <c r="AF114" i="123"/>
  <c r="AF115" i="123"/>
  <c r="AF116" i="123"/>
  <c r="AF117" i="123"/>
  <c r="AF118" i="123"/>
  <c r="AF119" i="123"/>
  <c r="AF120" i="123"/>
  <c r="AF121" i="123"/>
  <c r="AF122" i="123"/>
  <c r="AF123" i="123"/>
  <c r="AF124" i="123"/>
  <c r="AF125" i="123"/>
  <c r="AF126" i="123"/>
  <c r="AF127" i="123"/>
  <c r="AF128" i="123"/>
  <c r="AF129" i="123"/>
  <c r="AF130" i="123"/>
  <c r="AF131" i="123"/>
  <c r="AF132" i="123"/>
  <c r="AF133" i="123"/>
  <c r="AF96" i="123"/>
  <c r="X80" i="153" l="1"/>
  <c r="Q81" i="153" s="1"/>
  <c r="V81" i="153" s="1"/>
  <c r="R83" i="153"/>
  <c r="S83" i="153" s="1"/>
  <c r="T83" i="153"/>
  <c r="P84" i="153"/>
  <c r="U82" i="153"/>
  <c r="P33" i="108"/>
  <c r="AC34" i="107"/>
  <c r="D128" i="130"/>
  <c r="C128" i="130"/>
  <c r="X81" i="153" l="1"/>
  <c r="Q82" i="153" s="1"/>
  <c r="V82" i="153" s="1"/>
  <c r="W82" i="153"/>
  <c r="T84" i="153"/>
  <c r="P85" i="153"/>
  <c r="R84" i="153"/>
  <c r="S84" i="153" s="1"/>
  <c r="U83" i="153"/>
  <c r="S125" i="130"/>
  <c r="T126" i="130" s="1"/>
  <c r="K12" i="108"/>
  <c r="X82" i="153" l="1"/>
  <c r="Q83" i="153" s="1"/>
  <c r="V83" i="153" s="1"/>
  <c r="T85" i="153"/>
  <c r="P86" i="153"/>
  <c r="R85" i="153"/>
  <c r="S85" i="153" s="1"/>
  <c r="U84" i="153"/>
  <c r="W83" i="153"/>
  <c r="S145" i="130"/>
  <c r="K125" i="130" s="1"/>
  <c r="AA20" i="18"/>
  <c r="AB20" i="18"/>
  <c r="AB21" i="18"/>
  <c r="AA22" i="18"/>
  <c r="AB22" i="18"/>
  <c r="Z22" i="18"/>
  <c r="Z20" i="18"/>
  <c r="AA7" i="18"/>
  <c r="AB7" i="18"/>
  <c r="AC7" i="18"/>
  <c r="AA8" i="18"/>
  <c r="AB8" i="18"/>
  <c r="AA9" i="18"/>
  <c r="AB9" i="18"/>
  <c r="AA10" i="18"/>
  <c r="AB10" i="18"/>
  <c r="AA11" i="18"/>
  <c r="AB11" i="18"/>
  <c r="Z8" i="18"/>
  <c r="Z9" i="18"/>
  <c r="Z10" i="18"/>
  <c r="Z11" i="18"/>
  <c r="Z7" i="18"/>
  <c r="Y32" i="107"/>
  <c r="Y31" i="107"/>
  <c r="Y30" i="107"/>
  <c r="Y29" i="107"/>
  <c r="Y28" i="107"/>
  <c r="Y27" i="107"/>
  <c r="Y26" i="107"/>
  <c r="Y25" i="107"/>
  <c r="Y24" i="107"/>
  <c r="Y23" i="107"/>
  <c r="Y22" i="107"/>
  <c r="Y21" i="107"/>
  <c r="Y20" i="107"/>
  <c r="Y19" i="107"/>
  <c r="Y18" i="107"/>
  <c r="Y17" i="107"/>
  <c r="Y16" i="107"/>
  <c r="Y15" i="107"/>
  <c r="Y14" i="107"/>
  <c r="Y13" i="107"/>
  <c r="U62" i="137"/>
  <c r="U61" i="137"/>
  <c r="U60" i="137"/>
  <c r="U59" i="137"/>
  <c r="U58" i="137"/>
  <c r="U57" i="137"/>
  <c r="U56" i="137"/>
  <c r="U55" i="137"/>
  <c r="U54" i="137"/>
  <c r="U53" i="137"/>
  <c r="U52" i="137"/>
  <c r="U51" i="137"/>
  <c r="U50" i="137"/>
  <c r="U49" i="137"/>
  <c r="U48" i="137"/>
  <c r="U47" i="137"/>
  <c r="U46" i="137"/>
  <c r="U45" i="137"/>
  <c r="U44" i="137"/>
  <c r="U43" i="137"/>
  <c r="U42" i="137"/>
  <c r="U41" i="137"/>
  <c r="U40" i="137"/>
  <c r="U39" i="137"/>
  <c r="U38" i="137"/>
  <c r="U37" i="137"/>
  <c r="U36" i="137"/>
  <c r="U35" i="137"/>
  <c r="U34" i="137"/>
  <c r="U33" i="137"/>
  <c r="U32" i="137"/>
  <c r="U31" i="137"/>
  <c r="U30" i="137"/>
  <c r="U29" i="137"/>
  <c r="U28" i="137"/>
  <c r="U27" i="137"/>
  <c r="U26" i="137"/>
  <c r="U25" i="137"/>
  <c r="U24" i="137"/>
  <c r="U23" i="137"/>
  <c r="U22" i="137"/>
  <c r="U21" i="137"/>
  <c r="U20" i="137"/>
  <c r="U19" i="137"/>
  <c r="U18" i="137"/>
  <c r="U17" i="137"/>
  <c r="U16" i="137"/>
  <c r="U15" i="137"/>
  <c r="U14" i="137"/>
  <c r="B5" i="123"/>
  <c r="X83" i="153" l="1"/>
  <c r="Q84" i="153" s="1"/>
  <c r="V84" i="153" s="1"/>
  <c r="W84" i="153" s="1"/>
  <c r="P87" i="153"/>
  <c r="R86" i="153"/>
  <c r="S86" i="153" s="1"/>
  <c r="T86" i="153"/>
  <c r="U85" i="153"/>
  <c r="CH254" i="125" a="1"/>
  <c r="CH254" i="125" s="1"/>
  <c r="CH236" i="125" a="1"/>
  <c r="CH236" i="125" s="1"/>
  <c r="CH176" i="125" a="1"/>
  <c r="CH176" i="125" s="1"/>
  <c r="CH212" i="125" a="1"/>
  <c r="CH212" i="125" s="1"/>
  <c r="CH152" i="125" a="1"/>
  <c r="CH152" i="125" s="1"/>
  <c r="CH248" i="125" a="1"/>
  <c r="CH248" i="125" s="1"/>
  <c r="CH230" i="125" a="1"/>
  <c r="CH230" i="125" s="1"/>
  <c r="CH170" i="125" a="1"/>
  <c r="CH170" i="125" s="1"/>
  <c r="CH206" i="125" a="1"/>
  <c r="CH206" i="125" s="1"/>
  <c r="CH188" i="125" a="1"/>
  <c r="CH188" i="125" s="1"/>
  <c r="CH158" i="125" a="1"/>
  <c r="CH158" i="125" s="1"/>
  <c r="CH164" i="125" a="1"/>
  <c r="CH164" i="125" s="1"/>
  <c r="CH200" i="125" a="1"/>
  <c r="CH200" i="125" s="1"/>
  <c r="CH146" i="125" a="1"/>
  <c r="CH146" i="125" s="1"/>
  <c r="CH242" i="125" a="1"/>
  <c r="CH242" i="125" s="1"/>
  <c r="CH224" i="125" a="1"/>
  <c r="CH224" i="125" s="1"/>
  <c r="CH182" i="125" a="1"/>
  <c r="CH182" i="125" s="1"/>
  <c r="CH218" i="125" a="1"/>
  <c r="CH218" i="125" s="1"/>
  <c r="CH194" i="125" a="1"/>
  <c r="CH194" i="125" s="1"/>
  <c r="BT103" i="125" a="1"/>
  <c r="BT103" i="125" s="1"/>
  <c r="BT104" i="125" s="1" a="1"/>
  <c r="BT104" i="125" s="1"/>
  <c r="X84" i="153" l="1"/>
  <c r="Q85" i="153" s="1"/>
  <c r="V85" i="153" s="1"/>
  <c r="W85" i="153" s="1"/>
  <c r="X85" i="153" s="1"/>
  <c r="Q86" i="153" s="1"/>
  <c r="V86" i="153" s="1"/>
  <c r="W86" i="153"/>
  <c r="U86" i="153"/>
  <c r="P88" i="153"/>
  <c r="T87" i="153"/>
  <c r="R87" i="153"/>
  <c r="S87" i="153" s="1"/>
  <c r="BT105" i="125" a="1"/>
  <c r="BT105" i="125" s="1"/>
  <c r="X86" i="153" l="1"/>
  <c r="Q87" i="153" s="1"/>
  <c r="V87" i="153" s="1"/>
  <c r="W87" i="153"/>
  <c r="U87" i="153"/>
  <c r="P89" i="153"/>
  <c r="T88" i="153"/>
  <c r="R88" i="153"/>
  <c r="S88" i="153" s="1"/>
  <c r="BT106" i="125" a="1"/>
  <c r="BT106" i="125" s="1"/>
  <c r="U88" i="153" l="1"/>
  <c r="P90" i="153"/>
  <c r="T89" i="153"/>
  <c r="R89" i="153"/>
  <c r="S89" i="153" s="1"/>
  <c r="X87" i="153"/>
  <c r="Q88" i="153" s="1"/>
  <c r="V88" i="153" s="1"/>
  <c r="BT107" i="125" a="1"/>
  <c r="BT107" i="125" s="1"/>
  <c r="U89" i="153" l="1"/>
  <c r="T90" i="153"/>
  <c r="R90" i="153"/>
  <c r="S90" i="153" s="1"/>
  <c r="P91" i="153"/>
  <c r="W88" i="153"/>
  <c r="X88" i="153" s="1"/>
  <c r="Q89" i="153" s="1"/>
  <c r="V89" i="153" s="1"/>
  <c r="BT108" i="125" a="1"/>
  <c r="BT108" i="125" s="1"/>
  <c r="W89" i="153" l="1"/>
  <c r="X89" i="153" s="1"/>
  <c r="Q90" i="153" s="1"/>
  <c r="V90" i="153" s="1"/>
  <c r="R91" i="153"/>
  <c r="S91" i="153" s="1"/>
  <c r="T91" i="153"/>
  <c r="P92" i="153"/>
  <c r="U90" i="153"/>
  <c r="W90" i="153"/>
  <c r="BT109" i="125" a="1"/>
  <c r="BT109" i="125" s="1"/>
  <c r="BT110" i="125" s="1" a="1"/>
  <c r="BT110" i="125" s="1"/>
  <c r="BT111" i="125" s="1" a="1"/>
  <c r="BT111" i="125" s="1"/>
  <c r="BT112" i="125" s="1" a="1"/>
  <c r="BT112" i="125" s="1"/>
  <c r="P93" i="153" l="1"/>
  <c r="R92" i="153"/>
  <c r="S92" i="153" s="1"/>
  <c r="T92" i="153"/>
  <c r="U91" i="153"/>
  <c r="X90" i="153"/>
  <c r="Q91" i="153" s="1"/>
  <c r="V91" i="153" s="1"/>
  <c r="F141" i="130"/>
  <c r="B141" i="130"/>
  <c r="B116" i="130"/>
  <c r="B105" i="130"/>
  <c r="D105" i="130"/>
  <c r="W91" i="153" l="1"/>
  <c r="X91" i="153" s="1"/>
  <c r="Q92" i="153" s="1"/>
  <c r="V92" i="153" s="1"/>
  <c r="W92" i="153"/>
  <c r="U92" i="153"/>
  <c r="T93" i="153"/>
  <c r="P94" i="153"/>
  <c r="R93" i="153"/>
  <c r="S93" i="153" s="1"/>
  <c r="W93" i="153" l="1"/>
  <c r="U93" i="153"/>
  <c r="T94" i="153"/>
  <c r="R94" i="153"/>
  <c r="S94" i="153" s="1"/>
  <c r="P95" i="153"/>
  <c r="X92" i="153"/>
  <c r="Q93" i="153" s="1"/>
  <c r="V93" i="153" s="1"/>
  <c r="D24" i="130"/>
  <c r="F78" i="130"/>
  <c r="F144" i="130"/>
  <c r="X93" i="153" l="1"/>
  <c r="Q94" i="153" s="1"/>
  <c r="V94" i="153" s="1"/>
  <c r="R95" i="153"/>
  <c r="S95" i="153" s="1"/>
  <c r="T95" i="153"/>
  <c r="P96" i="153"/>
  <c r="U94" i="153"/>
  <c r="W94" i="153"/>
  <c r="AC34" i="130"/>
  <c r="BK14" i="107"/>
  <c r="BK15" i="107"/>
  <c r="BK16" i="107"/>
  <c r="BK17" i="107"/>
  <c r="BK18" i="107"/>
  <c r="BK19" i="107"/>
  <c r="BK20" i="107"/>
  <c r="BK21" i="107"/>
  <c r="BK22" i="107"/>
  <c r="BK23" i="107"/>
  <c r="BK24" i="107"/>
  <c r="BK25" i="107"/>
  <c r="BK26" i="107"/>
  <c r="BK27" i="107"/>
  <c r="BK28" i="107"/>
  <c r="BK29" i="107"/>
  <c r="BK30" i="107"/>
  <c r="BK31" i="107"/>
  <c r="BK32" i="107"/>
  <c r="BJ13" i="107"/>
  <c r="U95" i="153" l="1"/>
  <c r="P97" i="153"/>
  <c r="T96" i="153"/>
  <c r="R96" i="153"/>
  <c r="S96" i="153" s="1"/>
  <c r="X94" i="153"/>
  <c r="Q95" i="153" s="1"/>
  <c r="V95" i="153" s="1"/>
  <c r="AA21" i="18"/>
  <c r="I7" i="123"/>
  <c r="Z21" i="18" s="1"/>
  <c r="W95" i="153" l="1"/>
  <c r="X95" i="153" s="1"/>
  <c r="Q96" i="153" s="1"/>
  <c r="V96" i="153" s="1"/>
  <c r="W96" i="153"/>
  <c r="U96" i="153"/>
  <c r="T97" i="153"/>
  <c r="P98" i="153"/>
  <c r="R97" i="153"/>
  <c r="S97" i="153" s="1"/>
  <c r="V23" i="18"/>
  <c r="BZ104" i="125"/>
  <c r="BZ105" i="125"/>
  <c r="BZ106" i="125"/>
  <c r="BZ107" i="125"/>
  <c r="BZ108" i="125"/>
  <c r="BZ109" i="125"/>
  <c r="BZ110" i="125"/>
  <c r="BZ111" i="125"/>
  <c r="BZ112" i="125"/>
  <c r="BZ103" i="125"/>
  <c r="X96" i="153" l="1"/>
  <c r="Q97" i="153" s="1"/>
  <c r="V97" i="153" s="1"/>
  <c r="T98" i="153"/>
  <c r="R98" i="153"/>
  <c r="S98" i="153" s="1"/>
  <c r="P99" i="153"/>
  <c r="W97" i="153"/>
  <c r="U97" i="153"/>
  <c r="AB129" i="125"/>
  <c r="AB132" i="125"/>
  <c r="AB131" i="125"/>
  <c r="AB130" i="125"/>
  <c r="AB126" i="125"/>
  <c r="AB128" i="125"/>
  <c r="AB127" i="125"/>
  <c r="AB123" i="125"/>
  <c r="AB124" i="125"/>
  <c r="AB125" i="125"/>
  <c r="BM131" i="125"/>
  <c r="AG14" i="107"/>
  <c r="AG15" i="107"/>
  <c r="AG16" i="107"/>
  <c r="AG17" i="107"/>
  <c r="AG18" i="107"/>
  <c r="AG19" i="107"/>
  <c r="AG20" i="107"/>
  <c r="AG21" i="107"/>
  <c r="AG22" i="107"/>
  <c r="AG23" i="107"/>
  <c r="AG24" i="107"/>
  <c r="AG25" i="107"/>
  <c r="AG26" i="107"/>
  <c r="AG27" i="107"/>
  <c r="AG28" i="107"/>
  <c r="AG29" i="107"/>
  <c r="AG30" i="107"/>
  <c r="AG31" i="107"/>
  <c r="AG32" i="107"/>
  <c r="AG13" i="107"/>
  <c r="AD14" i="107"/>
  <c r="AD15" i="107"/>
  <c r="AD16" i="107"/>
  <c r="AD17" i="107"/>
  <c r="AD18" i="107"/>
  <c r="AD19" i="107"/>
  <c r="AD20" i="107"/>
  <c r="AD21" i="107"/>
  <c r="AD22" i="107"/>
  <c r="AD23" i="107"/>
  <c r="AD24" i="107"/>
  <c r="AD25" i="107"/>
  <c r="AD26" i="107"/>
  <c r="AD27" i="107"/>
  <c r="AD28" i="107"/>
  <c r="AD29" i="107"/>
  <c r="AD30" i="107"/>
  <c r="AD31" i="107"/>
  <c r="AD32" i="107"/>
  <c r="AD13" i="107"/>
  <c r="AC14" i="137"/>
  <c r="AB14" i="137" s="1"/>
  <c r="AC15" i="137"/>
  <c r="AB15" i="137" s="1"/>
  <c r="AC16" i="137"/>
  <c r="AB16" i="137" s="1"/>
  <c r="AC17" i="137"/>
  <c r="AB17" i="137" s="1"/>
  <c r="AC18" i="137"/>
  <c r="AB18" i="137" s="1"/>
  <c r="AC19" i="137"/>
  <c r="AB19" i="137" s="1"/>
  <c r="AC20" i="137"/>
  <c r="AB20" i="137" s="1"/>
  <c r="AC21" i="137"/>
  <c r="AB21" i="137" s="1"/>
  <c r="AC22" i="137"/>
  <c r="AB22" i="137" s="1"/>
  <c r="AC23" i="137"/>
  <c r="AB23" i="137" s="1"/>
  <c r="AC24" i="137"/>
  <c r="AB24" i="137" s="1"/>
  <c r="AC25" i="137"/>
  <c r="AB25" i="137" s="1"/>
  <c r="AC26" i="137"/>
  <c r="AB26" i="137" s="1"/>
  <c r="AC27" i="137"/>
  <c r="AB27" i="137" s="1"/>
  <c r="AC28" i="137"/>
  <c r="AB28" i="137" s="1"/>
  <c r="AC29" i="137"/>
  <c r="AB29" i="137" s="1"/>
  <c r="AC30" i="137"/>
  <c r="AB30" i="137" s="1"/>
  <c r="AC31" i="137"/>
  <c r="AB31" i="137" s="1"/>
  <c r="AC32" i="137"/>
  <c r="AB32" i="137" s="1"/>
  <c r="AC33" i="137"/>
  <c r="AB33" i="137" s="1"/>
  <c r="AC34" i="137"/>
  <c r="AB34" i="137" s="1"/>
  <c r="AC35" i="137"/>
  <c r="AB35" i="137" s="1"/>
  <c r="AC36" i="137"/>
  <c r="AB36" i="137" s="1"/>
  <c r="AC37" i="137"/>
  <c r="AB37" i="137" s="1"/>
  <c r="AC38" i="137"/>
  <c r="AB38" i="137" s="1"/>
  <c r="AC39" i="137"/>
  <c r="AB39" i="137" s="1"/>
  <c r="AC40" i="137"/>
  <c r="AB40" i="137" s="1"/>
  <c r="AC41" i="137"/>
  <c r="AB41" i="137" s="1"/>
  <c r="AC42" i="137"/>
  <c r="AB42" i="137" s="1"/>
  <c r="AC43" i="137"/>
  <c r="AB43" i="137" s="1"/>
  <c r="AC44" i="137"/>
  <c r="AB44" i="137" s="1"/>
  <c r="AC45" i="137"/>
  <c r="AB45" i="137" s="1"/>
  <c r="AC46" i="137"/>
  <c r="AB46" i="137" s="1"/>
  <c r="AC47" i="137"/>
  <c r="AB47" i="137" s="1"/>
  <c r="AC48" i="137"/>
  <c r="AB48" i="137" s="1"/>
  <c r="AC49" i="137"/>
  <c r="AB49" i="137" s="1"/>
  <c r="AC50" i="137"/>
  <c r="AB50" i="137" s="1"/>
  <c r="AC51" i="137"/>
  <c r="AB51" i="137" s="1"/>
  <c r="AC52" i="137"/>
  <c r="AB52" i="137" s="1"/>
  <c r="AC53" i="137"/>
  <c r="AB53" i="137" s="1"/>
  <c r="AC54" i="137"/>
  <c r="AB54" i="137" s="1"/>
  <c r="AC55" i="137"/>
  <c r="AB55" i="137" s="1"/>
  <c r="AC56" i="137"/>
  <c r="AB56" i="137" s="1"/>
  <c r="AC57" i="137"/>
  <c r="AB57" i="137" s="1"/>
  <c r="AC58" i="137"/>
  <c r="AB58" i="137" s="1"/>
  <c r="AC59" i="137"/>
  <c r="AB59" i="137" s="1"/>
  <c r="AC60" i="137"/>
  <c r="AB60" i="137" s="1"/>
  <c r="AC61" i="137"/>
  <c r="AB61" i="137" s="1"/>
  <c r="AC62" i="137"/>
  <c r="AB62" i="137" s="1"/>
  <c r="AA14" i="137"/>
  <c r="Z14" i="137" s="1"/>
  <c r="AA15" i="137"/>
  <c r="Z15" i="137" s="1"/>
  <c r="AA16" i="137"/>
  <c r="Z16" i="137" s="1"/>
  <c r="AA17" i="137"/>
  <c r="Z17" i="137" s="1"/>
  <c r="AA18" i="137"/>
  <c r="Z18" i="137" s="1"/>
  <c r="AA19" i="137"/>
  <c r="Z19" i="137" s="1"/>
  <c r="AA20" i="137"/>
  <c r="Z20" i="137" s="1"/>
  <c r="AA21" i="137"/>
  <c r="Z21" i="137" s="1"/>
  <c r="AA22" i="137"/>
  <c r="Z22" i="137" s="1"/>
  <c r="AA23" i="137"/>
  <c r="Z23" i="137" s="1"/>
  <c r="AA24" i="137"/>
  <c r="Z24" i="137" s="1"/>
  <c r="AA25" i="137"/>
  <c r="Z25" i="137" s="1"/>
  <c r="AA26" i="137"/>
  <c r="Z26" i="137" s="1"/>
  <c r="AA27" i="137"/>
  <c r="Z27" i="137" s="1"/>
  <c r="AA28" i="137"/>
  <c r="Z28" i="137" s="1"/>
  <c r="AA29" i="137"/>
  <c r="Z29" i="137" s="1"/>
  <c r="AA30" i="137"/>
  <c r="Z30" i="137" s="1"/>
  <c r="AA31" i="137"/>
  <c r="Z31" i="137" s="1"/>
  <c r="AA32" i="137"/>
  <c r="Z32" i="137" s="1"/>
  <c r="AA33" i="137"/>
  <c r="Z33" i="137" s="1"/>
  <c r="AA34" i="137"/>
  <c r="Z34" i="137" s="1"/>
  <c r="AA35" i="137"/>
  <c r="Z35" i="137" s="1"/>
  <c r="AA36" i="137"/>
  <c r="Z36" i="137" s="1"/>
  <c r="AA37" i="137"/>
  <c r="Z37" i="137" s="1"/>
  <c r="AA38" i="137"/>
  <c r="Z38" i="137" s="1"/>
  <c r="AA39" i="137"/>
  <c r="Z39" i="137" s="1"/>
  <c r="AA40" i="137"/>
  <c r="Z40" i="137" s="1"/>
  <c r="AA41" i="137"/>
  <c r="Z41" i="137" s="1"/>
  <c r="AA42" i="137"/>
  <c r="Z42" i="137" s="1"/>
  <c r="AA43" i="137"/>
  <c r="Z43" i="137" s="1"/>
  <c r="AA44" i="137"/>
  <c r="Z44" i="137" s="1"/>
  <c r="AA45" i="137"/>
  <c r="Z45" i="137" s="1"/>
  <c r="AA46" i="137"/>
  <c r="Z46" i="137" s="1"/>
  <c r="AA47" i="137"/>
  <c r="Z47" i="137" s="1"/>
  <c r="AA48" i="137"/>
  <c r="Z48" i="137" s="1"/>
  <c r="AA49" i="137"/>
  <c r="Z49" i="137" s="1"/>
  <c r="AA50" i="137"/>
  <c r="Z50" i="137" s="1"/>
  <c r="AA51" i="137"/>
  <c r="Z51" i="137" s="1"/>
  <c r="AA52" i="137"/>
  <c r="Z52" i="137" s="1"/>
  <c r="AA53" i="137"/>
  <c r="Z53" i="137" s="1"/>
  <c r="AA54" i="137"/>
  <c r="Z54" i="137" s="1"/>
  <c r="AA55" i="137"/>
  <c r="Z55" i="137" s="1"/>
  <c r="AA56" i="137"/>
  <c r="Z56" i="137" s="1"/>
  <c r="AA57" i="137"/>
  <c r="Z57" i="137" s="1"/>
  <c r="AA58" i="137"/>
  <c r="Z58" i="137" s="1"/>
  <c r="AA59" i="137"/>
  <c r="Z59" i="137" s="1"/>
  <c r="AA60" i="137"/>
  <c r="Z60" i="137" s="1"/>
  <c r="AA61" i="137"/>
  <c r="Z61" i="137" s="1"/>
  <c r="AA62" i="137"/>
  <c r="Z62" i="137" s="1"/>
  <c r="R99" i="153" l="1"/>
  <c r="S99" i="153" s="1"/>
  <c r="P100" i="153"/>
  <c r="T99" i="153"/>
  <c r="U98" i="153"/>
  <c r="W98" i="153"/>
  <c r="X97" i="153"/>
  <c r="Q98" i="153" s="1"/>
  <c r="V98" i="153" s="1"/>
  <c r="AI127" i="125"/>
  <c r="AO127" i="125"/>
  <c r="AI128" i="125"/>
  <c r="AO128" i="125"/>
  <c r="AO126" i="125"/>
  <c r="AI126" i="125"/>
  <c r="AI130" i="125"/>
  <c r="AO130" i="125"/>
  <c r="AI131" i="125"/>
  <c r="AO131" i="125"/>
  <c r="AO132" i="125"/>
  <c r="AI132" i="125"/>
  <c r="AI129" i="125"/>
  <c r="AO129" i="125"/>
  <c r="AI125" i="125"/>
  <c r="AO125" i="125"/>
  <c r="AO124" i="125"/>
  <c r="AI124" i="125"/>
  <c r="AI123" i="125"/>
  <c r="AO123" i="125"/>
  <c r="BV103" i="125"/>
  <c r="BM127" i="125" l="1"/>
  <c r="X98" i="153"/>
  <c r="Q99" i="153" s="1"/>
  <c r="V99" i="153" s="1"/>
  <c r="U99" i="153"/>
  <c r="W99" i="153"/>
  <c r="P101" i="153"/>
  <c r="R100" i="153"/>
  <c r="S100" i="153" s="1"/>
  <c r="T100" i="153"/>
  <c r="BM125" i="125"/>
  <c r="BV105" i="125"/>
  <c r="BV104" i="125"/>
  <c r="BV112" i="125"/>
  <c r="BV111" i="125"/>
  <c r="BV110" i="125"/>
  <c r="BV109" i="125"/>
  <c r="BV108" i="125"/>
  <c r="BV107" i="125"/>
  <c r="BV106" i="125"/>
  <c r="T101" i="153" l="1"/>
  <c r="R101" i="153"/>
  <c r="S101" i="153" s="1"/>
  <c r="P102" i="153"/>
  <c r="U100" i="153"/>
  <c r="X99" i="153"/>
  <c r="Q100" i="153" s="1"/>
  <c r="V100" i="153" s="1"/>
  <c r="BU125" i="125"/>
  <c r="BU127" i="125"/>
  <c r="BU131" i="125"/>
  <c r="C115" i="18"/>
  <c r="BJ14" i="107"/>
  <c r="BJ15" i="107"/>
  <c r="BJ16" i="107"/>
  <c r="BL16" i="107" s="1"/>
  <c r="BJ17" i="107"/>
  <c r="BJ18" i="107"/>
  <c r="BL18" i="107" s="1"/>
  <c r="BJ19" i="107"/>
  <c r="BJ20" i="107"/>
  <c r="BJ21" i="107"/>
  <c r="BJ22" i="107"/>
  <c r="BJ23" i="107"/>
  <c r="BL23" i="107" s="1"/>
  <c r="BJ24" i="107"/>
  <c r="BL24" i="107" s="1"/>
  <c r="BJ25" i="107"/>
  <c r="BJ26" i="107"/>
  <c r="BL26" i="107" s="1"/>
  <c r="BJ27" i="107"/>
  <c r="BL27" i="107" s="1"/>
  <c r="BJ28" i="107"/>
  <c r="BJ29" i="107"/>
  <c r="BJ30" i="107"/>
  <c r="BL30" i="107" s="1"/>
  <c r="BJ31" i="107"/>
  <c r="BL31" i="107" s="1"/>
  <c r="BJ32" i="107"/>
  <c r="BL32" i="107" s="1"/>
  <c r="W100" i="153" l="1"/>
  <c r="X100" i="153" s="1"/>
  <c r="Q101" i="153" s="1"/>
  <c r="V101" i="153" s="1"/>
  <c r="T102" i="153"/>
  <c r="R102" i="153"/>
  <c r="S102" i="153" s="1"/>
  <c r="P103" i="153"/>
  <c r="U101" i="153"/>
  <c r="W101" i="153" s="1"/>
  <c r="BL22" i="107"/>
  <c r="BL25" i="107"/>
  <c r="BL19" i="107"/>
  <c r="BL29" i="107"/>
  <c r="BL17" i="107"/>
  <c r="BL21" i="107"/>
  <c r="BL28" i="107"/>
  <c r="BL20" i="107"/>
  <c r="BJ34" i="107"/>
  <c r="X101" i="153" l="1"/>
  <c r="Q102" i="153" s="1"/>
  <c r="V102" i="153" s="1"/>
  <c r="R103" i="153"/>
  <c r="S103" i="153" s="1"/>
  <c r="T103" i="153"/>
  <c r="P104" i="153"/>
  <c r="U102" i="153"/>
  <c r="W102" i="153"/>
  <c r="D20" i="130"/>
  <c r="U103" i="153" l="1"/>
  <c r="W103" i="153"/>
  <c r="P105" i="153"/>
  <c r="T104" i="153"/>
  <c r="R104" i="153"/>
  <c r="S104" i="153" s="1"/>
  <c r="X102" i="153"/>
  <c r="Q103" i="153" s="1"/>
  <c r="V103" i="153" s="1"/>
  <c r="K87" i="130"/>
  <c r="P30" i="18"/>
  <c r="N30" i="18"/>
  <c r="L30" i="18"/>
  <c r="J30" i="18"/>
  <c r="H30" i="18"/>
  <c r="F30" i="18"/>
  <c r="X103" i="153" l="1"/>
  <c r="Q104" i="153" s="1"/>
  <c r="V104" i="153" s="1"/>
  <c r="T105" i="153"/>
  <c r="P106" i="153"/>
  <c r="R105" i="153"/>
  <c r="S105" i="153" s="1"/>
  <c r="U104" i="153"/>
  <c r="B46" i="123"/>
  <c r="U105" i="153" l="1"/>
  <c r="P107" i="153"/>
  <c r="T106" i="153"/>
  <c r="R106" i="153"/>
  <c r="S106" i="153" s="1"/>
  <c r="W104" i="153"/>
  <c r="X104" i="153" s="1"/>
  <c r="Q105" i="153" s="1"/>
  <c r="V105" i="153" s="1"/>
  <c r="B86" i="18"/>
  <c r="B85" i="18"/>
  <c r="W105" i="153" l="1"/>
  <c r="X105" i="153" s="1"/>
  <c r="Q106" i="153" s="1"/>
  <c r="V106" i="153" s="1"/>
  <c r="U106" i="153"/>
  <c r="R107" i="153"/>
  <c r="S107" i="153" s="1"/>
  <c r="P108" i="153"/>
  <c r="T107" i="153"/>
  <c r="P15" i="112"/>
  <c r="Y10" i="112"/>
  <c r="Y11" i="112"/>
  <c r="Y12" i="112"/>
  <c r="Y9" i="112"/>
  <c r="K14" i="112"/>
  <c r="AJ46" i="147"/>
  <c r="AJ47" i="147"/>
  <c r="AJ48" i="147"/>
  <c r="AJ49" i="147"/>
  <c r="AJ50" i="147"/>
  <c r="AJ51" i="147"/>
  <c r="AJ52" i="147"/>
  <c r="AJ53" i="147"/>
  <c r="AJ54" i="147"/>
  <c r="AJ55" i="147"/>
  <c r="AJ56" i="147"/>
  <c r="AJ45" i="147"/>
  <c r="AF39" i="147"/>
  <c r="U107" i="153" l="1"/>
  <c r="P109" i="153"/>
  <c r="R108" i="153"/>
  <c r="S108" i="153" s="1"/>
  <c r="T108" i="153"/>
  <c r="W106" i="153"/>
  <c r="X106" i="153" s="1"/>
  <c r="Q107" i="153" s="1"/>
  <c r="V107" i="153" s="1"/>
  <c r="W107" i="153" s="1"/>
  <c r="C375" i="125"/>
  <c r="X107" i="153" l="1"/>
  <c r="Q108" i="153" s="1"/>
  <c r="V108" i="153" s="1"/>
  <c r="T109" i="153"/>
  <c r="R109" i="153"/>
  <c r="S109" i="153" s="1"/>
  <c r="P110" i="153"/>
  <c r="W108" i="153"/>
  <c r="U108" i="153"/>
  <c r="C381" i="125"/>
  <c r="C389" i="125"/>
  <c r="C390" i="125"/>
  <c r="C376" i="125"/>
  <c r="C379" i="125"/>
  <c r="C377" i="125"/>
  <c r="C383" i="125"/>
  <c r="C388" i="125"/>
  <c r="C380" i="125"/>
  <c r="C387" i="125"/>
  <c r="C394" i="125"/>
  <c r="C386" i="125"/>
  <c r="C378" i="125"/>
  <c r="C393" i="125"/>
  <c r="C385" i="125"/>
  <c r="C392" i="125"/>
  <c r="C384" i="125"/>
  <c r="C391" i="125"/>
  <c r="C382" i="125"/>
  <c r="M381" i="125" l="1" a="1"/>
  <c r="M381" i="125" s="1"/>
  <c r="AO381" i="125" s="1"/>
  <c r="M385" i="125" a="1"/>
  <c r="M385" i="125" s="1"/>
  <c r="AO385" i="125" s="1"/>
  <c r="M393" i="125" a="1"/>
  <c r="M393" i="125" s="1"/>
  <c r="AO393" i="125" s="1"/>
  <c r="M389" i="125" a="1"/>
  <c r="M389" i="125" s="1"/>
  <c r="AO389" i="125" s="1"/>
  <c r="T110" i="153"/>
  <c r="R110" i="153"/>
  <c r="S110" i="153" s="1"/>
  <c r="P111" i="153"/>
  <c r="W109" i="153"/>
  <c r="U109" i="153"/>
  <c r="X108" i="153"/>
  <c r="Q109" i="153" s="1"/>
  <c r="V109" i="153" s="1"/>
  <c r="M390" i="125" a="1"/>
  <c r="M390" i="125" s="1"/>
  <c r="AO390" i="125" s="1"/>
  <c r="M380" i="125" a="1"/>
  <c r="M380" i="125" s="1"/>
  <c r="AO380" i="125" s="1"/>
  <c r="M383" i="125" a="1"/>
  <c r="M383" i="125" s="1"/>
  <c r="AO383" i="125" s="1"/>
  <c r="M394" i="125" a="1"/>
  <c r="M394" i="125" s="1"/>
  <c r="AO394" i="125" s="1"/>
  <c r="M388" i="125" a="1"/>
  <c r="M388" i="125" s="1"/>
  <c r="AO388" i="125" s="1"/>
  <c r="M384" i="125" a="1"/>
  <c r="M384" i="125" s="1"/>
  <c r="AO384" i="125" s="1"/>
  <c r="M392" i="125" a="1"/>
  <c r="M392" i="125" s="1"/>
  <c r="AO392" i="125" s="1"/>
  <c r="M379" i="125" a="1"/>
  <c r="M379" i="125" s="1"/>
  <c r="AO379" i="125" s="1"/>
  <c r="M382" i="125" a="1"/>
  <c r="M382" i="125" s="1"/>
  <c r="AO382" i="125" s="1"/>
  <c r="M391" i="125" a="1"/>
  <c r="M391" i="125" s="1"/>
  <c r="AO391" i="125" s="1"/>
  <c r="M386" i="125" a="1"/>
  <c r="M386" i="125" s="1"/>
  <c r="AO386" i="125" s="1"/>
  <c r="M387" i="125" a="1"/>
  <c r="M387" i="125" s="1"/>
  <c r="AO387" i="125" s="1"/>
  <c r="C360" i="125"/>
  <c r="C361" i="125"/>
  <c r="C362" i="125"/>
  <c r="C363" i="125"/>
  <c r="C364" i="125"/>
  <c r="C365" i="125"/>
  <c r="C366" i="125"/>
  <c r="C367" i="125"/>
  <c r="C368" i="125"/>
  <c r="C369" i="125"/>
  <c r="X109" i="153" l="1"/>
  <c r="Q110" i="153" s="1"/>
  <c r="V110" i="153" s="1"/>
  <c r="R111" i="153"/>
  <c r="S111" i="153" s="1"/>
  <c r="T111" i="153"/>
  <c r="P112" i="153"/>
  <c r="U110" i="153"/>
  <c r="M369" i="125"/>
  <c r="M361" i="125"/>
  <c r="M368" i="125"/>
  <c r="M360" i="125"/>
  <c r="M367" i="125"/>
  <c r="M366" i="125"/>
  <c r="M365" i="125"/>
  <c r="M364" i="125"/>
  <c r="M363" i="125"/>
  <c r="M362" i="125"/>
  <c r="P113" i="153" l="1"/>
  <c r="T112" i="153"/>
  <c r="R112" i="153"/>
  <c r="S112" i="153" s="1"/>
  <c r="W111" i="153"/>
  <c r="U111" i="153"/>
  <c r="W110" i="153"/>
  <c r="X110" i="153" s="1"/>
  <c r="Q111" i="153" s="1"/>
  <c r="V111" i="153" s="1"/>
  <c r="G79" i="147"/>
  <c r="C15" i="142"/>
  <c r="C12" i="142"/>
  <c r="F27" i="114"/>
  <c r="B22" i="114"/>
  <c r="AJ267" i="125" a="1"/>
  <c r="AJ267" i="125" s="1"/>
  <c r="AJ271" i="125" a="1"/>
  <c r="AJ271" i="125" s="1"/>
  <c r="AJ272" i="125" a="1"/>
  <c r="AJ272" i="125" s="1"/>
  <c r="AJ273" i="125" a="1"/>
  <c r="AJ273" i="125" s="1"/>
  <c r="AJ274" i="125" a="1"/>
  <c r="AJ274" i="125" s="1"/>
  <c r="AJ275" i="125" a="1"/>
  <c r="AJ275" i="125" s="1"/>
  <c r="AJ276" i="125" a="1"/>
  <c r="AJ276" i="125" s="1"/>
  <c r="AJ277" i="125" a="1"/>
  <c r="AJ277" i="125" s="1"/>
  <c r="AJ278" i="125" a="1"/>
  <c r="AJ278" i="125" s="1"/>
  <c r="AJ279" i="125" a="1"/>
  <c r="AJ279" i="125" s="1"/>
  <c r="AJ280" i="125" a="1"/>
  <c r="AJ280" i="125" s="1"/>
  <c r="AJ281" i="125" a="1"/>
  <c r="AJ281" i="125" s="1"/>
  <c r="N42" i="149"/>
  <c r="I42" i="149"/>
  <c r="D42" i="149"/>
  <c r="D7" i="149"/>
  <c r="N9" i="149"/>
  <c r="I9" i="149"/>
  <c r="D9" i="149"/>
  <c r="BI99" i="125"/>
  <c r="X111" i="153" l="1"/>
  <c r="Q112" i="153" s="1"/>
  <c r="V112" i="153" s="1"/>
  <c r="U112" i="153"/>
  <c r="T113" i="153"/>
  <c r="P114" i="153"/>
  <c r="R113" i="153"/>
  <c r="S113" i="153" s="1"/>
  <c r="F6" i="18"/>
  <c r="C17" i="142"/>
  <c r="W112" i="153" l="1"/>
  <c r="X112" i="153" s="1"/>
  <c r="Q113" i="153" s="1"/>
  <c r="V113" i="153" s="1"/>
  <c r="U113" i="153"/>
  <c r="P115" i="153"/>
  <c r="T114" i="153"/>
  <c r="R114" i="153"/>
  <c r="S114" i="153" s="1"/>
  <c r="E16" i="147"/>
  <c r="W113" i="153" l="1"/>
  <c r="X113" i="153" s="1"/>
  <c r="Q114" i="153" s="1"/>
  <c r="V114" i="153" s="1"/>
  <c r="R115" i="153"/>
  <c r="S115" i="153" s="1"/>
  <c r="P116" i="153"/>
  <c r="T115" i="153"/>
  <c r="U114" i="153"/>
  <c r="T14" i="137"/>
  <c r="T15" i="137"/>
  <c r="T16" i="137"/>
  <c r="T17" i="137"/>
  <c r="T18" i="137"/>
  <c r="T19" i="137"/>
  <c r="T20" i="137"/>
  <c r="T21" i="137"/>
  <c r="T22" i="137"/>
  <c r="T23" i="137"/>
  <c r="T24" i="137"/>
  <c r="T25" i="137"/>
  <c r="T26" i="137"/>
  <c r="T27" i="137"/>
  <c r="T28" i="137"/>
  <c r="T29" i="137"/>
  <c r="T30" i="137"/>
  <c r="T31" i="137"/>
  <c r="T32" i="137"/>
  <c r="T33" i="137"/>
  <c r="T34" i="137"/>
  <c r="T35" i="137"/>
  <c r="T36" i="137"/>
  <c r="T37" i="137"/>
  <c r="T38" i="137"/>
  <c r="T39" i="137"/>
  <c r="T40" i="137"/>
  <c r="T41" i="137"/>
  <c r="T42" i="137"/>
  <c r="T43" i="137"/>
  <c r="T44" i="137"/>
  <c r="T45" i="137"/>
  <c r="T46" i="137"/>
  <c r="T47" i="137"/>
  <c r="T48" i="137"/>
  <c r="T49" i="137"/>
  <c r="T50" i="137"/>
  <c r="T51" i="137"/>
  <c r="T52" i="137"/>
  <c r="T53" i="137"/>
  <c r="T54" i="137"/>
  <c r="T55" i="137"/>
  <c r="T56" i="137"/>
  <c r="T57" i="137"/>
  <c r="T58" i="137"/>
  <c r="T59" i="137"/>
  <c r="T60" i="137"/>
  <c r="T61" i="137"/>
  <c r="T62" i="137"/>
  <c r="AH14" i="107"/>
  <c r="BL14" i="107" s="1"/>
  <c r="AH15" i="107"/>
  <c r="BL15" i="107" s="1"/>
  <c r="AH16" i="107"/>
  <c r="AH17" i="107"/>
  <c r="AH18" i="107"/>
  <c r="AH19" i="107"/>
  <c r="AH20" i="107"/>
  <c r="AH21" i="107"/>
  <c r="AH22" i="107"/>
  <c r="AH23" i="107"/>
  <c r="AH24" i="107"/>
  <c r="AH25" i="107"/>
  <c r="AH26" i="107"/>
  <c r="AH27" i="107"/>
  <c r="AH28" i="107"/>
  <c r="AH29" i="107"/>
  <c r="AH30" i="107"/>
  <c r="AH31" i="107"/>
  <c r="AH32" i="107"/>
  <c r="AH13" i="107"/>
  <c r="BK13" i="107" s="1"/>
  <c r="U115" i="153" l="1"/>
  <c r="W115" i="153"/>
  <c r="P117" i="153"/>
  <c r="R116" i="153"/>
  <c r="S116" i="153" s="1"/>
  <c r="T116" i="153"/>
  <c r="W114" i="153"/>
  <c r="X114" i="153" s="1"/>
  <c r="Q115" i="153" s="1"/>
  <c r="V115" i="153" s="1"/>
  <c r="BL13" i="107"/>
  <c r="AT13" i="107"/>
  <c r="W116" i="153" l="1"/>
  <c r="U116" i="153"/>
  <c r="T117" i="153"/>
  <c r="R117" i="153"/>
  <c r="S117" i="153" s="1"/>
  <c r="P118" i="153"/>
  <c r="X115" i="153"/>
  <c r="Q116" i="153" s="1"/>
  <c r="V116" i="153" s="1"/>
  <c r="BK34" i="107"/>
  <c r="AF13" i="107"/>
  <c r="AE13" i="107"/>
  <c r="X116" i="153" l="1"/>
  <c r="Q117" i="153" s="1"/>
  <c r="V117" i="153" s="1"/>
  <c r="T118" i="153"/>
  <c r="R118" i="153"/>
  <c r="S118" i="153" s="1"/>
  <c r="P119" i="153"/>
  <c r="W117" i="153"/>
  <c r="U117" i="153"/>
  <c r="AV13" i="107"/>
  <c r="BM13" i="107" s="1"/>
  <c r="N98" i="148"/>
  <c r="O102" i="148" s="1"/>
  <c r="L98" i="148"/>
  <c r="M102" i="148" s="1"/>
  <c r="J98" i="148"/>
  <c r="K102" i="148" s="1"/>
  <c r="H98" i="148"/>
  <c r="I102" i="148" s="1"/>
  <c r="F98" i="148"/>
  <c r="G102" i="148" s="1"/>
  <c r="D98" i="148"/>
  <c r="E102" i="148" s="1"/>
  <c r="N83" i="148"/>
  <c r="O87" i="148" s="1"/>
  <c r="L83" i="148"/>
  <c r="M87" i="148" s="1"/>
  <c r="J83" i="148"/>
  <c r="K87" i="148" s="1"/>
  <c r="H83" i="148"/>
  <c r="I87" i="148" s="1"/>
  <c r="F83" i="148"/>
  <c r="G87" i="148" s="1"/>
  <c r="D83" i="148"/>
  <c r="E87" i="148" s="1"/>
  <c r="N64" i="148"/>
  <c r="L64" i="148"/>
  <c r="J64" i="148"/>
  <c r="H64" i="148"/>
  <c r="F64" i="148"/>
  <c r="D64" i="148"/>
  <c r="N42" i="148"/>
  <c r="L42" i="148"/>
  <c r="J42" i="148"/>
  <c r="H42" i="148"/>
  <c r="F42" i="148"/>
  <c r="D42" i="148"/>
  <c r="E49" i="148" s="1"/>
  <c r="R119" i="153" l="1"/>
  <c r="S119" i="153" s="1"/>
  <c r="T119" i="153"/>
  <c r="P120" i="153"/>
  <c r="U118" i="153"/>
  <c r="X117" i="153"/>
  <c r="Q118" i="153" s="1"/>
  <c r="V118" i="153" s="1"/>
  <c r="AW13" i="107"/>
  <c r="O119" i="148"/>
  <c r="M119" i="148"/>
  <c r="K119" i="148"/>
  <c r="I119" i="148"/>
  <c r="G119" i="148"/>
  <c r="E119" i="148"/>
  <c r="O52" i="148"/>
  <c r="M52" i="148"/>
  <c r="K52" i="148"/>
  <c r="I52" i="148"/>
  <c r="G52" i="148"/>
  <c r="E52" i="148"/>
  <c r="O36" i="148"/>
  <c r="O108" i="148" s="1"/>
  <c r="M36" i="148"/>
  <c r="M108" i="148" s="1"/>
  <c r="K36" i="148"/>
  <c r="K93" i="148" s="1"/>
  <c r="I36" i="148"/>
  <c r="I93" i="148" s="1"/>
  <c r="G36" i="148"/>
  <c r="G77" i="148" s="1"/>
  <c r="E36" i="148"/>
  <c r="E77" i="148" s="1"/>
  <c r="P12" i="148"/>
  <c r="N12" i="148"/>
  <c r="L12" i="148"/>
  <c r="J12" i="148"/>
  <c r="H12" i="148"/>
  <c r="F12" i="148"/>
  <c r="B7" i="148"/>
  <c r="G12" i="130"/>
  <c r="BG264" i="125"/>
  <c r="BG265" i="125"/>
  <c r="BG266" i="125"/>
  <c r="BG267" i="125"/>
  <c r="BG268" i="125"/>
  <c r="BG269" i="125"/>
  <c r="BG270" i="125"/>
  <c r="BG271" i="125"/>
  <c r="BG272" i="125"/>
  <c r="BG273" i="125"/>
  <c r="BG274" i="125"/>
  <c r="BG275" i="125"/>
  <c r="BG276" i="125"/>
  <c r="BG277" i="125"/>
  <c r="BG278" i="125"/>
  <c r="BG279" i="125"/>
  <c r="BG280" i="125"/>
  <c r="BG281" i="125"/>
  <c r="AI13" i="107"/>
  <c r="E10" i="117"/>
  <c r="E8" i="117"/>
  <c r="P121" i="153" l="1"/>
  <c r="T120" i="153"/>
  <c r="R120" i="153"/>
  <c r="S120" i="153" s="1"/>
  <c r="W118" i="153"/>
  <c r="X118" i="153" s="1"/>
  <c r="Q119" i="153" s="1"/>
  <c r="V119" i="153" s="1"/>
  <c r="W119" i="153"/>
  <c r="U119" i="153"/>
  <c r="BR13" i="107"/>
  <c r="BP13" i="107"/>
  <c r="BS13" i="107"/>
  <c r="BT13" i="107"/>
  <c r="BV13" i="107"/>
  <c r="BU13" i="107"/>
  <c r="BN13" i="107"/>
  <c r="BW13" i="107"/>
  <c r="BQ13" i="107"/>
  <c r="BO13" i="107"/>
  <c r="BX13" i="107"/>
  <c r="I58" i="148"/>
  <c r="I108" i="148"/>
  <c r="K58" i="148"/>
  <c r="K108" i="148"/>
  <c r="E93" i="148"/>
  <c r="G93" i="148"/>
  <c r="I77" i="148"/>
  <c r="M93" i="148"/>
  <c r="E125" i="148"/>
  <c r="E141" i="148"/>
  <c r="E157" i="148"/>
  <c r="E202" i="148"/>
  <c r="K77" i="148"/>
  <c r="O93" i="148"/>
  <c r="G125" i="148"/>
  <c r="G141" i="148"/>
  <c r="G157" i="148"/>
  <c r="G202" i="148"/>
  <c r="E58" i="148"/>
  <c r="M77" i="148"/>
  <c r="E108" i="148"/>
  <c r="I125" i="148"/>
  <c r="I141" i="148"/>
  <c r="I157" i="148"/>
  <c r="I202" i="148"/>
  <c r="G58" i="148"/>
  <c r="O77" i="148"/>
  <c r="G108" i="148"/>
  <c r="K125" i="148"/>
  <c r="K141" i="148"/>
  <c r="K157" i="148"/>
  <c r="K202" i="148"/>
  <c r="M125" i="148"/>
  <c r="M141" i="148"/>
  <c r="M157" i="148"/>
  <c r="M202" i="148"/>
  <c r="O202" i="148"/>
  <c r="M58" i="148"/>
  <c r="O125" i="148"/>
  <c r="O141" i="148"/>
  <c r="O157" i="148"/>
  <c r="O58" i="148"/>
  <c r="B6" i="146"/>
  <c r="U120" i="153" l="1"/>
  <c r="X119" i="153"/>
  <c r="Q120" i="153" s="1"/>
  <c r="V120" i="153" s="1"/>
  <c r="T121" i="153"/>
  <c r="P122" i="153"/>
  <c r="R121" i="153"/>
  <c r="S121" i="153" s="1"/>
  <c r="C116" i="18"/>
  <c r="U121" i="153" l="1"/>
  <c r="R122" i="153"/>
  <c r="S122" i="153" s="1"/>
  <c r="P123" i="153"/>
  <c r="T122" i="153"/>
  <c r="W120" i="153"/>
  <c r="X120" i="153" s="1"/>
  <c r="Q121" i="153" s="1"/>
  <c r="V121" i="153" s="1"/>
  <c r="L49" i="147"/>
  <c r="M49" i="147"/>
  <c r="W121" i="153" l="1"/>
  <c r="X121" i="153" s="1"/>
  <c r="Q122" i="153" s="1"/>
  <c r="V122" i="153" s="1"/>
  <c r="U122" i="153"/>
  <c r="W122" i="153"/>
  <c r="R123" i="153"/>
  <c r="S123" i="153" s="1"/>
  <c r="P124" i="153"/>
  <c r="T123" i="153"/>
  <c r="F35" i="130"/>
  <c r="E7" i="147"/>
  <c r="M7" i="147"/>
  <c r="G51" i="147"/>
  <c r="U123" i="153" l="1"/>
  <c r="W123" i="153"/>
  <c r="P125" i="153"/>
  <c r="R124" i="153"/>
  <c r="S124" i="153" s="1"/>
  <c r="T124" i="153"/>
  <c r="X122" i="153"/>
  <c r="Q123" i="153" s="1"/>
  <c r="V123" i="153" s="1"/>
  <c r="O23" i="147"/>
  <c r="AI42" i="147"/>
  <c r="AM55" i="147" s="1"/>
  <c r="B7" i="147"/>
  <c r="AD79" i="147"/>
  <c r="AC79" i="147"/>
  <c r="AB79" i="147"/>
  <c r="AA79" i="147"/>
  <c r="Z79" i="147"/>
  <c r="Y79" i="147"/>
  <c r="X79" i="147"/>
  <c r="W79" i="147"/>
  <c r="V79" i="147"/>
  <c r="U79" i="147"/>
  <c r="T79" i="147"/>
  <c r="S79" i="147"/>
  <c r="R79" i="147"/>
  <c r="Q79" i="147"/>
  <c r="P79" i="147"/>
  <c r="O79" i="147"/>
  <c r="N79" i="147"/>
  <c r="M79" i="147"/>
  <c r="L79" i="147"/>
  <c r="K79" i="147"/>
  <c r="E17" i="147" s="1"/>
  <c r="I76" i="147"/>
  <c r="I75" i="147"/>
  <c r="I74" i="147"/>
  <c r="I73" i="147"/>
  <c r="I72" i="147"/>
  <c r="I71" i="147"/>
  <c r="I70" i="147"/>
  <c r="I69" i="147"/>
  <c r="I68" i="147"/>
  <c r="I67" i="147"/>
  <c r="I66" i="147"/>
  <c r="I65" i="147"/>
  <c r="I64" i="147"/>
  <c r="I63" i="147"/>
  <c r="I62" i="147"/>
  <c r="I61" i="147"/>
  <c r="I60" i="147"/>
  <c r="I59" i="147"/>
  <c r="I58" i="147"/>
  <c r="I57" i="147"/>
  <c r="AD49" i="147"/>
  <c r="AC49" i="147"/>
  <c r="AB49" i="147"/>
  <c r="AA49" i="147"/>
  <c r="Z49" i="147"/>
  <c r="Y49" i="147"/>
  <c r="X49" i="147"/>
  <c r="W49" i="147"/>
  <c r="V49" i="147"/>
  <c r="U49" i="147"/>
  <c r="T49" i="147"/>
  <c r="S49" i="147"/>
  <c r="R49" i="147"/>
  <c r="Q49" i="147"/>
  <c r="P49" i="147"/>
  <c r="O49" i="147"/>
  <c r="N49" i="147"/>
  <c r="K49" i="147"/>
  <c r="L38" i="147"/>
  <c r="AI45" i="147"/>
  <c r="AI43" i="147"/>
  <c r="W124" i="153" l="1"/>
  <c r="U124" i="153"/>
  <c r="T125" i="153"/>
  <c r="R125" i="153"/>
  <c r="S125" i="153" s="1"/>
  <c r="P126" i="153"/>
  <c r="X123" i="153"/>
  <c r="Q124" i="153" s="1"/>
  <c r="V124" i="153" s="1"/>
  <c r="Q53" i="147"/>
  <c r="Y53" i="147"/>
  <c r="L53" i="147"/>
  <c r="P53" i="147"/>
  <c r="X53" i="147"/>
  <c r="R53" i="147"/>
  <c r="Z53" i="147"/>
  <c r="T53" i="147"/>
  <c r="AB53" i="147"/>
  <c r="M53" i="147"/>
  <c r="U53" i="147"/>
  <c r="AC53" i="147"/>
  <c r="N53" i="147"/>
  <c r="V53" i="147"/>
  <c r="AD53" i="147"/>
  <c r="O53" i="147"/>
  <c r="W53" i="147"/>
  <c r="AL46" i="147"/>
  <c r="K53" i="147"/>
  <c r="S53" i="147"/>
  <c r="AA53" i="147"/>
  <c r="AM46" i="147"/>
  <c r="AM47" i="147"/>
  <c r="AL45" i="147"/>
  <c r="AL54" i="147"/>
  <c r="AM45" i="147"/>
  <c r="AL56" i="147"/>
  <c r="AK42" i="147"/>
  <c r="AK50" i="147" s="1"/>
  <c r="AL50" i="147"/>
  <c r="AL52" i="147"/>
  <c r="AM56" i="147"/>
  <c r="AL48" i="147"/>
  <c r="AM49" i="147"/>
  <c r="AM51" i="147"/>
  <c r="AL47" i="147"/>
  <c r="AM48" i="147"/>
  <c r="AM54" i="147"/>
  <c r="AM53" i="147"/>
  <c r="AL53" i="147"/>
  <c r="AL55" i="147"/>
  <c r="AN55" i="147" s="1"/>
  <c r="AL49" i="147"/>
  <c r="AM50" i="147"/>
  <c r="AL51" i="147"/>
  <c r="AM52" i="147"/>
  <c r="T126" i="153" l="1"/>
  <c r="R126" i="153"/>
  <c r="S126" i="153" s="1"/>
  <c r="P127" i="153"/>
  <c r="X124" i="153"/>
  <c r="Q125" i="153" s="1"/>
  <c r="V125" i="153" s="1"/>
  <c r="U125" i="153"/>
  <c r="V81" i="147"/>
  <c r="V80" i="147"/>
  <c r="R80" i="147"/>
  <c r="R81" i="147"/>
  <c r="X80" i="147"/>
  <c r="X81" i="147"/>
  <c r="AD81" i="147"/>
  <c r="AD80" i="147"/>
  <c r="AA81" i="147"/>
  <c r="AA80" i="147"/>
  <c r="S81" i="147"/>
  <c r="S80" i="147"/>
  <c r="AC80" i="147"/>
  <c r="AC81" i="147"/>
  <c r="P80" i="147"/>
  <c r="P81" i="147"/>
  <c r="O81" i="147"/>
  <c r="O80" i="147"/>
  <c r="T80" i="147"/>
  <c r="T81" i="147"/>
  <c r="U80" i="147"/>
  <c r="U81" i="147"/>
  <c r="L80" i="147"/>
  <c r="L81" i="147"/>
  <c r="M80" i="147"/>
  <c r="M81" i="147"/>
  <c r="Y81" i="147"/>
  <c r="Y80" i="147"/>
  <c r="Z80" i="147"/>
  <c r="Z81" i="147"/>
  <c r="N81" i="147"/>
  <c r="N80" i="147"/>
  <c r="W81" i="147"/>
  <c r="W80" i="147"/>
  <c r="AB80" i="147"/>
  <c r="AB81" i="147"/>
  <c r="Q81" i="147"/>
  <c r="Q80" i="147"/>
  <c r="K81" i="147"/>
  <c r="K80" i="147"/>
  <c r="AN52" i="147"/>
  <c r="AN46" i="147"/>
  <c r="AN50" i="147"/>
  <c r="AN47" i="147"/>
  <c r="AN45" i="147"/>
  <c r="AN54" i="147"/>
  <c r="AN51" i="147"/>
  <c r="AN53" i="147"/>
  <c r="AK55" i="147"/>
  <c r="AK47" i="147"/>
  <c r="AN56" i="147"/>
  <c r="AK53" i="147"/>
  <c r="AK56" i="147"/>
  <c r="AK45" i="147"/>
  <c r="AK54" i="147"/>
  <c r="AK48" i="147"/>
  <c r="AK51" i="147"/>
  <c r="AN49" i="147"/>
  <c r="AK52" i="147"/>
  <c r="AN48" i="147"/>
  <c r="AK49" i="147"/>
  <c r="W125" i="153" l="1"/>
  <c r="X125" i="153" s="1"/>
  <c r="Q126" i="153" s="1"/>
  <c r="V126" i="153" s="1"/>
  <c r="R127" i="153"/>
  <c r="S127" i="153" s="1"/>
  <c r="P128" i="153"/>
  <c r="T127" i="153"/>
  <c r="U126" i="153"/>
  <c r="W126" i="153"/>
  <c r="I80" i="147"/>
  <c r="I81" i="147"/>
  <c r="AO45" i="147"/>
  <c r="AI46" i="147" s="1"/>
  <c r="AN57" i="147"/>
  <c r="P129" i="153" l="1"/>
  <c r="T128" i="153"/>
  <c r="R128" i="153"/>
  <c r="S128" i="153" s="1"/>
  <c r="W127" i="153"/>
  <c r="U127" i="153"/>
  <c r="X126" i="153"/>
  <c r="Q127" i="153" s="1"/>
  <c r="V127" i="153" s="1"/>
  <c r="E20" i="147"/>
  <c r="E19" i="147"/>
  <c r="E21" i="147"/>
  <c r="K56" i="147"/>
  <c r="X127" i="153" l="1"/>
  <c r="Q128" i="153" s="1"/>
  <c r="V128" i="153" s="1"/>
  <c r="W128" i="153"/>
  <c r="U128" i="153"/>
  <c r="T129" i="153"/>
  <c r="P130" i="153"/>
  <c r="R129" i="153"/>
  <c r="S129" i="153" s="1"/>
  <c r="AD9" i="112"/>
  <c r="AD10" i="112"/>
  <c r="AD11" i="112"/>
  <c r="AD12" i="112"/>
  <c r="AD13" i="112"/>
  <c r="AD14" i="112"/>
  <c r="AD15" i="112"/>
  <c r="AD16" i="112"/>
  <c r="AD17" i="112"/>
  <c r="AD18" i="112"/>
  <c r="AD19" i="112"/>
  <c r="AD8" i="112"/>
  <c r="AC3" i="112"/>
  <c r="AE3" i="112" s="1"/>
  <c r="AC4" i="112"/>
  <c r="AE8" i="112" l="1"/>
  <c r="R130" i="153"/>
  <c r="S130" i="153" s="1"/>
  <c r="P131" i="153"/>
  <c r="T130" i="153"/>
  <c r="W129" i="153"/>
  <c r="U129" i="153"/>
  <c r="X128" i="153"/>
  <c r="Q129" i="153" s="1"/>
  <c r="V129" i="153" s="1"/>
  <c r="AF29" i="112"/>
  <c r="AF28" i="112"/>
  <c r="AF27" i="112"/>
  <c r="AG28" i="112"/>
  <c r="AF35" i="112"/>
  <c r="AG36" i="112"/>
  <c r="AF26" i="112"/>
  <c r="AG27" i="112"/>
  <c r="AF34" i="112"/>
  <c r="AG35" i="112"/>
  <c r="AF30" i="112"/>
  <c r="AF25" i="112"/>
  <c r="AG26" i="112"/>
  <c r="AF33" i="112"/>
  <c r="AG34" i="112"/>
  <c r="AG30" i="112"/>
  <c r="AG29" i="112"/>
  <c r="AG25" i="112"/>
  <c r="AF32" i="112"/>
  <c r="AG33" i="112"/>
  <c r="AG31" i="112"/>
  <c r="AF36" i="112"/>
  <c r="AF31" i="112"/>
  <c r="AG32" i="112"/>
  <c r="AG16" i="112"/>
  <c r="AG15" i="112"/>
  <c r="AG14" i="112"/>
  <c r="AG19" i="112"/>
  <c r="AG13" i="112"/>
  <c r="AG12" i="112"/>
  <c r="AG11" i="112"/>
  <c r="AG10" i="112"/>
  <c r="AG18" i="112"/>
  <c r="AG17" i="112"/>
  <c r="AG9" i="112"/>
  <c r="AG8" i="112"/>
  <c r="AF19" i="112"/>
  <c r="AF16" i="112"/>
  <c r="AF15" i="112"/>
  <c r="AF14" i="112"/>
  <c r="AF18" i="112"/>
  <c r="AF17" i="112"/>
  <c r="AF13" i="112"/>
  <c r="AF12" i="112"/>
  <c r="AF11" i="112"/>
  <c r="AF10" i="112"/>
  <c r="AF9" i="112"/>
  <c r="AF8" i="112"/>
  <c r="AE18" i="112"/>
  <c r="AE17" i="112"/>
  <c r="AE16" i="112"/>
  <c r="AE15" i="112"/>
  <c r="AE14" i="112"/>
  <c r="AE13" i="112"/>
  <c r="AE12" i="112"/>
  <c r="AE10" i="112"/>
  <c r="AE9" i="112"/>
  <c r="AE19" i="112"/>
  <c r="AE11" i="112"/>
  <c r="X129" i="153" l="1"/>
  <c r="Q130" i="153" s="1"/>
  <c r="V130" i="153" s="1"/>
  <c r="U130" i="153"/>
  <c r="W130" i="153"/>
  <c r="R131" i="153"/>
  <c r="S131" i="153" s="1"/>
  <c r="T131" i="153"/>
  <c r="P132" i="153"/>
  <c r="AH18" i="112"/>
  <c r="AH29" i="112"/>
  <c r="AH11" i="112"/>
  <c r="AH31" i="112"/>
  <c r="AH26" i="112"/>
  <c r="AH19" i="112"/>
  <c r="AH25" i="112"/>
  <c r="AH35" i="112"/>
  <c r="AH8" i="112"/>
  <c r="AH32" i="112"/>
  <c r="AH30" i="112"/>
  <c r="AH27" i="112"/>
  <c r="AH17" i="112"/>
  <c r="AH36" i="112"/>
  <c r="AH33" i="112"/>
  <c r="AH28" i="112"/>
  <c r="AH34" i="112"/>
  <c r="AH13" i="112"/>
  <c r="AH10" i="112"/>
  <c r="AH16" i="112"/>
  <c r="AH14" i="112"/>
  <c r="AH9" i="112"/>
  <c r="AH15" i="112"/>
  <c r="AH12" i="112"/>
  <c r="P133" i="153" l="1"/>
  <c r="R132" i="153"/>
  <c r="S132" i="153" s="1"/>
  <c r="T132" i="153"/>
  <c r="U131" i="153"/>
  <c r="X130" i="153"/>
  <c r="Q131" i="153" s="1"/>
  <c r="V131" i="153" s="1"/>
  <c r="AH37" i="112"/>
  <c r="AH20" i="112"/>
  <c r="W131" i="153" l="1"/>
  <c r="X131" i="153" s="1"/>
  <c r="Q132" i="153" s="1"/>
  <c r="V132" i="153" s="1"/>
  <c r="W132" i="153"/>
  <c r="U132" i="153"/>
  <c r="T133" i="153"/>
  <c r="R133" i="153"/>
  <c r="S133" i="153" s="1"/>
  <c r="P134" i="153"/>
  <c r="E7" i="130"/>
  <c r="X132" i="153" l="1"/>
  <c r="Q133" i="153" s="1"/>
  <c r="V133" i="153" s="1"/>
  <c r="W133" i="153"/>
  <c r="U133" i="153"/>
  <c r="T134" i="153"/>
  <c r="R134" i="153"/>
  <c r="S134" i="153" s="1"/>
  <c r="P135" i="153"/>
  <c r="J212" i="148"/>
  <c r="F195" i="148"/>
  <c r="N181" i="148"/>
  <c r="J174" i="148"/>
  <c r="F167" i="148"/>
  <c r="N134" i="148"/>
  <c r="J115" i="148"/>
  <c r="F99" i="148"/>
  <c r="N65" i="148"/>
  <c r="N67" i="148" s="1"/>
  <c r="J43" i="148"/>
  <c r="J45" i="148" s="1"/>
  <c r="H115" i="148"/>
  <c r="L65" i="148"/>
  <c r="L67" i="148" s="1"/>
  <c r="F212" i="148"/>
  <c r="J134" i="148"/>
  <c r="D212" i="148"/>
  <c r="D115" i="148"/>
  <c r="H212" i="148"/>
  <c r="D195" i="148"/>
  <c r="L181" i="148"/>
  <c r="H174" i="148"/>
  <c r="D167" i="148"/>
  <c r="L134" i="148"/>
  <c r="D99" i="148"/>
  <c r="H43" i="148"/>
  <c r="H45" i="148" s="1"/>
  <c r="N188" i="148"/>
  <c r="N84" i="148"/>
  <c r="D174" i="148"/>
  <c r="D43" i="148"/>
  <c r="D45" i="148" s="1"/>
  <c r="N195" i="148"/>
  <c r="J188" i="148"/>
  <c r="F181" i="148"/>
  <c r="N167" i="148"/>
  <c r="J150" i="148"/>
  <c r="F134" i="148"/>
  <c r="N99" i="148"/>
  <c r="J84" i="148"/>
  <c r="F65" i="148"/>
  <c r="F67" i="148" s="1"/>
  <c r="H84" i="148"/>
  <c r="N150" i="148"/>
  <c r="L188" i="148"/>
  <c r="L84" i="148"/>
  <c r="L195" i="148"/>
  <c r="H188" i="148"/>
  <c r="D181" i="148"/>
  <c r="L167" i="148"/>
  <c r="H150" i="148"/>
  <c r="D134" i="148"/>
  <c r="L99" i="148"/>
  <c r="D65" i="148"/>
  <c r="D67" i="148" s="1"/>
  <c r="F115" i="148"/>
  <c r="H181" i="148"/>
  <c r="H65" i="148"/>
  <c r="H67" i="148" s="1"/>
  <c r="N212" i="148"/>
  <c r="J195" i="148"/>
  <c r="F188" i="148"/>
  <c r="N174" i="148"/>
  <c r="J167" i="148"/>
  <c r="F150" i="148"/>
  <c r="N115" i="148"/>
  <c r="J99" i="148"/>
  <c r="F84" i="148"/>
  <c r="N43" i="148"/>
  <c r="N45" i="148" s="1"/>
  <c r="F174" i="148"/>
  <c r="J65" i="148"/>
  <c r="J67" i="148" s="1"/>
  <c r="H134" i="148"/>
  <c r="L212" i="148"/>
  <c r="H195" i="148"/>
  <c r="D188" i="148"/>
  <c r="L174" i="148"/>
  <c r="H167" i="148"/>
  <c r="D150" i="148"/>
  <c r="L115" i="148"/>
  <c r="H99" i="148"/>
  <c r="D84" i="148"/>
  <c r="L43" i="148"/>
  <c r="L45" i="148" s="1"/>
  <c r="J181" i="148"/>
  <c r="F43" i="148"/>
  <c r="F45" i="148" s="1"/>
  <c r="L150" i="148"/>
  <c r="R135" i="153" l="1"/>
  <c r="S135" i="153" s="1"/>
  <c r="P136" i="153"/>
  <c r="T135" i="153"/>
  <c r="U134" i="153"/>
  <c r="X133" i="153"/>
  <c r="Q134" i="153" s="1"/>
  <c r="V134" i="153" s="1"/>
  <c r="P34" i="112"/>
  <c r="W134" i="153" l="1"/>
  <c r="X134" i="153" s="1"/>
  <c r="Q135" i="153" s="1"/>
  <c r="V135" i="153" s="1"/>
  <c r="U135" i="153"/>
  <c r="P137" i="153"/>
  <c r="T136" i="153"/>
  <c r="R136" i="153"/>
  <c r="S136" i="153" s="1"/>
  <c r="K16" i="112"/>
  <c r="U136" i="153" l="1"/>
  <c r="T137" i="153"/>
  <c r="P138" i="153"/>
  <c r="R137" i="153"/>
  <c r="S137" i="153" s="1"/>
  <c r="W135" i="153"/>
  <c r="X135" i="153" s="1"/>
  <c r="Q136" i="153" s="1"/>
  <c r="V136" i="153" s="1"/>
  <c r="C7" i="130"/>
  <c r="G11" i="130" s="1"/>
  <c r="T138" i="153" l="1"/>
  <c r="R138" i="153"/>
  <c r="S138" i="153" s="1"/>
  <c r="P139" i="153"/>
  <c r="U137" i="153"/>
  <c r="W136" i="153"/>
  <c r="X136" i="153" s="1"/>
  <c r="Q137" i="153" s="1"/>
  <c r="V137" i="153" s="1"/>
  <c r="F33" i="112"/>
  <c r="F34" i="112"/>
  <c r="K34" i="112" s="1"/>
  <c r="D20" i="112"/>
  <c r="K20" i="112" s="1"/>
  <c r="P10" i="112" s="1"/>
  <c r="S10" i="112" s="1"/>
  <c r="W137" i="153" l="1"/>
  <c r="X137" i="153" s="1"/>
  <c r="Q138" i="153" s="1"/>
  <c r="V138" i="153" s="1"/>
  <c r="R139" i="153"/>
  <c r="S139" i="153" s="1"/>
  <c r="T139" i="153"/>
  <c r="P140" i="153"/>
  <c r="U138" i="153"/>
  <c r="K21" i="112"/>
  <c r="F35" i="112"/>
  <c r="W138" i="153" l="1"/>
  <c r="X138" i="153" s="1"/>
  <c r="Q139" i="153" s="1"/>
  <c r="V139" i="153" s="1"/>
  <c r="P141" i="153"/>
  <c r="R140" i="153"/>
  <c r="S140" i="153" s="1"/>
  <c r="T140" i="153"/>
  <c r="U139" i="153"/>
  <c r="W139" i="153"/>
  <c r="AC25" i="112"/>
  <c r="AC8" i="112"/>
  <c r="AI8" i="112" s="1"/>
  <c r="AC9" i="112" s="1"/>
  <c r="AZ256" i="125"/>
  <c r="AZ250" i="125"/>
  <c r="AZ244" i="125"/>
  <c r="AZ238" i="125"/>
  <c r="AZ232" i="125"/>
  <c r="AZ226" i="125"/>
  <c r="AZ220" i="125"/>
  <c r="AZ214" i="125"/>
  <c r="AZ208" i="125"/>
  <c r="AZ202" i="125"/>
  <c r="AZ196" i="125"/>
  <c r="AZ190" i="125"/>
  <c r="AZ184" i="125"/>
  <c r="AZ178" i="125"/>
  <c r="AZ172" i="125"/>
  <c r="AZ166" i="125"/>
  <c r="AZ160" i="125"/>
  <c r="AZ154" i="125"/>
  <c r="AZ148" i="125"/>
  <c r="T141" i="153" l="1"/>
  <c r="R141" i="153"/>
  <c r="S141" i="153" s="1"/>
  <c r="P142" i="153"/>
  <c r="U140" i="153"/>
  <c r="X139" i="153"/>
  <c r="Q140" i="153" s="1"/>
  <c r="V140" i="153" s="1"/>
  <c r="X14" i="137"/>
  <c r="Y14" i="137"/>
  <c r="X15" i="137"/>
  <c r="Y15" i="137"/>
  <c r="X16" i="137"/>
  <c r="Y16" i="137"/>
  <c r="X17" i="137"/>
  <c r="Y17" i="137"/>
  <c r="X18" i="137"/>
  <c r="Y18" i="137"/>
  <c r="X19" i="137"/>
  <c r="Y19" i="137"/>
  <c r="X20" i="137"/>
  <c r="Y20" i="137"/>
  <c r="X21" i="137"/>
  <c r="Y21" i="137"/>
  <c r="X22" i="137"/>
  <c r="Y22" i="137"/>
  <c r="X23" i="137"/>
  <c r="Y23" i="137"/>
  <c r="X24" i="137"/>
  <c r="Y24" i="137"/>
  <c r="X25" i="137"/>
  <c r="Y25" i="137"/>
  <c r="X26" i="137"/>
  <c r="Y26" i="137"/>
  <c r="X27" i="137"/>
  <c r="Y27" i="137"/>
  <c r="X28" i="137"/>
  <c r="Y28" i="137"/>
  <c r="X29" i="137"/>
  <c r="Y29" i="137"/>
  <c r="X30" i="137"/>
  <c r="Y30" i="137"/>
  <c r="X31" i="137"/>
  <c r="Y31" i="137"/>
  <c r="X32" i="137"/>
  <c r="Y32" i="137"/>
  <c r="X33" i="137"/>
  <c r="Y33" i="137"/>
  <c r="X34" i="137"/>
  <c r="Y34" i="137"/>
  <c r="X35" i="137"/>
  <c r="Y35" i="137"/>
  <c r="X36" i="137"/>
  <c r="Y36" i="137"/>
  <c r="X37" i="137"/>
  <c r="Y37" i="137"/>
  <c r="X38" i="137"/>
  <c r="Y38" i="137"/>
  <c r="X39" i="137"/>
  <c r="Y39" i="137"/>
  <c r="X40" i="137"/>
  <c r="Y40" i="137"/>
  <c r="X41" i="137"/>
  <c r="Y41" i="137"/>
  <c r="X42" i="137"/>
  <c r="Y42" i="137"/>
  <c r="X43" i="137"/>
  <c r="Y43" i="137"/>
  <c r="X44" i="137"/>
  <c r="Y44" i="137"/>
  <c r="X45" i="137"/>
  <c r="Y45" i="137"/>
  <c r="X46" i="137"/>
  <c r="Y46" i="137"/>
  <c r="X47" i="137"/>
  <c r="Y47" i="137"/>
  <c r="X48" i="137"/>
  <c r="Y48" i="137"/>
  <c r="X49" i="137"/>
  <c r="Y49" i="137"/>
  <c r="X50" i="137"/>
  <c r="Y50" i="137"/>
  <c r="X51" i="137"/>
  <c r="Y51" i="137"/>
  <c r="X52" i="137"/>
  <c r="Y52" i="137"/>
  <c r="X53" i="137"/>
  <c r="Y53" i="137"/>
  <c r="X54" i="137"/>
  <c r="Y54" i="137"/>
  <c r="X55" i="137"/>
  <c r="Y55" i="137"/>
  <c r="X56" i="137"/>
  <c r="Y56" i="137"/>
  <c r="X57" i="137"/>
  <c r="Y57" i="137"/>
  <c r="X58" i="137"/>
  <c r="Y58" i="137"/>
  <c r="X59" i="137"/>
  <c r="Y59" i="137"/>
  <c r="X60" i="137"/>
  <c r="Y60" i="137"/>
  <c r="X61" i="137"/>
  <c r="Y61" i="137"/>
  <c r="X62" i="137"/>
  <c r="Y62" i="137"/>
  <c r="X13" i="137"/>
  <c r="Y13" i="137"/>
  <c r="W23" i="112"/>
  <c r="A34" i="107"/>
  <c r="AE14" i="107"/>
  <c r="AF14" i="107"/>
  <c r="AE15" i="107"/>
  <c r="AF15" i="107"/>
  <c r="AE16" i="107"/>
  <c r="AF16" i="107"/>
  <c r="AE17" i="107"/>
  <c r="AF17" i="107"/>
  <c r="AE18" i="107"/>
  <c r="AF18" i="107"/>
  <c r="AE19" i="107"/>
  <c r="AF19" i="107"/>
  <c r="AE20" i="107"/>
  <c r="AF20" i="107"/>
  <c r="AE21" i="107"/>
  <c r="AF21" i="107"/>
  <c r="AE22" i="107"/>
  <c r="AF22" i="107"/>
  <c r="AE23" i="107"/>
  <c r="AF23" i="107"/>
  <c r="AE24" i="107"/>
  <c r="AF24" i="107"/>
  <c r="AE25" i="107"/>
  <c r="AF25" i="107"/>
  <c r="AE26" i="107"/>
  <c r="AF26" i="107"/>
  <c r="AE27" i="107"/>
  <c r="AF27" i="107"/>
  <c r="AE28" i="107"/>
  <c r="AF28" i="107"/>
  <c r="AE29" i="107"/>
  <c r="AF29" i="107"/>
  <c r="AE30" i="107"/>
  <c r="AF30" i="107"/>
  <c r="AE31" i="107"/>
  <c r="AF31" i="107"/>
  <c r="AE32" i="107"/>
  <c r="AF32" i="107"/>
  <c r="W140" i="153" l="1"/>
  <c r="X140" i="153" s="1"/>
  <c r="Q141" i="153" s="1"/>
  <c r="V141" i="153" s="1"/>
  <c r="T142" i="153"/>
  <c r="P143" i="153"/>
  <c r="R142" i="153"/>
  <c r="S142" i="153" s="1"/>
  <c r="W141" i="153"/>
  <c r="U141" i="153"/>
  <c r="AA13" i="137"/>
  <c r="AC13" i="137"/>
  <c r="AI9" i="112"/>
  <c r="AC10" i="112" s="1"/>
  <c r="X34" i="112"/>
  <c r="P144" i="153" l="1"/>
  <c r="R143" i="153"/>
  <c r="S143" i="153" s="1"/>
  <c r="T143" i="153"/>
  <c r="U142" i="153"/>
  <c r="W142" i="153"/>
  <c r="X141" i="153"/>
  <c r="Q142" i="153" s="1"/>
  <c r="V142" i="153" s="1"/>
  <c r="Q13" i="137"/>
  <c r="Q64" i="137" s="1"/>
  <c r="P13" i="137"/>
  <c r="V13" i="137"/>
  <c r="U13" i="137"/>
  <c r="Z13" i="137"/>
  <c r="AB13" i="137"/>
  <c r="AK46" i="147"/>
  <c r="AO46" i="147" s="1"/>
  <c r="AI47" i="147" s="1"/>
  <c r="AO47" i="147" s="1"/>
  <c r="AI48" i="147" s="1"/>
  <c r="AO48" i="147" s="1"/>
  <c r="AI49" i="147" s="1"/>
  <c r="AO49" i="147" s="1"/>
  <c r="AI50" i="147" s="1"/>
  <c r="K28" i="112"/>
  <c r="AI10" i="112"/>
  <c r="AC11" i="112" s="1"/>
  <c r="AD25" i="112"/>
  <c r="AE25" i="112" s="1"/>
  <c r="AI25" i="112" s="1"/>
  <c r="AD26" i="112"/>
  <c r="AE26" i="112" s="1"/>
  <c r="AD27" i="112"/>
  <c r="AE27" i="112" s="1"/>
  <c r="X142" i="153" l="1"/>
  <c r="Q143" i="153" s="1"/>
  <c r="V143" i="153" s="1"/>
  <c r="U143" i="153"/>
  <c r="T144" i="153"/>
  <c r="R144" i="153"/>
  <c r="S144" i="153" s="1"/>
  <c r="P145" i="153"/>
  <c r="AO50" i="147"/>
  <c r="AI51" i="147" s="1"/>
  <c r="AI11" i="112"/>
  <c r="AC12" i="112" s="1"/>
  <c r="AC26" i="112"/>
  <c r="P146" i="153" l="1"/>
  <c r="R145" i="153"/>
  <c r="S145" i="153" s="1"/>
  <c r="T145" i="153"/>
  <c r="U144" i="153"/>
  <c r="W143" i="153"/>
  <c r="X143" i="153" s="1"/>
  <c r="Q144" i="153" s="1"/>
  <c r="V144" i="153" s="1"/>
  <c r="AO51" i="147"/>
  <c r="AI52" i="147" s="1"/>
  <c r="AI12" i="112"/>
  <c r="AC13" i="112" s="1"/>
  <c r="AI26" i="112"/>
  <c r="AC27" i="112" s="1"/>
  <c r="X32" i="112"/>
  <c r="P349" i="125"/>
  <c r="AN349" i="125" s="1"/>
  <c r="AN350" i="125" s="1"/>
  <c r="W144" i="153" l="1"/>
  <c r="X144" i="153" s="1"/>
  <c r="Q145" i="153" s="1"/>
  <c r="V145" i="153" s="1"/>
  <c r="U145" i="153"/>
  <c r="T146" i="153"/>
  <c r="R146" i="153"/>
  <c r="S146" i="153" s="1"/>
  <c r="P147" i="153"/>
  <c r="AO52" i="147"/>
  <c r="AI53" i="147" s="1"/>
  <c r="AI13" i="112"/>
  <c r="AC14" i="112" s="1"/>
  <c r="AI27" i="112"/>
  <c r="AC28" i="112" s="1"/>
  <c r="AD30" i="112"/>
  <c r="AE30" i="112" s="1"/>
  <c r="AD31" i="112"/>
  <c r="AE31" i="112" s="1"/>
  <c r="AD32" i="112"/>
  <c r="AE32" i="112" s="1"/>
  <c r="AD33" i="112"/>
  <c r="AE33" i="112" s="1"/>
  <c r="AD34" i="112"/>
  <c r="AE34" i="112" s="1"/>
  <c r="AD36" i="112"/>
  <c r="AE36" i="112" s="1"/>
  <c r="AD29" i="112"/>
  <c r="AE29" i="112" s="1"/>
  <c r="AD35" i="112"/>
  <c r="AE35" i="112" s="1"/>
  <c r="AD28" i="112"/>
  <c r="AE28" i="112" s="1"/>
  <c r="P148" i="153" l="1"/>
  <c r="R147" i="153"/>
  <c r="S147" i="153" s="1"/>
  <c r="T147" i="153"/>
  <c r="W146" i="153"/>
  <c r="U146" i="153"/>
  <c r="W145" i="153"/>
  <c r="X145" i="153" s="1"/>
  <c r="Q146" i="153" s="1"/>
  <c r="V146" i="153" s="1"/>
  <c r="AO53" i="147"/>
  <c r="AI54" i="147" s="1"/>
  <c r="AI28" i="112"/>
  <c r="AC29" i="112" s="1"/>
  <c r="AI29" i="112" s="1"/>
  <c r="AI14" i="112"/>
  <c r="AC15" i="112" s="1"/>
  <c r="X146" i="153" l="1"/>
  <c r="Q147" i="153" s="1"/>
  <c r="V147" i="153" s="1"/>
  <c r="W147" i="153"/>
  <c r="U147" i="153"/>
  <c r="T148" i="153"/>
  <c r="R148" i="153"/>
  <c r="S148" i="153" s="1"/>
  <c r="P149" i="153"/>
  <c r="AO54" i="147"/>
  <c r="AI55" i="147" s="1"/>
  <c r="AI15" i="112"/>
  <c r="AC16" i="112" s="1"/>
  <c r="AC30" i="112"/>
  <c r="CF254" i="125"/>
  <c r="CF248" i="125"/>
  <c r="CF242" i="125"/>
  <c r="CF236" i="125"/>
  <c r="CF230" i="125"/>
  <c r="CF224" i="125"/>
  <c r="CF218" i="125"/>
  <c r="CF212" i="125"/>
  <c r="CF206" i="125"/>
  <c r="CF200" i="125"/>
  <c r="CF194" i="125"/>
  <c r="CF188" i="125"/>
  <c r="CF182" i="125"/>
  <c r="CF176" i="125"/>
  <c r="CF170" i="125"/>
  <c r="CF164" i="125"/>
  <c r="CF158" i="125"/>
  <c r="CF140" i="125"/>
  <c r="P150" i="153" l="1"/>
  <c r="R149" i="153"/>
  <c r="S149" i="153" s="1"/>
  <c r="T149" i="153"/>
  <c r="W148" i="153"/>
  <c r="U148" i="153"/>
  <c r="X147" i="153"/>
  <c r="Q148" i="153" s="1"/>
  <c r="V148" i="153" s="1"/>
  <c r="AO55" i="147"/>
  <c r="AI56" i="147" s="1"/>
  <c r="AI16" i="112"/>
  <c r="AC17" i="112" s="1"/>
  <c r="AI30" i="112"/>
  <c r="AC31" i="112" s="1"/>
  <c r="AZ255" i="125"/>
  <c r="AZ249" i="125"/>
  <c r="AZ243" i="125"/>
  <c r="AZ237" i="125"/>
  <c r="AZ231" i="125"/>
  <c r="AZ225" i="125"/>
  <c r="AZ219" i="125"/>
  <c r="AZ213" i="125"/>
  <c r="AZ207" i="125"/>
  <c r="AZ201" i="125"/>
  <c r="AZ195" i="125"/>
  <c r="AZ189" i="125"/>
  <c r="AZ183" i="125"/>
  <c r="AZ165" i="125"/>
  <c r="AZ159" i="125"/>
  <c r="AZ153" i="125"/>
  <c r="AZ147" i="125"/>
  <c r="P15" i="131"/>
  <c r="L15" i="131" s="1"/>
  <c r="U149" i="153" l="1"/>
  <c r="X148" i="153"/>
  <c r="Q149" i="153" s="1"/>
  <c r="V149" i="153" s="1"/>
  <c r="T150" i="153"/>
  <c r="R150" i="153"/>
  <c r="S150" i="153" s="1"/>
  <c r="P151" i="153"/>
  <c r="AO56" i="147"/>
  <c r="AI57" i="147" s="1"/>
  <c r="E49" i="147" s="1"/>
  <c r="AI17" i="112"/>
  <c r="AC18" i="112" s="1"/>
  <c r="AI31" i="112"/>
  <c r="AC32" i="112" s="1"/>
  <c r="AL12" i="136"/>
  <c r="AO12" i="136" s="1"/>
  <c r="U150" i="153" l="1"/>
  <c r="P152" i="153"/>
  <c r="R151" i="153"/>
  <c r="S151" i="153" s="1"/>
  <c r="T151" i="153"/>
  <c r="W149" i="153"/>
  <c r="X149" i="153" s="1"/>
  <c r="Q150" i="153" s="1"/>
  <c r="V150" i="153" s="1"/>
  <c r="AI18" i="112"/>
  <c r="AC19" i="112" s="1"/>
  <c r="AI32" i="112"/>
  <c r="AC33" i="112" s="1"/>
  <c r="W150" i="153" l="1"/>
  <c r="X150" i="153" s="1"/>
  <c r="Q151" i="153" s="1"/>
  <c r="V151" i="153" s="1"/>
  <c r="W151" i="153"/>
  <c r="U151" i="153"/>
  <c r="T152" i="153"/>
  <c r="P153" i="153"/>
  <c r="R152" i="153"/>
  <c r="S152" i="153" s="1"/>
  <c r="AI19" i="112"/>
  <c r="AC20" i="112" s="1"/>
  <c r="K26" i="112" s="1"/>
  <c r="AI33" i="112"/>
  <c r="AC34" i="112" s="1"/>
  <c r="P154" i="153" l="1"/>
  <c r="R153" i="153"/>
  <c r="S153" i="153" s="1"/>
  <c r="T153" i="153"/>
  <c r="U152" i="153"/>
  <c r="X151" i="153"/>
  <c r="Q152" i="153" s="1"/>
  <c r="V152" i="153" s="1"/>
  <c r="AI34" i="112"/>
  <c r="AC35" i="112" s="1"/>
  <c r="V62" i="137"/>
  <c r="V61" i="137"/>
  <c r="V60" i="137"/>
  <c r="V59" i="137"/>
  <c r="V58" i="137"/>
  <c r="V57" i="137"/>
  <c r="V56" i="137"/>
  <c r="V55" i="137"/>
  <c r="V54" i="137"/>
  <c r="V53" i="137"/>
  <c r="V52" i="137"/>
  <c r="V51" i="137"/>
  <c r="V50" i="137"/>
  <c r="V49" i="137"/>
  <c r="V48" i="137"/>
  <c r="V47" i="137"/>
  <c r="V46" i="137"/>
  <c r="V45" i="137"/>
  <c r="V44" i="137"/>
  <c r="V43" i="137"/>
  <c r="V42" i="137"/>
  <c r="V41" i="137"/>
  <c r="V40" i="137"/>
  <c r="V39" i="137"/>
  <c r="V38" i="137"/>
  <c r="V37" i="137"/>
  <c r="V36" i="137"/>
  <c r="V35" i="137"/>
  <c r="V34" i="137"/>
  <c r="V33" i="137"/>
  <c r="V32" i="137"/>
  <c r="V31" i="137"/>
  <c r="V30" i="137"/>
  <c r="V29" i="137"/>
  <c r="V28" i="137"/>
  <c r="V27" i="137"/>
  <c r="V26" i="137"/>
  <c r="V25" i="137"/>
  <c r="V24" i="137"/>
  <c r="V23" i="137"/>
  <c r="V22" i="137"/>
  <c r="V21" i="137"/>
  <c r="V20" i="137"/>
  <c r="V19" i="137"/>
  <c r="V18" i="137"/>
  <c r="V17" i="137"/>
  <c r="V16" i="137"/>
  <c r="V15" i="137"/>
  <c r="V14" i="137"/>
  <c r="W152" i="153" l="1"/>
  <c r="X152" i="153" s="1"/>
  <c r="Q153" i="153" s="1"/>
  <c r="V153" i="153" s="1"/>
  <c r="U153" i="153"/>
  <c r="W153" i="153"/>
  <c r="T154" i="153"/>
  <c r="R154" i="153"/>
  <c r="S154" i="153" s="1"/>
  <c r="P155" i="153"/>
  <c r="AI35" i="112"/>
  <c r="AC36" i="112" s="1"/>
  <c r="P156" i="153" l="1"/>
  <c r="R155" i="153"/>
  <c r="S155" i="153" s="1"/>
  <c r="T155" i="153"/>
  <c r="U154" i="153"/>
  <c r="W154" i="153"/>
  <c r="X153" i="153"/>
  <c r="Q154" i="153" s="1"/>
  <c r="V154" i="153" s="1"/>
  <c r="AI36" i="112"/>
  <c r="AC37" i="112" s="1"/>
  <c r="K29" i="112" s="1"/>
  <c r="K33" i="112" s="1"/>
  <c r="X154" i="153" l="1"/>
  <c r="Q155" i="153" s="1"/>
  <c r="V155" i="153" s="1"/>
  <c r="W155" i="153"/>
  <c r="U155" i="153"/>
  <c r="T156" i="153"/>
  <c r="P157" i="153"/>
  <c r="R156" i="153"/>
  <c r="S156" i="153" s="1"/>
  <c r="P33" i="112"/>
  <c r="H29" i="18"/>
  <c r="J29" i="18"/>
  <c r="L29" i="18"/>
  <c r="N29" i="18"/>
  <c r="P29" i="18"/>
  <c r="F29" i="18"/>
  <c r="U156" i="153" l="1"/>
  <c r="P158" i="153"/>
  <c r="R157" i="153"/>
  <c r="S157" i="153" s="1"/>
  <c r="T157" i="153"/>
  <c r="X155" i="153"/>
  <c r="Q156" i="153" s="1"/>
  <c r="V156" i="153" s="1"/>
  <c r="P14" i="112"/>
  <c r="P16" i="112"/>
  <c r="P8" i="18"/>
  <c r="N8" i="18"/>
  <c r="L8" i="18"/>
  <c r="J8" i="18"/>
  <c r="H8" i="18"/>
  <c r="F8" i="18"/>
  <c r="O9" i="18"/>
  <c r="P9" i="18" s="1"/>
  <c r="M9" i="18"/>
  <c r="N9" i="18" s="1"/>
  <c r="K9" i="18"/>
  <c r="L9" i="18" s="1"/>
  <c r="I9" i="18"/>
  <c r="J9" i="18" s="1"/>
  <c r="G9" i="18"/>
  <c r="H9" i="18" s="1"/>
  <c r="W156" i="153" l="1"/>
  <c r="X156" i="153" s="1"/>
  <c r="Q157" i="153" s="1"/>
  <c r="V157" i="153" s="1"/>
  <c r="U157" i="153"/>
  <c r="W157" i="153"/>
  <c r="T158" i="153"/>
  <c r="R158" i="153"/>
  <c r="S158" i="153" s="1"/>
  <c r="P159" i="153"/>
  <c r="AY40" i="125"/>
  <c r="BI40" i="125"/>
  <c r="AE40" i="125"/>
  <c r="U40" i="125"/>
  <c r="AO40" i="125"/>
  <c r="O57" i="18"/>
  <c r="M57" i="18"/>
  <c r="K57" i="18"/>
  <c r="I57" i="18"/>
  <c r="G57" i="18"/>
  <c r="E57" i="18"/>
  <c r="X157" i="153" l="1"/>
  <c r="Q158" i="153" s="1"/>
  <c r="V158" i="153" s="1"/>
  <c r="P160" i="153"/>
  <c r="R159" i="153"/>
  <c r="S159" i="153" s="1"/>
  <c r="T159" i="153"/>
  <c r="U158" i="153"/>
  <c r="W158" i="153"/>
  <c r="F9" i="18"/>
  <c r="K40" i="125"/>
  <c r="T160" i="153" l="1"/>
  <c r="P161" i="153"/>
  <c r="R160" i="153"/>
  <c r="S160" i="153" s="1"/>
  <c r="X158" i="153"/>
  <c r="Q159" i="153" s="1"/>
  <c r="V159" i="153" s="1"/>
  <c r="W159" i="153"/>
  <c r="U159" i="153"/>
  <c r="O63" i="136"/>
  <c r="N63" i="136"/>
  <c r="M63" i="136"/>
  <c r="C63" i="136"/>
  <c r="X159" i="153" l="1"/>
  <c r="Q160" i="153" s="1"/>
  <c r="V160" i="153" s="1"/>
  <c r="P162" i="153"/>
  <c r="R161" i="153"/>
  <c r="S161" i="153" s="1"/>
  <c r="T161" i="153"/>
  <c r="W160" i="153"/>
  <c r="U160" i="153"/>
  <c r="D134" i="134"/>
  <c r="E134" i="134" s="1"/>
  <c r="D135" i="134"/>
  <c r="D136" i="134"/>
  <c r="E136" i="134" s="1"/>
  <c r="B20" i="135"/>
  <c r="B21" i="135"/>
  <c r="B22" i="135"/>
  <c r="B23" i="135"/>
  <c r="B24" i="135"/>
  <c r="B25" i="135"/>
  <c r="B26" i="135"/>
  <c r="B27" i="135"/>
  <c r="B28" i="135"/>
  <c r="B29" i="135"/>
  <c r="B30" i="135"/>
  <c r="B31" i="135"/>
  <c r="B32" i="135"/>
  <c r="B33" i="135"/>
  <c r="B34" i="135"/>
  <c r="B35" i="135"/>
  <c r="B36" i="135"/>
  <c r="B37" i="135"/>
  <c r="B38" i="135"/>
  <c r="B39" i="135"/>
  <c r="D4" i="135"/>
  <c r="J40" i="125" s="1"/>
  <c r="D6" i="135"/>
  <c r="T40" i="125" s="1"/>
  <c r="D8" i="135"/>
  <c r="AD40" i="125" s="1"/>
  <c r="D10" i="135"/>
  <c r="AN40" i="125" s="1"/>
  <c r="D12" i="135"/>
  <c r="AX40" i="125" s="1"/>
  <c r="D14" i="135"/>
  <c r="BH40" i="125" s="1"/>
  <c r="D5" i="135"/>
  <c r="D7" i="135"/>
  <c r="D9" i="135"/>
  <c r="D11" i="135"/>
  <c r="D13" i="135"/>
  <c r="D15" i="135"/>
  <c r="U161" i="153" l="1"/>
  <c r="T162" i="153"/>
  <c r="R162" i="153"/>
  <c r="S162" i="153" s="1"/>
  <c r="P163" i="153"/>
  <c r="X160" i="153"/>
  <c r="Q161" i="153" s="1"/>
  <c r="V161" i="153" s="1"/>
  <c r="X46" i="134"/>
  <c r="E135" i="134"/>
  <c r="Y46" i="134" s="1"/>
  <c r="AD65" i="134"/>
  <c r="AE65" i="134"/>
  <c r="D17" i="135"/>
  <c r="M6" i="150" s="1" a="1"/>
  <c r="M6" i="150" s="1"/>
  <c r="B17" i="135" a="1"/>
  <c r="B17" i="135" s="1"/>
  <c r="D64" i="137"/>
  <c r="W161" i="153" l="1"/>
  <c r="X161" i="153" s="1"/>
  <c r="Q162" i="153" s="1"/>
  <c r="V162" i="153" s="1"/>
  <c r="U162" i="153"/>
  <c r="W162" i="153" s="1"/>
  <c r="P164" i="153"/>
  <c r="R163" i="153"/>
  <c r="S163" i="153" s="1"/>
  <c r="T163" i="153"/>
  <c r="J20" i="135"/>
  <c r="J21" i="135"/>
  <c r="J22" i="135"/>
  <c r="J23" i="135"/>
  <c r="J24" i="135"/>
  <c r="J25" i="135"/>
  <c r="J26" i="135"/>
  <c r="J27" i="135"/>
  <c r="J28" i="135"/>
  <c r="J29" i="135"/>
  <c r="J30" i="135"/>
  <c r="J31" i="135"/>
  <c r="J32" i="135"/>
  <c r="J33" i="135"/>
  <c r="J34" i="135"/>
  <c r="J35" i="135"/>
  <c r="J36" i="135"/>
  <c r="J37" i="135"/>
  <c r="J38" i="135"/>
  <c r="J39" i="135"/>
  <c r="X29" i="134"/>
  <c r="X162" i="153" l="1"/>
  <c r="Q163" i="153" s="1"/>
  <c r="V163" i="153" s="1"/>
  <c r="U163" i="153"/>
  <c r="W163" i="153"/>
  <c r="T164" i="153"/>
  <c r="R164" i="153"/>
  <c r="S164" i="153" s="1"/>
  <c r="P165" i="153"/>
  <c r="S29" i="134"/>
  <c r="AM98" i="134" s="1"/>
  <c r="P29" i="134"/>
  <c r="AJ98" i="134" s="1"/>
  <c r="M29" i="134"/>
  <c r="AG98" i="134" s="1"/>
  <c r="J29" i="134"/>
  <c r="AD98" i="134" s="1"/>
  <c r="G29" i="134"/>
  <c r="AA98" i="134" s="1"/>
  <c r="D29" i="134"/>
  <c r="J25" i="134"/>
  <c r="AD77" i="134" s="1"/>
  <c r="G25" i="134"/>
  <c r="AA77" i="134" s="1"/>
  <c r="D25" i="134"/>
  <c r="S25" i="134"/>
  <c r="P25" i="134"/>
  <c r="M25" i="134"/>
  <c r="AG79" i="134"/>
  <c r="AG83" i="134" s="1"/>
  <c r="AJ79" i="134"/>
  <c r="AJ83" i="134" s="1"/>
  <c r="AM79" i="134"/>
  <c r="AM83" i="134" s="1"/>
  <c r="AD79" i="134"/>
  <c r="AA79" i="134"/>
  <c r="X79" i="134"/>
  <c r="AD60" i="134"/>
  <c r="AM60" i="134"/>
  <c r="AM64" i="134" s="1"/>
  <c r="AJ60" i="134"/>
  <c r="AJ64" i="134" s="1"/>
  <c r="AG60" i="134"/>
  <c r="AG64" i="134" s="1"/>
  <c r="AA60" i="134"/>
  <c r="X60" i="134"/>
  <c r="AD58" i="134"/>
  <c r="V64" i="137"/>
  <c r="P166" i="153" l="1"/>
  <c r="R165" i="153"/>
  <c r="S165" i="153" s="1"/>
  <c r="T165" i="153"/>
  <c r="W164" i="153"/>
  <c r="U164" i="153"/>
  <c r="X163" i="153"/>
  <c r="Q164" i="153" s="1"/>
  <c r="V164" i="153" s="1"/>
  <c r="AA58" i="134"/>
  <c r="E132" i="134"/>
  <c r="Y45" i="134" s="1"/>
  <c r="AE62" i="134"/>
  <c r="AE76" i="134" l="1"/>
  <c r="AN76" i="134"/>
  <c r="Y76" i="134"/>
  <c r="AH76" i="134"/>
  <c r="AB76" i="134"/>
  <c r="AK76" i="134"/>
  <c r="AE57" i="134"/>
  <c r="AB57" i="134"/>
  <c r="AB61" i="134" s="1"/>
  <c r="AB65" i="134" s="1"/>
  <c r="Y57" i="134"/>
  <c r="Y61" i="134" s="1"/>
  <c r="AN57" i="134"/>
  <c r="AK57" i="134"/>
  <c r="AH57" i="134"/>
  <c r="X164" i="153"/>
  <c r="Q165" i="153" s="1"/>
  <c r="V165" i="153" s="1"/>
  <c r="U165" i="153"/>
  <c r="T166" i="153"/>
  <c r="P167" i="153"/>
  <c r="R166" i="153"/>
  <c r="S166" i="153" s="1"/>
  <c r="Y44" i="134"/>
  <c r="E141" i="134" s="1"/>
  <c r="P14" i="134"/>
  <c r="M14" i="134"/>
  <c r="J14" i="134"/>
  <c r="G14" i="134"/>
  <c r="S14" i="134"/>
  <c r="D14" i="134"/>
  <c r="G10" i="132"/>
  <c r="U166" i="153" l="1"/>
  <c r="P168" i="153"/>
  <c r="R167" i="153"/>
  <c r="S167" i="153" s="1"/>
  <c r="T167" i="153"/>
  <c r="W165" i="153"/>
  <c r="X165" i="153" s="1"/>
  <c r="Q166" i="153" s="1"/>
  <c r="V166" i="153" s="1"/>
  <c r="AB80" i="134"/>
  <c r="AB81" i="134" s="1"/>
  <c r="AB84" i="134"/>
  <c r="AB85" i="134" s="1"/>
  <c r="Y80" i="134"/>
  <c r="Y81" i="134" s="1"/>
  <c r="Y84" i="134"/>
  <c r="Y85" i="134" s="1"/>
  <c r="AB87" i="134"/>
  <c r="AE87" i="134"/>
  <c r="AE80" i="134"/>
  <c r="AB62" i="134"/>
  <c r="Y87" i="134"/>
  <c r="E144" i="134"/>
  <c r="Y65" i="134"/>
  <c r="Y62" i="134"/>
  <c r="AH100" i="134"/>
  <c r="D84" i="123"/>
  <c r="U167" i="153" l="1"/>
  <c r="W166" i="153"/>
  <c r="X166" i="153" s="1"/>
  <c r="Q167" i="153" s="1"/>
  <c r="V167" i="153" s="1"/>
  <c r="T168" i="153"/>
  <c r="R168" i="153"/>
  <c r="S168" i="153" s="1"/>
  <c r="P169" i="153"/>
  <c r="AE81" i="134"/>
  <c r="AN100" i="134"/>
  <c r="AK100" i="134"/>
  <c r="AE100" i="134"/>
  <c r="AB100" i="134"/>
  <c r="CE254" i="125"/>
  <c r="CE248" i="125"/>
  <c r="CE242" i="125"/>
  <c r="CE236" i="125"/>
  <c r="CE230" i="125"/>
  <c r="CE224" i="125"/>
  <c r="CE218" i="125"/>
  <c r="CE212" i="125"/>
  <c r="CE206" i="125"/>
  <c r="CE200" i="125"/>
  <c r="CE194" i="125"/>
  <c r="CE188" i="125"/>
  <c r="CE182" i="125"/>
  <c r="CE176" i="125"/>
  <c r="CE170" i="125"/>
  <c r="CE164" i="125"/>
  <c r="CE158" i="125"/>
  <c r="AZ141" i="125"/>
  <c r="S114" i="125"/>
  <c r="Y100" i="134" l="1"/>
  <c r="P170" i="153"/>
  <c r="R169" i="153"/>
  <c r="S169" i="153" s="1"/>
  <c r="T169" i="153"/>
  <c r="W167" i="153"/>
  <c r="X167" i="153" s="1"/>
  <c r="U168" i="153"/>
  <c r="AZ177" i="125"/>
  <c r="AZ171" i="125"/>
  <c r="O76" i="18"/>
  <c r="M76" i="18"/>
  <c r="K76" i="18"/>
  <c r="I76" i="18"/>
  <c r="G76" i="18"/>
  <c r="E76" i="18"/>
  <c r="O66" i="18"/>
  <c r="M66" i="18"/>
  <c r="K66" i="18"/>
  <c r="I66" i="18"/>
  <c r="G66" i="18"/>
  <c r="E66" i="18"/>
  <c r="O18" i="18"/>
  <c r="P18" i="18" s="1"/>
  <c r="M18" i="18"/>
  <c r="N18" i="18" s="1"/>
  <c r="K18" i="18"/>
  <c r="L18" i="18" s="1"/>
  <c r="I18" i="18"/>
  <c r="J18" i="18" s="1"/>
  <c r="G18" i="18"/>
  <c r="H18" i="18" s="1"/>
  <c r="E18" i="18"/>
  <c r="O28" i="18"/>
  <c r="M28" i="18"/>
  <c r="K28" i="18"/>
  <c r="I28" i="18"/>
  <c r="G28" i="18"/>
  <c r="E28" i="18"/>
  <c r="AJ255" i="125"/>
  <c r="AJ249" i="125"/>
  <c r="AJ243" i="125"/>
  <c r="AJ237" i="125"/>
  <c r="AJ231" i="125"/>
  <c r="AJ225" i="125"/>
  <c r="AJ219" i="125"/>
  <c r="AJ213" i="125"/>
  <c r="AJ207" i="125"/>
  <c r="AJ201" i="125"/>
  <c r="AJ195" i="125"/>
  <c r="AJ189" i="125"/>
  <c r="AJ183" i="125"/>
  <c r="AJ177" i="125"/>
  <c r="AJ171" i="125"/>
  <c r="AJ165" i="125"/>
  <c r="AJ159" i="125"/>
  <c r="AJ153" i="125"/>
  <c r="AJ147" i="125"/>
  <c r="AJ141" i="125"/>
  <c r="AI141" i="125"/>
  <c r="J43" i="128" a="1"/>
  <c r="J43" i="128" s="1"/>
  <c r="H43" i="128" a="1"/>
  <c r="H43" i="128" s="1"/>
  <c r="D43" i="128" a="1"/>
  <c r="D43" i="128" s="1"/>
  <c r="AB112" i="125"/>
  <c r="AB111" i="125"/>
  <c r="AB110" i="125"/>
  <c r="AB109" i="125"/>
  <c r="AB108" i="125"/>
  <c r="AB107" i="125"/>
  <c r="AB106" i="125"/>
  <c r="AB105" i="125"/>
  <c r="AB104" i="125"/>
  <c r="AB103" i="125"/>
  <c r="F18" i="18" l="1"/>
  <c r="F100" i="18"/>
  <c r="Q168" i="153"/>
  <c r="V168" i="153" s="1"/>
  <c r="W168" i="153" s="1"/>
  <c r="U169" i="153"/>
  <c r="W169" i="153"/>
  <c r="T170" i="153"/>
  <c r="P171" i="153"/>
  <c r="R170" i="153"/>
  <c r="S170" i="153" s="1"/>
  <c r="O33" i="18"/>
  <c r="O32" i="18"/>
  <c r="M33" i="18"/>
  <c r="M32" i="18"/>
  <c r="K33" i="18"/>
  <c r="K32" i="18"/>
  <c r="I33" i="18"/>
  <c r="I32" i="18"/>
  <c r="G33" i="18"/>
  <c r="G32" i="18"/>
  <c r="O31" i="18"/>
  <c r="M31" i="18"/>
  <c r="K31" i="18"/>
  <c r="I31" i="18"/>
  <c r="G31" i="18"/>
  <c r="E31" i="18"/>
  <c r="E33" i="18"/>
  <c r="E32" i="18"/>
  <c r="O73" i="18"/>
  <c r="O72" i="18"/>
  <c r="M73" i="18"/>
  <c r="M72" i="18"/>
  <c r="K73" i="18"/>
  <c r="K72" i="18"/>
  <c r="I73" i="18"/>
  <c r="I72" i="18"/>
  <c r="G73" i="18"/>
  <c r="G72" i="18"/>
  <c r="E73" i="18"/>
  <c r="E72" i="18"/>
  <c r="E2" i="129" a="1"/>
  <c r="E2" i="129" s="1"/>
  <c r="O25" i="18"/>
  <c r="M25" i="18"/>
  <c r="K25" i="18"/>
  <c r="I25" i="18"/>
  <c r="G25" i="18"/>
  <c r="E25" i="18"/>
  <c r="O24" i="18"/>
  <c r="M24" i="18"/>
  <c r="K24" i="18"/>
  <c r="I24" i="18"/>
  <c r="G24" i="18"/>
  <c r="E24" i="18"/>
  <c r="L24" i="131"/>
  <c r="L25" i="131"/>
  <c r="X168" i="153" l="1"/>
  <c r="Q169" i="153" s="1"/>
  <c r="V169" i="153" s="1"/>
  <c r="P172" i="153"/>
  <c r="R171" i="153"/>
  <c r="S171" i="153" s="1"/>
  <c r="T171" i="153"/>
  <c r="W170" i="153"/>
  <c r="U170" i="153"/>
  <c r="F33" i="18"/>
  <c r="F24" i="18" s="1"/>
  <c r="F32" i="18"/>
  <c r="H32" i="18"/>
  <c r="H33" i="18"/>
  <c r="H24" i="18" s="1"/>
  <c r="P32" i="18"/>
  <c r="P25" i="18" s="1"/>
  <c r="P33" i="18"/>
  <c r="P24" i="18" s="1"/>
  <c r="N32" i="18"/>
  <c r="N33" i="18"/>
  <c r="N24" i="18" s="1"/>
  <c r="L32" i="18"/>
  <c r="L25" i="18" s="1"/>
  <c r="L33" i="18"/>
  <c r="L24" i="18" s="1"/>
  <c r="J32" i="18"/>
  <c r="J33" i="18"/>
  <c r="J24" i="18" s="1"/>
  <c r="X169" i="153" l="1"/>
  <c r="Q170" i="153" s="1"/>
  <c r="V170" i="153" s="1"/>
  <c r="U171" i="153"/>
  <c r="T172" i="153"/>
  <c r="R172" i="153"/>
  <c r="S172" i="153" s="1"/>
  <c r="P173" i="153"/>
  <c r="N25" i="18"/>
  <c r="J25" i="18"/>
  <c r="H25" i="18"/>
  <c r="F25" i="18"/>
  <c r="X170" i="153" l="1"/>
  <c r="Q171" i="153" s="1"/>
  <c r="V171" i="153" s="1"/>
  <c r="W171" i="153" s="1"/>
  <c r="P174" i="153"/>
  <c r="R173" i="153"/>
  <c r="S173" i="153" s="1"/>
  <c r="T173" i="153"/>
  <c r="W172" i="153"/>
  <c r="U172" i="153"/>
  <c r="BB69" i="129"/>
  <c r="BB70" i="129"/>
  <c r="BB71" i="129"/>
  <c r="BB72" i="129"/>
  <c r="BB73" i="129"/>
  <c r="BB74" i="129"/>
  <c r="BB75" i="129"/>
  <c r="BB76" i="129"/>
  <c r="BB77" i="129"/>
  <c r="BB78" i="129"/>
  <c r="BB79" i="129"/>
  <c r="BB80" i="129"/>
  <c r="X171" i="153" l="1"/>
  <c r="Q172" i="153" s="1"/>
  <c r="V172" i="153" s="1"/>
  <c r="U173" i="153"/>
  <c r="T174" i="153"/>
  <c r="P175" i="153"/>
  <c r="R174" i="153"/>
  <c r="S174" i="153" s="1"/>
  <c r="AH141" i="125"/>
  <c r="X172" i="153" l="1"/>
  <c r="Q173" i="153" s="1"/>
  <c r="V173" i="153" s="1"/>
  <c r="W173" i="153" s="1"/>
  <c r="P176" i="153"/>
  <c r="R175" i="153"/>
  <c r="S175" i="153" s="1"/>
  <c r="T175" i="153"/>
  <c r="U174" i="153"/>
  <c r="P18" i="131"/>
  <c r="L18" i="131" s="1"/>
  <c r="P17" i="131"/>
  <c r="X173" i="153" l="1"/>
  <c r="Q174" i="153" s="1"/>
  <c r="V174" i="153" s="1"/>
  <c r="U175" i="153"/>
  <c r="W174" i="153"/>
  <c r="T176" i="153"/>
  <c r="R176" i="153"/>
  <c r="S176" i="153" s="1"/>
  <c r="P177" i="153"/>
  <c r="C19" i="112"/>
  <c r="X174" i="153" l="1"/>
  <c r="Q175" i="153" s="1"/>
  <c r="V175" i="153" s="1"/>
  <c r="W175" i="153" s="1"/>
  <c r="P178" i="153"/>
  <c r="R177" i="153"/>
  <c r="S177" i="153" s="1"/>
  <c r="T177" i="153"/>
  <c r="W176" i="153"/>
  <c r="U176" i="153"/>
  <c r="I13" i="110"/>
  <c r="I12" i="110"/>
  <c r="I11" i="110"/>
  <c r="I10" i="110"/>
  <c r="I9" i="110"/>
  <c r="I8" i="110"/>
  <c r="AS35" i="107"/>
  <c r="AQ35" i="107"/>
  <c r="AO35" i="107"/>
  <c r="AM35" i="107"/>
  <c r="AK35" i="107"/>
  <c r="AI35" i="107"/>
  <c r="X175" i="153" l="1"/>
  <c r="Q176" i="153" s="1"/>
  <c r="V176" i="153" s="1"/>
  <c r="U177" i="153"/>
  <c r="W177" i="153"/>
  <c r="T178" i="153"/>
  <c r="R178" i="153"/>
  <c r="S178" i="153" s="1"/>
  <c r="P179" i="153"/>
  <c r="AE57" i="125"/>
  <c r="K57" i="125"/>
  <c r="AY57" i="125"/>
  <c r="U57" i="125"/>
  <c r="AO57" i="125"/>
  <c r="BI57" i="125"/>
  <c r="X176" i="153" l="1"/>
  <c r="Q177" i="153" s="1"/>
  <c r="V177" i="153" s="1"/>
  <c r="W178" i="153"/>
  <c r="U178" i="153"/>
  <c r="P180" i="153"/>
  <c r="R179" i="153"/>
  <c r="S179" i="153" s="1"/>
  <c r="T179" i="153"/>
  <c r="E3" i="129" a="1"/>
  <c r="E3" i="129" s="1"/>
  <c r="E4" i="129" a="1"/>
  <c r="E4" i="129" s="1"/>
  <c r="E5" i="129" a="1"/>
  <c r="E5" i="129" s="1"/>
  <c r="E6" i="129" a="1"/>
  <c r="E6" i="129" s="1"/>
  <c r="E7" i="129" a="1"/>
  <c r="E7" i="129" s="1"/>
  <c r="E8" i="129" a="1"/>
  <c r="E8" i="129" s="1"/>
  <c r="E9" i="129" a="1"/>
  <c r="E9" i="129" s="1"/>
  <c r="E10" i="129" a="1"/>
  <c r="E10" i="129" s="1"/>
  <c r="E11" i="129" a="1"/>
  <c r="E11" i="129" s="1"/>
  <c r="E12" i="129" a="1"/>
  <c r="E12" i="129" s="1"/>
  <c r="E13" i="129" a="1"/>
  <c r="E13" i="129" s="1"/>
  <c r="E14" i="129" a="1"/>
  <c r="E14" i="129" s="1"/>
  <c r="E15" i="129" a="1"/>
  <c r="E15" i="129" s="1"/>
  <c r="E16" i="129" a="1"/>
  <c r="E16" i="129" s="1"/>
  <c r="E17" i="129" a="1"/>
  <c r="E17" i="129" s="1"/>
  <c r="E18" i="129" a="1"/>
  <c r="E18" i="129" s="1"/>
  <c r="E19" i="129" a="1"/>
  <c r="E19" i="129" s="1"/>
  <c r="E20" i="129" a="1"/>
  <c r="E20" i="129" s="1"/>
  <c r="E21" i="129" a="1"/>
  <c r="E21" i="129" s="1"/>
  <c r="E22" i="129" a="1"/>
  <c r="E22" i="129" s="1"/>
  <c r="E23" i="129" a="1"/>
  <c r="E23" i="129" s="1"/>
  <c r="E24" i="129" a="1"/>
  <c r="E24" i="129" s="1"/>
  <c r="E25" i="129" a="1"/>
  <c r="E25" i="129" s="1"/>
  <c r="E26" i="129" a="1"/>
  <c r="E26" i="129" s="1"/>
  <c r="E27" i="129" a="1"/>
  <c r="E27" i="129" s="1"/>
  <c r="E28" i="129" a="1"/>
  <c r="E28" i="129" s="1"/>
  <c r="E29" i="129" a="1"/>
  <c r="E29" i="129" s="1"/>
  <c r="E30" i="129" a="1"/>
  <c r="E30" i="129" s="1"/>
  <c r="E31" i="129" a="1"/>
  <c r="E31" i="129" s="1"/>
  <c r="E32" i="129" a="1"/>
  <c r="E32" i="129" s="1"/>
  <c r="E33" i="129" a="1"/>
  <c r="E33" i="129" s="1"/>
  <c r="E34" i="129" a="1"/>
  <c r="E34" i="129" s="1"/>
  <c r="E35" i="129" a="1"/>
  <c r="E35" i="129" s="1"/>
  <c r="E36" i="129" a="1"/>
  <c r="E36" i="129" s="1"/>
  <c r="E37" i="129" a="1"/>
  <c r="E37" i="129" s="1"/>
  <c r="E38" i="129" a="1"/>
  <c r="E38" i="129" s="1"/>
  <c r="E39" i="129" a="1"/>
  <c r="E39" i="129" s="1"/>
  <c r="E40" i="129" a="1"/>
  <c r="E40" i="129" s="1"/>
  <c r="E41" i="129" a="1"/>
  <c r="E41" i="129" s="1"/>
  <c r="E42" i="129" a="1"/>
  <c r="E42" i="129" s="1"/>
  <c r="E43" i="129" a="1"/>
  <c r="E43" i="129" s="1"/>
  <c r="E44" i="129" a="1"/>
  <c r="E44" i="129" s="1"/>
  <c r="E45" i="129" a="1"/>
  <c r="E45" i="129" s="1"/>
  <c r="E46" i="129" a="1"/>
  <c r="E46" i="129" s="1"/>
  <c r="E47" i="129" a="1"/>
  <c r="E47" i="129" s="1"/>
  <c r="E48" i="129" a="1"/>
  <c r="E48" i="129" s="1"/>
  <c r="E49" i="129" a="1"/>
  <c r="E49" i="129" s="1"/>
  <c r="E50" i="129" a="1"/>
  <c r="E50" i="129" s="1"/>
  <c r="E51" i="129" a="1"/>
  <c r="E51" i="129" s="1"/>
  <c r="E52" i="129" a="1"/>
  <c r="E52" i="129" s="1"/>
  <c r="E53" i="129" a="1"/>
  <c r="E53" i="129" s="1"/>
  <c r="E54" i="129" a="1"/>
  <c r="E54" i="129" s="1"/>
  <c r="E55" i="129" a="1"/>
  <c r="E55" i="129" s="1"/>
  <c r="E56" i="129" a="1"/>
  <c r="E56" i="129" s="1"/>
  <c r="E57" i="129" a="1"/>
  <c r="E57" i="129" s="1"/>
  <c r="E58" i="129" a="1"/>
  <c r="E58" i="129" s="1"/>
  <c r="E59" i="129" a="1"/>
  <c r="E59" i="129" s="1"/>
  <c r="E60" i="129" a="1"/>
  <c r="E60" i="129" s="1"/>
  <c r="E61" i="129" a="1"/>
  <c r="E61" i="129" s="1"/>
  <c r="O75" i="18"/>
  <c r="M75" i="18"/>
  <c r="K75" i="18"/>
  <c r="I75" i="18"/>
  <c r="G75" i="18"/>
  <c r="E75" i="18"/>
  <c r="O74" i="18"/>
  <c r="M74" i="18"/>
  <c r="K74" i="18"/>
  <c r="I74" i="18"/>
  <c r="G74" i="18"/>
  <c r="E74" i="18"/>
  <c r="O71" i="18"/>
  <c r="M71" i="18"/>
  <c r="K71" i="18"/>
  <c r="I71" i="18"/>
  <c r="G71" i="18"/>
  <c r="E71" i="18"/>
  <c r="O70" i="18"/>
  <c r="M70" i="18"/>
  <c r="K70" i="18"/>
  <c r="I70" i="18"/>
  <c r="G70" i="18"/>
  <c r="E70" i="18"/>
  <c r="O69" i="18"/>
  <c r="M69" i="18"/>
  <c r="K69" i="18"/>
  <c r="I69" i="18"/>
  <c r="G69" i="18"/>
  <c r="E69" i="18"/>
  <c r="O68" i="18"/>
  <c r="M68" i="18"/>
  <c r="K68" i="18"/>
  <c r="I68" i="18"/>
  <c r="G68" i="18"/>
  <c r="E68" i="18"/>
  <c r="O67" i="18"/>
  <c r="M67" i="18"/>
  <c r="K67" i="18"/>
  <c r="I67" i="18"/>
  <c r="G67" i="18"/>
  <c r="E67" i="18"/>
  <c r="O64" i="18"/>
  <c r="M64" i="18"/>
  <c r="K64" i="18"/>
  <c r="I64" i="18"/>
  <c r="G64" i="18"/>
  <c r="E64" i="18"/>
  <c r="O56" i="18"/>
  <c r="M56" i="18"/>
  <c r="K56" i="18"/>
  <c r="I56" i="18"/>
  <c r="G56" i="18"/>
  <c r="P28" i="18"/>
  <c r="O27" i="18"/>
  <c r="O26" i="18"/>
  <c r="P26" i="18" s="1"/>
  <c r="O23" i="18"/>
  <c r="P23" i="18" s="1"/>
  <c r="O22" i="18"/>
  <c r="P22" i="18" s="1"/>
  <c r="O21" i="18"/>
  <c r="P21" i="18" s="1"/>
  <c r="O20" i="18"/>
  <c r="P20" i="18" s="1"/>
  <c r="O19" i="18"/>
  <c r="P19" i="18" s="1"/>
  <c r="O16" i="18"/>
  <c r="N28" i="18"/>
  <c r="M27" i="18"/>
  <c r="M26" i="18"/>
  <c r="N26" i="18" s="1"/>
  <c r="M23" i="18"/>
  <c r="N23" i="18" s="1"/>
  <c r="M22" i="18"/>
  <c r="N22" i="18" s="1"/>
  <c r="M21" i="18"/>
  <c r="N21" i="18" s="1"/>
  <c r="M20" i="18"/>
  <c r="N20" i="18" s="1"/>
  <c r="M19" i="18"/>
  <c r="N19" i="18" s="1"/>
  <c r="M16" i="18"/>
  <c r="L28" i="18"/>
  <c r="K27" i="18"/>
  <c r="K26" i="18"/>
  <c r="L26" i="18" s="1"/>
  <c r="K23" i="18"/>
  <c r="L23" i="18" s="1"/>
  <c r="K22" i="18"/>
  <c r="L22" i="18" s="1"/>
  <c r="K21" i="18"/>
  <c r="L21" i="18" s="1"/>
  <c r="K20" i="18"/>
  <c r="L20" i="18" s="1"/>
  <c r="K19" i="18"/>
  <c r="L19" i="18" s="1"/>
  <c r="K16" i="18"/>
  <c r="J28" i="18"/>
  <c r="I27" i="18"/>
  <c r="I26" i="18"/>
  <c r="J26" i="18" s="1"/>
  <c r="I23" i="18"/>
  <c r="J23" i="18" s="1"/>
  <c r="I22" i="18"/>
  <c r="J22" i="18" s="1"/>
  <c r="I21" i="18"/>
  <c r="J21" i="18" s="1"/>
  <c r="I20" i="18"/>
  <c r="J20" i="18" s="1"/>
  <c r="I19" i="18"/>
  <c r="J19" i="18" s="1"/>
  <c r="I16" i="18"/>
  <c r="H28" i="18"/>
  <c r="G27" i="18"/>
  <c r="G26" i="18"/>
  <c r="H26" i="18" s="1"/>
  <c r="G23" i="18"/>
  <c r="H23" i="18" s="1"/>
  <c r="G22" i="18"/>
  <c r="H22" i="18" s="1"/>
  <c r="G21" i="18"/>
  <c r="H21" i="18" s="1"/>
  <c r="G20" i="18"/>
  <c r="H20" i="18" s="1"/>
  <c r="G19" i="18"/>
  <c r="H19" i="18" s="1"/>
  <c r="G16" i="18"/>
  <c r="E20" i="18"/>
  <c r="F20" i="18" s="1"/>
  <c r="E19" i="18"/>
  <c r="E22" i="18"/>
  <c r="F22" i="18" s="1"/>
  <c r="E21" i="18"/>
  <c r="E27" i="18"/>
  <c r="E26" i="18"/>
  <c r="E23" i="18"/>
  <c r="O7" i="18"/>
  <c r="M7" i="18"/>
  <c r="K7" i="18"/>
  <c r="I7" i="18"/>
  <c r="G7" i="18"/>
  <c r="E7" i="18"/>
  <c r="E10" i="18" s="1"/>
  <c r="B4" i="127" a="1"/>
  <c r="D6" i="127" a="1"/>
  <c r="B8" i="127" a="1"/>
  <c r="B6" i="127" a="1"/>
  <c r="B9" i="127" a="1"/>
  <c r="B5" i="127" a="1"/>
  <c r="B7" i="127" a="1"/>
  <c r="D4" i="127" a="1"/>
  <c r="B7" i="131" a="1"/>
  <c r="D7" i="127" a="1"/>
  <c r="D8" i="127" a="1"/>
  <c r="D5" i="127" a="1"/>
  <c r="D9" i="127" a="1"/>
  <c r="X177" i="153" l="1"/>
  <c r="Q178" i="153" s="1"/>
  <c r="V178" i="153" s="1"/>
  <c r="U179" i="153"/>
  <c r="T180" i="153"/>
  <c r="R180" i="153"/>
  <c r="S180" i="153" s="1"/>
  <c r="P181" i="153"/>
  <c r="AY59" i="125"/>
  <c r="BI59" i="125"/>
  <c r="K59" i="125"/>
  <c r="AO59" i="125"/>
  <c r="U59" i="125"/>
  <c r="AE59" i="125"/>
  <c r="K43" i="125"/>
  <c r="H16" i="18"/>
  <c r="U43" i="125"/>
  <c r="J16" i="18"/>
  <c r="AE43" i="125"/>
  <c r="L16" i="18"/>
  <c r="AO43" i="125"/>
  <c r="N16" i="18"/>
  <c r="AY43" i="125"/>
  <c r="P16" i="18"/>
  <c r="BI43" i="125"/>
  <c r="K49" i="18"/>
  <c r="AO65" i="125" s="1"/>
  <c r="O49" i="18"/>
  <c r="BI65" i="125" s="1"/>
  <c r="G49" i="18"/>
  <c r="U65" i="125" s="1"/>
  <c r="M49" i="18"/>
  <c r="AY65" i="125" s="1"/>
  <c r="G10" i="18"/>
  <c r="U66" i="125" s="1"/>
  <c r="I10" i="18"/>
  <c r="AE66" i="125" s="1"/>
  <c r="K10" i="18"/>
  <c r="AO66" i="125" s="1"/>
  <c r="M10" i="18"/>
  <c r="AY66" i="125" s="1"/>
  <c r="O10" i="18"/>
  <c r="BI66" i="125" s="1"/>
  <c r="I49" i="18"/>
  <c r="AE65" i="125" s="1"/>
  <c r="E49" i="18"/>
  <c r="K66" i="125"/>
  <c r="P27" i="18"/>
  <c r="L27" i="18"/>
  <c r="N27" i="18"/>
  <c r="H27" i="18"/>
  <c r="J27" i="18"/>
  <c r="I58" i="18"/>
  <c r="I61" i="18" s="1"/>
  <c r="K58" i="18"/>
  <c r="K61" i="18" s="1"/>
  <c r="M58" i="18"/>
  <c r="M61" i="18" s="1"/>
  <c r="O58" i="18"/>
  <c r="O61" i="18" s="1"/>
  <c r="E58" i="18"/>
  <c r="E61" i="18" s="1"/>
  <c r="G58" i="18"/>
  <c r="G61" i="18" s="1"/>
  <c r="B7" i="131"/>
  <c r="D9" i="127"/>
  <c r="B46" i="127" s="1"/>
  <c r="B9" i="127"/>
  <c r="B45" i="127" s="1"/>
  <c r="D8" i="127"/>
  <c r="B44" i="127" s="1"/>
  <c r="B8" i="127"/>
  <c r="B43" i="127" s="1"/>
  <c r="D7" i="127"/>
  <c r="B42" i="127" s="1"/>
  <c r="B7" i="127"/>
  <c r="B41" i="127" s="1"/>
  <c r="D6" i="127"/>
  <c r="B40" i="127" s="1"/>
  <c r="B6" i="127"/>
  <c r="B39" i="127" s="1"/>
  <c r="D5" i="127"/>
  <c r="B38" i="127" s="1"/>
  <c r="B5" i="127"/>
  <c r="B37" i="127" s="1"/>
  <c r="D4" i="127"/>
  <c r="B4" i="127"/>
  <c r="CP3" i="129"/>
  <c r="CP4" i="129"/>
  <c r="CP5" i="129"/>
  <c r="CP6" i="129"/>
  <c r="CP7" i="129"/>
  <c r="CP8" i="129"/>
  <c r="CP9" i="129"/>
  <c r="CP10" i="129"/>
  <c r="CP11" i="129"/>
  <c r="CP12" i="129"/>
  <c r="CP13" i="129"/>
  <c r="CP14" i="129"/>
  <c r="CP15" i="129"/>
  <c r="CP16" i="129"/>
  <c r="CP17" i="129"/>
  <c r="CP18" i="129"/>
  <c r="CP19" i="129"/>
  <c r="CP20" i="129"/>
  <c r="CP21" i="129"/>
  <c r="CP22" i="129"/>
  <c r="CP23" i="129"/>
  <c r="CP24" i="129"/>
  <c r="CP25" i="129"/>
  <c r="CP26" i="129"/>
  <c r="CP27" i="129"/>
  <c r="CP28" i="129"/>
  <c r="CP29" i="129"/>
  <c r="CP30" i="129"/>
  <c r="CP31" i="129"/>
  <c r="CP32" i="129"/>
  <c r="CP33" i="129"/>
  <c r="CP34" i="129"/>
  <c r="CP35" i="129"/>
  <c r="CP36" i="129"/>
  <c r="CP37" i="129"/>
  <c r="CP38" i="129"/>
  <c r="CP39" i="129"/>
  <c r="CP40" i="129"/>
  <c r="CP41" i="129"/>
  <c r="CP42" i="129"/>
  <c r="CP43" i="129"/>
  <c r="CP44" i="129"/>
  <c r="CP45" i="129"/>
  <c r="CP46" i="129"/>
  <c r="CP47" i="129"/>
  <c r="CP48" i="129"/>
  <c r="CP49" i="129"/>
  <c r="CP50" i="129"/>
  <c r="CP51" i="129"/>
  <c r="CP52" i="129"/>
  <c r="CP53" i="129"/>
  <c r="CP54" i="129"/>
  <c r="CP55" i="129"/>
  <c r="CP56" i="129"/>
  <c r="CP57" i="129"/>
  <c r="CP58" i="129"/>
  <c r="CP59" i="129"/>
  <c r="CP60" i="129"/>
  <c r="CP61" i="129"/>
  <c r="CP2" i="129"/>
  <c r="B35" i="127" l="1"/>
  <c r="BU140" i="125" a="1"/>
  <c r="BU140" i="125" s="1"/>
  <c r="B36" i="127"/>
  <c r="X178" i="153"/>
  <c r="Q179" i="153" s="1"/>
  <c r="V179" i="153" s="1"/>
  <c r="P182" i="153"/>
  <c r="R181" i="153"/>
  <c r="S181" i="153" s="1"/>
  <c r="T181" i="153"/>
  <c r="W180" i="153"/>
  <c r="U180" i="153"/>
  <c r="W179" i="153"/>
  <c r="N11" i="18"/>
  <c r="F11" i="18"/>
  <c r="P11" i="18"/>
  <c r="J11" i="18"/>
  <c r="L11" i="18"/>
  <c r="H11" i="18"/>
  <c r="CD146" i="125"/>
  <c r="CD152" i="125"/>
  <c r="F91" i="18"/>
  <c r="C105" i="18"/>
  <c r="CD141" i="125"/>
  <c r="CD149" i="125"/>
  <c r="CD157" i="125"/>
  <c r="CD165" i="125"/>
  <c r="CD173" i="125"/>
  <c r="CD181" i="125"/>
  <c r="CD189" i="125"/>
  <c r="CD197" i="125"/>
  <c r="CD205" i="125"/>
  <c r="CD213" i="125"/>
  <c r="CD221" i="125"/>
  <c r="CD229" i="125"/>
  <c r="CD237" i="125"/>
  <c r="CD245" i="125"/>
  <c r="CD253" i="125"/>
  <c r="CD220" i="125"/>
  <c r="CD142" i="125"/>
  <c r="CD150" i="125"/>
  <c r="CD158" i="125"/>
  <c r="CD166" i="125"/>
  <c r="CD174" i="125"/>
  <c r="CD182" i="125"/>
  <c r="CD190" i="125"/>
  <c r="CD198" i="125"/>
  <c r="CD206" i="125"/>
  <c r="CD214" i="125"/>
  <c r="CD222" i="125"/>
  <c r="CD230" i="125"/>
  <c r="CD238" i="125"/>
  <c r="CD246" i="125"/>
  <c r="CD254" i="125"/>
  <c r="CD212" i="125"/>
  <c r="CD143" i="125"/>
  <c r="CD151" i="125"/>
  <c r="CD159" i="125"/>
  <c r="CD167" i="125"/>
  <c r="CD175" i="125"/>
  <c r="CD183" i="125"/>
  <c r="CD191" i="125"/>
  <c r="CD199" i="125"/>
  <c r="CD207" i="125"/>
  <c r="CD215" i="125"/>
  <c r="CD223" i="125"/>
  <c r="CD231" i="125"/>
  <c r="CD239" i="125"/>
  <c r="CD247" i="125"/>
  <c r="CD255" i="125"/>
  <c r="CD204" i="125"/>
  <c r="CD144" i="125"/>
  <c r="CD160" i="125"/>
  <c r="CD168" i="125"/>
  <c r="CD176" i="125"/>
  <c r="CD184" i="125"/>
  <c r="CD192" i="125"/>
  <c r="CD200" i="125"/>
  <c r="CD208" i="125"/>
  <c r="CD216" i="125"/>
  <c r="CD224" i="125"/>
  <c r="CD232" i="125"/>
  <c r="CD240" i="125"/>
  <c r="CD248" i="125"/>
  <c r="CD256" i="125"/>
  <c r="CD156" i="125"/>
  <c r="CD188" i="125"/>
  <c r="CD236" i="125"/>
  <c r="CD145" i="125"/>
  <c r="CD153" i="125"/>
  <c r="CD161" i="125"/>
  <c r="CD169" i="125"/>
  <c r="CD177" i="125"/>
  <c r="CD185" i="125"/>
  <c r="CD193" i="125"/>
  <c r="CD201" i="125"/>
  <c r="CD209" i="125"/>
  <c r="CD217" i="125"/>
  <c r="CD225" i="125"/>
  <c r="CD233" i="125"/>
  <c r="CD241" i="125"/>
  <c r="CD249" i="125"/>
  <c r="CD257" i="125"/>
  <c r="CD250" i="125"/>
  <c r="CD172" i="125"/>
  <c r="CD228" i="125"/>
  <c r="CD154" i="125"/>
  <c r="CD162" i="125"/>
  <c r="CD170" i="125"/>
  <c r="CD178" i="125"/>
  <c r="CD186" i="125"/>
  <c r="CD194" i="125"/>
  <c r="CD202" i="125"/>
  <c r="CD210" i="125"/>
  <c r="CD218" i="125"/>
  <c r="CD226" i="125"/>
  <c r="CD234" i="125"/>
  <c r="CD242" i="125"/>
  <c r="CD258" i="125"/>
  <c r="CD180" i="125"/>
  <c r="CD244" i="125"/>
  <c r="CD147" i="125"/>
  <c r="CD155" i="125"/>
  <c r="CD163" i="125"/>
  <c r="CD171" i="125"/>
  <c r="CD179" i="125"/>
  <c r="CD187" i="125"/>
  <c r="CD195" i="125"/>
  <c r="CD203" i="125"/>
  <c r="CD211" i="125"/>
  <c r="CD219" i="125"/>
  <c r="CD227" i="125"/>
  <c r="CD235" i="125"/>
  <c r="CD243" i="125"/>
  <c r="CD251" i="125"/>
  <c r="CD259" i="125"/>
  <c r="CD148" i="125"/>
  <c r="CD164" i="125"/>
  <c r="CD196" i="125"/>
  <c r="CD252" i="125"/>
  <c r="CD140" i="125"/>
  <c r="K65" i="125"/>
  <c r="BU152" i="125" a="1"/>
  <c r="BU152" i="125" s="1"/>
  <c r="BU200" i="125" a="1"/>
  <c r="BU200" i="125" s="1"/>
  <c r="BY200" i="125" s="1"/>
  <c r="BU194" i="125" a="1"/>
  <c r="BU194" i="125" s="1"/>
  <c r="BY194" i="125" s="1"/>
  <c r="BU218" i="125" a="1"/>
  <c r="BU218" i="125" s="1"/>
  <c r="BU182" i="125" a="1"/>
  <c r="BU182" i="125" s="1"/>
  <c r="BU236" i="125" a="1"/>
  <c r="BU236" i="125" s="1"/>
  <c r="BU146" i="125" a="1"/>
  <c r="BU146" i="125" s="1"/>
  <c r="BU242" i="125" a="1"/>
  <c r="BU242" i="125" s="1"/>
  <c r="BU176" i="125" a="1"/>
  <c r="BU176" i="125" s="1"/>
  <c r="BY176" i="125" s="1"/>
  <c r="BU158" i="125" a="1"/>
  <c r="BU158" i="125" s="1"/>
  <c r="BU206" i="125" a="1"/>
  <c r="BU206" i="125" s="1"/>
  <c r="BU248" i="125" a="1"/>
  <c r="BU248" i="125" s="1"/>
  <c r="BU224" i="125" a="1"/>
  <c r="BU224" i="125" s="1"/>
  <c r="BU188" i="125" a="1"/>
  <c r="BU188" i="125" s="1"/>
  <c r="BU164" i="125" a="1"/>
  <c r="BU164" i="125" s="1"/>
  <c r="BU254" i="125" a="1"/>
  <c r="BU254" i="125" s="1"/>
  <c r="BU170" i="125" a="1"/>
  <c r="BU170" i="125" s="1"/>
  <c r="BY170" i="125" s="1"/>
  <c r="BU230" i="125" a="1"/>
  <c r="BU230" i="125" s="1"/>
  <c r="BU212" i="125" a="1"/>
  <c r="BU212" i="125" s="1"/>
  <c r="R114" i="130"/>
  <c r="R115" i="130" s="1"/>
  <c r="AG12" i="123"/>
  <c r="L19" i="131"/>
  <c r="L22" i="131"/>
  <c r="L21" i="131"/>
  <c r="L23" i="131"/>
  <c r="O17" i="131"/>
  <c r="N17" i="131"/>
  <c r="AZ80" i="129"/>
  <c r="AY80" i="129"/>
  <c r="AZ79" i="129"/>
  <c r="AY79" i="129"/>
  <c r="AZ78" i="129"/>
  <c r="AY78" i="129"/>
  <c r="AZ77" i="129"/>
  <c r="AY77" i="129"/>
  <c r="AZ76" i="129"/>
  <c r="AY76" i="129"/>
  <c r="AZ75" i="129"/>
  <c r="AY75" i="129"/>
  <c r="AZ74" i="129"/>
  <c r="AY74" i="129"/>
  <c r="AZ73" i="129"/>
  <c r="AY73" i="129"/>
  <c r="AZ72" i="129"/>
  <c r="AY72" i="129"/>
  <c r="AZ71" i="129"/>
  <c r="AY71" i="129"/>
  <c r="AZ70" i="129"/>
  <c r="AY70" i="129"/>
  <c r="AZ69" i="129"/>
  <c r="AY69" i="129"/>
  <c r="B57" i="123"/>
  <c r="B56" i="123"/>
  <c r="B114" i="130"/>
  <c r="F64" i="130"/>
  <c r="F51" i="130"/>
  <c r="B37" i="130"/>
  <c r="B43" i="130"/>
  <c r="F34" i="130"/>
  <c r="X179" i="153" l="1"/>
  <c r="Q180" i="153" s="1"/>
  <c r="V180" i="153" s="1"/>
  <c r="U181" i="153"/>
  <c r="T182" i="153"/>
  <c r="R182" i="153"/>
  <c r="S182" i="153" s="1"/>
  <c r="P183" i="153"/>
  <c r="D35" i="127" a="1"/>
  <c r="D35" i="127" s="1"/>
  <c r="E35" i="127" s="1"/>
  <c r="D40" i="127" a="1"/>
  <c r="D40" i="127" s="1"/>
  <c r="E40" i="127" s="1"/>
  <c r="D39" i="127" a="1"/>
  <c r="D39" i="127" s="1"/>
  <c r="E39" i="127" s="1"/>
  <c r="D36" i="127" a="1"/>
  <c r="D36" i="127" s="1"/>
  <c r="E36" i="127" s="1"/>
  <c r="D46" i="127" a="1"/>
  <c r="D46" i="127" s="1"/>
  <c r="E46" i="127" s="1"/>
  <c r="D43" i="127" a="1"/>
  <c r="D43" i="127" s="1"/>
  <c r="E43" i="127" s="1"/>
  <c r="D42" i="127" a="1"/>
  <c r="D42" i="127" s="1"/>
  <c r="E42" i="127" s="1"/>
  <c r="D38" i="127" a="1"/>
  <c r="D38" i="127" s="1"/>
  <c r="E38" i="127" s="1"/>
  <c r="D44" i="127" a="1"/>
  <c r="D44" i="127" s="1"/>
  <c r="E44" i="127" s="1"/>
  <c r="D37" i="127" a="1"/>
  <c r="D37" i="127" s="1"/>
  <c r="E37" i="127" s="1"/>
  <c r="D45" i="127" a="1"/>
  <c r="D45" i="127" s="1"/>
  <c r="E45" i="127" s="1"/>
  <c r="D41" i="127" a="1"/>
  <c r="D41" i="127" s="1"/>
  <c r="E41" i="127" s="1"/>
  <c r="T116" i="130"/>
  <c r="D56" i="130"/>
  <c r="C56" i="130"/>
  <c r="D55" i="130"/>
  <c r="AC31" i="130"/>
  <c r="AB41" i="130"/>
  <c r="BA69" i="129"/>
  <c r="BA80" i="129"/>
  <c r="BA74" i="129"/>
  <c r="BA71" i="129"/>
  <c r="BA70" i="129"/>
  <c r="BA76" i="129"/>
  <c r="BA79" i="129"/>
  <c r="BA73" i="129"/>
  <c r="BA78" i="129"/>
  <c r="BA72" i="129"/>
  <c r="BA77" i="129"/>
  <c r="BA75" i="129"/>
  <c r="E84" i="123"/>
  <c r="E85" i="123"/>
  <c r="E86" i="123"/>
  <c r="E87" i="123"/>
  <c r="E88" i="123"/>
  <c r="D85" i="123"/>
  <c r="D86" i="123"/>
  <c r="D87" i="123"/>
  <c r="D88" i="123"/>
  <c r="L17" i="131"/>
  <c r="AR20" i="107"/>
  <c r="AN20" i="107"/>
  <c r="AJ20" i="107"/>
  <c r="AT20" i="107"/>
  <c r="AP20" i="107"/>
  <c r="AL20" i="107"/>
  <c r="AR28" i="107"/>
  <c r="AN28" i="107"/>
  <c r="AJ28" i="107"/>
  <c r="AT28" i="107"/>
  <c r="AP28" i="107"/>
  <c r="AL28" i="107"/>
  <c r="AT21" i="107"/>
  <c r="AP21" i="107"/>
  <c r="AL21" i="107"/>
  <c r="AR21" i="107"/>
  <c r="AN21" i="107"/>
  <c r="AJ21" i="107"/>
  <c r="AJ13" i="107"/>
  <c r="AP13" i="107"/>
  <c r="AL13" i="107"/>
  <c r="AN13" i="107"/>
  <c r="AR13" i="107"/>
  <c r="AT30" i="107"/>
  <c r="AP30" i="107"/>
  <c r="AL30" i="107"/>
  <c r="AR30" i="107"/>
  <c r="AN30" i="107"/>
  <c r="AJ30" i="107"/>
  <c r="AT15" i="107"/>
  <c r="AP15" i="107"/>
  <c r="AL15" i="107"/>
  <c r="AR15" i="107"/>
  <c r="AN15" i="107"/>
  <c r="AJ15" i="107"/>
  <c r="AT23" i="107"/>
  <c r="AP23" i="107"/>
  <c r="AL23" i="107"/>
  <c r="AR23" i="107"/>
  <c r="AN23" i="107"/>
  <c r="AJ23" i="107"/>
  <c r="AT31" i="107"/>
  <c r="AP31" i="107"/>
  <c r="AL31" i="107"/>
  <c r="AR31" i="107"/>
  <c r="AN31" i="107"/>
  <c r="AJ31" i="107"/>
  <c r="AT22" i="107"/>
  <c r="AP22" i="107"/>
  <c r="AL22" i="107"/>
  <c r="AR22" i="107"/>
  <c r="AN22" i="107"/>
  <c r="AJ22" i="107"/>
  <c r="AT24" i="107"/>
  <c r="AP24" i="107"/>
  <c r="AL24" i="107"/>
  <c r="AR24" i="107"/>
  <c r="AN24" i="107"/>
  <c r="AJ24" i="107"/>
  <c r="AT32" i="107"/>
  <c r="AP32" i="107"/>
  <c r="AL32" i="107"/>
  <c r="AR32" i="107"/>
  <c r="AN32" i="107"/>
  <c r="AJ32" i="107"/>
  <c r="AT29" i="107"/>
  <c r="AP29" i="107"/>
  <c r="AL29" i="107"/>
  <c r="AN29" i="107"/>
  <c r="AJ29" i="107"/>
  <c r="AR29" i="107"/>
  <c r="AT16" i="107"/>
  <c r="AP16" i="107"/>
  <c r="AL16" i="107"/>
  <c r="AR16" i="107"/>
  <c r="AN16" i="107"/>
  <c r="AJ16" i="107"/>
  <c r="AP17" i="107"/>
  <c r="AR17" i="107"/>
  <c r="AN17" i="107"/>
  <c r="AJ17" i="107"/>
  <c r="AT17" i="107"/>
  <c r="AL17" i="107"/>
  <c r="AR25" i="107"/>
  <c r="AN25" i="107"/>
  <c r="AJ25" i="107"/>
  <c r="AT25" i="107"/>
  <c r="AP25" i="107"/>
  <c r="AL25" i="107"/>
  <c r="AT14" i="107"/>
  <c r="AP14" i="107"/>
  <c r="AL14" i="107"/>
  <c r="AR14" i="107"/>
  <c r="AN14" i="107"/>
  <c r="AJ14" i="107"/>
  <c r="AR18" i="107"/>
  <c r="AN18" i="107"/>
  <c r="AJ18" i="107"/>
  <c r="AT18" i="107"/>
  <c r="AP18" i="107"/>
  <c r="AL18" i="107"/>
  <c r="AR26" i="107"/>
  <c r="AN26" i="107"/>
  <c r="AJ26" i="107"/>
  <c r="AT26" i="107"/>
  <c r="AP26" i="107"/>
  <c r="AL26" i="107"/>
  <c r="AR19" i="107"/>
  <c r="AN19" i="107"/>
  <c r="AJ19" i="107"/>
  <c r="AT19" i="107"/>
  <c r="AP19" i="107"/>
  <c r="AL19" i="107"/>
  <c r="AR27" i="107"/>
  <c r="AN27" i="107"/>
  <c r="AJ27" i="107"/>
  <c r="AT27" i="107"/>
  <c r="AP27" i="107"/>
  <c r="AL27" i="107"/>
  <c r="AC26" i="130"/>
  <c r="AB26" i="130"/>
  <c r="U26" i="130" l="1"/>
  <c r="S26" i="130" s="1"/>
  <c r="X180" i="153"/>
  <c r="Q181" i="153" s="1"/>
  <c r="V181" i="153" s="1"/>
  <c r="U182" i="153"/>
  <c r="P184" i="153"/>
  <c r="R183" i="153"/>
  <c r="S183" i="153" s="1"/>
  <c r="T183" i="153"/>
  <c r="W181" i="153"/>
  <c r="T23" i="130"/>
  <c r="R23" i="130" s="1"/>
  <c r="V53" i="130"/>
  <c r="T53" i="130"/>
  <c r="T52" i="130"/>
  <c r="V52" i="130"/>
  <c r="R145" i="130"/>
  <c r="K113" i="130" s="1"/>
  <c r="E23" i="134"/>
  <c r="AJ34" i="107"/>
  <c r="E62" i="18" s="1"/>
  <c r="E78" i="18" s="1"/>
  <c r="AC28" i="130"/>
  <c r="AC29" i="130" s="1"/>
  <c r="AC35" i="130"/>
  <c r="AB28" i="130"/>
  <c r="AB29" i="130" s="1"/>
  <c r="E15" i="132"/>
  <c r="AL34" i="107"/>
  <c r="G62" i="18" s="1"/>
  <c r="AP34" i="107"/>
  <c r="K62" i="18" s="1"/>
  <c r="AT34" i="107"/>
  <c r="O62" i="18" s="1"/>
  <c r="AN34" i="107"/>
  <c r="I62" i="18" s="1"/>
  <c r="AR34" i="107"/>
  <c r="M62" i="18" s="1"/>
  <c r="R25" i="130" l="1"/>
  <c r="R38" i="130"/>
  <c r="X181" i="153"/>
  <c r="Q182" i="153" s="1"/>
  <c r="V182" i="153" s="1"/>
  <c r="W182" i="153" s="1"/>
  <c r="W183" i="153"/>
  <c r="U183" i="153"/>
  <c r="T184" i="153"/>
  <c r="P185" i="153"/>
  <c r="R184" i="153"/>
  <c r="S184" i="153" s="1"/>
  <c r="T28" i="130"/>
  <c r="V28" i="130"/>
  <c r="AB38" i="130"/>
  <c r="AB37" i="130"/>
  <c r="S23" i="130"/>
  <c r="S79" i="130" s="1"/>
  <c r="T17" i="130"/>
  <c r="S17" i="130" s="1"/>
  <c r="R79" i="130"/>
  <c r="AB33" i="130"/>
  <c r="R26" i="130"/>
  <c r="E77" i="18"/>
  <c r="T23" i="134"/>
  <c r="E110" i="134"/>
  <c r="K23" i="134"/>
  <c r="H23" i="134"/>
  <c r="Q23" i="134"/>
  <c r="N23" i="134"/>
  <c r="R20" i="130"/>
  <c r="AC38" i="130"/>
  <c r="X182" i="153" l="1"/>
  <c r="Q183" i="153" s="1"/>
  <c r="V183" i="153" s="1"/>
  <c r="P186" i="153"/>
  <c r="R185" i="153"/>
  <c r="S185" i="153" s="1"/>
  <c r="T185" i="153"/>
  <c r="W184" i="153"/>
  <c r="U184" i="153"/>
  <c r="AB39" i="130"/>
  <c r="G54" i="130"/>
  <c r="R17" i="130"/>
  <c r="G37" i="130" s="1"/>
  <c r="G70" i="130" l="1"/>
  <c r="X183" i="153"/>
  <c r="Q184" i="153" s="1"/>
  <c r="V184" i="153" s="1"/>
  <c r="U185" i="153"/>
  <c r="W185" i="153"/>
  <c r="T186" i="153"/>
  <c r="R186" i="153"/>
  <c r="S186" i="153" s="1"/>
  <c r="P187" i="153"/>
  <c r="T35" i="130"/>
  <c r="CO2" i="129"/>
  <c r="K35" i="125" s="1"/>
  <c r="X184" i="153" l="1"/>
  <c r="Q185" i="153" s="1"/>
  <c r="V185" i="153" s="1"/>
  <c r="P188" i="153"/>
  <c r="R187" i="153"/>
  <c r="S187" i="153" s="1"/>
  <c r="T187" i="153"/>
  <c r="U186" i="153"/>
  <c r="M77" i="18"/>
  <c r="M78" i="18"/>
  <c r="M44" i="18" s="1"/>
  <c r="AY61" i="125" s="1"/>
  <c r="AY89" i="125" s="1"/>
  <c r="K77" i="18"/>
  <c r="K78" i="18"/>
  <c r="X185" i="153" l="1"/>
  <c r="Q186" i="153" s="1"/>
  <c r="V186" i="153" s="1"/>
  <c r="W186" i="153" s="1"/>
  <c r="W187" i="153"/>
  <c r="U187" i="153"/>
  <c r="T188" i="153"/>
  <c r="P189" i="153"/>
  <c r="R188" i="153"/>
  <c r="S188" i="153" s="1"/>
  <c r="AY81" i="125"/>
  <c r="AY79" i="125"/>
  <c r="O78" i="18"/>
  <c r="O77" i="18"/>
  <c r="I78" i="18"/>
  <c r="I44" i="18" s="1"/>
  <c r="AE61" i="125" s="1"/>
  <c r="AE89" i="125" s="1"/>
  <c r="I77" i="18"/>
  <c r="G77" i="18"/>
  <c r="G78" i="18"/>
  <c r="X186" i="153" l="1"/>
  <c r="Q187" i="153" s="1"/>
  <c r="V187" i="153" s="1"/>
  <c r="P190" i="153"/>
  <c r="R189" i="153"/>
  <c r="S189" i="153" s="1"/>
  <c r="T189" i="153"/>
  <c r="W188" i="153"/>
  <c r="U188" i="153"/>
  <c r="AE79" i="125"/>
  <c r="AE81" i="125"/>
  <c r="B6" i="123"/>
  <c r="B21" i="146" s="1"/>
  <c r="X187" i="153" l="1"/>
  <c r="Q188" i="153" s="1"/>
  <c r="V188" i="153" s="1"/>
  <c r="U189" i="153"/>
  <c r="W189" i="153"/>
  <c r="T190" i="153"/>
  <c r="R190" i="153"/>
  <c r="S190" i="153" s="1"/>
  <c r="P191" i="153"/>
  <c r="G9" i="108"/>
  <c r="F9" i="108"/>
  <c r="E9" i="108"/>
  <c r="D9" i="108"/>
  <c r="C9" i="108"/>
  <c r="B9" i="108"/>
  <c r="T10" i="107"/>
  <c r="R10" i="107"/>
  <c r="P10" i="107"/>
  <c r="N10" i="107"/>
  <c r="L10" i="107"/>
  <c r="J10" i="107"/>
  <c r="X188" i="153" l="1"/>
  <c r="Q189" i="153" s="1"/>
  <c r="V189" i="153" s="1"/>
  <c r="U190" i="153"/>
  <c r="W190" i="153"/>
  <c r="P192" i="153"/>
  <c r="R191" i="153"/>
  <c r="S191" i="153" s="1"/>
  <c r="T191" i="153"/>
  <c r="CO3" i="129"/>
  <c r="K36" i="125" s="1"/>
  <c r="CO4" i="129"/>
  <c r="K37" i="125" s="1"/>
  <c r="CO5" i="129"/>
  <c r="K38" i="125" s="1"/>
  <c r="CO6" i="129"/>
  <c r="K39" i="125" s="1"/>
  <c r="CO7" i="129"/>
  <c r="K52" i="125" s="1"/>
  <c r="CO8" i="129"/>
  <c r="K53" i="125" s="1"/>
  <c r="CO9" i="129"/>
  <c r="K54" i="125" s="1"/>
  <c r="CO10" i="129"/>
  <c r="K55" i="125" s="1"/>
  <c r="CO11" i="129"/>
  <c r="K56" i="125" s="1"/>
  <c r="CO12" i="129"/>
  <c r="U35" i="125" s="1"/>
  <c r="CO13" i="129"/>
  <c r="U36" i="125" s="1"/>
  <c r="CO14" i="129"/>
  <c r="U37" i="125" s="1"/>
  <c r="CO15" i="129"/>
  <c r="U38" i="125" s="1"/>
  <c r="CO16" i="129"/>
  <c r="U39" i="125" s="1"/>
  <c r="CO17" i="129"/>
  <c r="U52" i="125" s="1"/>
  <c r="CO18" i="129"/>
  <c r="U53" i="125" s="1"/>
  <c r="CO19" i="129"/>
  <c r="U54" i="125" s="1"/>
  <c r="CO20" i="129"/>
  <c r="U55" i="125" s="1"/>
  <c r="CO21" i="129"/>
  <c r="U56" i="125" s="1"/>
  <c r="CO22" i="129"/>
  <c r="AE35" i="125" s="1"/>
  <c r="CO23" i="129"/>
  <c r="AE36" i="125" s="1"/>
  <c r="CO24" i="129"/>
  <c r="AE37" i="125" s="1"/>
  <c r="CO25" i="129"/>
  <c r="AE38" i="125" s="1"/>
  <c r="CO26" i="129"/>
  <c r="AE39" i="125" s="1"/>
  <c r="CO27" i="129"/>
  <c r="AE52" i="125" s="1"/>
  <c r="CO28" i="129"/>
  <c r="AE53" i="125" s="1"/>
  <c r="CO29" i="129"/>
  <c r="AE54" i="125" s="1"/>
  <c r="CO30" i="129"/>
  <c r="AE55" i="125" s="1"/>
  <c r="CO31" i="129"/>
  <c r="AE56" i="125" s="1"/>
  <c r="CO32" i="129"/>
  <c r="AO35" i="125" s="1"/>
  <c r="CO33" i="129"/>
  <c r="AO36" i="125" s="1"/>
  <c r="CO34" i="129"/>
  <c r="AO37" i="125" s="1"/>
  <c r="CO35" i="129"/>
  <c r="AO38" i="125" s="1"/>
  <c r="CO36" i="129"/>
  <c r="AO39" i="125" s="1"/>
  <c r="CO37" i="129"/>
  <c r="AO52" i="125" s="1"/>
  <c r="CO38" i="129"/>
  <c r="AO53" i="125" s="1"/>
  <c r="CO39" i="129"/>
  <c r="AO54" i="125" s="1"/>
  <c r="CO40" i="129"/>
  <c r="AO55" i="125" s="1"/>
  <c r="CO41" i="129"/>
  <c r="AO56" i="125" s="1"/>
  <c r="CO42" i="129"/>
  <c r="AY35" i="125" s="1"/>
  <c r="CO43" i="129"/>
  <c r="AY36" i="125" s="1"/>
  <c r="CO44" i="129"/>
  <c r="AY37" i="125" s="1"/>
  <c r="CO45" i="129"/>
  <c r="AY38" i="125" s="1"/>
  <c r="CO46" i="129"/>
  <c r="AY39" i="125" s="1"/>
  <c r="CO47" i="129"/>
  <c r="AY52" i="125" s="1"/>
  <c r="CO48" i="129"/>
  <c r="AY53" i="125" s="1"/>
  <c r="CO49" i="129"/>
  <c r="AY54" i="125" s="1"/>
  <c r="CO50" i="129"/>
  <c r="AY55" i="125" s="1"/>
  <c r="CO51" i="129"/>
  <c r="AY56" i="125" s="1"/>
  <c r="CO52" i="129"/>
  <c r="BI35" i="125" s="1"/>
  <c r="CO53" i="129"/>
  <c r="BI36" i="125" s="1"/>
  <c r="CO54" i="129"/>
  <c r="BI37" i="125" s="1"/>
  <c r="CO55" i="129"/>
  <c r="BI38" i="125" s="1"/>
  <c r="CO56" i="129"/>
  <c r="BI39" i="125" s="1"/>
  <c r="CO57" i="129"/>
  <c r="BI52" i="125" s="1"/>
  <c r="CO58" i="129"/>
  <c r="BI53" i="125" s="1"/>
  <c r="CO59" i="129"/>
  <c r="BI54" i="125" s="1"/>
  <c r="CO60" i="129"/>
  <c r="BI55" i="125" s="1"/>
  <c r="CO61" i="129"/>
  <c r="BI56" i="125" s="1"/>
  <c r="X189" i="153" l="1"/>
  <c r="Q190" i="153" s="1"/>
  <c r="V190" i="153" s="1"/>
  <c r="W191" i="153"/>
  <c r="U191" i="153"/>
  <c r="T192" i="153"/>
  <c r="P193" i="153"/>
  <c r="R192" i="153"/>
  <c r="S192" i="153" s="1"/>
  <c r="T34" i="18"/>
  <c r="T33" i="18"/>
  <c r="X190" i="153" l="1"/>
  <c r="Q191" i="153" s="1"/>
  <c r="V191" i="153" s="1"/>
  <c r="U192" i="153"/>
  <c r="P194" i="153"/>
  <c r="R193" i="153"/>
  <c r="S193" i="153" s="1"/>
  <c r="T193" i="153"/>
  <c r="AS99" i="125"/>
  <c r="BN136" i="125"/>
  <c r="BX136" i="125" a="1"/>
  <c r="BX136" i="125" s="1"/>
  <c r="BB99" i="125" a="1"/>
  <c r="BB99" i="125" s="1"/>
  <c r="X191" i="153" l="1"/>
  <c r="Q192" i="153" s="1"/>
  <c r="V192" i="153" s="1"/>
  <c r="W192" i="153" s="1"/>
  <c r="U193" i="153"/>
  <c r="T194" i="153"/>
  <c r="R194" i="153"/>
  <c r="S194" i="153" s="1"/>
  <c r="P195" i="153"/>
  <c r="BX109" i="125"/>
  <c r="BX112" i="125"/>
  <c r="BX111" i="125"/>
  <c r="BX110" i="125"/>
  <c r="D36" i="128"/>
  <c r="L9" i="128"/>
  <c r="L43" i="128" s="1" a="1"/>
  <c r="L43" i="128" s="1"/>
  <c r="L8" i="128"/>
  <c r="D9" i="128"/>
  <c r="D8" i="128"/>
  <c r="N9" i="128"/>
  <c r="N8" i="128"/>
  <c r="J9" i="128"/>
  <c r="J8" i="128"/>
  <c r="H9" i="128"/>
  <c r="H8" i="128"/>
  <c r="F9" i="128"/>
  <c r="F8" i="128"/>
  <c r="D25" i="128"/>
  <c r="F25" i="128"/>
  <c r="H25" i="128"/>
  <c r="J25" i="128"/>
  <c r="L25" i="128"/>
  <c r="N25" i="128"/>
  <c r="F36" i="128"/>
  <c r="H36" i="128"/>
  <c r="J36" i="128"/>
  <c r="L36" i="128"/>
  <c r="N36" i="128"/>
  <c r="BI30" i="125"/>
  <c r="BI77" i="125" s="1"/>
  <c r="AY30" i="125"/>
  <c r="AY77" i="125" s="1"/>
  <c r="AO30" i="125"/>
  <c r="AO77" i="125" s="1"/>
  <c r="AE30" i="125"/>
  <c r="AE77" i="125" s="1"/>
  <c r="U30" i="125"/>
  <c r="U77" i="125" s="1"/>
  <c r="K30" i="125"/>
  <c r="K77" i="125" s="1"/>
  <c r="X192" i="153" l="1"/>
  <c r="Q193" i="153" s="1"/>
  <c r="V193" i="153" s="1"/>
  <c r="W193" i="153" s="1"/>
  <c r="W194" i="153"/>
  <c r="U194" i="153"/>
  <c r="P196" i="153"/>
  <c r="R195" i="153"/>
  <c r="S195" i="153" s="1"/>
  <c r="T195" i="153"/>
  <c r="BW111" i="125"/>
  <c r="BW112" i="125"/>
  <c r="BW110" i="125"/>
  <c r="BW109" i="125"/>
  <c r="BP18" i="125"/>
  <c r="BF18" i="125"/>
  <c r="AV18" i="125"/>
  <c r="AL18" i="125"/>
  <c r="AB18" i="125"/>
  <c r="X193" i="153" l="1"/>
  <c r="Q194" i="153" s="1"/>
  <c r="V194" i="153" s="1"/>
  <c r="U195" i="153"/>
  <c r="T196" i="153"/>
  <c r="R196" i="153"/>
  <c r="S196" i="153" s="1"/>
  <c r="P197" i="153"/>
  <c r="F27" i="18"/>
  <c r="X194" i="153" l="1"/>
  <c r="Q195" i="153" s="1"/>
  <c r="V195" i="153" s="1"/>
  <c r="U196" i="153"/>
  <c r="P198" i="153"/>
  <c r="R197" i="153"/>
  <c r="S197" i="153" s="1"/>
  <c r="T197" i="153"/>
  <c r="W195" i="153"/>
  <c r="B84" i="18"/>
  <c r="X195" i="153" l="1"/>
  <c r="Q196" i="153" s="1"/>
  <c r="V196" i="153" s="1"/>
  <c r="U197" i="153"/>
  <c r="T198" i="153"/>
  <c r="P199" i="153"/>
  <c r="R198" i="153"/>
  <c r="S198" i="153" s="1"/>
  <c r="W196" i="153"/>
  <c r="AM13" i="107"/>
  <c r="A282" i="125"/>
  <c r="A260" i="125"/>
  <c r="AI255" i="125"/>
  <c r="AH255" i="125"/>
  <c r="AI249" i="125"/>
  <c r="AH249" i="125"/>
  <c r="AI243" i="125"/>
  <c r="AH243" i="125"/>
  <c r="AI237" i="125"/>
  <c r="AH237" i="125"/>
  <c r="AI231" i="125"/>
  <c r="AH231" i="125"/>
  <c r="AI225" i="125"/>
  <c r="AH225" i="125"/>
  <c r="AI219" i="125"/>
  <c r="AH219" i="125"/>
  <c r="AI213" i="125"/>
  <c r="AH213" i="125"/>
  <c r="AI207" i="125"/>
  <c r="AH207" i="125"/>
  <c r="AI201" i="125"/>
  <c r="AH201" i="125"/>
  <c r="AI195" i="125"/>
  <c r="AH195" i="125"/>
  <c r="AI189" i="125"/>
  <c r="AH189" i="125"/>
  <c r="AI183" i="125"/>
  <c r="AH183" i="125"/>
  <c r="AI177" i="125"/>
  <c r="AH177" i="125"/>
  <c r="AI171" i="125"/>
  <c r="AH171" i="125"/>
  <c r="AI165" i="125"/>
  <c r="AH165" i="125"/>
  <c r="AI159" i="125"/>
  <c r="AH159" i="125"/>
  <c r="AI153" i="125"/>
  <c r="AH153" i="125"/>
  <c r="AI147" i="125"/>
  <c r="AH147" i="125"/>
  <c r="X196" i="153" l="1"/>
  <c r="Q197" i="153" s="1"/>
  <c r="V197" i="153" s="1"/>
  <c r="W197" i="153" s="1"/>
  <c r="P200" i="153"/>
  <c r="R199" i="153"/>
  <c r="S199" i="153" s="1"/>
  <c r="T199" i="153"/>
  <c r="U198" i="153"/>
  <c r="AO13" i="107"/>
  <c r="AQ13" i="107"/>
  <c r="AS13" i="107"/>
  <c r="Z13" i="107"/>
  <c r="AK13" i="107"/>
  <c r="X197" i="153" l="1"/>
  <c r="Q198" i="153" s="1"/>
  <c r="V198" i="153" s="1"/>
  <c r="W198" i="153" s="1"/>
  <c r="U199" i="153"/>
  <c r="T200" i="153"/>
  <c r="R200" i="153"/>
  <c r="S200" i="153" s="1"/>
  <c r="P201" i="153"/>
  <c r="BE13" i="107"/>
  <c r="BH13" i="107"/>
  <c r="BD13" i="107"/>
  <c r="AZ13" i="107"/>
  <c r="BF13" i="107"/>
  <c r="BB13" i="107"/>
  <c r="AX13" i="107"/>
  <c r="BC13" i="107"/>
  <c r="AY13" i="107"/>
  <c r="BG13" i="107"/>
  <c r="BA13" i="107"/>
  <c r="X198" i="153" l="1"/>
  <c r="Q199" i="153" s="1"/>
  <c r="V199" i="153" s="1"/>
  <c r="W199" i="153" s="1"/>
  <c r="P202" i="153"/>
  <c r="R201" i="153"/>
  <c r="S201" i="153" s="1"/>
  <c r="T201" i="153"/>
  <c r="W200" i="153"/>
  <c r="U200" i="153"/>
  <c r="X199" i="153" l="1"/>
  <c r="Q200" i="153" s="1"/>
  <c r="V200" i="153" s="1"/>
  <c r="U201" i="153"/>
  <c r="T202" i="153"/>
  <c r="P203" i="153"/>
  <c r="R202" i="153"/>
  <c r="S202" i="153" s="1"/>
  <c r="F13" i="110"/>
  <c r="F12" i="110"/>
  <c r="F11" i="110"/>
  <c r="F10" i="110"/>
  <c r="F9" i="110"/>
  <c r="F8" i="110"/>
  <c r="H13" i="110"/>
  <c r="H12" i="110"/>
  <c r="H11" i="110"/>
  <c r="H10" i="110"/>
  <c r="H9" i="110"/>
  <c r="J13" i="110"/>
  <c r="J12" i="110"/>
  <c r="J11" i="110"/>
  <c r="J10" i="110"/>
  <c r="J9" i="110"/>
  <c r="J8" i="110"/>
  <c r="H8" i="110"/>
  <c r="X200" i="153" l="1"/>
  <c r="Q201" i="153" s="1"/>
  <c r="V201" i="153" s="1"/>
  <c r="P204" i="153"/>
  <c r="R203" i="153"/>
  <c r="S203" i="153" s="1"/>
  <c r="T203" i="153"/>
  <c r="U202" i="153"/>
  <c r="W201" i="153"/>
  <c r="F26" i="18"/>
  <c r="F23" i="18"/>
  <c r="X201" i="153" l="1"/>
  <c r="Q202" i="153" s="1"/>
  <c r="V202" i="153" s="1"/>
  <c r="W202" i="153" s="1"/>
  <c r="W203" i="153"/>
  <c r="U203" i="153"/>
  <c r="T204" i="153"/>
  <c r="R204" i="153"/>
  <c r="S204" i="153" s="1"/>
  <c r="P205" i="153"/>
  <c r="F28" i="18"/>
  <c r="F19" i="18"/>
  <c r="X202" i="153" l="1"/>
  <c r="Q203" i="153" s="1"/>
  <c r="V203" i="153" s="1"/>
  <c r="P206" i="153"/>
  <c r="R205" i="153"/>
  <c r="S205" i="153" s="1"/>
  <c r="T205" i="153"/>
  <c r="U204" i="153"/>
  <c r="K70" i="125"/>
  <c r="U70" i="125"/>
  <c r="AO70" i="125"/>
  <c r="AE70" i="125"/>
  <c r="BI70" i="125"/>
  <c r="AY70" i="125"/>
  <c r="X203" i="153" l="1"/>
  <c r="Q204" i="153" s="1"/>
  <c r="V204" i="153" s="1"/>
  <c r="W204" i="153" s="1"/>
  <c r="U205" i="153"/>
  <c r="T206" i="153"/>
  <c r="P207" i="153"/>
  <c r="R206" i="153"/>
  <c r="S206" i="153" s="1"/>
  <c r="V12" i="108"/>
  <c r="U12" i="108"/>
  <c r="Q12" i="108"/>
  <c r="T12" i="108"/>
  <c r="R12" i="108"/>
  <c r="S12" i="108"/>
  <c r="X204" i="153" l="1"/>
  <c r="Q205" i="153" s="1"/>
  <c r="V205" i="153" s="1"/>
  <c r="P208" i="153"/>
  <c r="R207" i="153"/>
  <c r="S207" i="153" s="1"/>
  <c r="T207" i="153"/>
  <c r="U206" i="153"/>
  <c r="W205" i="153"/>
  <c r="L13" i="114"/>
  <c r="L15" i="114" s="1"/>
  <c r="F13" i="114"/>
  <c r="F15" i="114" s="1"/>
  <c r="X205" i="153" l="1"/>
  <c r="Q206" i="153" s="1"/>
  <c r="V206" i="153" s="1"/>
  <c r="W206" i="153" s="1"/>
  <c r="W207" i="153"/>
  <c r="U207" i="153"/>
  <c r="T208" i="153"/>
  <c r="R208" i="153"/>
  <c r="S208" i="153" s="1"/>
  <c r="P209" i="153"/>
  <c r="F31" i="114"/>
  <c r="F32" i="114" s="1"/>
  <c r="X206" i="153" l="1"/>
  <c r="Q207" i="153" s="1"/>
  <c r="V207" i="153" s="1"/>
  <c r="W208" i="153"/>
  <c r="U208" i="153"/>
  <c r="P210" i="153"/>
  <c r="R209" i="153"/>
  <c r="S209" i="153" s="1"/>
  <c r="T209" i="153"/>
  <c r="H32" i="114"/>
  <c r="H27" i="114"/>
  <c r="AO21" i="107"/>
  <c r="AQ21" i="107"/>
  <c r="AS21" i="107"/>
  <c r="AV21" i="107"/>
  <c r="AI21" i="107"/>
  <c r="Z21" i="107"/>
  <c r="AK21" i="107"/>
  <c r="AM21" i="107"/>
  <c r="Z15" i="107"/>
  <c r="AI15" i="107"/>
  <c r="AK15" i="107"/>
  <c r="AM15" i="107"/>
  <c r="AO15" i="107"/>
  <c r="AV15" i="107"/>
  <c r="AQ15" i="107"/>
  <c r="AS15" i="107"/>
  <c r="AI23" i="107"/>
  <c r="AK23" i="107"/>
  <c r="AM23" i="107"/>
  <c r="AO23" i="107"/>
  <c r="AV23" i="107"/>
  <c r="Z23" i="107"/>
  <c r="AQ23" i="107"/>
  <c r="AS23" i="107"/>
  <c r="AI31" i="107"/>
  <c r="Z31" i="107"/>
  <c r="AK31" i="107"/>
  <c r="AM31" i="107"/>
  <c r="AO31" i="107"/>
  <c r="AQ31" i="107"/>
  <c r="AS31" i="107"/>
  <c r="AV31" i="107"/>
  <c r="AK16" i="107"/>
  <c r="Z16" i="107"/>
  <c r="AM16" i="107"/>
  <c r="AO16" i="107"/>
  <c r="AQ16" i="107"/>
  <c r="AS16" i="107"/>
  <c r="AI16" i="107"/>
  <c r="AV16" i="107"/>
  <c r="AK24" i="107"/>
  <c r="Z24" i="107"/>
  <c r="AM24" i="107"/>
  <c r="AO24" i="107"/>
  <c r="AQ24" i="107"/>
  <c r="AS24" i="107"/>
  <c r="AV24" i="107"/>
  <c r="AI24" i="107"/>
  <c r="AK32" i="107"/>
  <c r="Z32" i="107"/>
  <c r="AM32" i="107"/>
  <c r="AO32" i="107"/>
  <c r="AQ32" i="107"/>
  <c r="AS32" i="107"/>
  <c r="AI32" i="107"/>
  <c r="AV32" i="107"/>
  <c r="AO17" i="107"/>
  <c r="AQ17" i="107"/>
  <c r="AV17" i="107"/>
  <c r="Z17" i="107"/>
  <c r="AS17" i="107"/>
  <c r="AM17" i="107"/>
  <c r="AI17" i="107"/>
  <c r="AK17" i="107"/>
  <c r="AS18" i="107"/>
  <c r="AV18" i="107"/>
  <c r="Z18" i="107"/>
  <c r="AQ18" i="107"/>
  <c r="AI18" i="107"/>
  <c r="AK18" i="107"/>
  <c r="AM18" i="107"/>
  <c r="AO18" i="107"/>
  <c r="AS26" i="107"/>
  <c r="AV26" i="107"/>
  <c r="Z26" i="107"/>
  <c r="AI26" i="107"/>
  <c r="AK26" i="107"/>
  <c r="AM26" i="107"/>
  <c r="AO26" i="107"/>
  <c r="AQ26" i="107"/>
  <c r="AO25" i="107"/>
  <c r="AV25" i="107"/>
  <c r="AQ25" i="107"/>
  <c r="Z25" i="107"/>
  <c r="AS25" i="107"/>
  <c r="AM25" i="107"/>
  <c r="AI25" i="107"/>
  <c r="AK25" i="107"/>
  <c r="AI19" i="107"/>
  <c r="AK19" i="107"/>
  <c r="AM19" i="107"/>
  <c r="Z19" i="107"/>
  <c r="AO19" i="107"/>
  <c r="AQ19" i="107"/>
  <c r="AV19" i="107"/>
  <c r="AS19" i="107"/>
  <c r="AI27" i="107"/>
  <c r="AK27" i="107"/>
  <c r="AV27" i="107"/>
  <c r="AM27" i="107"/>
  <c r="Z27" i="107"/>
  <c r="AO27" i="107"/>
  <c r="AQ27" i="107"/>
  <c r="AS27" i="107"/>
  <c r="AK20" i="107"/>
  <c r="AV20" i="107"/>
  <c r="AM20" i="107"/>
  <c r="AO20" i="107"/>
  <c r="AQ20" i="107"/>
  <c r="AS20" i="107"/>
  <c r="Z20" i="107"/>
  <c r="AI20" i="107"/>
  <c r="AK28" i="107"/>
  <c r="AM28" i="107"/>
  <c r="AO28" i="107"/>
  <c r="AI28" i="107"/>
  <c r="AQ28" i="107"/>
  <c r="AV28" i="107"/>
  <c r="AS28" i="107"/>
  <c r="Z28" i="107"/>
  <c r="AO29" i="107"/>
  <c r="AQ29" i="107"/>
  <c r="AS29" i="107"/>
  <c r="AV29" i="107"/>
  <c r="AI29" i="107"/>
  <c r="Z29" i="107"/>
  <c r="AM29" i="107"/>
  <c r="AK29" i="107"/>
  <c r="AS14" i="107"/>
  <c r="AQ14" i="107"/>
  <c r="AI14" i="107"/>
  <c r="AV14" i="107"/>
  <c r="AK14" i="107"/>
  <c r="AM14" i="107"/>
  <c r="AO14" i="107"/>
  <c r="Z14" i="107"/>
  <c r="AH34" i="107"/>
  <c r="AS22" i="107"/>
  <c r="AI22" i="107"/>
  <c r="AV22" i="107"/>
  <c r="AK22" i="107"/>
  <c r="AQ22" i="107"/>
  <c r="AM22" i="107"/>
  <c r="AO22" i="107"/>
  <c r="Z22" i="107"/>
  <c r="AS30" i="107"/>
  <c r="AI30" i="107"/>
  <c r="AQ30" i="107"/>
  <c r="AK30" i="107"/>
  <c r="AM30" i="107"/>
  <c r="AV30" i="107"/>
  <c r="AO30" i="107"/>
  <c r="Z30" i="107"/>
  <c r="X207" i="153" l="1"/>
  <c r="Q208" i="153" s="1"/>
  <c r="V208" i="153" s="1"/>
  <c r="U209" i="153"/>
  <c r="W209" i="153"/>
  <c r="T210" i="153"/>
  <c r="R210" i="153"/>
  <c r="S210" i="153" s="1"/>
  <c r="P211" i="153"/>
  <c r="BM28" i="107"/>
  <c r="BU28" i="107"/>
  <c r="BR28" i="107"/>
  <c r="BS28" i="107"/>
  <c r="BN28" i="107"/>
  <c r="BV28" i="107"/>
  <c r="BO28" i="107"/>
  <c r="BW28" i="107"/>
  <c r="BP28" i="107"/>
  <c r="BX28" i="107"/>
  <c r="BQ28" i="107"/>
  <c r="BT28" i="107"/>
  <c r="BQ15" i="107"/>
  <c r="BR15" i="107"/>
  <c r="BW15" i="107"/>
  <c r="BS15" i="107"/>
  <c r="BT15" i="107"/>
  <c r="BM15" i="107"/>
  <c r="BU15" i="107"/>
  <c r="BO15" i="107"/>
  <c r="BX15" i="107"/>
  <c r="BN15" i="107"/>
  <c r="BV15" i="107"/>
  <c r="BP15" i="107"/>
  <c r="BM22" i="107"/>
  <c r="BU22" i="107"/>
  <c r="BN22" i="107"/>
  <c r="BV22" i="107"/>
  <c r="BQ22" i="107"/>
  <c r="BO22" i="107"/>
  <c r="BW22" i="107"/>
  <c r="BP22" i="107"/>
  <c r="BX22" i="107"/>
  <c r="BT22" i="107"/>
  <c r="BR22" i="107"/>
  <c r="BS22" i="107"/>
  <c r="BQ21" i="107"/>
  <c r="BM21" i="107"/>
  <c r="BP21" i="107"/>
  <c r="BR21" i="107"/>
  <c r="BO21" i="107"/>
  <c r="BS21" i="107"/>
  <c r="BT21" i="107"/>
  <c r="BU21" i="107"/>
  <c r="BW21" i="107"/>
  <c r="BX21" i="107"/>
  <c r="BN21" i="107"/>
  <c r="BV21" i="107"/>
  <c r="BQ27" i="107"/>
  <c r="BU27" i="107"/>
  <c r="BX27" i="107"/>
  <c r="BR27" i="107"/>
  <c r="BS27" i="107"/>
  <c r="BO27" i="107"/>
  <c r="BT27" i="107"/>
  <c r="BM27" i="107"/>
  <c r="BW27" i="107"/>
  <c r="BP27" i="107"/>
  <c r="BN27" i="107"/>
  <c r="BV27" i="107"/>
  <c r="BQ17" i="107"/>
  <c r="BR17" i="107"/>
  <c r="BU17" i="107"/>
  <c r="BP17" i="107"/>
  <c r="BS17" i="107"/>
  <c r="BW17" i="107"/>
  <c r="BT17" i="107"/>
  <c r="BM17" i="107"/>
  <c r="BO17" i="107"/>
  <c r="BX17" i="107"/>
  <c r="BN17" i="107"/>
  <c r="BV17" i="107"/>
  <c r="BQ29" i="107"/>
  <c r="BU29" i="107"/>
  <c r="BR29" i="107"/>
  <c r="BM29" i="107"/>
  <c r="BN29" i="107"/>
  <c r="BO29" i="107"/>
  <c r="BS29" i="107"/>
  <c r="BT29" i="107"/>
  <c r="BV29" i="107"/>
  <c r="BX29" i="107"/>
  <c r="BW29" i="107"/>
  <c r="BP29" i="107"/>
  <c r="BM18" i="107"/>
  <c r="BU18" i="107"/>
  <c r="BS18" i="107"/>
  <c r="BT18" i="107"/>
  <c r="BN18" i="107"/>
  <c r="BV18" i="107"/>
  <c r="BO18" i="107"/>
  <c r="BW18" i="107"/>
  <c r="BP18" i="107"/>
  <c r="BX18" i="107"/>
  <c r="BQ18" i="107"/>
  <c r="BR18" i="107"/>
  <c r="BQ23" i="107"/>
  <c r="BU23" i="107"/>
  <c r="BO23" i="107"/>
  <c r="BP23" i="107"/>
  <c r="BR23" i="107"/>
  <c r="BX23" i="107"/>
  <c r="BS23" i="107"/>
  <c r="BW23" i="107"/>
  <c r="BT23" i="107"/>
  <c r="BM23" i="107"/>
  <c r="BN23" i="107"/>
  <c r="BV23" i="107"/>
  <c r="BM20" i="107"/>
  <c r="BU20" i="107"/>
  <c r="BS20" i="107"/>
  <c r="BN20" i="107"/>
  <c r="BV20" i="107"/>
  <c r="BO20" i="107"/>
  <c r="BW20" i="107"/>
  <c r="BP20" i="107"/>
  <c r="BX20" i="107"/>
  <c r="BQ20" i="107"/>
  <c r="BT20" i="107"/>
  <c r="BR20" i="107"/>
  <c r="BM14" i="107"/>
  <c r="BU14" i="107"/>
  <c r="BS14" i="107"/>
  <c r="BN14" i="107"/>
  <c r="BV14" i="107"/>
  <c r="BO14" i="107"/>
  <c r="BW14" i="107"/>
  <c r="BP14" i="107"/>
  <c r="BX14" i="107"/>
  <c r="BQ14" i="107"/>
  <c r="BT14" i="107"/>
  <c r="BR14" i="107"/>
  <c r="BL34" i="107"/>
  <c r="BQ25" i="107"/>
  <c r="BM25" i="107"/>
  <c r="BW25" i="107"/>
  <c r="BP25" i="107"/>
  <c r="BR25" i="107"/>
  <c r="BU25" i="107"/>
  <c r="BS25" i="107"/>
  <c r="BT25" i="107"/>
  <c r="BO25" i="107"/>
  <c r="BX25" i="107"/>
  <c r="BN25" i="107"/>
  <c r="BV25" i="107"/>
  <c r="BM32" i="107"/>
  <c r="BU32" i="107"/>
  <c r="BW32" i="107"/>
  <c r="BQ32" i="107"/>
  <c r="BN32" i="107"/>
  <c r="BV32" i="107"/>
  <c r="BO32" i="107"/>
  <c r="BR32" i="107"/>
  <c r="BS32" i="107"/>
  <c r="BP32" i="107"/>
  <c r="BX32" i="107"/>
  <c r="BT32" i="107"/>
  <c r="BM16" i="107"/>
  <c r="BU16" i="107"/>
  <c r="BT16" i="107"/>
  <c r="BN16" i="107"/>
  <c r="BV16" i="107"/>
  <c r="BO16" i="107"/>
  <c r="BW16" i="107"/>
  <c r="BP16" i="107"/>
  <c r="BX16" i="107"/>
  <c r="BQ16" i="107"/>
  <c r="BR16" i="107"/>
  <c r="BS16" i="107"/>
  <c r="BQ31" i="107"/>
  <c r="BS31" i="107"/>
  <c r="BV31" i="107"/>
  <c r="BO31" i="107"/>
  <c r="BP31" i="107"/>
  <c r="BR31" i="107"/>
  <c r="BM31" i="107"/>
  <c r="BT31" i="107"/>
  <c r="BU31" i="107"/>
  <c r="BN31" i="107"/>
  <c r="BW31" i="107"/>
  <c r="BX31" i="107"/>
  <c r="BM26" i="107"/>
  <c r="BU26" i="107"/>
  <c r="BQ26" i="107"/>
  <c r="BN26" i="107"/>
  <c r="BV26" i="107"/>
  <c r="BT26" i="107"/>
  <c r="BO26" i="107"/>
  <c r="BW26" i="107"/>
  <c r="BP26" i="107"/>
  <c r="BX26" i="107"/>
  <c r="BR26" i="107"/>
  <c r="BS26" i="107"/>
  <c r="BM30" i="107"/>
  <c r="BU30" i="107"/>
  <c r="BO30" i="107"/>
  <c r="BN30" i="107"/>
  <c r="BV30" i="107"/>
  <c r="BW30" i="107"/>
  <c r="BT30" i="107"/>
  <c r="BS30" i="107"/>
  <c r="BP30" i="107"/>
  <c r="BX30" i="107"/>
  <c r="BQ30" i="107"/>
  <c r="BR30" i="107"/>
  <c r="BQ19" i="107"/>
  <c r="BM19" i="107"/>
  <c r="BR19" i="107"/>
  <c r="BO19" i="107"/>
  <c r="BX19" i="107"/>
  <c r="BS19" i="107"/>
  <c r="BT19" i="107"/>
  <c r="BU19" i="107"/>
  <c r="BW19" i="107"/>
  <c r="BN19" i="107"/>
  <c r="BV19" i="107"/>
  <c r="BP19" i="107"/>
  <c r="BM24" i="107"/>
  <c r="BU24" i="107"/>
  <c r="BN24" i="107"/>
  <c r="BV24" i="107"/>
  <c r="BS24" i="107"/>
  <c r="BO24" i="107"/>
  <c r="BW24" i="107"/>
  <c r="BP24" i="107"/>
  <c r="BX24" i="107"/>
  <c r="BQ24" i="107"/>
  <c r="BR24" i="107"/>
  <c r="BT24" i="107"/>
  <c r="AI34" i="107"/>
  <c r="BH32" i="107"/>
  <c r="BD32" i="107"/>
  <c r="AZ32" i="107"/>
  <c r="BF32" i="107"/>
  <c r="BB32" i="107"/>
  <c r="AX32" i="107"/>
  <c r="BH16" i="107"/>
  <c r="BD16" i="107"/>
  <c r="AZ16" i="107"/>
  <c r="BF16" i="107"/>
  <c r="BB16" i="107"/>
  <c r="AX16" i="107"/>
  <c r="BH31" i="107"/>
  <c r="BD31" i="107"/>
  <c r="AZ31" i="107"/>
  <c r="BF31" i="107"/>
  <c r="BB31" i="107"/>
  <c r="AX31" i="107"/>
  <c r="BH15" i="107"/>
  <c r="BD15" i="107"/>
  <c r="AZ15" i="107"/>
  <c r="BF15" i="107"/>
  <c r="BB15" i="107"/>
  <c r="AX15" i="107"/>
  <c r="BH23" i="107"/>
  <c r="BD23" i="107"/>
  <c r="AZ23" i="107"/>
  <c r="BF23" i="107"/>
  <c r="BB23" i="107"/>
  <c r="AX23" i="107"/>
  <c r="BH24" i="107"/>
  <c r="BD24" i="107"/>
  <c r="AZ24" i="107"/>
  <c r="BF24" i="107"/>
  <c r="BB24" i="107"/>
  <c r="AX24" i="107"/>
  <c r="BH29" i="107"/>
  <c r="BD29" i="107"/>
  <c r="AZ29" i="107"/>
  <c r="BF29" i="107"/>
  <c r="BB29" i="107"/>
  <c r="AX29" i="107"/>
  <c r="BH21" i="107"/>
  <c r="BD21" i="107"/>
  <c r="AZ21" i="107"/>
  <c r="BF21" i="107"/>
  <c r="BB21" i="107"/>
  <c r="AX21" i="107"/>
  <c r="BF28" i="107"/>
  <c r="BB28" i="107"/>
  <c r="AX28" i="107"/>
  <c r="BH28" i="107"/>
  <c r="BD28" i="107"/>
  <c r="AZ28" i="107"/>
  <c r="BF22" i="107"/>
  <c r="BB22" i="107"/>
  <c r="AX22" i="107"/>
  <c r="BH22" i="107"/>
  <c r="BD22" i="107"/>
  <c r="AZ22" i="107"/>
  <c r="BF17" i="107"/>
  <c r="BB17" i="107"/>
  <c r="AX17" i="107"/>
  <c r="BH17" i="107"/>
  <c r="BD17" i="107"/>
  <c r="AZ17" i="107"/>
  <c r="BF20" i="107"/>
  <c r="BB20" i="107"/>
  <c r="AX20" i="107"/>
  <c r="BH20" i="107"/>
  <c r="BD20" i="107"/>
  <c r="AZ20" i="107"/>
  <c r="BF25" i="107"/>
  <c r="BB25" i="107"/>
  <c r="AX25" i="107"/>
  <c r="BH25" i="107"/>
  <c r="BD25" i="107"/>
  <c r="AZ25" i="107"/>
  <c r="BH26" i="107"/>
  <c r="BD26" i="107"/>
  <c r="AZ26" i="107"/>
  <c r="BF26" i="107"/>
  <c r="BB26" i="107"/>
  <c r="AX26" i="107"/>
  <c r="AZ18" i="107"/>
  <c r="BF18" i="107"/>
  <c r="BB18" i="107"/>
  <c r="AX18" i="107"/>
  <c r="BH18" i="107"/>
  <c r="BD18" i="107"/>
  <c r="BB30" i="107"/>
  <c r="AX30" i="107"/>
  <c r="BH30" i="107"/>
  <c r="BD30" i="107"/>
  <c r="AZ30" i="107"/>
  <c r="BF30" i="107"/>
  <c r="BF19" i="107"/>
  <c r="BB19" i="107"/>
  <c r="AX19" i="107"/>
  <c r="BH19" i="107"/>
  <c r="BD19" i="107"/>
  <c r="AZ19" i="107"/>
  <c r="BB14" i="107"/>
  <c r="AX14" i="107"/>
  <c r="BH14" i="107"/>
  <c r="BD14" i="107"/>
  <c r="AZ14" i="107"/>
  <c r="BF14" i="107"/>
  <c r="BF27" i="107"/>
  <c r="BB27" i="107"/>
  <c r="AX27" i="107"/>
  <c r="BH27" i="107"/>
  <c r="BD27" i="107"/>
  <c r="AZ27" i="107"/>
  <c r="AQ34" i="107"/>
  <c r="BC25" i="107"/>
  <c r="BA25" i="107"/>
  <c r="BG25" i="107"/>
  <c r="BE25" i="107"/>
  <c r="AY25" i="107"/>
  <c r="AW25" i="107"/>
  <c r="BA32" i="107"/>
  <c r="AW32" i="107"/>
  <c r="AY32" i="107"/>
  <c r="BG32" i="107"/>
  <c r="BC32" i="107"/>
  <c r="BE32" i="107"/>
  <c r="BE16" i="107"/>
  <c r="BC16" i="107"/>
  <c r="AY16" i="107"/>
  <c r="BA16" i="107"/>
  <c r="AW16" i="107"/>
  <c r="BG16" i="107"/>
  <c r="AY31" i="107"/>
  <c r="AW31" i="107"/>
  <c r="BA31" i="107"/>
  <c r="BE31" i="107"/>
  <c r="BG31" i="107"/>
  <c r="BC31" i="107"/>
  <c r="AW30" i="107"/>
  <c r="AY30" i="107"/>
  <c r="BC30" i="107"/>
  <c r="BG30" i="107"/>
  <c r="BA30" i="107"/>
  <c r="BE30" i="107"/>
  <c r="AO34" i="107"/>
  <c r="AY19" i="107"/>
  <c r="AW19" i="107"/>
  <c r="BA19" i="107"/>
  <c r="BE19" i="107"/>
  <c r="BC19" i="107"/>
  <c r="BG19" i="107"/>
  <c r="BE24" i="107"/>
  <c r="AY24" i="107"/>
  <c r="AW24" i="107"/>
  <c r="BC24" i="107"/>
  <c r="BA24" i="107"/>
  <c r="BG24" i="107"/>
  <c r="AW28" i="107"/>
  <c r="BE28" i="107"/>
  <c r="BA28" i="107"/>
  <c r="AY28" i="107"/>
  <c r="BG28" i="107"/>
  <c r="BC28" i="107"/>
  <c r="AW23" i="107"/>
  <c r="BG23" i="107"/>
  <c r="AY23" i="107"/>
  <c r="BE23" i="107"/>
  <c r="BC23" i="107"/>
  <c r="BA23" i="107"/>
  <c r="BG26" i="107"/>
  <c r="AW26" i="107"/>
  <c r="AY26" i="107"/>
  <c r="BA26" i="107"/>
  <c r="BC26" i="107"/>
  <c r="BE26" i="107"/>
  <c r="AW15" i="107"/>
  <c r="BG15" i="107"/>
  <c r="AY15" i="107"/>
  <c r="BE15" i="107"/>
  <c r="BC15" i="107"/>
  <c r="BA15" i="107"/>
  <c r="AK34" i="107"/>
  <c r="AW22" i="107"/>
  <c r="BG22" i="107"/>
  <c r="BC22" i="107"/>
  <c r="BE22" i="107"/>
  <c r="BA22" i="107"/>
  <c r="AY22" i="107"/>
  <c r="AW14" i="107"/>
  <c r="BC14" i="107"/>
  <c r="BA14" i="107"/>
  <c r="BG14" i="107"/>
  <c r="AV34" i="107"/>
  <c r="BE14" i="107"/>
  <c r="AY14" i="107"/>
  <c r="AW29" i="107"/>
  <c r="BG29" i="107"/>
  <c r="AY29" i="107"/>
  <c r="BE29" i="107"/>
  <c r="BC29" i="107"/>
  <c r="BA29" i="107"/>
  <c r="AW21" i="107"/>
  <c r="BA21" i="107"/>
  <c r="BC21" i="107"/>
  <c r="BE21" i="107"/>
  <c r="BG21" i="107"/>
  <c r="AY21" i="107"/>
  <c r="AW20" i="107"/>
  <c r="BE20" i="107"/>
  <c r="BG20" i="107"/>
  <c r="AY20" i="107"/>
  <c r="BA20" i="107"/>
  <c r="BC20" i="107"/>
  <c r="BG18" i="107"/>
  <c r="BC18" i="107"/>
  <c r="BE18" i="107"/>
  <c r="AW18" i="107"/>
  <c r="BA18" i="107"/>
  <c r="AY18" i="107"/>
  <c r="AS34" i="107"/>
  <c r="AM34" i="107"/>
  <c r="I14" i="18" s="1"/>
  <c r="AW27" i="107"/>
  <c r="BC27" i="107"/>
  <c r="BE27" i="107"/>
  <c r="BG27" i="107"/>
  <c r="AY27" i="107"/>
  <c r="BA27" i="107"/>
  <c r="BA17" i="107"/>
  <c r="BC17" i="107"/>
  <c r="BG17" i="107"/>
  <c r="AY17" i="107"/>
  <c r="AW17" i="107"/>
  <c r="BE17" i="107"/>
  <c r="X208" i="153" l="1"/>
  <c r="Q209" i="153" s="1"/>
  <c r="V209" i="153" s="1"/>
  <c r="P212" i="153"/>
  <c r="R211" i="153"/>
  <c r="S211" i="153" s="1"/>
  <c r="T211" i="153"/>
  <c r="U210" i="153"/>
  <c r="BW34" i="107"/>
  <c r="BO34" i="107"/>
  <c r="BV34" i="107"/>
  <c r="BR34" i="107"/>
  <c r="BN34" i="107"/>
  <c r="BT34" i="107"/>
  <c r="BS34" i="107"/>
  <c r="BP34" i="107"/>
  <c r="BQ34" i="107"/>
  <c r="BU34" i="107"/>
  <c r="BX34" i="107"/>
  <c r="BM34" i="107"/>
  <c r="BB34" i="107"/>
  <c r="AX34" i="107"/>
  <c r="BF34" i="107"/>
  <c r="AZ34" i="107"/>
  <c r="BD34" i="107"/>
  <c r="BH34" i="107"/>
  <c r="K14" i="18"/>
  <c r="E14" i="18"/>
  <c r="G14" i="18"/>
  <c r="O14" i="18"/>
  <c r="M14" i="18"/>
  <c r="BE34" i="107"/>
  <c r="BA34" i="107"/>
  <c r="J14" i="18" s="1"/>
  <c r="AY34" i="107"/>
  <c r="AW34" i="107"/>
  <c r="BG34" i="107"/>
  <c r="BC34" i="107"/>
  <c r="X209" i="153" l="1"/>
  <c r="Q210" i="153" s="1"/>
  <c r="V210" i="153" s="1"/>
  <c r="U211" i="153"/>
  <c r="T212" i="153"/>
  <c r="R212" i="153"/>
  <c r="S212" i="153" s="1"/>
  <c r="P213" i="153"/>
  <c r="W210" i="153"/>
  <c r="N48" i="128"/>
  <c r="O37" i="18"/>
  <c r="BI93" i="125"/>
  <c r="M37" i="18"/>
  <c r="AY93" i="125"/>
  <c r="L48" i="128"/>
  <c r="K37" i="18"/>
  <c r="AO93" i="125"/>
  <c r="J48" i="128"/>
  <c r="AE93" i="125"/>
  <c r="H48" i="128"/>
  <c r="I37" i="18"/>
  <c r="G37" i="18"/>
  <c r="H14" i="18" s="1"/>
  <c r="U93" i="125"/>
  <c r="F48" i="128"/>
  <c r="K93" i="125"/>
  <c r="D48" i="128"/>
  <c r="E37" i="18"/>
  <c r="F14" i="18" s="1"/>
  <c r="N14" i="18"/>
  <c r="L14" i="18"/>
  <c r="P14" i="18"/>
  <c r="U41" i="125"/>
  <c r="U44" i="125" s="1"/>
  <c r="AE41" i="125"/>
  <c r="AE44" i="125" s="1"/>
  <c r="AY41" i="125"/>
  <c r="AY44" i="125" s="1"/>
  <c r="K41" i="125"/>
  <c r="K44" i="125" s="1"/>
  <c r="BI41" i="125"/>
  <c r="BI44" i="125" s="1"/>
  <c r="AO41" i="125"/>
  <c r="AO44" i="125" s="1"/>
  <c r="AE58" i="125"/>
  <c r="AE60" i="125" s="1"/>
  <c r="H10" i="128"/>
  <c r="K58" i="125"/>
  <c r="K60" i="125" s="1"/>
  <c r="BI58" i="125"/>
  <c r="BI60" i="125" s="1"/>
  <c r="AO58" i="125"/>
  <c r="AO60" i="125" s="1"/>
  <c r="U58" i="125"/>
  <c r="U60" i="125" s="1"/>
  <c r="AY58" i="125"/>
  <c r="AY60" i="125" s="1"/>
  <c r="L10" i="128"/>
  <c r="X210" i="153" l="1"/>
  <c r="Q211" i="153" s="1"/>
  <c r="V211" i="153" s="1"/>
  <c r="W211" i="153"/>
  <c r="P214" i="153"/>
  <c r="R213" i="153"/>
  <c r="S213" i="153" s="1"/>
  <c r="T213" i="153"/>
  <c r="W212" i="153"/>
  <c r="U212" i="153"/>
  <c r="AY69" i="125"/>
  <c r="AO69" i="125"/>
  <c r="AE69" i="125"/>
  <c r="U69" i="125"/>
  <c r="K69" i="125"/>
  <c r="L26" i="128"/>
  <c r="L37" i="128"/>
  <c r="AY91" i="125" s="1"/>
  <c r="L44" i="128"/>
  <c r="AY92" i="125" s="1"/>
  <c r="H26" i="128"/>
  <c r="H37" i="128"/>
  <c r="AE91" i="125" s="1"/>
  <c r="H44" i="128"/>
  <c r="AE92" i="125" s="1"/>
  <c r="BI69" i="125"/>
  <c r="X211" i="153" l="1"/>
  <c r="Q212" i="153" s="1"/>
  <c r="V212" i="153" s="1"/>
  <c r="U213" i="153"/>
  <c r="T214" i="153"/>
  <c r="R214" i="153"/>
  <c r="S214" i="153" s="1"/>
  <c r="P215" i="153"/>
  <c r="AY90" i="125"/>
  <c r="Y12" i="110" s="1"/>
  <c r="AE90" i="125"/>
  <c r="Y10" i="110" s="1"/>
  <c r="F21" i="18"/>
  <c r="X212" i="153" l="1"/>
  <c r="Q213" i="153" s="1"/>
  <c r="V213" i="153" s="1"/>
  <c r="W213" i="153" s="1"/>
  <c r="P216" i="153"/>
  <c r="R215" i="153"/>
  <c r="S215" i="153" s="1"/>
  <c r="T215" i="153"/>
  <c r="W214" i="153"/>
  <c r="U214" i="153"/>
  <c r="P8" i="110"/>
  <c r="X213" i="153" l="1"/>
  <c r="Q214" i="153" s="1"/>
  <c r="V214" i="153" s="1"/>
  <c r="W215" i="153"/>
  <c r="U215" i="153"/>
  <c r="T216" i="153"/>
  <c r="P217" i="153"/>
  <c r="R216" i="153"/>
  <c r="S216" i="153" s="1"/>
  <c r="O12" i="127"/>
  <c r="Q12" i="127"/>
  <c r="M12" i="127"/>
  <c r="K12" i="127"/>
  <c r="I12" i="127"/>
  <c r="X214" i="153" l="1"/>
  <c r="Q215" i="153" s="1"/>
  <c r="V215" i="153" s="1"/>
  <c r="P218" i="153"/>
  <c r="R217" i="153"/>
  <c r="S217" i="153" s="1"/>
  <c r="T217" i="153"/>
  <c r="W216" i="153"/>
  <c r="U216" i="153"/>
  <c r="O13" i="127"/>
  <c r="Q13" i="127"/>
  <c r="M13" i="127"/>
  <c r="K13" i="127"/>
  <c r="G13" i="127"/>
  <c r="X215" i="153" l="1"/>
  <c r="Q216" i="153" s="1"/>
  <c r="V216" i="153" s="1"/>
  <c r="U217" i="153"/>
  <c r="T218" i="153"/>
  <c r="R218" i="153"/>
  <c r="S218" i="153" s="1"/>
  <c r="P219" i="153"/>
  <c r="O14" i="127"/>
  <c r="Q14" i="127"/>
  <c r="M14" i="127"/>
  <c r="I14" i="127"/>
  <c r="G14" i="127"/>
  <c r="X216" i="153" l="1"/>
  <c r="Q217" i="153" s="1"/>
  <c r="V217" i="153" s="1"/>
  <c r="W217" i="153" s="1"/>
  <c r="W218" i="153"/>
  <c r="U218" i="153"/>
  <c r="T219" i="153"/>
  <c r="R219" i="153"/>
  <c r="S219" i="153" s="1"/>
  <c r="P220" i="153"/>
  <c r="O15" i="127"/>
  <c r="Q15" i="127"/>
  <c r="K15" i="127"/>
  <c r="I15" i="127"/>
  <c r="G15" i="127"/>
  <c r="Q16" i="127"/>
  <c r="X217" i="153" l="1"/>
  <c r="Q218" i="153" s="1"/>
  <c r="V218" i="153" s="1"/>
  <c r="P221" i="153"/>
  <c r="R220" i="153"/>
  <c r="S220" i="153" s="1"/>
  <c r="T220" i="153"/>
  <c r="U219" i="153"/>
  <c r="W219" i="153"/>
  <c r="Q6" i="127" a="1"/>
  <c r="Q6" i="127" s="1"/>
  <c r="Q9" i="127" a="1"/>
  <c r="Q9" i="127" s="1"/>
  <c r="Q8" i="127" a="1"/>
  <c r="Q8" i="127" s="1"/>
  <c r="Q7" i="127" a="1"/>
  <c r="Q7" i="127" s="1"/>
  <c r="Q4" i="127" a="1"/>
  <c r="Q4" i="127" s="1"/>
  <c r="Q5" i="127" a="1"/>
  <c r="Q5" i="127" s="1"/>
  <c r="M16" i="127"/>
  <c r="K16" i="127"/>
  <c r="I16" i="127"/>
  <c r="G16" i="127"/>
  <c r="X218" i="153" l="1"/>
  <c r="Q219" i="153" s="1"/>
  <c r="V219" i="153" s="1"/>
  <c r="U220" i="153"/>
  <c r="W220" i="153"/>
  <c r="P222" i="153"/>
  <c r="T221" i="153"/>
  <c r="R221" i="153"/>
  <c r="S221" i="153" s="1"/>
  <c r="O17" i="127"/>
  <c r="M17" i="127"/>
  <c r="M4" i="127" s="1" a="1"/>
  <c r="M4" i="127" s="1"/>
  <c r="K17" i="127"/>
  <c r="K9" i="127" s="1" a="1"/>
  <c r="K9" i="127" s="1"/>
  <c r="I17" i="127"/>
  <c r="I4" i="127" s="1" a="1"/>
  <c r="I4" i="127" s="1"/>
  <c r="G17" i="127"/>
  <c r="G5" i="127" s="1" a="1"/>
  <c r="G5" i="127" s="1"/>
  <c r="BG21" i="125"/>
  <c r="BQ21" i="125"/>
  <c r="AW21" i="125"/>
  <c r="BC279" i="125"/>
  <c r="BC265" i="125"/>
  <c r="BC270" i="125"/>
  <c r="BC266" i="125"/>
  <c r="BC280" i="125"/>
  <c r="BC271" i="125"/>
  <c r="BC273" i="125"/>
  <c r="BC281" i="125"/>
  <c r="BC278" i="125"/>
  <c r="BC274" i="125"/>
  <c r="BC268" i="125"/>
  <c r="BC269" i="125"/>
  <c r="BC272" i="125"/>
  <c r="BC267" i="125"/>
  <c r="BC275" i="125"/>
  <c r="BC277" i="125"/>
  <c r="BC276" i="125"/>
  <c r="BC264" i="125"/>
  <c r="S21" i="125"/>
  <c r="AM21" i="125"/>
  <c r="AC21" i="125"/>
  <c r="F43" i="128" a="1"/>
  <c r="N43" i="128" a="1"/>
  <c r="BE275" i="125" a="1"/>
  <c r="BE278" i="125" a="1"/>
  <c r="BE272" i="125" a="1"/>
  <c r="BE281" i="125" a="1"/>
  <c r="BE273" i="125" a="1"/>
  <c r="BE279" i="125" a="1"/>
  <c r="BE271" i="125" a="1"/>
  <c r="BE277" i="125" a="1"/>
  <c r="BE276" i="125" a="1"/>
  <c r="BE274" i="125" a="1"/>
  <c r="BE280" i="125" a="1"/>
  <c r="X219" i="153" l="1"/>
  <c r="Q220" i="153" s="1"/>
  <c r="V220" i="153" s="1"/>
  <c r="U221" i="153"/>
  <c r="W221" i="153"/>
  <c r="R222" i="153"/>
  <c r="S222" i="153" s="1"/>
  <c r="T222" i="153"/>
  <c r="P223" i="153"/>
  <c r="N43" i="128"/>
  <c r="F43" i="128"/>
  <c r="N43" i="149"/>
  <c r="M49" i="149" s="1"/>
  <c r="D43" i="149"/>
  <c r="I43" i="149"/>
  <c r="I10" i="149"/>
  <c r="N10" i="149"/>
  <c r="N13" i="149" s="1"/>
  <c r="D10" i="149"/>
  <c r="O4" i="127" a="1"/>
  <c r="O4" i="127" s="1"/>
  <c r="O8" i="127" a="1"/>
  <c r="O8" i="127" s="1"/>
  <c r="O9" i="127" a="1"/>
  <c r="O9" i="127" s="1"/>
  <c r="O7" i="127" a="1"/>
  <c r="O7" i="127" s="1"/>
  <c r="O6" i="127" a="1"/>
  <c r="O6" i="127" s="1"/>
  <c r="O5" i="127" a="1"/>
  <c r="O5" i="127" s="1"/>
  <c r="M7" i="127" a="1"/>
  <c r="M7" i="127" s="1"/>
  <c r="M6" i="127" a="1"/>
  <c r="M6" i="127" s="1"/>
  <c r="M8" i="127" a="1"/>
  <c r="M8" i="127" s="1"/>
  <c r="M9" i="127" a="1"/>
  <c r="M9" i="127" s="1"/>
  <c r="M5" i="127" a="1"/>
  <c r="M5" i="127" s="1"/>
  <c r="K8" i="127" a="1"/>
  <c r="K8" i="127" s="1"/>
  <c r="K4" i="127" a="1"/>
  <c r="K4" i="127" s="1"/>
  <c r="K5" i="127" a="1"/>
  <c r="K5" i="127" s="1"/>
  <c r="K7" i="127" a="1"/>
  <c r="K7" i="127" s="1"/>
  <c r="K6" i="127" a="1"/>
  <c r="K6" i="127" s="1"/>
  <c r="I9" i="127" a="1"/>
  <c r="I9" i="127" s="1"/>
  <c r="I8" i="127" a="1"/>
  <c r="I8" i="127" s="1"/>
  <c r="I6" i="127" a="1"/>
  <c r="I6" i="127" s="1"/>
  <c r="I7" i="127" a="1"/>
  <c r="I7" i="127" s="1"/>
  <c r="I5" i="127" a="1"/>
  <c r="I5" i="127" s="1"/>
  <c r="G7" i="127" a="1"/>
  <c r="G7" i="127" s="1"/>
  <c r="G6" i="127" a="1"/>
  <c r="G6" i="127" s="1"/>
  <c r="G8" i="127" a="1"/>
  <c r="G8" i="127" s="1"/>
  <c r="G9" i="127" a="1"/>
  <c r="G9" i="127" s="1"/>
  <c r="G4" i="127" a="1"/>
  <c r="G4" i="127" s="1"/>
  <c r="BE281" i="125"/>
  <c r="BE280" i="125"/>
  <c r="BE279" i="125"/>
  <c r="BE278" i="125"/>
  <c r="BE277" i="125"/>
  <c r="BE276" i="125"/>
  <c r="BE275" i="125"/>
  <c r="BE274" i="125"/>
  <c r="BE273" i="125"/>
  <c r="BE272" i="125"/>
  <c r="BE271" i="125"/>
  <c r="X220" i="153" l="1"/>
  <c r="Q221" i="153" s="1"/>
  <c r="V221" i="153" s="1"/>
  <c r="T223" i="153"/>
  <c r="P224" i="153"/>
  <c r="R223" i="153"/>
  <c r="S223" i="153" s="1"/>
  <c r="U222" i="153"/>
  <c r="H49" i="149"/>
  <c r="C49" i="149"/>
  <c r="D46" i="149"/>
  <c r="M16" i="149"/>
  <c r="H16" i="149"/>
  <c r="C16" i="149"/>
  <c r="BA9" i="125"/>
  <c r="C7" i="148" s="1"/>
  <c r="AQ9" i="125"/>
  <c r="AG9" i="125"/>
  <c r="V9" i="125"/>
  <c r="X221" i="153" l="1"/>
  <c r="Q222" i="153" s="1"/>
  <c r="V222" i="153" s="1"/>
  <c r="P225" i="153"/>
  <c r="R224" i="153"/>
  <c r="S224" i="153" s="1"/>
  <c r="T224" i="153"/>
  <c r="U223" i="153"/>
  <c r="W222" i="153"/>
  <c r="D7" i="130"/>
  <c r="H69" i="110"/>
  <c r="I69" i="110"/>
  <c r="J69" i="110"/>
  <c r="K69" i="110"/>
  <c r="L69" i="110"/>
  <c r="M69" i="110"/>
  <c r="N69" i="110"/>
  <c r="O69" i="110"/>
  <c r="P69" i="110"/>
  <c r="Q69" i="110"/>
  <c r="R69" i="110"/>
  <c r="S69" i="110"/>
  <c r="T69" i="110"/>
  <c r="U69" i="110"/>
  <c r="V69" i="110"/>
  <c r="H44" i="110"/>
  <c r="I44" i="110"/>
  <c r="J44" i="110"/>
  <c r="K44" i="110"/>
  <c r="L44" i="110"/>
  <c r="M44" i="110"/>
  <c r="N44" i="110"/>
  <c r="O44" i="110"/>
  <c r="P44" i="110"/>
  <c r="Q44" i="110"/>
  <c r="R44" i="110"/>
  <c r="S44" i="110"/>
  <c r="T44" i="110"/>
  <c r="U44" i="110"/>
  <c r="V44" i="110"/>
  <c r="X222" i="153" l="1"/>
  <c r="Q223" i="153" s="1"/>
  <c r="V223" i="153" s="1"/>
  <c r="W223" i="153" s="1"/>
  <c r="W224" i="153"/>
  <c r="U224" i="153"/>
  <c r="R225" i="153"/>
  <c r="S225" i="153" s="1"/>
  <c r="P226" i="153"/>
  <c r="T225" i="153"/>
  <c r="L9" i="125"/>
  <c r="X223" i="153" l="1"/>
  <c r="Q224" i="153" s="1"/>
  <c r="V224" i="153" s="1"/>
  <c r="U225" i="153"/>
  <c r="W225" i="153"/>
  <c r="T226" i="153"/>
  <c r="R226" i="153"/>
  <c r="S226" i="153" s="1"/>
  <c r="P227" i="153"/>
  <c r="N8" i="110"/>
  <c r="G13" i="110"/>
  <c r="O13" i="110" s="1"/>
  <c r="G12" i="110"/>
  <c r="O12" i="110" s="1"/>
  <c r="G11" i="110"/>
  <c r="O11" i="110" s="1"/>
  <c r="G10" i="110"/>
  <c r="O10" i="110" s="1"/>
  <c r="G9" i="110"/>
  <c r="O9" i="110" s="1"/>
  <c r="G8" i="110"/>
  <c r="O8" i="110" s="1"/>
  <c r="N9" i="110"/>
  <c r="P9" i="110"/>
  <c r="N10" i="110"/>
  <c r="P10" i="110"/>
  <c r="N11" i="110"/>
  <c r="P11" i="110"/>
  <c r="N12" i="110"/>
  <c r="P12" i="110"/>
  <c r="N13" i="110"/>
  <c r="P13" i="110"/>
  <c r="B20" i="110"/>
  <c r="X224" i="153" l="1"/>
  <c r="Q225" i="153" s="1"/>
  <c r="V225" i="153" s="1"/>
  <c r="T227" i="153"/>
  <c r="P228" i="153"/>
  <c r="R227" i="153"/>
  <c r="S227" i="153" s="1"/>
  <c r="U226" i="153"/>
  <c r="R13" i="110"/>
  <c r="R9" i="110"/>
  <c r="R12" i="110"/>
  <c r="R11" i="110"/>
  <c r="R10" i="110"/>
  <c r="R8" i="110"/>
  <c r="K9" i="110"/>
  <c r="K12" i="110"/>
  <c r="K13" i="110"/>
  <c r="K11" i="110"/>
  <c r="K10" i="110"/>
  <c r="X225" i="153" l="1"/>
  <c r="Q226" i="153" s="1"/>
  <c r="V226" i="153" s="1"/>
  <c r="W226" i="153" s="1"/>
  <c r="P229" i="153"/>
  <c r="R228" i="153"/>
  <c r="S228" i="153" s="1"/>
  <c r="T228" i="153"/>
  <c r="U227" i="153"/>
  <c r="Z10" i="110"/>
  <c r="Z12" i="110"/>
  <c r="K31" i="108"/>
  <c r="K30" i="108"/>
  <c r="K29" i="108"/>
  <c r="K28" i="108"/>
  <c r="K27" i="108"/>
  <c r="K26" i="108"/>
  <c r="K25" i="108"/>
  <c r="K24" i="108"/>
  <c r="K23" i="108"/>
  <c r="K22" i="108"/>
  <c r="K21" i="108"/>
  <c r="K20" i="108"/>
  <c r="K19" i="108"/>
  <c r="K18" i="108"/>
  <c r="K17" i="108"/>
  <c r="K16" i="108"/>
  <c r="K15" i="108"/>
  <c r="K14" i="108"/>
  <c r="K13" i="108"/>
  <c r="X226" i="153" l="1"/>
  <c r="Q227" i="153" s="1"/>
  <c r="V227" i="153" s="1"/>
  <c r="W227" i="153"/>
  <c r="U228" i="153"/>
  <c r="R229" i="153"/>
  <c r="S229" i="153" s="1"/>
  <c r="P230" i="153"/>
  <c r="T229" i="153"/>
  <c r="S25" i="108"/>
  <c r="Q25" i="108"/>
  <c r="T25" i="108"/>
  <c r="U25" i="108"/>
  <c r="R25" i="108"/>
  <c r="V25" i="108"/>
  <c r="Q16" i="108"/>
  <c r="R16" i="108"/>
  <c r="V16" i="108"/>
  <c r="S16" i="108"/>
  <c r="T16" i="108"/>
  <c r="U16" i="108"/>
  <c r="U18" i="108"/>
  <c r="Q18" i="108"/>
  <c r="S18" i="108"/>
  <c r="V18" i="108"/>
  <c r="R18" i="108"/>
  <c r="T18" i="108"/>
  <c r="U26" i="108"/>
  <c r="V26" i="108"/>
  <c r="S26" i="108"/>
  <c r="Q26" i="108"/>
  <c r="R26" i="108"/>
  <c r="T26" i="108"/>
  <c r="S27" i="108"/>
  <c r="T27" i="108"/>
  <c r="Q27" i="108"/>
  <c r="U27" i="108"/>
  <c r="V27" i="108"/>
  <c r="R27" i="108"/>
  <c r="Q28" i="108"/>
  <c r="R28" i="108"/>
  <c r="S28" i="108"/>
  <c r="T28" i="108"/>
  <c r="U28" i="108"/>
  <c r="V28" i="108"/>
  <c r="S17" i="108"/>
  <c r="T17" i="108"/>
  <c r="Q17" i="108"/>
  <c r="U17" i="108"/>
  <c r="V17" i="108"/>
  <c r="R17" i="108"/>
  <c r="V19" i="108"/>
  <c r="Q19" i="108"/>
  <c r="S19" i="108"/>
  <c r="U19" i="108"/>
  <c r="R19" i="108"/>
  <c r="T19" i="108"/>
  <c r="Q20" i="108"/>
  <c r="V20" i="108"/>
  <c r="R20" i="108"/>
  <c r="U20" i="108"/>
  <c r="S20" i="108"/>
  <c r="T20" i="108"/>
  <c r="Q13" i="108"/>
  <c r="R13" i="108"/>
  <c r="S13" i="108"/>
  <c r="U13" i="108"/>
  <c r="T13" i="108"/>
  <c r="V13" i="108"/>
  <c r="S21" i="108"/>
  <c r="T21" i="108"/>
  <c r="Q21" i="108"/>
  <c r="U21" i="108"/>
  <c r="R21" i="108"/>
  <c r="V21" i="108"/>
  <c r="S29" i="108"/>
  <c r="R29" i="108"/>
  <c r="T29" i="108"/>
  <c r="U29" i="108"/>
  <c r="V29" i="108"/>
  <c r="Q29" i="108"/>
  <c r="T14" i="108"/>
  <c r="V14" i="108"/>
  <c r="S14" i="108"/>
  <c r="U14" i="108"/>
  <c r="R14" i="108"/>
  <c r="Q14" i="108"/>
  <c r="U22" i="108"/>
  <c r="V22" i="108"/>
  <c r="R22" i="108"/>
  <c r="Q22" i="108"/>
  <c r="S22" i="108"/>
  <c r="T22" i="108"/>
  <c r="U30" i="108"/>
  <c r="R30" i="108"/>
  <c r="S30" i="108"/>
  <c r="V30" i="108"/>
  <c r="Q30" i="108"/>
  <c r="T30" i="108"/>
  <c r="T15" i="108"/>
  <c r="S15" i="108"/>
  <c r="Q15" i="108"/>
  <c r="U15" i="108"/>
  <c r="V15" i="108"/>
  <c r="R15" i="108"/>
  <c r="V23" i="108"/>
  <c r="Q23" i="108"/>
  <c r="S23" i="108"/>
  <c r="U23" i="108"/>
  <c r="R23" i="108"/>
  <c r="T23" i="108"/>
  <c r="S31" i="108"/>
  <c r="V31" i="108"/>
  <c r="Q31" i="108"/>
  <c r="T31" i="108"/>
  <c r="U31" i="108"/>
  <c r="R31" i="108"/>
  <c r="Q24" i="108"/>
  <c r="U24" i="108"/>
  <c r="V24" i="108"/>
  <c r="R24" i="108"/>
  <c r="S24" i="108"/>
  <c r="T24" i="108"/>
  <c r="X227" i="153" l="1"/>
  <c r="Q228" i="153" s="1"/>
  <c r="V228" i="153" s="1"/>
  <c r="W228" i="153" s="1"/>
  <c r="U229" i="153"/>
  <c r="T230" i="153"/>
  <c r="R230" i="153"/>
  <c r="S230" i="153" s="1"/>
  <c r="P231" i="153"/>
  <c r="Q33" i="108"/>
  <c r="E36" i="18" s="1"/>
  <c r="E38" i="18" s="1"/>
  <c r="T33" i="108"/>
  <c r="AO42" i="125" s="1"/>
  <c r="V33" i="108"/>
  <c r="BI42" i="125" s="1"/>
  <c r="U33" i="108"/>
  <c r="AY42" i="125" s="1"/>
  <c r="R33" i="108"/>
  <c r="G36" i="18" s="1"/>
  <c r="G38" i="18" s="1"/>
  <c r="S33" i="108"/>
  <c r="I36" i="18" s="1"/>
  <c r="I38" i="18" s="1"/>
  <c r="G8" i="123"/>
  <c r="O36" i="18" l="1"/>
  <c r="O38" i="18" s="1"/>
  <c r="X228" i="153"/>
  <c r="Q229" i="153" s="1"/>
  <c r="V229" i="153" s="1"/>
  <c r="W229" i="153" s="1"/>
  <c r="U230" i="153"/>
  <c r="T231" i="153"/>
  <c r="P232" i="153"/>
  <c r="R231" i="153"/>
  <c r="S231" i="153" s="1"/>
  <c r="K42" i="125"/>
  <c r="AC8" i="18"/>
  <c r="G9" i="123"/>
  <c r="AC9" i="18" s="1"/>
  <c r="K36" i="18"/>
  <c r="K38" i="18" s="1"/>
  <c r="U42" i="125"/>
  <c r="AE42" i="125"/>
  <c r="M36" i="18"/>
  <c r="M38" i="18" s="1"/>
  <c r="X229" i="153" l="1"/>
  <c r="Q230" i="153" s="1"/>
  <c r="V230" i="153" s="1"/>
  <c r="W230" i="153" s="1"/>
  <c r="W231" i="153"/>
  <c r="U231" i="153"/>
  <c r="P233" i="153"/>
  <c r="R232" i="153"/>
  <c r="S232" i="153" s="1"/>
  <c r="T232" i="153"/>
  <c r="G10" i="123"/>
  <c r="G11" i="123" s="1"/>
  <c r="AC11" i="18" s="1"/>
  <c r="B9" i="125"/>
  <c r="X230" i="153" l="1"/>
  <c r="Q231" i="153" s="1"/>
  <c r="V231" i="153" s="1"/>
  <c r="U232" i="153"/>
  <c r="T233" i="153"/>
  <c r="R233" i="153"/>
  <c r="S233" i="153" s="1"/>
  <c r="P234" i="153"/>
  <c r="AC10" i="18"/>
  <c r="T29" i="18"/>
  <c r="T31" i="18"/>
  <c r="T32" i="18"/>
  <c r="T30" i="18"/>
  <c r="X231" i="153" l="1"/>
  <c r="Q232" i="153" s="1"/>
  <c r="V232" i="153" s="1"/>
  <c r="W233" i="153"/>
  <c r="U233" i="153"/>
  <c r="P235" i="153"/>
  <c r="R234" i="153"/>
  <c r="S234" i="153" s="1"/>
  <c r="T234" i="153"/>
  <c r="U30" i="18"/>
  <c r="U32" i="18"/>
  <c r="U29" i="18"/>
  <c r="U33" i="18"/>
  <c r="U34" i="18"/>
  <c r="U31" i="18"/>
  <c r="W232" i="153" l="1"/>
  <c r="X232" i="153" s="1"/>
  <c r="Q233" i="153" s="1"/>
  <c r="V233" i="153" s="1"/>
  <c r="W234" i="153"/>
  <c r="U234" i="153"/>
  <c r="T235" i="153"/>
  <c r="P236" i="153"/>
  <c r="R235" i="153"/>
  <c r="S235" i="153" s="1"/>
  <c r="V29" i="18"/>
  <c r="S7" i="18" s="1"/>
  <c r="V32" i="18"/>
  <c r="V33" i="18"/>
  <c r="V31" i="18"/>
  <c r="V30" i="18"/>
  <c r="V34" i="18"/>
  <c r="X233" i="153" l="1"/>
  <c r="Q234" i="153" s="1"/>
  <c r="V234" i="153" s="1"/>
  <c r="P237" i="153"/>
  <c r="R236" i="153"/>
  <c r="S236" i="153" s="1"/>
  <c r="T236" i="153"/>
  <c r="U235" i="153"/>
  <c r="S8" i="18"/>
  <c r="S22" i="18"/>
  <c r="U22" i="18" s="1" a="1"/>
  <c r="U22" i="18" s="1"/>
  <c r="T22" i="18" s="1"/>
  <c r="S24" i="18"/>
  <c r="V24" i="18" s="1"/>
  <c r="S10" i="18"/>
  <c r="S12" i="18"/>
  <c r="S26" i="18"/>
  <c r="S23" i="18"/>
  <c r="U23" i="18" s="1" a="1"/>
  <c r="U23" i="18" s="1"/>
  <c r="T23" i="18" s="1"/>
  <c r="S9" i="18"/>
  <c r="S11" i="18"/>
  <c r="S25" i="18"/>
  <c r="S21" i="18"/>
  <c r="M19" i="116"/>
  <c r="F19" i="116"/>
  <c r="D19" i="116"/>
  <c r="K19" i="116"/>
  <c r="E9" i="117"/>
  <c r="E12" i="117" s="1"/>
  <c r="E13" i="117" s="1"/>
  <c r="X234" i="153" l="1"/>
  <c r="Q235" i="153" s="1"/>
  <c r="V235" i="153" s="1"/>
  <c r="W235" i="153"/>
  <c r="U236" i="153"/>
  <c r="T237" i="153"/>
  <c r="R237" i="153"/>
  <c r="S237" i="153" s="1"/>
  <c r="P238" i="153"/>
  <c r="U21" i="18" a="1"/>
  <c r="U21" i="18" s="1"/>
  <c r="T21" i="18" s="1"/>
  <c r="T7" i="18" s="1"/>
  <c r="D21" i="116"/>
  <c r="U26" i="18" a="1"/>
  <c r="U26" i="18" s="1"/>
  <c r="V26" i="18"/>
  <c r="T9" i="18"/>
  <c r="U24" i="18" a="1"/>
  <c r="U24" i="18" s="1"/>
  <c r="T24" i="18" s="1"/>
  <c r="V25" i="18"/>
  <c r="U25" i="18" a="1"/>
  <c r="U25" i="18" s="1"/>
  <c r="T8" i="18"/>
  <c r="M21" i="116"/>
  <c r="M22" i="116" s="1"/>
  <c r="X235" i="153" l="1"/>
  <c r="Q236" i="153" s="1"/>
  <c r="V236" i="153" s="1"/>
  <c r="W236" i="153" s="1"/>
  <c r="P239" i="153"/>
  <c r="R238" i="153"/>
  <c r="S238" i="153" s="1"/>
  <c r="T238" i="153"/>
  <c r="U237" i="153"/>
  <c r="T25" i="18"/>
  <c r="T26" i="18"/>
  <c r="T12" i="18" s="1"/>
  <c r="T10" i="18"/>
  <c r="X236" i="153" l="1"/>
  <c r="Q237" i="153" s="1"/>
  <c r="V237" i="153" s="1"/>
  <c r="W237" i="153" s="1"/>
  <c r="U238" i="153"/>
  <c r="W238" i="153"/>
  <c r="T239" i="153"/>
  <c r="R239" i="153"/>
  <c r="S239" i="153" s="1"/>
  <c r="P240" i="153"/>
  <c r="T11" i="18"/>
  <c r="X237" i="153" l="1"/>
  <c r="Q238" i="153" s="1"/>
  <c r="V238" i="153" s="1"/>
  <c r="W239" i="153"/>
  <c r="U239" i="153"/>
  <c r="P241" i="153"/>
  <c r="R240" i="153"/>
  <c r="S240" i="153" s="1"/>
  <c r="T240" i="153"/>
  <c r="B33" i="110"/>
  <c r="B32" i="110"/>
  <c r="B31" i="110"/>
  <c r="B30" i="110"/>
  <c r="B29" i="110"/>
  <c r="B28" i="110"/>
  <c r="B27" i="110"/>
  <c r="B26" i="110"/>
  <c r="B25" i="110"/>
  <c r="B24" i="110"/>
  <c r="B23" i="110"/>
  <c r="B22" i="110"/>
  <c r="B21" i="110"/>
  <c r="X238" i="153" l="1"/>
  <c r="Q239" i="153" s="1"/>
  <c r="V239" i="153" s="1"/>
  <c r="T241" i="153"/>
  <c r="R241" i="153"/>
  <c r="S241" i="153" s="1"/>
  <c r="P242" i="153"/>
  <c r="W240" i="153"/>
  <c r="U240" i="153"/>
  <c r="C9" i="110"/>
  <c r="X239" i="153" l="1"/>
  <c r="Q240" i="153" s="1"/>
  <c r="V240" i="153" s="1"/>
  <c r="P243" i="153"/>
  <c r="R242" i="153"/>
  <c r="S242" i="153" s="1"/>
  <c r="T242" i="153"/>
  <c r="U241" i="153"/>
  <c r="F16" i="18"/>
  <c r="X240" i="153" l="1"/>
  <c r="Q241" i="153" s="1"/>
  <c r="V241" i="153" s="1"/>
  <c r="W241" i="153"/>
  <c r="U242" i="153"/>
  <c r="T243" i="153"/>
  <c r="R243" i="153"/>
  <c r="S243" i="153" s="1"/>
  <c r="P244" i="153"/>
  <c r="N7" i="18"/>
  <c r="X241" i="153" l="1"/>
  <c r="Q242" i="153" s="1"/>
  <c r="V242" i="153" s="1"/>
  <c r="P245" i="153"/>
  <c r="R244" i="153"/>
  <c r="S244" i="153" s="1"/>
  <c r="T244" i="153"/>
  <c r="W243" i="153"/>
  <c r="U243" i="153"/>
  <c r="W242" i="153"/>
  <c r="L7" i="18"/>
  <c r="X242" i="153" l="1"/>
  <c r="Q243" i="153" s="1"/>
  <c r="V243" i="153" s="1"/>
  <c r="U244" i="153"/>
  <c r="T245" i="153"/>
  <c r="P246" i="153"/>
  <c r="R245" i="153"/>
  <c r="S245" i="153" s="1"/>
  <c r="P6" i="18"/>
  <c r="N6" i="18"/>
  <c r="N10" i="18" s="1"/>
  <c r="X243" i="153" l="1"/>
  <c r="Q244" i="153" s="1"/>
  <c r="V244" i="153" s="1"/>
  <c r="W244" i="153" s="1"/>
  <c r="P247" i="153"/>
  <c r="R246" i="153"/>
  <c r="S246" i="153" s="1"/>
  <c r="T246" i="153"/>
  <c r="W245" i="153"/>
  <c r="U245" i="153"/>
  <c r="L6" i="18"/>
  <c r="L10" i="18" s="1"/>
  <c r="J6" i="18"/>
  <c r="H6" i="18"/>
  <c r="X244" i="153" l="1"/>
  <c r="Q245" i="153" s="1"/>
  <c r="V245" i="153" s="1"/>
  <c r="U246" i="153"/>
  <c r="T247" i="153"/>
  <c r="P248" i="153"/>
  <c r="R247" i="153"/>
  <c r="S247" i="153" s="1"/>
  <c r="AY67" i="125"/>
  <c r="U67" i="125"/>
  <c r="AE67" i="125"/>
  <c r="X245" i="153" l="1"/>
  <c r="Q246" i="153" s="1"/>
  <c r="V246" i="153" s="1"/>
  <c r="W246" i="153" s="1"/>
  <c r="P249" i="153"/>
  <c r="R248" i="153"/>
  <c r="S248" i="153" s="1"/>
  <c r="T248" i="153"/>
  <c r="W247" i="153"/>
  <c r="U247" i="153"/>
  <c r="BI67" i="125"/>
  <c r="X246" i="153" l="1"/>
  <c r="Q247" i="153" s="1"/>
  <c r="V247" i="153" s="1"/>
  <c r="U248" i="153"/>
  <c r="T249" i="153"/>
  <c r="R249" i="153"/>
  <c r="S249" i="153" s="1"/>
  <c r="P250" i="153"/>
  <c r="BI68" i="125"/>
  <c r="AY68" i="125"/>
  <c r="AE68" i="125"/>
  <c r="AO67" i="125"/>
  <c r="X247" i="153" l="1"/>
  <c r="Q248" i="153" s="1"/>
  <c r="V248" i="153" s="1"/>
  <c r="W248" i="153" s="1"/>
  <c r="P251" i="153"/>
  <c r="R250" i="153"/>
  <c r="S250" i="153" s="1"/>
  <c r="T250" i="153"/>
  <c r="W249" i="153"/>
  <c r="U249" i="153"/>
  <c r="U68" i="125"/>
  <c r="AO68" i="125"/>
  <c r="N12" i="18"/>
  <c r="X248" i="153" l="1"/>
  <c r="Q249" i="153" s="1"/>
  <c r="V249" i="153" s="1"/>
  <c r="W250" i="153"/>
  <c r="U250" i="153"/>
  <c r="T251" i="153"/>
  <c r="R251" i="153"/>
  <c r="S251" i="153" s="1"/>
  <c r="P252" i="153"/>
  <c r="L12" i="18"/>
  <c r="M13" i="18"/>
  <c r="X249" i="153" l="1"/>
  <c r="Q250" i="153" s="1"/>
  <c r="V250" i="153" s="1"/>
  <c r="P253" i="153"/>
  <c r="R252" i="153"/>
  <c r="S252" i="153" s="1"/>
  <c r="T252" i="153"/>
  <c r="U251" i="153"/>
  <c r="M48" i="18"/>
  <c r="I44" i="149" s="1"/>
  <c r="I45" i="149" s="1"/>
  <c r="M46" i="18"/>
  <c r="M45" i="18"/>
  <c r="J7" i="18"/>
  <c r="J10" i="18" s="1"/>
  <c r="H7" i="18"/>
  <c r="H10" i="18" s="1"/>
  <c r="X250" i="153" l="1"/>
  <c r="Q251" i="153" s="1"/>
  <c r="V251" i="153" s="1"/>
  <c r="W251" i="153" s="1"/>
  <c r="W252" i="153"/>
  <c r="U252" i="153"/>
  <c r="T253" i="153"/>
  <c r="R253" i="153"/>
  <c r="S253" i="153" s="1"/>
  <c r="P254" i="153"/>
  <c r="J12" i="18"/>
  <c r="H12" i="18"/>
  <c r="X251" i="153" l="1"/>
  <c r="Q252" i="153" s="1"/>
  <c r="V252" i="153" s="1"/>
  <c r="P255" i="153"/>
  <c r="R254" i="153"/>
  <c r="S254" i="153" s="1"/>
  <c r="T254" i="153"/>
  <c r="U253" i="153"/>
  <c r="N13" i="18"/>
  <c r="M47" i="18" s="1"/>
  <c r="BE269" i="125" a="1"/>
  <c r="X252" i="153" l="1"/>
  <c r="Q253" i="153" s="1"/>
  <c r="V253" i="153" s="1"/>
  <c r="W253" i="153"/>
  <c r="U254" i="153"/>
  <c r="T255" i="153"/>
  <c r="P256" i="153"/>
  <c r="R255" i="153"/>
  <c r="S255" i="153" s="1"/>
  <c r="BE269" i="125"/>
  <c r="N35" i="18"/>
  <c r="N34" i="18"/>
  <c r="X253" i="153" l="1"/>
  <c r="Q254" i="153" s="1"/>
  <c r="V254" i="153" s="1"/>
  <c r="W254" i="153" s="1"/>
  <c r="P257" i="153"/>
  <c r="R256" i="153"/>
  <c r="S256" i="153" s="1"/>
  <c r="T256" i="153"/>
  <c r="W255" i="153"/>
  <c r="U255" i="153"/>
  <c r="M39" i="18"/>
  <c r="M41" i="18" s="1"/>
  <c r="L12" i="110"/>
  <c r="M12" i="110" s="1"/>
  <c r="X254" i="153" l="1"/>
  <c r="Q255" i="153" s="1"/>
  <c r="V255" i="153" s="1"/>
  <c r="U256" i="153"/>
  <c r="W256" i="153"/>
  <c r="T257" i="153"/>
  <c r="R257" i="153"/>
  <c r="S257" i="153" s="1"/>
  <c r="P258" i="153"/>
  <c r="M40" i="18" a="1"/>
  <c r="M40" i="18" s="1"/>
  <c r="M43" i="18" s="1"/>
  <c r="M50" i="18" s="1"/>
  <c r="K67" i="125"/>
  <c r="X255" i="153" l="1"/>
  <c r="Q256" i="153" s="1"/>
  <c r="V256" i="153" s="1"/>
  <c r="P259" i="153"/>
  <c r="R258" i="153"/>
  <c r="S258" i="153" s="1"/>
  <c r="T258" i="153"/>
  <c r="U257" i="153"/>
  <c r="K68" i="125"/>
  <c r="X256" i="153" l="1"/>
  <c r="Q257" i="153" s="1"/>
  <c r="V257" i="153" s="1"/>
  <c r="W257" i="153" s="1"/>
  <c r="U258" i="153"/>
  <c r="T259" i="153"/>
  <c r="P260" i="153"/>
  <c r="R259" i="153"/>
  <c r="S259" i="153" s="1"/>
  <c r="AY71" i="125"/>
  <c r="P7" i="18"/>
  <c r="P10" i="18" s="1"/>
  <c r="X257" i="153" l="1"/>
  <c r="Q258" i="153" s="1"/>
  <c r="V258" i="153" s="1"/>
  <c r="W258" i="153" s="1"/>
  <c r="P261" i="153"/>
  <c r="R260" i="153"/>
  <c r="S260" i="153" s="1"/>
  <c r="T260" i="153"/>
  <c r="U259" i="153"/>
  <c r="P12" i="18"/>
  <c r="X258" i="153" l="1"/>
  <c r="Q259" i="153" s="1"/>
  <c r="V259" i="153" s="1"/>
  <c r="W259" i="153"/>
  <c r="U260" i="153"/>
  <c r="W260" i="153"/>
  <c r="T261" i="153"/>
  <c r="R261" i="153"/>
  <c r="S261" i="153" s="1"/>
  <c r="P262" i="153"/>
  <c r="F7" i="18"/>
  <c r="F10" i="18" s="1"/>
  <c r="X259" i="153" l="1"/>
  <c r="Q260" i="153" s="1"/>
  <c r="V260" i="153" s="1"/>
  <c r="P263" i="153"/>
  <c r="R262" i="153"/>
  <c r="S262" i="153" s="1"/>
  <c r="T262" i="153"/>
  <c r="U261" i="153"/>
  <c r="F12" i="18"/>
  <c r="X260" i="153" l="1"/>
  <c r="Q261" i="153" s="1"/>
  <c r="V261" i="153" s="1"/>
  <c r="U262" i="153"/>
  <c r="W262" i="153"/>
  <c r="T263" i="153"/>
  <c r="R263" i="153"/>
  <c r="S263" i="153" s="1"/>
  <c r="P264" i="153"/>
  <c r="G13" i="18"/>
  <c r="O13" i="18"/>
  <c r="H13" i="18"/>
  <c r="G47" i="18" s="1"/>
  <c r="P13" i="18"/>
  <c r="O47" i="18" s="1"/>
  <c r="BE270" i="125" a="1"/>
  <c r="W261" i="153" l="1"/>
  <c r="X261" i="153" s="1"/>
  <c r="Q262" i="153" s="1"/>
  <c r="V262" i="153" s="1"/>
  <c r="P265" i="153"/>
  <c r="R264" i="153"/>
  <c r="S264" i="153" s="1"/>
  <c r="T264" i="153"/>
  <c r="U263" i="153"/>
  <c r="O48" i="18"/>
  <c r="N44" i="149" s="1"/>
  <c r="N45" i="149" s="1"/>
  <c r="O46" i="18"/>
  <c r="O44" i="18" s="1"/>
  <c r="O45" i="18"/>
  <c r="L13" i="110" s="1"/>
  <c r="G48" i="18"/>
  <c r="I11" i="149" s="1"/>
  <c r="G46" i="18"/>
  <c r="G44" i="18" s="1"/>
  <c r="G45" i="18"/>
  <c r="L9" i="110" s="1"/>
  <c r="BE270" i="125"/>
  <c r="P35" i="18"/>
  <c r="H35" i="18"/>
  <c r="P34" i="18"/>
  <c r="H34" i="18"/>
  <c r="K13" i="18"/>
  <c r="L13" i="18"/>
  <c r="K47" i="18" s="1"/>
  <c r="X262" i="153" l="1"/>
  <c r="Q263" i="153" s="1"/>
  <c r="V263" i="153" s="1"/>
  <c r="W263" i="153" s="1"/>
  <c r="U264" i="153"/>
  <c r="T265" i="153"/>
  <c r="P266" i="153"/>
  <c r="R265" i="153"/>
  <c r="S265" i="153" s="1"/>
  <c r="BI61" i="125"/>
  <c r="BI89" i="125" s="1"/>
  <c r="N10" i="128"/>
  <c r="U61" i="125"/>
  <c r="U89" i="125" s="1"/>
  <c r="F10" i="128"/>
  <c r="K48" i="18"/>
  <c r="D44" i="149" s="1"/>
  <c r="D45" i="149" s="1"/>
  <c r="K46" i="18"/>
  <c r="K45" i="18"/>
  <c r="L11" i="110" s="1"/>
  <c r="M11" i="110" s="1"/>
  <c r="I12" i="149"/>
  <c r="I16" i="149" s="1"/>
  <c r="J16" i="149" s="1"/>
  <c r="H17" i="149" s="1"/>
  <c r="G39" i="18"/>
  <c r="G41" i="18" s="1"/>
  <c r="O39" i="18"/>
  <c r="O41" i="18" s="1"/>
  <c r="K44" i="18"/>
  <c r="AO61" i="125" s="1"/>
  <c r="AO89" i="125" s="1"/>
  <c r="L35" i="18"/>
  <c r="L34" i="18"/>
  <c r="I13" i="18"/>
  <c r="J13" i="18"/>
  <c r="I47" i="18" s="1"/>
  <c r="X263" i="153" l="1"/>
  <c r="Q264" i="153" s="1"/>
  <c r="V264" i="153" s="1"/>
  <c r="U265" i="153"/>
  <c r="P267" i="153"/>
  <c r="R266" i="153"/>
  <c r="S266" i="153" s="1"/>
  <c r="T266" i="153"/>
  <c r="W264" i="153"/>
  <c r="N26" i="128"/>
  <c r="N37" i="128"/>
  <c r="N44" i="128"/>
  <c r="BI92" i="125" s="1"/>
  <c r="BI79" i="125"/>
  <c r="BI81" i="125"/>
  <c r="F37" i="128"/>
  <c r="F26" i="128"/>
  <c r="F44" i="128"/>
  <c r="U92" i="125" s="1"/>
  <c r="U79" i="125"/>
  <c r="U81" i="125"/>
  <c r="I48" i="18"/>
  <c r="N11" i="149" s="1"/>
  <c r="I46" i="18"/>
  <c r="I45" i="18"/>
  <c r="L10" i="110" s="1"/>
  <c r="AO79" i="125"/>
  <c r="AO81" i="125"/>
  <c r="J10" i="128"/>
  <c r="J37" i="128" s="1"/>
  <c r="G40" i="18" a="1"/>
  <c r="G40" i="18" s="1"/>
  <c r="G43" i="18" s="1"/>
  <c r="G50" i="18" s="1"/>
  <c r="I49" i="149"/>
  <c r="J49" i="149" s="1"/>
  <c r="H50" i="149" s="1"/>
  <c r="I50" i="149" s="1"/>
  <c r="J50" i="149" s="1"/>
  <c r="H51" i="149" s="1"/>
  <c r="I51" i="149" s="1"/>
  <c r="J51" i="149" s="1"/>
  <c r="H52" i="149" s="1"/>
  <c r="I52" i="149" s="1"/>
  <c r="J52" i="149" s="1"/>
  <c r="H53" i="149" s="1"/>
  <c r="I53" i="149" s="1"/>
  <c r="J53" i="149" s="1"/>
  <c r="H54" i="149" s="1"/>
  <c r="I54" i="149" s="1"/>
  <c r="J54" i="149" s="1"/>
  <c r="H55" i="149" s="1"/>
  <c r="I55" i="149" s="1"/>
  <c r="J55" i="149" s="1"/>
  <c r="H56" i="149" s="1"/>
  <c r="I56" i="149" s="1"/>
  <c r="J56" i="149" s="1"/>
  <c r="H57" i="149" s="1"/>
  <c r="I57" i="149" s="1"/>
  <c r="J57" i="149" s="1"/>
  <c r="H58" i="149" s="1"/>
  <c r="I58" i="149" s="1"/>
  <c r="J58" i="149" s="1"/>
  <c r="H59" i="149" s="1"/>
  <c r="I59" i="149" s="1"/>
  <c r="J59" i="149" s="1"/>
  <c r="H60" i="149" s="1"/>
  <c r="I60" i="149" s="1"/>
  <c r="J60" i="149" s="1"/>
  <c r="H61" i="149" s="1"/>
  <c r="I61" i="149" s="1"/>
  <c r="J61" i="149" s="1"/>
  <c r="H62" i="149" s="1"/>
  <c r="I62" i="149" s="1"/>
  <c r="J62" i="149" s="1"/>
  <c r="H63" i="149" s="1"/>
  <c r="I63" i="149" s="1"/>
  <c r="J63" i="149" s="1"/>
  <c r="H64" i="149" s="1"/>
  <c r="I64" i="149" s="1"/>
  <c r="J64" i="149" s="1"/>
  <c r="H65" i="149" s="1"/>
  <c r="I65" i="149" s="1"/>
  <c r="J65" i="149" s="1"/>
  <c r="H66" i="149" s="1"/>
  <c r="I66" i="149" s="1"/>
  <c r="J66" i="149" s="1"/>
  <c r="H67" i="149" s="1"/>
  <c r="I67" i="149" s="1"/>
  <c r="J67" i="149" s="1"/>
  <c r="H68" i="149" s="1"/>
  <c r="I68" i="149" s="1"/>
  <c r="J68" i="149" s="1"/>
  <c r="H69" i="149" s="1"/>
  <c r="I69" i="149" s="1"/>
  <c r="J69" i="149" s="1"/>
  <c r="H70" i="149" s="1"/>
  <c r="I70" i="149" s="1"/>
  <c r="J70" i="149" s="1"/>
  <c r="H71" i="149" s="1"/>
  <c r="I71" i="149" s="1"/>
  <c r="J71" i="149" s="1"/>
  <c r="H72" i="149" s="1"/>
  <c r="I72" i="149" s="1"/>
  <c r="J72" i="149" s="1"/>
  <c r="H73" i="149" s="1"/>
  <c r="I73" i="149" s="1"/>
  <c r="J73" i="149" s="1"/>
  <c r="I46" i="149" s="1"/>
  <c r="I17" i="149"/>
  <c r="J17" i="149" s="1"/>
  <c r="H18" i="149" s="1"/>
  <c r="I18" i="149" s="1"/>
  <c r="J18" i="149" s="1"/>
  <c r="H19" i="149" s="1"/>
  <c r="I19" i="149" s="1"/>
  <c r="J19" i="149" s="1"/>
  <c r="H20" i="149" s="1"/>
  <c r="I20" i="149" s="1"/>
  <c r="J20" i="149" s="1"/>
  <c r="H21" i="149" s="1"/>
  <c r="I21" i="149" s="1"/>
  <c r="J21" i="149" s="1"/>
  <c r="H22" i="149" s="1"/>
  <c r="I22" i="149" s="1"/>
  <c r="J22" i="149" s="1"/>
  <c r="H23" i="149" s="1"/>
  <c r="I23" i="149" s="1"/>
  <c r="J23" i="149" s="1"/>
  <c r="H24" i="149" s="1"/>
  <c r="I24" i="149" s="1"/>
  <c r="J24" i="149" s="1"/>
  <c r="H25" i="149" s="1"/>
  <c r="I25" i="149" s="1"/>
  <c r="J25" i="149" s="1"/>
  <c r="H26" i="149" s="1"/>
  <c r="I26" i="149" s="1"/>
  <c r="J26" i="149" s="1"/>
  <c r="H27" i="149" s="1"/>
  <c r="I27" i="149" s="1"/>
  <c r="J27" i="149" s="1"/>
  <c r="H28" i="149" s="1"/>
  <c r="I28" i="149" s="1"/>
  <c r="J28" i="149" s="1"/>
  <c r="H29" i="149" s="1"/>
  <c r="I29" i="149" s="1"/>
  <c r="J29" i="149" s="1"/>
  <c r="H30" i="149" s="1"/>
  <c r="I30" i="149" s="1"/>
  <c r="J30" i="149" s="1"/>
  <c r="H31" i="149" s="1"/>
  <c r="I31" i="149" s="1"/>
  <c r="J31" i="149" s="1"/>
  <c r="H32" i="149" s="1"/>
  <c r="I32" i="149" s="1"/>
  <c r="J32" i="149" s="1"/>
  <c r="H33" i="149" s="1"/>
  <c r="I33" i="149" s="1"/>
  <c r="J33" i="149" s="1"/>
  <c r="H34" i="149" s="1"/>
  <c r="I34" i="149" s="1"/>
  <c r="J34" i="149" s="1"/>
  <c r="H35" i="149" s="1"/>
  <c r="I35" i="149" s="1"/>
  <c r="J35" i="149" s="1"/>
  <c r="H36" i="149" s="1"/>
  <c r="I36" i="149" s="1"/>
  <c r="J36" i="149" s="1"/>
  <c r="H37" i="149" s="1"/>
  <c r="I37" i="149" s="1"/>
  <c r="J37" i="149" s="1"/>
  <c r="H38" i="149" s="1"/>
  <c r="I38" i="149" s="1"/>
  <c r="J38" i="149" s="1"/>
  <c r="H39" i="149" s="1"/>
  <c r="I39" i="149" s="1"/>
  <c r="J39" i="149" s="1"/>
  <c r="H40" i="149" s="1"/>
  <c r="I40" i="149" s="1"/>
  <c r="J40" i="149" s="1"/>
  <c r="I13" i="149" s="1"/>
  <c r="O40" i="18" a="1"/>
  <c r="O40" i="18" s="1"/>
  <c r="O43" i="18" s="1"/>
  <c r="O50" i="18" s="1"/>
  <c r="K39" i="18"/>
  <c r="K41" i="18" s="1"/>
  <c r="J35" i="18"/>
  <c r="J34" i="18"/>
  <c r="E13" i="18"/>
  <c r="E45" i="18" s="1"/>
  <c r="F13" i="18"/>
  <c r="E47" i="18" s="1"/>
  <c r="AJ269" i="125" a="1"/>
  <c r="AJ266" i="125" a="1"/>
  <c r="AJ265" i="125" a="1"/>
  <c r="BE268" i="125" a="1"/>
  <c r="BE267" i="125" a="1"/>
  <c r="BE265" i="125" a="1"/>
  <c r="BE266" i="125" a="1"/>
  <c r="E48" i="18" l="1"/>
  <c r="D11" i="149" s="1"/>
  <c r="E46" i="18"/>
  <c r="AN294" i="125" s="1"/>
  <c r="BM129" i="125" s="1"/>
  <c r="L8" i="110"/>
  <c r="M13" i="110" s="1"/>
  <c r="Q13" i="110" s="1"/>
  <c r="T13" i="110" s="1"/>
  <c r="X264" i="153"/>
  <c r="Q265" i="153" s="1"/>
  <c r="V265" i="153" s="1"/>
  <c r="W265" i="153" s="1"/>
  <c r="U266" i="153"/>
  <c r="T267" i="153"/>
  <c r="R267" i="153"/>
  <c r="S267" i="153" s="1"/>
  <c r="P268" i="153"/>
  <c r="AJ266" i="125"/>
  <c r="BE266" i="125"/>
  <c r="AJ265" i="125"/>
  <c r="U91" i="125"/>
  <c r="AO91" i="125"/>
  <c r="BI91" i="125"/>
  <c r="U90" i="125"/>
  <c r="Y9" i="110" s="1"/>
  <c r="BI90" i="125"/>
  <c r="Y13" i="110" s="1"/>
  <c r="F34" i="18"/>
  <c r="F35" i="18"/>
  <c r="J44" i="128"/>
  <c r="AO92" i="125" s="1"/>
  <c r="J26" i="128"/>
  <c r="AJ269" i="125"/>
  <c r="U71" i="125"/>
  <c r="N12" i="149"/>
  <c r="N49" i="149" s="1"/>
  <c r="O49" i="149" s="1"/>
  <c r="M50" i="149" s="1"/>
  <c r="K40" i="18" a="1"/>
  <c r="K40" i="18" s="1"/>
  <c r="K43" i="18" s="1"/>
  <c r="K50" i="18" s="1"/>
  <c r="I39" i="18"/>
  <c r="I41" i="18" s="1"/>
  <c r="BE267" i="125"/>
  <c r="BE268" i="125"/>
  <c r="BE265" i="125"/>
  <c r="M10" i="110"/>
  <c r="Q10" i="110" s="1"/>
  <c r="T10" i="110" s="1"/>
  <c r="BE264" i="125" a="1"/>
  <c r="X265" i="153" l="1"/>
  <c r="Q266" i="153" s="1"/>
  <c r="V266" i="153" s="1"/>
  <c r="P269" i="153"/>
  <c r="R268" i="153"/>
  <c r="S268" i="153" s="1"/>
  <c r="T268" i="153"/>
  <c r="U267" i="153"/>
  <c r="W266" i="153"/>
  <c r="E39" i="18"/>
  <c r="E41" i="18" s="1"/>
  <c r="BI71" i="125"/>
  <c r="S13" i="110"/>
  <c r="S10" i="110"/>
  <c r="U13" i="110"/>
  <c r="V13" i="110" s="1"/>
  <c r="W13" i="110" s="1"/>
  <c r="U10" i="110"/>
  <c r="V10" i="110" s="1"/>
  <c r="AO90" i="125"/>
  <c r="Y11" i="110" s="1"/>
  <c r="Z11" i="110" s="1"/>
  <c r="E44" i="18"/>
  <c r="K61" i="125" s="1"/>
  <c r="M8" i="110"/>
  <c r="M9" i="110"/>
  <c r="Q9" i="110" s="1"/>
  <c r="T9" i="110" s="1"/>
  <c r="N16" i="149"/>
  <c r="O16" i="149" s="1"/>
  <c r="M17" i="149" s="1"/>
  <c r="N17" i="149" s="1"/>
  <c r="O17" i="149" s="1"/>
  <c r="M18" i="149" s="1"/>
  <c r="N18" i="149" s="1"/>
  <c r="O18" i="149" s="1"/>
  <c r="M19" i="149" s="1"/>
  <c r="N19" i="149" s="1"/>
  <c r="O19" i="149" s="1"/>
  <c r="M20" i="149" s="1"/>
  <c r="N20" i="149" s="1"/>
  <c r="O20" i="149" s="1"/>
  <c r="M21" i="149" s="1"/>
  <c r="N21" i="149" s="1"/>
  <c r="O21" i="149" s="1"/>
  <c r="M22" i="149" s="1"/>
  <c r="N22" i="149" s="1"/>
  <c r="O22" i="149" s="1"/>
  <c r="M23" i="149" s="1"/>
  <c r="N23" i="149" s="1"/>
  <c r="O23" i="149" s="1"/>
  <c r="M24" i="149" s="1"/>
  <c r="N24" i="149" s="1"/>
  <c r="O24" i="149" s="1"/>
  <c r="M25" i="149" s="1"/>
  <c r="N25" i="149" s="1"/>
  <c r="O25" i="149" s="1"/>
  <c r="M26" i="149" s="1"/>
  <c r="N26" i="149" s="1"/>
  <c r="O26" i="149" s="1"/>
  <c r="M27" i="149" s="1"/>
  <c r="N27" i="149" s="1"/>
  <c r="O27" i="149" s="1"/>
  <c r="M28" i="149" s="1"/>
  <c r="N28" i="149" s="1"/>
  <c r="O28" i="149" s="1"/>
  <c r="M29" i="149" s="1"/>
  <c r="N29" i="149" s="1"/>
  <c r="O29" i="149" s="1"/>
  <c r="M30" i="149" s="1"/>
  <c r="N30" i="149" s="1"/>
  <c r="O30" i="149" s="1"/>
  <c r="M31" i="149" s="1"/>
  <c r="N31" i="149" s="1"/>
  <c r="O31" i="149" s="1"/>
  <c r="M32" i="149" s="1"/>
  <c r="N32" i="149" s="1"/>
  <c r="O32" i="149" s="1"/>
  <c r="M33" i="149" s="1"/>
  <c r="N33" i="149" s="1"/>
  <c r="O33" i="149" s="1"/>
  <c r="M34" i="149" s="1"/>
  <c r="N34" i="149" s="1"/>
  <c r="O34" i="149" s="1"/>
  <c r="M35" i="149" s="1"/>
  <c r="N35" i="149" s="1"/>
  <c r="O35" i="149" s="1"/>
  <c r="M36" i="149" s="1"/>
  <c r="N36" i="149" s="1"/>
  <c r="O36" i="149" s="1"/>
  <c r="M37" i="149" s="1"/>
  <c r="N37" i="149" s="1"/>
  <c r="O37" i="149" s="1"/>
  <c r="M38" i="149" s="1"/>
  <c r="N38" i="149" s="1"/>
  <c r="O38" i="149" s="1"/>
  <c r="M39" i="149" s="1"/>
  <c r="N39" i="149" s="1"/>
  <c r="O39" i="149" s="1"/>
  <c r="M40" i="149" s="1"/>
  <c r="N40" i="149" s="1"/>
  <c r="O40" i="149" s="1"/>
  <c r="N50" i="149"/>
  <c r="O50" i="149" s="1"/>
  <c r="M51" i="149" s="1"/>
  <c r="N51" i="149" s="1"/>
  <c r="O51" i="149" s="1"/>
  <c r="M52" i="149" s="1"/>
  <c r="N52" i="149" s="1"/>
  <c r="O52" i="149" s="1"/>
  <c r="M53" i="149" s="1"/>
  <c r="N53" i="149" s="1"/>
  <c r="O53" i="149" s="1"/>
  <c r="M54" i="149" s="1"/>
  <c r="N54" i="149" s="1"/>
  <c r="O54" i="149" s="1"/>
  <c r="M55" i="149" s="1"/>
  <c r="N55" i="149" s="1"/>
  <c r="O55" i="149" s="1"/>
  <c r="M56" i="149" s="1"/>
  <c r="N56" i="149" s="1"/>
  <c r="O56" i="149" s="1"/>
  <c r="M57" i="149" s="1"/>
  <c r="N57" i="149" s="1"/>
  <c r="O57" i="149" s="1"/>
  <c r="M58" i="149" s="1"/>
  <c r="N58" i="149" s="1"/>
  <c r="O58" i="149" s="1"/>
  <c r="M59" i="149" s="1"/>
  <c r="N59" i="149" s="1"/>
  <c r="O59" i="149" s="1"/>
  <c r="M60" i="149" s="1"/>
  <c r="N60" i="149" s="1"/>
  <c r="O60" i="149" s="1"/>
  <c r="M61" i="149" s="1"/>
  <c r="N61" i="149" s="1"/>
  <c r="O61" i="149" s="1"/>
  <c r="M62" i="149" s="1"/>
  <c r="N62" i="149" s="1"/>
  <c r="O62" i="149" s="1"/>
  <c r="M63" i="149" s="1"/>
  <c r="N63" i="149" s="1"/>
  <c r="O63" i="149" s="1"/>
  <c r="M64" i="149" s="1"/>
  <c r="N64" i="149" s="1"/>
  <c r="O64" i="149" s="1"/>
  <c r="M65" i="149" s="1"/>
  <c r="N65" i="149" s="1"/>
  <c r="O65" i="149" s="1"/>
  <c r="M66" i="149" s="1"/>
  <c r="N66" i="149" s="1"/>
  <c r="O66" i="149" s="1"/>
  <c r="M67" i="149" s="1"/>
  <c r="N67" i="149" s="1"/>
  <c r="O67" i="149" s="1"/>
  <c r="M68" i="149" s="1"/>
  <c r="N68" i="149" s="1"/>
  <c r="O68" i="149" s="1"/>
  <c r="M69" i="149" s="1"/>
  <c r="N69" i="149" s="1"/>
  <c r="O69" i="149" s="1"/>
  <c r="M70" i="149" s="1"/>
  <c r="N70" i="149" s="1"/>
  <c r="O70" i="149" s="1"/>
  <c r="M71" i="149" s="1"/>
  <c r="N71" i="149" s="1"/>
  <c r="O71" i="149" s="1"/>
  <c r="M72" i="149" s="1"/>
  <c r="N72" i="149" s="1"/>
  <c r="O72" i="149" s="1"/>
  <c r="M73" i="149" s="1"/>
  <c r="N73" i="149" s="1"/>
  <c r="O73" i="149" s="1"/>
  <c r="N46" i="149" s="1"/>
  <c r="D12" i="149"/>
  <c r="D16" i="149" s="1"/>
  <c r="E16" i="149" s="1"/>
  <c r="C17" i="149" s="1"/>
  <c r="AN343" i="125"/>
  <c r="AN332" i="125"/>
  <c r="AN310" i="125"/>
  <c r="AN321" i="125"/>
  <c r="BE264" i="125"/>
  <c r="Q11" i="110"/>
  <c r="T11" i="110" s="1"/>
  <c r="Q12" i="110"/>
  <c r="T12" i="110" s="1"/>
  <c r="I40" i="18" a="1"/>
  <c r="I40" i="18" s="1"/>
  <c r="I43" i="18" s="1"/>
  <c r="I50" i="18" s="1"/>
  <c r="AJ268" i="125" a="1"/>
  <c r="AJ270" i="125" a="1"/>
  <c r="BU129" i="125" l="1"/>
  <c r="CJ136" i="125"/>
  <c r="AJ99" i="125"/>
  <c r="AI103" i="125" s="1"/>
  <c r="AV103" i="125" s="1"/>
  <c r="X266" i="153"/>
  <c r="Q267" i="153" s="1"/>
  <c r="V267" i="153" s="1"/>
  <c r="W267" i="153" s="1"/>
  <c r="U268" i="153"/>
  <c r="W268" i="153"/>
  <c r="T269" i="153"/>
  <c r="P270" i="153"/>
  <c r="R269" i="153"/>
  <c r="S269" i="153" s="1"/>
  <c r="AO71" i="125"/>
  <c r="S12" i="110"/>
  <c r="S9" i="110"/>
  <c r="U9" i="110" s="1"/>
  <c r="V9" i="110" s="1"/>
  <c r="S11" i="110"/>
  <c r="U12" i="110"/>
  <c r="V12" i="110" s="1"/>
  <c r="U11" i="110"/>
  <c r="V11" i="110" s="1"/>
  <c r="K81" i="125"/>
  <c r="K79" i="125"/>
  <c r="K89" i="125"/>
  <c r="F90" i="18"/>
  <c r="AJ268" i="125"/>
  <c r="AJ270" i="125"/>
  <c r="F86" i="18"/>
  <c r="F85" i="18"/>
  <c r="D49" i="149"/>
  <c r="E49" i="149" s="1"/>
  <c r="C50" i="149" s="1"/>
  <c r="D50" i="149" s="1"/>
  <c r="E50" i="149" s="1"/>
  <c r="C51" i="149" s="1"/>
  <c r="D51" i="149" s="1"/>
  <c r="E51" i="149" s="1"/>
  <c r="C52" i="149" s="1"/>
  <c r="D52" i="149" s="1"/>
  <c r="E52" i="149" s="1"/>
  <c r="C53" i="149" s="1"/>
  <c r="D53" i="149" s="1"/>
  <c r="E53" i="149" s="1"/>
  <c r="C54" i="149" s="1"/>
  <c r="D54" i="149" s="1"/>
  <c r="E54" i="149" s="1"/>
  <c r="C55" i="149" s="1"/>
  <c r="D55" i="149" s="1"/>
  <c r="E55" i="149" s="1"/>
  <c r="C56" i="149" s="1"/>
  <c r="D56" i="149" s="1"/>
  <c r="E56" i="149" s="1"/>
  <c r="C57" i="149" s="1"/>
  <c r="D57" i="149" s="1"/>
  <c r="E57" i="149" s="1"/>
  <c r="C58" i="149" s="1"/>
  <c r="D58" i="149" s="1"/>
  <c r="E58" i="149" s="1"/>
  <c r="C59" i="149" s="1"/>
  <c r="D59" i="149" s="1"/>
  <c r="E59" i="149" s="1"/>
  <c r="C60" i="149" s="1"/>
  <c r="D60" i="149" s="1"/>
  <c r="E60" i="149" s="1"/>
  <c r="C61" i="149" s="1"/>
  <c r="D61" i="149" s="1"/>
  <c r="E61" i="149" s="1"/>
  <c r="C62" i="149" s="1"/>
  <c r="D62" i="149" s="1"/>
  <c r="E62" i="149" s="1"/>
  <c r="C63" i="149" s="1"/>
  <c r="D63" i="149" s="1"/>
  <c r="E63" i="149" s="1"/>
  <c r="C64" i="149" s="1"/>
  <c r="D64" i="149" s="1"/>
  <c r="E64" i="149" s="1"/>
  <c r="C65" i="149" s="1"/>
  <c r="D65" i="149" s="1"/>
  <c r="E65" i="149" s="1"/>
  <c r="C66" i="149" s="1"/>
  <c r="D66" i="149" s="1"/>
  <c r="E66" i="149" s="1"/>
  <c r="C67" i="149" s="1"/>
  <c r="D67" i="149" s="1"/>
  <c r="E67" i="149" s="1"/>
  <c r="C68" i="149" s="1"/>
  <c r="D68" i="149" s="1"/>
  <c r="E68" i="149" s="1"/>
  <c r="C69" i="149" s="1"/>
  <c r="D69" i="149" s="1"/>
  <c r="E69" i="149" s="1"/>
  <c r="C70" i="149" s="1"/>
  <c r="D70" i="149" s="1"/>
  <c r="E70" i="149" s="1"/>
  <c r="C71" i="149" s="1"/>
  <c r="D71" i="149" s="1"/>
  <c r="E71" i="149" s="1"/>
  <c r="C72" i="149" s="1"/>
  <c r="D72" i="149" s="1"/>
  <c r="E72" i="149" s="1"/>
  <c r="C73" i="149" s="1"/>
  <c r="D73" i="149" s="1"/>
  <c r="E73" i="149" s="1"/>
  <c r="D17" i="149"/>
  <c r="E17" i="149" s="1"/>
  <c r="C18" i="149" s="1"/>
  <c r="D18" i="149" s="1"/>
  <c r="E18" i="149" s="1"/>
  <c r="C19" i="149" s="1"/>
  <c r="D19" i="149" s="1"/>
  <c r="E19" i="149" s="1"/>
  <c r="C20" i="149" s="1"/>
  <c r="D20" i="149" s="1"/>
  <c r="E20" i="149" s="1"/>
  <c r="C21" i="149" s="1"/>
  <c r="D21" i="149" s="1"/>
  <c r="E21" i="149" s="1"/>
  <c r="C22" i="149" s="1"/>
  <c r="D22" i="149" s="1"/>
  <c r="E22" i="149" s="1"/>
  <c r="C23" i="149" s="1"/>
  <c r="D23" i="149" s="1"/>
  <c r="E23" i="149" s="1"/>
  <c r="C24" i="149" s="1"/>
  <c r="D24" i="149" s="1"/>
  <c r="E24" i="149" s="1"/>
  <c r="C25" i="149" s="1"/>
  <c r="D25" i="149" s="1"/>
  <c r="E25" i="149" s="1"/>
  <c r="C26" i="149" s="1"/>
  <c r="D26" i="149" s="1"/>
  <c r="E26" i="149" s="1"/>
  <c r="C27" i="149" s="1"/>
  <c r="D27" i="149" s="1"/>
  <c r="E27" i="149" s="1"/>
  <c r="C28" i="149" s="1"/>
  <c r="D28" i="149" s="1"/>
  <c r="E28" i="149" s="1"/>
  <c r="C29" i="149" s="1"/>
  <c r="D29" i="149" s="1"/>
  <c r="E29" i="149" s="1"/>
  <c r="C30" i="149" s="1"/>
  <c r="D30" i="149" s="1"/>
  <c r="E30" i="149" s="1"/>
  <c r="C31" i="149" s="1"/>
  <c r="D31" i="149" s="1"/>
  <c r="E31" i="149" s="1"/>
  <c r="C32" i="149" s="1"/>
  <c r="D32" i="149" s="1"/>
  <c r="E32" i="149" s="1"/>
  <c r="C33" i="149" s="1"/>
  <c r="D33" i="149" s="1"/>
  <c r="E33" i="149" s="1"/>
  <c r="C34" i="149" s="1"/>
  <c r="D34" i="149" s="1"/>
  <c r="E34" i="149" s="1"/>
  <c r="C35" i="149" s="1"/>
  <c r="D35" i="149" s="1"/>
  <c r="E35" i="149" s="1"/>
  <c r="C36" i="149" s="1"/>
  <c r="D36" i="149" s="1"/>
  <c r="E36" i="149" s="1"/>
  <c r="C37" i="149" s="1"/>
  <c r="D37" i="149" s="1"/>
  <c r="E37" i="149" s="1"/>
  <c r="C38" i="149" s="1"/>
  <c r="D38" i="149" s="1"/>
  <c r="E38" i="149" s="1"/>
  <c r="C39" i="149" s="1"/>
  <c r="D39" i="149" s="1"/>
  <c r="E39" i="149" s="1"/>
  <c r="C40" i="149" s="1"/>
  <c r="D40" i="149" s="1"/>
  <c r="E40" i="149" s="1"/>
  <c r="D13" i="149" s="1"/>
  <c r="D10" i="128"/>
  <c r="BI94" i="125"/>
  <c r="E40" i="18" a="1"/>
  <c r="E40" i="18" s="1"/>
  <c r="E43" i="18" s="1"/>
  <c r="Q8" i="110"/>
  <c r="AJ264" i="125" a="1"/>
  <c r="E50" i="18" l="1"/>
  <c r="F92" i="18"/>
  <c r="BE136" i="125"/>
  <c r="X267" i="153"/>
  <c r="Q268" i="153" s="1"/>
  <c r="V268" i="153" s="1"/>
  <c r="P271" i="153"/>
  <c r="R270" i="153"/>
  <c r="S270" i="153" s="1"/>
  <c r="T270" i="153"/>
  <c r="U269" i="153"/>
  <c r="T8" i="110"/>
  <c r="S8" i="110"/>
  <c r="W11" i="110"/>
  <c r="AJ264" i="125"/>
  <c r="AJ282" i="125" s="1" a="1"/>
  <c r="AJ282" i="125" s="1"/>
  <c r="D26" i="128"/>
  <c r="BP305" i="125"/>
  <c r="W10" i="110"/>
  <c r="D37" i="128"/>
  <c r="K91" i="125" s="1"/>
  <c r="D44" i="128"/>
  <c r="K92" i="125" s="1"/>
  <c r="AE71" i="125"/>
  <c r="CG158" i="125" l="1"/>
  <c r="BY158" i="125" s="1"/>
  <c r="CG164" i="125"/>
  <c r="BY164" i="125" s="1"/>
  <c r="CG188" i="125"/>
  <c r="BY188" i="125" s="1"/>
  <c r="CG146" i="125"/>
  <c r="BY146" i="125" s="1"/>
  <c r="CG140" i="125"/>
  <c r="BY140" i="125" s="1"/>
  <c r="CG152" i="125"/>
  <c r="BY152" i="125" s="1"/>
  <c r="BX108" i="125"/>
  <c r="BW108" i="125"/>
  <c r="BX107" i="125"/>
  <c r="BW107" i="125"/>
  <c r="BX106" i="125"/>
  <c r="BW106" i="125"/>
  <c r="BX104" i="125"/>
  <c r="BW104" i="125"/>
  <c r="BX105" i="125"/>
  <c r="BW105" i="125"/>
  <c r="P333" i="125"/>
  <c r="P311" i="125"/>
  <c r="BW103" i="125"/>
  <c r="P295" i="125"/>
  <c r="X268" i="153"/>
  <c r="Q269" i="153" s="1"/>
  <c r="V269" i="153" s="1"/>
  <c r="U8" i="110"/>
  <c r="V8" i="110" s="1"/>
  <c r="W269" i="153"/>
  <c r="W270" i="153"/>
  <c r="U270" i="153"/>
  <c r="T271" i="153"/>
  <c r="R271" i="153"/>
  <c r="S271" i="153" s="1"/>
  <c r="P272" i="153"/>
  <c r="K90" i="125"/>
  <c r="Y8" i="110" s="1"/>
  <c r="Z9" i="110" s="1"/>
  <c r="P330" i="125"/>
  <c r="AX342" i="125"/>
  <c r="BX103" i="125"/>
  <c r="X11" i="110"/>
  <c r="AA11" i="110" s="1"/>
  <c r="AO94" i="125"/>
  <c r="X10" i="110"/>
  <c r="AA10" i="110" s="1"/>
  <c r="AE94" i="125"/>
  <c r="W12" i="110"/>
  <c r="AY94" i="125" s="1"/>
  <c r="W9" i="110"/>
  <c r="K71" i="125"/>
  <c r="P344" i="125" l="1"/>
  <c r="P310" i="125"/>
  <c r="P322" i="125"/>
  <c r="P343" i="125"/>
  <c r="P321" i="125"/>
  <c r="P294" i="125"/>
  <c r="P332" i="125"/>
  <c r="X269" i="153"/>
  <c r="Q270" i="153" s="1"/>
  <c r="V270" i="153" s="1"/>
  <c r="P273" i="153"/>
  <c r="R272" i="153"/>
  <c r="S272" i="153" s="1"/>
  <c r="T272" i="153"/>
  <c r="W271" i="153"/>
  <c r="U271" i="153"/>
  <c r="Z13" i="110"/>
  <c r="Z8" i="110"/>
  <c r="P308" i="125"/>
  <c r="P292" i="125"/>
  <c r="P319" i="125"/>
  <c r="P341" i="125"/>
  <c r="U94" i="125"/>
  <c r="P338" i="125"/>
  <c r="P327" i="125"/>
  <c r="P305" i="125"/>
  <c r="P316" i="125"/>
  <c r="W8" i="110"/>
  <c r="X8" i="110" s="1"/>
  <c r="P289" i="125"/>
  <c r="X270" i="153" l="1"/>
  <c r="Q271" i="153" s="1"/>
  <c r="V271" i="153" s="1"/>
  <c r="U272" i="153"/>
  <c r="T273" i="153"/>
  <c r="P274" i="153"/>
  <c r="R273" i="153"/>
  <c r="S273" i="153" s="1"/>
  <c r="X13" i="110"/>
  <c r="AA13" i="110" s="1"/>
  <c r="X9" i="110"/>
  <c r="AA9" i="110" s="1"/>
  <c r="K94" i="125"/>
  <c r="AA8" i="110"/>
  <c r="X12" i="110"/>
  <c r="AA12" i="110" s="1"/>
  <c r="X271" i="153" l="1"/>
  <c r="Q272" i="153" s="1"/>
  <c r="V272" i="153" s="1"/>
  <c r="W272" i="153" s="1"/>
  <c r="P275" i="153"/>
  <c r="R274" i="153"/>
  <c r="S274" i="153" s="1"/>
  <c r="T274" i="153"/>
  <c r="U273" i="153"/>
  <c r="P340" i="125"/>
  <c r="P342" i="125" s="1"/>
  <c r="AN342" i="125" s="1"/>
  <c r="AN344" i="125" s="1"/>
  <c r="P329" i="125"/>
  <c r="P331" i="125" s="1"/>
  <c r="AN331" i="125" s="1"/>
  <c r="AN333" i="125" s="1"/>
  <c r="AT316" i="125"/>
  <c r="AT338" i="125"/>
  <c r="AT327" i="125"/>
  <c r="P307" i="125"/>
  <c r="P309" i="125" s="1"/>
  <c r="P318" i="125"/>
  <c r="P320" i="125" s="1"/>
  <c r="AN320" i="125" s="1"/>
  <c r="AN322" i="125" s="1"/>
  <c r="AT289" i="125"/>
  <c r="AT305" i="125"/>
  <c r="P291" i="125"/>
  <c r="P293" i="125" s="1"/>
  <c r="AN293" i="125" s="1"/>
  <c r="F84" i="18" s="1"/>
  <c r="H89" i="18" s="1" a="1"/>
  <c r="H89" i="18" s="1"/>
  <c r="G89" i="18" s="1"/>
  <c r="X272" i="153" l="1"/>
  <c r="Q273" i="153" s="1"/>
  <c r="V273" i="153" s="1"/>
  <c r="W273" i="153"/>
  <c r="U274" i="153"/>
  <c r="T275" i="153"/>
  <c r="R275" i="153"/>
  <c r="S275" i="153" s="1"/>
  <c r="P276" i="153"/>
  <c r="AN309" i="125"/>
  <c r="AN311" i="125" s="1"/>
  <c r="AN327" i="125"/>
  <c r="AN328" i="125" s="1"/>
  <c r="AN329" i="125" s="1"/>
  <c r="AN338" i="125"/>
  <c r="AN339" i="125" s="1"/>
  <c r="AN340" i="125" s="1"/>
  <c r="AN305" i="125"/>
  <c r="AN316" i="125"/>
  <c r="BP330" i="125"/>
  <c r="AN289" i="125"/>
  <c r="X273" i="153" l="1"/>
  <c r="Q274" i="153" s="1"/>
  <c r="V274" i="153" s="1"/>
  <c r="W274" i="153" s="1"/>
  <c r="W275" i="153"/>
  <c r="U275" i="153"/>
  <c r="P277" i="153"/>
  <c r="R276" i="153"/>
  <c r="S276" i="153" s="1"/>
  <c r="T276" i="153"/>
  <c r="AN299" i="125"/>
  <c r="AN300" i="125"/>
  <c r="BP309" i="125"/>
  <c r="BP332" i="125"/>
  <c r="BP331" i="125"/>
  <c r="BP308" i="125"/>
  <c r="BP310" i="125"/>
  <c r="AN306" i="125"/>
  <c r="AN307" i="125" s="1"/>
  <c r="AN317" i="125"/>
  <c r="AN318" i="125" s="1"/>
  <c r="AN290" i="125"/>
  <c r="AN291" i="125" s="1"/>
  <c r="X274" i="153" l="1"/>
  <c r="Q275" i="153" s="1"/>
  <c r="V275" i="153" s="1"/>
  <c r="U276" i="153"/>
  <c r="T277" i="153"/>
  <c r="R277" i="153"/>
  <c r="S277" i="153" s="1"/>
  <c r="P278" i="153"/>
  <c r="H86" i="18" a="1"/>
  <c r="H86" i="18" s="1"/>
  <c r="G86" i="18" s="1"/>
  <c r="P354" i="125"/>
  <c r="H94" i="18" a="1"/>
  <c r="H94" i="18" s="1"/>
  <c r="G94" i="18" s="1"/>
  <c r="H92" i="18" a="1"/>
  <c r="H92" i="18" s="1"/>
  <c r="G92" i="18" s="1"/>
  <c r="H93" i="18" a="1"/>
  <c r="H93" i="18" s="1"/>
  <c r="G93" i="18" s="1"/>
  <c r="H97" i="18" a="1"/>
  <c r="H97" i="18" s="1"/>
  <c r="G97" i="18" s="1"/>
  <c r="H101" i="18" a="1"/>
  <c r="H101" i="18" s="1"/>
  <c r="G101" i="18" s="1"/>
  <c r="H98" i="18" a="1"/>
  <c r="H98" i="18" s="1"/>
  <c r="G98" i="18" s="1"/>
  <c r="H96" i="18" a="1"/>
  <c r="H96" i="18" s="1"/>
  <c r="G96" i="18" s="1"/>
  <c r="H100" i="18" a="1"/>
  <c r="H100" i="18" s="1"/>
  <c r="G100" i="18" s="1"/>
  <c r="H99" i="18" a="1"/>
  <c r="H99" i="18" s="1"/>
  <c r="G99" i="18" s="1"/>
  <c r="H95" i="18" a="1"/>
  <c r="H95" i="18" s="1"/>
  <c r="G95" i="18" s="1"/>
  <c r="H91" i="18" a="1"/>
  <c r="H91" i="18" s="1"/>
  <c r="G91" i="18" s="1"/>
  <c r="H90" i="18" a="1"/>
  <c r="H90" i="18" s="1"/>
  <c r="G90" i="18" s="1"/>
  <c r="H87" i="18" a="1"/>
  <c r="H87" i="18" s="1"/>
  <c r="G87" i="18" s="1"/>
  <c r="H85" i="18" a="1"/>
  <c r="H85" i="18" s="1"/>
  <c r="G85" i="18" s="1"/>
  <c r="H84" i="18" a="1"/>
  <c r="H84" i="18" s="1"/>
  <c r="H88" i="18" a="1"/>
  <c r="H88" i="18" s="1"/>
  <c r="G88" i="18" s="1"/>
  <c r="X275" i="153" l="1"/>
  <c r="Q276" i="153" s="1"/>
  <c r="V276" i="153" s="1"/>
  <c r="W276" i="153" s="1"/>
  <c r="P279" i="153"/>
  <c r="R278" i="153"/>
  <c r="S278" i="153" s="1"/>
  <c r="T278" i="153"/>
  <c r="W277" i="153"/>
  <c r="U277" i="153"/>
  <c r="AX289" i="125"/>
  <c r="G84" i="18"/>
  <c r="AN295" i="125" s="1"/>
  <c r="X276" i="153" l="1"/>
  <c r="Q277" i="153" s="1"/>
  <c r="V277" i="153" s="1"/>
  <c r="W278" i="153"/>
  <c r="U278" i="153"/>
  <c r="T279" i="153"/>
  <c r="R279" i="153"/>
  <c r="S279" i="153" s="1"/>
  <c r="P280" i="153"/>
  <c r="BP311" i="125"/>
  <c r="BP333" i="125"/>
  <c r="P35" i="112"/>
  <c r="S33" i="112" s="1"/>
  <c r="K35" i="112"/>
  <c r="S20" i="112" s="1"/>
  <c r="X277" i="153" l="1"/>
  <c r="Q278" i="153" s="1"/>
  <c r="V278" i="153" s="1"/>
  <c r="P281" i="153"/>
  <c r="R280" i="153"/>
  <c r="S280" i="153" s="1"/>
  <c r="T280" i="153"/>
  <c r="W279" i="153"/>
  <c r="U279" i="153"/>
  <c r="X278" i="153" l="1"/>
  <c r="Q279" i="153" s="1"/>
  <c r="V279" i="153" s="1"/>
  <c r="U280" i="153"/>
  <c r="W280" i="153"/>
  <c r="T281" i="153"/>
  <c r="R281" i="153"/>
  <c r="S281" i="153" s="1"/>
  <c r="P282" i="153"/>
  <c r="X279" i="153" l="1"/>
  <c r="Q280" i="153" s="1"/>
  <c r="V280" i="153" s="1"/>
  <c r="P283" i="153"/>
  <c r="R282" i="153"/>
  <c r="S282" i="153" s="1"/>
  <c r="T282" i="153"/>
  <c r="W281" i="153"/>
  <c r="U281" i="153"/>
  <c r="T366" i="125"/>
  <c r="W366" i="125"/>
  <c r="Z366" i="125"/>
  <c r="T369" i="125"/>
  <c r="W369" i="125"/>
  <c r="W368" i="125"/>
  <c r="Z368" i="125"/>
  <c r="Z369" i="125"/>
  <c r="T367" i="125"/>
  <c r="W367" i="125"/>
  <c r="Z367" i="125"/>
  <c r="T368" i="125"/>
  <c r="AJ368" i="125" l="1"/>
  <c r="AO368" i="125" s="1"/>
  <c r="AJ369" i="125"/>
  <c r="AO369" i="125" s="1"/>
  <c r="AJ367" i="125"/>
  <c r="AO367" i="125" s="1"/>
  <c r="AJ366" i="125"/>
  <c r="AO366" i="125" s="1"/>
  <c r="X280" i="153"/>
  <c r="Q281" i="153" s="1"/>
  <c r="V281" i="153" s="1"/>
  <c r="U282" i="153"/>
  <c r="T283" i="153"/>
  <c r="P284" i="153"/>
  <c r="R283" i="153"/>
  <c r="S283" i="153" s="1"/>
  <c r="X281" i="153" l="1"/>
  <c r="Q282" i="153" s="1"/>
  <c r="V282" i="153" s="1"/>
  <c r="W282" i="153" s="1"/>
  <c r="P285" i="153"/>
  <c r="R284" i="153"/>
  <c r="S284" i="153" s="1"/>
  <c r="T284" i="153"/>
  <c r="W283" i="153"/>
  <c r="U283" i="153"/>
  <c r="D132" i="134"/>
  <c r="X45" i="134" s="1"/>
  <c r="X282" i="153" l="1"/>
  <c r="Q283" i="153" s="1"/>
  <c r="V283" i="153" s="1"/>
  <c r="U284" i="153"/>
  <c r="T285" i="153"/>
  <c r="R285" i="153"/>
  <c r="S285" i="153" s="1"/>
  <c r="P286" i="153"/>
  <c r="AD80" i="134"/>
  <c r="X44" i="134"/>
  <c r="X27" i="134" s="1"/>
  <c r="X283" i="153" l="1"/>
  <c r="Q284" i="153" s="1"/>
  <c r="V284" i="153" s="1"/>
  <c r="P287" i="153"/>
  <c r="R286" i="153"/>
  <c r="S286" i="153" s="1"/>
  <c r="T286" i="153"/>
  <c r="U285" i="153"/>
  <c r="W284" i="153"/>
  <c r="AD81" i="134"/>
  <c r="AD82" i="134" s="1"/>
  <c r="AD62" i="134"/>
  <c r="AD63" i="134" s="1"/>
  <c r="AD68" i="134"/>
  <c r="AD66" i="134"/>
  <c r="AA68" i="134"/>
  <c r="D141" i="134"/>
  <c r="AD87" i="134" l="1"/>
  <c r="AD88" i="134" s="1"/>
  <c r="X32" i="134"/>
  <c r="X284" i="153"/>
  <c r="Q285" i="153" s="1"/>
  <c r="V285" i="153" s="1"/>
  <c r="W285" i="153"/>
  <c r="U286" i="153"/>
  <c r="T287" i="153"/>
  <c r="P288" i="153"/>
  <c r="R287" i="153"/>
  <c r="S287" i="153" s="1"/>
  <c r="AD86" i="134"/>
  <c r="AD83" i="134"/>
  <c r="X35" i="134"/>
  <c r="G111" i="134" s="1"/>
  <c r="AA87" i="134"/>
  <c r="AA88" i="134" s="1"/>
  <c r="AD69" i="134"/>
  <c r="AD64" i="134"/>
  <c r="AD70" i="134" s="1"/>
  <c r="X87" i="134"/>
  <c r="X88" i="134" s="1"/>
  <c r="D144" i="134"/>
  <c r="AA97" i="134"/>
  <c r="AA99" i="134" s="1"/>
  <c r="AA102" i="134" s="1"/>
  <c r="X98" i="134"/>
  <c r="X68" i="134"/>
  <c r="AM50" i="134"/>
  <c r="AJ50" i="134"/>
  <c r="AG50" i="134"/>
  <c r="AD50" i="134"/>
  <c r="AA50" i="134"/>
  <c r="X50" i="134"/>
  <c r="AD89" i="134" l="1"/>
  <c r="X285" i="153"/>
  <c r="Q286" i="153" s="1"/>
  <c r="V286" i="153" s="1"/>
  <c r="P289" i="153"/>
  <c r="R288" i="153"/>
  <c r="S288" i="153" s="1"/>
  <c r="T288" i="153"/>
  <c r="U287" i="153"/>
  <c r="W286" i="153"/>
  <c r="AD91" i="134"/>
  <c r="AD90" i="134"/>
  <c r="AD71" i="134"/>
  <c r="AG97" i="134"/>
  <c r="AG99" i="134" s="1"/>
  <c r="AG102" i="134" s="1"/>
  <c r="AJ97" i="134"/>
  <c r="AJ99" i="134" s="1"/>
  <c r="AJ102" i="134" s="1"/>
  <c r="AM97" i="134"/>
  <c r="AM99" i="134" s="1"/>
  <c r="AM102" i="134" s="1"/>
  <c r="AD97" i="134"/>
  <c r="AD99" i="134" s="1"/>
  <c r="AD102" i="134" s="1"/>
  <c r="AA100" i="134"/>
  <c r="AA101" i="134" s="1"/>
  <c r="AJ100" i="134"/>
  <c r="AJ101" i="134" s="1"/>
  <c r="AJ104" i="134" s="1"/>
  <c r="AD100" i="134"/>
  <c r="AD101" i="134" s="1"/>
  <c r="AM100" i="134"/>
  <c r="AM101" i="134" s="1"/>
  <c r="AM104" i="134" s="1"/>
  <c r="AG100" i="134"/>
  <c r="AG101" i="134" s="1"/>
  <c r="AG104" i="134" s="1"/>
  <c r="X100" i="134"/>
  <c r="X101" i="134" s="1"/>
  <c r="X104" i="134" s="1"/>
  <c r="AJ52" i="134"/>
  <c r="AJ51" i="134"/>
  <c r="X52" i="134"/>
  <c r="X51" i="134"/>
  <c r="AG52" i="134"/>
  <c r="AG51" i="134"/>
  <c r="AA52" i="134"/>
  <c r="AA51" i="134"/>
  <c r="AM52" i="134"/>
  <c r="AM51" i="134"/>
  <c r="AD51" i="134"/>
  <c r="AD52" i="134"/>
  <c r="X97" i="134"/>
  <c r="X99" i="134" s="1"/>
  <c r="X102" i="134" s="1"/>
  <c r="X77" i="134"/>
  <c r="D33" i="134"/>
  <c r="G33" i="134"/>
  <c r="J33" i="134"/>
  <c r="M33" i="134"/>
  <c r="P33" i="134"/>
  <c r="S33" i="134"/>
  <c r="X36" i="134"/>
  <c r="X58" i="134"/>
  <c r="X286" i="153" l="1"/>
  <c r="Q287" i="153" s="1"/>
  <c r="V287" i="153" s="1"/>
  <c r="W287" i="153" s="1"/>
  <c r="U288" i="153"/>
  <c r="W288" i="153"/>
  <c r="T289" i="153"/>
  <c r="R289" i="153"/>
  <c r="S289" i="153" s="1"/>
  <c r="P290" i="153"/>
  <c r="AD104" i="134"/>
  <c r="AD103" i="134"/>
  <c r="AA104" i="134"/>
  <c r="AA103" i="134"/>
  <c r="X103" i="134"/>
  <c r="X287" i="153" l="1"/>
  <c r="Q288" i="153" s="1"/>
  <c r="V288" i="153" s="1"/>
  <c r="P291" i="153"/>
  <c r="R290" i="153"/>
  <c r="S290" i="153" s="1"/>
  <c r="T290" i="153"/>
  <c r="U289" i="153"/>
  <c r="X288" i="153" l="1"/>
  <c r="Q289" i="153" s="1"/>
  <c r="V289" i="153" s="1"/>
  <c r="W289" i="153" s="1"/>
  <c r="W290" i="153"/>
  <c r="U290" i="153"/>
  <c r="T291" i="153"/>
  <c r="P292" i="153"/>
  <c r="R291" i="153"/>
  <c r="S291" i="153" s="1"/>
  <c r="X289" i="153" l="1"/>
  <c r="Q290" i="153" s="1"/>
  <c r="V290" i="153" s="1"/>
  <c r="P293" i="153"/>
  <c r="R292" i="153"/>
  <c r="S292" i="153" s="1"/>
  <c r="T292" i="153"/>
  <c r="W291" i="153"/>
  <c r="U291" i="153"/>
  <c r="X290" i="153" l="1"/>
  <c r="Q291" i="153" s="1"/>
  <c r="V291" i="153" s="1"/>
  <c r="U292" i="153"/>
  <c r="W292" i="153"/>
  <c r="T293" i="153"/>
  <c r="R293" i="153"/>
  <c r="S293" i="153" s="1"/>
  <c r="P294" i="153"/>
  <c r="U12" i="18"/>
  <c r="U7" i="18"/>
  <c r="U11" i="18"/>
  <c r="U10" i="18"/>
  <c r="U8" i="18"/>
  <c r="U9" i="18"/>
  <c r="X7" i="18"/>
  <c r="X6" i="18"/>
  <c r="X8" i="18"/>
  <c r="X12" i="18"/>
  <c r="X9" i="18"/>
  <c r="X11" i="18"/>
  <c r="X10" i="18"/>
  <c r="X291" i="153" l="1"/>
  <c r="Q292" i="153" s="1"/>
  <c r="V292" i="153" s="1"/>
  <c r="P295" i="153"/>
  <c r="R294" i="153"/>
  <c r="S294" i="153" s="1"/>
  <c r="T294" i="153"/>
  <c r="U293" i="153"/>
  <c r="T16" i="18"/>
  <c r="G138" i="130" s="1"/>
  <c r="X292" i="153" l="1"/>
  <c r="Q293" i="153" s="1"/>
  <c r="V293" i="153" s="1"/>
  <c r="W293" i="153" s="1"/>
  <c r="U294" i="153"/>
  <c r="T295" i="153"/>
  <c r="R295" i="153"/>
  <c r="S295" i="153" s="1"/>
  <c r="P296" i="153"/>
  <c r="C99" i="130"/>
  <c r="U94" i="130" s="1"/>
  <c r="U35" i="130" s="1"/>
  <c r="G65" i="130"/>
  <c r="G64" i="130" s="1"/>
  <c r="C154" i="130"/>
  <c r="U149" i="130" s="1"/>
  <c r="W12" i="18"/>
  <c r="W10" i="18"/>
  <c r="V10" i="18"/>
  <c r="W9" i="18"/>
  <c r="V12" i="18"/>
  <c r="V9" i="18"/>
  <c r="V11" i="18"/>
  <c r="W8" i="18"/>
  <c r="W11" i="18"/>
  <c r="V8" i="18"/>
  <c r="V7" i="18"/>
  <c r="X293" i="153" l="1"/>
  <c r="Q294" i="153" s="1"/>
  <c r="V294" i="153" s="1"/>
  <c r="P297" i="153"/>
  <c r="R296" i="153"/>
  <c r="S296" i="153" s="1"/>
  <c r="T296" i="153"/>
  <c r="U295" i="153"/>
  <c r="W294" i="153"/>
  <c r="U52" i="130"/>
  <c r="G35" i="130"/>
  <c r="G34" i="130" s="1"/>
  <c r="U54" i="130"/>
  <c r="U37" i="130"/>
  <c r="U117" i="130"/>
  <c r="G116" i="130" s="1"/>
  <c r="U127" i="130"/>
  <c r="G127" i="130" s="1"/>
  <c r="U116" i="130"/>
  <c r="G115" i="130" s="1"/>
  <c r="U126" i="130"/>
  <c r="G126" i="130" s="1"/>
  <c r="U28" i="130"/>
  <c r="R28" i="130" s="1"/>
  <c r="K30" i="130" s="1"/>
  <c r="U53" i="130"/>
  <c r="G53" i="130" s="1"/>
  <c r="G52" i="130"/>
  <c r="G51" i="130" s="1"/>
  <c r="G66" i="130"/>
  <c r="T14" i="18"/>
  <c r="T15" i="18"/>
  <c r="V36" i="130" l="1"/>
  <c r="X294" i="153"/>
  <c r="Q295" i="153" s="1"/>
  <c r="V295" i="153" s="1"/>
  <c r="W295" i="153"/>
  <c r="U296" i="153"/>
  <c r="W296" i="153" s="1"/>
  <c r="T297" i="153"/>
  <c r="P298" i="153"/>
  <c r="R297" i="153"/>
  <c r="S297" i="153" s="1"/>
  <c r="S28" i="130"/>
  <c r="K51" i="130" s="1"/>
  <c r="G128" i="130"/>
  <c r="J7" i="130"/>
  <c r="G117" i="130"/>
  <c r="U36" i="130"/>
  <c r="T36" i="130"/>
  <c r="G55" i="130"/>
  <c r="H7" i="130"/>
  <c r="X295" i="153" l="1"/>
  <c r="Q296" i="153" s="1"/>
  <c r="V296" i="153" s="1"/>
  <c r="P299" i="153"/>
  <c r="R298" i="153"/>
  <c r="S298" i="153" s="1"/>
  <c r="T298" i="153"/>
  <c r="W297" i="153"/>
  <c r="U297" i="153"/>
  <c r="G36" i="130"/>
  <c r="X296" i="153" l="1"/>
  <c r="Q297" i="153" s="1"/>
  <c r="V297" i="153" s="1"/>
  <c r="U298" i="153"/>
  <c r="T299" i="153"/>
  <c r="R299" i="153"/>
  <c r="S299" i="153" s="1"/>
  <c r="P300" i="153"/>
  <c r="G38" i="130"/>
  <c r="G71" i="130"/>
  <c r="I7" i="130"/>
  <c r="X297" i="153" l="1"/>
  <c r="Q298" i="153" s="1"/>
  <c r="V298" i="153" s="1"/>
  <c r="W298" i="153" s="1"/>
  <c r="P301" i="153"/>
  <c r="R300" i="153"/>
  <c r="S300" i="153" s="1"/>
  <c r="T300" i="153"/>
  <c r="W299" i="153"/>
  <c r="U299" i="153"/>
  <c r="X298" i="153" l="1"/>
  <c r="Q299" i="153" s="1"/>
  <c r="V299" i="153" s="1"/>
  <c r="U300" i="153"/>
  <c r="T301" i="153"/>
  <c r="P302" i="153"/>
  <c r="R301" i="153"/>
  <c r="S301" i="153" s="1"/>
  <c r="X299" i="153" l="1"/>
  <c r="Q300" i="153" s="1"/>
  <c r="V300" i="153" s="1"/>
  <c r="W301" i="153"/>
  <c r="U301" i="153"/>
  <c r="W300" i="153"/>
  <c r="P303" i="153"/>
  <c r="R302" i="153"/>
  <c r="S302" i="153" s="1"/>
  <c r="T302" i="153"/>
  <c r="X300" i="153" l="1"/>
  <c r="Q301" i="153" s="1"/>
  <c r="V301" i="153" s="1"/>
  <c r="W302" i="153"/>
  <c r="U302" i="153"/>
  <c r="T303" i="153"/>
  <c r="R303" i="153"/>
  <c r="S303" i="153" s="1"/>
  <c r="P304" i="153"/>
  <c r="X301" i="153" l="1"/>
  <c r="Q302" i="153" s="1"/>
  <c r="V302" i="153" s="1"/>
  <c r="U303" i="153"/>
  <c r="P305" i="153"/>
  <c r="R304" i="153"/>
  <c r="S304" i="153" s="1"/>
  <c r="T304" i="153"/>
  <c r="X302" i="153" l="1"/>
  <c r="Q303" i="153" s="1"/>
  <c r="V303" i="153" s="1"/>
  <c r="W303" i="153" s="1"/>
  <c r="X303" i="153" s="1"/>
  <c r="Q304" i="153" s="1"/>
  <c r="V304" i="153" s="1"/>
  <c r="U304" i="153"/>
  <c r="W304" i="153"/>
  <c r="T305" i="153"/>
  <c r="P306" i="153"/>
  <c r="R305" i="153"/>
  <c r="S305" i="153" s="1"/>
  <c r="X304" i="153" l="1"/>
  <c r="Q305" i="153" s="1"/>
  <c r="V305" i="153" s="1"/>
  <c r="P307" i="153"/>
  <c r="R306" i="153"/>
  <c r="S306" i="153" s="1"/>
  <c r="T306" i="153"/>
  <c r="U305" i="153"/>
  <c r="W305" i="153" s="1"/>
  <c r="W306" i="153" l="1"/>
  <c r="U306" i="153"/>
  <c r="T307" i="153"/>
  <c r="R307" i="153"/>
  <c r="S307" i="153" s="1"/>
  <c r="P308" i="153"/>
  <c r="X305" i="153"/>
  <c r="Q306" i="153" s="1"/>
  <c r="V306" i="153" s="1"/>
  <c r="U307" i="153" l="1"/>
  <c r="X306" i="153"/>
  <c r="Q307" i="153" s="1"/>
  <c r="V307" i="153" s="1"/>
  <c r="P309" i="153"/>
  <c r="R308" i="153"/>
  <c r="S308" i="153" s="1"/>
  <c r="T308" i="153"/>
  <c r="W307" i="153" l="1"/>
  <c r="X307" i="153" s="1"/>
  <c r="Q308" i="153" s="1"/>
  <c r="V308" i="153" s="1"/>
  <c r="U308" i="153"/>
  <c r="W308" i="153"/>
  <c r="T309" i="153"/>
  <c r="R309" i="153"/>
  <c r="S309" i="153" s="1"/>
  <c r="P310" i="153"/>
  <c r="X308" i="153" l="1"/>
  <c r="Q309" i="153" s="1"/>
  <c r="V309" i="153" s="1"/>
  <c r="W309" i="153"/>
  <c r="U309" i="153"/>
  <c r="P311" i="153"/>
  <c r="R310" i="153"/>
  <c r="S310" i="153" s="1"/>
  <c r="T310" i="153"/>
  <c r="W310" i="153" l="1"/>
  <c r="U310" i="153"/>
  <c r="T311" i="153"/>
  <c r="R311" i="153"/>
  <c r="S311" i="153" s="1"/>
  <c r="P312" i="153"/>
  <c r="X309" i="153"/>
  <c r="Q310" i="153" s="1"/>
  <c r="V310" i="153" s="1"/>
  <c r="P313" i="153" l="1"/>
  <c r="R312" i="153"/>
  <c r="S312" i="153" s="1"/>
  <c r="T312" i="153"/>
  <c r="X310" i="153"/>
  <c r="Q311" i="153" s="1"/>
  <c r="V311" i="153" s="1"/>
  <c r="W311" i="153"/>
  <c r="U311" i="153"/>
  <c r="X311" i="153" l="1"/>
  <c r="Q312" i="153" s="1"/>
  <c r="V312" i="153" s="1"/>
  <c r="U312" i="153"/>
  <c r="T313" i="153"/>
  <c r="R313" i="153"/>
  <c r="S313" i="153" s="1"/>
  <c r="P314" i="153"/>
  <c r="W313" i="153" l="1"/>
  <c r="U313" i="153"/>
  <c r="P315" i="153"/>
  <c r="R314" i="153"/>
  <c r="S314" i="153" s="1"/>
  <c r="T314" i="153"/>
  <c r="W312" i="153"/>
  <c r="X312" i="153" s="1"/>
  <c r="Q313" i="153" s="1"/>
  <c r="V313" i="153" s="1"/>
  <c r="X313" i="153" l="1"/>
  <c r="Q314" i="153" s="1"/>
  <c r="V314" i="153" s="1"/>
  <c r="T315" i="153"/>
  <c r="P316" i="153"/>
  <c r="R315" i="153"/>
  <c r="S315" i="153" s="1"/>
  <c r="W314" i="153"/>
  <c r="U314" i="153"/>
  <c r="U315" i="153" l="1"/>
  <c r="P317" i="153"/>
  <c r="R316" i="153"/>
  <c r="S316" i="153" s="1"/>
  <c r="T316" i="153"/>
  <c r="X314" i="153"/>
  <c r="Q315" i="153" s="1"/>
  <c r="V315" i="153" s="1"/>
  <c r="W315" i="153" l="1"/>
  <c r="X315" i="153" s="1"/>
  <c r="Q316" i="153" s="1"/>
  <c r="V316" i="153" s="1"/>
  <c r="U316" i="153"/>
  <c r="T317" i="153"/>
  <c r="R317" i="153"/>
  <c r="S317" i="153" s="1"/>
  <c r="P318" i="153"/>
  <c r="U317" i="153" l="1"/>
  <c r="P319" i="153"/>
  <c r="R318" i="153"/>
  <c r="S318" i="153" s="1"/>
  <c r="T318" i="153"/>
  <c r="W316" i="153"/>
  <c r="X316" i="153" s="1"/>
  <c r="Q317" i="153" s="1"/>
  <c r="V317" i="153" s="1"/>
  <c r="W317" i="153" l="1"/>
  <c r="X317" i="153" s="1"/>
  <c r="Q318" i="153" s="1"/>
  <c r="V318" i="153" s="1"/>
  <c r="U318" i="153"/>
  <c r="T319" i="153"/>
  <c r="P320" i="153"/>
  <c r="R319" i="153"/>
  <c r="S319" i="153" s="1"/>
  <c r="P321" i="153" l="1"/>
  <c r="R320" i="153"/>
  <c r="S320" i="153" s="1"/>
  <c r="T320" i="153"/>
  <c r="U319" i="153"/>
  <c r="W318" i="153"/>
  <c r="X318" i="153" s="1"/>
  <c r="Q319" i="153" s="1"/>
  <c r="V319" i="153" s="1"/>
  <c r="W319" i="153" l="1"/>
  <c r="X319" i="153" s="1"/>
  <c r="Q320" i="153" s="1"/>
  <c r="V320" i="153" s="1"/>
  <c r="U320" i="153"/>
  <c r="T321" i="153"/>
  <c r="R321" i="153"/>
  <c r="S321" i="153" s="1"/>
  <c r="P322" i="153"/>
  <c r="U321" i="153" l="1"/>
  <c r="W321" i="153"/>
  <c r="W320" i="153"/>
  <c r="X320" i="153" s="1"/>
  <c r="Q321" i="153" s="1"/>
  <c r="V321" i="153" s="1"/>
  <c r="P323" i="153"/>
  <c r="R322" i="153"/>
  <c r="S322" i="153" s="1"/>
  <c r="T322" i="153"/>
  <c r="W322" i="153" l="1"/>
  <c r="U322" i="153"/>
  <c r="T323" i="153"/>
  <c r="P324" i="153"/>
  <c r="R323" i="153"/>
  <c r="S323" i="153" s="1"/>
  <c r="X321" i="153"/>
  <c r="Q322" i="153" s="1"/>
  <c r="V322" i="153" s="1"/>
  <c r="X322" i="153" l="1"/>
  <c r="Q323" i="153" s="1"/>
  <c r="V323" i="153" s="1"/>
  <c r="P325" i="153"/>
  <c r="R324" i="153"/>
  <c r="S324" i="153" s="1"/>
  <c r="T324" i="153"/>
  <c r="W323" i="153"/>
  <c r="U323" i="153"/>
  <c r="X323" i="153" l="1"/>
  <c r="Q324" i="153" s="1"/>
  <c r="V324" i="153" s="1"/>
  <c r="U324" i="153"/>
  <c r="T325" i="153"/>
  <c r="R325" i="153"/>
  <c r="S325" i="153" s="1"/>
  <c r="P326" i="153"/>
  <c r="W324" i="153" l="1"/>
  <c r="X324" i="153" s="1"/>
  <c r="Q325" i="153" s="1"/>
  <c r="V325" i="153" s="1"/>
  <c r="P327" i="153"/>
  <c r="R326" i="153"/>
  <c r="S326" i="153" s="1"/>
  <c r="T326" i="153"/>
  <c r="U325" i="153"/>
  <c r="W325" i="153" l="1"/>
  <c r="X325" i="153" s="1"/>
  <c r="Q326" i="153" s="1"/>
  <c r="V326" i="153" s="1"/>
  <c r="U326" i="153"/>
  <c r="W326" i="153" s="1"/>
  <c r="T327" i="153"/>
  <c r="R327" i="153"/>
  <c r="S327" i="153" s="1"/>
  <c r="P328" i="153"/>
  <c r="W327" i="153" l="1"/>
  <c r="U327" i="153"/>
  <c r="P329" i="153"/>
  <c r="R328" i="153"/>
  <c r="S328" i="153" s="1"/>
  <c r="T328" i="153"/>
  <c r="X326" i="153"/>
  <c r="Q327" i="153" s="1"/>
  <c r="V327" i="153" s="1"/>
  <c r="X327" i="153" l="1"/>
  <c r="Q328" i="153" s="1"/>
  <c r="V328" i="153" s="1"/>
  <c r="U328" i="153"/>
  <c r="T329" i="153"/>
  <c r="P330" i="153"/>
  <c r="R329" i="153"/>
  <c r="S329" i="153" s="1"/>
  <c r="P331" i="153" l="1"/>
  <c r="R330" i="153"/>
  <c r="S330" i="153" s="1"/>
  <c r="T330" i="153"/>
  <c r="W329" i="153"/>
  <c r="U329" i="153"/>
  <c r="W328" i="153"/>
  <c r="X328" i="153" s="1"/>
  <c r="Q329" i="153" s="1"/>
  <c r="V329" i="153" s="1"/>
  <c r="X329" i="153" l="1"/>
  <c r="Q330" i="153" s="1"/>
  <c r="V330" i="153" s="1"/>
  <c r="U330" i="153"/>
  <c r="T331" i="153"/>
  <c r="R331" i="153"/>
  <c r="S331" i="153" s="1"/>
  <c r="P332" i="153"/>
  <c r="P333" i="153" l="1"/>
  <c r="R332" i="153"/>
  <c r="S332" i="153" s="1"/>
  <c r="T332" i="153"/>
  <c r="W331" i="153"/>
  <c r="U331" i="153"/>
  <c r="W330" i="153"/>
  <c r="X330" i="153" s="1"/>
  <c r="Q331" i="153" s="1"/>
  <c r="V331" i="153" s="1"/>
  <c r="X331" i="153" l="1"/>
  <c r="Q332" i="153" s="1"/>
  <c r="V332" i="153" s="1"/>
  <c r="U332" i="153"/>
  <c r="W332" i="153"/>
  <c r="T333" i="153"/>
  <c r="P334" i="153"/>
  <c r="R333" i="153"/>
  <c r="S333" i="153" s="1"/>
  <c r="U333" i="153" l="1"/>
  <c r="P335" i="153"/>
  <c r="R334" i="153"/>
  <c r="S334" i="153" s="1"/>
  <c r="T334" i="153"/>
  <c r="X332" i="153"/>
  <c r="Q333" i="153" s="1"/>
  <c r="V333" i="153" s="1"/>
  <c r="W333" i="153" l="1"/>
  <c r="X333" i="153" s="1"/>
  <c r="Q334" i="153" s="1"/>
  <c r="V334" i="153" s="1"/>
  <c r="U334" i="153"/>
  <c r="T335" i="153"/>
  <c r="R335" i="153"/>
  <c r="S335" i="153" s="1"/>
  <c r="P336" i="153"/>
  <c r="P337" i="153" l="1"/>
  <c r="R336" i="153"/>
  <c r="S336" i="153" s="1"/>
  <c r="T336" i="153"/>
  <c r="U335" i="153"/>
  <c r="W335" i="153" s="1"/>
  <c r="W334" i="153"/>
  <c r="X334" i="153" s="1"/>
  <c r="Q335" i="153" s="1"/>
  <c r="V335" i="153" s="1"/>
  <c r="X335" i="153" l="1"/>
  <c r="Q336" i="153" s="1"/>
  <c r="V336" i="153" s="1"/>
  <c r="U336" i="153"/>
  <c r="W336" i="153"/>
  <c r="T337" i="153"/>
  <c r="P338" i="153"/>
  <c r="R337" i="153"/>
  <c r="S337" i="153" s="1"/>
  <c r="U337" i="153" l="1"/>
  <c r="P339" i="153"/>
  <c r="R338" i="153"/>
  <c r="S338" i="153" s="1"/>
  <c r="T338" i="153"/>
  <c r="X336" i="153"/>
  <c r="Q337" i="153" s="1"/>
  <c r="V337" i="153" s="1"/>
  <c r="W337" i="153" l="1"/>
  <c r="X337" i="153" s="1"/>
  <c r="Q338" i="153" s="1"/>
  <c r="V338" i="153" s="1"/>
  <c r="W338" i="153"/>
  <c r="U338" i="153"/>
  <c r="T339" i="153"/>
  <c r="R339" i="153"/>
  <c r="S339" i="153" s="1"/>
  <c r="P340" i="153"/>
  <c r="P341" i="153" l="1"/>
  <c r="R340" i="153"/>
  <c r="S340" i="153" s="1"/>
  <c r="T340" i="153"/>
  <c r="W339" i="153"/>
  <c r="U339" i="153"/>
  <c r="X338" i="153"/>
  <c r="Q339" i="153" s="1"/>
  <c r="V339" i="153" s="1"/>
  <c r="X339" i="153" l="1"/>
  <c r="Q340" i="153" s="1"/>
  <c r="V340" i="153" s="1"/>
  <c r="U340" i="153"/>
  <c r="W340" i="153"/>
  <c r="T341" i="153"/>
  <c r="R341" i="153"/>
  <c r="S341" i="153" s="1"/>
  <c r="P342" i="153"/>
  <c r="P343" i="153" l="1"/>
  <c r="R342" i="153"/>
  <c r="S342" i="153" s="1"/>
  <c r="T342" i="153"/>
  <c r="W341" i="153"/>
  <c r="U341" i="153"/>
  <c r="X340" i="153"/>
  <c r="Q341" i="153" s="1"/>
  <c r="V341" i="153" s="1"/>
  <c r="X341" i="153" l="1"/>
  <c r="Q342" i="153" s="1"/>
  <c r="V342" i="153" s="1"/>
  <c r="W342" i="153"/>
  <c r="U342" i="153"/>
  <c r="T343" i="153"/>
  <c r="R343" i="153"/>
  <c r="S343" i="153" s="1"/>
  <c r="P344" i="153"/>
  <c r="P345" i="153" l="1"/>
  <c r="R344" i="153"/>
  <c r="S344" i="153" s="1"/>
  <c r="T344" i="153"/>
  <c r="U343" i="153"/>
  <c r="X342" i="153"/>
  <c r="Q343" i="153" s="1"/>
  <c r="V343" i="153" s="1"/>
  <c r="W343" i="153" l="1"/>
  <c r="X343" i="153" s="1"/>
  <c r="Q344" i="153" s="1"/>
  <c r="V344" i="153" s="1"/>
  <c r="U344" i="153"/>
  <c r="W344" i="153"/>
  <c r="T345" i="153"/>
  <c r="R345" i="153"/>
  <c r="S345" i="153" s="1"/>
  <c r="P346" i="153"/>
  <c r="X344" i="153" l="1"/>
  <c r="Q345" i="153" s="1"/>
  <c r="V345" i="153" s="1"/>
  <c r="W345" i="153"/>
  <c r="U345" i="153"/>
  <c r="P347" i="153"/>
  <c r="R346" i="153"/>
  <c r="S346" i="153" s="1"/>
  <c r="T346" i="153"/>
  <c r="U346" i="153" l="1"/>
  <c r="X345" i="153"/>
  <c r="Q346" i="153" s="1"/>
  <c r="V346" i="153" s="1"/>
  <c r="T347" i="153"/>
  <c r="P348" i="153"/>
  <c r="R347" i="153"/>
  <c r="S347" i="153" s="1"/>
  <c r="P349" i="153" l="1"/>
  <c r="R348" i="153"/>
  <c r="S348" i="153" s="1"/>
  <c r="T348" i="153"/>
  <c r="W346" i="153"/>
  <c r="X346" i="153" s="1"/>
  <c r="Q347" i="153" s="1"/>
  <c r="V347" i="153" s="1"/>
  <c r="U347" i="153"/>
  <c r="W347" i="153" l="1"/>
  <c r="X347" i="153" s="1"/>
  <c r="Q348" i="153" s="1"/>
  <c r="V348" i="153" s="1"/>
  <c r="U348" i="153"/>
  <c r="T349" i="153"/>
  <c r="R349" i="153"/>
  <c r="S349" i="153" s="1"/>
  <c r="P350" i="153"/>
  <c r="P351" i="153" l="1"/>
  <c r="R350" i="153"/>
  <c r="S350" i="153" s="1"/>
  <c r="T350" i="153"/>
  <c r="U349" i="153"/>
  <c r="W348" i="153"/>
  <c r="X348" i="153" s="1"/>
  <c r="Q349" i="153" s="1"/>
  <c r="V349" i="153" s="1"/>
  <c r="W349" i="153" l="1"/>
  <c r="X349" i="153" s="1"/>
  <c r="Q350" i="153" s="1"/>
  <c r="V350" i="153" s="1"/>
  <c r="U350" i="153"/>
  <c r="T351" i="153"/>
  <c r="P352" i="153"/>
  <c r="R351" i="153"/>
  <c r="S351" i="153" s="1"/>
  <c r="P353" i="153" l="1"/>
  <c r="R352" i="153"/>
  <c r="S352" i="153" s="1"/>
  <c r="T352" i="153"/>
  <c r="W351" i="153"/>
  <c r="U351" i="153"/>
  <c r="W350" i="153"/>
  <c r="X350" i="153" s="1"/>
  <c r="Q351" i="153" s="1"/>
  <c r="V351" i="153" s="1"/>
  <c r="X351" i="153" l="1"/>
  <c r="Q352" i="153" s="1"/>
  <c r="V352" i="153" s="1"/>
  <c r="U352" i="153"/>
  <c r="W352" i="153"/>
  <c r="T353" i="153"/>
  <c r="R353" i="153"/>
  <c r="S353" i="153" s="1"/>
  <c r="P354" i="153"/>
  <c r="P355" i="153" l="1"/>
  <c r="R354" i="153"/>
  <c r="S354" i="153" s="1"/>
  <c r="T354" i="153"/>
  <c r="U353" i="153"/>
  <c r="W353" i="153"/>
  <c r="X352" i="153"/>
  <c r="Q353" i="153" s="1"/>
  <c r="V353" i="153" s="1"/>
  <c r="X353" i="153" l="1"/>
  <c r="Q354" i="153" s="1"/>
  <c r="V354" i="153" s="1"/>
  <c r="W354" i="153"/>
  <c r="U354" i="153"/>
  <c r="T355" i="153"/>
  <c r="P356" i="153"/>
  <c r="R355" i="153"/>
  <c r="S355" i="153" s="1"/>
  <c r="P357" i="153" l="1"/>
  <c r="R356" i="153"/>
  <c r="S356" i="153" s="1"/>
  <c r="T356" i="153"/>
  <c r="U355" i="153"/>
  <c r="X354" i="153"/>
  <c r="Q355" i="153" s="1"/>
  <c r="V355" i="153" s="1"/>
  <c r="W355" i="153" l="1"/>
  <c r="X355" i="153" s="1"/>
  <c r="Q356" i="153" s="1"/>
  <c r="V356" i="153" s="1"/>
  <c r="U356" i="153"/>
  <c r="T357" i="153"/>
  <c r="R357" i="153"/>
  <c r="S357" i="153" s="1"/>
  <c r="P358" i="153"/>
  <c r="P359" i="153" l="1"/>
  <c r="R358" i="153"/>
  <c r="S358" i="153" s="1"/>
  <c r="T358" i="153"/>
  <c r="U357" i="153"/>
  <c r="W356" i="153"/>
  <c r="X356" i="153" s="1"/>
  <c r="Q357" i="153" s="1"/>
  <c r="V357" i="153" s="1"/>
  <c r="W357" i="153" l="1"/>
  <c r="X357" i="153" s="1"/>
  <c r="Q358" i="153" s="1"/>
  <c r="V358" i="153" s="1"/>
  <c r="U358" i="153"/>
  <c r="W358" i="153"/>
  <c r="T359" i="153"/>
  <c r="R359" i="153"/>
  <c r="S359" i="153" s="1"/>
  <c r="P360" i="153"/>
  <c r="P361" i="153" l="1"/>
  <c r="R360" i="153"/>
  <c r="S360" i="153" s="1"/>
  <c r="T360" i="153"/>
  <c r="U359" i="153"/>
  <c r="X358" i="153"/>
  <c r="Q359" i="153" s="1"/>
  <c r="V359" i="153" s="1"/>
  <c r="W359" i="153" l="1"/>
  <c r="X359" i="153" s="1"/>
  <c r="Q360" i="153" s="1"/>
  <c r="V360" i="153" s="1"/>
  <c r="U360" i="153"/>
  <c r="W360" i="153"/>
  <c r="T361" i="153"/>
  <c r="P362" i="153"/>
  <c r="R361" i="153"/>
  <c r="S361" i="153" s="1"/>
  <c r="P363" i="153" l="1"/>
  <c r="R362" i="153"/>
  <c r="S362" i="153" s="1"/>
  <c r="T362" i="153"/>
  <c r="U361" i="153"/>
  <c r="X360" i="153"/>
  <c r="Q361" i="153" s="1"/>
  <c r="V361" i="153" s="1"/>
  <c r="W361" i="153" l="1"/>
  <c r="X361" i="153" s="1"/>
  <c r="Q362" i="153" s="1"/>
  <c r="V362" i="153" s="1"/>
  <c r="W362" i="153"/>
  <c r="U362" i="153"/>
  <c r="T363" i="153"/>
  <c r="R363" i="153"/>
  <c r="S363" i="153" s="1"/>
  <c r="P364" i="153"/>
  <c r="P365" i="153" l="1"/>
  <c r="R364" i="153"/>
  <c r="S364" i="153" s="1"/>
  <c r="T364" i="153"/>
  <c r="W363" i="153"/>
  <c r="U363" i="153"/>
  <c r="X362" i="153"/>
  <c r="Q363" i="153" s="1"/>
  <c r="V363" i="153" s="1"/>
  <c r="X363" i="153" l="1"/>
  <c r="Q364" i="153" s="1"/>
  <c r="V364" i="153" s="1"/>
  <c r="U364" i="153"/>
  <c r="T365" i="153"/>
  <c r="P366" i="153"/>
  <c r="R365" i="153"/>
  <c r="S365" i="153" s="1"/>
  <c r="P367" i="153" l="1"/>
  <c r="R366" i="153"/>
  <c r="S366" i="153" s="1"/>
  <c r="T366" i="153"/>
  <c r="W365" i="153"/>
  <c r="U365" i="153"/>
  <c r="W364" i="153"/>
  <c r="X364" i="153" s="1"/>
  <c r="Q365" i="153" s="1"/>
  <c r="V365" i="153" s="1"/>
  <c r="U366" i="153" l="1"/>
  <c r="X365" i="153"/>
  <c r="Q366" i="153" s="1"/>
  <c r="V366" i="153" s="1"/>
  <c r="T367" i="153"/>
  <c r="R367" i="153"/>
  <c r="S367" i="153" s="1"/>
  <c r="P368" i="153"/>
  <c r="W366" i="153" l="1"/>
  <c r="X366" i="153" s="1"/>
  <c r="Q367" i="153" s="1"/>
  <c r="V367" i="153" s="1"/>
  <c r="P369" i="153"/>
  <c r="R368" i="153"/>
  <c r="S368" i="153" s="1"/>
  <c r="T368" i="153"/>
  <c r="W367" i="153"/>
  <c r="U367" i="153"/>
  <c r="X367" i="153" l="1"/>
  <c r="Q368" i="153" s="1"/>
  <c r="V368" i="153" s="1"/>
  <c r="U368" i="153"/>
  <c r="T369" i="153"/>
  <c r="P370" i="153"/>
  <c r="R369" i="153"/>
  <c r="S369" i="153" s="1"/>
  <c r="W368" i="153" l="1"/>
  <c r="X368" i="153" s="1"/>
  <c r="Q369" i="153" s="1"/>
  <c r="V369" i="153" s="1"/>
  <c r="P371" i="153"/>
  <c r="R370" i="153"/>
  <c r="S370" i="153" s="1"/>
  <c r="T370" i="153"/>
  <c r="W369" i="153"/>
  <c r="U369" i="153"/>
  <c r="X369" i="153" l="1"/>
  <c r="Q370" i="153" s="1"/>
  <c r="V370" i="153" s="1"/>
  <c r="W370" i="153"/>
  <c r="U370" i="153"/>
  <c r="T371" i="153"/>
  <c r="R371" i="153"/>
  <c r="S371" i="153" s="1"/>
  <c r="P372" i="153"/>
  <c r="P373" i="153" l="1"/>
  <c r="R372" i="153"/>
  <c r="S372" i="153" s="1"/>
  <c r="T372" i="153"/>
  <c r="W371" i="153"/>
  <c r="U371" i="153"/>
  <c r="X370" i="153"/>
  <c r="Q371" i="153" s="1"/>
  <c r="V371" i="153" s="1"/>
  <c r="X371" i="153" l="1"/>
  <c r="Q372" i="153" s="1"/>
  <c r="V372" i="153" s="1"/>
  <c r="U372" i="153"/>
  <c r="W372" i="153"/>
  <c r="T373" i="153"/>
  <c r="R373" i="153"/>
  <c r="S373" i="153" s="1"/>
  <c r="P374" i="153"/>
  <c r="P375" i="153" l="1"/>
  <c r="R374" i="153"/>
  <c r="S374" i="153" s="1"/>
  <c r="T374" i="153"/>
  <c r="U373" i="153"/>
  <c r="X372" i="153"/>
  <c r="Q373" i="153" s="1"/>
  <c r="V373" i="153" s="1"/>
  <c r="W373" i="153" l="1"/>
  <c r="X373" i="153" s="1"/>
  <c r="Q374" i="153" s="1"/>
  <c r="V374" i="153" s="1"/>
  <c r="U374" i="153"/>
  <c r="W374" i="153" s="1"/>
  <c r="T375" i="153"/>
  <c r="R375" i="153"/>
  <c r="S375" i="153" s="1"/>
  <c r="P376" i="153"/>
  <c r="X374" i="153" l="1"/>
  <c r="Q375" i="153" s="1"/>
  <c r="V375" i="153" s="1"/>
  <c r="P377" i="153"/>
  <c r="R376" i="153"/>
  <c r="S376" i="153" s="1"/>
  <c r="T376" i="153"/>
  <c r="W375" i="153"/>
  <c r="U375" i="153"/>
  <c r="U376" i="153" l="1"/>
  <c r="W376" i="153"/>
  <c r="T377" i="153"/>
  <c r="R377" i="153"/>
  <c r="S377" i="153" s="1"/>
  <c r="P378" i="153"/>
  <c r="X375" i="153"/>
  <c r="Q376" i="153" s="1"/>
  <c r="V376" i="153" s="1"/>
  <c r="X376" i="153" l="1"/>
  <c r="Q377" i="153" s="1"/>
  <c r="V377" i="153" s="1"/>
  <c r="P379" i="153"/>
  <c r="R378" i="153"/>
  <c r="S378" i="153" s="1"/>
  <c r="T378" i="153"/>
  <c r="U377" i="153"/>
  <c r="T379" i="153" l="1"/>
  <c r="P380" i="153"/>
  <c r="R379" i="153"/>
  <c r="S379" i="153" s="1"/>
  <c r="W377" i="153"/>
  <c r="X377" i="153" s="1"/>
  <c r="Q378" i="153" s="1"/>
  <c r="V378" i="153" s="1"/>
  <c r="U378" i="153"/>
  <c r="W378" i="153" l="1"/>
  <c r="X378" i="153" s="1"/>
  <c r="Q379" i="153" s="1"/>
  <c r="V379" i="153" s="1"/>
  <c r="P381" i="153"/>
  <c r="R380" i="153"/>
  <c r="S380" i="153" s="1"/>
  <c r="T380" i="153"/>
  <c r="U379" i="153"/>
  <c r="U380" i="153" l="1"/>
  <c r="T381" i="153"/>
  <c r="R381" i="153"/>
  <c r="S381" i="153" s="1"/>
  <c r="P382" i="153"/>
  <c r="W379" i="153"/>
  <c r="X379" i="153" s="1"/>
  <c r="Q380" i="153" s="1"/>
  <c r="V380" i="153" s="1"/>
  <c r="W380" i="153" l="1"/>
  <c r="X380" i="153" s="1"/>
  <c r="Q381" i="153" s="1"/>
  <c r="V381" i="153" s="1"/>
  <c r="P383" i="153"/>
  <c r="R382" i="153"/>
  <c r="S382" i="153" s="1"/>
  <c r="T382" i="153"/>
  <c r="U381" i="153"/>
  <c r="W381" i="153" l="1"/>
  <c r="X381" i="153" s="1"/>
  <c r="Q382" i="153" s="1"/>
  <c r="V382" i="153" s="1"/>
  <c r="W382" i="153"/>
  <c r="U382" i="153"/>
  <c r="T383" i="153"/>
  <c r="P384" i="153"/>
  <c r="R383" i="153"/>
  <c r="S383" i="153" s="1"/>
  <c r="P385" i="153" l="1"/>
  <c r="R384" i="153"/>
  <c r="S384" i="153" s="1"/>
  <c r="T384" i="153"/>
  <c r="U383" i="153"/>
  <c r="X382" i="153"/>
  <c r="Q383" i="153" s="1"/>
  <c r="V383" i="153" s="1"/>
  <c r="W383" i="153" l="1"/>
  <c r="X383" i="153" s="1"/>
  <c r="Q384" i="153" s="1"/>
  <c r="V384" i="153" s="1"/>
  <c r="U384" i="153"/>
  <c r="W384" i="153"/>
  <c r="T385" i="153"/>
  <c r="R385" i="153"/>
  <c r="S385" i="153" s="1"/>
  <c r="P386" i="153"/>
  <c r="P387" i="153" l="1"/>
  <c r="R386" i="153"/>
  <c r="S386" i="153" s="1"/>
  <c r="T386" i="153"/>
  <c r="U385" i="153"/>
  <c r="X384" i="153"/>
  <c r="Q385" i="153" s="1"/>
  <c r="V385" i="153" s="1"/>
  <c r="W385" i="153" l="1"/>
  <c r="X385" i="153" s="1"/>
  <c r="Q386" i="153" s="1"/>
  <c r="V386" i="153" s="1"/>
  <c r="U386" i="153"/>
  <c r="T387" i="153"/>
  <c r="P388" i="153"/>
  <c r="R387" i="153"/>
  <c r="S387" i="153" s="1"/>
  <c r="P389" i="153" l="1"/>
  <c r="R388" i="153"/>
  <c r="S388" i="153" s="1"/>
  <c r="T388" i="153"/>
  <c r="U387" i="153"/>
  <c r="W386" i="153"/>
  <c r="X386" i="153" s="1"/>
  <c r="Q387" i="153" s="1"/>
  <c r="V387" i="153" s="1"/>
  <c r="W387" i="153" l="1"/>
  <c r="X387" i="153" s="1"/>
  <c r="Q388" i="153" s="1"/>
  <c r="V388" i="153" s="1"/>
  <c r="U388" i="153"/>
  <c r="W388" i="153"/>
  <c r="T389" i="153"/>
  <c r="R389" i="153"/>
  <c r="S389" i="153" s="1"/>
  <c r="P390" i="153"/>
  <c r="P391" i="153" l="1"/>
  <c r="R390" i="153"/>
  <c r="S390" i="153" s="1"/>
  <c r="T390" i="153"/>
  <c r="U389" i="153"/>
  <c r="X388" i="153"/>
  <c r="Q389" i="153" s="1"/>
  <c r="V389" i="153" s="1"/>
  <c r="W389" i="153" l="1"/>
  <c r="X389" i="153" s="1"/>
  <c r="Q390" i="153" s="1"/>
  <c r="V390" i="153" s="1"/>
  <c r="U390" i="153"/>
  <c r="W390" i="153"/>
  <c r="P392" i="153"/>
  <c r="T391" i="153"/>
  <c r="R391" i="153"/>
  <c r="S391" i="153" s="1"/>
  <c r="P393" i="153" l="1"/>
  <c r="R392" i="153"/>
  <c r="S392" i="153" s="1"/>
  <c r="T392" i="153"/>
  <c r="U391" i="153"/>
  <c r="X390" i="153"/>
  <c r="Q391" i="153" s="1"/>
  <c r="V391" i="153" s="1"/>
  <c r="W391" i="153" l="1"/>
  <c r="X391" i="153" s="1"/>
  <c r="U392" i="153"/>
  <c r="W392" i="153"/>
  <c r="T393" i="153"/>
  <c r="R393" i="153"/>
  <c r="S393" i="153" s="1"/>
  <c r="P394" i="153"/>
  <c r="Q392" i="153" l="1"/>
  <c r="V392" i="153" s="1"/>
  <c r="T394" i="153"/>
  <c r="P395" i="153"/>
  <c r="R394" i="153"/>
  <c r="S394" i="153" s="1"/>
  <c r="U393" i="153"/>
  <c r="W393" i="153"/>
  <c r="X392" i="153" l="1"/>
  <c r="Q393" i="153" s="1"/>
  <c r="V393" i="153" s="1"/>
  <c r="P396" i="153"/>
  <c r="R395" i="153"/>
  <c r="S395" i="153" s="1"/>
  <c r="T395" i="153"/>
  <c r="U394" i="153"/>
  <c r="X393" i="153" l="1"/>
  <c r="Q394" i="153" s="1"/>
  <c r="V394" i="153" s="1"/>
  <c r="W394" i="153" s="1"/>
  <c r="U395" i="153"/>
  <c r="P397" i="153"/>
  <c r="R396" i="153"/>
  <c r="S396" i="153" s="1"/>
  <c r="T396" i="153"/>
  <c r="X394" i="153" l="1"/>
  <c r="Q395" i="153" s="1"/>
  <c r="V395" i="153" s="1"/>
  <c r="U396" i="153"/>
  <c r="T397" i="153"/>
  <c r="P398" i="153"/>
  <c r="R397" i="153"/>
  <c r="S397" i="153" s="1"/>
  <c r="W395" i="153"/>
  <c r="X395" i="153" l="1"/>
  <c r="Q396" i="153" s="1"/>
  <c r="V396" i="153" s="1"/>
  <c r="W396" i="153" s="1"/>
  <c r="T398" i="153"/>
  <c r="P399" i="153"/>
  <c r="R398" i="153"/>
  <c r="S398" i="153" s="1"/>
  <c r="W397" i="153"/>
  <c r="U397" i="153"/>
  <c r="X396" i="153" l="1"/>
  <c r="Q397" i="153" s="1"/>
  <c r="V397" i="153" s="1"/>
  <c r="P400" i="153"/>
  <c r="R399" i="153"/>
  <c r="S399" i="153" s="1"/>
  <c r="T399" i="153"/>
  <c r="U398" i="153"/>
  <c r="X397" i="153" l="1"/>
  <c r="Q398" i="153" s="1"/>
  <c r="V398" i="153" s="1"/>
  <c r="W398" i="153" s="1"/>
  <c r="W399" i="153"/>
  <c r="U399" i="153"/>
  <c r="P401" i="153"/>
  <c r="R400" i="153"/>
  <c r="S400" i="153" s="1"/>
  <c r="T400" i="153"/>
  <c r="X398" i="153" l="1"/>
  <c r="Q399" i="153" s="1"/>
  <c r="V399" i="153" s="1"/>
  <c r="U400" i="153"/>
  <c r="W400" i="153"/>
  <c r="T401" i="153"/>
  <c r="R401" i="153"/>
  <c r="S401" i="153" s="1"/>
  <c r="P402" i="153"/>
  <c r="X399" i="153" l="1"/>
  <c r="Q400" i="153" s="1"/>
  <c r="V400" i="153" s="1"/>
  <c r="T402" i="153"/>
  <c r="P403" i="153"/>
  <c r="R402" i="153"/>
  <c r="S402" i="153" s="1"/>
  <c r="U401" i="153"/>
  <c r="W401" i="153"/>
  <c r="X400" i="153" l="1"/>
  <c r="Q401" i="153" s="1"/>
  <c r="V401" i="153" s="1"/>
  <c r="P404" i="153"/>
  <c r="R403" i="153"/>
  <c r="S403" i="153" s="1"/>
  <c r="T403" i="153"/>
  <c r="W402" i="153"/>
  <c r="U402" i="153"/>
  <c r="X401" i="153" l="1"/>
  <c r="Q402" i="153" s="1"/>
  <c r="V402" i="153" s="1"/>
  <c r="W403" i="153"/>
  <c r="U403" i="153"/>
  <c r="P405" i="153"/>
  <c r="R404" i="153"/>
  <c r="S404" i="153" s="1"/>
  <c r="T404" i="153"/>
  <c r="X402" i="153" l="1"/>
  <c r="Q403" i="153" s="1"/>
  <c r="V403" i="153" s="1"/>
  <c r="U404" i="153"/>
  <c r="T405" i="153"/>
  <c r="P406" i="153"/>
  <c r="R405" i="153"/>
  <c r="S405" i="153" s="1"/>
  <c r="X403" i="153" l="1"/>
  <c r="Q404" i="153" s="1"/>
  <c r="V404" i="153" s="1"/>
  <c r="U405" i="153"/>
  <c r="T406" i="153"/>
  <c r="P407" i="153"/>
  <c r="R406" i="153"/>
  <c r="S406" i="153" s="1"/>
  <c r="W404" i="153"/>
  <c r="X404" i="153" l="1"/>
  <c r="Q405" i="153" s="1"/>
  <c r="V405" i="153" s="1"/>
  <c r="W405" i="153" s="1"/>
  <c r="W406" i="153"/>
  <c r="U406" i="153"/>
  <c r="P408" i="153"/>
  <c r="R407" i="153"/>
  <c r="S407" i="153" s="1"/>
  <c r="T407" i="153"/>
  <c r="X405" i="153" l="1"/>
  <c r="Q406" i="153" s="1"/>
  <c r="V406" i="153" s="1"/>
  <c r="T408" i="153"/>
  <c r="P409" i="153"/>
  <c r="R408" i="153"/>
  <c r="S408" i="153" s="1"/>
  <c r="U407" i="153"/>
  <c r="X406" i="153" l="1"/>
  <c r="Q407" i="153" s="1"/>
  <c r="V407" i="153" s="1"/>
  <c r="W407" i="153"/>
  <c r="T409" i="153"/>
  <c r="P410" i="153"/>
  <c r="R409" i="153"/>
  <c r="S409" i="153" s="1"/>
  <c r="U408" i="153"/>
  <c r="X407" i="153" l="1"/>
  <c r="Q408" i="153" s="1"/>
  <c r="V408" i="153" s="1"/>
  <c r="T410" i="153"/>
  <c r="P411" i="153"/>
  <c r="R410" i="153"/>
  <c r="S410" i="153" s="1"/>
  <c r="U409" i="153"/>
  <c r="W408" i="153"/>
  <c r="X408" i="153" l="1"/>
  <c r="Q409" i="153" s="1"/>
  <c r="V409" i="153" s="1"/>
  <c r="W409" i="153"/>
  <c r="P412" i="153"/>
  <c r="R411" i="153"/>
  <c r="S411" i="153" s="1"/>
  <c r="T411" i="153"/>
  <c r="W410" i="153"/>
  <c r="U410" i="153"/>
  <c r="X409" i="153" l="1"/>
  <c r="Q410" i="153" s="1"/>
  <c r="V410" i="153" s="1"/>
  <c r="U411" i="153"/>
  <c r="T412" i="153"/>
  <c r="P413" i="153"/>
  <c r="R412" i="153"/>
  <c r="S412" i="153" s="1"/>
  <c r="X410" i="153" l="1"/>
  <c r="Q411" i="153" s="1"/>
  <c r="V411" i="153" s="1"/>
  <c r="U412" i="153"/>
  <c r="W412" i="153"/>
  <c r="T413" i="153"/>
  <c r="P414" i="153"/>
  <c r="R413" i="153"/>
  <c r="S413" i="153" s="1"/>
  <c r="W411" i="153" l="1"/>
  <c r="X411" i="153" s="1"/>
  <c r="Q412" i="153" s="1"/>
  <c r="V412" i="153" s="1"/>
  <c r="T414" i="153"/>
  <c r="P415" i="153"/>
  <c r="R414" i="153"/>
  <c r="S414" i="153" s="1"/>
  <c r="W413" i="153"/>
  <c r="U413" i="153"/>
  <c r="X412" i="153" l="1"/>
  <c r="Q413" i="153" s="1"/>
  <c r="V413" i="153" s="1"/>
  <c r="P416" i="153"/>
  <c r="R415" i="153"/>
  <c r="S415" i="153" s="1"/>
  <c r="T415" i="153"/>
  <c r="U414" i="153"/>
  <c r="X413" i="153" l="1"/>
  <c r="Q414" i="153" s="1"/>
  <c r="V414" i="153" s="1"/>
  <c r="W414" i="153" s="1"/>
  <c r="W415" i="153"/>
  <c r="U415" i="153"/>
  <c r="T416" i="153"/>
  <c r="P417" i="153"/>
  <c r="R416" i="153"/>
  <c r="S416" i="153" s="1"/>
  <c r="X414" i="153" l="1"/>
  <c r="Q415" i="153" s="1"/>
  <c r="V415" i="153" s="1"/>
  <c r="T417" i="153"/>
  <c r="P418" i="153"/>
  <c r="R417" i="153"/>
  <c r="S417" i="153" s="1"/>
  <c r="U416" i="153"/>
  <c r="X415" i="153" l="1"/>
  <c r="Q416" i="153" s="1"/>
  <c r="V416" i="153" s="1"/>
  <c r="T418" i="153"/>
  <c r="P419" i="153"/>
  <c r="R418" i="153"/>
  <c r="S418" i="153" s="1"/>
  <c r="U417" i="153"/>
  <c r="W416" i="153"/>
  <c r="X416" i="153" l="1"/>
  <c r="Q417" i="153" s="1"/>
  <c r="V417" i="153" s="1"/>
  <c r="W417" i="153"/>
  <c r="P420" i="153"/>
  <c r="R419" i="153"/>
  <c r="S419" i="153" s="1"/>
  <c r="T419" i="153"/>
  <c r="U418" i="153"/>
  <c r="X417" i="153" l="1"/>
  <c r="Q418" i="153" s="1"/>
  <c r="V418" i="153" s="1"/>
  <c r="W418" i="153" s="1"/>
  <c r="W419" i="153"/>
  <c r="U419" i="153"/>
  <c r="T420" i="153"/>
  <c r="P421" i="153"/>
  <c r="R420" i="153"/>
  <c r="S420" i="153" s="1"/>
  <c r="X418" i="153" l="1"/>
  <c r="T421" i="153"/>
  <c r="P422" i="153"/>
  <c r="R421" i="153"/>
  <c r="S421" i="153" s="1"/>
  <c r="U420" i="153"/>
  <c r="Q419" i="153" l="1"/>
  <c r="V419" i="153" s="1"/>
  <c r="C31" i="153"/>
  <c r="C33" i="153" s="1"/>
  <c r="T422" i="153"/>
  <c r="P423" i="153"/>
  <c r="R422" i="153"/>
  <c r="S422" i="153" s="1"/>
  <c r="U421" i="153"/>
  <c r="W421" i="153"/>
  <c r="X419" i="153" l="1"/>
  <c r="Q420" i="153" s="1"/>
  <c r="V420" i="153" s="1"/>
  <c r="W420" i="153" s="1"/>
  <c r="X420" i="153" s="1"/>
  <c r="Q421" i="153" s="1"/>
  <c r="V421" i="153" s="1"/>
  <c r="P424" i="153"/>
  <c r="R423" i="153"/>
  <c r="S423" i="153" s="1"/>
  <c r="T423" i="153"/>
  <c r="U422" i="153"/>
  <c r="X421" i="153" l="1"/>
  <c r="Q422" i="153" s="1"/>
  <c r="V422" i="153" s="1"/>
  <c r="T424" i="153"/>
  <c r="P425" i="153"/>
  <c r="R424" i="153"/>
  <c r="S424" i="153" s="1"/>
  <c r="W422" i="153"/>
  <c r="W423" i="153"/>
  <c r="U423" i="153"/>
  <c r="X422" i="153" l="1"/>
  <c r="Q423" i="153" s="1"/>
  <c r="V423" i="153" s="1"/>
  <c r="T425" i="153"/>
  <c r="P426" i="153"/>
  <c r="R425" i="153"/>
  <c r="S425" i="153" s="1"/>
  <c r="W424" i="153"/>
  <c r="U424" i="153"/>
  <c r="X423" i="153" l="1"/>
  <c r="Q424" i="153" s="1"/>
  <c r="V424" i="153" s="1"/>
  <c r="T426" i="153"/>
  <c r="P427" i="153"/>
  <c r="R426" i="153"/>
  <c r="S426" i="153" s="1"/>
  <c r="U425" i="153"/>
  <c r="X424" i="153" l="1"/>
  <c r="Q425" i="153" s="1"/>
  <c r="V425" i="153" s="1"/>
  <c r="W425" i="153" s="1"/>
  <c r="X425" i="153" s="1"/>
  <c r="Q426" i="153" s="1"/>
  <c r="V426" i="153" s="1"/>
  <c r="P428" i="153"/>
  <c r="R427" i="153"/>
  <c r="S427" i="153" s="1"/>
  <c r="T427" i="153"/>
  <c r="U426" i="153"/>
  <c r="U427" i="153" l="1"/>
  <c r="T428" i="153"/>
  <c r="P429" i="153"/>
  <c r="R428" i="153"/>
  <c r="S428" i="153" s="1"/>
  <c r="W426" i="153"/>
  <c r="X426" i="153" s="1"/>
  <c r="Q427" i="153" s="1"/>
  <c r="V427" i="153" s="1"/>
  <c r="W427" i="153" l="1"/>
  <c r="X427" i="153" s="1"/>
  <c r="Q428" i="153" s="1"/>
  <c r="V428" i="153" s="1"/>
  <c r="T429" i="153"/>
  <c r="P430" i="153"/>
  <c r="R429" i="153"/>
  <c r="S429" i="153" s="1"/>
  <c r="W428" i="153"/>
  <c r="U428" i="153"/>
  <c r="U429" i="153" l="1"/>
  <c r="T430" i="153"/>
  <c r="R430" i="153"/>
  <c r="S430" i="153" s="1"/>
  <c r="P431" i="153"/>
  <c r="X428" i="153"/>
  <c r="Q429" i="153" s="1"/>
  <c r="V429" i="153" s="1"/>
  <c r="W429" i="153" l="1"/>
  <c r="X429" i="153" s="1"/>
  <c r="Q430" i="153" s="1"/>
  <c r="V430" i="153" s="1"/>
  <c r="R431" i="153"/>
  <c r="S431" i="153" s="1"/>
  <c r="P432" i="153"/>
  <c r="T431" i="153"/>
  <c r="W430" i="153"/>
  <c r="U430" i="153"/>
  <c r="W431" i="153" l="1"/>
  <c r="U431" i="153"/>
  <c r="X430" i="153"/>
  <c r="Q431" i="153" s="1"/>
  <c r="V431" i="153" s="1"/>
  <c r="T432" i="153"/>
  <c r="R432" i="153"/>
  <c r="S432" i="153" s="1"/>
  <c r="P433" i="153"/>
  <c r="P434" i="153" l="1"/>
  <c r="R433" i="153"/>
  <c r="S433" i="153" s="1"/>
  <c r="T433" i="153"/>
  <c r="W432" i="153"/>
  <c r="U432" i="153"/>
  <c r="X431" i="153"/>
  <c r="Q432" i="153" s="1"/>
  <c r="V432" i="153" s="1"/>
  <c r="X432" i="153" l="1"/>
  <c r="Q433" i="153" s="1"/>
  <c r="V433" i="153" s="1"/>
  <c r="W433" i="153"/>
  <c r="U433" i="153"/>
  <c r="R434" i="153"/>
  <c r="S434" i="153" s="1"/>
  <c r="P435" i="153"/>
  <c r="T434" i="153"/>
  <c r="U434" i="153" l="1"/>
  <c r="T435" i="153"/>
  <c r="R435" i="153"/>
  <c r="S435" i="153" s="1"/>
  <c r="P436" i="153"/>
  <c r="X433" i="153"/>
  <c r="Q434" i="153" s="1"/>
  <c r="V434" i="153" s="1"/>
  <c r="W434" i="153" l="1"/>
  <c r="X434" i="153" s="1"/>
  <c r="Q435" i="153" s="1"/>
  <c r="V435" i="153" s="1"/>
  <c r="T436" i="153"/>
  <c r="R436" i="153"/>
  <c r="S436" i="153" s="1"/>
  <c r="P437" i="153"/>
  <c r="U435" i="153"/>
  <c r="W435" i="153" s="1"/>
  <c r="X435" i="153" l="1"/>
  <c r="Q436" i="153" s="1"/>
  <c r="V436" i="153" s="1"/>
  <c r="U436" i="153"/>
  <c r="W436" i="153"/>
  <c r="P438" i="153"/>
  <c r="R437" i="153"/>
  <c r="S437" i="153" s="1"/>
  <c r="T437" i="153"/>
  <c r="T438" i="153" l="1"/>
  <c r="R438" i="153"/>
  <c r="S438" i="153" s="1"/>
  <c r="P439" i="153"/>
  <c r="X436" i="153"/>
  <c r="Q437" i="153" s="1"/>
  <c r="V437" i="153" s="1"/>
  <c r="W437" i="153"/>
  <c r="U437" i="153"/>
  <c r="X437" i="153" l="1"/>
  <c r="Q438" i="153" s="1"/>
  <c r="V438" i="153" s="1"/>
  <c r="T439" i="153"/>
  <c r="R439" i="153"/>
  <c r="S439" i="153" s="1"/>
  <c r="P440" i="153"/>
  <c r="U438" i="153"/>
  <c r="U439" i="153" l="1"/>
  <c r="T440" i="153"/>
  <c r="R440" i="153"/>
  <c r="S440" i="153" s="1"/>
  <c r="P441" i="153"/>
  <c r="W438" i="153"/>
  <c r="X438" i="153" s="1"/>
  <c r="Q439" i="153" s="1"/>
  <c r="V439" i="153" s="1"/>
  <c r="W439" i="153" l="1"/>
  <c r="X439" i="153" s="1"/>
  <c r="Q440" i="153" s="1"/>
  <c r="V440" i="153" s="1"/>
  <c r="P442" i="153"/>
  <c r="R441" i="153"/>
  <c r="S441" i="153" s="1"/>
  <c r="T441" i="153"/>
  <c r="U440" i="153"/>
  <c r="W441" i="153" l="1"/>
  <c r="U441" i="153"/>
  <c r="T442" i="153"/>
  <c r="R442" i="153"/>
  <c r="S442" i="153" s="1"/>
  <c r="P443" i="153"/>
  <c r="W440" i="153"/>
  <c r="X440" i="153" s="1"/>
  <c r="Q441" i="153" s="1"/>
  <c r="V441" i="153" s="1"/>
  <c r="X441" i="153" l="1"/>
  <c r="Q442" i="153" s="1"/>
  <c r="V442" i="153" s="1"/>
  <c r="T443" i="153"/>
  <c r="R443" i="153"/>
  <c r="S443" i="153" s="1"/>
  <c r="P444" i="153"/>
  <c r="U442" i="153"/>
  <c r="T444" i="153" l="1"/>
  <c r="P445" i="153"/>
  <c r="R444" i="153"/>
  <c r="S444" i="153" s="1"/>
  <c r="W443" i="153"/>
  <c r="U443" i="153"/>
  <c r="W442" i="153"/>
  <c r="X442" i="153" s="1"/>
  <c r="Q443" i="153" s="1"/>
  <c r="V443" i="153" s="1"/>
  <c r="X443" i="153" l="1"/>
  <c r="Q444" i="153" s="1"/>
  <c r="V444" i="153" s="1"/>
  <c r="P446" i="153"/>
  <c r="R445" i="153"/>
  <c r="S445" i="153" s="1"/>
  <c r="T445" i="153"/>
  <c r="U444" i="153"/>
  <c r="W444" i="153" l="1"/>
  <c r="X444" i="153" s="1"/>
  <c r="Q445" i="153" s="1"/>
  <c r="V445" i="153" s="1"/>
  <c r="W445" i="153"/>
  <c r="U445" i="153"/>
  <c r="P447" i="153"/>
  <c r="T446" i="153"/>
  <c r="R446" i="153"/>
  <c r="S446" i="153" s="1"/>
  <c r="X445" i="153" l="1"/>
  <c r="Q446" i="153" s="1"/>
  <c r="V446" i="153" s="1"/>
  <c r="U446" i="153"/>
  <c r="W446" i="153"/>
  <c r="P448" i="153"/>
  <c r="T447" i="153"/>
  <c r="R447" i="153"/>
  <c r="S447" i="153" s="1"/>
  <c r="U447" i="153" l="1"/>
  <c r="T448" i="153"/>
  <c r="R448" i="153"/>
  <c r="S448" i="153" s="1"/>
  <c r="P449" i="153"/>
  <c r="X446" i="153"/>
  <c r="Q447" i="153" s="1"/>
  <c r="V447" i="153" s="1"/>
  <c r="W447" i="153" l="1"/>
  <c r="X447" i="153" s="1"/>
  <c r="Q448" i="153" s="1"/>
  <c r="V448" i="153" s="1"/>
  <c r="P450" i="153"/>
  <c r="R449" i="153"/>
  <c r="S449" i="153" s="1"/>
  <c r="T449" i="153"/>
  <c r="U448" i="153"/>
  <c r="W448" i="153" l="1"/>
  <c r="X448" i="153" s="1"/>
  <c r="Q449" i="153" s="1"/>
  <c r="V449" i="153" s="1"/>
  <c r="U449" i="153"/>
  <c r="W449" i="153" s="1"/>
  <c r="T450" i="153"/>
  <c r="R450" i="153"/>
  <c r="S450" i="153" s="1"/>
  <c r="P451" i="153"/>
  <c r="T451" i="153" l="1"/>
  <c r="R451" i="153"/>
  <c r="S451" i="153" s="1"/>
  <c r="P452" i="153"/>
  <c r="U450" i="153"/>
  <c r="W450" i="153"/>
  <c r="X449" i="153"/>
  <c r="Q450" i="153" s="1"/>
  <c r="V450" i="153" s="1"/>
  <c r="X450" i="153" l="1"/>
  <c r="Q451" i="153" s="1"/>
  <c r="V451" i="153" s="1"/>
  <c r="T452" i="153"/>
  <c r="P453" i="153"/>
  <c r="R452" i="153"/>
  <c r="S452" i="153" s="1"/>
  <c r="U451" i="153"/>
  <c r="P454" i="153" l="1"/>
  <c r="R453" i="153"/>
  <c r="S453" i="153" s="1"/>
  <c r="T453" i="153"/>
  <c r="U452" i="153"/>
  <c r="W452" i="153"/>
  <c r="W451" i="153"/>
  <c r="X451" i="153" s="1"/>
  <c r="Q452" i="153" s="1"/>
  <c r="V452" i="153" s="1"/>
  <c r="X452" i="153" l="1"/>
  <c r="Q453" i="153" s="1"/>
  <c r="V453" i="153" s="1"/>
  <c r="U453" i="153"/>
  <c r="R454" i="153"/>
  <c r="S454" i="153" s="1"/>
  <c r="P455" i="153"/>
  <c r="T454" i="153"/>
  <c r="T455" i="153" l="1"/>
  <c r="R455" i="153"/>
  <c r="S455" i="153" s="1"/>
  <c r="P456" i="153"/>
  <c r="U454" i="153"/>
  <c r="W453" i="153"/>
  <c r="X453" i="153" s="1"/>
  <c r="Q454" i="153" s="1"/>
  <c r="V454" i="153" s="1"/>
  <c r="W454" i="153" l="1"/>
  <c r="X454" i="153" s="1"/>
  <c r="Q455" i="153" s="1"/>
  <c r="V455" i="153" s="1"/>
  <c r="T456" i="153"/>
  <c r="R456" i="153"/>
  <c r="S456" i="153" s="1"/>
  <c r="P457" i="153"/>
  <c r="W455" i="153"/>
  <c r="U455" i="153"/>
  <c r="P458" i="153" l="1"/>
  <c r="R457" i="153"/>
  <c r="S457" i="153" s="1"/>
  <c r="T457" i="153"/>
  <c r="U456" i="153"/>
  <c r="X455" i="153"/>
  <c r="Q456" i="153" s="1"/>
  <c r="V456" i="153" s="1"/>
  <c r="W456" i="153" l="1"/>
  <c r="X456" i="153" s="1"/>
  <c r="Q457" i="153" s="1"/>
  <c r="V457" i="153" s="1"/>
  <c r="W457" i="153"/>
  <c r="U457" i="153"/>
  <c r="R458" i="153"/>
  <c r="S458" i="153" s="1"/>
  <c r="P459" i="153"/>
  <c r="T458" i="153"/>
  <c r="U458" i="153" l="1"/>
  <c r="T459" i="153"/>
  <c r="R459" i="153"/>
  <c r="S459" i="153" s="1"/>
  <c r="P460" i="153"/>
  <c r="X457" i="153"/>
  <c r="Q458" i="153" s="1"/>
  <c r="V458" i="153" s="1"/>
  <c r="W458" i="153" l="1"/>
  <c r="X458" i="153" s="1"/>
  <c r="Q459" i="153" s="1"/>
  <c r="V459" i="153" s="1"/>
  <c r="T460" i="153"/>
  <c r="P461" i="153"/>
  <c r="R460" i="153"/>
  <c r="S460" i="153" s="1"/>
  <c r="W459" i="153"/>
  <c r="U459" i="153"/>
  <c r="P462" i="153" l="1"/>
  <c r="R461" i="153"/>
  <c r="S461" i="153" s="1"/>
  <c r="T461" i="153"/>
  <c r="U460" i="153"/>
  <c r="X459" i="153"/>
  <c r="Q460" i="153" s="1"/>
  <c r="V460" i="153" s="1"/>
  <c r="W460" i="153" l="1"/>
  <c r="X460" i="153" s="1"/>
  <c r="Q461" i="153" s="1"/>
  <c r="V461" i="153" s="1"/>
  <c r="P463" i="153"/>
  <c r="T462" i="153"/>
  <c r="R462" i="153"/>
  <c r="S462" i="153" s="1"/>
  <c r="W461" i="153"/>
  <c r="U461" i="153"/>
  <c r="W462" i="153" l="1"/>
  <c r="U462" i="153"/>
  <c r="P464" i="153"/>
  <c r="T463" i="153"/>
  <c r="R463" i="153"/>
  <c r="S463" i="153" s="1"/>
  <c r="X461" i="153"/>
  <c r="Q462" i="153" s="1"/>
  <c r="V462" i="153" s="1"/>
  <c r="X462" i="153" l="1"/>
  <c r="Q463" i="153" s="1"/>
  <c r="V463" i="153" s="1"/>
  <c r="W463" i="153"/>
  <c r="U463" i="153"/>
  <c r="T464" i="153"/>
  <c r="P465" i="153"/>
  <c r="R464" i="153"/>
  <c r="S464" i="153" s="1"/>
  <c r="P466" i="153" l="1"/>
  <c r="R465" i="153"/>
  <c r="S465" i="153" s="1"/>
  <c r="T465" i="153"/>
  <c r="U464" i="153"/>
  <c r="W464" i="153"/>
  <c r="X463" i="153"/>
  <c r="Q464" i="153" s="1"/>
  <c r="V464" i="153" s="1"/>
  <c r="X464" i="153" l="1"/>
  <c r="Q465" i="153" s="1"/>
  <c r="V465" i="153" s="1"/>
  <c r="P467" i="153"/>
  <c r="T466" i="153"/>
  <c r="R466" i="153"/>
  <c r="S466" i="153" s="1"/>
  <c r="U465" i="153"/>
  <c r="U466" i="153" l="1"/>
  <c r="W465" i="153"/>
  <c r="X465" i="153" s="1"/>
  <c r="Q466" i="153" s="1"/>
  <c r="V466" i="153" s="1"/>
  <c r="T467" i="153"/>
  <c r="P468" i="153"/>
  <c r="R467" i="153"/>
  <c r="S467" i="153" s="1"/>
  <c r="W466" i="153" l="1"/>
  <c r="X466" i="153" s="1"/>
  <c r="Q467" i="153" s="1"/>
  <c r="V467" i="153" s="1"/>
  <c r="W467" i="153"/>
  <c r="U467" i="153"/>
  <c r="T468" i="153"/>
  <c r="P469" i="153"/>
  <c r="R468" i="153"/>
  <c r="S468" i="153" s="1"/>
  <c r="P470" i="153" l="1"/>
  <c r="R469" i="153"/>
  <c r="S469" i="153" s="1"/>
  <c r="T469" i="153"/>
  <c r="U468" i="153"/>
  <c r="W468" i="153"/>
  <c r="X467" i="153"/>
  <c r="Q468" i="153" s="1"/>
  <c r="V468" i="153" s="1"/>
  <c r="X468" i="153" l="1"/>
  <c r="Q469" i="153" s="1"/>
  <c r="V469" i="153" s="1"/>
  <c r="P471" i="153"/>
  <c r="T470" i="153"/>
  <c r="R470" i="153"/>
  <c r="S470" i="153" s="1"/>
  <c r="U469" i="153"/>
  <c r="U470" i="153" l="1"/>
  <c r="T471" i="153"/>
  <c r="P472" i="153"/>
  <c r="R471" i="153"/>
  <c r="S471" i="153" s="1"/>
  <c r="W469" i="153"/>
  <c r="X469" i="153" s="1"/>
  <c r="Q470" i="153" s="1"/>
  <c r="V470" i="153" s="1"/>
  <c r="W470" i="153" l="1"/>
  <c r="X470" i="153" s="1"/>
  <c r="Q471" i="153" s="1"/>
  <c r="V471" i="153" s="1"/>
  <c r="T472" i="153"/>
  <c r="P473" i="153"/>
  <c r="R472" i="153"/>
  <c r="S472" i="153" s="1"/>
  <c r="U471" i="153"/>
  <c r="P474" i="153" l="1"/>
  <c r="R473" i="153"/>
  <c r="S473" i="153" s="1"/>
  <c r="T473" i="153"/>
  <c r="U472" i="153"/>
  <c r="W471" i="153"/>
  <c r="X471" i="153" s="1"/>
  <c r="Q472" i="153" s="1"/>
  <c r="V472" i="153" s="1"/>
  <c r="W472" i="153" l="1"/>
  <c r="X472" i="153" s="1"/>
  <c r="Q473" i="153" s="1"/>
  <c r="V473" i="153" s="1"/>
  <c r="P475" i="153"/>
  <c r="T474" i="153"/>
  <c r="R474" i="153"/>
  <c r="S474" i="153" s="1"/>
  <c r="U473" i="153"/>
  <c r="W474" i="153" l="1"/>
  <c r="U474" i="153"/>
  <c r="T475" i="153"/>
  <c r="R475" i="153"/>
  <c r="S475" i="153" s="1"/>
  <c r="P476" i="153"/>
  <c r="W473" i="153"/>
  <c r="X473" i="153" s="1"/>
  <c r="Q474" i="153" s="1"/>
  <c r="V474" i="153" s="1"/>
  <c r="X474" i="153" l="1"/>
  <c r="Q475" i="153" s="1"/>
  <c r="V475" i="153" s="1"/>
  <c r="T476" i="153"/>
  <c r="P477" i="153"/>
  <c r="R476" i="153"/>
  <c r="S476" i="153" s="1"/>
  <c r="U475" i="153"/>
  <c r="W475" i="153" l="1"/>
  <c r="X475" i="153" s="1"/>
  <c r="Q476" i="153" s="1"/>
  <c r="V476" i="153" s="1"/>
  <c r="P478" i="153"/>
  <c r="R477" i="153"/>
  <c r="S477" i="153" s="1"/>
  <c r="T477" i="153"/>
  <c r="U476" i="153"/>
  <c r="W476" i="153"/>
  <c r="X476" i="153" l="1"/>
  <c r="Q477" i="153" s="1"/>
  <c r="V477" i="153" s="1"/>
  <c r="U477" i="153"/>
  <c r="W477" i="153" s="1"/>
  <c r="P479" i="153"/>
  <c r="T478" i="153"/>
  <c r="R478" i="153"/>
  <c r="S478" i="153" s="1"/>
  <c r="U478" i="153" l="1"/>
  <c r="T479" i="153"/>
  <c r="R479" i="153"/>
  <c r="S479" i="153" s="1"/>
  <c r="P480" i="153"/>
  <c r="X477" i="153"/>
  <c r="Q478" i="153" s="1"/>
  <c r="V478" i="153" s="1"/>
  <c r="W478" i="153" l="1"/>
  <c r="X478" i="153" s="1"/>
  <c r="Q479" i="153" s="1"/>
  <c r="V479" i="153" s="1"/>
  <c r="T480" i="153"/>
  <c r="P481" i="153"/>
  <c r="R480" i="153"/>
  <c r="S480" i="153" s="1"/>
  <c r="U479" i="153"/>
  <c r="P482" i="153" l="1"/>
  <c r="R481" i="153"/>
  <c r="S481" i="153" s="1"/>
  <c r="T481" i="153"/>
  <c r="U480" i="153"/>
  <c r="W480" i="153"/>
  <c r="W479" i="153"/>
  <c r="X479" i="153" s="1"/>
  <c r="Q480" i="153" s="1"/>
  <c r="V480" i="153" s="1"/>
  <c r="P483" i="153" l="1"/>
  <c r="T482" i="153"/>
  <c r="R482" i="153"/>
  <c r="S482" i="153" s="1"/>
  <c r="X480" i="153"/>
  <c r="Q481" i="153" s="1"/>
  <c r="V481" i="153" s="1"/>
  <c r="W481" i="153"/>
  <c r="U481" i="153"/>
  <c r="X481" i="153" l="1"/>
  <c r="Q482" i="153" s="1"/>
  <c r="V482" i="153" s="1"/>
  <c r="W482" i="153"/>
  <c r="U482" i="153"/>
  <c r="T483" i="153"/>
  <c r="R483" i="153"/>
  <c r="S483" i="153" s="1"/>
  <c r="P484" i="153"/>
  <c r="T484" i="153" l="1"/>
  <c r="P485" i="153"/>
  <c r="R484" i="153"/>
  <c r="S484" i="153" s="1"/>
  <c r="U483" i="153"/>
  <c r="X482" i="153"/>
  <c r="Q483" i="153" s="1"/>
  <c r="V483" i="153" s="1"/>
  <c r="W483" i="153" l="1"/>
  <c r="X483" i="153" s="1"/>
  <c r="Q484" i="153" s="1"/>
  <c r="V484" i="153" s="1"/>
  <c r="P486" i="153"/>
  <c r="R485" i="153"/>
  <c r="S485" i="153" s="1"/>
  <c r="T485" i="153"/>
  <c r="U484" i="153"/>
  <c r="W484" i="153"/>
  <c r="U485" i="153" l="1"/>
  <c r="X484" i="153"/>
  <c r="Q485" i="153" s="1"/>
  <c r="V485" i="153" s="1"/>
  <c r="R486" i="153"/>
  <c r="S486" i="153" s="1"/>
  <c r="P487" i="153"/>
  <c r="T486" i="153"/>
  <c r="U486" i="153" l="1"/>
  <c r="T487" i="153"/>
  <c r="P488" i="153"/>
  <c r="R487" i="153"/>
  <c r="S487" i="153" s="1"/>
  <c r="W485" i="153"/>
  <c r="X485" i="153" s="1"/>
  <c r="Q486" i="153" s="1"/>
  <c r="V486" i="153" s="1"/>
  <c r="W486" i="153" l="1"/>
  <c r="X486" i="153" s="1"/>
  <c r="Q487" i="153" s="1"/>
  <c r="V487" i="153" s="1"/>
  <c r="T488" i="153"/>
  <c r="P489" i="153"/>
  <c r="R488" i="153"/>
  <c r="S488" i="153" s="1"/>
  <c r="W487" i="153"/>
  <c r="U487" i="153"/>
  <c r="P490" i="153" l="1"/>
  <c r="R489" i="153"/>
  <c r="S489" i="153" s="1"/>
  <c r="T489" i="153"/>
  <c r="U488" i="153"/>
  <c r="X487" i="153"/>
  <c r="Q488" i="153" s="1"/>
  <c r="V488" i="153" s="1"/>
  <c r="W488" i="153" l="1"/>
  <c r="X488" i="153" s="1"/>
  <c r="Q489" i="153" s="1"/>
  <c r="V489" i="153" s="1"/>
  <c r="R490" i="153"/>
  <c r="S490" i="153" s="1"/>
  <c r="P491" i="153"/>
  <c r="T490" i="153"/>
  <c r="W489" i="153"/>
  <c r="U489" i="153"/>
  <c r="U490" i="153" l="1"/>
  <c r="T491" i="153"/>
  <c r="P492" i="153"/>
  <c r="R491" i="153"/>
  <c r="S491" i="153" s="1"/>
  <c r="X489" i="153"/>
  <c r="Q490" i="153" s="1"/>
  <c r="V490" i="153" s="1"/>
  <c r="W490" i="153" l="1"/>
  <c r="X490" i="153" s="1"/>
  <c r="Q491" i="153" s="1"/>
  <c r="V491" i="153" s="1"/>
  <c r="T492" i="153"/>
  <c r="P493" i="153"/>
  <c r="R492" i="153"/>
  <c r="S492" i="153" s="1"/>
  <c r="W491" i="153"/>
  <c r="U491" i="153"/>
  <c r="P494" i="153" l="1"/>
  <c r="R493" i="153"/>
  <c r="S493" i="153" s="1"/>
  <c r="T493" i="153"/>
  <c r="U492" i="153"/>
  <c r="W492" i="153"/>
  <c r="X491" i="153"/>
  <c r="Q492" i="153" s="1"/>
  <c r="V492" i="153" s="1"/>
  <c r="X492" i="153" l="1"/>
  <c r="Q493" i="153" s="1"/>
  <c r="V493" i="153" s="1"/>
  <c r="W493" i="153"/>
  <c r="U493" i="153"/>
  <c r="T494" i="153"/>
  <c r="R494" i="153"/>
  <c r="S494" i="153" s="1"/>
  <c r="P495" i="153"/>
  <c r="T495" i="153" l="1"/>
  <c r="P496" i="153"/>
  <c r="R495" i="153"/>
  <c r="S495" i="153" s="1"/>
  <c r="W494" i="153"/>
  <c r="U494" i="153"/>
  <c r="X493" i="153"/>
  <c r="Q494" i="153" s="1"/>
  <c r="V494" i="153" s="1"/>
  <c r="X494" i="153" l="1"/>
  <c r="Q495" i="153" s="1"/>
  <c r="V495" i="153" s="1"/>
  <c r="T496" i="153"/>
  <c r="P497" i="153"/>
  <c r="R496" i="153"/>
  <c r="S496" i="153" s="1"/>
  <c r="W495" i="153"/>
  <c r="U495" i="153"/>
  <c r="P498" i="153" l="1"/>
  <c r="R497" i="153"/>
  <c r="S497" i="153" s="1"/>
  <c r="T497" i="153"/>
  <c r="U496" i="153"/>
  <c r="X495" i="153"/>
  <c r="Q496" i="153" s="1"/>
  <c r="V496" i="153" s="1"/>
  <c r="W496" i="153" l="1"/>
  <c r="X496" i="153" s="1"/>
  <c r="Q497" i="153" s="1"/>
  <c r="V497" i="153" s="1"/>
  <c r="P499" i="153"/>
  <c r="T498" i="153"/>
  <c r="R498" i="153"/>
  <c r="S498" i="153" s="1"/>
  <c r="W497" i="153"/>
  <c r="U497" i="153"/>
  <c r="X497" i="153" l="1"/>
  <c r="Q498" i="153" s="1"/>
  <c r="V498" i="153" s="1"/>
  <c r="W498" i="153"/>
  <c r="U498" i="153"/>
  <c r="T499" i="153"/>
  <c r="P500" i="153"/>
  <c r="R499" i="153"/>
  <c r="S499" i="153" s="1"/>
  <c r="U499" i="153" l="1"/>
  <c r="T500" i="153"/>
  <c r="P501" i="153"/>
  <c r="R500" i="153"/>
  <c r="S500" i="153" s="1"/>
  <c r="X498" i="153"/>
  <c r="Q499" i="153" s="1"/>
  <c r="V499" i="153" s="1"/>
  <c r="W499" i="153" l="1"/>
  <c r="X499" i="153" s="1"/>
  <c r="Q500" i="153" s="1"/>
  <c r="V500" i="153" s="1"/>
  <c r="P502" i="153"/>
  <c r="R501" i="153"/>
  <c r="S501" i="153" s="1"/>
  <c r="T501" i="153"/>
  <c r="U500" i="153"/>
  <c r="U501" i="153" l="1"/>
  <c r="P503" i="153"/>
  <c r="T502" i="153"/>
  <c r="R502" i="153"/>
  <c r="S502" i="153" s="1"/>
  <c r="W500" i="153"/>
  <c r="X500" i="153" s="1"/>
  <c r="Q501" i="153" s="1"/>
  <c r="V501" i="153" s="1"/>
  <c r="W502" i="153" l="1"/>
  <c r="U502" i="153"/>
  <c r="W501" i="153"/>
  <c r="X501" i="153" s="1"/>
  <c r="Q502" i="153" s="1"/>
  <c r="V502" i="153" s="1"/>
  <c r="T503" i="153"/>
  <c r="P504" i="153"/>
  <c r="R503" i="153"/>
  <c r="S503" i="153" s="1"/>
  <c r="U503" i="153" l="1"/>
  <c r="T504" i="153"/>
  <c r="P505" i="153"/>
  <c r="R504" i="153"/>
  <c r="S504" i="153" s="1"/>
  <c r="X502" i="153"/>
  <c r="Q503" i="153" s="1"/>
  <c r="V503" i="153" s="1"/>
  <c r="U504" i="153" l="1"/>
  <c r="W504" i="153"/>
  <c r="W503" i="153"/>
  <c r="X503" i="153" s="1"/>
  <c r="Q504" i="153" s="1"/>
  <c r="V504" i="153" s="1"/>
  <c r="P506" i="153"/>
  <c r="R505" i="153"/>
  <c r="S505" i="153" s="1"/>
  <c r="T505" i="153"/>
  <c r="P507" i="153" l="1"/>
  <c r="T506" i="153"/>
  <c r="R506" i="153"/>
  <c r="S506" i="153" s="1"/>
  <c r="U505" i="153"/>
  <c r="X504" i="153"/>
  <c r="Q505" i="153" s="1"/>
  <c r="V505" i="153" s="1"/>
  <c r="W505" i="153" l="1"/>
  <c r="X505" i="153" s="1"/>
  <c r="Q506" i="153" s="1"/>
  <c r="V506" i="153" s="1"/>
  <c r="W506" i="153"/>
  <c r="U506" i="153"/>
  <c r="T507" i="153"/>
  <c r="R507" i="153"/>
  <c r="S507" i="153" s="1"/>
  <c r="P508" i="153"/>
  <c r="T508" i="153" l="1"/>
  <c r="P509" i="153"/>
  <c r="R508" i="153"/>
  <c r="S508" i="153" s="1"/>
  <c r="W507" i="153"/>
  <c r="U507" i="153"/>
  <c r="X506" i="153"/>
  <c r="Q507" i="153" s="1"/>
  <c r="V507" i="153" s="1"/>
  <c r="X507" i="153" l="1"/>
  <c r="Q508" i="153" s="1"/>
  <c r="V508" i="153" s="1"/>
  <c r="T509" i="153"/>
  <c r="P510" i="153"/>
  <c r="R509" i="153"/>
  <c r="S509" i="153" s="1"/>
  <c r="U508" i="153"/>
  <c r="U509" i="153" l="1"/>
  <c r="W508" i="153"/>
  <c r="X508" i="153" s="1"/>
  <c r="Q509" i="153" s="1"/>
  <c r="V509" i="153" s="1"/>
  <c r="P511" i="153"/>
  <c r="R510" i="153"/>
  <c r="S510" i="153" s="1"/>
  <c r="T510" i="153"/>
  <c r="U510" i="153" l="1"/>
  <c r="T511" i="153"/>
  <c r="R511" i="153"/>
  <c r="S511" i="153" s="1"/>
  <c r="P512" i="153"/>
  <c r="W509" i="153"/>
  <c r="X509" i="153" s="1"/>
  <c r="Q510" i="153" s="1"/>
  <c r="V510" i="153" s="1"/>
  <c r="W510" i="153" l="1"/>
  <c r="X510" i="153" s="1"/>
  <c r="Q511" i="153" s="1"/>
  <c r="V511" i="153" s="1"/>
  <c r="T512" i="153"/>
  <c r="R512" i="153"/>
  <c r="S512" i="153" s="1"/>
  <c r="P513" i="153"/>
  <c r="W511" i="153"/>
  <c r="U511" i="153"/>
  <c r="T513" i="153" l="1"/>
  <c r="P514" i="153"/>
  <c r="R513" i="153"/>
  <c r="S513" i="153" s="1"/>
  <c r="U512" i="153"/>
  <c r="W512" i="153"/>
  <c r="X511" i="153"/>
  <c r="Q512" i="153" s="1"/>
  <c r="V512" i="153" s="1"/>
  <c r="P515" i="153" l="1"/>
  <c r="R514" i="153"/>
  <c r="S514" i="153" s="1"/>
  <c r="T514" i="153"/>
  <c r="X512" i="153"/>
  <c r="Q513" i="153" s="1"/>
  <c r="V513" i="153" s="1"/>
  <c r="U513" i="153"/>
  <c r="W513" i="153"/>
  <c r="X513" i="153" l="1"/>
  <c r="Q514" i="153" s="1"/>
  <c r="V514" i="153" s="1"/>
  <c r="U514" i="153"/>
  <c r="T515" i="153"/>
  <c r="R515" i="153"/>
  <c r="S515" i="153" s="1"/>
  <c r="P516" i="153"/>
  <c r="T516" i="153" l="1"/>
  <c r="R516" i="153"/>
  <c r="S516" i="153" s="1"/>
  <c r="P517" i="153"/>
  <c r="U515" i="153"/>
  <c r="W514" i="153"/>
  <c r="X514" i="153" s="1"/>
  <c r="Q515" i="153" s="1"/>
  <c r="V515" i="153" s="1"/>
  <c r="W515" i="153" l="1"/>
  <c r="X515" i="153" s="1"/>
  <c r="Q516" i="153" s="1"/>
  <c r="V516" i="153" s="1"/>
  <c r="T517" i="153"/>
  <c r="P518" i="153"/>
  <c r="R517" i="153"/>
  <c r="S517" i="153" s="1"/>
  <c r="W516" i="153"/>
  <c r="U516" i="153"/>
  <c r="T518" i="153" l="1"/>
  <c r="P519" i="153"/>
  <c r="R518" i="153"/>
  <c r="S518" i="153" s="1"/>
  <c r="U517" i="153"/>
  <c r="X516" i="153"/>
  <c r="Q517" i="153" s="1"/>
  <c r="V517" i="153" s="1"/>
  <c r="W517" i="153" l="1"/>
  <c r="X517" i="153" s="1"/>
  <c r="Q518" i="153" s="1"/>
  <c r="V518" i="153" s="1"/>
  <c r="P520" i="153"/>
  <c r="R519" i="153"/>
  <c r="S519" i="153" s="1"/>
  <c r="T519" i="153"/>
  <c r="W518" i="153"/>
  <c r="U518" i="153"/>
  <c r="U519" i="153" l="1"/>
  <c r="T520" i="153"/>
  <c r="R520" i="153"/>
  <c r="S520" i="153" s="1"/>
  <c r="P521" i="153"/>
  <c r="X518" i="153"/>
  <c r="Q519" i="153" s="1"/>
  <c r="V519" i="153" s="1"/>
  <c r="W519" i="153" l="1"/>
  <c r="X519" i="153" s="1"/>
  <c r="Q520" i="153" s="1"/>
  <c r="V520" i="153" s="1"/>
  <c r="T521" i="153"/>
  <c r="P522" i="153"/>
  <c r="R521" i="153"/>
  <c r="S521" i="153" s="1"/>
  <c r="W520" i="153"/>
  <c r="U520" i="153"/>
  <c r="T522" i="153" l="1"/>
  <c r="P523" i="153"/>
  <c r="R522" i="153"/>
  <c r="S522" i="153" s="1"/>
  <c r="U521" i="153"/>
  <c r="X520" i="153"/>
  <c r="Q521" i="153" s="1"/>
  <c r="V521" i="153" s="1"/>
  <c r="W521" i="153" l="1"/>
  <c r="X521" i="153" s="1"/>
  <c r="Q522" i="153" s="1"/>
  <c r="V522" i="153" s="1"/>
  <c r="P524" i="153"/>
  <c r="R523" i="153"/>
  <c r="S523" i="153" s="1"/>
  <c r="T523" i="153"/>
  <c r="W522" i="153"/>
  <c r="U522" i="153"/>
  <c r="W523" i="153" l="1"/>
  <c r="U523" i="153"/>
  <c r="T524" i="153"/>
  <c r="R524" i="153"/>
  <c r="S524" i="153" s="1"/>
  <c r="P525" i="153"/>
  <c r="X522" i="153"/>
  <c r="Q523" i="153" s="1"/>
  <c r="V523" i="153" s="1"/>
  <c r="X523" i="153" l="1"/>
  <c r="Q524" i="153" s="1"/>
  <c r="V524" i="153" s="1"/>
  <c r="T525" i="153"/>
  <c r="P526" i="153"/>
  <c r="R525" i="153"/>
  <c r="S525" i="153" s="1"/>
  <c r="W524" i="153"/>
  <c r="U524" i="153"/>
  <c r="T526" i="153" l="1"/>
  <c r="P527" i="153"/>
  <c r="R526" i="153"/>
  <c r="S526" i="153" s="1"/>
  <c r="U525" i="153"/>
  <c r="W525" i="153"/>
  <c r="X524" i="153"/>
  <c r="Q525" i="153" s="1"/>
  <c r="V525" i="153" s="1"/>
  <c r="P528" i="153" l="1"/>
  <c r="R527" i="153"/>
  <c r="S527" i="153" s="1"/>
  <c r="T527" i="153"/>
  <c r="X525" i="153"/>
  <c r="Q526" i="153" s="1"/>
  <c r="V526" i="153" s="1"/>
  <c r="U526" i="153"/>
  <c r="W526" i="153" l="1"/>
  <c r="X526" i="153" s="1"/>
  <c r="Q527" i="153" s="1"/>
  <c r="V527" i="153" s="1"/>
  <c r="U527" i="153"/>
  <c r="W527" i="153" s="1"/>
  <c r="T528" i="153"/>
  <c r="P529" i="153"/>
  <c r="R528" i="153"/>
  <c r="S528" i="153" s="1"/>
  <c r="X527" i="153" l="1"/>
  <c r="Q528" i="153" s="1"/>
  <c r="V528" i="153" s="1"/>
  <c r="T529" i="153"/>
  <c r="P530" i="153"/>
  <c r="R529" i="153"/>
  <c r="S529" i="153" s="1"/>
  <c r="W528" i="153"/>
  <c r="U528" i="153"/>
  <c r="W529" i="153" l="1"/>
  <c r="U529" i="153"/>
  <c r="T530" i="153"/>
  <c r="P531" i="153"/>
  <c r="R530" i="153"/>
  <c r="S530" i="153" s="1"/>
  <c r="X528" i="153"/>
  <c r="Q529" i="153" s="1"/>
  <c r="V529" i="153" s="1"/>
  <c r="X529" i="153" l="1"/>
  <c r="Q530" i="153" s="1"/>
  <c r="V530" i="153" s="1"/>
  <c r="P532" i="153"/>
  <c r="R531" i="153"/>
  <c r="S531" i="153" s="1"/>
  <c r="T531" i="153"/>
  <c r="U530" i="153"/>
  <c r="U531" i="153" l="1"/>
  <c r="T532" i="153"/>
  <c r="P533" i="153"/>
  <c r="R532" i="153"/>
  <c r="S532" i="153" s="1"/>
  <c r="W530" i="153"/>
  <c r="X530" i="153" s="1"/>
  <c r="Q531" i="153" s="1"/>
  <c r="V531" i="153" s="1"/>
  <c r="T533" i="153" l="1"/>
  <c r="P534" i="153"/>
  <c r="R533" i="153"/>
  <c r="S533" i="153" s="1"/>
  <c r="W531" i="153"/>
  <c r="X531" i="153" s="1"/>
  <c r="Q532" i="153" s="1"/>
  <c r="V532" i="153" s="1"/>
  <c r="U532" i="153"/>
  <c r="W532" i="153" l="1"/>
  <c r="X532" i="153" s="1"/>
  <c r="Q533" i="153" s="1"/>
  <c r="V533" i="153" s="1"/>
  <c r="T534" i="153"/>
  <c r="P535" i="153"/>
  <c r="R534" i="153"/>
  <c r="S534" i="153" s="1"/>
  <c r="U533" i="153"/>
  <c r="W533" i="153" l="1"/>
  <c r="X533" i="153" s="1"/>
  <c r="Q534" i="153" s="1"/>
  <c r="V534" i="153" s="1"/>
  <c r="P536" i="153"/>
  <c r="R535" i="153"/>
  <c r="S535" i="153" s="1"/>
  <c r="T535" i="153"/>
  <c r="U534" i="153"/>
  <c r="W534" i="153" l="1"/>
  <c r="X534" i="153" s="1"/>
  <c r="Q535" i="153" s="1"/>
  <c r="V535" i="153" s="1"/>
  <c r="W535" i="153"/>
  <c r="U535" i="153"/>
  <c r="T536" i="153"/>
  <c r="P537" i="153"/>
  <c r="R536" i="153"/>
  <c r="S536" i="153" s="1"/>
  <c r="U536" i="153" l="1"/>
  <c r="T537" i="153"/>
  <c r="P538" i="153"/>
  <c r="R537" i="153"/>
  <c r="S537" i="153" s="1"/>
  <c r="X535" i="153"/>
  <c r="Q536" i="153" s="1"/>
  <c r="V536" i="153" s="1"/>
  <c r="W536" i="153" l="1"/>
  <c r="X536" i="153" s="1"/>
  <c r="Q537" i="153" s="1"/>
  <c r="V537" i="153" s="1"/>
  <c r="T538" i="153"/>
  <c r="P539" i="153"/>
  <c r="R538" i="153"/>
  <c r="S538" i="153" s="1"/>
  <c r="W537" i="153"/>
  <c r="U537" i="153"/>
  <c r="P540" i="153" l="1"/>
  <c r="R539" i="153"/>
  <c r="S539" i="153" s="1"/>
  <c r="T539" i="153"/>
  <c r="U538" i="153"/>
  <c r="X537" i="153"/>
  <c r="Q538" i="153" s="1"/>
  <c r="V538" i="153" s="1"/>
  <c r="W538" i="153" l="1"/>
  <c r="X538" i="153" s="1"/>
  <c r="Q539" i="153" s="1"/>
  <c r="V539" i="153" s="1"/>
  <c r="U539" i="153"/>
  <c r="T540" i="153"/>
  <c r="R540" i="153"/>
  <c r="S540" i="153" s="1"/>
  <c r="P541" i="153"/>
  <c r="T541" i="153" l="1"/>
  <c r="P542" i="153"/>
  <c r="R541" i="153"/>
  <c r="S541" i="153" s="1"/>
  <c r="U540" i="153"/>
  <c r="W539" i="153"/>
  <c r="X539" i="153" s="1"/>
  <c r="Q540" i="153" s="1"/>
  <c r="V540" i="153" s="1"/>
  <c r="W540" i="153" l="1"/>
  <c r="X540" i="153" s="1"/>
  <c r="Q541" i="153" s="1"/>
  <c r="V541" i="153" s="1"/>
  <c r="T542" i="153"/>
  <c r="P543" i="153"/>
  <c r="R542" i="153"/>
  <c r="S542" i="153" s="1"/>
  <c r="W541" i="153"/>
  <c r="U541" i="153"/>
  <c r="W542" i="153" l="1"/>
  <c r="U542" i="153"/>
  <c r="P544" i="153"/>
  <c r="R543" i="153"/>
  <c r="S543" i="153" s="1"/>
  <c r="T543" i="153"/>
  <c r="X541" i="153"/>
  <c r="Q542" i="153" s="1"/>
  <c r="V542" i="153" s="1"/>
  <c r="W543" i="153" l="1"/>
  <c r="U543" i="153"/>
  <c r="X542" i="153"/>
  <c r="Q543" i="153" s="1"/>
  <c r="V543" i="153" s="1"/>
  <c r="T544" i="153"/>
  <c r="R544" i="153"/>
  <c r="S544" i="153" s="1"/>
  <c r="P545" i="153"/>
  <c r="U544" i="153" l="1"/>
  <c r="T545" i="153"/>
  <c r="P546" i="153"/>
  <c r="R545" i="153"/>
  <c r="S545" i="153" s="1"/>
  <c r="X543" i="153"/>
  <c r="Q544" i="153" s="1"/>
  <c r="V544" i="153" s="1"/>
  <c r="W544" i="153" l="1"/>
  <c r="X544" i="153" s="1"/>
  <c r="Q545" i="153" s="1"/>
  <c r="V545" i="153" s="1"/>
  <c r="T546" i="153"/>
  <c r="P547" i="153"/>
  <c r="R546" i="153"/>
  <c r="S546" i="153" s="1"/>
  <c r="W545" i="153"/>
  <c r="U545" i="153"/>
  <c r="P548" i="153" l="1"/>
  <c r="R547" i="153"/>
  <c r="S547" i="153" s="1"/>
  <c r="T547" i="153"/>
  <c r="U546" i="153"/>
  <c r="X545" i="153"/>
  <c r="Q546" i="153" s="1"/>
  <c r="V546" i="153" s="1"/>
  <c r="U547" i="153" l="1"/>
  <c r="W546" i="153"/>
  <c r="X546" i="153" s="1"/>
  <c r="Q547" i="153" s="1"/>
  <c r="V547" i="153" s="1"/>
  <c r="T548" i="153"/>
  <c r="R548" i="153"/>
  <c r="S548" i="153" s="1"/>
  <c r="P549" i="153"/>
  <c r="W547" i="153" l="1"/>
  <c r="X547" i="153" s="1"/>
  <c r="Q548" i="153" s="1"/>
  <c r="V548" i="153" s="1"/>
  <c r="T549" i="153"/>
  <c r="P550" i="153"/>
  <c r="R549" i="153"/>
  <c r="S549" i="153" s="1"/>
  <c r="U548" i="153"/>
  <c r="W548" i="153"/>
  <c r="T550" i="153" l="1"/>
  <c r="P551" i="153"/>
  <c r="R550" i="153"/>
  <c r="S550" i="153" s="1"/>
  <c r="X548" i="153"/>
  <c r="Q549" i="153" s="1"/>
  <c r="V549" i="153" s="1"/>
  <c r="U549" i="153"/>
  <c r="W549" i="153" s="1"/>
  <c r="X549" i="153" l="1"/>
  <c r="Q550" i="153" s="1"/>
  <c r="V550" i="153" s="1"/>
  <c r="P552" i="153"/>
  <c r="R551" i="153"/>
  <c r="S551" i="153" s="1"/>
  <c r="T551" i="153"/>
  <c r="W550" i="153"/>
  <c r="U550" i="153"/>
  <c r="T552" i="153" l="1"/>
  <c r="R552" i="153"/>
  <c r="S552" i="153" s="1"/>
  <c r="P553" i="153"/>
  <c r="X550" i="153"/>
  <c r="Q551" i="153" s="1"/>
  <c r="V551" i="153" s="1"/>
  <c r="U551" i="153"/>
  <c r="W551" i="153" s="1"/>
  <c r="X551" i="153" l="1"/>
  <c r="Q552" i="153" s="1"/>
  <c r="V552" i="153" s="1"/>
  <c r="T553" i="153"/>
  <c r="P554" i="153"/>
  <c r="R553" i="153"/>
  <c r="S553" i="153" s="1"/>
  <c r="U552" i="153"/>
  <c r="W552" i="153"/>
  <c r="T554" i="153" l="1"/>
  <c r="P555" i="153"/>
  <c r="R554" i="153"/>
  <c r="S554" i="153" s="1"/>
  <c r="W553" i="153"/>
  <c r="U553" i="153"/>
  <c r="X552" i="153"/>
  <c r="Q553" i="153" s="1"/>
  <c r="V553" i="153" s="1"/>
  <c r="X553" i="153" l="1"/>
  <c r="Q554" i="153" s="1"/>
  <c r="V554" i="153" s="1"/>
  <c r="P556" i="153"/>
  <c r="R555" i="153"/>
  <c r="S555" i="153" s="1"/>
  <c r="T555" i="153"/>
  <c r="W554" i="153"/>
  <c r="U554" i="153"/>
  <c r="T556" i="153" l="1"/>
  <c r="R556" i="153"/>
  <c r="S556" i="153" s="1"/>
  <c r="P557" i="153"/>
  <c r="X554" i="153"/>
  <c r="Q555" i="153" s="1"/>
  <c r="V555" i="153" s="1"/>
  <c r="W555" i="153"/>
  <c r="U555" i="153"/>
  <c r="X555" i="153" l="1"/>
  <c r="Q556" i="153" s="1"/>
  <c r="V556" i="153" s="1"/>
  <c r="T557" i="153"/>
  <c r="P558" i="153"/>
  <c r="R557" i="153"/>
  <c r="S557" i="153" s="1"/>
  <c r="W556" i="153"/>
  <c r="U556" i="153"/>
  <c r="T558" i="153" l="1"/>
  <c r="P559" i="153"/>
  <c r="R558" i="153"/>
  <c r="S558" i="153" s="1"/>
  <c r="U557" i="153"/>
  <c r="X556" i="153"/>
  <c r="Q557" i="153" s="1"/>
  <c r="V557" i="153" s="1"/>
  <c r="W557" i="153" l="1"/>
  <c r="X557" i="153" s="1"/>
  <c r="Q558" i="153" s="1"/>
  <c r="V558" i="153" s="1"/>
  <c r="P560" i="153"/>
  <c r="R559" i="153"/>
  <c r="S559" i="153" s="1"/>
  <c r="T559" i="153"/>
  <c r="U558" i="153"/>
  <c r="W558" i="153" s="1"/>
  <c r="X558" i="153" l="1"/>
  <c r="Q559" i="153" s="1"/>
  <c r="V559" i="153" s="1"/>
  <c r="W559" i="153"/>
  <c r="U559" i="153"/>
  <c r="T560" i="153"/>
  <c r="P561" i="153"/>
  <c r="R560" i="153"/>
  <c r="S560" i="153" s="1"/>
  <c r="U560" i="153" l="1"/>
  <c r="T561" i="153"/>
  <c r="P562" i="153"/>
  <c r="R561" i="153"/>
  <c r="S561" i="153" s="1"/>
  <c r="X559" i="153"/>
  <c r="Q560" i="153" s="1"/>
  <c r="V560" i="153" s="1"/>
  <c r="W560" i="153" l="1"/>
  <c r="X560" i="153" s="1"/>
  <c r="Q561" i="153" s="1"/>
  <c r="V561" i="153" s="1"/>
  <c r="T562" i="153"/>
  <c r="P563" i="153"/>
  <c r="R562" i="153"/>
  <c r="S562" i="153" s="1"/>
  <c r="U561" i="153"/>
  <c r="U562" i="153" l="1"/>
  <c r="P564" i="153"/>
  <c r="R563" i="153"/>
  <c r="S563" i="153" s="1"/>
  <c r="T563" i="153"/>
  <c r="W561" i="153"/>
  <c r="X561" i="153" s="1"/>
  <c r="Q562" i="153" s="1"/>
  <c r="V562" i="153" s="1"/>
  <c r="W562" i="153" l="1"/>
  <c r="X562" i="153" s="1"/>
  <c r="Q563" i="153" s="1"/>
  <c r="V563" i="153" s="1"/>
  <c r="W563" i="153"/>
  <c r="U563" i="153"/>
  <c r="T564" i="153"/>
  <c r="P565" i="153"/>
  <c r="R564" i="153"/>
  <c r="S564" i="153" s="1"/>
  <c r="T565" i="153" l="1"/>
  <c r="P566" i="153"/>
  <c r="R565" i="153"/>
  <c r="S565" i="153" s="1"/>
  <c r="U564" i="153"/>
  <c r="X563" i="153"/>
  <c r="Q564" i="153" s="1"/>
  <c r="V564" i="153" s="1"/>
  <c r="W564" i="153" l="1"/>
  <c r="X564" i="153" s="1"/>
  <c r="Q565" i="153" s="1"/>
  <c r="V565" i="153" s="1"/>
  <c r="T566" i="153"/>
  <c r="P567" i="153"/>
  <c r="R566" i="153"/>
  <c r="S566" i="153" s="1"/>
  <c r="W565" i="153"/>
  <c r="U565" i="153"/>
  <c r="P568" i="153" l="1"/>
  <c r="R567" i="153"/>
  <c r="S567" i="153" s="1"/>
  <c r="T567" i="153"/>
  <c r="U566" i="153"/>
  <c r="W566" i="153"/>
  <c r="X565" i="153"/>
  <c r="Q566" i="153" s="1"/>
  <c r="V566" i="153" s="1"/>
  <c r="X566" i="153" l="1"/>
  <c r="Q567" i="153" s="1"/>
  <c r="V567" i="153" s="1"/>
  <c r="U567" i="153"/>
  <c r="T568" i="153"/>
  <c r="P569" i="153"/>
  <c r="R568" i="153"/>
  <c r="S568" i="153" s="1"/>
  <c r="W567" i="153" l="1"/>
  <c r="X567" i="153" s="1"/>
  <c r="Q568" i="153" s="1"/>
  <c r="V568" i="153" s="1"/>
  <c r="T569" i="153"/>
  <c r="P570" i="153"/>
  <c r="R569" i="153"/>
  <c r="S569" i="153" s="1"/>
  <c r="W568" i="153"/>
  <c r="U568" i="153"/>
  <c r="X568" i="153" l="1"/>
  <c r="Q569" i="153" s="1"/>
  <c r="V569" i="153" s="1"/>
  <c r="T570" i="153"/>
  <c r="P571" i="153"/>
  <c r="R570" i="153"/>
  <c r="S570" i="153" s="1"/>
  <c r="U569" i="153"/>
  <c r="P572" i="153" l="1"/>
  <c r="R571" i="153"/>
  <c r="S571" i="153" s="1"/>
  <c r="T571" i="153"/>
  <c r="U570" i="153"/>
  <c r="W569" i="153"/>
  <c r="X569" i="153" s="1"/>
  <c r="Q570" i="153" s="1"/>
  <c r="V570" i="153" s="1"/>
  <c r="W570" i="153" l="1"/>
  <c r="X570" i="153" s="1"/>
  <c r="Q571" i="153" s="1"/>
  <c r="V571" i="153" s="1"/>
  <c r="U571" i="153"/>
  <c r="T572" i="153"/>
  <c r="R572" i="153"/>
  <c r="S572" i="153" s="1"/>
  <c r="P573" i="153"/>
  <c r="W572" i="153" l="1"/>
  <c r="U572" i="153"/>
  <c r="T573" i="153"/>
  <c r="P574" i="153"/>
  <c r="R573" i="153"/>
  <c r="S573" i="153" s="1"/>
  <c r="W571" i="153"/>
  <c r="X571" i="153" s="1"/>
  <c r="Q572" i="153" s="1"/>
  <c r="V572" i="153" s="1"/>
  <c r="X572" i="153" l="1"/>
  <c r="Q573" i="153" s="1"/>
  <c r="V573" i="153" s="1"/>
  <c r="W573" i="153"/>
  <c r="U573" i="153"/>
  <c r="T574" i="153"/>
  <c r="P575" i="153"/>
  <c r="R574" i="153"/>
  <c r="S574" i="153" s="1"/>
  <c r="P576" i="153" l="1"/>
  <c r="R575" i="153"/>
  <c r="S575" i="153" s="1"/>
  <c r="T575" i="153"/>
  <c r="U574" i="153"/>
  <c r="W574" i="153"/>
  <c r="X573" i="153"/>
  <c r="Q574" i="153" s="1"/>
  <c r="V574" i="153" s="1"/>
  <c r="X574" i="153" l="1"/>
  <c r="Q575" i="153" s="1"/>
  <c r="V575" i="153" s="1"/>
  <c r="U575" i="153"/>
  <c r="T576" i="153"/>
  <c r="P577" i="153"/>
  <c r="R576" i="153"/>
  <c r="S576" i="153" s="1"/>
  <c r="T577" i="153" l="1"/>
  <c r="P578" i="153"/>
  <c r="R577" i="153"/>
  <c r="S577" i="153" s="1"/>
  <c r="U576" i="153"/>
  <c r="W575" i="153"/>
  <c r="X575" i="153" s="1"/>
  <c r="Q576" i="153" s="1"/>
  <c r="V576" i="153" s="1"/>
  <c r="W576" i="153" l="1"/>
  <c r="X576" i="153" s="1"/>
  <c r="Q577" i="153" s="1"/>
  <c r="V577" i="153" s="1"/>
  <c r="T578" i="153"/>
  <c r="P579" i="153"/>
  <c r="R578" i="153"/>
  <c r="S578" i="153" s="1"/>
  <c r="W577" i="153"/>
  <c r="U577" i="153"/>
  <c r="U578" i="153" l="1"/>
  <c r="P580" i="153"/>
  <c r="R579" i="153"/>
  <c r="S579" i="153" s="1"/>
  <c r="T579" i="153"/>
  <c r="X577" i="153"/>
  <c r="Q578" i="153" s="1"/>
  <c r="V578" i="153" s="1"/>
  <c r="W578" i="153" l="1"/>
  <c r="X578" i="153" s="1"/>
  <c r="Q579" i="153" s="1"/>
  <c r="V579" i="153" s="1"/>
  <c r="U579" i="153"/>
  <c r="W579" i="153"/>
  <c r="T580" i="153"/>
  <c r="R580" i="153"/>
  <c r="S580" i="153" s="1"/>
  <c r="P581" i="153"/>
  <c r="T581" i="153" l="1"/>
  <c r="P582" i="153"/>
  <c r="R581" i="153"/>
  <c r="S581" i="153" s="1"/>
  <c r="U580" i="153"/>
  <c r="X579" i="153"/>
  <c r="Q580" i="153" s="1"/>
  <c r="V580" i="153" s="1"/>
  <c r="W580" i="153" l="1"/>
  <c r="X580" i="153" s="1"/>
  <c r="Q581" i="153" s="1"/>
  <c r="V581" i="153" s="1"/>
  <c r="T582" i="153"/>
  <c r="P583" i="153"/>
  <c r="R582" i="153"/>
  <c r="S582" i="153" s="1"/>
  <c r="W581" i="153"/>
  <c r="U581" i="153"/>
  <c r="P584" i="153" l="1"/>
  <c r="R583" i="153"/>
  <c r="S583" i="153" s="1"/>
  <c r="T583" i="153"/>
  <c r="U582" i="153"/>
  <c r="X581" i="153"/>
  <c r="Q582" i="153" s="1"/>
  <c r="V582" i="153" s="1"/>
  <c r="W582" i="153" l="1"/>
  <c r="X582" i="153" s="1"/>
  <c r="Q583" i="153" s="1"/>
  <c r="V583" i="153" s="1"/>
  <c r="W583" i="153"/>
  <c r="U583" i="153"/>
  <c r="T584" i="153"/>
  <c r="R584" i="153"/>
  <c r="S584" i="153" s="1"/>
  <c r="P585" i="153"/>
  <c r="W584" i="153" l="1"/>
  <c r="U584" i="153"/>
  <c r="T585" i="153"/>
  <c r="P586" i="153"/>
  <c r="R585" i="153"/>
  <c r="S585" i="153" s="1"/>
  <c r="X583" i="153"/>
  <c r="Q584" i="153" s="1"/>
  <c r="V584" i="153" s="1"/>
  <c r="X584" i="153" l="1"/>
  <c r="Q585" i="153" s="1"/>
  <c r="V585" i="153" s="1"/>
  <c r="T586" i="153"/>
  <c r="P587" i="153"/>
  <c r="R586" i="153"/>
  <c r="S586" i="153" s="1"/>
  <c r="W585" i="153"/>
  <c r="U585" i="153"/>
  <c r="W586" i="153" l="1"/>
  <c r="U586" i="153"/>
  <c r="P588" i="153"/>
  <c r="R587" i="153"/>
  <c r="S587" i="153" s="1"/>
  <c r="T587" i="153"/>
  <c r="X585" i="153"/>
  <c r="Q586" i="153" s="1"/>
  <c r="V586" i="153" s="1"/>
  <c r="X586" i="153" l="1"/>
  <c r="Q587" i="153" s="1"/>
  <c r="V587" i="153" s="1"/>
  <c r="U587" i="153"/>
  <c r="T588" i="153"/>
  <c r="R588" i="153"/>
  <c r="S588" i="153" s="1"/>
  <c r="P589" i="153"/>
  <c r="T589" i="153" l="1"/>
  <c r="P590" i="153"/>
  <c r="R589" i="153"/>
  <c r="S589" i="153" s="1"/>
  <c r="U588" i="153"/>
  <c r="W587" i="153"/>
  <c r="X587" i="153" s="1"/>
  <c r="Q588" i="153" s="1"/>
  <c r="V588" i="153" s="1"/>
  <c r="W588" i="153" l="1"/>
  <c r="X588" i="153" s="1"/>
  <c r="Q589" i="153" s="1"/>
  <c r="V589" i="153" s="1"/>
  <c r="T590" i="153"/>
  <c r="P591" i="153"/>
  <c r="R590" i="153"/>
  <c r="S590" i="153" s="1"/>
  <c r="W589" i="153"/>
  <c r="U589" i="153"/>
  <c r="W590" i="153" l="1"/>
  <c r="U590" i="153"/>
  <c r="P592" i="153"/>
  <c r="R591" i="153"/>
  <c r="S591" i="153" s="1"/>
  <c r="T591" i="153"/>
  <c r="X589" i="153"/>
  <c r="Q590" i="153" s="1"/>
  <c r="V590" i="153" s="1"/>
  <c r="X590" i="153" l="1"/>
  <c r="Q591" i="153" s="1"/>
  <c r="V591" i="153" s="1"/>
  <c r="U591" i="153"/>
  <c r="T592" i="153"/>
  <c r="R592" i="153"/>
  <c r="S592" i="153" s="1"/>
  <c r="P593" i="153"/>
  <c r="U592" i="153" l="1"/>
  <c r="T593" i="153"/>
  <c r="P594" i="153"/>
  <c r="R593" i="153"/>
  <c r="S593" i="153" s="1"/>
  <c r="W591" i="153"/>
  <c r="X591" i="153" s="1"/>
  <c r="Q592" i="153" s="1"/>
  <c r="V592" i="153" s="1"/>
  <c r="W592" i="153" l="1"/>
  <c r="X592" i="153" s="1"/>
  <c r="Q593" i="153" s="1"/>
  <c r="V593" i="153" s="1"/>
  <c r="T594" i="153"/>
  <c r="P595" i="153"/>
  <c r="R594" i="153"/>
  <c r="S594" i="153" s="1"/>
  <c r="U593" i="153"/>
  <c r="W594" i="153" l="1"/>
  <c r="U594" i="153"/>
  <c r="P596" i="153"/>
  <c r="R595" i="153"/>
  <c r="S595" i="153" s="1"/>
  <c r="T595" i="153"/>
  <c r="W593" i="153"/>
  <c r="X593" i="153" s="1"/>
  <c r="Q594" i="153" s="1"/>
  <c r="V594" i="153" s="1"/>
  <c r="X594" i="153" l="1"/>
  <c r="Q595" i="153" s="1"/>
  <c r="V595" i="153" s="1"/>
  <c r="T596" i="153"/>
  <c r="R596" i="153"/>
  <c r="S596" i="153" s="1"/>
  <c r="P597" i="153"/>
  <c r="U595" i="153"/>
  <c r="T597" i="153" l="1"/>
  <c r="P598" i="153"/>
  <c r="R597" i="153"/>
  <c r="S597" i="153" s="1"/>
  <c r="W596" i="153"/>
  <c r="U596" i="153"/>
  <c r="W595" i="153"/>
  <c r="X595" i="153" s="1"/>
  <c r="Q596" i="153" s="1"/>
  <c r="V596" i="153" s="1"/>
  <c r="X596" i="153" l="1"/>
  <c r="Q597" i="153" s="1"/>
  <c r="V597" i="153" s="1"/>
  <c r="T598" i="153"/>
  <c r="P599" i="153"/>
  <c r="R598" i="153"/>
  <c r="S598" i="153" s="1"/>
  <c r="U597" i="153"/>
  <c r="W597" i="153" l="1"/>
  <c r="X597" i="153" s="1"/>
  <c r="Q598" i="153" s="1"/>
  <c r="V598" i="153" s="1"/>
  <c r="P600" i="153"/>
  <c r="R599" i="153"/>
  <c r="S599" i="153" s="1"/>
  <c r="T599" i="153"/>
  <c r="W598" i="153"/>
  <c r="U598" i="153"/>
  <c r="X598" i="153" l="1"/>
  <c r="Q599" i="153" s="1"/>
  <c r="V599" i="153" s="1"/>
  <c r="W599" i="153"/>
  <c r="U599" i="153"/>
  <c r="P601" i="153"/>
  <c r="T600" i="153"/>
  <c r="R600" i="153"/>
  <c r="S600" i="153" s="1"/>
  <c r="U600" i="153" l="1"/>
  <c r="P602" i="153"/>
  <c r="T601" i="153"/>
  <c r="R601" i="153"/>
  <c r="S601" i="153" s="1"/>
  <c r="X599" i="153"/>
  <c r="Q600" i="153" s="1"/>
  <c r="V600" i="153" s="1"/>
  <c r="U601" i="153" l="1"/>
  <c r="T602" i="153"/>
  <c r="P603" i="153"/>
  <c r="R602" i="153"/>
  <c r="S602" i="153" s="1"/>
  <c r="W600" i="153"/>
  <c r="X600" i="153" s="1"/>
  <c r="Q601" i="153" s="1"/>
  <c r="V601" i="153" s="1"/>
  <c r="W601" i="153" l="1"/>
  <c r="X601" i="153" s="1"/>
  <c r="Q602" i="153" s="1"/>
  <c r="V602" i="153" s="1"/>
  <c r="T603" i="153"/>
  <c r="P604" i="153"/>
  <c r="R603" i="153"/>
  <c r="S603" i="153" s="1"/>
  <c r="U602" i="153"/>
  <c r="W602" i="153" s="1"/>
  <c r="T604" i="153" l="1"/>
  <c r="P605" i="153"/>
  <c r="R604" i="153"/>
  <c r="S604" i="153" s="1"/>
  <c r="W603" i="153"/>
  <c r="U603" i="153"/>
  <c r="X602" i="153"/>
  <c r="Q603" i="153" s="1"/>
  <c r="V603" i="153" s="1"/>
  <c r="X603" i="153" l="1"/>
  <c r="Q604" i="153" s="1"/>
  <c r="V604" i="153" s="1"/>
  <c r="P606" i="153"/>
  <c r="R605" i="153"/>
  <c r="S605" i="153" s="1"/>
  <c r="T605" i="153"/>
  <c r="W604" i="153"/>
  <c r="U604" i="153"/>
  <c r="U605" i="153" l="1"/>
  <c r="W605" i="153"/>
  <c r="T606" i="153"/>
  <c r="P607" i="153"/>
  <c r="R606" i="153"/>
  <c r="S606" i="153" s="1"/>
  <c r="X604" i="153"/>
  <c r="Q605" i="153" s="1"/>
  <c r="V605" i="153" s="1"/>
  <c r="T607" i="153" l="1"/>
  <c r="P608" i="153"/>
  <c r="R607" i="153"/>
  <c r="S607" i="153" s="1"/>
  <c r="U606" i="153"/>
  <c r="X605" i="153"/>
  <c r="Q606" i="153" s="1"/>
  <c r="V606" i="153" s="1"/>
  <c r="W606" i="153" l="1"/>
  <c r="X606" i="153" s="1"/>
  <c r="Q607" i="153" s="1"/>
  <c r="V607" i="153" s="1"/>
  <c r="T608" i="153"/>
  <c r="P609" i="153"/>
  <c r="R608" i="153"/>
  <c r="S608" i="153" s="1"/>
  <c r="U607" i="153"/>
  <c r="P610" i="153" l="1"/>
  <c r="R609" i="153"/>
  <c r="S609" i="153" s="1"/>
  <c r="T609" i="153"/>
  <c r="U608" i="153"/>
  <c r="W608" i="153"/>
  <c r="W607" i="153"/>
  <c r="X607" i="153" s="1"/>
  <c r="Q608" i="153" s="1"/>
  <c r="V608" i="153" s="1"/>
  <c r="X608" i="153" l="1"/>
  <c r="Q609" i="153" s="1"/>
  <c r="V609" i="153" s="1"/>
  <c r="U609" i="153"/>
  <c r="T610" i="153"/>
  <c r="P611" i="153"/>
  <c r="R610" i="153"/>
  <c r="S610" i="153" s="1"/>
  <c r="W609" i="153" l="1"/>
  <c r="X609" i="153" s="1"/>
  <c r="Q610" i="153" s="1"/>
  <c r="V610" i="153" s="1"/>
  <c r="T611" i="153"/>
  <c r="P612" i="153"/>
  <c r="R611" i="153"/>
  <c r="S611" i="153" s="1"/>
  <c r="W610" i="153"/>
  <c r="U610" i="153"/>
  <c r="X610" i="153" l="1"/>
  <c r="Q611" i="153" s="1"/>
  <c r="V611" i="153" s="1"/>
  <c r="T612" i="153"/>
  <c r="P613" i="153"/>
  <c r="R612" i="153"/>
  <c r="S612" i="153" s="1"/>
  <c r="U611" i="153"/>
  <c r="W611" i="153" s="1"/>
  <c r="P614" i="153" l="1"/>
  <c r="R613" i="153"/>
  <c r="S613" i="153" s="1"/>
  <c r="T613" i="153"/>
  <c r="U612" i="153"/>
  <c r="W612" i="153"/>
  <c r="X611" i="153"/>
  <c r="Q612" i="153" s="1"/>
  <c r="V612" i="153" s="1"/>
  <c r="X612" i="153" l="1"/>
  <c r="Q613" i="153" s="1"/>
  <c r="V613" i="153" s="1"/>
  <c r="T614" i="153"/>
  <c r="P615" i="153"/>
  <c r="R614" i="153"/>
  <c r="S614" i="153" s="1"/>
  <c r="U613" i="153"/>
  <c r="W613" i="153" s="1"/>
  <c r="W614" i="153" l="1"/>
  <c r="U614" i="153"/>
  <c r="T615" i="153"/>
  <c r="P616" i="153"/>
  <c r="R615" i="153"/>
  <c r="S615" i="153" s="1"/>
  <c r="X613" i="153"/>
  <c r="Q614" i="153" s="1"/>
  <c r="V614" i="153" s="1"/>
  <c r="X614" i="153" l="1"/>
  <c r="Q615" i="153" s="1"/>
  <c r="V615" i="153" s="1"/>
  <c r="T616" i="153"/>
  <c r="P617" i="153"/>
  <c r="R616" i="153"/>
  <c r="S616" i="153" s="1"/>
  <c r="W615" i="153"/>
  <c r="U615" i="153"/>
  <c r="U616" i="153" l="1"/>
  <c r="P618" i="153"/>
  <c r="R617" i="153"/>
  <c r="S617" i="153" s="1"/>
  <c r="T617" i="153"/>
  <c r="X615" i="153"/>
  <c r="Q616" i="153" s="1"/>
  <c r="V616" i="153" s="1"/>
  <c r="W616" i="153" l="1"/>
  <c r="X616" i="153" s="1"/>
  <c r="Q617" i="153" s="1"/>
  <c r="V617" i="153" s="1"/>
  <c r="U617" i="153"/>
  <c r="W617" i="153"/>
  <c r="T618" i="153"/>
  <c r="R618" i="153"/>
  <c r="S618" i="153" s="1"/>
  <c r="P619" i="153"/>
  <c r="U618" i="153" l="1"/>
  <c r="T619" i="153"/>
  <c r="P620" i="153"/>
  <c r="R619" i="153"/>
  <c r="S619" i="153" s="1"/>
  <c r="X617" i="153"/>
  <c r="Q618" i="153" s="1"/>
  <c r="V618" i="153" s="1"/>
  <c r="U619" i="153" l="1"/>
  <c r="W618" i="153"/>
  <c r="X618" i="153" s="1"/>
  <c r="Q619" i="153" s="1"/>
  <c r="V619" i="153" s="1"/>
  <c r="T620" i="153"/>
  <c r="P621" i="153"/>
  <c r="R620" i="153"/>
  <c r="S620" i="153" s="1"/>
  <c r="W619" i="153" l="1"/>
  <c r="X619" i="153" s="1"/>
  <c r="Q620" i="153" s="1"/>
  <c r="V620" i="153" s="1"/>
  <c r="U620" i="153"/>
  <c r="W620" i="153"/>
  <c r="P622" i="153"/>
  <c r="R621" i="153"/>
  <c r="S621" i="153" s="1"/>
  <c r="T621" i="153"/>
  <c r="W621" i="153" l="1"/>
  <c r="U621" i="153"/>
  <c r="T622" i="153"/>
  <c r="P623" i="153"/>
  <c r="R622" i="153"/>
  <c r="S622" i="153" s="1"/>
  <c r="X620" i="153"/>
  <c r="Q621" i="153" s="1"/>
  <c r="V621" i="153" s="1"/>
  <c r="X621" i="153" l="1"/>
  <c r="Q622" i="153" s="1"/>
  <c r="V622" i="153" s="1"/>
  <c r="T623" i="153"/>
  <c r="P624" i="153"/>
  <c r="R623" i="153"/>
  <c r="S623" i="153" s="1"/>
  <c r="U622" i="153"/>
  <c r="T624" i="153" l="1"/>
  <c r="P625" i="153"/>
  <c r="R624" i="153"/>
  <c r="S624" i="153" s="1"/>
  <c r="U623" i="153"/>
  <c r="W622" i="153"/>
  <c r="X622" i="153" s="1"/>
  <c r="Q623" i="153" s="1"/>
  <c r="V623" i="153" s="1"/>
  <c r="W623" i="153" l="1"/>
  <c r="X623" i="153" s="1"/>
  <c r="Q624" i="153" s="1"/>
  <c r="V624" i="153" s="1"/>
  <c r="P626" i="153"/>
  <c r="R625" i="153"/>
  <c r="S625" i="153" s="1"/>
  <c r="T625" i="153"/>
  <c r="U624" i="153"/>
  <c r="T626" i="153" l="1"/>
  <c r="R626" i="153"/>
  <c r="S626" i="153" s="1"/>
  <c r="P627" i="153"/>
  <c r="W624" i="153"/>
  <c r="X624" i="153" s="1"/>
  <c r="Q625" i="153" s="1"/>
  <c r="V625" i="153" s="1"/>
  <c r="U625" i="153"/>
  <c r="W625" i="153"/>
  <c r="X625" i="153" l="1"/>
  <c r="Q626" i="153" s="1"/>
  <c r="V626" i="153" s="1"/>
  <c r="T627" i="153"/>
  <c r="P628" i="153"/>
  <c r="R627" i="153"/>
  <c r="S627" i="153" s="1"/>
  <c r="U626" i="153"/>
  <c r="T628" i="153" l="1"/>
  <c r="P629" i="153"/>
  <c r="R628" i="153"/>
  <c r="S628" i="153" s="1"/>
  <c r="W627" i="153"/>
  <c r="U627" i="153"/>
  <c r="W626" i="153"/>
  <c r="X626" i="153" s="1"/>
  <c r="Q627" i="153" s="1"/>
  <c r="V627" i="153" s="1"/>
  <c r="P630" i="153" l="1"/>
  <c r="R629" i="153"/>
  <c r="S629" i="153" s="1"/>
  <c r="T629" i="153"/>
  <c r="X627" i="153"/>
  <c r="Q628" i="153" s="1"/>
  <c r="V628" i="153" s="1"/>
  <c r="U628" i="153"/>
  <c r="W628" i="153" l="1"/>
  <c r="X628" i="153" s="1"/>
  <c r="Q629" i="153" s="1"/>
  <c r="V629" i="153" s="1"/>
  <c r="U629" i="153"/>
  <c r="T630" i="153"/>
  <c r="P631" i="153"/>
  <c r="R630" i="153"/>
  <c r="S630" i="153" s="1"/>
  <c r="T631" i="153" l="1"/>
  <c r="P632" i="153"/>
  <c r="R631" i="153"/>
  <c r="S631" i="153" s="1"/>
  <c r="U630" i="153"/>
  <c r="W629" i="153"/>
  <c r="X629" i="153" s="1"/>
  <c r="Q630" i="153" s="1"/>
  <c r="V630" i="153" s="1"/>
  <c r="W630" i="153" l="1"/>
  <c r="X630" i="153" s="1"/>
  <c r="Q631" i="153" s="1"/>
  <c r="V631" i="153" s="1"/>
  <c r="T632" i="153"/>
  <c r="P633" i="153"/>
  <c r="R632" i="153"/>
  <c r="S632" i="153" s="1"/>
  <c r="U631" i="153"/>
  <c r="P634" i="153" l="1"/>
  <c r="R633" i="153"/>
  <c r="S633" i="153" s="1"/>
  <c r="T633" i="153"/>
  <c r="U632" i="153"/>
  <c r="W631" i="153"/>
  <c r="X631" i="153" s="1"/>
  <c r="Q632" i="153" s="1"/>
  <c r="V632" i="153" s="1"/>
  <c r="W632" i="153" l="1"/>
  <c r="X632" i="153" s="1"/>
  <c r="Q633" i="153" s="1"/>
  <c r="V633" i="153" s="1"/>
  <c r="T634" i="153"/>
  <c r="R634" i="153"/>
  <c r="S634" i="153" s="1"/>
  <c r="P635" i="153"/>
  <c r="U633" i="153"/>
  <c r="W633" i="153"/>
  <c r="T635" i="153" l="1"/>
  <c r="P636" i="153"/>
  <c r="R635" i="153"/>
  <c r="S635" i="153" s="1"/>
  <c r="U634" i="153"/>
  <c r="X633" i="153"/>
  <c r="Q634" i="153" s="1"/>
  <c r="V634" i="153" s="1"/>
  <c r="W634" i="153" l="1"/>
  <c r="X634" i="153" s="1"/>
  <c r="Q635" i="153" s="1"/>
  <c r="V635" i="153" s="1"/>
  <c r="T636" i="153"/>
  <c r="P637" i="153"/>
  <c r="R636" i="153"/>
  <c r="S636" i="153" s="1"/>
  <c r="W635" i="153"/>
  <c r="U635" i="153"/>
  <c r="P638" i="153" l="1"/>
  <c r="R637" i="153"/>
  <c r="S637" i="153" s="1"/>
  <c r="T637" i="153"/>
  <c r="U636" i="153"/>
  <c r="W636" i="153"/>
  <c r="X635" i="153"/>
  <c r="Q636" i="153" s="1"/>
  <c r="V636" i="153" s="1"/>
  <c r="X636" i="153" l="1"/>
  <c r="Q637" i="153" s="1"/>
  <c r="V637" i="153" s="1"/>
  <c r="U637" i="153"/>
  <c r="T638" i="153"/>
  <c r="P639" i="153"/>
  <c r="R638" i="153"/>
  <c r="S638" i="153" s="1"/>
  <c r="W637" i="153" l="1"/>
  <c r="X637" i="153" s="1"/>
  <c r="Q638" i="153" s="1"/>
  <c r="V638" i="153" s="1"/>
  <c r="T639" i="153"/>
  <c r="P640" i="153"/>
  <c r="R639" i="153"/>
  <c r="S639" i="153" s="1"/>
  <c r="U638" i="153"/>
  <c r="W638" i="153" l="1"/>
  <c r="X638" i="153" s="1"/>
  <c r="Q639" i="153" s="1"/>
  <c r="V639" i="153" s="1"/>
  <c r="T640" i="153"/>
  <c r="P641" i="153"/>
  <c r="R640" i="153"/>
  <c r="S640" i="153" s="1"/>
  <c r="U639" i="153"/>
  <c r="W639" i="153" s="1"/>
  <c r="P642" i="153" l="1"/>
  <c r="R641" i="153"/>
  <c r="S641" i="153" s="1"/>
  <c r="T641" i="153"/>
  <c r="U640" i="153"/>
  <c r="W640" i="153"/>
  <c r="X639" i="153"/>
  <c r="Q640" i="153" s="1"/>
  <c r="V640" i="153" s="1"/>
  <c r="X640" i="153" l="1"/>
  <c r="Q641" i="153" s="1"/>
  <c r="V641" i="153" s="1"/>
  <c r="T642" i="153"/>
  <c r="P643" i="153"/>
  <c r="R642" i="153"/>
  <c r="S642" i="153" s="1"/>
  <c r="U641" i="153"/>
  <c r="W641" i="153" s="1"/>
  <c r="T643" i="153" l="1"/>
  <c r="P644" i="153"/>
  <c r="R643" i="153"/>
  <c r="S643" i="153" s="1"/>
  <c r="W642" i="153"/>
  <c r="U642" i="153"/>
  <c r="X641" i="153"/>
  <c r="Q642" i="153" s="1"/>
  <c r="V642" i="153" s="1"/>
  <c r="X642" i="153" l="1"/>
  <c r="Q643" i="153" s="1"/>
  <c r="V643" i="153" s="1"/>
  <c r="T644" i="153"/>
  <c r="P645" i="153"/>
  <c r="R644" i="153"/>
  <c r="S644" i="153" s="1"/>
  <c r="W643" i="153"/>
  <c r="U643" i="153"/>
  <c r="P646" i="153" l="1"/>
  <c r="R645" i="153"/>
  <c r="S645" i="153" s="1"/>
  <c r="T645" i="153"/>
  <c r="U644" i="153"/>
  <c r="W644" i="153"/>
  <c r="X643" i="153"/>
  <c r="Q644" i="153" s="1"/>
  <c r="V644" i="153" s="1"/>
  <c r="W645" i="153" l="1"/>
  <c r="U645" i="153"/>
  <c r="X644" i="153"/>
  <c r="Q645" i="153" s="1"/>
  <c r="V645" i="153" s="1"/>
  <c r="T646" i="153"/>
  <c r="P647" i="153"/>
  <c r="R646" i="153"/>
  <c r="S646" i="153" s="1"/>
  <c r="T647" i="153" l="1"/>
  <c r="P648" i="153"/>
  <c r="R647" i="153"/>
  <c r="S647" i="153" s="1"/>
  <c r="W646" i="153"/>
  <c r="U646" i="153"/>
  <c r="X645" i="153"/>
  <c r="Q646" i="153" s="1"/>
  <c r="V646" i="153" s="1"/>
  <c r="U647" i="153" l="1"/>
  <c r="X646" i="153"/>
  <c r="Q647" i="153" s="1"/>
  <c r="V647" i="153" s="1"/>
  <c r="T648" i="153"/>
  <c r="P649" i="153"/>
  <c r="R648" i="153"/>
  <c r="S648" i="153" s="1"/>
  <c r="W647" i="153" l="1"/>
  <c r="X647" i="153" s="1"/>
  <c r="Q648" i="153" s="1"/>
  <c r="V648" i="153" s="1"/>
  <c r="U648" i="153"/>
  <c r="W648" i="153"/>
  <c r="P650" i="153"/>
  <c r="R649" i="153"/>
  <c r="S649" i="153" s="1"/>
  <c r="T649" i="153"/>
  <c r="U649" i="153" l="1"/>
  <c r="X648" i="153"/>
  <c r="Q649" i="153" s="1"/>
  <c r="V649" i="153" s="1"/>
  <c r="T650" i="153"/>
  <c r="R650" i="153"/>
  <c r="S650" i="153" s="1"/>
  <c r="P651" i="153"/>
  <c r="U650" i="153" l="1"/>
  <c r="T651" i="153"/>
  <c r="P652" i="153"/>
  <c r="R651" i="153"/>
  <c r="S651" i="153" s="1"/>
  <c r="W649" i="153"/>
  <c r="X649" i="153" s="1"/>
  <c r="Q650" i="153" s="1"/>
  <c r="V650" i="153" s="1"/>
  <c r="W650" i="153" l="1"/>
  <c r="X650" i="153" s="1"/>
  <c r="Q651" i="153" s="1"/>
  <c r="V651" i="153" s="1"/>
  <c r="T652" i="153"/>
  <c r="P653" i="153"/>
  <c r="R652" i="153"/>
  <c r="S652" i="153" s="1"/>
  <c r="U651" i="153"/>
  <c r="U652" i="153" l="1"/>
  <c r="P654" i="153"/>
  <c r="R653" i="153"/>
  <c r="S653" i="153" s="1"/>
  <c r="T653" i="153"/>
  <c r="W651" i="153"/>
  <c r="X651" i="153" s="1"/>
  <c r="Q652" i="153" s="1"/>
  <c r="V652" i="153" s="1"/>
  <c r="W653" i="153" l="1"/>
  <c r="U653" i="153"/>
  <c r="W652" i="153"/>
  <c r="X652" i="153" s="1"/>
  <c r="Q653" i="153" s="1"/>
  <c r="V653" i="153" s="1"/>
  <c r="T654" i="153"/>
  <c r="R654" i="153"/>
  <c r="S654" i="153" s="1"/>
  <c r="P655" i="153"/>
  <c r="T655" i="153" l="1"/>
  <c r="P656" i="153"/>
  <c r="R655" i="153"/>
  <c r="S655" i="153" s="1"/>
  <c r="U654" i="153"/>
  <c r="X653" i="153"/>
  <c r="Q654" i="153" s="1"/>
  <c r="V654" i="153" s="1"/>
  <c r="W654" i="153" l="1"/>
  <c r="X654" i="153" s="1"/>
  <c r="Q655" i="153" s="1"/>
  <c r="V655" i="153" s="1"/>
  <c r="T656" i="153"/>
  <c r="P657" i="153"/>
  <c r="R656" i="153"/>
  <c r="S656" i="153" s="1"/>
  <c r="W655" i="153"/>
  <c r="U655" i="153"/>
  <c r="U656" i="153" l="1"/>
  <c r="W656" i="153"/>
  <c r="P658" i="153"/>
  <c r="R657" i="153"/>
  <c r="S657" i="153" s="1"/>
  <c r="T657" i="153"/>
  <c r="X655" i="153"/>
  <c r="Q656" i="153" s="1"/>
  <c r="V656" i="153" s="1"/>
  <c r="X656" i="153" l="1"/>
  <c r="Q657" i="153" s="1"/>
  <c r="V657" i="153" s="1"/>
  <c r="U657" i="153"/>
  <c r="W657" i="153"/>
  <c r="T658" i="153"/>
  <c r="R658" i="153"/>
  <c r="S658" i="153" s="1"/>
  <c r="P659" i="153"/>
  <c r="T659" i="153" l="1"/>
  <c r="P660" i="153"/>
  <c r="R659" i="153"/>
  <c r="S659" i="153" s="1"/>
  <c r="U658" i="153"/>
  <c r="X657" i="153"/>
  <c r="Q658" i="153" s="1"/>
  <c r="V658" i="153" s="1"/>
  <c r="W658" i="153" l="1"/>
  <c r="X658" i="153" s="1"/>
  <c r="Q659" i="153" s="1"/>
  <c r="V659" i="153" s="1"/>
  <c r="T660" i="153"/>
  <c r="P661" i="153"/>
  <c r="R660" i="153"/>
  <c r="S660" i="153" s="1"/>
  <c r="U659" i="153"/>
  <c r="U660" i="153" l="1"/>
  <c r="P662" i="153"/>
  <c r="R661" i="153"/>
  <c r="S661" i="153" s="1"/>
  <c r="T661" i="153"/>
  <c r="W659" i="153"/>
  <c r="X659" i="153" s="1"/>
  <c r="Q660" i="153" s="1"/>
  <c r="V660" i="153" s="1"/>
  <c r="W660" i="153" l="1"/>
  <c r="X660" i="153" s="1"/>
  <c r="Q661" i="153" s="1"/>
  <c r="V661" i="153" s="1"/>
  <c r="U661" i="153"/>
  <c r="W661" i="153" s="1"/>
  <c r="T662" i="153"/>
  <c r="P663" i="153"/>
  <c r="R662" i="153"/>
  <c r="S662" i="153" s="1"/>
  <c r="T663" i="153" l="1"/>
  <c r="R663" i="153"/>
  <c r="S663" i="153" s="1"/>
  <c r="P664" i="153"/>
  <c r="W662" i="153"/>
  <c r="U662" i="153"/>
  <c r="X661" i="153"/>
  <c r="Q662" i="153" s="1"/>
  <c r="V662" i="153" s="1"/>
  <c r="T664" i="153" l="1"/>
  <c r="P665" i="153"/>
  <c r="R664" i="153"/>
  <c r="S664" i="153" s="1"/>
  <c r="X662" i="153"/>
  <c r="Q663" i="153" s="1"/>
  <c r="V663" i="153" s="1"/>
  <c r="U663" i="153"/>
  <c r="P666" i="153" l="1"/>
  <c r="R665" i="153"/>
  <c r="S665" i="153" s="1"/>
  <c r="T665" i="153"/>
  <c r="W663" i="153"/>
  <c r="X663" i="153" s="1"/>
  <c r="Q664" i="153" s="1"/>
  <c r="V664" i="153" s="1"/>
  <c r="W664" i="153"/>
  <c r="U664" i="153"/>
  <c r="X664" i="153" l="1"/>
  <c r="Q665" i="153" s="1"/>
  <c r="V665" i="153" s="1"/>
  <c r="U665" i="153"/>
  <c r="T666" i="153"/>
  <c r="R666" i="153"/>
  <c r="S666" i="153" s="1"/>
  <c r="P667" i="153"/>
  <c r="U666" i="153" l="1"/>
  <c r="W666" i="153"/>
  <c r="W665" i="153"/>
  <c r="X665" i="153" s="1"/>
  <c r="Q666" i="153" s="1"/>
  <c r="V666" i="153" s="1"/>
  <c r="T667" i="153"/>
  <c r="R667" i="153"/>
  <c r="S667" i="153" s="1"/>
  <c r="P668" i="153"/>
  <c r="T668" i="153" l="1"/>
  <c r="R668" i="153"/>
  <c r="S668" i="153" s="1"/>
  <c r="P669" i="153"/>
  <c r="X666" i="153"/>
  <c r="Q667" i="153" s="1"/>
  <c r="V667" i="153" s="1"/>
  <c r="W667" i="153"/>
  <c r="U667" i="153"/>
  <c r="X667" i="153" l="1"/>
  <c r="Q668" i="153" s="1"/>
  <c r="V668" i="153" s="1"/>
  <c r="P670" i="153"/>
  <c r="R669" i="153"/>
  <c r="S669" i="153" s="1"/>
  <c r="T669" i="153"/>
  <c r="U668" i="153"/>
  <c r="U669" i="153" l="1"/>
  <c r="W669" i="153"/>
  <c r="W668" i="153"/>
  <c r="X668" i="153" s="1"/>
  <c r="Q669" i="153" s="1"/>
  <c r="V669" i="153" s="1"/>
  <c r="R670" i="153"/>
  <c r="S670" i="153" s="1"/>
  <c r="P671" i="153"/>
  <c r="T670" i="153"/>
  <c r="U670" i="153" l="1"/>
  <c r="P672" i="153"/>
  <c r="T671" i="153"/>
  <c r="R671" i="153"/>
  <c r="S671" i="153" s="1"/>
  <c r="X669" i="153"/>
  <c r="Q670" i="153" s="1"/>
  <c r="V670" i="153" s="1"/>
  <c r="W670" i="153" l="1"/>
  <c r="X670" i="153" s="1"/>
  <c r="Q671" i="153" s="1"/>
  <c r="V671" i="153" s="1"/>
  <c r="T672" i="153"/>
  <c r="R672" i="153"/>
  <c r="S672" i="153" s="1"/>
  <c r="P673" i="153"/>
  <c r="W671" i="153"/>
  <c r="U671" i="153"/>
  <c r="P674" i="153" l="1"/>
  <c r="R673" i="153"/>
  <c r="S673" i="153" s="1"/>
  <c r="T673" i="153"/>
  <c r="U672" i="153"/>
  <c r="X671" i="153"/>
  <c r="Q672" i="153" s="1"/>
  <c r="V672" i="153" s="1"/>
  <c r="W672" i="153" l="1"/>
  <c r="X672" i="153" s="1"/>
  <c r="Q673" i="153" s="1"/>
  <c r="V673" i="153" s="1"/>
  <c r="W673" i="153"/>
  <c r="U673" i="153"/>
  <c r="T674" i="153"/>
  <c r="R674" i="153"/>
  <c r="S674" i="153" s="1"/>
  <c r="P675" i="153"/>
  <c r="T675" i="153" l="1"/>
  <c r="P676" i="153"/>
  <c r="R675" i="153"/>
  <c r="S675" i="153" s="1"/>
  <c r="W674" i="153"/>
  <c r="U674" i="153"/>
  <c r="X673" i="153"/>
  <c r="Q674" i="153" s="1"/>
  <c r="V674" i="153" s="1"/>
  <c r="X674" i="153" l="1"/>
  <c r="Q675" i="153" s="1"/>
  <c r="V675" i="153" s="1"/>
  <c r="T676" i="153"/>
  <c r="R676" i="153"/>
  <c r="S676" i="153" s="1"/>
  <c r="P677" i="153"/>
  <c r="W675" i="153"/>
  <c r="U675" i="153"/>
  <c r="P678" i="153" l="1"/>
  <c r="R677" i="153"/>
  <c r="S677" i="153" s="1"/>
  <c r="T677" i="153"/>
  <c r="U676" i="153"/>
  <c r="W676" i="153"/>
  <c r="X675" i="153"/>
  <c r="Q676" i="153" s="1"/>
  <c r="V676" i="153" s="1"/>
  <c r="X676" i="153" l="1"/>
  <c r="Q677" i="153" s="1"/>
  <c r="V677" i="153" s="1"/>
  <c r="U677" i="153"/>
  <c r="T678" i="153"/>
  <c r="R678" i="153"/>
  <c r="S678" i="153" s="1"/>
  <c r="P679" i="153"/>
  <c r="R679" i="153" l="1"/>
  <c r="S679" i="153" s="1"/>
  <c r="P680" i="153"/>
  <c r="T679" i="153"/>
  <c r="W677" i="153"/>
  <c r="X677" i="153" s="1"/>
  <c r="Q678" i="153" s="1"/>
  <c r="V678" i="153" s="1"/>
  <c r="W678" i="153"/>
  <c r="U678" i="153"/>
  <c r="X678" i="153" l="1"/>
  <c r="Q679" i="153" s="1"/>
  <c r="V679" i="153" s="1"/>
  <c r="W679" i="153"/>
  <c r="U679" i="153"/>
  <c r="T680" i="153"/>
  <c r="R680" i="153"/>
  <c r="S680" i="153" s="1"/>
  <c r="P681" i="153"/>
  <c r="P682" i="153" l="1"/>
  <c r="R681" i="153"/>
  <c r="S681" i="153" s="1"/>
  <c r="T681" i="153"/>
  <c r="U680" i="153"/>
  <c r="X679" i="153"/>
  <c r="Q680" i="153" s="1"/>
  <c r="V680" i="153" s="1"/>
  <c r="W680" i="153" l="1"/>
  <c r="X680" i="153" s="1"/>
  <c r="Q681" i="153" s="1"/>
  <c r="V681" i="153" s="1"/>
  <c r="U681" i="153"/>
  <c r="P683" i="153"/>
  <c r="T682" i="153"/>
  <c r="R682" i="153"/>
  <c r="S682" i="153" s="1"/>
  <c r="T683" i="153" l="1"/>
  <c r="P684" i="153"/>
  <c r="R683" i="153"/>
  <c r="S683" i="153" s="1"/>
  <c r="U682" i="153"/>
  <c r="W681" i="153"/>
  <c r="X681" i="153" s="1"/>
  <c r="Q682" i="153" s="1"/>
  <c r="V682" i="153" s="1"/>
  <c r="W682" i="153" l="1"/>
  <c r="X682" i="153" s="1"/>
  <c r="Q683" i="153" s="1"/>
  <c r="V683" i="153" s="1"/>
  <c r="U683" i="153"/>
  <c r="T684" i="153"/>
  <c r="R684" i="153"/>
  <c r="S684" i="153" s="1"/>
  <c r="P685" i="153"/>
  <c r="P686" i="153" l="1"/>
  <c r="R685" i="153"/>
  <c r="S685" i="153" s="1"/>
  <c r="T685" i="153"/>
  <c r="U684" i="153"/>
  <c r="W683" i="153"/>
  <c r="X683" i="153" s="1"/>
  <c r="Q684" i="153" s="1"/>
  <c r="V684" i="153" s="1"/>
  <c r="W684" i="153" l="1"/>
  <c r="X684" i="153" s="1"/>
  <c r="Q685" i="153" s="1"/>
  <c r="V685" i="153" s="1"/>
  <c r="U685" i="153"/>
  <c r="T686" i="153"/>
  <c r="P687" i="153"/>
  <c r="R686" i="153"/>
  <c r="S686" i="153" s="1"/>
  <c r="U686" i="153" l="1"/>
  <c r="W686" i="153"/>
  <c r="T687" i="153"/>
  <c r="R687" i="153"/>
  <c r="S687" i="153" s="1"/>
  <c r="P688" i="153"/>
  <c r="W685" i="153"/>
  <c r="X685" i="153" s="1"/>
  <c r="Q686" i="153" s="1"/>
  <c r="V686" i="153" s="1"/>
  <c r="X686" i="153" l="1"/>
  <c r="Q687" i="153" s="1"/>
  <c r="V687" i="153" s="1"/>
  <c r="T688" i="153"/>
  <c r="R688" i="153"/>
  <c r="S688" i="153" s="1"/>
  <c r="P689" i="153"/>
  <c r="U687" i="153"/>
  <c r="W687" i="153"/>
  <c r="P690" i="153" l="1"/>
  <c r="R689" i="153"/>
  <c r="S689" i="153" s="1"/>
  <c r="T689" i="153"/>
  <c r="U688" i="153"/>
  <c r="W688" i="153"/>
  <c r="X687" i="153"/>
  <c r="Q688" i="153" s="1"/>
  <c r="V688" i="153" s="1"/>
  <c r="X688" i="153" l="1"/>
  <c r="Q689" i="153" s="1"/>
  <c r="V689" i="153" s="1"/>
  <c r="U689" i="153"/>
  <c r="R690" i="153"/>
  <c r="S690" i="153" s="1"/>
  <c r="P691" i="153"/>
  <c r="T690" i="153"/>
  <c r="W689" i="153" l="1"/>
  <c r="X689" i="153" s="1"/>
  <c r="Q690" i="153" s="1"/>
  <c r="V690" i="153" s="1"/>
  <c r="U690" i="153"/>
  <c r="R691" i="153"/>
  <c r="S691" i="153" s="1"/>
  <c r="P692" i="153"/>
  <c r="T691" i="153"/>
  <c r="W690" i="153" l="1"/>
  <c r="X690" i="153" s="1"/>
  <c r="Q691" i="153" s="1"/>
  <c r="V691" i="153" s="1"/>
  <c r="U691" i="153"/>
  <c r="W691" i="153" s="1"/>
  <c r="T692" i="153"/>
  <c r="P693" i="153"/>
  <c r="R692" i="153"/>
  <c r="S692" i="153" s="1"/>
  <c r="P694" i="153" l="1"/>
  <c r="R693" i="153"/>
  <c r="S693" i="153" s="1"/>
  <c r="T693" i="153"/>
  <c r="W692" i="153"/>
  <c r="U692" i="153"/>
  <c r="X691" i="153"/>
  <c r="Q692" i="153" s="1"/>
  <c r="V692" i="153" s="1"/>
  <c r="X692" i="153" l="1"/>
  <c r="Q693" i="153" s="1"/>
  <c r="V693" i="153" s="1"/>
  <c r="U693" i="153"/>
  <c r="T694" i="153"/>
  <c r="P695" i="153"/>
  <c r="R694" i="153"/>
  <c r="S694" i="153" s="1"/>
  <c r="T695" i="153" l="1"/>
  <c r="R695" i="153"/>
  <c r="S695" i="153" s="1"/>
  <c r="P696" i="153"/>
  <c r="W694" i="153"/>
  <c r="U694" i="153"/>
  <c r="W693" i="153"/>
  <c r="X693" i="153" s="1"/>
  <c r="Q694" i="153" s="1"/>
  <c r="V694" i="153" s="1"/>
  <c r="X694" i="153" l="1"/>
  <c r="Q695" i="153" s="1"/>
  <c r="V695" i="153" s="1"/>
  <c r="T696" i="153"/>
  <c r="R696" i="153"/>
  <c r="S696" i="153" s="1"/>
  <c r="P697" i="153"/>
  <c r="U695" i="153"/>
  <c r="T697" i="153" l="1"/>
  <c r="P698" i="153"/>
  <c r="R697" i="153"/>
  <c r="S697" i="153" s="1"/>
  <c r="W696" i="153"/>
  <c r="U696" i="153"/>
  <c r="W695" i="153"/>
  <c r="X695" i="153" s="1"/>
  <c r="Q696" i="153" s="1"/>
  <c r="V696" i="153" s="1"/>
  <c r="X696" i="153" l="1"/>
  <c r="Q697" i="153" s="1"/>
  <c r="V697" i="153" s="1"/>
  <c r="P699" i="153"/>
  <c r="R698" i="153"/>
  <c r="S698" i="153" s="1"/>
  <c r="T698" i="153"/>
  <c r="W697" i="153"/>
  <c r="U697" i="153"/>
  <c r="U698" i="153" l="1"/>
  <c r="X697" i="153"/>
  <c r="Q698" i="153" s="1"/>
  <c r="V698" i="153" s="1"/>
  <c r="P700" i="153"/>
  <c r="T699" i="153"/>
  <c r="R699" i="153"/>
  <c r="S699" i="153" s="1"/>
  <c r="W698" i="153" l="1"/>
  <c r="X698" i="153" s="1"/>
  <c r="Q699" i="153" s="1"/>
  <c r="V699" i="153" s="1"/>
  <c r="U699" i="153"/>
  <c r="T700" i="153"/>
  <c r="P701" i="153"/>
  <c r="R700" i="153"/>
  <c r="S700" i="153" s="1"/>
  <c r="W699" i="153" l="1"/>
  <c r="X699" i="153" s="1"/>
  <c r="Q700" i="153" s="1"/>
  <c r="V700" i="153" s="1"/>
  <c r="T701" i="153"/>
  <c r="P702" i="153"/>
  <c r="R701" i="153"/>
  <c r="S701" i="153" s="1"/>
  <c r="U700" i="153"/>
  <c r="W700" i="153" s="1"/>
  <c r="P703" i="153" l="1"/>
  <c r="R702" i="153"/>
  <c r="S702" i="153" s="1"/>
  <c r="T702" i="153"/>
  <c r="U701" i="153"/>
  <c r="W701" i="153"/>
  <c r="X700" i="153"/>
  <c r="Q701" i="153" s="1"/>
  <c r="V701" i="153" s="1"/>
  <c r="X701" i="153" l="1"/>
  <c r="Q702" i="153" s="1"/>
  <c r="V702" i="153" s="1"/>
  <c r="U702" i="153"/>
  <c r="R703" i="153"/>
  <c r="S703" i="153" s="1"/>
  <c r="P704" i="153"/>
  <c r="T703" i="153"/>
  <c r="W702" i="153" l="1"/>
  <c r="X702" i="153" s="1"/>
  <c r="Q703" i="153" s="1"/>
  <c r="V703" i="153" s="1"/>
  <c r="T704" i="153"/>
  <c r="P705" i="153"/>
  <c r="R704" i="153"/>
  <c r="S704" i="153" s="1"/>
  <c r="W703" i="153"/>
  <c r="U703" i="153"/>
  <c r="X703" i="153" l="1"/>
  <c r="Q704" i="153" s="1"/>
  <c r="V704" i="153" s="1"/>
  <c r="T705" i="153"/>
  <c r="P706" i="153"/>
  <c r="R705" i="153"/>
  <c r="S705" i="153" s="1"/>
  <c r="U704" i="153"/>
  <c r="W704" i="153"/>
  <c r="U705" i="153" l="1"/>
  <c r="W705" i="153"/>
  <c r="P707" i="153"/>
  <c r="R706" i="153"/>
  <c r="S706" i="153" s="1"/>
  <c r="T706" i="153"/>
  <c r="X704" i="153"/>
  <c r="Q705" i="153" s="1"/>
  <c r="V705" i="153" s="1"/>
  <c r="W706" i="153" l="1"/>
  <c r="U706" i="153"/>
  <c r="T707" i="153"/>
  <c r="P708" i="153"/>
  <c r="R707" i="153"/>
  <c r="S707" i="153" s="1"/>
  <c r="X705" i="153"/>
  <c r="Q706" i="153" s="1"/>
  <c r="V706" i="153" s="1"/>
  <c r="X706" i="153" l="1"/>
  <c r="Q707" i="153" s="1"/>
  <c r="V707" i="153" s="1"/>
  <c r="T708" i="153"/>
  <c r="P709" i="153"/>
  <c r="R708" i="153"/>
  <c r="S708" i="153" s="1"/>
  <c r="W707" i="153"/>
  <c r="U707" i="153"/>
  <c r="U708" i="153" l="1"/>
  <c r="T709" i="153"/>
  <c r="P710" i="153"/>
  <c r="R709" i="153"/>
  <c r="S709" i="153" s="1"/>
  <c r="X707" i="153"/>
  <c r="Q708" i="153" s="1"/>
  <c r="V708" i="153" s="1"/>
  <c r="W709" i="153" l="1"/>
  <c r="U709" i="153"/>
  <c r="W708" i="153"/>
  <c r="X708" i="153" s="1"/>
  <c r="Q709" i="153" s="1"/>
  <c r="V709" i="153" s="1"/>
  <c r="P711" i="153"/>
  <c r="R710" i="153"/>
  <c r="S710" i="153" s="1"/>
  <c r="T710" i="153"/>
  <c r="X709" i="153" l="1"/>
  <c r="Q710" i="153" s="1"/>
  <c r="V710" i="153" s="1"/>
  <c r="T711" i="153"/>
  <c r="R711" i="153"/>
  <c r="S711" i="153" s="1"/>
  <c r="P712" i="153"/>
  <c r="U710" i="153"/>
  <c r="W710" i="153"/>
  <c r="T712" i="153" l="1"/>
  <c r="P713" i="153"/>
  <c r="R712" i="153"/>
  <c r="S712" i="153" s="1"/>
  <c r="U711" i="153"/>
  <c r="X710" i="153"/>
  <c r="Q711" i="153" s="1"/>
  <c r="V711" i="153" s="1"/>
  <c r="W711" i="153" l="1"/>
  <c r="X711" i="153" s="1"/>
  <c r="Q712" i="153" s="1"/>
  <c r="V712" i="153" s="1"/>
  <c r="T713" i="153"/>
  <c r="P714" i="153"/>
  <c r="R713" i="153"/>
  <c r="S713" i="153" s="1"/>
  <c r="U712" i="153"/>
  <c r="P715" i="153" l="1"/>
  <c r="R714" i="153"/>
  <c r="S714" i="153" s="1"/>
  <c r="T714" i="153"/>
  <c r="U713" i="153"/>
  <c r="W712" i="153"/>
  <c r="X712" i="153" s="1"/>
  <c r="Q713" i="153" s="1"/>
  <c r="V713" i="153" s="1"/>
  <c r="W713" i="153" l="1"/>
  <c r="X713" i="153" s="1"/>
  <c r="Q714" i="153" s="1"/>
  <c r="V714" i="153" s="1"/>
  <c r="U714" i="153"/>
  <c r="W714" i="153" s="1"/>
  <c r="T715" i="153"/>
  <c r="P716" i="153"/>
  <c r="R715" i="153"/>
  <c r="S715" i="153" s="1"/>
  <c r="T716" i="153" l="1"/>
  <c r="P717" i="153"/>
  <c r="R716" i="153"/>
  <c r="S716" i="153" s="1"/>
  <c r="U715" i="153"/>
  <c r="X714" i="153"/>
  <c r="Q715" i="153" s="1"/>
  <c r="V715" i="153" s="1"/>
  <c r="W715" i="153" l="1"/>
  <c r="X715" i="153" s="1"/>
  <c r="Q716" i="153" s="1"/>
  <c r="V716" i="153" s="1"/>
  <c r="T717" i="153"/>
  <c r="P718" i="153"/>
  <c r="R717" i="153"/>
  <c r="S717" i="153" s="1"/>
  <c r="U716" i="153"/>
  <c r="W716" i="153"/>
  <c r="P719" i="153" l="1"/>
  <c r="R718" i="153"/>
  <c r="S718" i="153" s="1"/>
  <c r="T718" i="153"/>
  <c r="W717" i="153"/>
  <c r="U717" i="153"/>
  <c r="X716" i="153"/>
  <c r="Q717" i="153" s="1"/>
  <c r="V717" i="153" s="1"/>
  <c r="X717" i="153" l="1"/>
  <c r="Q718" i="153" s="1"/>
  <c r="V718" i="153" s="1"/>
  <c r="U718" i="153"/>
  <c r="W718" i="153"/>
  <c r="T719" i="153"/>
  <c r="R719" i="153"/>
  <c r="S719" i="153" s="1"/>
  <c r="P720" i="153"/>
  <c r="T720" i="153" l="1"/>
  <c r="P721" i="153"/>
  <c r="R720" i="153"/>
  <c r="S720" i="153" s="1"/>
  <c r="W719" i="153"/>
  <c r="U719" i="153"/>
  <c r="X718" i="153"/>
  <c r="Q719" i="153" s="1"/>
  <c r="V719" i="153" s="1"/>
  <c r="X719" i="153" l="1"/>
  <c r="Q720" i="153" s="1"/>
  <c r="V720" i="153" s="1"/>
  <c r="T721" i="153"/>
  <c r="P722" i="153"/>
  <c r="R721" i="153"/>
  <c r="S721" i="153" s="1"/>
  <c r="U720" i="153"/>
  <c r="P723" i="153" l="1"/>
  <c r="R722" i="153"/>
  <c r="S722" i="153" s="1"/>
  <c r="T722" i="153"/>
  <c r="U721" i="153"/>
  <c r="W720" i="153"/>
  <c r="X720" i="153" s="1"/>
  <c r="Q721" i="153" s="1"/>
  <c r="V721" i="153" s="1"/>
  <c r="W721" i="153" l="1"/>
  <c r="X721" i="153" s="1"/>
  <c r="Q722" i="153" s="1"/>
  <c r="V722" i="153" s="1"/>
  <c r="U722" i="153"/>
  <c r="W722" i="153" s="1"/>
  <c r="T723" i="153"/>
  <c r="P724" i="153"/>
  <c r="R723" i="153"/>
  <c r="S723" i="153" s="1"/>
  <c r="W723" i="153" l="1"/>
  <c r="U723" i="153"/>
  <c r="T724" i="153"/>
  <c r="P725" i="153"/>
  <c r="R724" i="153"/>
  <c r="S724" i="153" s="1"/>
  <c r="X722" i="153"/>
  <c r="Q723" i="153" s="1"/>
  <c r="V723" i="153" s="1"/>
  <c r="T725" i="153" l="1"/>
  <c r="P726" i="153"/>
  <c r="R725" i="153"/>
  <c r="S725" i="153" s="1"/>
  <c r="U724" i="153"/>
  <c r="X723" i="153"/>
  <c r="Q724" i="153" s="1"/>
  <c r="V724" i="153" s="1"/>
  <c r="W724" i="153" l="1"/>
  <c r="X724" i="153" s="1"/>
  <c r="Q725" i="153" s="1"/>
  <c r="V725" i="153" s="1"/>
  <c r="P727" i="153"/>
  <c r="R726" i="153"/>
  <c r="S726" i="153" s="1"/>
  <c r="T726" i="153"/>
  <c r="W725" i="153"/>
  <c r="U725" i="153"/>
  <c r="T727" i="153" l="1"/>
  <c r="R727" i="153"/>
  <c r="S727" i="153" s="1"/>
  <c r="P728" i="153"/>
  <c r="X725" i="153"/>
  <c r="Q726" i="153" s="1"/>
  <c r="V726" i="153" s="1"/>
  <c r="U726" i="153"/>
  <c r="W726" i="153" l="1"/>
  <c r="X726" i="153" s="1"/>
  <c r="Q727" i="153" s="1"/>
  <c r="V727" i="153" s="1"/>
  <c r="T728" i="153"/>
  <c r="P729" i="153"/>
  <c r="R728" i="153"/>
  <c r="S728" i="153" s="1"/>
  <c r="W727" i="153"/>
  <c r="U727" i="153"/>
  <c r="T729" i="153" l="1"/>
  <c r="P730" i="153"/>
  <c r="R729" i="153"/>
  <c r="S729" i="153" s="1"/>
  <c r="U728" i="153"/>
  <c r="W728" i="153"/>
  <c r="X727" i="153"/>
  <c r="Q728" i="153" s="1"/>
  <c r="V728" i="153" s="1"/>
  <c r="X728" i="153" l="1"/>
  <c r="Q729" i="153" s="1"/>
  <c r="V729" i="153" s="1"/>
  <c r="P731" i="153"/>
  <c r="R730" i="153"/>
  <c r="S730" i="153" s="1"/>
  <c r="T730" i="153"/>
  <c r="U729" i="153"/>
  <c r="T731" i="153" l="1"/>
  <c r="P732" i="153"/>
  <c r="R731" i="153"/>
  <c r="S731" i="153" s="1"/>
  <c r="W730" i="153"/>
  <c r="U730" i="153"/>
  <c r="W729" i="153"/>
  <c r="X729" i="153" s="1"/>
  <c r="Q730" i="153" s="1"/>
  <c r="V730" i="153" s="1"/>
  <c r="X730" i="153" l="1"/>
  <c r="Q731" i="153" s="1"/>
  <c r="V731" i="153" s="1"/>
  <c r="T732" i="153"/>
  <c r="P733" i="153"/>
  <c r="R732" i="153"/>
  <c r="S732" i="153" s="1"/>
  <c r="U731" i="153"/>
  <c r="W731" i="153" s="1"/>
  <c r="U732" i="153" l="1"/>
  <c r="W732" i="153"/>
  <c r="T733" i="153"/>
  <c r="P734" i="153"/>
  <c r="R733" i="153"/>
  <c r="S733" i="153" s="1"/>
  <c r="X731" i="153"/>
  <c r="Q732" i="153" s="1"/>
  <c r="V732" i="153" s="1"/>
  <c r="P735" i="153" l="1"/>
  <c r="R734" i="153"/>
  <c r="S734" i="153" s="1"/>
  <c r="T734" i="153"/>
  <c r="X732" i="153"/>
  <c r="Q733" i="153" s="1"/>
  <c r="V733" i="153" s="1"/>
  <c r="U733" i="153"/>
  <c r="W733" i="153" s="1"/>
  <c r="X733" i="153" l="1"/>
  <c r="Q734" i="153" s="1"/>
  <c r="V734" i="153" s="1"/>
  <c r="U734" i="153"/>
  <c r="W734" i="153"/>
  <c r="T735" i="153"/>
  <c r="R735" i="153"/>
  <c r="S735" i="153" s="1"/>
  <c r="P736" i="153"/>
  <c r="T736" i="153" l="1"/>
  <c r="P737" i="153"/>
  <c r="R736" i="153"/>
  <c r="S736" i="153" s="1"/>
  <c r="W735" i="153"/>
  <c r="U735" i="153"/>
  <c r="X734" i="153"/>
  <c r="Q735" i="153" s="1"/>
  <c r="V735" i="153" s="1"/>
  <c r="X735" i="153" l="1"/>
  <c r="Q736" i="153" s="1"/>
  <c r="V736" i="153" s="1"/>
  <c r="T737" i="153"/>
  <c r="P738" i="153"/>
  <c r="R737" i="153"/>
  <c r="S737" i="153" s="1"/>
  <c r="U736" i="153"/>
  <c r="W736" i="153"/>
  <c r="W737" i="153" l="1"/>
  <c r="U737" i="153"/>
  <c r="P739" i="153"/>
  <c r="R738" i="153"/>
  <c r="S738" i="153" s="1"/>
  <c r="T738" i="153"/>
  <c r="X736" i="153"/>
  <c r="Q737" i="153" s="1"/>
  <c r="V737" i="153" s="1"/>
  <c r="U738" i="153" l="1"/>
  <c r="X737" i="153"/>
  <c r="Q738" i="153" s="1"/>
  <c r="V738" i="153" s="1"/>
  <c r="T739" i="153"/>
  <c r="P740" i="153"/>
  <c r="R739" i="153"/>
  <c r="S739" i="153" s="1"/>
  <c r="T740" i="153" l="1"/>
  <c r="P741" i="153"/>
  <c r="R740" i="153"/>
  <c r="S740" i="153" s="1"/>
  <c r="U739" i="153"/>
  <c r="W738" i="153"/>
  <c r="X738" i="153" s="1"/>
  <c r="Q739" i="153" s="1"/>
  <c r="V739" i="153" s="1"/>
  <c r="W739" i="153" l="1"/>
  <c r="X739" i="153" s="1"/>
  <c r="Q740" i="153" s="1"/>
  <c r="V740" i="153" s="1"/>
  <c r="U740" i="153"/>
  <c r="W740" i="153"/>
  <c r="T741" i="153"/>
  <c r="P742" i="153"/>
  <c r="R741" i="153"/>
  <c r="S741" i="153" s="1"/>
  <c r="P743" i="153" l="1"/>
  <c r="R742" i="153"/>
  <c r="S742" i="153" s="1"/>
  <c r="T742" i="153"/>
  <c r="W741" i="153"/>
  <c r="U741" i="153"/>
  <c r="X740" i="153"/>
  <c r="Q741" i="153" s="1"/>
  <c r="V741" i="153" s="1"/>
  <c r="X741" i="153" l="1"/>
  <c r="Q742" i="153" s="1"/>
  <c r="V742" i="153" s="1"/>
  <c r="U742" i="153"/>
  <c r="T743" i="153"/>
  <c r="R743" i="153"/>
  <c r="S743" i="153" s="1"/>
  <c r="P744" i="153"/>
  <c r="T744" i="153" l="1"/>
  <c r="P745" i="153"/>
  <c r="R744" i="153"/>
  <c r="S744" i="153" s="1"/>
  <c r="U743" i="153"/>
  <c r="W742" i="153"/>
  <c r="X742" i="153" s="1"/>
  <c r="Q743" i="153" s="1"/>
  <c r="V743" i="153" s="1"/>
  <c r="W743" i="153" l="1"/>
  <c r="X743" i="153" s="1"/>
  <c r="Q744" i="153" s="1"/>
  <c r="V744" i="153" s="1"/>
  <c r="T745" i="153"/>
  <c r="P746" i="153"/>
  <c r="R745" i="153"/>
  <c r="S745" i="153" s="1"/>
  <c r="U744" i="153"/>
  <c r="P747" i="153" l="1"/>
  <c r="R746" i="153"/>
  <c r="S746" i="153" s="1"/>
  <c r="T746" i="153"/>
  <c r="U745" i="153"/>
  <c r="W744" i="153"/>
  <c r="X744" i="153" s="1"/>
  <c r="Q745" i="153" s="1"/>
  <c r="V745" i="153" s="1"/>
  <c r="W745" i="153" l="1"/>
  <c r="X745" i="153" s="1"/>
  <c r="Q746" i="153" s="1"/>
  <c r="V746" i="153" s="1"/>
  <c r="U746" i="153"/>
  <c r="T747" i="153"/>
  <c r="P748" i="153"/>
  <c r="R747" i="153"/>
  <c r="S747" i="153" s="1"/>
  <c r="T748" i="153" l="1"/>
  <c r="P749" i="153"/>
  <c r="R748" i="153"/>
  <c r="S748" i="153" s="1"/>
  <c r="W747" i="153"/>
  <c r="U747" i="153"/>
  <c r="W746" i="153"/>
  <c r="X746" i="153" s="1"/>
  <c r="Q747" i="153" s="1"/>
  <c r="V747" i="153" s="1"/>
  <c r="X747" i="153" l="1"/>
  <c r="Q748" i="153" s="1"/>
  <c r="V748" i="153" s="1"/>
  <c r="T749" i="153"/>
  <c r="P750" i="153"/>
  <c r="R749" i="153"/>
  <c r="S749" i="153" s="1"/>
  <c r="U748" i="153"/>
  <c r="W748" i="153" l="1"/>
  <c r="X748" i="153" s="1"/>
  <c r="Q749" i="153" s="1"/>
  <c r="V749" i="153" s="1"/>
  <c r="W749" i="153"/>
  <c r="U749" i="153"/>
  <c r="P751" i="153"/>
  <c r="R750" i="153"/>
  <c r="S750" i="153" s="1"/>
  <c r="T750" i="153"/>
  <c r="X749" i="153" l="1"/>
  <c r="Q750" i="153" s="1"/>
  <c r="V750" i="153" s="1"/>
  <c r="U750" i="153"/>
  <c r="T751" i="153"/>
  <c r="R751" i="153"/>
  <c r="S751" i="153" s="1"/>
  <c r="P752" i="153"/>
  <c r="W750" i="153" l="1"/>
  <c r="X750" i="153" s="1"/>
  <c r="Q751" i="153" s="1"/>
  <c r="V751" i="153" s="1"/>
  <c r="T752" i="153"/>
  <c r="P753" i="153"/>
  <c r="R752" i="153"/>
  <c r="S752" i="153" s="1"/>
  <c r="U751" i="153"/>
  <c r="T753" i="153" l="1"/>
  <c r="P754" i="153"/>
  <c r="R753" i="153"/>
  <c r="S753" i="153" s="1"/>
  <c r="W751" i="153"/>
  <c r="X751" i="153" s="1"/>
  <c r="Q752" i="153" s="1"/>
  <c r="V752" i="153" s="1"/>
  <c r="U752" i="153"/>
  <c r="W752" i="153" s="1"/>
  <c r="P755" i="153" l="1"/>
  <c r="R754" i="153"/>
  <c r="S754" i="153" s="1"/>
  <c r="T754" i="153"/>
  <c r="X752" i="153"/>
  <c r="Q753" i="153" s="1"/>
  <c r="V753" i="153" s="1"/>
  <c r="W753" i="153"/>
  <c r="U753" i="153"/>
  <c r="X753" i="153" l="1"/>
  <c r="Q754" i="153" s="1"/>
  <c r="V754" i="153" s="1"/>
  <c r="U754" i="153"/>
  <c r="T755" i="153"/>
  <c r="P756" i="153"/>
  <c r="R755" i="153"/>
  <c r="S755" i="153" s="1"/>
  <c r="T756" i="153" l="1"/>
  <c r="P757" i="153"/>
  <c r="R756" i="153"/>
  <c r="S756" i="153" s="1"/>
  <c r="W755" i="153"/>
  <c r="U755" i="153"/>
  <c r="W754" i="153"/>
  <c r="X754" i="153" s="1"/>
  <c r="Q755" i="153" s="1"/>
  <c r="V755" i="153" s="1"/>
  <c r="X755" i="153" l="1"/>
  <c r="Q756" i="153" s="1"/>
  <c r="V756" i="153" s="1"/>
  <c r="T757" i="153"/>
  <c r="P758" i="153"/>
  <c r="R757" i="153"/>
  <c r="S757" i="153" s="1"/>
  <c r="U756" i="153"/>
  <c r="P759" i="153" l="1"/>
  <c r="R758" i="153"/>
  <c r="S758" i="153" s="1"/>
  <c r="T758" i="153"/>
  <c r="W757" i="153"/>
  <c r="U757" i="153"/>
  <c r="W756" i="153"/>
  <c r="X756" i="153" s="1"/>
  <c r="Q757" i="153" s="1"/>
  <c r="V757" i="153" s="1"/>
  <c r="X757" i="153" l="1"/>
  <c r="Q758" i="153" s="1"/>
  <c r="V758" i="153" s="1"/>
  <c r="U758" i="153"/>
  <c r="W758" i="153"/>
  <c r="T759" i="153"/>
  <c r="R759" i="153"/>
  <c r="S759" i="153" s="1"/>
  <c r="P760" i="153"/>
  <c r="U759" i="153" l="1"/>
  <c r="T760" i="153"/>
  <c r="P761" i="153"/>
  <c r="R760" i="153"/>
  <c r="S760" i="153" s="1"/>
  <c r="X758" i="153"/>
  <c r="Q759" i="153" s="1"/>
  <c r="V759" i="153" s="1"/>
  <c r="W759" i="153" l="1"/>
  <c r="X759" i="153" s="1"/>
  <c r="Q760" i="153" s="1"/>
  <c r="V760" i="153" s="1"/>
  <c r="U760" i="153"/>
  <c r="T761" i="153"/>
  <c r="P762" i="153"/>
  <c r="R761" i="153"/>
  <c r="S761" i="153" s="1"/>
  <c r="P763" i="153" l="1"/>
  <c r="R762" i="153"/>
  <c r="S762" i="153" s="1"/>
  <c r="T762" i="153"/>
  <c r="U761" i="153"/>
  <c r="W760" i="153"/>
  <c r="X760" i="153" s="1"/>
  <c r="Q761" i="153" s="1"/>
  <c r="V761" i="153" s="1"/>
  <c r="W761" i="153" l="1"/>
  <c r="X761" i="153" s="1"/>
  <c r="Q762" i="153" s="1"/>
  <c r="V762" i="153" s="1"/>
  <c r="W762" i="153"/>
  <c r="U762" i="153"/>
  <c r="T763" i="153"/>
  <c r="R763" i="153"/>
  <c r="S763" i="153" s="1"/>
  <c r="P764" i="153"/>
  <c r="T764" i="153" l="1"/>
  <c r="P765" i="153"/>
  <c r="R764" i="153"/>
  <c r="S764" i="153" s="1"/>
  <c r="U763" i="153"/>
  <c r="X762" i="153"/>
  <c r="Q763" i="153" s="1"/>
  <c r="V763" i="153" s="1"/>
  <c r="W763" i="153" l="1"/>
  <c r="X763" i="153" s="1"/>
  <c r="Q764" i="153" s="1"/>
  <c r="V764" i="153" s="1"/>
  <c r="T765" i="153"/>
  <c r="P766" i="153"/>
  <c r="R765" i="153"/>
  <c r="S765" i="153" s="1"/>
  <c r="W764" i="153"/>
  <c r="U764" i="153"/>
  <c r="P767" i="153" l="1"/>
  <c r="R766" i="153"/>
  <c r="S766" i="153" s="1"/>
  <c r="T766" i="153"/>
  <c r="U765" i="153"/>
  <c r="W765" i="153"/>
  <c r="X764" i="153"/>
  <c r="Q765" i="153" s="1"/>
  <c r="V765" i="153" s="1"/>
  <c r="X765" i="153" l="1"/>
  <c r="Q766" i="153" s="1"/>
  <c r="V766" i="153" s="1"/>
  <c r="W766" i="153"/>
  <c r="U766" i="153"/>
  <c r="T767" i="153"/>
  <c r="P768" i="153"/>
  <c r="R767" i="153"/>
  <c r="S767" i="153" s="1"/>
  <c r="T768" i="153" l="1"/>
  <c r="P769" i="153"/>
  <c r="R768" i="153"/>
  <c r="S768" i="153" s="1"/>
  <c r="W767" i="153"/>
  <c r="U767" i="153"/>
  <c r="X766" i="153"/>
  <c r="Q767" i="153" s="1"/>
  <c r="V767" i="153" s="1"/>
  <c r="X767" i="153" l="1"/>
  <c r="Q768" i="153" s="1"/>
  <c r="V768" i="153" s="1"/>
  <c r="T769" i="153"/>
  <c r="P770" i="153"/>
  <c r="R769" i="153"/>
  <c r="S769" i="153" s="1"/>
  <c r="W768" i="153"/>
  <c r="U768" i="153"/>
  <c r="U769" i="153" l="1"/>
  <c r="P771" i="153"/>
  <c r="R770" i="153"/>
  <c r="S770" i="153" s="1"/>
  <c r="T770" i="153"/>
  <c r="X768" i="153"/>
  <c r="Q769" i="153" s="1"/>
  <c r="V769" i="153" s="1"/>
  <c r="W769" i="153" l="1"/>
  <c r="X769" i="153" s="1"/>
  <c r="Q770" i="153" s="1"/>
  <c r="V770" i="153" s="1"/>
  <c r="U770" i="153"/>
  <c r="T771" i="153"/>
  <c r="P772" i="153"/>
  <c r="R771" i="153"/>
  <c r="S771" i="153" s="1"/>
  <c r="W770" i="153" l="1"/>
  <c r="X770" i="153" s="1"/>
  <c r="Q771" i="153" s="1"/>
  <c r="V771" i="153" s="1"/>
  <c r="T772" i="153"/>
  <c r="P773" i="153"/>
  <c r="R772" i="153"/>
  <c r="S772" i="153" s="1"/>
  <c r="W771" i="153"/>
  <c r="U771" i="153"/>
  <c r="T773" i="153" l="1"/>
  <c r="P774" i="153"/>
  <c r="R773" i="153"/>
  <c r="S773" i="153" s="1"/>
  <c r="U772" i="153"/>
  <c r="X771" i="153"/>
  <c r="Q772" i="153" s="1"/>
  <c r="V772" i="153" s="1"/>
  <c r="W772" i="153" l="1"/>
  <c r="X772" i="153" s="1"/>
  <c r="Q773" i="153" s="1"/>
  <c r="V773" i="153" s="1"/>
  <c r="P775" i="153"/>
  <c r="R774" i="153"/>
  <c r="S774" i="153" s="1"/>
  <c r="T774" i="153"/>
  <c r="U773" i="153"/>
  <c r="U774" i="153" l="1"/>
  <c r="T775" i="153"/>
  <c r="P776" i="153"/>
  <c r="R775" i="153"/>
  <c r="S775" i="153" s="1"/>
  <c r="W773" i="153"/>
  <c r="X773" i="153" s="1"/>
  <c r="Q774" i="153" s="1"/>
  <c r="V774" i="153" s="1"/>
  <c r="T776" i="153" l="1"/>
  <c r="P777" i="153"/>
  <c r="R776" i="153"/>
  <c r="S776" i="153" s="1"/>
  <c r="W775" i="153"/>
  <c r="U775" i="153"/>
  <c r="W774" i="153"/>
  <c r="X774" i="153" s="1"/>
  <c r="Q775" i="153" s="1"/>
  <c r="V775" i="153" s="1"/>
  <c r="X775" i="153" l="1"/>
  <c r="Q776" i="153" s="1"/>
  <c r="V776" i="153" s="1"/>
  <c r="T777" i="153"/>
  <c r="R777" i="153"/>
  <c r="S777" i="153" s="1"/>
  <c r="P778" i="153"/>
  <c r="U776" i="153"/>
  <c r="T778" i="153" l="1"/>
  <c r="R778" i="153"/>
  <c r="S778" i="153" s="1"/>
  <c r="P779" i="153"/>
  <c r="U777" i="153"/>
  <c r="W777" i="153"/>
  <c r="W776" i="153"/>
  <c r="X776" i="153" s="1"/>
  <c r="Q777" i="153" s="1"/>
  <c r="V777" i="153" s="1"/>
  <c r="X777" i="153" l="1"/>
  <c r="Q778" i="153" s="1"/>
  <c r="V778" i="153" s="1"/>
  <c r="R779" i="153"/>
  <c r="S779" i="153" s="1"/>
  <c r="P780" i="153"/>
  <c r="T779" i="153"/>
  <c r="W778" i="153"/>
  <c r="U778" i="153"/>
  <c r="U779" i="153" l="1"/>
  <c r="T780" i="153"/>
  <c r="R780" i="153"/>
  <c r="S780" i="153" s="1"/>
  <c r="P781" i="153"/>
  <c r="X778" i="153"/>
  <c r="Q779" i="153" s="1"/>
  <c r="V779" i="153" s="1"/>
  <c r="W779" i="153" l="1"/>
  <c r="X779" i="153" s="1"/>
  <c r="Q780" i="153" s="1"/>
  <c r="V780" i="153" s="1"/>
  <c r="T781" i="153"/>
  <c r="R781" i="153"/>
  <c r="S781" i="153" s="1"/>
  <c r="P782" i="153"/>
  <c r="W780" i="153"/>
  <c r="U780" i="153"/>
  <c r="T782" i="153" l="1"/>
  <c r="P783" i="153"/>
  <c r="R782" i="153"/>
  <c r="S782" i="153" s="1"/>
  <c r="U781" i="153"/>
  <c r="X780" i="153"/>
  <c r="Q781" i="153" s="1"/>
  <c r="V781" i="153" s="1"/>
  <c r="W781" i="153" l="1"/>
  <c r="X781" i="153" s="1"/>
  <c r="Q782" i="153" s="1"/>
  <c r="V782" i="153" s="1"/>
  <c r="P784" i="153"/>
  <c r="R783" i="153"/>
  <c r="S783" i="153" s="1"/>
  <c r="T783" i="153"/>
  <c r="U782" i="153"/>
  <c r="R784" i="153" l="1"/>
  <c r="S784" i="153" s="1"/>
  <c r="P785" i="153"/>
  <c r="T784" i="153"/>
  <c r="W782" i="153"/>
  <c r="X782" i="153" s="1"/>
  <c r="Q783" i="153" s="1"/>
  <c r="V783" i="153" s="1"/>
  <c r="U783" i="153"/>
  <c r="W783" i="153" s="1"/>
  <c r="X783" i="153" l="1"/>
  <c r="Q784" i="153" s="1"/>
  <c r="V784" i="153" s="1"/>
  <c r="T785" i="153"/>
  <c r="R785" i="153"/>
  <c r="S785" i="153" s="1"/>
  <c r="P786" i="153"/>
  <c r="W784" i="153"/>
  <c r="U784" i="153"/>
  <c r="T786" i="153" l="1"/>
  <c r="P787" i="153"/>
  <c r="R786" i="153"/>
  <c r="S786" i="153" s="1"/>
  <c r="U785" i="153"/>
  <c r="X784" i="153"/>
  <c r="Q785" i="153" s="1"/>
  <c r="V785" i="153" s="1"/>
  <c r="W785" i="153" l="1"/>
  <c r="X785" i="153" s="1"/>
  <c r="Q786" i="153" s="1"/>
  <c r="V786" i="153" s="1"/>
  <c r="P788" i="153"/>
  <c r="R787" i="153"/>
  <c r="S787" i="153" s="1"/>
  <c r="T787" i="153"/>
  <c r="W786" i="153"/>
  <c r="U786" i="153"/>
  <c r="U787" i="153" l="1"/>
  <c r="T788" i="153"/>
  <c r="P789" i="153"/>
  <c r="R788" i="153"/>
  <c r="S788" i="153" s="1"/>
  <c r="X786" i="153"/>
  <c r="Q787" i="153" s="1"/>
  <c r="V787" i="153" s="1"/>
  <c r="W787" i="153" l="1"/>
  <c r="X787" i="153" s="1"/>
  <c r="Q788" i="153" s="1"/>
  <c r="V788" i="153" s="1"/>
  <c r="P790" i="153"/>
  <c r="R789" i="153"/>
  <c r="S789" i="153" s="1"/>
  <c r="T789" i="153"/>
  <c r="W788" i="153"/>
  <c r="U788" i="153"/>
  <c r="W789" i="153" l="1"/>
  <c r="U789" i="153"/>
  <c r="T790" i="153"/>
  <c r="P791" i="153"/>
  <c r="R790" i="153"/>
  <c r="S790" i="153" s="1"/>
  <c r="X788" i="153"/>
  <c r="Q789" i="153" s="1"/>
  <c r="V789" i="153" s="1"/>
  <c r="T791" i="153" l="1"/>
  <c r="P792" i="153"/>
  <c r="R791" i="153"/>
  <c r="S791" i="153" s="1"/>
  <c r="X789" i="153"/>
  <c r="Q790" i="153" s="1"/>
  <c r="V790" i="153" s="1"/>
  <c r="U790" i="153"/>
  <c r="W790" i="153" s="1"/>
  <c r="X790" i="153" l="1"/>
  <c r="Q791" i="153" s="1"/>
  <c r="V791" i="153" s="1"/>
  <c r="T792" i="153"/>
  <c r="P793" i="153"/>
  <c r="R792" i="153"/>
  <c r="S792" i="153" s="1"/>
  <c r="U791" i="153"/>
  <c r="P794" i="153" l="1"/>
  <c r="R793" i="153"/>
  <c r="S793" i="153" s="1"/>
  <c r="T793" i="153"/>
  <c r="U792" i="153"/>
  <c r="W791" i="153"/>
  <c r="X791" i="153" s="1"/>
  <c r="Q792" i="153" s="1"/>
  <c r="V792" i="153" s="1"/>
  <c r="W792" i="153" l="1"/>
  <c r="X792" i="153" s="1"/>
  <c r="Q793" i="153" s="1"/>
  <c r="V793" i="153" s="1"/>
  <c r="W793" i="153"/>
  <c r="U793" i="153"/>
  <c r="T794" i="153"/>
  <c r="P795" i="153"/>
  <c r="R794" i="153"/>
  <c r="S794" i="153" s="1"/>
  <c r="T795" i="153" l="1"/>
  <c r="R795" i="153"/>
  <c r="S795" i="153" s="1"/>
  <c r="P796" i="153"/>
  <c r="U794" i="153"/>
  <c r="X793" i="153"/>
  <c r="Q794" i="153" s="1"/>
  <c r="V794" i="153" s="1"/>
  <c r="W794" i="153" l="1"/>
  <c r="X794" i="153" s="1"/>
  <c r="Q795" i="153" s="1"/>
  <c r="V795" i="153" s="1"/>
  <c r="T796" i="153"/>
  <c r="R796" i="153"/>
  <c r="S796" i="153" s="1"/>
  <c r="P797" i="153"/>
  <c r="W795" i="153"/>
  <c r="U795" i="153"/>
  <c r="T797" i="153" l="1"/>
  <c r="R797" i="153"/>
  <c r="S797" i="153" s="1"/>
  <c r="P798" i="153"/>
  <c r="U796" i="153"/>
  <c r="W796" i="153"/>
  <c r="X795" i="153"/>
  <c r="Q796" i="153" s="1"/>
  <c r="V796" i="153" s="1"/>
  <c r="X796" i="153" l="1"/>
  <c r="Q797" i="153" s="1"/>
  <c r="V797" i="153" s="1"/>
  <c r="T798" i="153"/>
  <c r="R798" i="153"/>
  <c r="S798" i="153" s="1"/>
  <c r="P799" i="153"/>
  <c r="W797" i="153"/>
  <c r="U797" i="153"/>
  <c r="T799" i="153" l="1"/>
  <c r="R799" i="153"/>
  <c r="S799" i="153" s="1"/>
  <c r="P800" i="153"/>
  <c r="U798" i="153"/>
  <c r="W798" i="153"/>
  <c r="X797" i="153"/>
  <c r="Q798" i="153" s="1"/>
  <c r="V798" i="153" s="1"/>
  <c r="R800" i="153" l="1"/>
  <c r="S800" i="153" s="1"/>
  <c r="P801" i="153"/>
  <c r="T800" i="153"/>
  <c r="X798" i="153"/>
  <c r="Q799" i="153" s="1"/>
  <c r="V799" i="153" s="1"/>
  <c r="U799" i="153"/>
  <c r="U800" i="153" l="1"/>
  <c r="W799" i="153"/>
  <c r="X799" i="153" s="1"/>
  <c r="Q800" i="153" s="1"/>
  <c r="V800" i="153" s="1"/>
  <c r="R801" i="153"/>
  <c r="S801" i="153" s="1"/>
  <c r="P802" i="153"/>
  <c r="T801" i="153"/>
  <c r="W800" i="153" l="1"/>
  <c r="X800" i="153" s="1"/>
  <c r="Q801" i="153" s="1"/>
  <c r="V801" i="153" s="1"/>
  <c r="W801" i="153"/>
  <c r="U801" i="153"/>
  <c r="P803" i="153"/>
  <c r="R802" i="153"/>
  <c r="S802" i="153" s="1"/>
  <c r="T802" i="153"/>
  <c r="U802" i="153" l="1"/>
  <c r="W802" i="153"/>
  <c r="R803" i="153"/>
  <c r="S803" i="153" s="1"/>
  <c r="P804" i="153"/>
  <c r="T803" i="153"/>
  <c r="X801" i="153"/>
  <c r="Q802" i="153" s="1"/>
  <c r="V802" i="153" s="1"/>
  <c r="X802" i="153" l="1"/>
  <c r="Q803" i="153" s="1"/>
  <c r="V803" i="153" s="1"/>
  <c r="U803" i="153"/>
  <c r="R804" i="153"/>
  <c r="S804" i="153" s="1"/>
  <c r="P805" i="153"/>
  <c r="T804" i="153"/>
  <c r="U804" i="153" l="1"/>
  <c r="T805" i="153"/>
  <c r="R805" i="153"/>
  <c r="S805" i="153" s="1"/>
  <c r="P806" i="153"/>
  <c r="W803" i="153"/>
  <c r="X803" i="153" s="1"/>
  <c r="Q804" i="153" s="1"/>
  <c r="V804" i="153" s="1"/>
  <c r="W804" i="153" l="1"/>
  <c r="X804" i="153" s="1"/>
  <c r="Q805" i="153" s="1"/>
  <c r="V805" i="153" s="1"/>
  <c r="U805" i="153"/>
  <c r="P807" i="153"/>
  <c r="R806" i="153"/>
  <c r="S806" i="153" s="1"/>
  <c r="T806" i="153"/>
  <c r="U806" i="153" l="1"/>
  <c r="W806" i="153"/>
  <c r="T807" i="153"/>
  <c r="R807" i="153"/>
  <c r="S807" i="153" s="1"/>
  <c r="P808" i="153"/>
  <c r="W805" i="153"/>
  <c r="X805" i="153" s="1"/>
  <c r="Q806" i="153" s="1"/>
  <c r="V806" i="153" s="1"/>
  <c r="X806" i="153" l="1"/>
  <c r="Q807" i="153" s="1"/>
  <c r="V807" i="153" s="1"/>
  <c r="T808" i="153"/>
  <c r="R808" i="153"/>
  <c r="S808" i="153" s="1"/>
  <c r="P809" i="153"/>
  <c r="U807" i="153"/>
  <c r="U808" i="153" l="1"/>
  <c r="W808" i="153"/>
  <c r="T809" i="153"/>
  <c r="R809" i="153"/>
  <c r="S809" i="153" s="1"/>
  <c r="P810" i="153"/>
  <c r="W807" i="153"/>
  <c r="X807" i="153" s="1"/>
  <c r="Q808" i="153" s="1"/>
  <c r="V808" i="153" s="1"/>
  <c r="X808" i="153" l="1"/>
  <c r="Q809" i="153" s="1"/>
  <c r="V809" i="153" s="1"/>
  <c r="P811" i="153"/>
  <c r="R810" i="153"/>
  <c r="S810" i="153" s="1"/>
  <c r="T810" i="153"/>
  <c r="U809" i="153"/>
  <c r="W809" i="153" l="1"/>
  <c r="X809" i="153" s="1"/>
  <c r="Q810" i="153" s="1"/>
  <c r="V810" i="153" s="1"/>
  <c r="T811" i="153"/>
  <c r="R811" i="153"/>
  <c r="S811" i="153" s="1"/>
  <c r="P812" i="153"/>
  <c r="U810" i="153"/>
  <c r="W810" i="153"/>
  <c r="T812" i="153" l="1"/>
  <c r="R812" i="153"/>
  <c r="S812" i="153" s="1"/>
  <c r="P813" i="153"/>
  <c r="W811" i="153"/>
  <c r="U811" i="153"/>
  <c r="X810" i="153"/>
  <c r="Q811" i="153" s="1"/>
  <c r="V811" i="153" s="1"/>
  <c r="X811" i="153" l="1"/>
  <c r="Q812" i="153" s="1"/>
  <c r="V812" i="153" s="1"/>
  <c r="T813" i="153"/>
  <c r="P814" i="153"/>
  <c r="R813" i="153"/>
  <c r="S813" i="153" s="1"/>
  <c r="U812" i="153"/>
  <c r="P815" i="153" l="1"/>
  <c r="R814" i="153"/>
  <c r="S814" i="153" s="1"/>
  <c r="T814" i="153"/>
  <c r="U813" i="153"/>
  <c r="W812" i="153"/>
  <c r="X812" i="153" s="1"/>
  <c r="Q813" i="153" s="1"/>
  <c r="V813" i="153" s="1"/>
  <c r="W813" i="153" l="1"/>
  <c r="X813" i="153" s="1"/>
  <c r="Q814" i="153" s="1"/>
  <c r="V814" i="153" s="1"/>
  <c r="U814" i="153"/>
  <c r="W814" i="153" s="1"/>
  <c r="P816" i="153"/>
  <c r="R815" i="153"/>
  <c r="S815" i="153" s="1"/>
  <c r="T815" i="153"/>
  <c r="W815" i="153" l="1"/>
  <c r="U815" i="153"/>
  <c r="P817" i="153"/>
  <c r="T816" i="153"/>
  <c r="R816" i="153"/>
  <c r="S816" i="153" s="1"/>
  <c r="X814" i="153"/>
  <c r="Q815" i="153" s="1"/>
  <c r="V815" i="153" s="1"/>
  <c r="X815" i="153" l="1"/>
  <c r="Q816" i="153" s="1"/>
  <c r="V816" i="153" s="1"/>
  <c r="U816" i="153"/>
  <c r="T817" i="153"/>
  <c r="P818" i="153"/>
  <c r="R817" i="153"/>
  <c r="S817" i="153" s="1"/>
  <c r="P819" i="153" l="1"/>
  <c r="R818" i="153"/>
  <c r="S818" i="153" s="1"/>
  <c r="T818" i="153"/>
  <c r="W817" i="153"/>
  <c r="U817" i="153"/>
  <c r="W816" i="153"/>
  <c r="X816" i="153" s="1"/>
  <c r="Q817" i="153" s="1"/>
  <c r="V817" i="153" s="1"/>
  <c r="X817" i="153" l="1"/>
  <c r="Q818" i="153" s="1"/>
  <c r="V818" i="153" s="1"/>
  <c r="U818" i="153"/>
  <c r="T819" i="153"/>
  <c r="R819" i="153"/>
  <c r="S819" i="153" s="1"/>
  <c r="P820" i="153"/>
  <c r="U819" i="153" l="1"/>
  <c r="T820" i="153"/>
  <c r="R820" i="153"/>
  <c r="S820" i="153" s="1"/>
  <c r="P821" i="153"/>
  <c r="W818" i="153"/>
  <c r="X818" i="153" s="1"/>
  <c r="Q819" i="153" s="1"/>
  <c r="V819" i="153" s="1"/>
  <c r="W819" i="153" l="1"/>
  <c r="X819" i="153" s="1"/>
  <c r="Q820" i="153" s="1"/>
  <c r="V820" i="153" s="1"/>
  <c r="T821" i="153"/>
  <c r="R821" i="153"/>
  <c r="S821" i="153" s="1"/>
  <c r="P822" i="153"/>
  <c r="W820" i="153"/>
  <c r="U820" i="153"/>
  <c r="U821" i="153" l="1"/>
  <c r="P823" i="153"/>
  <c r="R822" i="153"/>
  <c r="S822" i="153" s="1"/>
  <c r="T822" i="153"/>
  <c r="X820" i="153"/>
  <c r="Q821" i="153" s="1"/>
  <c r="V821" i="153" s="1"/>
  <c r="W821" i="153" l="1"/>
  <c r="X821" i="153" s="1"/>
  <c r="Q822" i="153" s="1"/>
  <c r="V822" i="153" s="1"/>
  <c r="U822" i="153"/>
  <c r="W822" i="153"/>
  <c r="R823" i="153"/>
  <c r="S823" i="153" s="1"/>
  <c r="P824" i="153"/>
  <c r="T823" i="153"/>
  <c r="U823" i="153" l="1"/>
  <c r="X822" i="153"/>
  <c r="Q823" i="153" s="1"/>
  <c r="V823" i="153" s="1"/>
  <c r="T824" i="153"/>
  <c r="R824" i="153"/>
  <c r="S824" i="153" s="1"/>
  <c r="P825" i="153"/>
  <c r="W823" i="153" l="1"/>
  <c r="X823" i="153" s="1"/>
  <c r="Q824" i="153" s="1"/>
  <c r="V824" i="153" s="1"/>
  <c r="W824" i="153"/>
  <c r="U824" i="153"/>
  <c r="T825" i="153"/>
  <c r="R825" i="153"/>
  <c r="S825" i="153" s="1"/>
  <c r="P826" i="153"/>
  <c r="U825" i="153" l="1"/>
  <c r="R826" i="153"/>
  <c r="S826" i="153" s="1"/>
  <c r="P827" i="153"/>
  <c r="T826" i="153"/>
  <c r="X824" i="153"/>
  <c r="Q825" i="153" s="1"/>
  <c r="V825" i="153" s="1"/>
  <c r="W825" i="153" l="1"/>
  <c r="X825" i="153" s="1"/>
  <c r="Q826" i="153" s="1"/>
  <c r="V826" i="153" s="1"/>
  <c r="U826" i="153"/>
  <c r="W826" i="153"/>
  <c r="T827" i="153"/>
  <c r="R827" i="153"/>
  <c r="S827" i="153" s="1"/>
  <c r="P828" i="153"/>
  <c r="W827" i="153" l="1"/>
  <c r="U827" i="153"/>
  <c r="X826" i="153"/>
  <c r="Q827" i="153" s="1"/>
  <c r="V827" i="153" s="1"/>
  <c r="P829" i="153"/>
  <c r="T828" i="153"/>
  <c r="R828" i="153"/>
  <c r="S828" i="153" s="1"/>
  <c r="U828" i="153" l="1"/>
  <c r="W828" i="153"/>
  <c r="R829" i="153"/>
  <c r="S829" i="153" s="1"/>
  <c r="P830" i="153"/>
  <c r="T829" i="153"/>
  <c r="X827" i="153"/>
  <c r="Q828" i="153" s="1"/>
  <c r="V828" i="153" s="1"/>
  <c r="X828" i="153" l="1"/>
  <c r="Q829" i="153" s="1"/>
  <c r="V829" i="153" s="1"/>
  <c r="W829" i="153"/>
  <c r="U829" i="153"/>
  <c r="P831" i="153"/>
  <c r="T830" i="153"/>
  <c r="R830" i="153"/>
  <c r="S830" i="153" s="1"/>
  <c r="U830" i="153" l="1"/>
  <c r="R831" i="153"/>
  <c r="S831" i="153" s="1"/>
  <c r="P832" i="153"/>
  <c r="T831" i="153"/>
  <c r="X829" i="153"/>
  <c r="Q830" i="153" s="1"/>
  <c r="V830" i="153" s="1"/>
  <c r="U831" i="153" l="1"/>
  <c r="W830" i="153"/>
  <c r="X830" i="153" s="1"/>
  <c r="Q831" i="153" s="1"/>
  <c r="V831" i="153" s="1"/>
  <c r="T832" i="153"/>
  <c r="R832" i="153"/>
  <c r="S832" i="153" s="1"/>
  <c r="P833" i="153"/>
  <c r="W831" i="153" l="1"/>
  <c r="X831" i="153" s="1"/>
  <c r="Q832" i="153" s="1"/>
  <c r="V832" i="153" s="1"/>
  <c r="W832" i="153"/>
  <c r="U832" i="153"/>
  <c r="T833" i="153"/>
  <c r="P834" i="153"/>
  <c r="R833" i="153"/>
  <c r="S833" i="153" s="1"/>
  <c r="R834" i="153" l="1"/>
  <c r="S834" i="153" s="1"/>
  <c r="P835" i="153"/>
  <c r="T834" i="153"/>
  <c r="W833" i="153"/>
  <c r="U833" i="153"/>
  <c r="X832" i="153"/>
  <c r="Q833" i="153" s="1"/>
  <c r="V833" i="153" s="1"/>
  <c r="X833" i="153" l="1"/>
  <c r="Q834" i="153" s="1"/>
  <c r="V834" i="153" s="1"/>
  <c r="U834" i="153"/>
  <c r="T835" i="153"/>
  <c r="R835" i="153"/>
  <c r="S835" i="153" s="1"/>
  <c r="P836" i="153"/>
  <c r="P837" i="153" l="1"/>
  <c r="T836" i="153"/>
  <c r="R836" i="153"/>
  <c r="S836" i="153" s="1"/>
  <c r="W834" i="153"/>
  <c r="X834" i="153" s="1"/>
  <c r="Q835" i="153" s="1"/>
  <c r="V835" i="153" s="1"/>
  <c r="U835" i="153"/>
  <c r="W835" i="153" l="1"/>
  <c r="X835" i="153" s="1"/>
  <c r="Q836" i="153" s="1"/>
  <c r="V836" i="153" s="1"/>
  <c r="U836" i="153"/>
  <c r="R837" i="153"/>
  <c r="S837" i="153" s="1"/>
  <c r="P838" i="153"/>
  <c r="T837" i="153"/>
  <c r="U837" i="153" l="1"/>
  <c r="P839" i="153"/>
  <c r="T838" i="153"/>
  <c r="R838" i="153"/>
  <c r="S838" i="153" s="1"/>
  <c r="W836" i="153"/>
  <c r="X836" i="153" s="1"/>
  <c r="Q837" i="153" s="1"/>
  <c r="V837" i="153" s="1"/>
  <c r="W837" i="153" l="1"/>
  <c r="X837" i="153" s="1"/>
  <c r="Q838" i="153" s="1"/>
  <c r="V838" i="153" s="1"/>
  <c r="U838" i="153"/>
  <c r="P840" i="153"/>
  <c r="T839" i="153"/>
  <c r="R839" i="153"/>
  <c r="S839" i="153" s="1"/>
  <c r="U839" i="153" l="1"/>
  <c r="W839" i="153"/>
  <c r="T840" i="153"/>
  <c r="P841" i="153"/>
  <c r="R840" i="153"/>
  <c r="S840" i="153" s="1"/>
  <c r="W838" i="153"/>
  <c r="X838" i="153" s="1"/>
  <c r="Q839" i="153" s="1"/>
  <c r="V839" i="153" s="1"/>
  <c r="X839" i="153" l="1"/>
  <c r="Q840" i="153" s="1"/>
  <c r="V840" i="153" s="1"/>
  <c r="T841" i="153"/>
  <c r="R841" i="153"/>
  <c r="S841" i="153" s="1"/>
  <c r="P842" i="153"/>
  <c r="U840" i="153"/>
  <c r="W840" i="153" l="1"/>
  <c r="X840" i="153" s="1"/>
  <c r="Q841" i="153" s="1"/>
  <c r="V841" i="153" s="1"/>
  <c r="R842" i="153"/>
  <c r="S842" i="153" s="1"/>
  <c r="T842" i="153"/>
  <c r="P843" i="153"/>
  <c r="W841" i="153"/>
  <c r="U841" i="153"/>
  <c r="U842" i="153" l="1"/>
  <c r="X841" i="153"/>
  <c r="Q842" i="153" s="1"/>
  <c r="V842" i="153" s="1"/>
  <c r="T843" i="153"/>
  <c r="R843" i="153"/>
  <c r="S843" i="153" s="1"/>
  <c r="P844" i="153"/>
  <c r="W842" i="153" l="1"/>
  <c r="X842" i="153" s="1"/>
  <c r="Q843" i="153" s="1"/>
  <c r="V843" i="153" s="1"/>
  <c r="P845" i="153"/>
  <c r="R844" i="153"/>
  <c r="S844" i="153" s="1"/>
  <c r="T844" i="153"/>
  <c r="U843" i="153"/>
  <c r="W843" i="153" l="1"/>
  <c r="X843" i="153" s="1"/>
  <c r="Q844" i="153" s="1"/>
  <c r="V844" i="153" s="1"/>
  <c r="R845" i="153"/>
  <c r="S845" i="153" s="1"/>
  <c r="T845" i="153"/>
  <c r="P846" i="153"/>
  <c r="U844" i="153"/>
  <c r="P847" i="153" l="1"/>
  <c r="T846" i="153"/>
  <c r="R846" i="153"/>
  <c r="S846" i="153" s="1"/>
  <c r="W845" i="153"/>
  <c r="U845" i="153"/>
  <c r="W844" i="153"/>
  <c r="X844" i="153" s="1"/>
  <c r="Q845" i="153" s="1"/>
  <c r="V845" i="153" s="1"/>
  <c r="X845" i="153" l="1"/>
  <c r="Q846" i="153" s="1"/>
  <c r="V846" i="153" s="1"/>
  <c r="W846" i="153"/>
  <c r="U846" i="153"/>
  <c r="P848" i="153"/>
  <c r="R847" i="153"/>
  <c r="S847" i="153" s="1"/>
  <c r="T847" i="153"/>
  <c r="W847" i="153" l="1"/>
  <c r="U847" i="153"/>
  <c r="P849" i="153"/>
  <c r="T848" i="153"/>
  <c r="R848" i="153"/>
  <c r="S848" i="153" s="1"/>
  <c r="X846" i="153"/>
  <c r="Q847" i="153" s="1"/>
  <c r="V847" i="153" s="1"/>
  <c r="X847" i="153" l="1"/>
  <c r="Q848" i="153" s="1"/>
  <c r="V848" i="153" s="1"/>
  <c r="U848" i="153"/>
  <c r="R849" i="153"/>
  <c r="S849" i="153" s="1"/>
  <c r="P850" i="153"/>
  <c r="T849" i="153"/>
  <c r="W849" i="153" l="1"/>
  <c r="U849" i="153"/>
  <c r="T850" i="153"/>
  <c r="P851" i="153"/>
  <c r="R850" i="153"/>
  <c r="S850" i="153" s="1"/>
  <c r="W848" i="153"/>
  <c r="X848" i="153" s="1"/>
  <c r="Q849" i="153" s="1"/>
  <c r="V849" i="153" s="1"/>
  <c r="X849" i="153" l="1"/>
  <c r="Q850" i="153" s="1"/>
  <c r="V850" i="153" s="1"/>
  <c r="T851" i="153"/>
  <c r="P852" i="153"/>
  <c r="R851" i="153"/>
  <c r="S851" i="153" s="1"/>
  <c r="U850" i="153"/>
  <c r="T852" i="153" l="1"/>
  <c r="P853" i="153"/>
  <c r="R852" i="153"/>
  <c r="S852" i="153" s="1"/>
  <c r="U851" i="153"/>
  <c r="W850" i="153"/>
  <c r="X850" i="153" s="1"/>
  <c r="Q851" i="153" s="1"/>
  <c r="V851" i="153" s="1"/>
  <c r="W851" i="153" l="1"/>
  <c r="X851" i="153" s="1"/>
  <c r="Q852" i="153" s="1"/>
  <c r="V852" i="153" s="1"/>
  <c r="T853" i="153"/>
  <c r="R853" i="153"/>
  <c r="S853" i="153" s="1"/>
  <c r="P854" i="153"/>
  <c r="U852" i="153"/>
  <c r="W852" i="153"/>
  <c r="R854" i="153" l="1"/>
  <c r="S854" i="153" s="1"/>
  <c r="P855" i="153"/>
  <c r="T854" i="153"/>
  <c r="X852" i="153"/>
  <c r="Q853" i="153" s="1"/>
  <c r="V853" i="153" s="1"/>
  <c r="U853" i="153"/>
  <c r="W853" i="153" s="1"/>
  <c r="X853" i="153" l="1"/>
  <c r="Q854" i="153" s="1"/>
  <c r="V854" i="153" s="1"/>
  <c r="W854" i="153"/>
  <c r="U854" i="153"/>
  <c r="R855" i="153"/>
  <c r="S855" i="153" s="1"/>
  <c r="P856" i="153"/>
  <c r="T855" i="153"/>
  <c r="P857" i="153" l="1"/>
  <c r="T856" i="153"/>
  <c r="R856" i="153"/>
  <c r="S856" i="153" s="1"/>
  <c r="U855" i="153"/>
  <c r="X854" i="153"/>
  <c r="Q855" i="153" s="1"/>
  <c r="V855" i="153" s="1"/>
  <c r="W855" i="153" l="1"/>
  <c r="X855" i="153" s="1"/>
  <c r="Q856" i="153" s="1"/>
  <c r="V856" i="153" s="1"/>
  <c r="W856" i="153"/>
  <c r="U856" i="153"/>
  <c r="P858" i="153"/>
  <c r="T857" i="153"/>
  <c r="R857" i="153"/>
  <c r="S857" i="153" s="1"/>
  <c r="R858" i="153" l="1"/>
  <c r="S858" i="153" s="1"/>
  <c r="P859" i="153"/>
  <c r="T858" i="153"/>
  <c r="W857" i="153"/>
  <c r="U857" i="153"/>
  <c r="X856" i="153"/>
  <c r="Q857" i="153" s="1"/>
  <c r="V857" i="153" s="1"/>
  <c r="X857" i="153" l="1"/>
  <c r="Q858" i="153" s="1"/>
  <c r="V858" i="153" s="1"/>
  <c r="W858" i="153"/>
  <c r="U858" i="153"/>
  <c r="T859" i="153"/>
  <c r="R859" i="153"/>
  <c r="S859" i="153" s="1"/>
  <c r="P860" i="153"/>
  <c r="T860" i="153" l="1"/>
  <c r="P861" i="153"/>
  <c r="R860" i="153"/>
  <c r="S860" i="153" s="1"/>
  <c r="U859" i="153"/>
  <c r="W859" i="153"/>
  <c r="X858" i="153"/>
  <c r="Q859" i="153" s="1"/>
  <c r="V859" i="153" s="1"/>
  <c r="T861" i="153" l="1"/>
  <c r="R861" i="153"/>
  <c r="S861" i="153" s="1"/>
  <c r="P862" i="153"/>
  <c r="X859" i="153"/>
  <c r="Q860" i="153" s="1"/>
  <c r="V860" i="153" s="1"/>
  <c r="U860" i="153"/>
  <c r="W860" i="153"/>
  <c r="R862" i="153" l="1"/>
  <c r="S862" i="153" s="1"/>
  <c r="P863" i="153"/>
  <c r="T862" i="153"/>
  <c r="X860" i="153"/>
  <c r="Q861" i="153" s="1"/>
  <c r="V861" i="153" s="1"/>
  <c r="U861" i="153"/>
  <c r="U862" i="153" l="1"/>
  <c r="W862" i="153"/>
  <c r="R863" i="153"/>
  <c r="S863" i="153" s="1"/>
  <c r="P864" i="153"/>
  <c r="T863" i="153"/>
  <c r="W861" i="153"/>
  <c r="X861" i="153" s="1"/>
  <c r="Q862" i="153" s="1"/>
  <c r="V862" i="153" s="1"/>
  <c r="X862" i="153" l="1"/>
  <c r="Q863" i="153" s="1"/>
  <c r="V863" i="153" s="1"/>
  <c r="W863" i="153"/>
  <c r="U863" i="153"/>
  <c r="P865" i="153"/>
  <c r="T864" i="153"/>
  <c r="R864" i="153"/>
  <c r="S864" i="153" s="1"/>
  <c r="U864" i="153" l="1"/>
  <c r="R865" i="153"/>
  <c r="S865" i="153" s="1"/>
  <c r="P866" i="153"/>
  <c r="T865" i="153"/>
  <c r="X863" i="153"/>
  <c r="Q864" i="153" s="1"/>
  <c r="V864" i="153" s="1"/>
  <c r="W864" i="153" l="1"/>
  <c r="X864" i="153" s="1"/>
  <c r="Q865" i="153" s="1"/>
  <c r="V865" i="153" s="1"/>
  <c r="U865" i="153"/>
  <c r="T866" i="153"/>
  <c r="R866" i="153"/>
  <c r="S866" i="153" s="1"/>
  <c r="P867" i="153"/>
  <c r="T867" i="153" l="1"/>
  <c r="P868" i="153"/>
  <c r="R867" i="153"/>
  <c r="S867" i="153" s="1"/>
  <c r="U866" i="153"/>
  <c r="W865" i="153"/>
  <c r="X865" i="153" s="1"/>
  <c r="Q866" i="153" s="1"/>
  <c r="V866" i="153" s="1"/>
  <c r="W866" i="153" l="1"/>
  <c r="X866" i="153" s="1"/>
  <c r="Q867" i="153" s="1"/>
  <c r="V867" i="153" s="1"/>
  <c r="T868" i="153"/>
  <c r="P869" i="153"/>
  <c r="R868" i="153"/>
  <c r="S868" i="153" s="1"/>
  <c r="U867" i="153"/>
  <c r="W867" i="153"/>
  <c r="U868" i="153" l="1"/>
  <c r="X867" i="153"/>
  <c r="Q868" i="153" s="1"/>
  <c r="V868" i="153" s="1"/>
  <c r="T869" i="153"/>
  <c r="R869" i="153"/>
  <c r="S869" i="153" s="1"/>
  <c r="P870" i="153"/>
  <c r="R870" i="153" l="1"/>
  <c r="S870" i="153" s="1"/>
  <c r="P871" i="153"/>
  <c r="T870" i="153"/>
  <c r="U869" i="153"/>
  <c r="W869" i="153"/>
  <c r="W868" i="153"/>
  <c r="X868" i="153" s="1"/>
  <c r="Q869" i="153" s="1"/>
  <c r="V869" i="153" s="1"/>
  <c r="X869" i="153" l="1"/>
  <c r="Q870" i="153" s="1"/>
  <c r="V870" i="153" s="1"/>
  <c r="U870" i="153"/>
  <c r="R871" i="153"/>
  <c r="S871" i="153" s="1"/>
  <c r="P872" i="153"/>
  <c r="T871" i="153"/>
  <c r="W870" i="153" l="1"/>
  <c r="X870" i="153" s="1"/>
  <c r="Q871" i="153" s="1"/>
  <c r="V871" i="153" s="1"/>
  <c r="W871" i="153"/>
  <c r="U871" i="153"/>
  <c r="P873" i="153"/>
  <c r="T872" i="153"/>
  <c r="R872" i="153"/>
  <c r="S872" i="153" s="1"/>
  <c r="W872" i="153" l="1"/>
  <c r="U872" i="153"/>
  <c r="P874" i="153"/>
  <c r="T873" i="153"/>
  <c r="R873" i="153"/>
  <c r="S873" i="153" s="1"/>
  <c r="X871" i="153"/>
  <c r="Q872" i="153" s="1"/>
  <c r="V872" i="153" s="1"/>
  <c r="X872" i="153" l="1"/>
  <c r="Q873" i="153" s="1"/>
  <c r="V873" i="153" s="1"/>
  <c r="U873" i="153"/>
  <c r="P875" i="153"/>
  <c r="T874" i="153"/>
  <c r="R874" i="153"/>
  <c r="S874" i="153" s="1"/>
  <c r="U874" i="153" l="1"/>
  <c r="T875" i="153"/>
  <c r="R875" i="153"/>
  <c r="S875" i="153" s="1"/>
  <c r="P876" i="153"/>
  <c r="W873" i="153"/>
  <c r="X873" i="153" s="1"/>
  <c r="Q874" i="153" s="1"/>
  <c r="V874" i="153" s="1"/>
  <c r="T876" i="153" l="1"/>
  <c r="R876" i="153"/>
  <c r="S876" i="153" s="1"/>
  <c r="P877" i="153"/>
  <c r="W874" i="153"/>
  <c r="X874" i="153" s="1"/>
  <c r="Q875" i="153" s="1"/>
  <c r="V875" i="153" s="1"/>
  <c r="U875" i="153"/>
  <c r="W875" i="153" l="1"/>
  <c r="X875" i="153" s="1"/>
  <c r="Q876" i="153" s="1"/>
  <c r="V876" i="153" s="1"/>
  <c r="T877" i="153"/>
  <c r="R877" i="153"/>
  <c r="S877" i="153" s="1"/>
  <c r="P878" i="153"/>
  <c r="U876" i="153"/>
  <c r="W876" i="153"/>
  <c r="R878" i="153" l="1"/>
  <c r="S878" i="153" s="1"/>
  <c r="P879" i="153"/>
  <c r="T878" i="153"/>
  <c r="W877" i="153"/>
  <c r="U877" i="153"/>
  <c r="X876" i="153"/>
  <c r="Q877" i="153" s="1"/>
  <c r="V877" i="153" s="1"/>
  <c r="X877" i="153" l="1"/>
  <c r="Q878" i="153" s="1"/>
  <c r="V878" i="153" s="1"/>
  <c r="U878" i="153"/>
  <c r="W878" i="153"/>
  <c r="R879" i="153"/>
  <c r="S879" i="153" s="1"/>
  <c r="T879" i="153"/>
  <c r="P880" i="153"/>
  <c r="T880" i="153" l="1"/>
  <c r="R880" i="153"/>
  <c r="S880" i="153" s="1"/>
  <c r="P881" i="153"/>
  <c r="U879" i="153"/>
  <c r="X878" i="153"/>
  <c r="Q879" i="153" s="1"/>
  <c r="V879" i="153" s="1"/>
  <c r="W879" i="153" l="1"/>
  <c r="X879" i="153" s="1"/>
  <c r="Q880" i="153" s="1"/>
  <c r="V880" i="153" s="1"/>
  <c r="T881" i="153"/>
  <c r="R881" i="153"/>
  <c r="S881" i="153" s="1"/>
  <c r="P882" i="153"/>
  <c r="U880" i="153"/>
  <c r="R882" i="153" l="1"/>
  <c r="S882" i="153" s="1"/>
  <c r="T882" i="153"/>
  <c r="P883" i="153"/>
  <c r="U881" i="153"/>
  <c r="W881" i="153"/>
  <c r="W880" i="153"/>
  <c r="X880" i="153" s="1"/>
  <c r="Q881" i="153" s="1"/>
  <c r="V881" i="153" s="1"/>
  <c r="X881" i="153" l="1"/>
  <c r="Q882" i="153" s="1"/>
  <c r="V882" i="153" s="1"/>
  <c r="P884" i="153"/>
  <c r="T883" i="153"/>
  <c r="R883" i="153"/>
  <c r="S883" i="153" s="1"/>
  <c r="U882" i="153"/>
  <c r="W882" i="153" l="1"/>
  <c r="X882" i="153" s="1"/>
  <c r="Q883" i="153" s="1"/>
  <c r="V883" i="153" s="1"/>
  <c r="T884" i="153"/>
  <c r="R884" i="153"/>
  <c r="S884" i="153" s="1"/>
  <c r="P885" i="153"/>
  <c r="W883" i="153"/>
  <c r="U883" i="153"/>
  <c r="X883" i="153" l="1"/>
  <c r="Q884" i="153" s="1"/>
  <c r="V884" i="153" s="1"/>
  <c r="T885" i="153"/>
  <c r="R885" i="153"/>
  <c r="S885" i="153" s="1"/>
  <c r="P886" i="153"/>
  <c r="U884" i="153"/>
  <c r="W884" i="153" s="1"/>
  <c r="T886" i="153" l="1"/>
  <c r="R886" i="153"/>
  <c r="S886" i="153" s="1"/>
  <c r="P887" i="153"/>
  <c r="W885" i="153"/>
  <c r="U885" i="153"/>
  <c r="X884" i="153"/>
  <c r="Q885" i="153" s="1"/>
  <c r="V885" i="153" s="1"/>
  <c r="X885" i="153" l="1"/>
  <c r="Q886" i="153" s="1"/>
  <c r="V886" i="153" s="1"/>
  <c r="T887" i="153"/>
  <c r="R887" i="153"/>
  <c r="S887" i="153" s="1"/>
  <c r="P888" i="153"/>
  <c r="U886" i="153"/>
  <c r="W886" i="153" l="1"/>
  <c r="X886" i="153" s="1"/>
  <c r="Q887" i="153" s="1"/>
  <c r="V887" i="153" s="1"/>
  <c r="T888" i="153"/>
  <c r="R888" i="153"/>
  <c r="S888" i="153" s="1"/>
  <c r="P889" i="153"/>
  <c r="U887" i="153"/>
  <c r="W887" i="153"/>
  <c r="X887" i="153" l="1"/>
  <c r="Q888" i="153" s="1"/>
  <c r="V888" i="153" s="1"/>
  <c r="T889" i="153"/>
  <c r="R889" i="153"/>
  <c r="S889" i="153" s="1"/>
  <c r="P890" i="153"/>
  <c r="U888" i="153"/>
  <c r="W888" i="153"/>
  <c r="R890" i="153" l="1"/>
  <c r="S890" i="153" s="1"/>
  <c r="T890" i="153"/>
  <c r="P891" i="153"/>
  <c r="U889" i="153"/>
  <c r="W889" i="153"/>
  <c r="X888" i="153"/>
  <c r="Q889" i="153" s="1"/>
  <c r="V889" i="153" s="1"/>
  <c r="P892" i="153" l="1"/>
  <c r="T891" i="153"/>
  <c r="R891" i="153"/>
  <c r="S891" i="153" s="1"/>
  <c r="U890" i="153"/>
  <c r="W890" i="153"/>
  <c r="X889" i="153"/>
  <c r="Q890" i="153" s="1"/>
  <c r="V890" i="153" s="1"/>
  <c r="X890" i="153" l="1"/>
  <c r="Q891" i="153" s="1"/>
  <c r="V891" i="153" s="1"/>
  <c r="U891" i="153"/>
  <c r="T892" i="153"/>
  <c r="R892" i="153"/>
  <c r="S892" i="153" s="1"/>
  <c r="P893" i="153"/>
  <c r="T893" i="153" l="1"/>
  <c r="P894" i="153"/>
  <c r="R893" i="153"/>
  <c r="S893" i="153" s="1"/>
  <c r="U892" i="153"/>
  <c r="W891" i="153"/>
  <c r="X891" i="153" s="1"/>
  <c r="Q892" i="153" s="1"/>
  <c r="V892" i="153" s="1"/>
  <c r="W892" i="153" l="1"/>
  <c r="X892" i="153" s="1"/>
  <c r="Q893" i="153" s="1"/>
  <c r="V893" i="153" s="1"/>
  <c r="T894" i="153"/>
  <c r="R894" i="153"/>
  <c r="S894" i="153" s="1"/>
  <c r="P895" i="153"/>
  <c r="W893" i="153"/>
  <c r="U893" i="153"/>
  <c r="T895" i="153" l="1"/>
  <c r="P896" i="153"/>
  <c r="R895" i="153"/>
  <c r="S895" i="153" s="1"/>
  <c r="U894" i="153"/>
  <c r="W894" i="153"/>
  <c r="X893" i="153"/>
  <c r="Q894" i="153" s="1"/>
  <c r="V894" i="153" s="1"/>
  <c r="X894" i="153" l="1"/>
  <c r="Q895" i="153" s="1"/>
  <c r="V895" i="153" s="1"/>
  <c r="T896" i="153"/>
  <c r="P897" i="153"/>
  <c r="R896" i="153"/>
  <c r="S896" i="153" s="1"/>
  <c r="U895" i="153"/>
  <c r="U896" i="153" l="1"/>
  <c r="W895" i="153"/>
  <c r="X895" i="153" s="1"/>
  <c r="Q896" i="153" s="1"/>
  <c r="V896" i="153" s="1"/>
  <c r="T897" i="153"/>
  <c r="R897" i="153"/>
  <c r="S897" i="153" s="1"/>
  <c r="P898" i="153"/>
  <c r="U897" i="153" l="1"/>
  <c r="W896" i="153"/>
  <c r="X896" i="153" s="1"/>
  <c r="Q897" i="153" s="1"/>
  <c r="V897" i="153" s="1"/>
  <c r="R898" i="153"/>
  <c r="S898" i="153" s="1"/>
  <c r="T898" i="153"/>
  <c r="P899" i="153"/>
  <c r="P900" i="153" l="1"/>
  <c r="T899" i="153"/>
  <c r="R899" i="153"/>
  <c r="S899" i="153" s="1"/>
  <c r="U898" i="153"/>
  <c r="W897" i="153"/>
  <c r="X897" i="153" s="1"/>
  <c r="Q898" i="153" s="1"/>
  <c r="V898" i="153" s="1"/>
  <c r="W898" i="153" l="1"/>
  <c r="X898" i="153" s="1"/>
  <c r="Q899" i="153" s="1"/>
  <c r="V899" i="153" s="1"/>
  <c r="U899" i="153"/>
  <c r="T900" i="153"/>
  <c r="P901" i="153"/>
  <c r="R900" i="153"/>
  <c r="S900" i="153" s="1"/>
  <c r="T901" i="153" l="1"/>
  <c r="P902" i="153"/>
  <c r="R901" i="153"/>
  <c r="S901" i="153" s="1"/>
  <c r="U900" i="153"/>
  <c r="W900" i="153"/>
  <c r="W899" i="153"/>
  <c r="X899" i="153" s="1"/>
  <c r="Q900" i="153" s="1"/>
  <c r="V900" i="153" s="1"/>
  <c r="X900" i="153" l="1"/>
  <c r="Q901" i="153" s="1"/>
  <c r="V901" i="153" s="1"/>
  <c r="T902" i="153"/>
  <c r="R902" i="153"/>
  <c r="S902" i="153" s="1"/>
  <c r="P903" i="153"/>
  <c r="U901" i="153"/>
  <c r="W901" i="153" l="1"/>
  <c r="X901" i="153" s="1"/>
  <c r="Q902" i="153" s="1"/>
  <c r="V902" i="153" s="1"/>
  <c r="R903" i="153"/>
  <c r="S903" i="153" s="1"/>
  <c r="T903" i="153"/>
  <c r="P904" i="153"/>
  <c r="W902" i="153"/>
  <c r="U902" i="153"/>
  <c r="U903" i="153" l="1"/>
  <c r="X902" i="153"/>
  <c r="Q903" i="153" s="1"/>
  <c r="V903" i="153" s="1"/>
  <c r="P905" i="153"/>
  <c r="T904" i="153"/>
  <c r="R904" i="153"/>
  <c r="S904" i="153" s="1"/>
  <c r="W903" i="153" l="1"/>
  <c r="X903" i="153" s="1"/>
  <c r="Q904" i="153" s="1"/>
  <c r="V904" i="153" s="1"/>
  <c r="U904" i="153"/>
  <c r="T905" i="153"/>
  <c r="R905" i="153"/>
  <c r="S905" i="153" s="1"/>
  <c r="P906" i="153"/>
  <c r="W904" i="153" l="1"/>
  <c r="X904" i="153" s="1"/>
  <c r="Q905" i="153" s="1"/>
  <c r="V905" i="153" s="1"/>
  <c r="T906" i="153"/>
  <c r="P907" i="153"/>
  <c r="R906" i="153"/>
  <c r="S906" i="153" s="1"/>
  <c r="U905" i="153"/>
  <c r="T907" i="153" l="1"/>
  <c r="P908" i="153"/>
  <c r="R907" i="153"/>
  <c r="S907" i="153" s="1"/>
  <c r="W905" i="153"/>
  <c r="X905" i="153" s="1"/>
  <c r="Q906" i="153" s="1"/>
  <c r="V906" i="153" s="1"/>
  <c r="W906" i="153"/>
  <c r="U906" i="153"/>
  <c r="X906" i="153" l="1"/>
  <c r="Q907" i="153" s="1"/>
  <c r="V907" i="153" s="1"/>
  <c r="T908" i="153"/>
  <c r="R908" i="153"/>
  <c r="S908" i="153" s="1"/>
  <c r="P909" i="153"/>
  <c r="W907" i="153"/>
  <c r="U907" i="153"/>
  <c r="T909" i="153" l="1"/>
  <c r="P910" i="153"/>
  <c r="R909" i="153"/>
  <c r="S909" i="153" s="1"/>
  <c r="U908" i="153"/>
  <c r="W908" i="153"/>
  <c r="X907" i="153"/>
  <c r="Q908" i="153" s="1"/>
  <c r="V908" i="153" s="1"/>
  <c r="X908" i="153" l="1"/>
  <c r="Q909" i="153" s="1"/>
  <c r="V909" i="153" s="1"/>
  <c r="T910" i="153"/>
  <c r="P911" i="153"/>
  <c r="R910" i="153"/>
  <c r="S910" i="153" s="1"/>
  <c r="U909" i="153"/>
  <c r="R911" i="153" l="1"/>
  <c r="S911" i="153" s="1"/>
  <c r="T911" i="153"/>
  <c r="P912" i="153"/>
  <c r="W910" i="153"/>
  <c r="U910" i="153"/>
  <c r="W909" i="153"/>
  <c r="X909" i="153" s="1"/>
  <c r="Q910" i="153" s="1"/>
  <c r="V910" i="153" s="1"/>
  <c r="X910" i="153" l="1"/>
  <c r="Q911" i="153" s="1"/>
  <c r="V911" i="153" s="1"/>
  <c r="P913" i="153"/>
  <c r="T912" i="153"/>
  <c r="R912" i="153"/>
  <c r="S912" i="153" s="1"/>
  <c r="U911" i="153"/>
  <c r="U912" i="153" l="1"/>
  <c r="T913" i="153"/>
  <c r="R913" i="153"/>
  <c r="S913" i="153" s="1"/>
  <c r="P914" i="153"/>
  <c r="W911" i="153"/>
  <c r="X911" i="153" s="1"/>
  <c r="Q912" i="153" s="1"/>
  <c r="V912" i="153" s="1"/>
  <c r="W912" i="153" l="1"/>
  <c r="X912" i="153" s="1"/>
  <c r="Q913" i="153" s="1"/>
  <c r="V913" i="153" s="1"/>
  <c r="T914" i="153"/>
  <c r="R914" i="153"/>
  <c r="S914" i="153" s="1"/>
  <c r="P915" i="153"/>
  <c r="W913" i="153"/>
  <c r="U913" i="153"/>
  <c r="T915" i="153" l="1"/>
  <c r="R915" i="153"/>
  <c r="S915" i="153" s="1"/>
  <c r="P916" i="153"/>
  <c r="U914" i="153"/>
  <c r="W914" i="153" s="1"/>
  <c r="X913" i="153"/>
  <c r="Q914" i="153" s="1"/>
  <c r="V914" i="153" s="1"/>
  <c r="P917" i="153" l="1"/>
  <c r="T916" i="153"/>
  <c r="R916" i="153"/>
  <c r="S916" i="153" s="1"/>
  <c r="X914" i="153"/>
  <c r="Q915" i="153" s="1"/>
  <c r="V915" i="153" s="1"/>
  <c r="U915" i="153"/>
  <c r="W915" i="153"/>
  <c r="X915" i="153" l="1"/>
  <c r="Q916" i="153" s="1"/>
  <c r="V916" i="153" s="1"/>
  <c r="U916" i="153"/>
  <c r="T917" i="153"/>
  <c r="R917" i="153"/>
  <c r="S917" i="153" s="1"/>
  <c r="P918" i="153"/>
  <c r="W916" i="153" l="1"/>
  <c r="X916" i="153" s="1"/>
  <c r="Q917" i="153" s="1"/>
  <c r="V917" i="153" s="1"/>
  <c r="W917" i="153"/>
  <c r="U917" i="153"/>
  <c r="P919" i="153"/>
  <c r="R918" i="153"/>
  <c r="S918" i="153" s="1"/>
  <c r="T918" i="153"/>
  <c r="X917" i="153" l="1"/>
  <c r="Q918" i="153" s="1"/>
  <c r="V918" i="153" s="1"/>
  <c r="R919" i="153"/>
  <c r="S919" i="153" s="1"/>
  <c r="P920" i="153"/>
  <c r="T919" i="153"/>
  <c r="W918" i="153"/>
  <c r="U918" i="153"/>
  <c r="U919" i="153" l="1"/>
  <c r="W919" i="153"/>
  <c r="P921" i="153"/>
  <c r="T920" i="153"/>
  <c r="R920" i="153"/>
  <c r="S920" i="153" s="1"/>
  <c r="X918" i="153"/>
  <c r="Q919" i="153" s="1"/>
  <c r="V919" i="153" s="1"/>
  <c r="X919" i="153" l="1"/>
  <c r="Q920" i="153" s="1"/>
  <c r="V920" i="153" s="1"/>
  <c r="W920" i="153"/>
  <c r="U920" i="153"/>
  <c r="T921" i="153"/>
  <c r="P922" i="153"/>
  <c r="R921" i="153"/>
  <c r="S921" i="153" s="1"/>
  <c r="R922" i="153" l="1"/>
  <c r="S922" i="153" s="1"/>
  <c r="P923" i="153"/>
  <c r="T922" i="153"/>
  <c r="W921" i="153"/>
  <c r="U921" i="153"/>
  <c r="X920" i="153"/>
  <c r="Q921" i="153" s="1"/>
  <c r="V921" i="153" s="1"/>
  <c r="X921" i="153" l="1"/>
  <c r="Q922" i="153" s="1"/>
  <c r="V922" i="153" s="1"/>
  <c r="U922" i="153"/>
  <c r="T923" i="153"/>
  <c r="R923" i="153"/>
  <c r="S923" i="153" s="1"/>
  <c r="P924" i="153"/>
  <c r="U923" i="153" l="1"/>
  <c r="T924" i="153"/>
  <c r="P925" i="153"/>
  <c r="R924" i="153"/>
  <c r="S924" i="153" s="1"/>
  <c r="W922" i="153"/>
  <c r="X922" i="153" s="1"/>
  <c r="Q923" i="153" s="1"/>
  <c r="V923" i="153" s="1"/>
  <c r="W923" i="153" l="1"/>
  <c r="X923" i="153" s="1"/>
  <c r="Q924" i="153" s="1"/>
  <c r="V924" i="153" s="1"/>
  <c r="U924" i="153"/>
  <c r="W924" i="153"/>
  <c r="T925" i="153"/>
  <c r="R925" i="153"/>
  <c r="S925" i="153" s="1"/>
  <c r="P926" i="153"/>
  <c r="R926" i="153" l="1"/>
  <c r="S926" i="153" s="1"/>
  <c r="P927" i="153"/>
  <c r="T926" i="153"/>
  <c r="U925" i="153"/>
  <c r="X924" i="153"/>
  <c r="Q925" i="153" s="1"/>
  <c r="V925" i="153" s="1"/>
  <c r="R927" i="153" l="1"/>
  <c r="S927" i="153" s="1"/>
  <c r="P928" i="153"/>
  <c r="T927" i="153"/>
  <c r="U926" i="153"/>
  <c r="W925" i="153"/>
  <c r="X925" i="153" s="1"/>
  <c r="Q926" i="153" s="1"/>
  <c r="V926" i="153" s="1"/>
  <c r="W926" i="153" l="1"/>
  <c r="X926" i="153" s="1"/>
  <c r="Q927" i="153" s="1"/>
  <c r="V927" i="153" s="1"/>
  <c r="U927" i="153"/>
  <c r="P929" i="153"/>
  <c r="R928" i="153"/>
  <c r="S928" i="153" s="1"/>
  <c r="T928" i="153"/>
  <c r="W928" i="153" l="1"/>
  <c r="U928" i="153"/>
  <c r="T929" i="153"/>
  <c r="P930" i="153"/>
  <c r="R929" i="153"/>
  <c r="S929" i="153" s="1"/>
  <c r="W927" i="153"/>
  <c r="X927" i="153" s="1"/>
  <c r="Q928" i="153" s="1"/>
  <c r="V928" i="153" s="1"/>
  <c r="X928" i="153" l="1"/>
  <c r="Q929" i="153" s="1"/>
  <c r="V929" i="153" s="1"/>
  <c r="P931" i="153"/>
  <c r="T930" i="153"/>
  <c r="R930" i="153"/>
  <c r="S930" i="153" s="1"/>
  <c r="U929" i="153"/>
  <c r="W930" i="153" l="1"/>
  <c r="U930" i="153"/>
  <c r="T931" i="153"/>
  <c r="R931" i="153"/>
  <c r="S931" i="153" s="1"/>
  <c r="P932" i="153"/>
  <c r="W929" i="153"/>
  <c r="X929" i="153" s="1"/>
  <c r="Q930" i="153" s="1"/>
  <c r="V930" i="153" s="1"/>
  <c r="T932" i="153" l="1"/>
  <c r="P933" i="153"/>
  <c r="R932" i="153"/>
  <c r="S932" i="153" s="1"/>
  <c r="X930" i="153"/>
  <c r="Q931" i="153" s="1"/>
  <c r="V931" i="153" s="1"/>
  <c r="U931" i="153"/>
  <c r="W931" i="153"/>
  <c r="T933" i="153" l="1"/>
  <c r="R933" i="153"/>
  <c r="S933" i="153" s="1"/>
  <c r="P934" i="153"/>
  <c r="X931" i="153"/>
  <c r="Q932" i="153" s="1"/>
  <c r="V932" i="153" s="1"/>
  <c r="U932" i="153"/>
  <c r="W932" i="153" l="1"/>
  <c r="X932" i="153" s="1"/>
  <c r="Q933" i="153" s="1"/>
  <c r="V933" i="153" s="1"/>
  <c r="R934" i="153"/>
  <c r="S934" i="153" s="1"/>
  <c r="P935" i="153"/>
  <c r="T934" i="153"/>
  <c r="U933" i="153"/>
  <c r="W933" i="153"/>
  <c r="U934" i="153" l="1"/>
  <c r="R935" i="153"/>
  <c r="S935" i="153" s="1"/>
  <c r="P936" i="153"/>
  <c r="T935" i="153"/>
  <c r="X933" i="153"/>
  <c r="Q934" i="153" s="1"/>
  <c r="V934" i="153" s="1"/>
  <c r="U935" i="153" l="1"/>
  <c r="W934" i="153"/>
  <c r="X934" i="153" s="1"/>
  <c r="Q935" i="153" s="1"/>
  <c r="V935" i="153" s="1"/>
  <c r="P937" i="153"/>
  <c r="T936" i="153"/>
  <c r="R936" i="153"/>
  <c r="S936" i="153" s="1"/>
  <c r="W935" i="153" l="1"/>
  <c r="X935" i="153" s="1"/>
  <c r="Q936" i="153" s="1"/>
  <c r="V936" i="153" s="1"/>
  <c r="U936" i="153"/>
  <c r="T937" i="153"/>
  <c r="P938" i="153"/>
  <c r="R937" i="153"/>
  <c r="S937" i="153" s="1"/>
  <c r="W937" i="153" l="1"/>
  <c r="U937" i="153"/>
  <c r="R938" i="153"/>
  <c r="S938" i="153" s="1"/>
  <c r="T938" i="153"/>
  <c r="P939" i="153"/>
  <c r="W936" i="153"/>
  <c r="X936" i="153" s="1"/>
  <c r="Q937" i="153" s="1"/>
  <c r="V937" i="153" s="1"/>
  <c r="X937" i="153" l="1"/>
  <c r="Q938" i="153" s="1"/>
  <c r="V938" i="153" s="1"/>
  <c r="T939" i="153"/>
  <c r="R939" i="153"/>
  <c r="S939" i="153" s="1"/>
  <c r="P940" i="153"/>
  <c r="W938" i="153"/>
  <c r="U938" i="153"/>
  <c r="T940" i="153" l="1"/>
  <c r="P941" i="153"/>
  <c r="R940" i="153"/>
  <c r="S940" i="153" s="1"/>
  <c r="U939" i="153"/>
  <c r="W939" i="153"/>
  <c r="X938" i="153"/>
  <c r="Q939" i="153" s="1"/>
  <c r="V939" i="153" s="1"/>
  <c r="X939" i="153" l="1"/>
  <c r="Q940" i="153" s="1"/>
  <c r="V940" i="153" s="1"/>
  <c r="T941" i="153"/>
  <c r="R941" i="153"/>
  <c r="S941" i="153" s="1"/>
  <c r="P942" i="153"/>
  <c r="U940" i="153"/>
  <c r="R942" i="153" l="1"/>
  <c r="S942" i="153" s="1"/>
  <c r="P943" i="153"/>
  <c r="T942" i="153"/>
  <c r="U941" i="153"/>
  <c r="W940" i="153"/>
  <c r="X940" i="153" s="1"/>
  <c r="Q941" i="153" s="1"/>
  <c r="V941" i="153" s="1"/>
  <c r="W942" i="153" l="1"/>
  <c r="U942" i="153"/>
  <c r="R943" i="153"/>
  <c r="S943" i="153" s="1"/>
  <c r="P944" i="153"/>
  <c r="T943" i="153"/>
  <c r="W941" i="153"/>
  <c r="X941" i="153" s="1"/>
  <c r="Q942" i="153" s="1"/>
  <c r="V942" i="153" s="1"/>
  <c r="X942" i="153" l="1"/>
  <c r="Q943" i="153" s="1"/>
  <c r="V943" i="153" s="1"/>
  <c r="U943" i="153"/>
  <c r="P945" i="153"/>
  <c r="R944" i="153"/>
  <c r="S944" i="153" s="1"/>
  <c r="T944" i="153"/>
  <c r="W943" i="153" l="1"/>
  <c r="X943" i="153" s="1"/>
  <c r="Q944" i="153" s="1"/>
  <c r="V944" i="153" s="1"/>
  <c r="W944" i="153"/>
  <c r="U944" i="153"/>
  <c r="T945" i="153"/>
  <c r="P946" i="153"/>
  <c r="R945" i="153"/>
  <c r="S945" i="153" s="1"/>
  <c r="P947" i="153" l="1"/>
  <c r="T946" i="153"/>
  <c r="R946" i="153"/>
  <c r="S946" i="153" s="1"/>
  <c r="X944" i="153"/>
  <c r="Q945" i="153" s="1"/>
  <c r="V945" i="153" s="1"/>
  <c r="U945" i="153"/>
  <c r="W945" i="153" s="1"/>
  <c r="W946" i="153" l="1"/>
  <c r="U946" i="153"/>
  <c r="T947" i="153"/>
  <c r="R947" i="153"/>
  <c r="S947" i="153" s="1"/>
  <c r="P948" i="153"/>
  <c r="X945" i="153"/>
  <c r="Q946" i="153" s="1"/>
  <c r="V946" i="153" s="1"/>
  <c r="X946" i="153" l="1"/>
  <c r="Q947" i="153" s="1"/>
  <c r="V947" i="153" s="1"/>
  <c r="U947" i="153"/>
  <c r="T948" i="153"/>
  <c r="P949" i="153"/>
  <c r="R948" i="153"/>
  <c r="S948" i="153" s="1"/>
  <c r="W947" i="153" l="1"/>
  <c r="X947" i="153" s="1"/>
  <c r="Q948" i="153" s="1"/>
  <c r="V948" i="153" s="1"/>
  <c r="T949" i="153"/>
  <c r="R949" i="153"/>
  <c r="S949" i="153" s="1"/>
  <c r="P950" i="153"/>
  <c r="U948" i="153"/>
  <c r="W948" i="153"/>
  <c r="R950" i="153" l="1"/>
  <c r="S950" i="153" s="1"/>
  <c r="P951" i="153"/>
  <c r="T950" i="153"/>
  <c r="X948" i="153"/>
  <c r="Q949" i="153" s="1"/>
  <c r="V949" i="153" s="1"/>
  <c r="U949" i="153"/>
  <c r="W949" i="153"/>
  <c r="W950" i="153" l="1"/>
  <c r="U950" i="153"/>
  <c r="P952" i="153"/>
  <c r="R951" i="153"/>
  <c r="S951" i="153" s="1"/>
  <c r="T951" i="153"/>
  <c r="X949" i="153"/>
  <c r="Q950" i="153" s="1"/>
  <c r="V950" i="153" s="1"/>
  <c r="W951" i="153" l="1"/>
  <c r="U951" i="153"/>
  <c r="X950" i="153"/>
  <c r="Q951" i="153" s="1"/>
  <c r="V951" i="153" s="1"/>
  <c r="R952" i="153"/>
  <c r="S952" i="153" s="1"/>
  <c r="P953" i="153"/>
  <c r="T952" i="153"/>
  <c r="U952" i="153" l="1"/>
  <c r="X951" i="153"/>
  <c r="Q952" i="153" s="1"/>
  <c r="V952" i="153" s="1"/>
  <c r="R953" i="153"/>
  <c r="S953" i="153" s="1"/>
  <c r="T953" i="153"/>
  <c r="P954" i="153"/>
  <c r="R954" i="153" l="1"/>
  <c r="S954" i="153" s="1"/>
  <c r="P955" i="153"/>
  <c r="T954" i="153"/>
  <c r="U953" i="153"/>
  <c r="W952" i="153"/>
  <c r="X952" i="153" s="1"/>
  <c r="Q953" i="153" s="1"/>
  <c r="V953" i="153" s="1"/>
  <c r="W953" i="153" l="1"/>
  <c r="X953" i="153" s="1"/>
  <c r="Q954" i="153" s="1"/>
  <c r="V954" i="153" s="1"/>
  <c r="W954" i="153"/>
  <c r="U954" i="153"/>
  <c r="R955" i="153"/>
  <c r="S955" i="153" s="1"/>
  <c r="T955" i="153"/>
  <c r="P956" i="153"/>
  <c r="T956" i="153" l="1"/>
  <c r="R956" i="153"/>
  <c r="S956" i="153" s="1"/>
  <c r="P957" i="153"/>
  <c r="U955" i="153"/>
  <c r="W955" i="153"/>
  <c r="X954" i="153"/>
  <c r="Q955" i="153" s="1"/>
  <c r="V955" i="153" s="1"/>
  <c r="X955" i="153" l="1"/>
  <c r="Q956" i="153" s="1"/>
  <c r="V956" i="153" s="1"/>
  <c r="T957" i="153"/>
  <c r="R957" i="153"/>
  <c r="S957" i="153" s="1"/>
  <c r="P958" i="153"/>
  <c r="U956" i="153"/>
  <c r="R958" i="153" l="1"/>
  <c r="S958" i="153" s="1"/>
  <c r="T958" i="153"/>
  <c r="P959" i="153"/>
  <c r="U957" i="153"/>
  <c r="W956" i="153"/>
  <c r="X956" i="153" s="1"/>
  <c r="Q957" i="153" s="1"/>
  <c r="V957" i="153" s="1"/>
  <c r="W957" i="153" l="1"/>
  <c r="X957" i="153" s="1"/>
  <c r="Q958" i="153" s="1"/>
  <c r="V958" i="153" s="1"/>
  <c r="U958" i="153"/>
  <c r="P960" i="153"/>
  <c r="T959" i="153"/>
  <c r="R959" i="153"/>
  <c r="S959" i="153" s="1"/>
  <c r="T960" i="153" l="1"/>
  <c r="R960" i="153"/>
  <c r="S960" i="153" s="1"/>
  <c r="P961" i="153"/>
  <c r="U959" i="153"/>
  <c r="W959" i="153"/>
  <c r="W958" i="153"/>
  <c r="X958" i="153" s="1"/>
  <c r="Q959" i="153" s="1"/>
  <c r="V959" i="153" s="1"/>
  <c r="X959" i="153" l="1"/>
  <c r="Q960" i="153" s="1"/>
  <c r="V960" i="153" s="1"/>
  <c r="T961" i="153"/>
  <c r="R961" i="153"/>
  <c r="S961" i="153" s="1"/>
  <c r="P962" i="153"/>
  <c r="U960" i="153"/>
  <c r="T962" i="153" l="1"/>
  <c r="R962" i="153"/>
  <c r="S962" i="153" s="1"/>
  <c r="P963" i="153"/>
  <c r="W961" i="153"/>
  <c r="U961" i="153"/>
  <c r="W960" i="153"/>
  <c r="X960" i="153" s="1"/>
  <c r="Q961" i="153" s="1"/>
  <c r="V961" i="153" s="1"/>
  <c r="X961" i="153" l="1"/>
  <c r="Q962" i="153" s="1"/>
  <c r="V962" i="153" s="1"/>
  <c r="T963" i="153"/>
  <c r="R963" i="153"/>
  <c r="S963" i="153" s="1"/>
  <c r="P964" i="153"/>
  <c r="U962" i="153"/>
  <c r="W962" i="153" l="1"/>
  <c r="X962" i="153" s="1"/>
  <c r="Q963" i="153" s="1"/>
  <c r="V963" i="153" s="1"/>
  <c r="T964" i="153"/>
  <c r="R964" i="153"/>
  <c r="S964" i="153" s="1"/>
  <c r="P965" i="153"/>
  <c r="U963" i="153"/>
  <c r="W963" i="153"/>
  <c r="X963" i="153" l="1"/>
  <c r="Q964" i="153" s="1"/>
  <c r="V964" i="153" s="1"/>
  <c r="R965" i="153"/>
  <c r="S965" i="153" s="1"/>
  <c r="T965" i="153"/>
  <c r="P966" i="153"/>
  <c r="U964" i="153"/>
  <c r="W964" i="153"/>
  <c r="R966" i="153" l="1"/>
  <c r="S966" i="153" s="1"/>
  <c r="P967" i="153"/>
  <c r="T966" i="153"/>
  <c r="U965" i="153"/>
  <c r="X964" i="153"/>
  <c r="Q965" i="153" s="1"/>
  <c r="V965" i="153" s="1"/>
  <c r="W965" i="153" l="1"/>
  <c r="X965" i="153" s="1"/>
  <c r="Q966" i="153" s="1"/>
  <c r="V966" i="153" s="1"/>
  <c r="P968" i="153"/>
  <c r="T967" i="153"/>
  <c r="R967" i="153"/>
  <c r="S967" i="153" s="1"/>
  <c r="U966" i="153"/>
  <c r="U967" i="153" l="1"/>
  <c r="P969" i="153"/>
  <c r="R968" i="153"/>
  <c r="S968" i="153" s="1"/>
  <c r="T968" i="153"/>
  <c r="W966" i="153"/>
  <c r="X966" i="153" s="1"/>
  <c r="Q967" i="153" s="1"/>
  <c r="V967" i="153" s="1"/>
  <c r="W967" i="153" l="1"/>
  <c r="X967" i="153" s="1"/>
  <c r="Q968" i="153" s="1"/>
  <c r="V968" i="153" s="1"/>
  <c r="W968" i="153"/>
  <c r="U968" i="153"/>
  <c r="R969" i="153"/>
  <c r="S969" i="153" s="1"/>
  <c r="P970" i="153"/>
  <c r="T969" i="153"/>
  <c r="W969" i="153" l="1"/>
  <c r="U969" i="153"/>
  <c r="R970" i="153"/>
  <c r="S970" i="153" s="1"/>
  <c r="P971" i="153"/>
  <c r="T970" i="153"/>
  <c r="X968" i="153"/>
  <c r="Q969" i="153" s="1"/>
  <c r="V969" i="153" s="1"/>
  <c r="U970" i="153" l="1"/>
  <c r="W970" i="153"/>
  <c r="X969" i="153"/>
  <c r="Q970" i="153" s="1"/>
  <c r="V970" i="153" s="1"/>
  <c r="T971" i="153"/>
  <c r="R971" i="153"/>
  <c r="S971" i="153" s="1"/>
  <c r="P972" i="153"/>
  <c r="U971" i="153" l="1"/>
  <c r="X970" i="153"/>
  <c r="Q971" i="153" s="1"/>
  <c r="V971" i="153" s="1"/>
  <c r="T972" i="153"/>
  <c r="R972" i="153"/>
  <c r="S972" i="153" s="1"/>
  <c r="P973" i="153"/>
  <c r="R973" i="153" l="1"/>
  <c r="S973" i="153" s="1"/>
  <c r="P974" i="153"/>
  <c r="T973" i="153"/>
  <c r="U972" i="153"/>
  <c r="W971" i="153"/>
  <c r="X971" i="153" s="1"/>
  <c r="Q972" i="153" s="1"/>
  <c r="V972" i="153" s="1"/>
  <c r="W972" i="153" l="1"/>
  <c r="X972" i="153" s="1"/>
  <c r="Q973" i="153" s="1"/>
  <c r="V973" i="153" s="1"/>
  <c r="W973" i="153"/>
  <c r="U973" i="153"/>
  <c r="R974" i="153"/>
  <c r="S974" i="153" s="1"/>
  <c r="P975" i="153"/>
  <c r="T974" i="153"/>
  <c r="U974" i="153" l="1"/>
  <c r="X973" i="153"/>
  <c r="Q974" i="153" s="1"/>
  <c r="V974" i="153" s="1"/>
  <c r="P976" i="153"/>
  <c r="T975" i="153"/>
  <c r="R975" i="153"/>
  <c r="S975" i="153" s="1"/>
  <c r="W974" i="153" l="1"/>
  <c r="X974" i="153" s="1"/>
  <c r="Q975" i="153" s="1"/>
  <c r="V975" i="153" s="1"/>
  <c r="W975" i="153"/>
  <c r="U975" i="153"/>
  <c r="P977" i="153"/>
  <c r="T976" i="153"/>
  <c r="R976" i="153"/>
  <c r="S976" i="153" s="1"/>
  <c r="X975" i="153" l="1"/>
  <c r="Q976" i="153" s="1"/>
  <c r="V976" i="153" s="1"/>
  <c r="U976" i="153"/>
  <c r="W976" i="153" s="1"/>
  <c r="P978" i="153"/>
  <c r="T977" i="153"/>
  <c r="R977" i="153"/>
  <c r="S977" i="153" s="1"/>
  <c r="W977" i="153" l="1"/>
  <c r="U977" i="153"/>
  <c r="T978" i="153"/>
  <c r="R978" i="153"/>
  <c r="S978" i="153" s="1"/>
  <c r="P979" i="153"/>
  <c r="X976" i="153"/>
  <c r="Q977" i="153" s="1"/>
  <c r="V977" i="153" s="1"/>
  <c r="X977" i="153" l="1"/>
  <c r="Q978" i="153" s="1"/>
  <c r="V978" i="153" s="1"/>
  <c r="T979" i="153"/>
  <c r="R979" i="153"/>
  <c r="S979" i="153" s="1"/>
  <c r="P980" i="153"/>
  <c r="U978" i="153"/>
  <c r="W978" i="153" l="1"/>
  <c r="X978" i="153" s="1"/>
  <c r="Q979" i="153" s="1"/>
  <c r="V979" i="153" s="1"/>
  <c r="T980" i="153"/>
  <c r="R980" i="153"/>
  <c r="S980" i="153" s="1"/>
  <c r="P981" i="153"/>
  <c r="U979" i="153"/>
  <c r="W979" i="153"/>
  <c r="X979" i="153" l="1"/>
  <c r="Q980" i="153" s="1"/>
  <c r="V980" i="153" s="1"/>
  <c r="R981" i="153"/>
  <c r="S981" i="153" s="1"/>
  <c r="P982" i="153"/>
  <c r="T981" i="153"/>
  <c r="W980" i="153"/>
  <c r="U980" i="153"/>
  <c r="U981" i="153" l="1"/>
  <c r="R982" i="153"/>
  <c r="S982" i="153" s="1"/>
  <c r="P983" i="153"/>
  <c r="T982" i="153"/>
  <c r="X980" i="153"/>
  <c r="Q981" i="153" s="1"/>
  <c r="V981" i="153" s="1"/>
  <c r="W981" i="153" l="1"/>
  <c r="X981" i="153" s="1"/>
  <c r="Q982" i="153" s="1"/>
  <c r="V982" i="153" s="1"/>
  <c r="R983" i="153"/>
  <c r="S983" i="153" s="1"/>
  <c r="P984" i="153"/>
  <c r="T983" i="153"/>
  <c r="U982" i="153"/>
  <c r="W982" i="153"/>
  <c r="U983" i="153" l="1"/>
  <c r="P985" i="153"/>
  <c r="T984" i="153"/>
  <c r="R984" i="153"/>
  <c r="S984" i="153" s="1"/>
  <c r="X982" i="153"/>
  <c r="Q983" i="153" s="1"/>
  <c r="V983" i="153" s="1"/>
  <c r="W983" i="153" l="1"/>
  <c r="X983" i="153" s="1"/>
  <c r="Q984" i="153" s="1"/>
  <c r="V984" i="153" s="1"/>
  <c r="U984" i="153"/>
  <c r="W984" i="153" s="1"/>
  <c r="P986" i="153"/>
  <c r="T985" i="153"/>
  <c r="R985" i="153"/>
  <c r="S985" i="153" s="1"/>
  <c r="X984" i="153" l="1"/>
  <c r="Q985" i="153" s="1"/>
  <c r="V985" i="153" s="1"/>
  <c r="W985" i="153"/>
  <c r="U985" i="153"/>
  <c r="T986" i="153"/>
  <c r="R986" i="153"/>
  <c r="S986" i="153" s="1"/>
  <c r="P987" i="153"/>
  <c r="T987" i="153" l="1"/>
  <c r="P988" i="153"/>
  <c r="R987" i="153"/>
  <c r="S987" i="153" s="1"/>
  <c r="W986" i="153"/>
  <c r="U986" i="153"/>
  <c r="X985" i="153"/>
  <c r="Q986" i="153" s="1"/>
  <c r="V986" i="153" s="1"/>
  <c r="X986" i="153" l="1"/>
  <c r="Q987" i="153" s="1"/>
  <c r="V987" i="153" s="1"/>
  <c r="T988" i="153"/>
  <c r="R988" i="153"/>
  <c r="S988" i="153" s="1"/>
  <c r="P989" i="153"/>
  <c r="U987" i="153"/>
  <c r="T989" i="153" l="1"/>
  <c r="R989" i="153"/>
  <c r="S989" i="153" s="1"/>
  <c r="P990" i="153"/>
  <c r="W987" i="153"/>
  <c r="X987" i="153" s="1"/>
  <c r="Q988" i="153" s="1"/>
  <c r="V988" i="153" s="1"/>
  <c r="U988" i="153"/>
  <c r="R990" i="153" l="1"/>
  <c r="S990" i="153" s="1"/>
  <c r="P991" i="153"/>
  <c r="T990" i="153"/>
  <c r="W988" i="153"/>
  <c r="X988" i="153" s="1"/>
  <c r="Q989" i="153" s="1"/>
  <c r="V989" i="153" s="1"/>
  <c r="U989" i="153"/>
  <c r="W989" i="153" l="1"/>
  <c r="X989" i="153" s="1"/>
  <c r="Q990" i="153" s="1"/>
  <c r="V990" i="153" s="1"/>
  <c r="R991" i="153"/>
  <c r="S991" i="153" s="1"/>
  <c r="P992" i="153"/>
  <c r="T991" i="153"/>
  <c r="W990" i="153"/>
  <c r="U990" i="153"/>
  <c r="U991" i="153" l="1"/>
  <c r="P993" i="153"/>
  <c r="R992" i="153"/>
  <c r="S992" i="153" s="1"/>
  <c r="T992" i="153"/>
  <c r="X990" i="153"/>
  <c r="Q991" i="153" s="1"/>
  <c r="V991" i="153" s="1"/>
  <c r="W991" i="153" l="1"/>
  <c r="X991" i="153" s="1"/>
  <c r="Q992" i="153" s="1"/>
  <c r="V992" i="153" s="1"/>
  <c r="W992" i="153"/>
  <c r="U992" i="153"/>
  <c r="T993" i="153"/>
  <c r="P994" i="153"/>
  <c r="R993" i="153"/>
  <c r="S993" i="153" s="1"/>
  <c r="U993" i="153" l="1"/>
  <c r="T994" i="153"/>
  <c r="R994" i="153"/>
  <c r="S994" i="153" s="1"/>
  <c r="P995" i="153"/>
  <c r="X992" i="153"/>
  <c r="Q993" i="153" s="1"/>
  <c r="V993" i="153" s="1"/>
  <c r="W993" i="153" l="1"/>
  <c r="X993" i="153" s="1"/>
  <c r="Q994" i="153" s="1"/>
  <c r="V994" i="153" s="1"/>
  <c r="T995" i="153"/>
  <c r="R995" i="153"/>
  <c r="S995" i="153" s="1"/>
  <c r="P996" i="153"/>
  <c r="U994" i="153"/>
  <c r="T996" i="153" l="1"/>
  <c r="R996" i="153"/>
  <c r="S996" i="153" s="1"/>
  <c r="P997" i="153"/>
  <c r="U995" i="153"/>
  <c r="W995" i="153" s="1"/>
  <c r="W994" i="153"/>
  <c r="X994" i="153" s="1"/>
  <c r="Q995" i="153" s="1"/>
  <c r="V995" i="153" s="1"/>
  <c r="X995" i="153" l="1"/>
  <c r="Q996" i="153" s="1"/>
  <c r="V996" i="153" s="1"/>
  <c r="T997" i="153"/>
  <c r="R997" i="153"/>
  <c r="S997" i="153" s="1"/>
  <c r="P998" i="153"/>
  <c r="U996" i="153"/>
  <c r="R998" i="153" l="1"/>
  <c r="S998" i="153" s="1"/>
  <c r="P999" i="153"/>
  <c r="T998" i="153"/>
  <c r="W996" i="153"/>
  <c r="X996" i="153" s="1"/>
  <c r="Q997" i="153" s="1"/>
  <c r="V997" i="153" s="1"/>
  <c r="U997" i="153"/>
  <c r="W998" i="153" l="1"/>
  <c r="U998" i="153"/>
  <c r="R999" i="153"/>
  <c r="S999" i="153" s="1"/>
  <c r="P1000" i="153"/>
  <c r="T999" i="153"/>
  <c r="W997" i="153"/>
  <c r="X997" i="153" s="1"/>
  <c r="Q998" i="153" s="1"/>
  <c r="V998" i="153" s="1"/>
  <c r="X998" i="153" l="1"/>
  <c r="Q999" i="153" s="1"/>
  <c r="V999" i="153" s="1"/>
  <c r="P1001" i="153"/>
  <c r="T1000" i="153"/>
  <c r="R1000" i="153"/>
  <c r="S1000" i="153" s="1"/>
  <c r="U999" i="153"/>
  <c r="W1000" i="153" l="1"/>
  <c r="U1000" i="153"/>
  <c r="T1001" i="153"/>
  <c r="R1001" i="153"/>
  <c r="S1001" i="153" s="1"/>
  <c r="P1002" i="153"/>
  <c r="W999" i="153"/>
  <c r="X999" i="153" s="1"/>
  <c r="Q1000" i="153" s="1"/>
  <c r="V1000" i="153" s="1"/>
  <c r="X1000" i="153" l="1"/>
  <c r="Q1001" i="153" s="1"/>
  <c r="V1001" i="153" s="1"/>
  <c r="T1002" i="153"/>
  <c r="P1003" i="153"/>
  <c r="R1002" i="153"/>
  <c r="S1002" i="153" s="1"/>
  <c r="W1001" i="153"/>
  <c r="U1001" i="153"/>
  <c r="U1002" i="153" l="1"/>
  <c r="T1003" i="153"/>
  <c r="R1003" i="153"/>
  <c r="S1003" i="153" s="1"/>
  <c r="P1004" i="153"/>
  <c r="X1001" i="153"/>
  <c r="Q1002" i="153" s="1"/>
  <c r="V1002" i="153" s="1"/>
  <c r="W1002" i="153" l="1"/>
  <c r="X1002" i="153" s="1"/>
  <c r="Q1003" i="153" s="1"/>
  <c r="V1003" i="153" s="1"/>
  <c r="T1004" i="153"/>
  <c r="R1004" i="153"/>
  <c r="S1004" i="153" s="1"/>
  <c r="P1005" i="153"/>
  <c r="U1003" i="153"/>
  <c r="T1005" i="153" l="1"/>
  <c r="R1005" i="153"/>
  <c r="S1005" i="153" s="1"/>
  <c r="P1006" i="153"/>
  <c r="U1004" i="153"/>
  <c r="W1003" i="153"/>
  <c r="X1003" i="153" s="1"/>
  <c r="Q1004" i="153" s="1"/>
  <c r="V1004" i="153" s="1"/>
  <c r="W1004" i="153" l="1"/>
  <c r="X1004" i="153" s="1"/>
  <c r="Q1005" i="153" s="1"/>
  <c r="V1005" i="153" s="1"/>
  <c r="R1006" i="153"/>
  <c r="S1006" i="153" s="1"/>
  <c r="P1007" i="153"/>
  <c r="T1006" i="153"/>
  <c r="W1005" i="153"/>
  <c r="U1005" i="153"/>
  <c r="U1006" i="153" l="1"/>
  <c r="R1007" i="153"/>
  <c r="S1007" i="153" s="1"/>
  <c r="P1008" i="153"/>
  <c r="T1007" i="153"/>
  <c r="X1005" i="153"/>
  <c r="Q1006" i="153" s="1"/>
  <c r="V1006" i="153" s="1"/>
  <c r="W1006" i="153" l="1"/>
  <c r="X1006" i="153" s="1"/>
  <c r="Q1007" i="153" s="1"/>
  <c r="V1007" i="153" s="1"/>
  <c r="W1007" i="153"/>
  <c r="U1007" i="153"/>
  <c r="P1009" i="153"/>
  <c r="T1008" i="153"/>
  <c r="R1008" i="153"/>
  <c r="S1008" i="153" s="1"/>
  <c r="X1007" i="153" l="1"/>
  <c r="Q1008" i="153" s="1"/>
  <c r="V1008" i="153" s="1"/>
  <c r="W1008" i="153"/>
  <c r="U1008" i="153"/>
  <c r="T1009" i="153"/>
  <c r="P1010" i="153"/>
  <c r="R1009" i="153"/>
  <c r="S1009" i="153" s="1"/>
  <c r="T1010" i="153" l="1"/>
  <c r="P1011" i="153"/>
  <c r="R1010" i="153"/>
  <c r="S1010" i="153" s="1"/>
  <c r="W1009" i="153"/>
  <c r="U1009" i="153"/>
  <c r="X1008" i="153"/>
  <c r="Q1009" i="153" s="1"/>
  <c r="V1009" i="153" s="1"/>
  <c r="X1009" i="153" l="1"/>
  <c r="Q1010" i="153" s="1"/>
  <c r="V1010" i="153" s="1"/>
  <c r="T1011" i="153"/>
  <c r="R1011" i="153"/>
  <c r="S1011" i="153" s="1"/>
  <c r="P1012" i="153"/>
  <c r="W1010" i="153"/>
  <c r="U1010" i="153"/>
  <c r="T1012" i="153" l="1"/>
  <c r="R1012" i="153"/>
  <c r="S1012" i="153" s="1"/>
  <c r="P1013" i="153"/>
  <c r="U1011" i="153"/>
  <c r="W1011" i="153"/>
  <c r="X1010" i="153"/>
  <c r="Q1011" i="153" s="1"/>
  <c r="V1011" i="153" s="1"/>
  <c r="X1011" i="153" l="1"/>
  <c r="Q1012" i="153" s="1"/>
  <c r="V1012" i="153" s="1"/>
  <c r="T1013" i="153"/>
  <c r="R1013" i="153"/>
  <c r="S1013" i="153" s="1"/>
  <c r="P1014" i="153"/>
  <c r="U1012" i="153"/>
  <c r="W1012" i="153" s="1"/>
  <c r="R1014" i="153" l="1"/>
  <c r="S1014" i="153" s="1"/>
  <c r="P1015" i="153"/>
  <c r="T1014" i="153"/>
  <c r="X1012" i="153"/>
  <c r="Q1013" i="153" s="1"/>
  <c r="V1013" i="153" s="1"/>
  <c r="U1013" i="153"/>
  <c r="W1013" i="153"/>
  <c r="X1013" i="153" l="1"/>
  <c r="Q1014" i="153" s="1"/>
  <c r="V1014" i="153" s="1"/>
  <c r="U1014" i="153"/>
  <c r="R1015" i="153"/>
  <c r="S1015" i="153" s="1"/>
  <c r="P1016" i="153"/>
  <c r="T1015" i="153"/>
  <c r="P1017" i="153" l="1"/>
  <c r="R1016" i="153"/>
  <c r="S1016" i="153" s="1"/>
  <c r="T1016" i="153"/>
  <c r="U1015" i="153"/>
  <c r="W1014" i="153"/>
  <c r="X1014" i="153" s="1"/>
  <c r="Q1015" i="153" s="1"/>
  <c r="V1015" i="153" s="1"/>
  <c r="W1015" i="153" l="1"/>
  <c r="X1015" i="153" s="1"/>
  <c r="Q1016" i="153" s="1"/>
  <c r="V1016" i="153" s="1"/>
  <c r="T1017" i="153"/>
  <c r="P1018" i="153"/>
  <c r="R1017" i="153"/>
  <c r="S1017" i="153" s="1"/>
  <c r="U1016" i="153"/>
  <c r="T1018" i="153" l="1"/>
  <c r="P1019" i="153"/>
  <c r="R1018" i="153"/>
  <c r="S1018" i="153" s="1"/>
  <c r="U1017" i="153"/>
  <c r="W1016" i="153"/>
  <c r="X1016" i="153" s="1"/>
  <c r="Q1017" i="153" s="1"/>
  <c r="V1017" i="153" s="1"/>
  <c r="W1017" i="153" l="1"/>
  <c r="X1017" i="153" s="1"/>
  <c r="Q1018" i="153" s="1"/>
  <c r="V1018" i="153" s="1"/>
  <c r="T1019" i="153"/>
  <c r="R1019" i="153"/>
  <c r="S1019" i="153" s="1"/>
  <c r="P1020" i="153"/>
  <c r="W1018" i="153"/>
  <c r="U1018" i="153"/>
  <c r="T1020" i="153" l="1"/>
  <c r="R1020" i="153"/>
  <c r="S1020" i="153" s="1"/>
  <c r="P1021" i="153"/>
  <c r="U1019" i="153"/>
  <c r="X1018" i="153"/>
  <c r="Q1019" i="153" s="1"/>
  <c r="V1019" i="153" s="1"/>
  <c r="W1019" i="153" l="1"/>
  <c r="X1019" i="153" s="1"/>
  <c r="Q1020" i="153" s="1"/>
  <c r="V1020" i="153" s="1"/>
  <c r="T1021" i="153"/>
  <c r="R1021" i="153"/>
  <c r="S1021" i="153" s="1"/>
  <c r="P1022" i="153"/>
  <c r="U1020" i="153"/>
  <c r="W1020" i="153"/>
  <c r="R1022" i="153" l="1"/>
  <c r="S1022" i="153" s="1"/>
  <c r="P1023" i="153"/>
  <c r="T1022" i="153"/>
  <c r="W1021" i="153"/>
  <c r="U1021" i="153"/>
  <c r="X1020" i="153"/>
  <c r="Q1021" i="153" s="1"/>
  <c r="V1021" i="153" s="1"/>
  <c r="W1022" i="153" l="1"/>
  <c r="U1022" i="153"/>
  <c r="R1023" i="153"/>
  <c r="S1023" i="153" s="1"/>
  <c r="P1024" i="153"/>
  <c r="T1023" i="153"/>
  <c r="X1021" i="153"/>
  <c r="Q1022" i="153" s="1"/>
  <c r="V1022" i="153" s="1"/>
  <c r="X1022" i="153" l="1"/>
  <c r="Q1023" i="153" s="1"/>
  <c r="V1023" i="153" s="1"/>
  <c r="U1023" i="153"/>
  <c r="P1025" i="153"/>
  <c r="T1024" i="153"/>
  <c r="R1024" i="153"/>
  <c r="S1024" i="153" s="1"/>
  <c r="W1023" i="153" l="1"/>
  <c r="X1023" i="153" s="1"/>
  <c r="Q1024" i="153" s="1"/>
  <c r="V1024" i="153" s="1"/>
  <c r="T1025" i="153"/>
  <c r="R1025" i="153"/>
  <c r="S1025" i="153" s="1"/>
  <c r="U1024" i="153"/>
  <c r="W1024" i="153" l="1"/>
  <c r="X1024" i="153" s="1"/>
  <c r="Q1025" i="153" s="1"/>
  <c r="V1025" i="153" s="1"/>
  <c r="U1025" i="153"/>
  <c r="W1025" i="153" l="1"/>
  <c r="C30" i="153" s="1"/>
  <c r="X1025" i="153" l="1"/>
  <c r="M377" i="125" l="1" a="1"/>
  <c r="M377" i="125" s="1"/>
  <c r="T365" i="125" l="1"/>
  <c r="Z365" i="125"/>
  <c r="W365" i="125"/>
  <c r="AJ365" i="125" s="1"/>
  <c r="T364" i="125"/>
  <c r="W364" i="125"/>
  <c r="AJ364" i="125" s="1"/>
  <c r="Z364" i="125"/>
  <c r="T363" i="125"/>
  <c r="Z363" i="125"/>
  <c r="W363" i="125"/>
  <c r="X76" i="134"/>
  <c r="X57" i="134"/>
  <c r="X61" i="134" s="1"/>
  <c r="AA76" i="134"/>
  <c r="AA57" i="134"/>
  <c r="AA61" i="134" s="1"/>
  <c r="AG76" i="134"/>
  <c r="AG57" i="134"/>
  <c r="AJ57" i="134"/>
  <c r="AJ76" i="134"/>
  <c r="AM76" i="134"/>
  <c r="AM57" i="134"/>
  <c r="AD57" i="134"/>
  <c r="AD76" i="134"/>
  <c r="AK96" i="134"/>
  <c r="Q36" i="134" s="1"/>
  <c r="AG96" i="134"/>
  <c r="AN96" i="134"/>
  <c r="T36" i="134" s="1"/>
  <c r="AE96" i="134"/>
  <c r="K36" i="134" s="1"/>
  <c r="AJ363" i="125" l="1"/>
  <c r="M376" i="125" a="1"/>
  <c r="M376" i="125" s="1"/>
  <c r="AO365" i="125"/>
  <c r="AO364" i="125"/>
  <c r="AO363" i="125"/>
  <c r="AA84" i="134"/>
  <c r="AA85" i="134" s="1"/>
  <c r="AA80" i="134"/>
  <c r="AA81" i="134" s="1"/>
  <c r="AA82" i="134" s="1"/>
  <c r="AA83" i="134" s="1"/>
  <c r="AA90" i="134" s="1"/>
  <c r="X84" i="134"/>
  <c r="X85" i="134" s="1"/>
  <c r="X80" i="134"/>
  <c r="X82" i="134" s="1"/>
  <c r="X83" i="134" s="1"/>
  <c r="M36" i="134"/>
  <c r="AA65" i="134"/>
  <c r="AA66" i="134" s="1"/>
  <c r="AA69" i="134" s="1"/>
  <c r="AA62" i="134"/>
  <c r="AA63" i="134" s="1"/>
  <c r="X65" i="134"/>
  <c r="X66" i="134" s="1"/>
  <c r="X69" i="134" s="1"/>
  <c r="X62" i="134"/>
  <c r="X63" i="134" s="1"/>
  <c r="AD96" i="134"/>
  <c r="J36" i="134" s="1"/>
  <c r="AJ96" i="134"/>
  <c r="P36" i="134" s="1"/>
  <c r="AH96" i="134"/>
  <c r="N36" i="134" s="1"/>
  <c r="AM96" i="134"/>
  <c r="S36" i="134" s="1"/>
  <c r="AA86" i="134" l="1"/>
  <c r="AA89" i="134" s="1"/>
  <c r="AA91" i="134" s="1"/>
  <c r="X90" i="134"/>
  <c r="X86" i="134"/>
  <c r="X89" i="134" s="1"/>
  <c r="X91" i="134" s="1"/>
  <c r="AA64" i="134"/>
  <c r="AA70" i="134" s="1"/>
  <c r="X64" i="134"/>
  <c r="X70" i="134" s="1"/>
  <c r="X96" i="134"/>
  <c r="D36" i="134" s="1"/>
  <c r="Y96" i="134"/>
  <c r="E36" i="134" s="1"/>
  <c r="AB96" i="134"/>
  <c r="H36" i="134" s="1"/>
  <c r="M375" i="125" l="1" a="1"/>
  <c r="M375" i="125" s="1"/>
  <c r="AA71" i="134"/>
  <c r="X71" i="134"/>
  <c r="Y48" i="134"/>
  <c r="AA96" i="134"/>
  <c r="G36" i="134" s="1"/>
  <c r="X48" i="134" s="1"/>
  <c r="M396" i="125" l="1"/>
  <c r="AA108" i="134"/>
  <c r="AD108" i="134"/>
  <c r="AM108" i="134"/>
  <c r="AG108" i="134"/>
  <c r="AJ108" i="134"/>
  <c r="X108" i="134"/>
  <c r="AO398" i="125" l="1"/>
  <c r="AO399" i="125" s="1"/>
  <c r="W378" i="125" s="1"/>
  <c r="X38" i="134"/>
  <c r="H146" i="134" s="1"/>
  <c r="T377" i="125" l="1"/>
  <c r="T378" i="125"/>
  <c r="M378" i="125" a="1"/>
  <c r="M378" i="125" s="1"/>
  <c r="AO378" i="125" s="1"/>
  <c r="T383" i="125"/>
  <c r="T380" i="125"/>
  <c r="W384" i="125"/>
  <c r="AF391" i="125"/>
  <c r="AJ391" i="125" s="1"/>
  <c r="Z389" i="125"/>
  <c r="W393" i="125"/>
  <c r="W385" i="125"/>
  <c r="W394" i="125"/>
  <c r="Z388" i="125"/>
  <c r="Z385" i="125"/>
  <c r="W377" i="125"/>
  <c r="Z377" i="125"/>
  <c r="Z378" i="125"/>
  <c r="AF377" i="125"/>
  <c r="AJ377" i="125" s="1"/>
  <c r="AO377" i="125" s="1"/>
  <c r="AF390" i="125"/>
  <c r="AJ390" i="125" s="1"/>
  <c r="Z375" i="125"/>
  <c r="W376" i="125"/>
  <c r="AU401" i="125"/>
  <c r="T390" i="125"/>
  <c r="T387" i="125"/>
  <c r="AF389" i="125"/>
  <c r="AJ389" i="125" s="1"/>
  <c r="Z394" i="125"/>
  <c r="Z391" i="125"/>
  <c r="Z390" i="125"/>
  <c r="W388" i="125"/>
  <c r="AF379" i="125"/>
  <c r="AJ379" i="125" s="1"/>
  <c r="W375" i="125"/>
  <c r="W389" i="125"/>
  <c r="Z361" i="125"/>
  <c r="W383" i="125"/>
  <c r="AF387" i="125"/>
  <c r="AJ387" i="125" s="1"/>
  <c r="Z383" i="125"/>
  <c r="AF375" i="125"/>
  <c r="AJ375" i="125" s="1"/>
  <c r="AO375" i="125" s="1"/>
  <c r="W380" i="125"/>
  <c r="T394" i="125"/>
  <c r="T382" i="125"/>
  <c r="T384" i="125"/>
  <c r="W390" i="125"/>
  <c r="Z384" i="125"/>
  <c r="T360" i="125"/>
  <c r="AF385" i="125"/>
  <c r="AJ385" i="125" s="1"/>
  <c r="Z382" i="125"/>
  <c r="Z380" i="125"/>
  <c r="AF382" i="125"/>
  <c r="AJ382" i="125" s="1"/>
  <c r="W381" i="125"/>
  <c r="T386" i="125"/>
  <c r="T389" i="125"/>
  <c r="T375" i="125"/>
  <c r="W387" i="125"/>
  <c r="AF392" i="125"/>
  <c r="AJ392" i="125" s="1"/>
  <c r="T361" i="125"/>
  <c r="W360" i="125"/>
  <c r="AJ360" i="125" s="1"/>
  <c r="T393" i="125"/>
  <c r="T381" i="125"/>
  <c r="W362" i="125"/>
  <c r="W386" i="125"/>
  <c r="AF378" i="125"/>
  <c r="AJ378" i="125" s="1"/>
  <c r="Z381" i="125"/>
  <c r="W392" i="125"/>
  <c r="AF386" i="125"/>
  <c r="AJ386" i="125" s="1"/>
  <c r="Z376" i="125"/>
  <c r="Z393" i="125"/>
  <c r="T385" i="125"/>
  <c r="T379" i="125"/>
  <c r="T362" i="125"/>
  <c r="Z379" i="125"/>
  <c r="AF376" i="125"/>
  <c r="W361" i="125"/>
  <c r="AJ361" i="125" s="1"/>
  <c r="Z360" i="125"/>
  <c r="AF388" i="125"/>
  <c r="AJ388" i="125" s="1"/>
  <c r="Z392" i="125"/>
  <c r="W379" i="125"/>
  <c r="Z386" i="125"/>
  <c r="AF393" i="125"/>
  <c r="AJ393" i="125" s="1"/>
  <c r="AF381" i="125"/>
  <c r="AJ381" i="125" s="1"/>
  <c r="AF383" i="125"/>
  <c r="AJ383" i="125" s="1"/>
  <c r="T391" i="125"/>
  <c r="AF380" i="125"/>
  <c r="AJ380" i="125" s="1"/>
  <c r="T392" i="125"/>
  <c r="T376" i="125"/>
  <c r="Z362" i="125"/>
  <c r="W391" i="125"/>
  <c r="AF384" i="125"/>
  <c r="AJ384" i="125" s="1"/>
  <c r="Z387" i="125"/>
  <c r="W382" i="125"/>
  <c r="AF394" i="125"/>
  <c r="AJ394" i="125" s="1"/>
  <c r="T388" i="125"/>
  <c r="X37" i="134"/>
  <c r="M18" i="134" s="1"/>
  <c r="AO360" i="125" l="1"/>
  <c r="AO361" i="125"/>
  <c r="AJ376" i="125"/>
  <c r="AO376" i="125" s="1"/>
  <c r="AJ362" i="125"/>
  <c r="AO362" i="125" s="1"/>
  <c r="S17" i="134"/>
  <c r="D17" i="134"/>
  <c r="J19" i="134"/>
  <c r="P19" i="134"/>
  <c r="P18" i="134"/>
  <c r="G19" i="134"/>
  <c r="J18" i="134"/>
  <c r="S16" i="134"/>
  <c r="M16" i="134"/>
  <c r="S18" i="134"/>
  <c r="D16" i="134"/>
  <c r="M17" i="134"/>
  <c r="D19" i="134"/>
  <c r="P17" i="134"/>
  <c r="J16" i="134"/>
  <c r="G16" i="134"/>
  <c r="X28" i="134"/>
  <c r="G17" i="134"/>
  <c r="P16" i="134"/>
  <c r="S19" i="134"/>
  <c r="J17" i="134"/>
  <c r="M19" i="134"/>
  <c r="D18" i="134"/>
  <c r="G18" i="134"/>
  <c r="AO396" i="125" l="1"/>
  <c r="AO401" i="125" s="1"/>
  <c r="AO402" i="1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 Whittingstall</author>
  </authors>
  <commentList>
    <comment ref="D6" authorId="0" shapeId="0" xr:uid="{D34AA75C-ABA9-4F55-9824-6E24A094535C}">
      <text>
        <r>
          <rPr>
            <sz val="9"/>
            <color indexed="81"/>
            <rFont val="Tahoma"/>
            <family val="2"/>
          </rPr>
          <t>Do not remove this blank row!</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<sst xmlns="http://schemas.openxmlformats.org/spreadsheetml/2006/main" count="4593" uniqueCount="2458">
  <si>
    <t xml:space="preserve">  Assessment date</t>
  </si>
  <si>
    <t xml:space="preserve">  User ID</t>
  </si>
  <si>
    <t>Number of pays</t>
  </si>
  <si>
    <t>Annual base</t>
  </si>
  <si>
    <t>Annual total</t>
  </si>
  <si>
    <t>Taxable</t>
  </si>
  <si>
    <t>Gross</t>
  </si>
  <si>
    <t>Monthly</t>
  </si>
  <si>
    <t>Fortnightly</t>
  </si>
  <si>
    <t>No</t>
  </si>
  <si>
    <t>Weekly</t>
  </si>
  <si>
    <t>PAYG</t>
  </si>
  <si>
    <t>Yes</t>
  </si>
  <si>
    <t>Pre-tax deductions required for servicing?</t>
  </si>
  <si>
    <t>Lookup</t>
  </si>
  <si>
    <t>Value</t>
  </si>
  <si>
    <t>Income</t>
  </si>
  <si>
    <t>Tax</t>
  </si>
  <si>
    <t>Tax rate</t>
  </si>
  <si>
    <t>Tax constant</t>
  </si>
  <si>
    <t>Threshold</t>
  </si>
  <si>
    <t>Income Threshold</t>
  </si>
  <si>
    <t>Equivalent Net income thresholds &gt;?</t>
  </si>
  <si>
    <t>Medicare</t>
  </si>
  <si>
    <t>Dependants</t>
  </si>
  <si>
    <t>Other</t>
  </si>
  <si>
    <t>Min</t>
  </si>
  <si>
    <t>Max</t>
  </si>
  <si>
    <t>Single</t>
  </si>
  <si>
    <t>JointSpouse</t>
  </si>
  <si>
    <t>JointOthers</t>
  </si>
  <si>
    <t>Marital Status</t>
  </si>
  <si>
    <t>Income Band</t>
  </si>
  <si>
    <t>Applicant 1</t>
  </si>
  <si>
    <t>Applicant 2</t>
  </si>
  <si>
    <t>Applicant 3</t>
  </si>
  <si>
    <t>Applicant 4</t>
  </si>
  <si>
    <t>Applicant 5</t>
  </si>
  <si>
    <t>Applicant 6</t>
  </si>
  <si>
    <t>Band Difference</t>
  </si>
  <si>
    <t>2nd Band</t>
  </si>
  <si>
    <t>Extrapolated HEM</t>
  </si>
  <si>
    <t>Standard</t>
  </si>
  <si>
    <t>Postcode</t>
  </si>
  <si>
    <t>Rental income</t>
  </si>
  <si>
    <t xml:space="preserve">New loan amount </t>
  </si>
  <si>
    <t>Interest rate</t>
  </si>
  <si>
    <t>Overdraft</t>
  </si>
  <si>
    <t>Will the applicant rent, board or, live with parents post settlement?</t>
  </si>
  <si>
    <t>Groceries</t>
  </si>
  <si>
    <t>Transport</t>
  </si>
  <si>
    <t xml:space="preserve"> </t>
  </si>
  <si>
    <t>Gross Non-Base</t>
  </si>
  <si>
    <t>Gross Bonus</t>
  </si>
  <si>
    <t>Gross Rent</t>
  </si>
  <si>
    <t>Frequency</t>
  </si>
  <si>
    <t>Account number</t>
  </si>
  <si>
    <t xml:space="preserve">Annual interest </t>
  </si>
  <si>
    <t>Rental Income Tax Deduction</t>
  </si>
  <si>
    <t>Shading</t>
  </si>
  <si>
    <t>Shaded</t>
  </si>
  <si>
    <t>N/A</t>
  </si>
  <si>
    <t>Private schooling and tuition costs</t>
  </si>
  <si>
    <t>Other regular and recurring expenses</t>
  </si>
  <si>
    <t>Effective Date</t>
  </si>
  <si>
    <t>Table 1 (Single)</t>
  </si>
  <si>
    <t>Annual Income</t>
  </si>
  <si>
    <t>ROA_Single_0</t>
  </si>
  <si>
    <t>Rest of Australia 0</t>
  </si>
  <si>
    <t>Band</t>
  </si>
  <si>
    <t>ROA_Single_1</t>
  </si>
  <si>
    <t>Rest of Australia 1</t>
  </si>
  <si>
    <t>A</t>
  </si>
  <si>
    <t>ROA_Single_2</t>
  </si>
  <si>
    <t>Rest of Australia 2</t>
  </si>
  <si>
    <t>B</t>
  </si>
  <si>
    <t>ROA_Single_3</t>
  </si>
  <si>
    <t>Rest of Australia 3</t>
  </si>
  <si>
    <t>C</t>
  </si>
  <si>
    <t>ROA_Single_4</t>
  </si>
  <si>
    <t>Rest of Australia 4</t>
  </si>
  <si>
    <t>D</t>
  </si>
  <si>
    <t>ROA_Single_5</t>
  </si>
  <si>
    <t>Rest of Australia 5</t>
  </si>
  <si>
    <t>E</t>
  </si>
  <si>
    <t>ROA_Single_6</t>
  </si>
  <si>
    <t>Rest of Australia 6</t>
  </si>
  <si>
    <t>F</t>
  </si>
  <si>
    <t>ROA_Single_7</t>
  </si>
  <si>
    <t>Rest of Australia 7</t>
  </si>
  <si>
    <t>G</t>
  </si>
  <si>
    <t>ROA_Single_8</t>
  </si>
  <si>
    <t>Rest of Australia 8</t>
  </si>
  <si>
    <t>H</t>
  </si>
  <si>
    <t>ROA_Single_9</t>
  </si>
  <si>
    <t>Rest of Australia 9</t>
  </si>
  <si>
    <t>I</t>
  </si>
  <si>
    <t>ROA_Single_10+</t>
  </si>
  <si>
    <t>Rest of Australia 10+</t>
  </si>
  <si>
    <t>J</t>
  </si>
  <si>
    <t>Remote_Single_0</t>
  </si>
  <si>
    <t>Remote Locations 0</t>
  </si>
  <si>
    <t>K</t>
  </si>
  <si>
    <t>Remote_Single_1</t>
  </si>
  <si>
    <t>Remote Locations 1</t>
  </si>
  <si>
    <t>L</t>
  </si>
  <si>
    <t>Remote_Single_2</t>
  </si>
  <si>
    <t>Remote Locations 2</t>
  </si>
  <si>
    <t>M</t>
  </si>
  <si>
    <t>Remote_Single_3</t>
  </si>
  <si>
    <t>Remote Locations 3</t>
  </si>
  <si>
    <t>N</t>
  </si>
  <si>
    <t>Remote_Single_4</t>
  </si>
  <si>
    <t>Remote Locations 4</t>
  </si>
  <si>
    <t>O</t>
  </si>
  <si>
    <t>Remote_Single_5</t>
  </si>
  <si>
    <t>Remote Locations 5</t>
  </si>
  <si>
    <t>Remote_Single_6</t>
  </si>
  <si>
    <t>Remote Locations 6</t>
  </si>
  <si>
    <t>Remote_Single_7</t>
  </si>
  <si>
    <t>Remote Locations 7</t>
  </si>
  <si>
    <t>R</t>
  </si>
  <si>
    <t>Remote_Single_8</t>
  </si>
  <si>
    <t>Remote Locations 8</t>
  </si>
  <si>
    <t>Remote_Single_9</t>
  </si>
  <si>
    <t>Remote Locations 9</t>
  </si>
  <si>
    <t>Remote_Single_10+</t>
  </si>
  <si>
    <t>Remote Locations 10+</t>
  </si>
  <si>
    <t>Table 2 (Joint)</t>
  </si>
  <si>
    <t>ROA_JointOthers_0</t>
  </si>
  <si>
    <t>ROA_JointOthers_1</t>
  </si>
  <si>
    <t>ROA_JointOthers_2</t>
  </si>
  <si>
    <t>ROA_JointOthers_3</t>
  </si>
  <si>
    <t>ROA_JointOthers_4</t>
  </si>
  <si>
    <t>ROA_JointOthers_5</t>
  </si>
  <si>
    <t>ROA_JointOthers_6</t>
  </si>
  <si>
    <t>ROA_JointOthers_7</t>
  </si>
  <si>
    <t>ROA_JointOthers_8</t>
  </si>
  <si>
    <t>ROA_JointOthers_9</t>
  </si>
  <si>
    <t>ROA_JointOthers_10+</t>
  </si>
  <si>
    <t>Remote_JointOthers_0</t>
  </si>
  <si>
    <t>Remote_JointOthers_1</t>
  </si>
  <si>
    <t>Remote_JointOthers_2</t>
  </si>
  <si>
    <t>Remote_JointOthers_3</t>
  </si>
  <si>
    <t>Remote_JointOthers_4</t>
  </si>
  <si>
    <t>Remote_JointOthers_5</t>
  </si>
  <si>
    <t>Remote_JointOthers_6</t>
  </si>
  <si>
    <t>Remote_JointOthers_7</t>
  </si>
  <si>
    <t>Remote_JointOthers_8</t>
  </si>
  <si>
    <t>Remote_JointOthers_9</t>
  </si>
  <si>
    <t>Remote_JointOthers_10+</t>
  </si>
  <si>
    <t>Table 3 (Joint with Spouse)</t>
  </si>
  <si>
    <t>ROA_JointSpouse_0</t>
  </si>
  <si>
    <t>ROA_JointSpouse_1</t>
  </si>
  <si>
    <t>ROA_JointSpouse_2</t>
  </si>
  <si>
    <t>ROA_JointSpouse_3</t>
  </si>
  <si>
    <t>ROA_JointSpouse_4</t>
  </si>
  <si>
    <t>ROA_JointSpouse_5</t>
  </si>
  <si>
    <t>ROA_JointSpouse_6</t>
  </si>
  <si>
    <t>ROA_JointSpouse_7</t>
  </si>
  <si>
    <t>ROA_JointSpouse_8</t>
  </si>
  <si>
    <t>ROA_JointSpouse_9</t>
  </si>
  <si>
    <t>ROA_JointSpouse_10+</t>
  </si>
  <si>
    <t>Remote_JointSpouse_0</t>
  </si>
  <si>
    <t>Remote_JointSpouse_1</t>
  </si>
  <si>
    <t>Remote_JointSpouse_2</t>
  </si>
  <si>
    <t>Remote_JointSpouse_3</t>
  </si>
  <si>
    <t>Remote_JointSpouse_4</t>
  </si>
  <si>
    <t>Remote_JointSpouse_5</t>
  </si>
  <si>
    <t>Remote_JointSpouse_6</t>
  </si>
  <si>
    <t>Remote_JointSpouse_7</t>
  </si>
  <si>
    <t>Remote_JointSpouse_8</t>
  </si>
  <si>
    <t>Remote_JointSpouse_9</t>
  </si>
  <si>
    <t>Remote_JointSpouse_10+</t>
  </si>
  <si>
    <t>Very Remote Australia</t>
  </si>
  <si>
    <t>Remote Australia</t>
  </si>
  <si>
    <t>LVR</t>
  </si>
  <si>
    <t>Remaining liabilities</t>
  </si>
  <si>
    <t>Starting LVR</t>
  </si>
  <si>
    <t>LVR %</t>
  </si>
  <si>
    <t>Peak LVR</t>
  </si>
  <si>
    <t>End LVR</t>
  </si>
  <si>
    <t>Social Security</t>
  </si>
  <si>
    <t>Notional Rent</t>
  </si>
  <si>
    <t>Spouse</t>
  </si>
  <si>
    <t>Rent</t>
  </si>
  <si>
    <t>Calculation</t>
  </si>
  <si>
    <t>Constants</t>
  </si>
  <si>
    <t>Total Gross Base</t>
  </si>
  <si>
    <t>Rate</t>
  </si>
  <si>
    <t>Carried Amount</t>
  </si>
  <si>
    <t>Threshold Min</t>
  </si>
  <si>
    <t>Threshold Max</t>
  </si>
  <si>
    <t>Income Tax</t>
  </si>
  <si>
    <t>Medicare Rate</t>
  </si>
  <si>
    <t>Max Threshold</t>
  </si>
  <si>
    <t>Rank Income Thresholds (Tax and Medicare combined)</t>
  </si>
  <si>
    <t>Income Tax Rates</t>
  </si>
  <si>
    <t>Medicare Levy Rates</t>
  </si>
  <si>
    <t>Non-Base Income Shading</t>
  </si>
  <si>
    <t>Bonus Income Shading</t>
  </si>
  <si>
    <t>Income Band Lookup</t>
  </si>
  <si>
    <t>HEM Lookup Key</t>
  </si>
  <si>
    <t>Location</t>
  </si>
  <si>
    <t>Applicant Income</t>
  </si>
  <si>
    <t>Household Key</t>
  </si>
  <si>
    <t>Joint Application</t>
  </si>
  <si>
    <t>HEM Mid Point</t>
  </si>
  <si>
    <t>HEM Data Tables</t>
  </si>
  <si>
    <t>HEM Marital Status</t>
  </si>
  <si>
    <t>HEM Settings</t>
  </si>
  <si>
    <t>Setting Name</t>
  </si>
  <si>
    <t>HEM Calculations and Data</t>
  </si>
  <si>
    <t>Income Calculations</t>
  </si>
  <si>
    <t>Applicant List</t>
  </si>
  <si>
    <t>Applicant Name</t>
  </si>
  <si>
    <t>Applicant Number</t>
  </si>
  <si>
    <t>Applicant Spouse</t>
  </si>
  <si>
    <t>Applicant 1 Spouse</t>
  </si>
  <si>
    <t>Applicant 2 Spouse</t>
  </si>
  <si>
    <t>Applicant 3 Spouse</t>
  </si>
  <si>
    <t>Applicant 4 Spouse</t>
  </si>
  <si>
    <t>Possible Spouse List</t>
  </si>
  <si>
    <t>Applicant 5 Spouse</t>
  </si>
  <si>
    <t>Applicant 6 Spouse</t>
  </si>
  <si>
    <t>Location, Dependants</t>
  </si>
  <si>
    <t>Casual Income Shading</t>
  </si>
  <si>
    <t>Gross Casual Base</t>
  </si>
  <si>
    <t>Net Investment Income</t>
  </si>
  <si>
    <t>Social Security Income Shading</t>
  </si>
  <si>
    <t>HEM Income</t>
  </si>
  <si>
    <t>Permanent Income Shading</t>
  </si>
  <si>
    <t>Gross Permanent Base</t>
  </si>
  <si>
    <t xml:space="preserve">Apply dynamic calculation </t>
  </si>
  <si>
    <t>Message</t>
  </si>
  <si>
    <t>Sales Equity Max</t>
  </si>
  <si>
    <t>Loan Type</t>
  </si>
  <si>
    <t>Interest Capitalised (ICAP)</t>
  </si>
  <si>
    <t>Cycles per Year</t>
  </si>
  <si>
    <t>Days per Cycle</t>
  </si>
  <si>
    <t>IncomeCycle</t>
  </si>
  <si>
    <t>Remote Postcode Lookup</t>
  </si>
  <si>
    <t>ABS classification</t>
  </si>
  <si>
    <r>
      <rPr>
        <b/>
        <sz val="8"/>
        <color theme="3"/>
        <rFont val="Arial"/>
        <family val="2"/>
      </rPr>
      <t>Source</t>
    </r>
    <r>
      <rPr>
        <sz val="8"/>
        <color theme="3"/>
        <rFont val="Arial"/>
        <family val="2"/>
      </rPr>
      <t>: 'Correspondence, 2017 Postcode to 2016 Remoteness Area’ zip file</t>
    </r>
  </si>
  <si>
    <t xml:space="preserve">  https://www.abs.gov.au/AUSSTATS</t>
  </si>
  <si>
    <t>DisplayValue</t>
  </si>
  <si>
    <t>MaritalStatus</t>
  </si>
  <si>
    <t>Casual Verification Type</t>
  </si>
  <si>
    <t>Yes / No</t>
  </si>
  <si>
    <t>Submission date</t>
  </si>
  <si>
    <t>Employer name</t>
  </si>
  <si>
    <t>Rental Income Verification</t>
  </si>
  <si>
    <t>Applicant name</t>
  </si>
  <si>
    <t>Customer Declared Expenses</t>
  </si>
  <si>
    <t>New loan amount requested</t>
  </si>
  <si>
    <t>Property 1</t>
  </si>
  <si>
    <t>Property 2</t>
  </si>
  <si>
    <t>Market value</t>
  </si>
  <si>
    <t>Lending value @</t>
  </si>
  <si>
    <t>Lending value available</t>
  </si>
  <si>
    <t>Security type</t>
  </si>
  <si>
    <t>Limited guarantee amount</t>
  </si>
  <si>
    <t>LVR Required</t>
  </si>
  <si>
    <t>Loans</t>
  </si>
  <si>
    <t>Security</t>
  </si>
  <si>
    <t>Total</t>
  </si>
  <si>
    <t>Maximum Loan Amount</t>
  </si>
  <si>
    <t>Difference</t>
  </si>
  <si>
    <t>Loan Amount Requested</t>
  </si>
  <si>
    <t>Loan Amount Calculator</t>
  </si>
  <si>
    <t>LVR Calculator</t>
  </si>
  <si>
    <t>Total market value</t>
  </si>
  <si>
    <t>Security value available</t>
  </si>
  <si>
    <t>Loan(s) outstanding</t>
  </si>
  <si>
    <t>20% Buffer</t>
  </si>
  <si>
    <t>Remaining lending value in non guarantee properties</t>
  </si>
  <si>
    <t>Starting loans</t>
  </si>
  <si>
    <t>Starting security</t>
  </si>
  <si>
    <t>Peak security</t>
  </si>
  <si>
    <t>End debt</t>
  </si>
  <si>
    <t>End security</t>
  </si>
  <si>
    <t>Contract price</t>
  </si>
  <si>
    <t>Purchase costs</t>
  </si>
  <si>
    <t>Cash contribution</t>
  </si>
  <si>
    <t>Social security</t>
  </si>
  <si>
    <t>Investment property costs</t>
  </si>
  <si>
    <t>Borrowing capacity</t>
  </si>
  <si>
    <t>Weeks to annualise</t>
  </si>
  <si>
    <t>Gross annual income</t>
  </si>
  <si>
    <t>Public or government primary &amp; secondary education costs</t>
  </si>
  <si>
    <t>Primary residence costs (including insurance)</t>
  </si>
  <si>
    <t>Childcare fees</t>
  </si>
  <si>
    <t>Higher education &amp; vocational training costs</t>
  </si>
  <si>
    <t>Recreation / entertainment</t>
  </si>
  <si>
    <t>Telephone / internet / pay TV / media streaming subscriptions</t>
  </si>
  <si>
    <t>Clothing / personal care</t>
  </si>
  <si>
    <t>Secondary residence / holiday home costs (including insurance)</t>
  </si>
  <si>
    <t>Insurance (life, health, sickness and personal accident)</t>
  </si>
  <si>
    <t>Previous year</t>
  </si>
  <si>
    <t>Rental properties</t>
  </si>
  <si>
    <t>Bonus income</t>
  </si>
  <si>
    <t>Non-base income</t>
  </si>
  <si>
    <t>Base income</t>
  </si>
  <si>
    <t>Other Income Verification</t>
  </si>
  <si>
    <t>Income type</t>
  </si>
  <si>
    <t>Returns from self managed super fund</t>
  </si>
  <si>
    <t>Tax treatment</t>
  </si>
  <si>
    <t>Latest year</t>
  </si>
  <si>
    <t>Untaxed</t>
  </si>
  <si>
    <t xml:space="preserve">Income </t>
  </si>
  <si>
    <t xml:space="preserve">Net income </t>
  </si>
  <si>
    <t>Annuity / private pension / superannuation</t>
  </si>
  <si>
    <t>Annual income</t>
  </si>
  <si>
    <t>Other Income Tax Treatment</t>
  </si>
  <si>
    <t>TaxTreatment</t>
  </si>
  <si>
    <t>Concessional</t>
  </si>
  <si>
    <t>SMSF</t>
  </si>
  <si>
    <t>Investment</t>
  </si>
  <si>
    <t>SocialSecurity</t>
  </si>
  <si>
    <t>ChildSupport</t>
  </si>
  <si>
    <t>Gross Investment Income</t>
  </si>
  <si>
    <t>Tax rates effective date</t>
  </si>
  <si>
    <t>STSL rates effective date</t>
  </si>
  <si>
    <t>HEM effective date</t>
  </si>
  <si>
    <t xml:space="preserve">  Version release date</t>
  </si>
  <si>
    <t xml:space="preserve">  Calculator version</t>
  </si>
  <si>
    <t>Residing with spouse</t>
  </si>
  <si>
    <t>Not married</t>
  </si>
  <si>
    <t>MinThreshold</t>
  </si>
  <si>
    <t>MaxThreshold</t>
  </si>
  <si>
    <t>Min Threshold</t>
  </si>
  <si>
    <t>Reside with Spouse</t>
  </si>
  <si>
    <t>H1</t>
  </si>
  <si>
    <t>Household HEM</t>
  </si>
  <si>
    <t>Household Expenses</t>
  </si>
  <si>
    <t>Assessed Expenses</t>
  </si>
  <si>
    <t>HEM &amp; Expense Calculations</t>
  </si>
  <si>
    <t>Comparable Expenses</t>
  </si>
  <si>
    <t>Serviceability summary</t>
  </si>
  <si>
    <t>Living expenses</t>
  </si>
  <si>
    <t>Other expenses</t>
  </si>
  <si>
    <t>Total expenses</t>
  </si>
  <si>
    <t>Overall position</t>
  </si>
  <si>
    <t>Available for debt service</t>
  </si>
  <si>
    <t>Pre-loan surplus</t>
  </si>
  <si>
    <t>Post-loan surplus</t>
  </si>
  <si>
    <t>Total assessable income</t>
  </si>
  <si>
    <t>Serviceability measures</t>
  </si>
  <si>
    <t>Debt to income ratio (DTI)</t>
  </si>
  <si>
    <t>Term (years)</t>
  </si>
  <si>
    <t>Debt service coverage ratio (DSC)</t>
  </si>
  <si>
    <t>Income for HEM</t>
  </si>
  <si>
    <t>Income for DTI</t>
  </si>
  <si>
    <t>Buffer Rate</t>
  </si>
  <si>
    <t>Monthly expenses comparable to HEM</t>
  </si>
  <si>
    <t>Monthly expenses not comparable to HEM</t>
  </si>
  <si>
    <t>Post settlement postcode</t>
  </si>
  <si>
    <t>Marital status</t>
  </si>
  <si>
    <t>Commitments</t>
  </si>
  <si>
    <t>Existing commitments</t>
  </si>
  <si>
    <t>Application information</t>
  </si>
  <si>
    <t>Shared commitment rule type</t>
  </si>
  <si>
    <t>Commitment type</t>
  </si>
  <si>
    <t>Customer declared repayment</t>
  </si>
  <si>
    <t>Total borrower count</t>
  </si>
  <si>
    <t>Non-applicant spouse asset ownership</t>
  </si>
  <si>
    <t>Non-applicant spouse liability ownership</t>
  </si>
  <si>
    <t>Non-applicant spouse borrower count</t>
  </si>
  <si>
    <t>Serviceability repayment</t>
  </si>
  <si>
    <t>CommitmentType</t>
  </si>
  <si>
    <t>Monthly fee</t>
  </si>
  <si>
    <t>If the customer is reducing the credit limit for any revolving line of credit liability ensure that the customer has been advised to check that this product will allow a reduction in limit to the value proposed.</t>
  </si>
  <si>
    <t>Applicant borrower count</t>
  </si>
  <si>
    <t>Default</t>
  </si>
  <si>
    <t>Study and training support loan</t>
  </si>
  <si>
    <t>Credit card</t>
  </si>
  <si>
    <t>Store account</t>
  </si>
  <si>
    <t>Margin loan</t>
  </si>
  <si>
    <t>Line of credit (secured)</t>
  </si>
  <si>
    <t>Business/commercial loan</t>
  </si>
  <si>
    <t>Personal loan</t>
  </si>
  <si>
    <t>Hire purchase/leasing</t>
  </si>
  <si>
    <t>STSL Thresholds</t>
  </si>
  <si>
    <t>UseBalance</t>
  </si>
  <si>
    <t>UseDeclaredRepayment</t>
  </si>
  <si>
    <t>UseTerm</t>
  </si>
  <si>
    <t>UseInterestRate</t>
  </si>
  <si>
    <t>Line of credit (unsecured)</t>
  </si>
  <si>
    <t>Serviceability ownership</t>
  </si>
  <si>
    <t>RepaymentCalcType</t>
  </si>
  <si>
    <t>RateCalcType</t>
  </si>
  <si>
    <t>BalanceCalcType</t>
  </si>
  <si>
    <t>State</t>
  </si>
  <si>
    <t>Property value</t>
  </si>
  <si>
    <t>StateCode</t>
  </si>
  <si>
    <t>NSW</t>
  </si>
  <si>
    <t>VIC</t>
  </si>
  <si>
    <t>QLD</t>
  </si>
  <si>
    <t>SA</t>
  </si>
  <si>
    <t>WA</t>
  </si>
  <si>
    <t>TAS</t>
  </si>
  <si>
    <t>NT</t>
  </si>
  <si>
    <t>ACT</t>
  </si>
  <si>
    <t>Foreign</t>
  </si>
  <si>
    <t>PrestigePropertyValue</t>
  </si>
  <si>
    <t>High Risk Postcodes</t>
  </si>
  <si>
    <t>RiskPostcode</t>
  </si>
  <si>
    <t>Shaded annual rent</t>
  </si>
  <si>
    <t>Applicant 1 shaded rent</t>
  </si>
  <si>
    <t>Applicant 2 shaded rent</t>
  </si>
  <si>
    <t>Applicant 3 shaded rent</t>
  </si>
  <si>
    <t>Applicant 4 shaded rent</t>
  </si>
  <si>
    <t>Applicant 5 shaded rent</t>
  </si>
  <si>
    <t>Applicant 6 shaded rent</t>
  </si>
  <si>
    <t>Applicant 1 gross rent</t>
  </si>
  <si>
    <t>Applicant 2 gross rent</t>
  </si>
  <si>
    <t>Applicant 3 gross rent</t>
  </si>
  <si>
    <t>Applicant 4 gross rent</t>
  </si>
  <si>
    <t>Applicant 5 gross rent</t>
  </si>
  <si>
    <t>Applicant 6 gross rent</t>
  </si>
  <si>
    <t>Annual rent</t>
  </si>
  <si>
    <t>Ownership percentage</t>
  </si>
  <si>
    <t>DTIDebtCalcType</t>
  </si>
  <si>
    <t>Investment Income Shading</t>
  </si>
  <si>
    <t>Bonus Income Annual Threshold</t>
  </si>
  <si>
    <t>Remaining borrowing capacity</t>
  </si>
  <si>
    <t>Total borrowing capacity</t>
  </si>
  <si>
    <t xml:space="preserve">Actual interest rate </t>
  </si>
  <si>
    <t>Applicant 1 RITD</t>
  </si>
  <si>
    <t>Applicant 2 RITD</t>
  </si>
  <si>
    <t>Applicant 3 RITD</t>
  </si>
  <si>
    <t>Applicant 4 RITD</t>
  </si>
  <si>
    <t>Applicant 5 RITD</t>
  </si>
  <si>
    <t>Applicant 6 RITD</t>
  </si>
  <si>
    <t>Decision</t>
  </si>
  <si>
    <t>Maximum DTI Ratio</t>
  </si>
  <si>
    <t>High Risk DTI Ratio</t>
  </si>
  <si>
    <t>Test</t>
  </si>
  <si>
    <t>Min DSC Required</t>
  </si>
  <si>
    <t>DSC Variables</t>
  </si>
  <si>
    <t>DSC Min</t>
  </si>
  <si>
    <t>Foreign Income</t>
  </si>
  <si>
    <t>Serviceability result</t>
  </si>
  <si>
    <t>Display Text</t>
  </si>
  <si>
    <t>Expenses and commitments</t>
  </si>
  <si>
    <t>New commitments</t>
  </si>
  <si>
    <t>Clothing / personal care - Clothing, footwear, cosmetics, personal care.</t>
  </si>
  <si>
    <t>Stipend Income Shading</t>
  </si>
  <si>
    <t>Foreign pension</t>
  </si>
  <si>
    <t>Stipend</t>
  </si>
  <si>
    <t>Foreign Pension Income Shading</t>
  </si>
  <si>
    <t xml:space="preserve">Foreign Pension </t>
  </si>
  <si>
    <t>ForeignPension</t>
  </si>
  <si>
    <t>Child Support Income Shading</t>
  </si>
  <si>
    <t>Child Support</t>
  </si>
  <si>
    <t>Untaxed Stipend</t>
  </si>
  <si>
    <t>Applicant details</t>
  </si>
  <si>
    <t>Other income</t>
  </si>
  <si>
    <t>Applicant expenses</t>
  </si>
  <si>
    <t>Number of applicants</t>
  </si>
  <si>
    <t>Building loan / owner builder</t>
  </si>
  <si>
    <t>Lenders mortgage insurance (LMI) required</t>
  </si>
  <si>
    <t>Monthly income summary</t>
  </si>
  <si>
    <t>Applicant liability ownership</t>
  </si>
  <si>
    <t>Applicant asset ownership</t>
  </si>
  <si>
    <t>Monthly rent / board</t>
  </si>
  <si>
    <t>Total monthly non-comparable expenses</t>
  </si>
  <si>
    <t>Total monthly comparable expenses</t>
  </si>
  <si>
    <t>Insurance (excluding life, health, sickness and personal accident)</t>
  </si>
  <si>
    <t>Medical / health (excluding health insurance)</t>
  </si>
  <si>
    <t>Applicant spouse</t>
  </si>
  <si>
    <t>Assessed rent / board</t>
  </si>
  <si>
    <t>Rent / board payments</t>
  </si>
  <si>
    <t>Serviceability Calculator</t>
  </si>
  <si>
    <t>Interest and Dividend Shading</t>
  </si>
  <si>
    <t>Married / De facto</t>
  </si>
  <si>
    <t>MCAR</t>
  </si>
  <si>
    <t>MCIR</t>
  </si>
  <si>
    <t>Floor Rate - MCAR</t>
  </si>
  <si>
    <t>Floor Rate - MCIR</t>
  </si>
  <si>
    <t>Floor rate</t>
  </si>
  <si>
    <t>Mortgage - OO</t>
  </si>
  <si>
    <t>Mortgage - IPL</t>
  </si>
  <si>
    <t>Loan type</t>
  </si>
  <si>
    <t>62 day buy now pay later</t>
  </si>
  <si>
    <t>Non-applicant</t>
  </si>
  <si>
    <t>Employer 1</t>
  </si>
  <si>
    <t>Employer 2</t>
  </si>
  <si>
    <t>Employer 3</t>
  </si>
  <si>
    <t>Employer 4</t>
  </si>
  <si>
    <t>Employer 5</t>
  </si>
  <si>
    <t>Non-applicant spouse income</t>
  </si>
  <si>
    <t>Income verification</t>
  </si>
  <si>
    <t>Employment basis</t>
  </si>
  <si>
    <t>Income verification type</t>
  </si>
  <si>
    <t>Do you have a YTD income amount?</t>
  </si>
  <si>
    <t>Has base income increased?</t>
  </si>
  <si>
    <t>Base income increase type</t>
  </si>
  <si>
    <t>YTD payslip</t>
  </si>
  <si>
    <t>Pay cycle</t>
  </si>
  <si>
    <t>Current year</t>
  </si>
  <si>
    <t>Prior year</t>
  </si>
  <si>
    <t>Annual non-base</t>
  </si>
  <si>
    <t>Annual bonus</t>
  </si>
  <si>
    <t>Is YTD amount taxable or gross?</t>
  </si>
  <si>
    <t>Last payslip with lower base pay</t>
  </si>
  <si>
    <t>Pay date</t>
  </si>
  <si>
    <t>at lower base</t>
  </si>
  <si>
    <t>No YTD payslip</t>
  </si>
  <si>
    <t>Payslip 1</t>
  </si>
  <si>
    <t>Payslip 2</t>
  </si>
  <si>
    <t>Assessed annual base</t>
  </si>
  <si>
    <t>Account credits</t>
  </si>
  <si>
    <t>Annualised net pay</t>
  </si>
  <si>
    <t>Salary sacrifice</t>
  </si>
  <si>
    <t>Previous year income summary</t>
  </si>
  <si>
    <t>Previous year annual income</t>
  </si>
  <si>
    <t>Annualised gross pay</t>
  </si>
  <si>
    <t xml:space="preserve">Interest only term </t>
  </si>
  <si>
    <t>Assessment rate (SAR)</t>
  </si>
  <si>
    <t>Permanent income</t>
  </si>
  <si>
    <t>Employment details</t>
  </si>
  <si>
    <t>Base income increase types</t>
  </si>
  <si>
    <t>IncreaseType</t>
  </si>
  <si>
    <t>Increase in current FY</t>
  </si>
  <si>
    <t>Increase in prior FY</t>
  </si>
  <si>
    <t>Increase in transition</t>
  </si>
  <si>
    <t>Net income to Gross calculations</t>
  </si>
  <si>
    <t>1No1</t>
  </si>
  <si>
    <t>1No2</t>
  </si>
  <si>
    <t>1No3</t>
  </si>
  <si>
    <t>1No4</t>
  </si>
  <si>
    <t>1No5</t>
  </si>
  <si>
    <t>1Yes1</t>
  </si>
  <si>
    <t>1Yes2</t>
  </si>
  <si>
    <t>1Yes3</t>
  </si>
  <si>
    <t>1Yes4</t>
  </si>
  <si>
    <t>1Yes5</t>
  </si>
  <si>
    <t>2No1</t>
  </si>
  <si>
    <t>2No2</t>
  </si>
  <si>
    <t>2No3</t>
  </si>
  <si>
    <t>2No4</t>
  </si>
  <si>
    <t>2No5</t>
  </si>
  <si>
    <t>2Yes1</t>
  </si>
  <si>
    <t>2Yes2</t>
  </si>
  <si>
    <t>2Yes3</t>
  </si>
  <si>
    <t>2Yes4</t>
  </si>
  <si>
    <t>2Yes5</t>
  </si>
  <si>
    <t>3No1</t>
  </si>
  <si>
    <t>3No2</t>
  </si>
  <si>
    <t>3No3</t>
  </si>
  <si>
    <t>3No4</t>
  </si>
  <si>
    <t>3No5</t>
  </si>
  <si>
    <t>3Yes1</t>
  </si>
  <si>
    <t>3Yes2</t>
  </si>
  <si>
    <t>3Yes3</t>
  </si>
  <si>
    <t>3Yes4</t>
  </si>
  <si>
    <t>3Yes5</t>
  </si>
  <si>
    <t>4No1</t>
  </si>
  <si>
    <t>4No2</t>
  </si>
  <si>
    <t>4No3</t>
  </si>
  <si>
    <t>4No4</t>
  </si>
  <si>
    <t>4No5</t>
  </si>
  <si>
    <t>4Yes1</t>
  </si>
  <si>
    <t>4Yes2</t>
  </si>
  <si>
    <t>4Yes3</t>
  </si>
  <si>
    <t>4Yes4</t>
  </si>
  <si>
    <t>4Yes5</t>
  </si>
  <si>
    <t>5No1</t>
  </si>
  <si>
    <t>5No2</t>
  </si>
  <si>
    <t>5No3</t>
  </si>
  <si>
    <t>5No4</t>
  </si>
  <si>
    <t>5No5</t>
  </si>
  <si>
    <t>5Yes1</t>
  </si>
  <si>
    <t>5Yes2</t>
  </si>
  <si>
    <t>5Yes3</t>
  </si>
  <si>
    <t>5Yes4</t>
  </si>
  <si>
    <t>5Yes5</t>
  </si>
  <si>
    <t>6No1</t>
  </si>
  <si>
    <t>6No2</t>
  </si>
  <si>
    <t>6No3</t>
  </si>
  <si>
    <t>6No4</t>
  </si>
  <si>
    <t>6No5</t>
  </si>
  <si>
    <t>6Yes1</t>
  </si>
  <si>
    <t>6Yes2</t>
  </si>
  <si>
    <t>6Yes3</t>
  </si>
  <si>
    <t>6Yes4</t>
  </si>
  <si>
    <t>6Yes5</t>
  </si>
  <si>
    <t>AICEmployerIncomeID</t>
  </si>
  <si>
    <t>AICApplicantID</t>
  </si>
  <si>
    <t>AICJobID</t>
  </si>
  <si>
    <t>AICEmploymentBasis</t>
  </si>
  <si>
    <t>AICEmployerName</t>
  </si>
  <si>
    <t>AICForeignIncomeFlag</t>
  </si>
  <si>
    <t>AICPermanentIncomeVerificationType</t>
  </si>
  <si>
    <t>AICPermanentNonBaseIncomeFlag</t>
  </si>
  <si>
    <t>AICPermanentYTDPayslipFlag</t>
  </si>
  <si>
    <t>AICPermanentBaseIncomeIncreaseFlag</t>
  </si>
  <si>
    <t>AICPermanentBaseIncomeIncreaseType</t>
  </si>
  <si>
    <t>AICPermanentYTDPayCycle</t>
  </si>
  <si>
    <t>AICPermanentYTDStartPayDate</t>
  </si>
  <si>
    <t>AICPermanentYTDEndPayDate</t>
  </si>
  <si>
    <t>AICPermanentYTDBasePay</t>
  </si>
  <si>
    <t>AICPermanentYTDTotalPay</t>
  </si>
  <si>
    <t>AICPermanentYTDTotalPayTaxStatus</t>
  </si>
  <si>
    <t>AICPermanentYTDStartPayDatePY</t>
  </si>
  <si>
    <t>AICPermanentYTDEndPayDatePY</t>
  </si>
  <si>
    <t>AICPermanentYTDBasePayPY</t>
  </si>
  <si>
    <t>AICPermanentYTDTotalPayPY</t>
  </si>
  <si>
    <t>AICPermanentYTDTotalPayTaxStatusPY</t>
  </si>
  <si>
    <t>AICPermanentYTDLowerBasePayLastDate</t>
  </si>
  <si>
    <t>AICPermanentYTDLowerBasePay</t>
  </si>
  <si>
    <t>AICPermanentYTDLowerBasePayLastDatePY</t>
  </si>
  <si>
    <t>AICPermanentYTDLowerBasePayPY</t>
  </si>
  <si>
    <t>AICPermanentNoYTDPayCycle</t>
  </si>
  <si>
    <t>AICPermanentNoYTDPayslip1BasePay</t>
  </si>
  <si>
    <t>AICPermanentNoYTDPayslip1TotalPay</t>
  </si>
  <si>
    <t>AICPermanentNoYTDPayslip2BasePay</t>
  </si>
  <si>
    <t>AICPermanentNoYTDPayslip2TotalPay</t>
  </si>
  <si>
    <t>AICPermanentAccountCreditPayCycle</t>
  </si>
  <si>
    <t>AICPermanentPreTaxDeductionFlag</t>
  </si>
  <si>
    <t>AICPermanentPreTaxDeduction</t>
  </si>
  <si>
    <t>AICPermanentLowerPreTaxDeduction</t>
  </si>
  <si>
    <t>AICPermanentPreTaxDeductionPY</t>
  </si>
  <si>
    <t>AICPermanentLowerPreTaxDeductionPY</t>
  </si>
  <si>
    <t>AICPermanentPYIncomeSummaryAmount</t>
  </si>
  <si>
    <t>AICCasualIncomeVerificationType</t>
  </si>
  <si>
    <t>AICCasualYTDPayCycle</t>
  </si>
  <si>
    <t>AICCasualYTDAnnualiseWeeks</t>
  </si>
  <si>
    <t>AICCasualYTDStartPayDate</t>
  </si>
  <si>
    <t>AICCasualYTDEndPayDate</t>
  </si>
  <si>
    <t>AICCasualYTDTotalPay</t>
  </si>
  <si>
    <t>AICCasualYTDTotalPayTaxStatus</t>
  </si>
  <si>
    <t>AICCasualNoYTDPayCycle</t>
  </si>
  <si>
    <t>AICCasualNoYTDAnnualiseWeeks</t>
  </si>
  <si>
    <t>AICCasualNoYTDGrossPay1</t>
  </si>
  <si>
    <t>AICCasualNoYTDGrossPay2</t>
  </si>
  <si>
    <t>AICCasualAccountCreditPayCycle</t>
  </si>
  <si>
    <t>AICCasualAccountCreditAnnualiseWeeks</t>
  </si>
  <si>
    <t>AICCasualAccountCreditDeposit1</t>
  </si>
  <si>
    <t>AICCasualAccountCreditDeposit2</t>
  </si>
  <si>
    <t>AICCasualPreTaxDeductionFlag</t>
  </si>
  <si>
    <t>AICCasualPreTaxDeduction</t>
  </si>
  <si>
    <t>AICCasualPYIncomeSummaryAmount</t>
  </si>
  <si>
    <t>AICSpouseIncomeFlag</t>
  </si>
  <si>
    <t>AICAssessedAnnualBase</t>
  </si>
  <si>
    <t>AICAssessedAnnualNonBase</t>
  </si>
  <si>
    <t>AICAssessedAnnualBonus</t>
  </si>
  <si>
    <t>TotalAssessedAnnualIncome</t>
  </si>
  <si>
    <t>Foreign income included</t>
  </si>
  <si>
    <t>Assessed net income</t>
  </si>
  <si>
    <t>OICSpouseIncomeFlag</t>
  </si>
  <si>
    <t>OICApplicantID</t>
  </si>
  <si>
    <t>OICOtherIncomeID</t>
  </si>
  <si>
    <t>Non-applicant spouse</t>
  </si>
  <si>
    <t>AssessedAnnualNonBaseShaded</t>
  </si>
  <si>
    <t>First day of financial year or employment start date</t>
  </si>
  <si>
    <t>Family employee</t>
  </si>
  <si>
    <t>Emergency services</t>
  </si>
  <si>
    <t>1No</t>
  </si>
  <si>
    <t>2No</t>
  </si>
  <si>
    <t>3No</t>
  </si>
  <si>
    <t>4No</t>
  </si>
  <si>
    <t>5No</t>
  </si>
  <si>
    <t>6No</t>
  </si>
  <si>
    <t>1Yes</t>
  </si>
  <si>
    <t>2Yes</t>
  </si>
  <si>
    <t>3Yes</t>
  </si>
  <si>
    <t>4Yes</t>
  </si>
  <si>
    <t>5Yes</t>
  </si>
  <si>
    <t>6Yes</t>
  </si>
  <si>
    <t>Total PAYG+Casual</t>
  </si>
  <si>
    <t>Rental income tax deductions (RITD)</t>
  </si>
  <si>
    <t>Investment property costs (IPC)</t>
  </si>
  <si>
    <t>Version release date</t>
  </si>
  <si>
    <t>Version Text</t>
  </si>
  <si>
    <t>Internal version number</t>
  </si>
  <si>
    <t>External version number</t>
  </si>
  <si>
    <t>OICSocialSecurityUnshadedIncome</t>
  </si>
  <si>
    <t>OICForeignPensionUnshadedIncome</t>
  </si>
  <si>
    <t>OICChildSupportUnshadedIncome</t>
  </si>
  <si>
    <t>OICStipendUnshadedIncome</t>
  </si>
  <si>
    <t>OICSelfManagedSuperFundFrequencyPY</t>
  </si>
  <si>
    <t>OICSelfManagedSuperFundPY</t>
  </si>
  <si>
    <t>OICSelfManagedSuperFundFrequencyLY</t>
  </si>
  <si>
    <t>OICSelfManagedSuperFundLY</t>
  </si>
  <si>
    <t>OICSelfManagedSuperFundNetPY</t>
  </si>
  <si>
    <t>OICSelfManagedSuperFundNetLY</t>
  </si>
  <si>
    <t>OICInvestmentTaxTreatment</t>
  </si>
  <si>
    <t>OICInvestmentFrequencyLY</t>
  </si>
  <si>
    <t>OICInvestmentLY</t>
  </si>
  <si>
    <t>OICInvestmentNetLY</t>
  </si>
  <si>
    <t>OICSocialSecurityFrequencyLY</t>
  </si>
  <si>
    <t>OICSocialSecurityLY</t>
  </si>
  <si>
    <t>OICForeignPensionLY</t>
  </si>
  <si>
    <t>OICChildSupportFrequencyLY</t>
  </si>
  <si>
    <t>OICChildSupportLY</t>
  </si>
  <si>
    <t>OICStipendFrequencyLY</t>
  </si>
  <si>
    <t>OICStipendLY</t>
  </si>
  <si>
    <t>OICForeignPensionFrequencyLY</t>
  </si>
  <si>
    <t>OICInvestmentUnshadedIncome</t>
  </si>
  <si>
    <t>OICSelfManagedSuperFundUnshadedIncome</t>
  </si>
  <si>
    <t>OICSelfManagedSuperFundAnnualIncomeLY</t>
  </si>
  <si>
    <t>OICSelfManagedSuperFundAnnualIncomePY</t>
  </si>
  <si>
    <t>AICPermanentYTDPayslipCoverageMonthsCY</t>
  </si>
  <si>
    <t>AICPermanentYTDCurrentYearLessThanPriorYearCheck</t>
  </si>
  <si>
    <t>AICPermanentYTDBaseIncomeIncreasePolicyCheck</t>
  </si>
  <si>
    <t>AICPermanentYTDBaseIncomeIncreaseValidityCheck</t>
  </si>
  <si>
    <t>Has base income increased in the current year where YTD covers a minimum of 3 months, or current or prior year where current YTD does not cover a minimum of 3 months?</t>
  </si>
  <si>
    <t>AICPermanentGroup2RequiredCoverage</t>
  </si>
  <si>
    <t>Group 1 documents</t>
  </si>
  <si>
    <t>Annualised income results</t>
  </si>
  <si>
    <t>Current Year</t>
  </si>
  <si>
    <t>Prior Year</t>
  </si>
  <si>
    <t>Prior year (Group 2)</t>
  </si>
  <si>
    <t>YTD salary sacrifice amount</t>
  </si>
  <si>
    <t>YTD base pay</t>
  </si>
  <si>
    <t>Group 2 documents</t>
  </si>
  <si>
    <t>Most recent deposit</t>
  </si>
  <si>
    <t>Previous deposit</t>
  </si>
  <si>
    <t>Current Financial Year Start</t>
  </si>
  <si>
    <t>Current Financial Year End</t>
  </si>
  <si>
    <t>UsagePeriodText</t>
  </si>
  <si>
    <t>HelpText</t>
  </si>
  <si>
    <t>only applies when most recent payslip covers a minimum 3 months YTD and base income increased within the current financial year</t>
  </si>
  <si>
    <t>Applies when most recent payslip covers a minimum 3 months YTD and base income increased within the current financial year</t>
  </si>
  <si>
    <t>only applies when most recent payslip pay date is between 1 July and 30 September, and YTD does not cover 3 months. Base income increased in the prior financial year.</t>
  </si>
  <si>
    <t>Applies when most recent payslip pay date is between 1 July and 30 September, and YTD does not cover 3 months. Base income increased in the prior financial year</t>
  </si>
  <si>
    <t>only applies when most recent payslip pay date is between 1 July and 30 September, and YTD does not cover 3 months. Base income increased on 1 July.</t>
  </si>
  <si>
    <t>Applies when most recent payslip pay date is between 1 July and 30 September, and YTD does not cover 3 months. Base income increased on 1 July</t>
  </si>
  <si>
    <t>only applies when most recent payslip pay date is between 1 July and 30 September, and YTD does not cover 3 months. Base income increased between 2 July and 30 September</t>
  </si>
  <si>
    <t>Applies when most recent payslip pay date is between 1 July and 30 September, and YTD does not cover 3 months. Base income increased between 2 July and 30 September</t>
  </si>
  <si>
    <t>Permanent Verification Type</t>
  </si>
  <si>
    <t>Verification Type</t>
  </si>
  <si>
    <t>Income Cycle Data</t>
  </si>
  <si>
    <t>Semi-monthly</t>
  </si>
  <si>
    <t>Daily</t>
  </si>
  <si>
    <t>Quarterly</t>
  </si>
  <si>
    <t>Yearly</t>
  </si>
  <si>
    <t>Employer income frequency</t>
  </si>
  <si>
    <t>This tool provides estimates for serviceability and borrowing capacity.  It does not replace the formal serviceability assessment for applications, and is not a guarantee a particular loan amount will be approved.</t>
  </si>
  <si>
    <t>SelfManagedSuperFundAnnualIncomeGrossPY</t>
  </si>
  <si>
    <t>SelfManagedSuperFundAnnualIncomeGrossLY</t>
  </si>
  <si>
    <t>SelfManagedSuperFundHEMIncome</t>
  </si>
  <si>
    <t>InvestmentHEMIncome</t>
  </si>
  <si>
    <t>Permanent</t>
  </si>
  <si>
    <t>Casual</t>
  </si>
  <si>
    <t>Gross SMSF Income</t>
  </si>
  <si>
    <t>Net SMSF Income</t>
  </si>
  <si>
    <t>OICSelfManagedSuperFundTaxTreatment</t>
  </si>
  <si>
    <t>Unshaded</t>
  </si>
  <si>
    <t>Applicant</t>
  </si>
  <si>
    <t>Non-Applicant Spouse</t>
  </si>
  <si>
    <t>Application reference</t>
  </si>
  <si>
    <t>Child support / alimony</t>
  </si>
  <si>
    <t>HasDataFlag</t>
  </si>
  <si>
    <t>Taxable Shaded Income</t>
  </si>
  <si>
    <t>Taxable Shaded Income (inc deductions)</t>
  </si>
  <si>
    <t>Net Shaded Income for Servicing</t>
  </si>
  <si>
    <t>Foreign Income Flag</t>
  </si>
  <si>
    <t>Taxable Net Income</t>
  </si>
  <si>
    <t>Medicare levy</t>
  </si>
  <si>
    <t>Total Tax Deductions</t>
  </si>
  <si>
    <t>Gross Annualised Income</t>
  </si>
  <si>
    <t>Applicant 6 non-applicant spouse gross rent</t>
  </si>
  <si>
    <t>Applicant 1 non-applicant spouse gross rent</t>
  </si>
  <si>
    <t>Applicant 2 non-applicant spouse gross rent</t>
  </si>
  <si>
    <t>Applicant 3 non-applicant spouse gross rent</t>
  </si>
  <si>
    <t>Applicant 4 non-applicant spouse gross rent</t>
  </si>
  <si>
    <t>Applicant 5 non-applicant spouse gross rent</t>
  </si>
  <si>
    <t>Applicant 1 non-applicant spouse shaded rent</t>
  </si>
  <si>
    <t>Applicant 2 non-applicant spouse shaded rent</t>
  </si>
  <si>
    <t>Applicant 3 non-applicant spouse shaded rent</t>
  </si>
  <si>
    <t>Applicant 4 non-applicant spouse shaded rent</t>
  </si>
  <si>
    <t>Applicant 5 non-applicant spouse shaded rent</t>
  </si>
  <si>
    <t>Applicant 6 non-applicant spouse shaded rent</t>
  </si>
  <si>
    <t>Household Income Apportioning Ratio</t>
  </si>
  <si>
    <t>Self-employed income</t>
  </si>
  <si>
    <t>Taxable Income from NoA</t>
  </si>
  <si>
    <t>Assessed annual income</t>
  </si>
  <si>
    <t>Total taxable income</t>
  </si>
  <si>
    <t>Self-employed Income Shading</t>
  </si>
  <si>
    <t>Self-employed growth threshold</t>
  </si>
  <si>
    <t>Gross Self-employed Base</t>
  </si>
  <si>
    <t>Applicant HEM Value</t>
  </si>
  <si>
    <t>Apportioned HEM Value</t>
  </si>
  <si>
    <t>Household expense apportioning ratio</t>
  </si>
  <si>
    <t>Apportioned monthly comparable expenses</t>
  </si>
  <si>
    <t>Apportioned monthly non-comparable expenses</t>
  </si>
  <si>
    <t>Apportioned assessed rent / board</t>
  </si>
  <si>
    <t>Applicant annual income</t>
  </si>
  <si>
    <t>New lending</t>
  </si>
  <si>
    <t>Decline</t>
  </si>
  <si>
    <t>Second real mortgage calculator</t>
  </si>
  <si>
    <t>Family security guarantee calculator</t>
  </si>
  <si>
    <t>Applicant's properties</t>
  </si>
  <si>
    <t>Guarantor's security</t>
  </si>
  <si>
    <t>Existing lending</t>
  </si>
  <si>
    <t>Rate increases by</t>
  </si>
  <si>
    <t>Increase after months</t>
  </si>
  <si>
    <t>Child support / maintenance</t>
  </si>
  <si>
    <t>Selling</t>
  </si>
  <si>
    <t>Bridging loan amount</t>
  </si>
  <si>
    <t>Loan 1</t>
  </si>
  <si>
    <t>Loan 2</t>
  </si>
  <si>
    <t>Loan 3</t>
  </si>
  <si>
    <t>Valuation</t>
  </si>
  <si>
    <t>Interest calculations</t>
  </si>
  <si>
    <t>Loan balance</t>
  </si>
  <si>
    <t>Action</t>
  </si>
  <si>
    <t>Costs to purchase a new property</t>
  </si>
  <si>
    <t>Mandatory field check</t>
  </si>
  <si>
    <t>AICCasualYTDNumberofPays</t>
  </si>
  <si>
    <t>LMI data validation checks</t>
  </si>
  <si>
    <t>Check</t>
  </si>
  <si>
    <t>Tax and medicare rate effective date</t>
  </si>
  <si>
    <t>Non-shareable commitments</t>
  </si>
  <si>
    <t>Shareable commitments</t>
  </si>
  <si>
    <t>Existing Shareable Commitment Types</t>
  </si>
  <si>
    <t>Existing Non-Shareable Commitment Types</t>
  </si>
  <si>
    <t>Clear - bridging loan</t>
  </si>
  <si>
    <t>Clear - sale funds</t>
  </si>
  <si>
    <t>Portability</t>
  </si>
  <si>
    <t>Family tax benefit part A</t>
  </si>
  <si>
    <t>Family tax benefit part B</t>
  </si>
  <si>
    <t>FamilyTaxBenefitA</t>
  </si>
  <si>
    <t>FamilyTaxBenefitB</t>
  </si>
  <si>
    <t>Number of dependants under 8</t>
  </si>
  <si>
    <t>Number of dependants under 11</t>
  </si>
  <si>
    <t>Family Tax Benefit part A</t>
  </si>
  <si>
    <t>Family Tax Benefit part B</t>
  </si>
  <si>
    <t>OICFamilyTaxBenefitAUnshadedIncome</t>
  </si>
  <si>
    <t>OICFamilyTaxBenefitBUnshadedIncome</t>
  </si>
  <si>
    <t>Additional family tax benefit information</t>
  </si>
  <si>
    <t>FTBDependantsUnder8</t>
  </si>
  <si>
    <t>FTBDependantsUnder11</t>
  </si>
  <si>
    <t>OICFamilyTaxBenefitAFrequencyLY</t>
  </si>
  <si>
    <t>OICFamilyTaxBenefitALY</t>
  </si>
  <si>
    <t>OICFamilyTaxBenefitBFrequencyLY</t>
  </si>
  <si>
    <t>OICFamilyTaxBenefitBLY</t>
  </si>
  <si>
    <t>OICFamilyTaxBenefitDependantsUnder8</t>
  </si>
  <si>
    <t>OICFamilyTaxBenefitDependantsUnder11</t>
  </si>
  <si>
    <t>Total number of dependants</t>
  </si>
  <si>
    <t>No action</t>
  </si>
  <si>
    <t>OICStipendTaxTreatment</t>
  </si>
  <si>
    <t>Taxed Stipend</t>
  </si>
  <si>
    <t>Portfolio loan - sub account</t>
  </si>
  <si>
    <t>Portfolio account number</t>
  </si>
  <si>
    <r>
      <t xml:space="preserve">Term
</t>
    </r>
    <r>
      <rPr>
        <sz val="8"/>
        <color theme="3"/>
        <rFont val="Arial"/>
        <family val="2"/>
      </rPr>
      <t>(years)</t>
    </r>
  </si>
  <si>
    <t>Rental income tax deduction</t>
  </si>
  <si>
    <t>Number of employers</t>
  </si>
  <si>
    <t>Casual income</t>
  </si>
  <si>
    <t>Property ownership has been over-allocated. Please review the highlighted values and correct the ownership percentage.</t>
  </si>
  <si>
    <t>AssessmentType</t>
  </si>
  <si>
    <t>Fast track</t>
  </si>
  <si>
    <t>Fully verified</t>
  </si>
  <si>
    <t>BusinessType</t>
  </si>
  <si>
    <t>CalculationMethod</t>
  </si>
  <si>
    <t>Medico</t>
  </si>
  <si>
    <t>Latest</t>
  </si>
  <si>
    <t>SE Income Check Messages</t>
  </si>
  <si>
    <t>MessageID</t>
  </si>
  <si>
    <t>MessageType</t>
  </si>
  <si>
    <t>MessageText</t>
  </si>
  <si>
    <t>Warning</t>
  </si>
  <si>
    <t>Error</t>
  </si>
  <si>
    <t>Tax Years</t>
  </si>
  <si>
    <t>YearsFromNow</t>
  </si>
  <si>
    <t>Sole trader</t>
  </si>
  <si>
    <t>Partnership</t>
  </si>
  <si>
    <t>Company</t>
  </si>
  <si>
    <t>Trust</t>
  </si>
  <si>
    <t>LatestTaxYear</t>
  </si>
  <si>
    <t>PreviousTaxYear</t>
  </si>
  <si>
    <t>Assessment type</t>
  </si>
  <si>
    <t>SEAApplicantID</t>
  </si>
  <si>
    <t>SEASpouseIncomeFlag</t>
  </si>
  <si>
    <t>SEATaxableIncomeNoAPY</t>
  </si>
  <si>
    <t>SEATaxableIncomeNoALY</t>
  </si>
  <si>
    <t>SEATotalTaxableIncomePY</t>
  </si>
  <si>
    <t>SEATotalTaxableIncomeLY</t>
  </si>
  <si>
    <t>SEATotalAssessedIncome</t>
  </si>
  <si>
    <t>Fast track assessment</t>
  </si>
  <si>
    <t>Business type</t>
  </si>
  <si>
    <t>Assessment policy</t>
  </si>
  <si>
    <t>ABN / ACN</t>
  </si>
  <si>
    <t>Business name</t>
  </si>
  <si>
    <t>Self-employed Business Verification</t>
  </si>
  <si>
    <t>Self-employed business</t>
  </si>
  <si>
    <t>Income assessment policy</t>
  </si>
  <si>
    <t>Associated applicants</t>
  </si>
  <si>
    <t>Net profit (loss)</t>
  </si>
  <si>
    <t>Current interest / lease costs (tax deductible)</t>
  </si>
  <si>
    <t>Current interest (non-deductible)</t>
  </si>
  <si>
    <t>Current principal loan repayments</t>
  </si>
  <si>
    <t>Business liabilities</t>
  </si>
  <si>
    <t>SEAAssessmentType</t>
  </si>
  <si>
    <t>Financial year</t>
  </si>
  <si>
    <t>SEAFinancialYearLY</t>
  </si>
  <si>
    <t>SEAFinancialYearPY</t>
  </si>
  <si>
    <t>Applicant Data</t>
  </si>
  <si>
    <t>Business Data</t>
  </si>
  <si>
    <t>SEAApplicantDataID</t>
  </si>
  <si>
    <t>SEBBusinessID</t>
  </si>
  <si>
    <t>SEBBusinessType</t>
  </si>
  <si>
    <t>SEBAssessmentType</t>
  </si>
  <si>
    <t>SEBBusinessName</t>
  </si>
  <si>
    <t>SEBBusinessNumber</t>
  </si>
  <si>
    <t>SEBAssociatedFlagApp1</t>
  </si>
  <si>
    <t>SEBUndistributedProfitFlagApp1</t>
  </si>
  <si>
    <t>SEBFinancialYearLY</t>
  </si>
  <si>
    <t>SEBAssociatedFlagApp2</t>
  </si>
  <si>
    <t>SEBAssociatedFlagApp3</t>
  </si>
  <si>
    <t>SEBAssociatedFlagApp4</t>
  </si>
  <si>
    <t>SEBAssociatedFlagApp5</t>
  </si>
  <si>
    <t>SEBAssociatedFlagApp6</t>
  </si>
  <si>
    <t>SEBUndistributedProfitFlagApp2</t>
  </si>
  <si>
    <t>SEBUndistributedProfitFlagApp3</t>
  </si>
  <si>
    <t>SEBUndistributedProfitFlagApp4</t>
  </si>
  <si>
    <t>SEBUndistributedProfitFlagApp5</t>
  </si>
  <si>
    <t>SEBUndistributedProfitFlagApp6</t>
  </si>
  <si>
    <t>SEBNetProfitLossLY</t>
  </si>
  <si>
    <t>SEBTaxRateLY</t>
  </si>
  <si>
    <t>SEBNetProfitLossPY</t>
  </si>
  <si>
    <t>SEBTaxRatePY</t>
  </si>
  <si>
    <t>Assessment Type</t>
  </si>
  <si>
    <t>Next BusinessID</t>
  </si>
  <si>
    <t>Notes</t>
  </si>
  <si>
    <t>Self-employed Business Liabilities</t>
  </si>
  <si>
    <t>Liabilities</t>
  </si>
  <si>
    <t>Self-employed Rental Income Verification</t>
  </si>
  <si>
    <t>Outstanding
balance</t>
  </si>
  <si>
    <t>Current
limit</t>
  </si>
  <si>
    <t>Monthly repayment</t>
  </si>
  <si>
    <t>LiabilityType</t>
  </si>
  <si>
    <t>Remaining
P &amp; I term
(months)</t>
  </si>
  <si>
    <t>Property details</t>
  </si>
  <si>
    <t>Weeks property was rented</t>
  </si>
  <si>
    <t>Annualised income</t>
  </si>
  <si>
    <t>Property expenses</t>
  </si>
  <si>
    <t>Business liability data</t>
  </si>
  <si>
    <t>SELBusinessID</t>
  </si>
  <si>
    <t>Business rental income data</t>
  </si>
  <si>
    <t>SERBusinessID</t>
  </si>
  <si>
    <t>Calculation type applied</t>
  </si>
  <si>
    <t>+</t>
  </si>
  <si>
    <t>-</t>
  </si>
  <si>
    <t>Net rental income adjustment</t>
  </si>
  <si>
    <t>SEBNetRentalIncomeAdjustmentLY</t>
  </si>
  <si>
    <t>SEBNetRentalIncomeAdjustmentPY</t>
  </si>
  <si>
    <t>SEBInterestLeaseCostTaxDeductibleLY</t>
  </si>
  <si>
    <t>SEBInterestLeaseCostTaxDeductiblePY</t>
  </si>
  <si>
    <t>SEBInterestNonDeductibleLY</t>
  </si>
  <si>
    <t>SEBInterestNonDeductiblePY</t>
  </si>
  <si>
    <t>SEBPrincipalLoanRepaymentsLY</t>
  </si>
  <si>
    <t>SEBPrincipalLoanRepaymentsPY</t>
  </si>
  <si>
    <t>AssociatedApplicantCount</t>
  </si>
  <si>
    <t>Outstanding balance</t>
  </si>
  <si>
    <t>Business liability type</t>
  </si>
  <si>
    <t>Income adjustment</t>
  </si>
  <si>
    <t>SERPropertyDetail</t>
  </si>
  <si>
    <t>Business Additional Rent Shading</t>
  </si>
  <si>
    <t>Latest year net rental adjustment</t>
  </si>
  <si>
    <t>Previous year net rental adjustment</t>
  </si>
  <si>
    <t>SERPropertyValue</t>
  </si>
  <si>
    <t>SERPropertyState</t>
  </si>
  <si>
    <t>SERPropertyPostcode</t>
  </si>
  <si>
    <t>SERPropertyRentedDuringTaxReturnPeriodFlag</t>
  </si>
  <si>
    <t>SERIncomeExpenseFrequency</t>
  </si>
  <si>
    <t>SERPropertyWeeksRentedLY</t>
  </si>
  <si>
    <t>SERPropertyRentalIncomeLY</t>
  </si>
  <si>
    <t>SERPropertyExpensesLY</t>
  </si>
  <si>
    <t>SERRentalIncomeAdjustmentLY</t>
  </si>
  <si>
    <t>SERPropertyWeeksRentedPY</t>
  </si>
  <si>
    <t>SERPropertyRentalIncomePY</t>
  </si>
  <si>
    <t>SERRentalIncomeAdjustmentPY</t>
  </si>
  <si>
    <t>Mortgage</t>
  </si>
  <si>
    <t>Term loan</t>
  </si>
  <si>
    <t>InterestLeaseTaxDeductibleCalcType</t>
  </si>
  <si>
    <t>InterestNonDeductibleCalcType</t>
  </si>
  <si>
    <t>DeductibleInterestBalanceCalcType</t>
  </si>
  <si>
    <t>RepaymentBalanceCalcType</t>
  </si>
  <si>
    <t>Deductible interest balance</t>
  </si>
  <si>
    <t>Repayment balance</t>
  </si>
  <si>
    <t>Portfolio deductible interest</t>
  </si>
  <si>
    <t>Main portfolio indicator</t>
  </si>
  <si>
    <t>Limit</t>
  </si>
  <si>
    <t>Serviceability
assessment
rate (SAR)</t>
  </si>
  <si>
    <t>SELLiabilityType</t>
  </si>
  <si>
    <t>SELLiabilityNotes</t>
  </si>
  <si>
    <t>SELBalance</t>
  </si>
  <si>
    <t>SELLimit</t>
  </si>
  <si>
    <t>SELInterestRate</t>
  </si>
  <si>
    <t>SELRemainingPITermMonths</t>
  </si>
  <si>
    <t>SELMonthlyFee</t>
  </si>
  <si>
    <t>SELDeclaredRepayment</t>
  </si>
  <si>
    <t>SELPortfolioAccountNumber</t>
  </si>
  <si>
    <t>SELAssessmentRate</t>
  </si>
  <si>
    <t>SELInterestLeaseTaxDeductible</t>
  </si>
  <si>
    <t>SELInterestNonDeductible</t>
  </si>
  <si>
    <t>SELPrincipalLoanRepayment</t>
  </si>
  <si>
    <t>Message Type</t>
  </si>
  <si>
    <t>Business adjusted income totals</t>
  </si>
  <si>
    <t>Total PAYG+Casual+Self-employed</t>
  </si>
  <si>
    <t>Self-employed adjusted untaxed income</t>
  </si>
  <si>
    <t>SEBAdjustedTaxableIncomeApp1</t>
  </si>
  <si>
    <t>SEBAdjustedTaxableIncomeApp2</t>
  </si>
  <si>
    <t>SEBAdjustedTaxableIncomeApp3</t>
  </si>
  <si>
    <t>SEBAdjustedTaxableIncomeApp4</t>
  </si>
  <si>
    <t>SEBAdjustedTaxableIncomeApp5</t>
  </si>
  <si>
    <t>SEBAdjustedTaxableIncomeApp6</t>
  </si>
  <si>
    <t>SEBAdjustedUntaxedIncomeApp1</t>
  </si>
  <si>
    <t>SEBAdjustedUntaxedIncomeApp2</t>
  </si>
  <si>
    <t>SEBAdjustedUntaxedIncomeApp3</t>
  </si>
  <si>
    <t>SEBAdjustedUntaxedIncomeApp4</t>
  </si>
  <si>
    <t>SEBAdjustedUntaxedIncomeApp5</t>
  </si>
  <si>
    <t>SEBAdjustedUntaxedIncomeApp6</t>
  </si>
  <si>
    <t>SEBDistributionLYApp1</t>
  </si>
  <si>
    <t>SEBDistributionLYApp2</t>
  </si>
  <si>
    <t>SEBDistributionLYApp3</t>
  </si>
  <si>
    <t>SEBDistributionLYApp4</t>
  </si>
  <si>
    <t>SEBDistributionLYApp5</t>
  </si>
  <si>
    <t>SEBDistributionLYApp6</t>
  </si>
  <si>
    <t>SEBDistributionPercentageLYApp1</t>
  </si>
  <si>
    <t>SEBDistributionPercentageLYApp2</t>
  </si>
  <si>
    <t>SEBDistributionPercentageLYApp3</t>
  </si>
  <si>
    <t>SEBDistributionPercentageLYApp4</t>
  </si>
  <si>
    <t>SEBDistributionPercentageLYApp5</t>
  </si>
  <si>
    <t>SEBDistributionPercentageLYApp6</t>
  </si>
  <si>
    <t>SEBDistributionPYApp1</t>
  </si>
  <si>
    <t>SEBDistributionPYApp2</t>
  </si>
  <si>
    <t>SEBDistributionPYApp3</t>
  </si>
  <si>
    <t>SEBDistributionPYApp4</t>
  </si>
  <si>
    <t>SEBDistributionPYApp5</t>
  </si>
  <si>
    <t>SEBDistributionPYApp6</t>
  </si>
  <si>
    <t>SEBDistributionPercentagePYApp1</t>
  </si>
  <si>
    <t>SEBDistributionPercentagePYApp2</t>
  </si>
  <si>
    <t>SEBDistributionPercentagePYApp3</t>
  </si>
  <si>
    <t>SEBDistributionPercentagePYApp4</t>
  </si>
  <si>
    <t>SEBDistributionPercentagePYApp5</t>
  </si>
  <si>
    <t>SEBDistributionPercentagePYApp6</t>
  </si>
  <si>
    <t>SEBDividendAnnualIncomeApp1</t>
  </si>
  <si>
    <t>SEBDividendAnnualIncomeApp2</t>
  </si>
  <si>
    <t>SEBDividendAnnualIncomeApp3</t>
  </si>
  <si>
    <t>SEBDividendAnnualIncomeApp4</t>
  </si>
  <si>
    <t>SEBDividendAnnualIncomeApp5</t>
  </si>
  <si>
    <t>SEBDividendAnnualIncomeApp6</t>
  </si>
  <si>
    <t>Gross SE Fast track</t>
  </si>
  <si>
    <t>Self-employed rental income LMI records impacted</t>
  </si>
  <si>
    <t>AICPermanentAccountCreditAnnualGrossBase</t>
  </si>
  <si>
    <t>AICCasualAccountCreditAnnualGrossBase</t>
  </si>
  <si>
    <t>Personal loan balloon payment</t>
  </si>
  <si>
    <t>Business Data Count</t>
  </si>
  <si>
    <t>Half-yearly</t>
  </si>
  <si>
    <t>Remaining term calculator</t>
  </si>
  <si>
    <t>Loan end date</t>
  </si>
  <si>
    <t>Interest only period end date</t>
  </si>
  <si>
    <t>PIF remaining term in months</t>
  </si>
  <si>
    <t>Apportioning of household expenses requires referral to credit when foreign income is included</t>
  </si>
  <si>
    <t>Apportioning of shared commitments requires referral to credit when foreign income is included</t>
  </si>
  <si>
    <t>Total remaining term in months</t>
  </si>
  <si>
    <t>Loan start date</t>
  </si>
  <si>
    <t>Loan term in months</t>
  </si>
  <si>
    <t>OR</t>
  </si>
  <si>
    <t>Enter the start date and loan term OR enter the end date of the loan to calculate the remaining term in months</t>
  </si>
  <si>
    <t>Loan value ratio (LVR)</t>
  </si>
  <si>
    <t>Total application security value</t>
  </si>
  <si>
    <t>Total new loans</t>
  </si>
  <si>
    <t>Existing loans secured by same security</t>
  </si>
  <si>
    <t>Total lending secured by securities</t>
  </si>
  <si>
    <t>Application LVR</t>
  </si>
  <si>
    <t>Company tax rate</t>
  </si>
  <si>
    <t>Brand</t>
  </si>
  <si>
    <t>WBC</t>
  </si>
  <si>
    <t>STG</t>
  </si>
  <si>
    <t>BOM</t>
  </si>
  <si>
    <t>BSA</t>
  </si>
  <si>
    <t>Bridging loan ICAP Interest rate buffers</t>
  </si>
  <si>
    <t>BorrowerCount</t>
  </si>
  <si>
    <t>Enter the end date of any interest only period to deduct this from the total remaining term</t>
  </si>
  <si>
    <t>Interest only remaining term in months</t>
  </si>
  <si>
    <t>ICAP buffer</t>
  </si>
  <si>
    <t>ICAPInterestPremiumOver3Months</t>
  </si>
  <si>
    <t>ICAPBufferRate</t>
  </si>
  <si>
    <t>Assessed interest rate</t>
  </si>
  <si>
    <t>Peak debt with ICAP</t>
  </si>
  <si>
    <r>
      <t>Estimated ICAP interest</t>
    </r>
    <r>
      <rPr>
        <vertAlign val="superscript"/>
        <sz val="11"/>
        <color theme="3"/>
        <rFont val="Arial"/>
        <family val="2"/>
      </rPr>
      <t>*</t>
    </r>
  </si>
  <si>
    <r>
      <t>Assessed ICAP interest</t>
    </r>
    <r>
      <rPr>
        <vertAlign val="superscript"/>
        <sz val="11"/>
        <color theme="3"/>
        <rFont val="Arial"/>
        <family val="2"/>
      </rPr>
      <t>^</t>
    </r>
  </si>
  <si>
    <t>Prestige</t>
  </si>
  <si>
    <t>Concentration Risk</t>
  </si>
  <si>
    <t>Prestige Rent Shading</t>
  </si>
  <si>
    <t>Concentration Risk Rent Shading</t>
  </si>
  <si>
    <t>Foreign Rent Shading</t>
  </si>
  <si>
    <t>Shading applied</t>
  </si>
  <si>
    <t>Shading applied reason</t>
  </si>
  <si>
    <t>Extra funds required</t>
  </si>
  <si>
    <t>Total funds required</t>
  </si>
  <si>
    <t>Max bridging loan available</t>
  </si>
  <si>
    <t>ICAP Bridging loan available</t>
  </si>
  <si>
    <t>Channel</t>
  </si>
  <si>
    <t>PY Shading</t>
  </si>
  <si>
    <t>LY Shading</t>
  </si>
  <si>
    <t>PY Shading reason</t>
  </si>
  <si>
    <t>LY Shading reason</t>
  </si>
  <si>
    <t>Bridging loan term (months)</t>
  </si>
  <si>
    <t>Bridging loan</t>
  </si>
  <si>
    <t>Bridging loan interest rate</t>
  </si>
  <si>
    <t>Loan 4</t>
  </si>
  <si>
    <t>Loan 5</t>
  </si>
  <si>
    <t>Sale funds</t>
  </si>
  <si>
    <t>Starting LVR calculations</t>
  </si>
  <si>
    <t>Peak LVR calculations</t>
  </si>
  <si>
    <t>End LVR calculations</t>
  </si>
  <si>
    <t>Collateral 1</t>
  </si>
  <si>
    <t>Collateral 2</t>
  </si>
  <si>
    <t>Collateral 3</t>
  </si>
  <si>
    <t>Collateral 4</t>
  </si>
  <si>
    <t>Collateral 5</t>
  </si>
  <si>
    <t>Current lending for above collateral</t>
  </si>
  <si>
    <t>Current collateral held</t>
  </si>
  <si>
    <t>Residual lending</t>
  </si>
  <si>
    <t>Total residual loans</t>
  </si>
  <si>
    <t>Monthly rental income (unshaded)</t>
  </si>
  <si>
    <t>User ID</t>
  </si>
  <si>
    <t>Date</t>
  </si>
  <si>
    <t>Existing loans to be cleared</t>
  </si>
  <si>
    <t>Reverse mortgage - ICAP</t>
  </si>
  <si>
    <t>Reverse mortgage - IO</t>
  </si>
  <si>
    <t>LVR override calculator</t>
  </si>
  <si>
    <t>CurrencyDisplay</t>
  </si>
  <si>
    <t>Symbol</t>
  </si>
  <si>
    <t>CurrencyCode</t>
  </si>
  <si>
    <t>CurrencyName</t>
  </si>
  <si>
    <t>د.إ</t>
  </si>
  <si>
    <t>AED</t>
  </si>
  <si>
    <t>Emirati Dirham</t>
  </si>
  <si>
    <t>.د.ب</t>
  </si>
  <si>
    <t>BHD</t>
  </si>
  <si>
    <t>Bahrani Dinar</t>
  </si>
  <si>
    <t>$</t>
  </si>
  <si>
    <t>BND</t>
  </si>
  <si>
    <t>Bruneian dollar</t>
  </si>
  <si>
    <t>CAD</t>
  </si>
  <si>
    <t>Canadian dollar</t>
  </si>
  <si>
    <t>CHF</t>
  </si>
  <si>
    <t>Swiss Franc</t>
  </si>
  <si>
    <t>¥</t>
  </si>
  <si>
    <t>CNY</t>
  </si>
  <si>
    <t>Chinese Yuan Renminbi</t>
  </si>
  <si>
    <t>kr</t>
  </si>
  <si>
    <t>DKK</t>
  </si>
  <si>
    <t>€</t>
  </si>
  <si>
    <t>EUR</t>
  </si>
  <si>
    <t>Euro</t>
  </si>
  <si>
    <t>FJD</t>
  </si>
  <si>
    <t>Fijian dollar</t>
  </si>
  <si>
    <t>£</t>
  </si>
  <si>
    <t>GPB</t>
  </si>
  <si>
    <t>Great British Pound</t>
  </si>
  <si>
    <t>HKD</t>
  </si>
  <si>
    <t>Hong Kong dollar</t>
  </si>
  <si>
    <t>Rp</t>
  </si>
  <si>
    <t>IDR</t>
  </si>
  <si>
    <t>Indonesian Rupiah</t>
  </si>
  <si>
    <t>₹</t>
  </si>
  <si>
    <t>INR</t>
  </si>
  <si>
    <t>Indian Rupee</t>
  </si>
  <si>
    <t>JPY</t>
  </si>
  <si>
    <t>Japanese Yen</t>
  </si>
  <si>
    <t>₩</t>
  </si>
  <si>
    <t>KRW</t>
  </si>
  <si>
    <t>South Korean Won</t>
  </si>
  <si>
    <t>د.ك</t>
  </si>
  <si>
    <t>KWD</t>
  </si>
  <si>
    <t>Kuwait Dinar</t>
  </si>
  <si>
    <t>Rs</t>
  </si>
  <si>
    <t>LKR</t>
  </si>
  <si>
    <t>Sri Lankan Rupee</t>
  </si>
  <si>
    <t>MOP$</t>
  </si>
  <si>
    <t>MOP</t>
  </si>
  <si>
    <t>Macau Pataca</t>
  </si>
  <si>
    <t>MUR</t>
  </si>
  <si>
    <t>Mauritian Rupee</t>
  </si>
  <si>
    <t>RM</t>
  </si>
  <si>
    <t>MYR</t>
  </si>
  <si>
    <t>Malaysian Ringgit</t>
  </si>
  <si>
    <t>NOK</t>
  </si>
  <si>
    <t>Norwegian Krone</t>
  </si>
  <si>
    <t>NZD</t>
  </si>
  <si>
    <t>New Zealand dollar</t>
  </si>
  <si>
    <t>﷼</t>
  </si>
  <si>
    <t>OMR</t>
  </si>
  <si>
    <t>Omani Rial</t>
  </si>
  <si>
    <t>PGK</t>
  </si>
  <si>
    <t>Papua New Guinean Kina</t>
  </si>
  <si>
    <t>₱</t>
  </si>
  <si>
    <t>PHP</t>
  </si>
  <si>
    <t>Philippine Peso</t>
  </si>
  <si>
    <t>QAR</t>
  </si>
  <si>
    <t>Qatar Riyal</t>
  </si>
  <si>
    <t>ZAR</t>
  </si>
  <si>
    <t>South African Rand</t>
  </si>
  <si>
    <t>SAR</t>
  </si>
  <si>
    <t>Saudi Arabian Riyal</t>
  </si>
  <si>
    <t>SBD</t>
  </si>
  <si>
    <t>Solomon Island dollar</t>
  </si>
  <si>
    <t>SEK</t>
  </si>
  <si>
    <t>Swedish Krona</t>
  </si>
  <si>
    <t>SGD</t>
  </si>
  <si>
    <t>Singapore dollar</t>
  </si>
  <si>
    <t>฿</t>
  </si>
  <si>
    <t>THB</t>
  </si>
  <si>
    <t>Thai Baht</t>
  </si>
  <si>
    <t>T$</t>
  </si>
  <si>
    <t>TOP</t>
  </si>
  <si>
    <t>Tongan Pa'anga</t>
  </si>
  <si>
    <t>NT$</t>
  </si>
  <si>
    <t>TWD</t>
  </si>
  <si>
    <t>Taiwan New dollar</t>
  </si>
  <si>
    <t>USD</t>
  </si>
  <si>
    <t>United States dollar</t>
  </si>
  <si>
    <t>₫</t>
  </si>
  <si>
    <t>VND</t>
  </si>
  <si>
    <t>Vietnam Dong</t>
  </si>
  <si>
    <t>VT</t>
  </si>
  <si>
    <t>VUV</t>
  </si>
  <si>
    <t>Ni-Vanuatu Vatu</t>
  </si>
  <si>
    <t>WS$</t>
  </si>
  <si>
    <t>WST</t>
  </si>
  <si>
    <t>Samoan Tala</t>
  </si>
  <si>
    <t>I certify:</t>
  </si>
  <si>
    <r>
      <t xml:space="preserve">1. I have supplied an English translation prepared by an </t>
    </r>
    <r>
      <rPr>
        <b/>
        <i/>
        <sz val="11"/>
        <color theme="3"/>
        <rFont val="Arial"/>
        <family val="2"/>
      </rPr>
      <t>accredited NAATI translator.</t>
    </r>
  </si>
  <si>
    <t>Lender / Originator name</t>
  </si>
  <si>
    <t>Contact number</t>
  </si>
  <si>
    <t>Branch name</t>
  </si>
  <si>
    <t>Branch number</t>
  </si>
  <si>
    <t>Most recent Australian tax return and ATO Notice of Assessment</t>
  </si>
  <si>
    <t>YTD Payslip (covering last 2 pay cycles)</t>
  </si>
  <si>
    <t>Currency</t>
  </si>
  <si>
    <t>AUD$</t>
  </si>
  <si>
    <t>Australian Tax return &amp; ATO NoA</t>
  </si>
  <si>
    <t>Pension Income</t>
  </si>
  <si>
    <t>Funds to complete / own contribution validation 
(where directed to complete in CLLP Migrant Lending 2.1.3 - Visa matrix and Applicant via Resident Type matrix)</t>
  </si>
  <si>
    <t>Bank statements in applicant's name</t>
  </si>
  <si>
    <t>Commitments - Foreign Monthly Child Support</t>
  </si>
  <si>
    <t>A copy of the court order or child support agency letter</t>
  </si>
  <si>
    <t>Bank statement or transaction listing</t>
  </si>
  <si>
    <t>Two consecutive payslips</t>
  </si>
  <si>
    <t>Commitments - Foreign Liabilities</t>
  </si>
  <si>
    <t>Statement</t>
  </si>
  <si>
    <t>Transaction Listing</t>
  </si>
  <si>
    <t>Account summary printout</t>
  </si>
  <si>
    <t>Commitments - Foreign Monthly Rental Outgoings</t>
  </si>
  <si>
    <t>Current signed and dated lease/rental agreement</t>
  </si>
  <si>
    <t>Letter from licensed property manager/agent</t>
  </si>
  <si>
    <t>Rental ledger from licensed property manager/agent</t>
  </si>
  <si>
    <t>Foreign currency translation checklist</t>
  </si>
  <si>
    <t>Assessed income in AUD</t>
  </si>
  <si>
    <t>Minimum 3 months consistent salary credits to a bank account</t>
  </si>
  <si>
    <t>Minimum 6 months bank account statements</t>
  </si>
  <si>
    <r>
      <t xml:space="preserve">Other documents </t>
    </r>
    <r>
      <rPr>
        <i/>
        <sz val="10"/>
        <color theme="3"/>
        <rFont val="Arial"/>
        <family val="2"/>
      </rPr>
      <t>(please specify)</t>
    </r>
  </si>
  <si>
    <t>Minimum of 3 months consistent pension credits into a bank account</t>
  </si>
  <si>
    <t>Last two years personal tax returns for all applicants and</t>
  </si>
  <si>
    <t>Last two years trust or company tax returns and financial statements</t>
  </si>
  <si>
    <t>Funds to complete or own contribution required</t>
  </si>
  <si>
    <t>Foreign Limit/Balance (greater of)</t>
  </si>
  <si>
    <t xml:space="preserve">2. Foreign income documents provided have been summarised in the relevant sections below </t>
  </si>
  <si>
    <t>Liability details</t>
  </si>
  <si>
    <t>Rental Income</t>
  </si>
  <si>
    <r>
      <t xml:space="preserve">Signature                      </t>
    </r>
    <r>
      <rPr>
        <i/>
        <sz val="12"/>
        <color theme="9"/>
        <rFont val="Arial"/>
        <family val="2"/>
      </rPr>
      <t xml:space="preserve">  X</t>
    </r>
  </si>
  <si>
    <t>Danish Kroner</t>
  </si>
  <si>
    <t>Check AUD equivalent is equal or greater than the funds to complete</t>
  </si>
  <si>
    <t>Note: If the bank statements provided are not in the name of the applicant(s), lenders are to establish who is the account holder and their relationship to the applicant. The file will require referral to Credit for consideration.</t>
  </si>
  <si>
    <t>Exchange rate not found message</t>
  </si>
  <si>
    <t>Exchange rate not found</t>
  </si>
  <si>
    <t>1. The Foreign Currency Translation Checklist is certified by the person who completes the currency conversion.</t>
  </si>
  <si>
    <t>3. Acceptable currencies are only those listed in the 'Acceptable country / currency list' section of Credit Policy.</t>
  </si>
  <si>
    <t>2. In all cases this document, the original and translated documents, as well as the pdf document, printout or screenshot showing the exchange rate are to be retained with the application.</t>
  </si>
  <si>
    <t xml:space="preserve">Government department letter confirming benefit and payment frequency </t>
  </si>
  <si>
    <t>Document from other financial institution evidencing account details</t>
  </si>
  <si>
    <r>
      <t>Annualised</t>
    </r>
    <r>
      <rPr>
        <b/>
        <sz val="11"/>
        <color theme="3"/>
        <rFont val="Arial"/>
        <family val="2"/>
      </rPr>
      <t xml:space="preserve"> </t>
    </r>
    <r>
      <rPr>
        <sz val="11"/>
        <color theme="3"/>
        <rFont val="Arial"/>
        <family val="2"/>
      </rPr>
      <t>AUD equivalent</t>
    </r>
  </si>
  <si>
    <t>AUD equivalent</t>
  </si>
  <si>
    <t>Monthly AUD equivalent</t>
  </si>
  <si>
    <t>Note: Only base income is acceptable. Any income outside of base income must be referred to Credit for consideration before it can be used for serviceability calculations.</t>
  </si>
  <si>
    <t>Australian Citizens or approved Permanent visa holders,  applicants ordinarily resident in Australia - PAYG Income</t>
  </si>
  <si>
    <t>Australian Citizens or approved Permanent visa holders,  applicants ordinarily resident outside of Australia - PAYG Income</t>
  </si>
  <si>
    <t>Note: Only base income is acceptable. Any income outside of base income must be referred to Credit for consideration before it can be used for serviceability calculations.
         If two salary credits differ the lower amount is to be used to annualise income. If the income amount varies between payslips or credit to account, the lowest value on either the payslips or credits to account are to be accepted.</t>
  </si>
  <si>
    <t>Note: Foreign currency pension received to foreign bank account. If the income amount varies between the government department letter and credits to the bank account, the lowest value on either document is to be used.</t>
  </si>
  <si>
    <r>
      <t xml:space="preserve">Note: Foreign self-employed income is </t>
    </r>
    <r>
      <rPr>
        <b/>
        <sz val="10"/>
        <color rgb="FFC53B00"/>
        <rFont val="Arial"/>
        <family val="2"/>
      </rPr>
      <t>not acceptable</t>
    </r>
    <r>
      <rPr>
        <sz val="10"/>
        <color rgb="FFC53B00"/>
        <rFont val="Arial"/>
        <family val="2"/>
      </rPr>
      <t xml:space="preserve"> and can only be considered by Credit as an exception.</t>
    </r>
  </si>
  <si>
    <t>Note: If two rental payments differ the lower amount is to be used to annualise income.</t>
  </si>
  <si>
    <t>UseLimit</t>
  </si>
  <si>
    <t>Buy now pay later (fixed term)</t>
  </si>
  <si>
    <t>Buy now pay later (revolving term)</t>
  </si>
  <si>
    <t>Current limit</t>
  </si>
  <si>
    <t>Start date</t>
  </si>
  <si>
    <t>Days in year</t>
  </si>
  <si>
    <t>Monthly Fee</t>
  </si>
  <si>
    <t>Month</t>
  </si>
  <si>
    <t>Loan Balance + Fee</t>
  </si>
  <si>
    <t>Daily Rate</t>
  </si>
  <si>
    <t>Month start date</t>
  </si>
  <si>
    <t>Month end date</t>
  </si>
  <si>
    <t>Days</t>
  </si>
  <si>
    <t>Interest</t>
  </si>
  <si>
    <t>Briding loan inc ICAP and monthly fee</t>
  </si>
  <si>
    <t>Bridging loan monthly fee</t>
  </si>
  <si>
    <t>Increase on 1 July</t>
  </si>
  <si>
    <t>* Estimated ICAP interest payable by customer (including fees)</t>
  </si>
  <si>
    <t>^ Assessed ICAP interest based on 12 month loan term with interest rate buffer applied (including fees)</t>
  </si>
  <si>
    <t>Last two years partnership tax returns or</t>
  </si>
  <si>
    <r>
      <t>Annual</t>
    </r>
    <r>
      <rPr>
        <b/>
        <sz val="11"/>
        <color theme="3"/>
        <rFont val="Arial"/>
        <family val="2"/>
      </rPr>
      <t xml:space="preserve"> </t>
    </r>
    <r>
      <rPr>
        <sz val="11"/>
        <color theme="3"/>
        <rFont val="Arial"/>
        <family val="2"/>
      </rPr>
      <t>AUD equivalent</t>
    </r>
  </si>
  <si>
    <r>
      <t xml:space="preserve">Exchange rate override </t>
    </r>
    <r>
      <rPr>
        <sz val="10"/>
        <color theme="3"/>
        <rFont val="Arial"/>
        <family val="2"/>
      </rPr>
      <t>(manual lookup and entry required)</t>
    </r>
  </si>
  <si>
    <t>AICPermanentYTDSalarySacrificeAmountSupported</t>
  </si>
  <si>
    <t>Serviceability calculator</t>
  </si>
  <si>
    <t>Bridging loan calculator</t>
  </si>
  <si>
    <t>Family guarantee calculator</t>
  </si>
  <si>
    <t>LVR calculator</t>
  </si>
  <si>
    <t>Assessment date</t>
  </si>
  <si>
    <t>Base LVR</t>
  </si>
  <si>
    <t>Total LVR</t>
  </si>
  <si>
    <t>LLVR</t>
  </si>
  <si>
    <t>Comments</t>
  </si>
  <si>
    <t>Mortgage insurance is not permitted on deals with Asset/indirect property. Consider a restructure, offer all properties with part allocations as security collateral, or remove the impacted security collateral so there are no part allocations.</t>
  </si>
  <si>
    <t>Is a family guarantee present in the loan structure?</t>
  </si>
  <si>
    <t xml:space="preserve">LMI is not permitted on this loan structure. Consider a restructure e.g. release of the parental guarantee or perhaps remove the supporting security property linked to the debt that was supported by the family guarantee.   </t>
  </si>
  <si>
    <t>With the exception of a spousal guarantee, do any of the debts that are linked to a collateral have a borrower that is not a borrower on the new loan?</t>
  </si>
  <si>
    <t>Without a spousal guarantee, mortgage insurance is not permitted on structures with a borrowing entity (or subset of it) that is not on the new loan(s). Consider a restructure.</t>
  </si>
  <si>
    <t>Debt allocation</t>
  </si>
  <si>
    <t>Collateral 6</t>
  </si>
  <si>
    <t>Collateral 7</t>
  </si>
  <si>
    <t>Collateral 8</t>
  </si>
  <si>
    <t>Collateral 9</t>
  </si>
  <si>
    <t>Collateral 10</t>
  </si>
  <si>
    <t>Collateral 11</t>
  </si>
  <si>
    <t>Collateral 12</t>
  </si>
  <si>
    <t>Collateral 13</t>
  </si>
  <si>
    <t>Collateral 14</t>
  </si>
  <si>
    <t>Collateral 15</t>
  </si>
  <si>
    <t>Collateral 16</t>
  </si>
  <si>
    <t>Collateral 17</t>
  </si>
  <si>
    <t>Collateral 18</t>
  </si>
  <si>
    <t>Collateral 19</t>
  </si>
  <si>
    <t>Collateral 20</t>
  </si>
  <si>
    <t>Address</t>
  </si>
  <si>
    <t>Owner(s)</t>
  </si>
  <si>
    <r>
      <t xml:space="preserve">Interest rate </t>
    </r>
    <r>
      <rPr>
        <sz val="9"/>
        <color theme="3"/>
        <rFont val="Arial"/>
        <family val="2"/>
      </rPr>
      <t>(without buffer)</t>
    </r>
  </si>
  <si>
    <t>Bridging loan with ICAP</t>
  </si>
  <si>
    <t>Security / Asset</t>
  </si>
  <si>
    <t>Borrower(s)</t>
  </si>
  <si>
    <t>Debt allocation area</t>
  </si>
  <si>
    <t>Is the new loan being originated
a bridging loan?</t>
  </si>
  <si>
    <t>LMI Policy Validations</t>
  </si>
  <si>
    <t>Maximum lend</t>
  </si>
  <si>
    <t>Equity remaining</t>
  </si>
  <si>
    <t>Loan account number</t>
  </si>
  <si>
    <t>Higher of balance &amp; limit</t>
  </si>
  <si>
    <t>LMIRequired</t>
  </si>
  <si>
    <t>EquityRemaining</t>
  </si>
  <si>
    <t>CollateralType</t>
  </si>
  <si>
    <t>AmountRemaining</t>
  </si>
  <si>
    <t>BalanceLimit</t>
  </si>
  <si>
    <t>LoanAccountNumber</t>
  </si>
  <si>
    <t>Borrower</t>
  </si>
  <si>
    <t>MarketValue</t>
  </si>
  <si>
    <t>Owner</t>
  </si>
  <si>
    <t>LMICapitalisedPremium</t>
  </si>
  <si>
    <t>NavigationID</t>
  </si>
  <si>
    <t>Name</t>
  </si>
  <si>
    <t>Employer income</t>
  </si>
  <si>
    <t>Remaining term</t>
  </si>
  <si>
    <t>Family guarantee</t>
  </si>
  <si>
    <t>Second real mortgage</t>
  </si>
  <si>
    <t>LVR override</t>
  </si>
  <si>
    <t>Foreign currency</t>
  </si>
  <si>
    <t>Simple LVR</t>
  </si>
  <si>
    <t>Is LMI 
required?</t>
  </si>
  <si>
    <t>Capitalised premium</t>
  </si>
  <si>
    <t>Total security market value</t>
  </si>
  <si>
    <t>Total security exposure</t>
  </si>
  <si>
    <t>Is an asset collateral present in the loan structure?</t>
  </si>
  <si>
    <t>CollateralLVR</t>
  </si>
  <si>
    <t>DisplayYear</t>
  </si>
  <si>
    <t>First Year (Intern)</t>
  </si>
  <si>
    <t>Second Year</t>
  </si>
  <si>
    <t>Third Year</t>
  </si>
  <si>
    <t>Fourth Year</t>
  </si>
  <si>
    <t>Fifth Year</t>
  </si>
  <si>
    <t>Sixth Year</t>
  </si>
  <si>
    <t>Seventh Year</t>
  </si>
  <si>
    <t>Eighth Year</t>
  </si>
  <si>
    <t>Ninth Year</t>
  </si>
  <si>
    <t>Tenth Year</t>
  </si>
  <si>
    <t>ProLoan future income data table</t>
  </si>
  <si>
    <t>CollateralSection</t>
  </si>
  <si>
    <t>Hospital employed doctor?</t>
  </si>
  <si>
    <t>Is the applicant a hospital employed doctor referred by a ProLoan Network Adviser?</t>
  </si>
  <si>
    <t>Future income</t>
  </si>
  <si>
    <t>Employment state</t>
  </si>
  <si>
    <t>Current annual base</t>
  </si>
  <si>
    <t>Current employment year</t>
  </si>
  <si>
    <t>Current annual total</t>
  </si>
  <si>
    <t>Future annual base income</t>
  </si>
  <si>
    <t>AICPermanentHospitalEmployedDoctorFlag</t>
  </si>
  <si>
    <t>AICPermanentFutureIncomeEmploymentState</t>
  </si>
  <si>
    <t>AICPermanentFutureIncomeEmploymentYear</t>
  </si>
  <si>
    <t>AICPermanentFutureIncomeAnnualBase</t>
  </si>
  <si>
    <t>ProLoan 'hospital employed doctor' LMI records impacted</t>
  </si>
  <si>
    <t>Primary serviceability calculation</t>
  </si>
  <si>
    <t>Remaining PIF serviceability calculation</t>
  </si>
  <si>
    <t>Total private schooling and tuition costs</t>
  </si>
  <si>
    <t>School fees policy</t>
  </si>
  <si>
    <t>Ongoing private schooling and tuition costs</t>
  </si>
  <si>
    <t>New commitments (interest only)</t>
  </si>
  <si>
    <t>Other expenses (less school fees)</t>
  </si>
  <si>
    <t>Gross foreign pension income amount</t>
  </si>
  <si>
    <t>The ProLoan 'School Fees' policy can only be applied where applicant(s) have at least one dependant in year 8 or above.
If any dependants have more than 5 years left at private school, enter the total amount of ongoing private schooling and tuition costs that will continue after the interest only period has ended.</t>
  </si>
  <si>
    <t>Interest only serviceability calculation</t>
  </si>
  <si>
    <t>Overall serviceability result</t>
  </si>
  <si>
    <t>PIF serviceability result</t>
  </si>
  <si>
    <t>PIF debt service coverage ratio (DSC)</t>
  </si>
  <si>
    <t>IO debt service coverage ratio (DSC)</t>
  </si>
  <si>
    <t>IO serviceability result</t>
  </si>
  <si>
    <t>Primary debt service coverage ratio</t>
  </si>
  <si>
    <t>PIF Debt service coverage ratio</t>
  </si>
  <si>
    <t>IO Debt service coverage ratio</t>
  </si>
  <si>
    <t>Interest only rate</t>
  </si>
  <si>
    <t>PropertyType</t>
  </si>
  <si>
    <t>Property type</t>
  </si>
  <si>
    <t>Message text</t>
  </si>
  <si>
    <r>
      <t xml:space="preserve">Remaining P &amp; I term </t>
    </r>
    <r>
      <rPr>
        <sz val="6"/>
        <color theme="3"/>
        <rFont val="Arial"/>
        <family val="2"/>
      </rPr>
      <t>(months)</t>
    </r>
  </si>
  <si>
    <t xml:space="preserve"> Final interest rate </t>
  </si>
  <si>
    <t>Rural property</t>
  </si>
  <si>
    <t>Rented
during tax
return
period</t>
  </si>
  <si>
    <t>Rural
property</t>
  </si>
  <si>
    <t>Student accommodation income</t>
  </si>
  <si>
    <t>Rental type</t>
  </si>
  <si>
    <t>Rental
type</t>
  </si>
  <si>
    <t>SERPropertyRuralFlag</t>
  </si>
  <si>
    <t>SERPropertyRentalType</t>
  </si>
  <si>
    <t>Employer Income Calculator</t>
  </si>
  <si>
    <t>Employer income calculator</t>
  </si>
  <si>
    <t>Self-employed applicants ineligible for assessment on latest year income as the business is trading at a loss.</t>
  </si>
  <si>
    <t>Self-employed applicants ineligible for assessment on latest year income as the business is trading at a loss</t>
  </si>
  <si>
    <t>Student accommodation</t>
  </si>
  <si>
    <t>Debt has been overallocated to one or more asset collaterals. The allocation of debt against asset collaterals should never exceed the collateral’s market value multiplied by the maximum base LVR without MI. Adjust the allocation so that the equity remaining is equal to or greater than $0.</t>
  </si>
  <si>
    <t>Negative equity captured against one or more asset collaterals</t>
  </si>
  <si>
    <t>Negative equity against one or more security collaterals</t>
  </si>
  <si>
    <t>LVR Override calculator messages</t>
  </si>
  <si>
    <t>Amount remaining</t>
  </si>
  <si>
    <t>Other home loan calculators and tools</t>
  </si>
  <si>
    <t>Other calculators and tools</t>
  </si>
  <si>
    <t>Debt has been overallocated to one or more security collaterals. If you wish to proceed with a mortgage insured application, ensure the LMI fields are completed and the Base LVR, Total LVR, LLVR and total security exposure are entered into OBP (refer myGuide &gt; LVR Override – Funding), OBP will apply mortgage insurance and/or decline the application.</t>
  </si>
  <si>
    <t>The ProLoan 'STSL repayments' policy can only be applied where applicant(s) can repay the STSL loan within 5 years based on current income and indexed STSL loan.</t>
  </si>
  <si>
    <t>Existing commitments (less STSL)</t>
  </si>
  <si>
    <t>ProLoan policy</t>
  </si>
  <si>
    <t>STSL remaining term (years)</t>
  </si>
  <si>
    <t>STSL remaining term indexation rate</t>
  </si>
  <si>
    <t>STSL balance</t>
  </si>
  <si>
    <t>Repayment rate</t>
  </si>
  <si>
    <t>Year</t>
  </si>
  <si>
    <t>Opening balance</t>
  </si>
  <si>
    <t>Repayments</t>
  </si>
  <si>
    <t>Indexed balance</t>
  </si>
  <si>
    <t>Taxable income</t>
  </si>
  <si>
    <t>Indexation rate</t>
  </si>
  <si>
    <t>Income for STSL repayments</t>
  </si>
  <si>
    <t>Income for STSL remaining term calculation</t>
  </si>
  <si>
    <t>Income for HEM (includes non-applicant spouse income)</t>
  </si>
  <si>
    <t>AICPermanentCurrentIncomeAnnualBase</t>
  </si>
  <si>
    <t>Existing internal commitments</t>
  </si>
  <si>
    <t>20% buffer added to the value of a debt secured by a first mortgage to an ‘other’ financial institution.
Within Westpac: SGB, BSA, BoM and RAMS are considered to be ‘other’ financial institutions.
Within St.George, Bank of Melbourne and BankSA: Westpac and RAMS are considered to be ‘other’ financial institutions.</t>
  </si>
  <si>
    <t>Residential property</t>
  </si>
  <si>
    <t>Term deposit</t>
  </si>
  <si>
    <t>Guarantee calculations</t>
  </si>
  <si>
    <t>Existing other financial institution debts secured by guarantor's property</t>
  </si>
  <si>
    <t>Mortgage quality buffer estimator</t>
  </si>
  <si>
    <t>Current interest rate</t>
  </si>
  <si>
    <t>Estimated current repayments</t>
  </si>
  <si>
    <t>Estimated buffer</t>
  </si>
  <si>
    <t>Deficit from serviceability calculation</t>
  </si>
  <si>
    <t>New lending buffers</t>
  </si>
  <si>
    <t>Existing commitment buffers</t>
  </si>
  <si>
    <t>Higher of outstanding balance and current limit</t>
  </si>
  <si>
    <r>
      <t xml:space="preserve">P &amp; I term </t>
    </r>
    <r>
      <rPr>
        <sz val="8"/>
        <color theme="3"/>
        <rFont val="Arial"/>
        <family val="2"/>
      </rPr>
      <t>(months)</t>
    </r>
  </si>
  <si>
    <r>
      <t xml:space="preserve">P &amp; I term
</t>
    </r>
    <r>
      <rPr>
        <sz val="8"/>
        <color theme="3"/>
        <rFont val="Arial"/>
        <family val="2"/>
      </rPr>
      <t>(years)</t>
    </r>
  </si>
  <si>
    <t>Total estimated buffer</t>
  </si>
  <si>
    <t>Rating</t>
  </si>
  <si>
    <r>
      <t xml:space="preserve">5bp of the total home loan debt (0.05% </t>
    </r>
    <r>
      <rPr>
        <sz val="11"/>
        <color theme="3"/>
        <rFont val="Calibri"/>
        <family val="2"/>
      </rPr>
      <t>×</t>
    </r>
    <r>
      <rPr>
        <sz val="11"/>
        <color theme="3"/>
        <rFont val="Arial"/>
        <family val="2"/>
      </rPr>
      <t xml:space="preserve"> </t>
    </r>
    <r>
      <rPr>
        <b/>
        <sz val="11"/>
        <color theme="3"/>
        <rFont val="Arial"/>
        <family val="2"/>
      </rPr>
      <t>B</t>
    </r>
    <r>
      <rPr>
        <sz val="11"/>
        <color theme="3"/>
        <rFont val="Arial"/>
        <family val="2"/>
      </rPr>
      <t>)</t>
    </r>
  </si>
  <si>
    <r>
      <t>Actual deficit minus 5bp amount (</t>
    </r>
    <r>
      <rPr>
        <b/>
        <sz val="11"/>
        <color theme="3"/>
        <rFont val="Arial"/>
        <family val="2"/>
      </rPr>
      <t>A</t>
    </r>
    <r>
      <rPr>
        <sz val="11"/>
        <color theme="3"/>
        <rFont val="Arial"/>
        <family val="2"/>
      </rPr>
      <t>-</t>
    </r>
    <r>
      <rPr>
        <b/>
        <sz val="11"/>
        <color theme="3"/>
        <rFont val="Arial"/>
        <family val="2"/>
      </rPr>
      <t>D</t>
    </r>
    <r>
      <rPr>
        <sz val="11"/>
        <color theme="3"/>
        <rFont val="Arial"/>
        <family val="2"/>
      </rPr>
      <t>)</t>
    </r>
  </si>
  <si>
    <r>
      <t>Deficit % of total estimated buffer (</t>
    </r>
    <r>
      <rPr>
        <b/>
        <sz val="11"/>
        <color theme="3"/>
        <rFont val="Arial"/>
        <family val="2"/>
      </rPr>
      <t>A</t>
    </r>
    <r>
      <rPr>
        <b/>
        <sz val="11"/>
        <color theme="3"/>
        <rFont val="Calibri"/>
        <family val="2"/>
      </rPr>
      <t>÷</t>
    </r>
    <r>
      <rPr>
        <b/>
        <sz val="11"/>
        <color theme="3"/>
        <rFont val="Arial"/>
        <family val="2"/>
      </rPr>
      <t>C</t>
    </r>
    <r>
      <rPr>
        <sz val="11"/>
        <color theme="3"/>
        <rFont val="Arial"/>
        <family val="2"/>
      </rPr>
      <t>)</t>
    </r>
  </si>
  <si>
    <t>Total home loans</t>
  </si>
  <si>
    <t>Study and training support loan remaining term calculator</t>
  </si>
  <si>
    <t>New residual loans</t>
  </si>
  <si>
    <t>(reduces the bridging loan amount)</t>
  </si>
  <si>
    <t>Additional new loan amount</t>
  </si>
  <si>
    <t>Minimum new loan required</t>
  </si>
  <si>
    <t>Messages</t>
  </si>
  <si>
    <t>(Total funds required - Max bridging loan available)</t>
  </si>
  <si>
    <t>Existing loans</t>
  </si>
  <si>
    <t>Tax/Centrelink debt</t>
  </si>
  <si>
    <t>Hire purchase/lease</t>
  </si>
  <si>
    <t>5. This document does not capture all policy requirements, in each case refer to the relevant section of the One Bank Multi Brand policy (including Lending to Non-Australian Citizens, Verifying Income, Commitments and Living Expenses).</t>
  </si>
  <si>
    <t>FP_WBC</t>
  </si>
  <si>
    <t>FP_STG</t>
  </si>
  <si>
    <t>FP_BOM</t>
  </si>
  <si>
    <t>FP_BSA</t>
  </si>
  <si>
    <t>TP_WBC</t>
  </si>
  <si>
    <t>TP_STG</t>
  </si>
  <si>
    <t>TP_BOM</t>
  </si>
  <si>
    <t>TP_BSA</t>
  </si>
  <si>
    <t>OP_WBC</t>
  </si>
  <si>
    <t>OP_STG</t>
  </si>
  <si>
    <t>OP_BOM</t>
  </si>
  <si>
    <t>OP_BSA</t>
  </si>
  <si>
    <t>PL_WBC</t>
  </si>
  <si>
    <t>MQ_WBC</t>
  </si>
  <si>
    <t>Employee number / Broker ID</t>
  </si>
  <si>
    <t>AnnualiseWeeks</t>
  </si>
  <si>
    <t>Default Casual Income Annualisation Weeks</t>
  </si>
  <si>
    <t>Gross SE Business taxable profits (exc company)</t>
  </si>
  <si>
    <t>Foreign currency income</t>
  </si>
  <si>
    <t>AUD foreign employment</t>
  </si>
  <si>
    <t>Secondary documentation type</t>
  </si>
  <si>
    <t>AICPermanentAUDForeignEmploymentDocType</t>
  </si>
  <si>
    <t>AICPermanentAUDForeignEmploymentPayCycle</t>
  </si>
  <si>
    <t>Annualised gross base pay</t>
  </si>
  <si>
    <t>AICPermanentAUDForeignEmploymentGrossBasePayslip1</t>
  </si>
  <si>
    <t>AICPermanentAUDForeignEmploymentGrossBasePayslip2</t>
  </si>
  <si>
    <t>Gross base pay</t>
  </si>
  <si>
    <t>Payslip 1 / YTD payslip</t>
  </si>
  <si>
    <t>Payslip 3</t>
  </si>
  <si>
    <t>AICPermanentAUDForeignEmploymentGrossBasePayslip3</t>
  </si>
  <si>
    <t>SEBIncomeGrowthThresholdCheck</t>
  </si>
  <si>
    <t>Applicant 1 assessed expenses</t>
  </si>
  <si>
    <t>Applicant 1 non-applicant spouse assessed expenses</t>
  </si>
  <si>
    <t>Applicant 2 assessed expenses</t>
  </si>
  <si>
    <t>Applicant 2 non-applicant spouse assessed expenses</t>
  </si>
  <si>
    <t>Applicant 3 assessed expenses</t>
  </si>
  <si>
    <t>Applicant 3 non-applicant spouse assessed expenses</t>
  </si>
  <si>
    <t>Applicant 4 assessed expenses</t>
  </si>
  <si>
    <t>Applicant 4 non-applicant spouse assessed expenses</t>
  </si>
  <si>
    <t>Applicant 5 assessed expenses</t>
  </si>
  <si>
    <t>Applicant 5 non-applicant spouse assessed expenses</t>
  </si>
  <si>
    <t>Applicant 6 assessed expenses</t>
  </si>
  <si>
    <t>Applicant 6 non-applicant spouse assessed expenses</t>
  </si>
  <si>
    <t>Annual expenses</t>
  </si>
  <si>
    <t>Expenses floor</t>
  </si>
  <si>
    <t>Investment property expenses floor</t>
  </si>
  <si>
    <t>Assessed expenses</t>
  </si>
  <si>
    <t>Investment property costs are entered in the rental income screen against each rental property. The monthly amount is displayed here.</t>
  </si>
  <si>
    <t>Standard Rent Shading</t>
  </si>
  <si>
    <t>Assessed annualised expenses</t>
  </si>
  <si>
    <t>Assessed investment property costs (including insurance)</t>
  </si>
  <si>
    <t>Short Term Rent Shading</t>
  </si>
  <si>
    <t>Commercial</t>
  </si>
  <si>
    <t>Commercial Rent Shading</t>
  </si>
  <si>
    <t>SERPropertyType</t>
  </si>
  <si>
    <t>Serviceability assessment type</t>
  </si>
  <si>
    <t>Streamlined refinance</t>
  </si>
  <si>
    <t>Streamlined Refinance Buffer Rate</t>
  </si>
  <si>
    <t>Current monthly repayment</t>
  </si>
  <si>
    <t>Repayments eligibility check</t>
  </si>
  <si>
    <t>New lending P &amp; I only check</t>
  </si>
  <si>
    <t>LMI check</t>
  </si>
  <si>
    <t>Streamlined refinance eligibility checks</t>
  </si>
  <si>
    <t>NOTE: This is not a full list of the eligibility criteria that applies for Streamlined refinance applications.
Ensure that you refer to credit policy for all eligibility criteria requirements.</t>
  </si>
  <si>
    <t>Loans being refinanced</t>
  </si>
  <si>
    <t>Eligibility checks</t>
  </si>
  <si>
    <t>Existing loan reference</t>
  </si>
  <si>
    <t>New unbuffered monthly repayment</t>
  </si>
  <si>
    <t>Facility name</t>
  </si>
  <si>
    <t>New facility link</t>
  </si>
  <si>
    <r>
      <t xml:space="preserve">Overtime, commissions, director fees (other than from own company), car allowances, shift allowances, specific industry payments - </t>
    </r>
    <r>
      <rPr>
        <i/>
        <sz val="9"/>
        <color theme="7"/>
        <rFont val="Arial"/>
        <family val="2"/>
      </rPr>
      <t>excludes bonus income</t>
    </r>
  </si>
  <si>
    <t>Bonus income included in YTD amount</t>
  </si>
  <si>
    <t>Include any bonus income paid in the last 12 months. Ensure bonus income is verified to policy.</t>
  </si>
  <si>
    <t>AICPermanentTransitionCYLessThanPYCheck</t>
  </si>
  <si>
    <t>Total bonus received in the last 12 months</t>
  </si>
  <si>
    <t>AICPermanentBonusIncomeFlag</t>
  </si>
  <si>
    <t>AICPermanentPaidBonusLast12Months</t>
  </si>
  <si>
    <t>AICPermanentYTDPaidBonus</t>
  </si>
  <si>
    <t>AICPermanentYTDPaidBonusPY</t>
  </si>
  <si>
    <t>AICCasualBonusIncomeFlag</t>
  </si>
  <si>
    <t>AICCasualPaidBonusLast12Months</t>
  </si>
  <si>
    <t>AICCasualYTDPaidBonus</t>
  </si>
  <si>
    <t>Do you have bonus income?</t>
  </si>
  <si>
    <t>Bonus income used for serviceability</t>
  </si>
  <si>
    <t>Investment loan accounts - interest expenses</t>
  </si>
  <si>
    <t>Portfolio max interest rate</t>
  </si>
  <si>
    <t>Deductible loan amount</t>
  </si>
  <si>
    <t>The deductible loan amount is the portion of the loan used for investing in the specific property the ‘rental income tax deduction’ is being applied to. The deductible loan amount: 
    * may include: 
          - the purchase price of the property
          - any associated costs in obtaining the investment property such as stamp duty and legal costs 
     * must not exceed the lower of the current balance and current limit for the account</t>
  </si>
  <si>
    <t>Security ownership has been over-allocated. Please review the highlighted values and correct the ownership percentage.</t>
  </si>
  <si>
    <t>Bonus income included in total gross pay</t>
  </si>
  <si>
    <t>Bonus income included in gross pay</t>
  </si>
  <si>
    <t>AICPermanentNoYTDPayslip2Bonus</t>
  </si>
  <si>
    <t>AICPermanentNoYTDPayslip1Bonus</t>
  </si>
  <si>
    <t>AICCasualNoYTDBonusPay1</t>
  </si>
  <si>
    <t>AICCasualNoYTDBonusPay2</t>
  </si>
  <si>
    <t>Annual casual income</t>
  </si>
  <si>
    <t>Bonus income received during the previous 12 months used for serviceability</t>
  </si>
  <si>
    <t>Portfolio loan max rate</t>
  </si>
  <si>
    <t>Portfolio loan calculation row</t>
  </si>
  <si>
    <t>Max balance / limit</t>
  </si>
  <si>
    <t>Portfolio loan declared repayments</t>
  </si>
  <si>
    <t>HasData</t>
  </si>
  <si>
    <t>Has Data</t>
  </si>
  <si>
    <t>Note: this must include any dependants under 8 as they are also under 11</t>
  </si>
  <si>
    <t>Is non-base income used for servicing?</t>
  </si>
  <si>
    <t>Property ownership percentage</t>
  </si>
  <si>
    <t>Associated businesses</t>
  </si>
  <si>
    <t>Capital gains from NoA</t>
  </si>
  <si>
    <t>SEACapitalGainsNoALY</t>
  </si>
  <si>
    <t>SEACapitalGainsNoAPY</t>
  </si>
  <si>
    <t>Simple solvency</t>
  </si>
  <si>
    <t>Dividends</t>
  </si>
  <si>
    <t>Franking credits</t>
  </si>
  <si>
    <t>Historical interest / leasing / hire purchase</t>
  </si>
  <si>
    <t>Non-recurring income / other subtractions</t>
  </si>
  <si>
    <t>Non-recurring expenses / other additions</t>
  </si>
  <si>
    <t>Self-employed Fast Track verification requires referral to credit when foreign income is included</t>
  </si>
  <si>
    <t>Depreciation / amortisation / instant asset write-off</t>
  </si>
  <si>
    <t>Adjustments</t>
  </si>
  <si>
    <t>Click this pencil icon in the sections below to add or edit the specific income data</t>
  </si>
  <si>
    <t>Distribution %</t>
  </si>
  <si>
    <t>Derived ownership %</t>
  </si>
  <si>
    <t>Business information</t>
  </si>
  <si>
    <t>Latest financial year</t>
  </si>
  <si>
    <t>Assessed company tax rate</t>
  </si>
  <si>
    <t>Total tax payable</t>
  </si>
  <si>
    <t>Use undistributed profits?</t>
  </si>
  <si>
    <t>Use trust income in excess of historical distributions?</t>
  </si>
  <si>
    <t>Company shareholding %</t>
  </si>
  <si>
    <t>Undistributed profit (loss)</t>
  </si>
  <si>
    <t>Click here to adjust the company tax rate if required (optional)</t>
  </si>
  <si>
    <t>Current assets</t>
  </si>
  <si>
    <t>Current liabilities</t>
  </si>
  <si>
    <t>Standard Mortgage Benchmark Rate</t>
  </si>
  <si>
    <t>Streamlined Refinance Mortgage Benchmark Rate</t>
  </si>
  <si>
    <t>Assessed loss from business</t>
  </si>
  <si>
    <t>Assessed taxable income for serviceability</t>
  </si>
  <si>
    <t>Assessed annual distribution income</t>
  </si>
  <si>
    <t>Assessed annual salary / directors fee income</t>
  </si>
  <si>
    <t>Non-taxable income</t>
  </si>
  <si>
    <t>Loss from business</t>
  </si>
  <si>
    <t>Volatility rule referral required</t>
  </si>
  <si>
    <t>SEBTrusteePartnerCount</t>
  </si>
  <si>
    <t>SEBAdjustedBusinessLossApp1</t>
  </si>
  <si>
    <t>SEBAdjustedBusinessLossApp2</t>
  </si>
  <si>
    <t>SEBAdjustedBusinessLossApp3</t>
  </si>
  <si>
    <t>SEBAdjustedBusinessLossApp4</t>
  </si>
  <si>
    <t>SEBAdjustedBusinessLossApp5</t>
  </si>
  <si>
    <t>SEBAdjustedBusinessLossApp6</t>
  </si>
  <si>
    <t>SEBDistributionAnnualIncomeApp1</t>
  </si>
  <si>
    <t>SEBDistributionAnnualIncomeApp2</t>
  </si>
  <si>
    <t>SEBDistributionAnnualIncomeApp3</t>
  </si>
  <si>
    <t>SEBDistributionAnnualIncomeApp4</t>
  </si>
  <si>
    <t>SEBDistributionAnnualIncomeApp5</t>
  </si>
  <si>
    <t>SEBDistributionAnnualIncomeApp6</t>
  </si>
  <si>
    <t>SEBWageDirectorFeeLYApp1</t>
  </si>
  <si>
    <t>SEBWageDirectorFeeLYApp2</t>
  </si>
  <si>
    <t>SEBWageDirectorFeeLYApp3</t>
  </si>
  <si>
    <t>SEBWageDirectorFeeLYApp4</t>
  </si>
  <si>
    <t>SEBWageDirectorFeeLYApp5</t>
  </si>
  <si>
    <t>SEBWageDirectorFeeLYApp6</t>
  </si>
  <si>
    <t>SEBWageDirectorFeePYApp1</t>
  </si>
  <si>
    <t>SEBWageDirectorFeePYApp2</t>
  </si>
  <si>
    <t>SEBWageDirectorFeePYApp3</t>
  </si>
  <si>
    <t>SEBWageDirectorFeePYApp4</t>
  </si>
  <si>
    <t>SEBWageDirectorFeePYApp5</t>
  </si>
  <si>
    <t>SEBWageDirectorFeePYApp6</t>
  </si>
  <si>
    <t>SEBWageDirectorFeeAnnualIncomeApp1</t>
  </si>
  <si>
    <t>SEBWageDirectorFeeAnnualIncomeApp2</t>
  </si>
  <si>
    <t>SEBWageDirectorFeeAnnualIncomeApp3</t>
  </si>
  <si>
    <t>SEBWageDirectorFeeAnnualIncomeApp4</t>
  </si>
  <si>
    <t>SEBWageDirectorFeeAnnualIncomeApp5</t>
  </si>
  <si>
    <t>SEBWageDirectorFeeAnnualIncomeApp6</t>
  </si>
  <si>
    <t>SEBDividendsLYApp1</t>
  </si>
  <si>
    <t>SEBDividendsLYApp2</t>
  </si>
  <si>
    <t>SEBDividendsLYApp3</t>
  </si>
  <si>
    <t>SEBDividendsLYApp4</t>
  </si>
  <si>
    <t>SEBDividendsLYApp5</t>
  </si>
  <si>
    <t>SEBDividendsLYApp6</t>
  </si>
  <si>
    <t>SEBDividendsPYApp1</t>
  </si>
  <si>
    <t>SEBDividendsPYApp2</t>
  </si>
  <si>
    <t>SEBDividendsPYApp3</t>
  </si>
  <si>
    <t>SEBDividendsPYApp4</t>
  </si>
  <si>
    <t>SEBDividendsPYApp5</t>
  </si>
  <si>
    <t>SEBDividendsPYApp6</t>
  </si>
  <si>
    <t>SEBFrankingCreditLYApp1</t>
  </si>
  <si>
    <t>SEBFrankingCreditLYApp2</t>
  </si>
  <si>
    <t>SEBFrankingCreditLYApp3</t>
  </si>
  <si>
    <t>SEBFrankingCreditLYApp4</t>
  </si>
  <si>
    <t>SEBFrankingCreditLYApp5</t>
  </si>
  <si>
    <t>SEBFrankingCreditLYApp6</t>
  </si>
  <si>
    <t>SEBFrankingCreditPYApp1</t>
  </si>
  <si>
    <t>SEBFrankingCreditPYApp2</t>
  </si>
  <si>
    <t>SEBFrankingCreditPYApp3</t>
  </si>
  <si>
    <t>SEBFrankingCreditPYApp4</t>
  </si>
  <si>
    <t>SEBFrankingCreditPYApp5</t>
  </si>
  <si>
    <t>SEBFrankingCreditPYApp6</t>
  </si>
  <si>
    <t>SEBCompanyShareholdingLYApp1</t>
  </si>
  <si>
    <t>SEBCompanyShareholdingLYApp2</t>
  </si>
  <si>
    <t>SEBCompanyShareholdingLYApp3</t>
  </si>
  <si>
    <t>SEBCompanyShareholdingLYApp4</t>
  </si>
  <si>
    <t>SEBCompanyShareholdingLYApp5</t>
  </si>
  <si>
    <t>SEBCompanyShareholdingLYApp6</t>
  </si>
  <si>
    <t>SEBCompanyShareholdingPYApp1</t>
  </si>
  <si>
    <t>SEBCompanyShareholdingPYApp2</t>
  </si>
  <si>
    <t>SEBCompanyShareholdingPYApp3</t>
  </si>
  <si>
    <t>SEBCompanyShareholdingPYApp4</t>
  </si>
  <si>
    <t>SEBCompanyShareholdingPYApp5</t>
  </si>
  <si>
    <t>SEBCompanyShareholdingPYApp6</t>
  </si>
  <si>
    <t>SEBTrustExcessIncomeFlagApp1</t>
  </si>
  <si>
    <t>SEBTrustExcessIncomeFlagApp2</t>
  </si>
  <si>
    <t>SEBTrustExcessIncomeFlagApp3</t>
  </si>
  <si>
    <t>SEBTrustExcessIncomeFlagApp4</t>
  </si>
  <si>
    <t>SEBTrustExcessIncomeFlagApp5</t>
  </si>
  <si>
    <t>SEBTrustExcessIncomeFlagApp6</t>
  </si>
  <si>
    <t>SEBSolvencyAssetsLY</t>
  </si>
  <si>
    <t>SEBSolvencyLiabilitiesLY</t>
  </si>
  <si>
    <t>SEBSolvencyTestResult</t>
  </si>
  <si>
    <t>SEBHistoricalInterestLeaseHirePurchaseLY</t>
  </si>
  <si>
    <t>SEBDepreciationAmortisationLY</t>
  </si>
  <si>
    <t>SEBOtherAdditionsName1</t>
  </si>
  <si>
    <t>SEBOtherAdditionsName2</t>
  </si>
  <si>
    <t>SEBOtherAdditionsName3</t>
  </si>
  <si>
    <t>SEBOtherAdditionsName4</t>
  </si>
  <si>
    <t>SEBOtherAdditionsName5</t>
  </si>
  <si>
    <t>SEBOtherAdditionsLY1</t>
  </si>
  <si>
    <t>SEBOtherAdditionsLY2</t>
  </si>
  <si>
    <t>SEBOtherAdditionsLY3</t>
  </si>
  <si>
    <t>SEBOtherAdditionsLY4</t>
  </si>
  <si>
    <t>SEBOtherAdditionsLY5</t>
  </si>
  <si>
    <t>SEBOtherAdditionsPY1</t>
  </si>
  <si>
    <t>SEBHistoricalInterestLeaseHirePurchasePY</t>
  </si>
  <si>
    <t>SEBDepreciationAmortisationPY</t>
  </si>
  <si>
    <t>SEBOtherAdditionsPY2</t>
  </si>
  <si>
    <t>SEBOtherAdditionsPY3</t>
  </si>
  <si>
    <t>SEBOtherAdditionsPY4</t>
  </si>
  <si>
    <t>SEBOtherAdditionsPY5</t>
  </si>
  <si>
    <t>SEBOtherAdditionsNote1</t>
  </si>
  <si>
    <t>SEBOtherAdditionsNote2</t>
  </si>
  <si>
    <t>SEBOtherAdditionsNote3</t>
  </si>
  <si>
    <t>SEBOtherAdditionsNote4</t>
  </si>
  <si>
    <t>SEBOtherAdditionsNote5</t>
  </si>
  <si>
    <t>SEBOtherSubtractionsName1</t>
  </si>
  <si>
    <t>SEBOtherSubtractionsName2</t>
  </si>
  <si>
    <t>SEBOtherSubtractionsName3</t>
  </si>
  <si>
    <t>SEBOtherSubtractionsName4</t>
  </si>
  <si>
    <t>SEBOtherSubtractionsName5</t>
  </si>
  <si>
    <t>SEBOtherSubtractionsLY1</t>
  </si>
  <si>
    <t>SEBOtherSubtractionsLY2</t>
  </si>
  <si>
    <t>SEBOtherSubtractionsLY3</t>
  </si>
  <si>
    <t>SEBOtherSubtractionsLY4</t>
  </si>
  <si>
    <t>SEBOtherSubtractionsLY5</t>
  </si>
  <si>
    <t>SEBOtherSubtractionsPY1</t>
  </si>
  <si>
    <t>SEBOtherSubtractionsPY2</t>
  </si>
  <si>
    <t>SEBOtherSubtractionsPY3</t>
  </si>
  <si>
    <t>SEBOtherSubtractionsPY4</t>
  </si>
  <si>
    <t>SEBOtherSubtractionsPY5</t>
  </si>
  <si>
    <t>SEBOtherSubtractionsNote1</t>
  </si>
  <si>
    <t>SEBOtherSubtractionsNote2</t>
  </si>
  <si>
    <t>SEBOtherSubtractionsNote3</t>
  </si>
  <si>
    <t>SEBOtherSubtractionsNote4</t>
  </si>
  <si>
    <t>SEBOtherSubtractionsNote5</t>
  </si>
  <si>
    <t>SEBTaxPayableLY</t>
  </si>
  <si>
    <t>SEBTaxPayablePY</t>
  </si>
  <si>
    <t>SEBHistoricDividendsLY</t>
  </si>
  <si>
    <t>SEBHistoricDividendsPY</t>
  </si>
  <si>
    <t>SEBAdjustedNetProfitAfterTaxAndRepaymentsLY</t>
  </si>
  <si>
    <t>SEBAdjustedNetProfitAfterTaxAndRepaymentsPY</t>
  </si>
  <si>
    <t>SEBUndistributedCompanyProfitsLY</t>
  </si>
  <si>
    <t>SEBUndistributedCompanyProfitsPY</t>
  </si>
  <si>
    <t>SEBAdjustedNetProfitLY</t>
  </si>
  <si>
    <t>SEBAdjustedNetProfitPY</t>
  </si>
  <si>
    <t>SEBMessageID</t>
  </si>
  <si>
    <t>SEBAdjustedFrankingCreditApp1</t>
  </si>
  <si>
    <t>SEBAdjustedFrankingCreditApp2</t>
  </si>
  <si>
    <t>SEBAdjustedFrankingCreditApp3</t>
  </si>
  <si>
    <t>SEBAdjustedFrankingCreditApp4</t>
  </si>
  <si>
    <t>SEBAdjustedFrankingCreditApp5</t>
  </si>
  <si>
    <t>SEBAdjustedFrankingCreditApp6</t>
  </si>
  <si>
    <t>Applicant income</t>
  </si>
  <si>
    <t>SEAApplicantHasFullyVerifiedAssociatedBusiness</t>
  </si>
  <si>
    <t>SEAApplicantHasAssociatedBusiness</t>
  </si>
  <si>
    <t>Unadjusted net profit (UNP) Volatility check</t>
  </si>
  <si>
    <t>Adjusted net profit (ANP) Volatility check</t>
  </si>
  <si>
    <t>Adjusted net profit (ANP) Volatility %</t>
  </si>
  <si>
    <t>Unadjusted net profit (UNP) Volatility %</t>
  </si>
  <si>
    <t>Simple solvency check result</t>
  </si>
  <si>
    <t>Income growth volatility exceeded</t>
  </si>
  <si>
    <t>Enter the business name or ABN / ACN then click here to search the Australian Business Register</t>
  </si>
  <si>
    <t>Application did not pass volatility test. Year on year increase in adjusted profit is greater than 60%.
If serviceability can be met using ‘Standard’ policy, this assessment can be used without credit referral.
If you would like to proceed with using ‘Latest year’ policy, the application must be referred to Credit for decision and commentary must be provided to address sustainability concerns.</t>
  </si>
  <si>
    <t>Sole trader adjusted profit / loss</t>
  </si>
  <si>
    <t>Assessed company profit</t>
  </si>
  <si>
    <t>Sole Trader</t>
  </si>
  <si>
    <t>All trust/partnership owners on the application?</t>
  </si>
  <si>
    <t>All company owners on the application?</t>
  </si>
  <si>
    <t>Taxable adjustments</t>
  </si>
  <si>
    <t>Adjusted net profit</t>
  </si>
  <si>
    <t>Non-taxable adjustments</t>
  </si>
  <si>
    <t>Adjustment %</t>
  </si>
  <si>
    <t>Taxable adjustment amount</t>
  </si>
  <si>
    <t>Non-taxable adjustment amount</t>
  </si>
  <si>
    <t>Lossess per year</t>
  </si>
  <si>
    <t>Assessed loss</t>
  </si>
  <si>
    <t>Trust taxable adjustment</t>
  </si>
  <si>
    <t>Trust non-taxable adjustment</t>
  </si>
  <si>
    <t>OICFrankingCreditLY</t>
  </si>
  <si>
    <r>
      <t xml:space="preserve">Franking credits </t>
    </r>
    <r>
      <rPr>
        <sz val="8"/>
        <color rgb="FF000000"/>
        <rFont val="Arial"/>
        <family val="2"/>
      </rPr>
      <t>(reduces tax payable down: min 0 no refunds)</t>
    </r>
  </si>
  <si>
    <t>Actual distribution %</t>
  </si>
  <si>
    <t>Partnership taxable adjustment</t>
  </si>
  <si>
    <t>Partnership non-taxable adjustment</t>
  </si>
  <si>
    <t>Total non-taxable adjustment</t>
  </si>
  <si>
    <t>SEBHistoricDistributionLY</t>
  </si>
  <si>
    <t>SEBHistoricDistributionPY</t>
  </si>
  <si>
    <t>Total historical distributions to all partners</t>
  </si>
  <si>
    <t>Applicant assessed salary</t>
  </si>
  <si>
    <t>Assessed salary</t>
  </si>
  <si>
    <t>SEBShareholdingAssociatedBusiness1</t>
  </si>
  <si>
    <t>SEBShareholdingAssociatedBusiness2</t>
  </si>
  <si>
    <t>SEBShareholdingAssociatedBusiness3</t>
  </si>
  <si>
    <t>SEBShareholdingAssociatedBusiness4</t>
  </si>
  <si>
    <t>SEBShareholdingAssociatedBusiness5</t>
  </si>
  <si>
    <t>SEBShareholdingAssociatedBusiness6</t>
  </si>
  <si>
    <t>SEBShareholdingAssociatedBusiness7</t>
  </si>
  <si>
    <t>SEBShareholdingAssociatedBusiness8</t>
  </si>
  <si>
    <t>SEBShareholdingAssociatedBusiness9</t>
  </si>
  <si>
    <t>SEBShareholdingAssociatedBusiness10</t>
  </si>
  <si>
    <t>SEBShareholdingAssociatedBusiness11</t>
  </si>
  <si>
    <t>SEBShareholdingAssociatedBusiness12</t>
  </si>
  <si>
    <t>SEBShareholdingAssociatedBusiness13</t>
  </si>
  <si>
    <t>SEBShareholdingAssociatedBusiness14</t>
  </si>
  <si>
    <t>SEBShareholdingAssociatedBusiness15</t>
  </si>
  <si>
    <t>SEBShareholdingAssociatedBusiness16</t>
  </si>
  <si>
    <t>SEBShareholdingAssociatedBusiness17</t>
  </si>
  <si>
    <t>SEBShareholdingAssociatedBusiness18</t>
  </si>
  <si>
    <t>SEBShareholdingAssociatedBusiness19</t>
  </si>
  <si>
    <t>SEBShareholdingAssociatedBusiness20</t>
  </si>
  <si>
    <t>SEBShareholdingAssociatedBusiness21</t>
  </si>
  <si>
    <t>SEBShareholdingAssociatedBusiness22</t>
  </si>
  <si>
    <t>SEBShareholdingAssociatedBusiness23</t>
  </si>
  <si>
    <t>SEBShareholdingAssociatedBusiness24</t>
  </si>
  <si>
    <t>SEBShareholdingAssociatedBusiness25</t>
  </si>
  <si>
    <t>SEBShareholdingAssociatedBusiness26</t>
  </si>
  <si>
    <t>SEBShareholdingAssociatedBusiness27</t>
  </si>
  <si>
    <t>SEBShareholdingAssociatedBusiness28</t>
  </si>
  <si>
    <t>SEBShareholdingAssociatedBusiness29</t>
  </si>
  <si>
    <t>SEBShareholdingAssociatedBusiness30</t>
  </si>
  <si>
    <t>SEBShareholdingAssociatedBusiness31</t>
  </si>
  <si>
    <t>SEBShareholdingAssociatedBusiness32</t>
  </si>
  <si>
    <t>SEBShareholdingAssociatedBusiness33</t>
  </si>
  <si>
    <t>SEBShareholdingAssociatedBusiness34</t>
  </si>
  <si>
    <t>SEBShareholdingAssociatedBusiness35</t>
  </si>
  <si>
    <t>SEBShareholdingAssociatedBusiness36</t>
  </si>
  <si>
    <t>SEBShareholdingAssociatedBusiness37</t>
  </si>
  <si>
    <t>SEBShareholdingAssociatedBusiness38</t>
  </si>
  <si>
    <t>SEBShareholdingAssociatedBusiness39</t>
  </si>
  <si>
    <t>SEBShareholdingAssociatedBusiness40</t>
  </si>
  <si>
    <t>SEBShareholdingAssociatedBusiness41</t>
  </si>
  <si>
    <t>SEBShareholdingAssociatedBusiness42</t>
  </si>
  <si>
    <t>SEBShareholdingAssociatedBusiness43</t>
  </si>
  <si>
    <t>SEBShareholdingAssociatedBusiness44</t>
  </si>
  <si>
    <t>SEBShareholdingAssociatedBusiness45</t>
  </si>
  <si>
    <t>SEBShareholdingAssociatedBusiness46</t>
  </si>
  <si>
    <t>SEBShareholdingAssociatedBusiness47</t>
  </si>
  <si>
    <t>SEBShareholdingAssociatedBusiness48</t>
  </si>
  <si>
    <t>SEBShareholdingAssociatedBusiness49</t>
  </si>
  <si>
    <t>SEBShareholdingAssociatedBusiness50</t>
  </si>
  <si>
    <t>SEBShareholdingAssociatedBusiness51</t>
  </si>
  <si>
    <t>SEBShareholdingAssociatedBusiness52</t>
  </si>
  <si>
    <t>SEBShareholdingAssociatedBusiness53</t>
  </si>
  <si>
    <t>SEBShareholdingAssociatedBusiness54</t>
  </si>
  <si>
    <t>SEBShareholdingAssociatedBusiness55</t>
  </si>
  <si>
    <t>SEBShareholdingAssociatedBusiness56</t>
  </si>
  <si>
    <t>SEBShareholdingAssociatedBusiness57</t>
  </si>
  <si>
    <t>SEBShareholdingAssociatedBusiness58</t>
  </si>
  <si>
    <t>SEBShareholdingAssociatedBusiness59</t>
  </si>
  <si>
    <t>SEBShareholdingAssociatedBusiness60</t>
  </si>
  <si>
    <t>SEBDistributionAmountAssociatedBusiness1</t>
  </si>
  <si>
    <t>SEBDistributionAmountAssociatedBusiness2</t>
  </si>
  <si>
    <t>SEBDistributionAmountAssociatedBusiness3</t>
  </si>
  <si>
    <t>SEBDistributionAmountAssociatedBusiness4</t>
  </si>
  <si>
    <t>SEBDistributionAmountAssociatedBusiness5</t>
  </si>
  <si>
    <t>SEBDistributionAmountAssociatedBusiness6</t>
  </si>
  <si>
    <t>SEBDistributionAmountAssociatedBusiness7</t>
  </si>
  <si>
    <t>SEBDistributionAmountAssociatedBusiness8</t>
  </si>
  <si>
    <t>SEBDistributionAmountAssociatedBusiness9</t>
  </si>
  <si>
    <t>SEBDistributionAmountAssociatedBusiness10</t>
  </si>
  <si>
    <t>SEBDistributionAmountAssociatedBusiness11</t>
  </si>
  <si>
    <t>SEBDistributionAmountAssociatedBusiness12</t>
  </si>
  <si>
    <t>SEBDistributionAmountAssociatedBusiness13</t>
  </si>
  <si>
    <t>SEBDistributionAmountAssociatedBusiness14</t>
  </si>
  <si>
    <t>SEBDistributionAmountAssociatedBusiness15</t>
  </si>
  <si>
    <t>SEBDistributionAmountAssociatedBusiness16</t>
  </si>
  <si>
    <t>SEBDistributionAmountAssociatedBusiness17</t>
  </si>
  <si>
    <t>SEBDistributionAmountAssociatedBusiness18</t>
  </si>
  <si>
    <t>SEBDistributionAmountAssociatedBusiness19</t>
  </si>
  <si>
    <t>SEBDistributionAmountAssociatedBusiness20</t>
  </si>
  <si>
    <t>SEBDistributionAmountAssociatedBusiness21</t>
  </si>
  <si>
    <t>SEBDistributionAmountAssociatedBusiness22</t>
  </si>
  <si>
    <t>SEBDistributionAmountAssociatedBusiness23</t>
  </si>
  <si>
    <t>SEBDistributionAmountAssociatedBusiness24</t>
  </si>
  <si>
    <t>SEBDistributionAmountAssociatedBusiness25</t>
  </si>
  <si>
    <t>SEBDistributionAmountAssociatedBusiness26</t>
  </si>
  <si>
    <t>SEBDistributionAmountAssociatedBusiness27</t>
  </si>
  <si>
    <t>SEBDistributionAmountAssociatedBusiness28</t>
  </si>
  <si>
    <t>SEBDistributionAmountAssociatedBusiness29</t>
  </si>
  <si>
    <t>SEBDistributionAmountAssociatedBusiness30</t>
  </si>
  <si>
    <t>SEBDistributionAmountAssociatedBusiness31</t>
  </si>
  <si>
    <t>SEBDistributionAmountAssociatedBusiness32</t>
  </si>
  <si>
    <t>SEBDistributionAmountAssociatedBusiness33</t>
  </si>
  <si>
    <t>SEBDistributionAmountAssociatedBusiness34</t>
  </si>
  <si>
    <t>SEBDistributionAmountAssociatedBusiness35</t>
  </si>
  <si>
    <t>SEBDistributionAmountAssociatedBusiness36</t>
  </si>
  <si>
    <t>SEBDistributionAmountAssociatedBusiness37</t>
  </si>
  <si>
    <t>SEBDistributionAmountAssociatedBusiness38</t>
  </si>
  <si>
    <t>SEBDistributionAmountAssociatedBusiness39</t>
  </si>
  <si>
    <t>SEBDistributionAmountAssociatedBusiness40</t>
  </si>
  <si>
    <t>SEBDistributionAmountAssociatedBusiness41</t>
  </si>
  <si>
    <t>SEBDistributionAmountAssociatedBusiness42</t>
  </si>
  <si>
    <t>SEBDistributionAmountAssociatedBusiness43</t>
  </si>
  <si>
    <t>SEBDistributionAmountAssociatedBusiness44</t>
  </si>
  <si>
    <t>SEBDistributionAmountAssociatedBusiness45</t>
  </si>
  <si>
    <t>SEBDistributionAmountAssociatedBusiness46</t>
  </si>
  <si>
    <t>SEBDistributionAmountAssociatedBusiness47</t>
  </si>
  <si>
    <t>SEBDistributionAmountAssociatedBusiness48</t>
  </si>
  <si>
    <t>SEBDistributionAmountAssociatedBusiness49</t>
  </si>
  <si>
    <t>SEBDistributionAmountAssociatedBusiness50</t>
  </si>
  <si>
    <t>SEBDistributionAmountAssociatedBusiness51</t>
  </si>
  <si>
    <t>SEBDistributionAmountAssociatedBusiness52</t>
  </si>
  <si>
    <t>SEBDistributionAmountAssociatedBusiness53</t>
  </si>
  <si>
    <t>SEBDistributionAmountAssociatedBusiness54</t>
  </si>
  <si>
    <t>SEBDistributionAmountAssociatedBusiness55</t>
  </si>
  <si>
    <t>SEBDistributionAmountAssociatedBusiness56</t>
  </si>
  <si>
    <t>SEBDistributionAmountAssociatedBusiness57</t>
  </si>
  <si>
    <t>SEBDistributionAmountAssociatedBusiness58</t>
  </si>
  <si>
    <t>SEBDistributionAmountAssociatedBusiness59</t>
  </si>
  <si>
    <t>SEBDistributionAmountAssociatedBusiness60</t>
  </si>
  <si>
    <t>SEBOwnershipAssociatedBusiness1</t>
  </si>
  <si>
    <t>SEBOwnershipAssociatedBusiness2</t>
  </si>
  <si>
    <t>SEBOwnershipAssociatedBusiness3</t>
  </si>
  <si>
    <t>SEBOwnershipAssociatedBusiness4</t>
  </si>
  <si>
    <t>SEBOwnershipAssociatedBusiness5</t>
  </si>
  <si>
    <t>SEBOwnershipAssociatedBusiness6</t>
  </si>
  <si>
    <t>SEBOwnershipAssociatedBusiness7</t>
  </si>
  <si>
    <t>SEBOwnershipAssociatedBusiness8</t>
  </si>
  <si>
    <t>SEBOwnershipAssociatedBusiness9</t>
  </si>
  <si>
    <t>SEBOwnershipAssociatedBusiness10</t>
  </si>
  <si>
    <t>SEBOwnershipAssociatedBusiness11</t>
  </si>
  <si>
    <t>SEBOwnershipAssociatedBusiness12</t>
  </si>
  <si>
    <t>SEBOwnershipAssociatedBusiness13</t>
  </si>
  <si>
    <t>SEBOwnershipAssociatedBusiness14</t>
  </si>
  <si>
    <t>SEBOwnershipAssociatedBusiness15</t>
  </si>
  <si>
    <t>SEBOwnershipAssociatedBusiness16</t>
  </si>
  <si>
    <t>SEBOwnershipAssociatedBusiness17</t>
  </si>
  <si>
    <t>SEBOwnershipAssociatedBusiness18</t>
  </si>
  <si>
    <t>SEBOwnershipAssociatedBusiness19</t>
  </si>
  <si>
    <t>SEBOwnershipAssociatedBusiness20</t>
  </si>
  <si>
    <t>SEBOwnershipAssociatedBusiness21</t>
  </si>
  <si>
    <t>SEBOwnershipAssociatedBusiness22</t>
  </si>
  <si>
    <t>SEBOwnershipAssociatedBusiness23</t>
  </si>
  <si>
    <t>SEBOwnershipAssociatedBusiness24</t>
  </si>
  <si>
    <t>SEBOwnershipAssociatedBusiness25</t>
  </si>
  <si>
    <t>SEBOwnershipAssociatedBusiness26</t>
  </si>
  <si>
    <t>SEBOwnershipAssociatedBusiness27</t>
  </si>
  <si>
    <t>SEBOwnershipAssociatedBusiness28</t>
  </si>
  <si>
    <t>SEBOwnershipAssociatedBusiness29</t>
  </si>
  <si>
    <t>SEBOwnershipAssociatedBusiness30</t>
  </si>
  <si>
    <t>SEBOwnershipAssociatedBusiness31</t>
  </si>
  <si>
    <t>SEBOwnershipAssociatedBusiness32</t>
  </si>
  <si>
    <t>SEBOwnershipAssociatedBusiness33</t>
  </si>
  <si>
    <t>SEBOwnershipAssociatedBusiness34</t>
  </si>
  <si>
    <t>SEBOwnershipAssociatedBusiness35</t>
  </si>
  <si>
    <t>SEBOwnershipAssociatedBusiness36</t>
  </si>
  <si>
    <t>SEBOwnershipAssociatedBusiness37</t>
  </si>
  <si>
    <t>SEBOwnershipAssociatedBusiness38</t>
  </si>
  <si>
    <t>SEBOwnershipAssociatedBusiness39</t>
  </si>
  <si>
    <t>SEBOwnershipAssociatedBusiness40</t>
  </si>
  <si>
    <t>SEBOwnershipAssociatedBusiness41</t>
  </si>
  <si>
    <t>SEBOwnershipAssociatedBusiness42</t>
  </si>
  <si>
    <t>SEBOwnershipAssociatedBusiness43</t>
  </si>
  <si>
    <t>SEBOwnershipAssociatedBusiness44</t>
  </si>
  <si>
    <t>SEBOwnershipAssociatedBusiness45</t>
  </si>
  <si>
    <t>SEBOwnershipAssociatedBusiness46</t>
  </si>
  <si>
    <t>SEBOwnershipAssociatedBusiness47</t>
  </si>
  <si>
    <t>SEBOwnershipAssociatedBusiness48</t>
  </si>
  <si>
    <t>SEBOwnershipAssociatedBusiness49</t>
  </si>
  <si>
    <t>SEBOwnershipAssociatedBusiness50</t>
  </si>
  <si>
    <t>SEBOwnershipAssociatedBusiness51</t>
  </si>
  <si>
    <t>SEBOwnershipAssociatedBusiness52</t>
  </si>
  <si>
    <t>SEBOwnershipAssociatedBusiness53</t>
  </si>
  <si>
    <t>SEBOwnershipAssociatedBusiness54</t>
  </si>
  <si>
    <t>SEBOwnershipAssociatedBusiness55</t>
  </si>
  <si>
    <t>SEBOwnershipAssociatedBusiness56</t>
  </si>
  <si>
    <t>SEBOwnershipAssociatedBusiness57</t>
  </si>
  <si>
    <t>SEBOwnershipAssociatedBusiness58</t>
  </si>
  <si>
    <t>SEBOwnershipAssociatedBusiness59</t>
  </si>
  <si>
    <t>SEBOwnershipAssociatedBusiness60</t>
  </si>
  <si>
    <t>Actual shareholding %</t>
  </si>
  <si>
    <t>Assessed dividend and franking credits</t>
  </si>
  <si>
    <t>Company non-taxable adjustment</t>
  </si>
  <si>
    <t>Please confirm that each applicant understands and agrees to the following: 
   * They choose to rely on the funds for the purposes of this application, and
   * The funds are not used for other purposes, and
   * The funds are available to assist with their personal commitments.</t>
  </si>
  <si>
    <t>Assessed non-taxable income for serviceability</t>
  </si>
  <si>
    <t>Self-employed loss from own business</t>
  </si>
  <si>
    <t>SEBApplicantAssessmentType</t>
  </si>
  <si>
    <t>AssociatedApplicant</t>
  </si>
  <si>
    <t>Beneficial ownership %</t>
  </si>
  <si>
    <t>Existing mortgage temp floor rate - standard</t>
  </si>
  <si>
    <t>Existing mortgage temp floor rate - streamlined refinance</t>
  </si>
  <si>
    <t>Temp floor rate</t>
  </si>
  <si>
    <t>Fast track business types</t>
  </si>
  <si>
    <t>Sole trader assessment types</t>
  </si>
  <si>
    <t>—</t>
  </si>
  <si>
    <t>Total dividends to all shareholders</t>
  </si>
  <si>
    <t>Distribution exceeds net profit check</t>
  </si>
  <si>
    <t>Total beneficial ownership</t>
  </si>
  <si>
    <t>Warning: Minimum shareholding requirements may not be met.
Check credit policy for self-employed eligibility criteria.</t>
  </si>
  <si>
    <t>Warning: Minimum shareholding requirements to use undistributed profits may not be met.
Check credit policy for self-employed eligibility criteria.
Other income from company (salary, dividends) may still be used.</t>
  </si>
  <si>
    <t>Z</t>
  </si>
  <si>
    <t>SEBBeneficialOwnershipLYApp1</t>
  </si>
  <si>
    <t>SEBBeneficialOwnershipLYApp2</t>
  </si>
  <si>
    <t>SEBBeneficialOwnershipLYApp3</t>
  </si>
  <si>
    <t>SEBBeneficialOwnershipLYApp4</t>
  </si>
  <si>
    <t>SEBBeneficialOwnershipLYApp5</t>
  </si>
  <si>
    <t>SEBBeneficialOwnershipLYApp6</t>
  </si>
  <si>
    <t>SEBBeneficialOwnershipPYApp1</t>
  </si>
  <si>
    <t>SEBBeneficialOwnershipPYApp2</t>
  </si>
  <si>
    <t>SEBBeneficialOwnershipPYApp3</t>
  </si>
  <si>
    <t>SEBBeneficialOwnershipPYApp4</t>
  </si>
  <si>
    <t>SEBBeneficialOwnershipPYApp5</t>
  </si>
  <si>
    <t>SEBBeneficialOwnershipPYApp6</t>
  </si>
  <si>
    <t>Adjusted beneficial ownership %</t>
  </si>
  <si>
    <t>FrankingCreditAnnualAmount</t>
  </si>
  <si>
    <t>Income for Apportioning ratio</t>
  </si>
  <si>
    <t>Self-employed Latest year assessment requires referral to credit when the volatility test fails (Year-on-year increase in adjusted profit is greater than 60%.)</t>
  </si>
  <si>
    <t>Distribution amount</t>
  </si>
  <si>
    <t>Interest rate buffer</t>
  </si>
  <si>
    <t>Annual base income</t>
  </si>
  <si>
    <t>Annual non-base income</t>
  </si>
  <si>
    <t>Annual bonus income</t>
  </si>
  <si>
    <t>HelpID</t>
  </si>
  <si>
    <t>HelpHeading</t>
  </si>
  <si>
    <t>Collateral LVR</t>
  </si>
  <si>
    <t>Select 'Yes' if OBP says LMI is required or 'No' if it is not required.</t>
  </si>
  <si>
    <t>Optional. Capture the ownership entity to guide yourself in debt allocation.</t>
  </si>
  <si>
    <t>Capture the premium amount here if the customer wishes to capitalise LMI.</t>
  </si>
  <si>
    <t>Calculator</t>
  </si>
  <si>
    <t>LVR Override</t>
  </si>
  <si>
    <t>Other Income</t>
  </si>
  <si>
    <t>Foreign currency pension received to foreign bank account</t>
  </si>
  <si>
    <t>Household Expenditure Measure (HEM)</t>
  </si>
  <si>
    <t>Apportioned comparable expenses</t>
  </si>
  <si>
    <t>Apportioned non-comparable expenses</t>
  </si>
  <si>
    <t>Rent, board, or live with parents?</t>
  </si>
  <si>
    <t>Rent / board monthly payment</t>
  </si>
  <si>
    <t>Clothes</t>
  </si>
  <si>
    <t>Medical</t>
  </si>
  <si>
    <t>Childcare</t>
  </si>
  <si>
    <t>Entertainment</t>
  </si>
  <si>
    <t>Phone</t>
  </si>
  <si>
    <t>Telephone accounts (home and mobile), internet, pay TV and media streaming subscriptions (such as Netflix and Spotify).</t>
  </si>
  <si>
    <t>PrivateSchool</t>
  </si>
  <si>
    <t>RentConfirm</t>
  </si>
  <si>
    <t>InvestmentCosts</t>
  </si>
  <si>
    <t>PublicSchool</t>
  </si>
  <si>
    <t>HigherEducation</t>
  </si>
  <si>
    <t>Insurance</t>
  </si>
  <si>
    <t>PRCosts</t>
  </si>
  <si>
    <t>OOPAdditional</t>
  </si>
  <si>
    <t>OOSCosts</t>
  </si>
  <si>
    <t>OtherInsurance</t>
  </si>
  <si>
    <t>Self-employed Business</t>
  </si>
  <si>
    <t>SMSF Distribution figures must be used not SMSF Income.</t>
  </si>
  <si>
    <t>A fixed, regular payment in recognition of services rendered. The income is usually paid to cover a specific cost e.g. payments for food, housing, phone, or motor vehicle costs. 
The use of stipend income is only available to a member of the clergy and not to be extended to other recipient types, for example graduates or scholarship participants. 
Stipend can be can be considered on an 'untaxed' basis when that portion of the stipend is currently paid on an untaxed basis and will continue to be paid on an untaxed basis without condition or subject to change, otherwise it must be treated as taxed income.</t>
  </si>
  <si>
    <t>Family Tax Benefit part A base is acceptable income provided the maximum age of dependant children is up to but not including 11 years of age (i.e. is payable for the next 5 years.)
Family Tax Benefit part A supplements are not acceptable income.</t>
  </si>
  <si>
    <t>Family Tax Benefit part B base (member of a couple) is acceptable income provided the maximum age of dependant children is up to but not including 8 years of age (i.e. is payable for the next 5 years)
Family Tax Benefit part B base (single parent) is acceptable income provided the maximum age of dependant children is up to but not including 11 years of age (i.e. is payable for the next 5 years)
Family Tax Benefit part B supplements are not acceptable income.</t>
  </si>
  <si>
    <t>Enter the number of dependants aged under 8.
Only applies when Family Tax Benefit income is included.</t>
  </si>
  <si>
    <t>Enter the number of dependants aged under 11. This should also include any dependants aged under 8.
Only applies when Family Tax Benefit income is included.</t>
  </si>
  <si>
    <t>Answer "Yes", if the applicant will be renting/boarding, or living with parents/relatives post settlement. 
This is regardless of any payments to be made for any living arrangement.</t>
  </si>
  <si>
    <t>Capture collateral level information in these columns.
Can also be used to capture a guarantee supporting the new loan.</t>
  </si>
  <si>
    <t>The amount of equity available to allocate against exposure.
This value does not need to be zero after completing debt allocation. 
In some LMI Scenarios, this value will be negative for security collateral.</t>
  </si>
  <si>
    <t>Security is a collateral supporting the new lending.
Asset is a collateral that is indirectly linked to a security through existing lending.</t>
  </si>
  <si>
    <t>The debt remaining to allocate to collateral.
This figure should be zero against all loans after completing debt allocation.</t>
  </si>
  <si>
    <t>Capture the higher of the balance or limit.
Also used to capture guarantee or other bank charge amounts. Apply the relevant buffer to bank charges.</t>
  </si>
  <si>
    <t>Capture the account number of existing loans.
Capture the new loan as ‘New Loan’ or the Submission ID.
Also used to capture guarantees and other bank charges.</t>
  </si>
  <si>
    <t>Refer to policy and capture the collateral-level policy LVR for the property. 
E.g. if a serviced apartment, LVR=70%.
Note this may influence whether LMI is permitted. 
Guarantees supporting the new loan should be captured at LVR=100%.</t>
  </si>
  <si>
    <t>In most cases simply capture the full market value.
If only a portion of the ownership entity's share is relevant for debt allocation, then capture only the originating entity's ownership proportion of the market value.</t>
  </si>
  <si>
    <t>Capture the collateral address.
If capturing a family guarantee supporting the new loan, capture as the guarantee account number or as ‘Family Guarantee’.</t>
  </si>
  <si>
    <t>Typical supermarket shop for groceries including food and toiletries.</t>
  </si>
  <si>
    <t>Medical and health costs including doctor, dental, optical and pharmaceutical etc. (excluding health insurance which is categorised under ‘Insurance (Life, Health, Sickness and Personal Accident)’).</t>
  </si>
  <si>
    <t>Childcare fees including nannies.</t>
  </si>
  <si>
    <t>Education fees, books, uniforms and associated costs for public schooling (preschool, primary or secondary).</t>
  </si>
  <si>
    <t>Fees, accommodation, books and associated costs for higher education (tertiary) and vocational training.
e.g.  university, TAFE, business college, drama, music, dance (excluding HECS).</t>
  </si>
  <si>
    <t>Insurance costs such as personal belongings, travel and ambulance insurance, as well as any compulsory insurance of motor vehicles (combined insurance and registration) other than recreation vehicles.
Excludes property related insurance costs (building, contents etc) as well as life, health, sickness and personal accident insurance.</t>
  </si>
  <si>
    <t>Public transport, motor vehicle running costs including fuel, servicing, parking and tolls (excluding motor vehicle insurance which is categorised under insurance).</t>
  </si>
  <si>
    <t>Recreation and entertainment including alcohol, tobacco, gambling, restaurants, membership fees, pet care, domestic holidays.</t>
  </si>
  <si>
    <t>Costs associated with any secondary residences, either rented or owned for non-investment purposes, such as a holiday property that is not rented to generate income, or a property that family members (parents or children) are allowed to live in rent-free. Includes rates, taxes, levies, body corporate and strata fees, repairs and maintenance, insurance (building, contents etc), all other utilities and other household costs for fixtures and fittings.</t>
  </si>
  <si>
    <t>Hospital, medical and dental health insurance, sickness and personal accident insurance, life insurance.</t>
  </si>
  <si>
    <t>Tuition fees, school fees, sports fees, books, uniforms and associated costs for private schooling, including independent schools (Catholic or non-Catholic), private tuition (such as Kumon and Kip McGrath) and compulsory age kindergarten/ reception/pre-primary/prep.</t>
  </si>
  <si>
    <t>Any other regular or recurring expenses not covered by the specific categories above (e.g. overseas holidays, purchase and maintenance of recreation vehicles (caravan, boat etc), cleaning or gardening services, etc.).</t>
  </si>
  <si>
    <t>Rent or board payments. Spousal applicants paying rent/board should have half of the actual commitment applied to each spouse.</t>
  </si>
  <si>
    <t>Employer income verification method</t>
  </si>
  <si>
    <t>Living expenses verification method</t>
  </si>
  <si>
    <t>ExpensesComparable</t>
  </si>
  <si>
    <t>Serviceability</t>
  </si>
  <si>
    <t>ExpensesNotComparable</t>
  </si>
  <si>
    <t>These living expense categories will be compared to the HEM value and the higher of the declared expenses or HEM will be used in the serviceability calculation
-Clothing / personal care
-Groceries
-Medical / health (excluding health insurance)
-Childcare fees
-Public or government primary &amp; secondary education costs
-Higher education &amp; vocational training costs
-Insurance (excluding life, health, sickness and personal accident)
-Telephone / internet / pay TV / media streaming subscriptions
-Transport
-Recreation / entertainment
-Primary residence costs (including insurance)</t>
  </si>
  <si>
    <t>Non-applicant spouse income section</t>
  </si>
  <si>
    <t>NonApplicantSpouse</t>
  </si>
  <si>
    <t>Outgoing child support (maintenance) payments and alimony (spousal support) payments.</t>
  </si>
  <si>
    <t>This data is updated quarterly when required. Credit Risk will provide updated HEM Data Tables to be copied and pasted into the appropriate tables below.</t>
  </si>
  <si>
    <t>Annuity - A guaranteed income received from life insurance companies or super funds. 
Private pension - A pension paid to a person from monies invested in savings schemes or mutual funds run by insurance companies.
Superannuation - A pension paid to a person from monies invested in a superannuation fund.</t>
  </si>
  <si>
    <t>Acceptable payments: Age pension, Service pension, and Disability support pension.
These income sources may additionally include a "pension supplement' or "pension basic supplement" which is also acceptable income assessed at 100%. 
Note: Other social security allowances which may be payable (e.g. pharmaceutical and telephone allowances) are not acceptable income sources. Any social security payment, paid annually, is not acceptable for use in serviceability calculations.</t>
  </si>
  <si>
    <t>Consistent salary credit amount</t>
  </si>
  <si>
    <t>Lowest salary credit amount</t>
  </si>
  <si>
    <t>AICPermanentAccountCreditLowest</t>
  </si>
  <si>
    <t>AICPermanentAccountCreditConsistent</t>
  </si>
  <si>
    <t>Perm Account credits variance</t>
  </si>
  <si>
    <r>
      <t xml:space="preserve">Exchange rate </t>
    </r>
    <r>
      <rPr>
        <sz val="10"/>
        <color theme="3"/>
        <rFont val="Arial"/>
        <family val="2"/>
      </rPr>
      <t>(manual lookup and entry required)</t>
    </r>
  </si>
  <si>
    <t>4. Foreign Income is to be assessed at 100%. To convert foreign income to AUD please lookup the exchange rate from http://www.xe.com/ and enter it into the calculator as required.</t>
  </si>
  <si>
    <t>Most recent pay date</t>
  </si>
  <si>
    <t>Assessed Franking Credit</t>
  </si>
  <si>
    <t>OICAssessedFrankingCredit</t>
  </si>
  <si>
    <t>FrankingCredit</t>
  </si>
  <si>
    <t>Assessed franking credits</t>
  </si>
  <si>
    <t>SEFrankingCredit</t>
  </si>
  <si>
    <t>AssessedFrankingCredit</t>
  </si>
  <si>
    <t>Partnership or Trust: When the partnership or trust received a franking credit and has passed a franking credit tax offset to the applicant this can be included in the assessment.
Note: The franking credit amount is validated against the distribution amount and if the franking credit exceeds 30% of the distribution, the cell is highlighted to indicate a possible data entry error. Please check data entered for both the distribution and franking credit. This is just a warning to help prevent data entry errors and does not stop the impact the income calculations.
Company: If the company has paid a Franking Credit, include the actual Franking Credit received by the applicant.</t>
  </si>
  <si>
    <t>Adjusted franking credits</t>
  </si>
  <si>
    <t>The franking credits amount entered is validated against the dividend amount. If the franking credit entered is greater than 30% of the grossed up dividend, the amount is capped and the value is displayed as the 'Adjusted franking credits' amount for each applicant.</t>
  </si>
  <si>
    <t>OICInterestFrequencyLY</t>
  </si>
  <si>
    <t>OICInterestLY</t>
  </si>
  <si>
    <t>OICDividendFrequencyLY</t>
  </si>
  <si>
    <t>OICDividendLY</t>
  </si>
  <si>
    <t>OICDividendFrankingCreditUnshadedIncome</t>
  </si>
  <si>
    <t>OICInterestUnshadedIncome</t>
  </si>
  <si>
    <t>Gross Interest</t>
  </si>
  <si>
    <t>Gross Dividends / Franking credits</t>
  </si>
  <si>
    <t>Dividend</t>
  </si>
  <si>
    <t>Interest income is ongoing income earned (post loan draw down) from cash investments.</t>
  </si>
  <si>
    <t>Dividend income is ongoing income (post loan draw down) earned from ASX listed shareholdings.
The source of the dividend must not be from own company.</t>
  </si>
  <si>
    <t>Franking credits - Franking credits received from ASX listed shares can be included in the assessment. Franking credits are added to taxable income and reduce tax payable.
The franking credit amount entered is validated against the dividend amount. If the franking credit entered is greater than 30% of the grossed up dividend, the amount is capped and the data entry cell is highlighted to indicate this validation error.</t>
  </si>
  <si>
    <t>Company tax rate floor</t>
  </si>
  <si>
    <t>Casual weeks to annualise - no longer used as only 48 weeks is valid</t>
  </si>
  <si>
    <t>Annualised gross income from transaction history</t>
  </si>
  <si>
    <t>Annualised net income from transaction history</t>
  </si>
  <si>
    <t>Family employee previous income assessed amount</t>
  </si>
  <si>
    <t>Is LMI required</t>
  </si>
  <si>
    <t>Collateral section</t>
  </si>
  <si>
    <t>Collateral type</t>
  </si>
  <si>
    <t>Balance / limit</t>
  </si>
  <si>
    <t>LMI capitalised premium</t>
  </si>
  <si>
    <t>Return from self-managed super fund (SMSF)</t>
  </si>
  <si>
    <t>Family tax benefit A</t>
  </si>
  <si>
    <t>Family tax benefit B</t>
  </si>
  <si>
    <t>Family tax benefit dependants under 8</t>
  </si>
  <si>
    <t>Family tax benefit dependants under 11</t>
  </si>
  <si>
    <t>Investment property costs (including insurance)</t>
  </si>
  <si>
    <t>Only government approved child support payments will be considered.
May only be considered when received by an applicant as supplementary income (i.e. in addition to PAYG or self-employed income).
Maximum age of dependant children is up to but not including 13 years of age at time of application.</t>
  </si>
  <si>
    <t>Alimony</t>
  </si>
  <si>
    <t>Transaction history</t>
  </si>
  <si>
    <t>Mandatory field checks</t>
  </si>
  <si>
    <t>2 payslips</t>
  </si>
  <si>
    <t>Permanent income checks</t>
  </si>
  <si>
    <t>Permanent Group2 Required</t>
  </si>
  <si>
    <t>YTD Transition Flag</t>
  </si>
  <si>
    <t>Permanent account credits variance threshold</t>
  </si>
  <si>
    <t>AICPermanentTransactionHistoryAnnualGrossBase</t>
  </si>
  <si>
    <t>AICPermanentTransactionHistoryLowestDeposit</t>
  </si>
  <si>
    <t>AICCasualTransactionHistoryLowestDeposit</t>
  </si>
  <si>
    <t>AICCasualTransactionHistoryAnnualGrossBase</t>
  </si>
  <si>
    <t>AICCasualYTDPayslipFlag</t>
  </si>
  <si>
    <t>AICPermanentYTDPayslipCoverageMonths</t>
  </si>
  <si>
    <t>Casual income checks</t>
  </si>
  <si>
    <t>Casual Pre-Tax Deduction Mandatory Field Check</t>
  </si>
  <si>
    <t>Permanent Group 2 transaction history allowed</t>
  </si>
  <si>
    <t>Annualised YTD casual pay excluding salary sacrifice</t>
  </si>
  <si>
    <t>Permanent Annual Number of Pays</t>
  </si>
  <si>
    <t>Casual Annual Number of Pays</t>
  </si>
  <si>
    <t>Annualised No YTD total pay inc salary sacrifice</t>
  </si>
  <si>
    <t>YTD Annual casual income</t>
  </si>
  <si>
    <t>YTD Annual bonus</t>
  </si>
  <si>
    <t>No YTD Annual casual income</t>
  </si>
  <si>
    <t>No YTD Annual bonus</t>
  </si>
  <si>
    <t>YTD Annual base</t>
  </si>
  <si>
    <t>YTD Annual non-base</t>
  </si>
  <si>
    <t>No YTD Annual base</t>
  </si>
  <si>
    <t>No YTD Annual non-base</t>
  </si>
  <si>
    <t>Permanent PreTax Deduction Mandatory Field Check</t>
  </si>
  <si>
    <t>Permanent No YTD income calculations</t>
  </si>
  <si>
    <t>Permanent YTD income calculations</t>
  </si>
  <si>
    <t>Permanent non-base income supported check</t>
  </si>
  <si>
    <t>Calculation type</t>
  </si>
  <si>
    <t>YTD salary sacrifice adjustment amount</t>
  </si>
  <si>
    <t>YTD income less YTD bonus paid and adjusted for salary sacrifice</t>
  </si>
  <si>
    <r>
      <t xml:space="preserve">YTD total </t>
    </r>
    <r>
      <rPr>
        <b/>
        <sz val="9"/>
        <color rgb="FF0074C4"/>
        <rFont val="Arial"/>
        <family val="2"/>
      </rPr>
      <t>GROSS</t>
    </r>
    <r>
      <rPr>
        <sz val="9"/>
        <color rgb="FF0074C4"/>
        <rFont val="Arial"/>
        <family val="2"/>
      </rPr>
      <t xml:space="preserve"> income less YTD bonus paid (adjusts for YTD total = 'Taxable')</t>
    </r>
  </si>
  <si>
    <r>
      <t xml:space="preserve">Annualised YTD </t>
    </r>
    <r>
      <rPr>
        <b/>
        <sz val="9"/>
        <color rgb="FF0074C4"/>
        <rFont val="Arial"/>
        <family val="2"/>
      </rPr>
      <t>GROSS</t>
    </r>
    <r>
      <rPr>
        <sz val="9"/>
        <color rgb="FF0074C4"/>
        <rFont val="Arial"/>
        <family val="2"/>
      </rPr>
      <t xml:space="preserve"> income less YTD bonus paid</t>
    </r>
  </si>
  <si>
    <t>Annualised base income (ignores salary sacrifice)</t>
  </si>
  <si>
    <t>Annualised YTD GROSS income including YTD bonus paid</t>
  </si>
  <si>
    <t>Annualised non-base income (method 2)</t>
  </si>
  <si>
    <t>Annualised non-base income (method 1)</t>
  </si>
  <si>
    <t>Last 2 payslips detailing base salary or</t>
  </si>
  <si>
    <t>YTD pay slip detailing base salary, covering last 2 pay cycles</t>
  </si>
  <si>
    <t>Gross base foreign income amount</t>
  </si>
  <si>
    <t>Gross foreign rental income amount</t>
  </si>
  <si>
    <t>Gross foreign amount held in bank account</t>
  </si>
  <si>
    <t>Gross foreign income amount</t>
  </si>
  <si>
    <t>Gross foreign child support amount</t>
  </si>
  <si>
    <t>Gross foreign rental outgoings amount</t>
  </si>
  <si>
    <t>AICPermanentYTDPayslipNonBaseMinimumCoverageMonths</t>
  </si>
  <si>
    <t>Casual YTD income calculations</t>
  </si>
  <si>
    <t>Casual No YTD income calculations</t>
  </si>
  <si>
    <t>YTD calculations</t>
  </si>
  <si>
    <t>Annualised YTD casual pay adjusted for salary sacrifice</t>
  </si>
  <si>
    <t>Housing and property expenses on investment property including rates, taxes, levies, body corporate and strata fees, repairs and maintenance, insurance (building, contents etc), all other utilities and household costs for fixtures and fittings.
NB: The frequency selected applies to both the rent and the investment property costs. E.g. If rent is entered as a weekly amount, investment property costs should also be entered as a weekly amount.</t>
  </si>
  <si>
    <t>Portfolio total monthly fees</t>
  </si>
  <si>
    <t>NotionalTerm</t>
  </si>
  <si>
    <t>SELNotionalTerm</t>
  </si>
  <si>
    <t>Commercial bill</t>
  </si>
  <si>
    <t>Tax debt</t>
  </si>
  <si>
    <t>UseRepayment</t>
  </si>
  <si>
    <t>Buffer</t>
  </si>
  <si>
    <t>FloorRate</t>
  </si>
  <si>
    <t>Inter-entity loan</t>
  </si>
  <si>
    <t>UseRate</t>
  </si>
  <si>
    <t>UseFee</t>
  </si>
  <si>
    <t>UseNotionalTerm</t>
  </si>
  <si>
    <t>UseAccountNumber</t>
  </si>
  <si>
    <t>Remaining or Notional Term</t>
  </si>
  <si>
    <t>Notional term lookup table name</t>
  </si>
  <si>
    <t>DefaultNotionalTerm</t>
  </si>
  <si>
    <t>Maximum
default
term
(years)</t>
  </si>
  <si>
    <t>Please complete all mandatory fields.</t>
  </si>
  <si>
    <t>Distribution sign check</t>
  </si>
  <si>
    <t>NetProfitLoss</t>
  </si>
  <si>
    <t>Use business tax returns for the starting net profit figure.  NOT the business financials.
The item from tax return to use as the starting point is different for each business type. Use the following:
* Company - item 7 in business tax return
* Trust - item 26 in business tax return
* Partnership - item 20 in business tax return
* Sole trader - item P8 in individual's tax return</t>
  </si>
  <si>
    <t>UseUndistributedProfit</t>
  </si>
  <si>
    <t xml:space="preserve">Selecting "Yes" will give applicant's their share of business profits. </t>
  </si>
  <si>
    <t xml:space="preserve">Selecting "Yes" will give applicant's their share of add-backs. </t>
  </si>
  <si>
    <t>UseTrustAddBack</t>
  </si>
  <si>
    <t>Self-employed business setup assistant</t>
  </si>
  <si>
    <t>Number of business entities</t>
  </si>
  <si>
    <t>Max row number for dynamic list in C7</t>
  </si>
  <si>
    <t>Self-employed Income Calculator</t>
  </si>
  <si>
    <t>HasDirectOwnership</t>
  </si>
  <si>
    <t>Repayment pause calculator</t>
  </si>
  <si>
    <t>Months</t>
  </si>
  <si>
    <t>Product</t>
  </si>
  <si>
    <t>Short term maturity date</t>
  </si>
  <si>
    <t>Interest only maturity date</t>
  </si>
  <si>
    <t>Repayment frequency</t>
  </si>
  <si>
    <t>PausePeriod</t>
  </si>
  <si>
    <t>PauseFactor</t>
  </si>
  <si>
    <t>PaymentDay</t>
  </si>
  <si>
    <t>RepaymentType</t>
  </si>
  <si>
    <t>Balance enquiry date</t>
  </si>
  <si>
    <t>Pause period</t>
  </si>
  <si>
    <t>12 months</t>
  </si>
  <si>
    <t>3 months</t>
  </si>
  <si>
    <t>Monday</t>
  </si>
  <si>
    <t>Interest only</t>
  </si>
  <si>
    <t>Current balance</t>
  </si>
  <si>
    <t>4 months</t>
  </si>
  <si>
    <t>Tuesday</t>
  </si>
  <si>
    <t>Principle and interest</t>
  </si>
  <si>
    <t>Next payment transfer date</t>
  </si>
  <si>
    <t>Day of payment</t>
  </si>
  <si>
    <t>5 months</t>
  </si>
  <si>
    <t>Wednesday</t>
  </si>
  <si>
    <t>Pause start option</t>
  </si>
  <si>
    <t>Repayment type</t>
  </si>
  <si>
    <t>6 months</t>
  </si>
  <si>
    <t>Thursday</t>
  </si>
  <si>
    <t>Pause start date</t>
  </si>
  <si>
    <t>7 months</t>
  </si>
  <si>
    <t>Friday</t>
  </si>
  <si>
    <t>Pause repayment amount</t>
  </si>
  <si>
    <t>8 months</t>
  </si>
  <si>
    <t>Saturday</t>
  </si>
  <si>
    <t>Pause end date</t>
  </si>
  <si>
    <t>9 months</t>
  </si>
  <si>
    <t>Sunday</t>
  </si>
  <si>
    <t>Loan pause fee</t>
  </si>
  <si>
    <t>10 months</t>
  </si>
  <si>
    <t>11 months</t>
  </si>
  <si>
    <t>LMI premium</t>
  </si>
  <si>
    <t>Pause period end debt</t>
  </si>
  <si>
    <t>Prepayment amount</t>
  </si>
  <si>
    <t>Indicative monthly repayment</t>
  </si>
  <si>
    <t>ApplicantName</t>
  </si>
  <si>
    <t>All applicants list</t>
  </si>
  <si>
    <t>ApplicantID</t>
  </si>
  <si>
    <t>AllApplicants</t>
  </si>
  <si>
    <t>Self-employed business relationship diagram</t>
  </si>
  <si>
    <t>Show additional business data</t>
  </si>
  <si>
    <t>Show applicant's beneficial ownership</t>
  </si>
  <si>
    <t>Show other applicant income</t>
  </si>
  <si>
    <t>Self-employed Applicant</t>
  </si>
  <si>
    <t>Multiple Business Setup</t>
  </si>
  <si>
    <t>Self-employed applicant income</t>
  </si>
  <si>
    <t>Current active applicant</t>
  </si>
  <si>
    <t>Fast track applicant</t>
  </si>
  <si>
    <t>Simple solvency business</t>
  </si>
  <si>
    <t>Taxable adjustment %</t>
  </si>
  <si>
    <t>Non-taxable adjustment %</t>
  </si>
  <si>
    <t>Current repayment amount</t>
  </si>
  <si>
    <t>Cycle start date</t>
  </si>
  <si>
    <t>ChargeCycle</t>
  </si>
  <si>
    <t>RepaymentDates</t>
  </si>
  <si>
    <t>ChargeCycleDates</t>
  </si>
  <si>
    <t>RepaymentFrequency</t>
  </si>
  <si>
    <t>Factor</t>
  </si>
  <si>
    <t>Calculation start date</t>
  </si>
  <si>
    <t>Mortgage pause buffer</t>
  </si>
  <si>
    <t>Next repayment date</t>
  </si>
  <si>
    <t>Balance</t>
  </si>
  <si>
    <t>Repayment date</t>
  </si>
  <si>
    <t>Repayment amount</t>
  </si>
  <si>
    <t>Charge cycle date</t>
  </si>
  <si>
    <t>Interest accrued</t>
  </si>
  <si>
    <t>Interest charge</t>
  </si>
  <si>
    <t>Repayment start date</t>
  </si>
  <si>
    <t>Next month</t>
  </si>
  <si>
    <t>Days to next month</t>
  </si>
  <si>
    <t>Days to charge cycle</t>
  </si>
  <si>
    <t>Start day of the week</t>
  </si>
  <si>
    <t>Payment day of the week</t>
  </si>
  <si>
    <t>Weekday</t>
  </si>
  <si>
    <t>General notes</t>
  </si>
  <si>
    <t>SEBGeneralNotes</t>
  </si>
  <si>
    <t>Unasssociated applicant with beneficial ownership check</t>
  </si>
  <si>
    <t>SEBIssueFlag</t>
  </si>
  <si>
    <t>Business 'issue flag'</t>
  </si>
  <si>
    <t>Warning flag</t>
  </si>
  <si>
    <t>Remaining term after pause</t>
  </si>
  <si>
    <t>Partnership: Applicant is a partner.
Company: Applicant is a director and shareholder (or non-director shareholder, where at least 1 co-applicant is a director-shareholder) and at least 50% shareholding is held amongst applicants.
Trust: Applicant is a trustee (or director/shareholder of corporate trustee) and beneficiary (or non-trustee beneficiary, where co-applicant is a spouse and trustee beneficiary).
If there is an alert on a particular applicant, this means that the applicant has a beneficial ownership in this business (through links with another business), and this business is generating a loss. Guidance is to associate this applicant, to ensure losses are passed to the applicant. If the applicant is not associated, please justify this in comments on the application.</t>
  </si>
  <si>
    <t>Please review applicant associations (above). 
This business is generating a loss (or negative adjustment), and an applicant who has a beneficial ownership in this business is currently not associated. 
Without associating the applicant, they will not receive their share of the business loss (or negative adjustment).</t>
  </si>
  <si>
    <t>Assessed loss or negative adjustment from business</t>
  </si>
  <si>
    <t>Mortgage information</t>
  </si>
  <si>
    <t>Next cycle date</t>
  </si>
  <si>
    <t>Valuation fee(s)</t>
  </si>
  <si>
    <t>Charge cycle / pay day (DD)</t>
  </si>
  <si>
    <t>Serviceability term</t>
  </si>
  <si>
    <t>DefaultTerm</t>
  </si>
  <si>
    <t>DefaultTermMonths</t>
  </si>
  <si>
    <t>BDRowID</t>
  </si>
  <si>
    <t>BDColumnID</t>
  </si>
  <si>
    <t>Warning flag - review required</t>
  </si>
  <si>
    <t>These expense categories will not be compared to the HEM value and will be totalled and added as an outgo in serviceability calculations.
-Primary residence land tax
-Secondary residence / holiday home costs (including insurance)
-Insurance (life, health, sickness and personal accident)
-Private schooling and tuition costs
-Other regular and recurring expenses</t>
  </si>
  <si>
    <t>Primary residence land tax</t>
  </si>
  <si>
    <t>Land tax on owner-occupied principal place of residence (excluding investment properties, secondary residences, and properties maintained for other purposes such as holiday properties or residences maintained for parents or children).</t>
  </si>
  <si>
    <t>Housing and property expenses associated with the applicant’s primary residence, either owned or rented.
Includes rates, levies, repairs and maintenance, insurance (building, contents etc), loan account fees (new and existing), body corporate and strata fees, and all other utilities and other household costs for fixtures and fittings (excluding land tax, telephone, internet and pay TV).</t>
  </si>
  <si>
    <t>Streamlined refinance max DTI ratio</t>
  </si>
  <si>
    <t>Debt to income ratio (DTI) check</t>
  </si>
  <si>
    <t>AICPermanentBaseIncomeSupported</t>
  </si>
  <si>
    <t>ResidingWithSpouse</t>
  </si>
  <si>
    <t>Fully maintained company car maximum amount pa</t>
  </si>
  <si>
    <t>Fully maintained company car</t>
  </si>
  <si>
    <t>OICCompanyCarLY</t>
  </si>
  <si>
    <t>OICCompanyCarUnshadedIncome</t>
  </si>
  <si>
    <t>CompanyCar</t>
  </si>
  <si>
    <t>Gross company car income</t>
  </si>
  <si>
    <t>$26000 or less</t>
  </si>
  <si>
    <t>$26001 to $39000</t>
  </si>
  <si>
    <t>$64001 to $77000</t>
  </si>
  <si>
    <t>$77001 to $103000</t>
  </si>
  <si>
    <t>$103001 to $129000</t>
  </si>
  <si>
    <t>$180001 to $206000</t>
  </si>
  <si>
    <t>Derived ownership LY calculation required check</t>
  </si>
  <si>
    <t>Derived ownership PY calculation required check</t>
  </si>
  <si>
    <t>FutureIncomeYear</t>
  </si>
  <si>
    <t>Future income year</t>
  </si>
  <si>
    <t>Verified</t>
  </si>
  <si>
    <t>Stipend income requires referral to credit</t>
  </si>
  <si>
    <t>EmployerIncomeMethod</t>
  </si>
  <si>
    <t>ExpensesMethod</t>
  </si>
  <si>
    <t>Select the employer income verification method required.
‘Estimate’ is a faster way to enter data and allows an annual employer income estimate to be entered for each applicant. Please note that serviceability results may be less accurate when using estimated income.
‘Verified’ allows for the employer income to be calculated from supporting documentation using the Employer Income Calculator.</t>
  </si>
  <si>
    <t>Select the living expenses verification method required.
‘Consolidated’ is a faster way to enter data and allows a total expenses amount to be entered for each applicant.
‘Itemised’ allows for the living expenses to be entered based on specific expense types.</t>
  </si>
  <si>
    <t>RITDInterestExpense</t>
  </si>
  <si>
    <t>Charges on the principal amount of a loan for a rental property are known as interest expenses.
Borrowers can claim a deduction for the interest charged on the loan or a portion of the interest.
The property must be rented or available for rent in the income year to claim a deduction for the interest expenses.
The use of investment property loan interest expense tax deductions in serviceability is not mandatory.
Note: This is sometimes referred to as 'negative gearing' but the tax deduction can be used regardless of the type of gearing that applies to the investment property.</t>
  </si>
  <si>
    <t>Display decision</t>
  </si>
  <si>
    <t>Serviceability Result Issues</t>
  </si>
  <si>
    <t>Shared equity guarantee calculator</t>
  </si>
  <si>
    <t>Loan amount</t>
  </si>
  <si>
    <t>Liability ownership percentage</t>
  </si>
  <si>
    <t>Applicant type</t>
  </si>
  <si>
    <t>Total ownership percentage</t>
  </si>
  <si>
    <t>Ownership percentage check</t>
  </si>
  <si>
    <t>Available equity and maximum new lending</t>
  </si>
  <si>
    <t>Shared Equity Guarantee</t>
  </si>
  <si>
    <t>The maximum non-LMI application (e.g. non-guarantee security collateral, purpose, borrower type) LVR as per Loan to Value (LVR) policy.</t>
  </si>
  <si>
    <t>SEGPropertyValue</t>
  </si>
  <si>
    <t>SEGMaxLVR</t>
  </si>
  <si>
    <t>SEGApplicantOwnership</t>
  </si>
  <si>
    <t>SEGExistingLending</t>
  </si>
  <si>
    <t>Maximum equity in the guarantee security collateral</t>
  </si>
  <si>
    <t>Existing internal debts that are secured by the guarantee collateral</t>
  </si>
  <si>
    <t>Available equity in the guarantee security collateral</t>
  </si>
  <si>
    <t>Number of applicants (borrowers and guarantors)</t>
  </si>
  <si>
    <t>Existing internal lending</t>
  </si>
  <si>
    <t>Security collateral</t>
  </si>
  <si>
    <t>Maximum non-LMI application LVR</t>
  </si>
  <si>
    <t>The market value of the guarantee security collateral.</t>
  </si>
  <si>
    <t>Guarantee security collateral ownership percentage</t>
  </si>
  <si>
    <t>Borrower's equity in the guarantee security collateral</t>
  </si>
  <si>
    <t>Borrower's available equity in the guarantee security collateral</t>
  </si>
  <si>
    <t>The borrower's and guarantor's percentage of ownership in the guarantee security collateral.</t>
  </si>
  <si>
    <t>Any internal existing commitments (such as mortgages, pledges, debts, guarantees, business overdrafts or other liabilities) which are secured by the guarantee security collateral.
Within Westpac: St.George, Bank of Melbourne, BankSA and RAMS are considered to be ‘other’ financial institutions.
Within St.George, Bank of Melbourne and BankSA: Westpac and RAMS are considered to be ‘other’ financial institutions.
Unacceptable security collateral if secured by a first mortgage to an ‘other’ financial institution.</t>
  </si>
  <si>
    <t>Guarantee security collateral market value</t>
  </si>
  <si>
    <t>Total existing lending</t>
  </si>
  <si>
    <t>Shared equity guarantee</t>
  </si>
  <si>
    <t>$39001 to $52000</t>
  </si>
  <si>
    <t>$52001 to $64000</t>
  </si>
  <si>
    <t>$129001 to $155000</t>
  </si>
  <si>
    <t>$155001 to $180000</t>
  </si>
  <si>
    <t>$206001 to $258000</t>
  </si>
  <si>
    <t>$258001 to $322000</t>
  </si>
  <si>
    <t>$322001 to $386000</t>
  </si>
  <si>
    <t>$386001 to $644000</t>
  </si>
  <si>
    <t>$644001 or more</t>
  </si>
  <si>
    <t>Maximum loan amount</t>
  </si>
  <si>
    <t>SEGTotAvailEquity</t>
  </si>
  <si>
    <t>SEGTotalLending</t>
  </si>
  <si>
    <t>SEGBorEquity</t>
  </si>
  <si>
    <t>SEGMaxEquity</t>
  </si>
  <si>
    <t>SEGBorAvailEquity</t>
  </si>
  <si>
    <t>SEGMaxLoan</t>
  </si>
  <si>
    <t>This is the maximum equity in the security collateral based on the LVR percentage and the market value.
Multiply the 'Guarantee security collateral market value' by the 'Maximum non-LMI application LVR'.</t>
  </si>
  <si>
    <t>This is the borrower's portion of the maximum equity in the security collateral based on the borrower's ownership percentage.
Multiply the 'Maximum equity in the guarantee security collateral' by each borrower's 'Guarantee security collateral ownership percentage'.
Any guarantors will show zero as we only calculate the borrower's equity.</t>
  </si>
  <si>
    <t>This is the maximum loan amount permitted by policy.
This amount is the lower of the 'Available equity in the guarantee security collateral' or the total 'Borrower's available equity in the guarantee security collateral'.</t>
  </si>
  <si>
    <t>This is the borrower's remaining equity in the guarantee security collateral after the borrower's share of existing lending is removed.
Deduct the borrower's 'Total existing lending' amount from the 'Borrower's equity in the guarantee security collateral' for each borrower.
If the borrower's total lending amount exceeds the borrower's equity amount, the borrower is excluded from the calculations and a warning message is displayed.
Any guarantors will show zero as we only calculate the borrower's equity.
The 'Total' is the sum of all borrower's available equity amounts.</t>
  </si>
  <si>
    <t>This is the maximum available equity in the security collateral after any internal existing lending.
Deduct the 'Total existing lending' amount from the 'Maximum equity in the guarantee security collateral'.</t>
  </si>
  <si>
    <t>This is the total of all internal existing loans which are secured by the guarantee security collateral.
The subtotal for each borrower is also calculated and displayed.
For each borrower, multiply each 'Loan amount' by the 'Liability ownership percentage' and then sum all the results to get the total lending values.</t>
  </si>
  <si>
    <t>New Lending</t>
  </si>
  <si>
    <t>LoanType</t>
  </si>
  <si>
    <t>MaxIOTerm</t>
  </si>
  <si>
    <t>MaxTerm</t>
  </si>
  <si>
    <t>RepaymentTermCalcType</t>
  </si>
  <si>
    <t>UseIOTerm</t>
  </si>
  <si>
    <t>ValidTerm</t>
  </si>
  <si>
    <t>ValidIOTerm</t>
  </si>
  <si>
    <t>NewLoanType</t>
  </si>
  <si>
    <t>PW_WBC</t>
  </si>
  <si>
    <t>Ownership % check</t>
  </si>
  <si>
    <t>SEGLoanAmount</t>
  </si>
  <si>
    <t>Enter the higher of the outstanding balance or the limit for any existing internal commitments.</t>
  </si>
  <si>
    <t>The 'Apportioning spousal household expenses and common debts' policy option allows household expenses and commitments to be apportioned between the applicant and the applicant’s spouse when the applicant’s spouse is not an applicant or income reliant guarantor, on the new loan application being assessed.
Use this section to enter income for a non-applicant spouse only when you need to use the apportioning policy option.
The portion of the expense or commitment repayment used in the serviceability assessment will be based on the applicant’s contribution to household income i.e. by calculating the applicant’s income as a percentage of total household income (i.e. applicant + spouse income) and applying that same percentage to shared household living expenses and commitments.</t>
  </si>
  <si>
    <t>Mandatory fields check</t>
  </si>
  <si>
    <t>Loan type mandatory</t>
  </si>
  <si>
    <t>YTD Annualisation variance check</t>
  </si>
  <si>
    <t>Employer income base income annualisation variance threshold</t>
  </si>
  <si>
    <t>FinalInterestRate</t>
  </si>
  <si>
    <t>Final interest rate</t>
  </si>
  <si>
    <t>The loan interest rate that applies to the new mortgage and includes any life of loan rate adjustments or discounts, and excludes short term or honeymoon rates / discounts.
1) Use the variable principal and interest (P&amp;I) rate in the following cases:
- variable P&amp;I loans
- variable interest only (IO) loans where the IO term is less than the total remaining loan term
- fixed rate P&amp;I loans where the fixed term is less than the total remaining loan term
- fixed rate IO loans where the IO term is less than the total remaining loan term
2) Use the fixed P&amp;I rate in the following case:
- fixed rate P&amp;I loans where the fixed term is equal to the total remaining loan term
3) Use the variable IO rate in the following cases:
- variable rate IO loans where the IO term is equal to the total remaining loan term
- fixed rate IO loans where the fixed term is less than the total remaining loan term AND the IO term is equal to the total remaining loan term
4) Use the fixed IO rate in the following case:
- fixed rate IO loans where the fixed term is equal to the total remaining loan term AND the IO term is equal to the total remaining loan term</t>
  </si>
  <si>
    <t>9.04.06</t>
  </si>
  <si>
    <t>TP</t>
  </si>
  <si>
    <t>Consolidated</t>
  </si>
  <si>
    <t>craig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</si>
</sst>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quot;$&quot;#,##0.00_);\(&quot;$&quot;#,##0.00\)"/>
    <numFmt numFmtId="165" formatCode="&quot;$&quot;#,##0.00_);[Red]\(&quot;$&quot;#,##0.00\)"/>
    <numFmt numFmtId="166" formatCode="_(&quot;$&quot;* #,##0.00_);_(&quot;$&quot;* \(#,##0.00\);_(&quot;$&quot;* &quot;-&quot;??_);_(@_)"/>
    <numFmt numFmtId="167" formatCode="&quot;$&quot;#,##0_);\(&quot;$&quot;#,##0\)"/>
    <numFmt numFmtId="168" formatCode="&quot;$&quot;#,##0_);[Red]\(&quot;$&quot;#,##0\)"/>
    <numFmt numFmtId="169" formatCode="_(* #,##0.00_);_(* \(#,##0.00\);_(* &quot;-&quot;??_);_(@_)"/>
    <numFmt numFmtId="170" formatCode="&quot;$&quot;#,##0"/>
    <numFmt numFmtId="171" formatCode="0.0%"/>
    <numFmt numFmtId="172" formatCode="[$-C09]dd\-mmmm\-yyyy;@"/>
    <numFmt numFmtId="173" formatCode="_-&quot;$&quot;* #,##0_-;\-&quot;$&quot;* #,##0_-;_-&quot;$&quot;* &quot;-&quot;??_-;_-@_-"/>
    <numFmt numFmtId="174" formatCode="General;;&quot;&quot;"/>
    <numFmt numFmtId="175" formatCode="0.0000"/>
    <numFmt numFmtId="176" formatCode="0.000000000"/>
    <numFmt numFmtId="177" formatCode="_-[$$-C09]* #,##0.00_-;\-[$$-C09]* #,##0.00_-;_-[$$-C09]* &quot;-&quot;??_-;_-@_-"/>
    <numFmt numFmtId="178" formatCode="0.000000000000"/>
    <numFmt numFmtId="179" formatCode="General;General;&quot;&quot;"/>
    <numFmt numFmtId="180" formatCode="_(&quot;$&quot;* #,##0_);_(&quot;$&quot;* \(#,##0\);_(&quot;$&quot;* &quot;-&quot;??_);_(@_)"/>
    <numFmt numFmtId="181" formatCode="_(&quot;$&quot;* #,##0.00_);_(&quot;$&quot;* \(#,##0.00\);_(&quot;$&quot;* &quot;&quot;\-&quot;&quot;??_);_(@_)"/>
    <numFmt numFmtId="182" formatCode="#,##0;\(#,##0\)"/>
    <numFmt numFmtId="183" formatCode="&quot;$&quot;#,##0.00"/>
    <numFmt numFmtId="184" formatCode="#,##0.00;\(#,##0.00\)"/>
  </numFmts>
  <fonts count="191"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rgb="FF2D373E"/>
      <name val="Arial"/>
      <family val="2"/>
    </font>
    <font>
      <sz val="14"/>
      <color rgb="FF575F65"/>
      <name val="Arial"/>
      <family val="2"/>
    </font>
    <font>
      <sz val="16"/>
      <color rgb="FF575F65"/>
      <name val="Arial"/>
      <family val="2"/>
    </font>
    <font>
      <b/>
      <sz val="18"/>
      <color rgb="FF2D373E"/>
      <name val="Arial"/>
      <family val="2"/>
    </font>
    <font>
      <b/>
      <sz val="16"/>
      <color rgb="FF2D373E"/>
      <name val="Arial"/>
      <family val="2"/>
    </font>
    <font>
      <b/>
      <sz val="16"/>
      <name val="Arial"/>
      <family val="2"/>
    </font>
    <font>
      <sz val="10"/>
      <color rgb="FF000000"/>
      <name val="Arial"/>
      <family val="2"/>
    </font>
    <font>
      <sz val="16"/>
      <color rgb="FF000000"/>
      <name val="Arial"/>
      <family val="2"/>
    </font>
    <font>
      <b/>
      <sz val="16"/>
      <color rgb="FF000000"/>
      <name val="Arial"/>
      <family val="2"/>
    </font>
    <font>
      <b/>
      <sz val="16"/>
      <color rgb="FFC53B00"/>
      <name val="Arial"/>
      <family val="2"/>
    </font>
    <font>
      <b/>
      <sz val="16"/>
      <color rgb="FF0074C4"/>
      <name val="Arial"/>
      <family val="2"/>
    </font>
    <font>
      <b/>
      <sz val="16"/>
      <color rgb="FF008000"/>
      <name val="Arial"/>
      <family val="2"/>
    </font>
    <font>
      <b/>
      <sz val="16"/>
      <color rgb="FFC40000"/>
      <name val="Arial"/>
      <family val="2"/>
    </font>
    <font>
      <b/>
      <sz val="16"/>
      <color rgb="FF575F65"/>
      <name val="Arial"/>
      <family val="2"/>
    </font>
    <font>
      <b/>
      <sz val="24"/>
      <color rgb="FF611C4A"/>
      <name val="Arial"/>
      <family val="2"/>
    </font>
    <font>
      <b/>
      <sz val="22"/>
      <color rgb="FF611C4A"/>
      <name val="Arial"/>
      <family val="2"/>
    </font>
    <font>
      <sz val="16"/>
      <color rgb="FF2D373E"/>
      <name val="Arial"/>
      <family val="2"/>
    </font>
    <font>
      <sz val="12"/>
      <color rgb="FF575F65"/>
      <name val="Arial"/>
      <family val="2"/>
    </font>
    <font>
      <sz val="22"/>
      <color theme="0"/>
      <name val="Arial"/>
      <family val="2"/>
    </font>
    <font>
      <sz val="22"/>
      <color rgb="FFD6002B"/>
      <name val="Arial"/>
      <family val="2"/>
    </font>
    <font>
      <b/>
      <sz val="18"/>
      <color theme="0"/>
      <name val="Arial"/>
      <family val="2"/>
    </font>
    <font>
      <sz val="16"/>
      <color theme="0"/>
      <name val="Arial"/>
      <family val="2"/>
    </font>
    <font>
      <sz val="14"/>
      <color theme="1"/>
      <name val="Arial"/>
      <family val="2"/>
    </font>
    <font>
      <b/>
      <sz val="16"/>
      <color theme="0"/>
      <name val="Arial"/>
      <family val="2"/>
    </font>
    <font>
      <b/>
      <sz val="20"/>
      <color rgb="FF611C4A"/>
      <name val="Arial"/>
      <family val="2"/>
    </font>
    <font>
      <b/>
      <sz val="20"/>
      <color theme="0"/>
      <name val="Arial"/>
      <family val="2"/>
    </font>
    <font>
      <sz val="12"/>
      <color rgb="FF000000"/>
      <name val="Arial"/>
      <family val="2"/>
    </font>
    <font>
      <sz val="12"/>
      <color rgb="FF2D373E"/>
      <name val="Arial"/>
      <family val="2"/>
    </font>
    <font>
      <b/>
      <sz val="12"/>
      <color rgb="FF2D373E"/>
      <name val="Arial"/>
      <family val="2"/>
    </font>
    <font>
      <u/>
      <sz val="10"/>
      <color theme="10"/>
      <name val="Arial"/>
      <family val="2"/>
    </font>
    <font>
      <sz val="10"/>
      <color theme="0"/>
      <name val="Arial"/>
      <family val="2"/>
    </font>
    <font>
      <sz val="10"/>
      <name val="Arial"/>
      <family val="2"/>
    </font>
    <font>
      <b/>
      <sz val="10"/>
      <name val="Arial"/>
      <family val="2"/>
    </font>
    <font>
      <sz val="8"/>
      <name val="Arial"/>
      <family val="2"/>
    </font>
    <font>
      <sz val="11"/>
      <color indexed="8"/>
      <name val="Calibri"/>
      <family val="2"/>
    </font>
    <font>
      <sz val="10"/>
      <color theme="1"/>
      <name val="Arial"/>
      <family val="2"/>
    </font>
    <font>
      <sz val="10"/>
      <color rgb="FF000000"/>
      <name val="Arial"/>
      <family val="2"/>
    </font>
    <font>
      <sz val="10"/>
      <color rgb="FF000000"/>
      <name val="Arial"/>
      <family val="2"/>
    </font>
    <font>
      <sz val="12"/>
      <color theme="0"/>
      <name val="Arial"/>
      <family val="2"/>
    </font>
    <font>
      <b/>
      <sz val="12"/>
      <color theme="0"/>
      <name val="Arial"/>
      <family val="2"/>
    </font>
    <font>
      <sz val="12"/>
      <color rgb="FF006100"/>
      <name val="Calibri"/>
      <family val="2"/>
      <scheme val="minor"/>
    </font>
    <font>
      <sz val="18"/>
      <color theme="1"/>
      <name val="Arial"/>
      <family val="2"/>
    </font>
    <font>
      <b/>
      <sz val="14"/>
      <color rgb="FF611C4A"/>
      <name val="Arial"/>
      <family val="2"/>
    </font>
    <font>
      <sz val="12"/>
      <name val="Arial"/>
      <family val="2"/>
    </font>
    <font>
      <b/>
      <sz val="10"/>
      <color rgb="FF000000"/>
      <name val="Arial"/>
      <family val="2"/>
    </font>
    <font>
      <sz val="11"/>
      <color theme="0"/>
      <name val="Calibri"/>
      <family val="2"/>
      <scheme val="minor"/>
    </font>
    <font>
      <sz val="8"/>
      <color theme="3"/>
      <name val="Arial"/>
      <family val="2"/>
    </font>
    <font>
      <b/>
      <sz val="8"/>
      <color theme="3"/>
      <name val="Arial"/>
      <family val="2"/>
    </font>
    <font>
      <sz val="8"/>
      <color rgb="FF000000"/>
      <name val="Arial"/>
      <family val="2"/>
    </font>
    <font>
      <sz val="8"/>
      <color rgb="FF575F65"/>
      <name val="Arial"/>
      <family val="2"/>
    </font>
    <font>
      <sz val="8"/>
      <color theme="1"/>
      <name val="Arial"/>
      <family val="2"/>
    </font>
    <font>
      <sz val="11"/>
      <color indexed="9"/>
      <name val="Calibri"/>
      <family val="2"/>
    </font>
    <font>
      <sz val="12"/>
      <color indexed="8"/>
      <name val="Calibri"/>
      <family val="2"/>
    </font>
    <font>
      <sz val="11"/>
      <color indexed="63"/>
      <name val="Calibri"/>
      <family val="2"/>
    </font>
    <font>
      <sz val="11"/>
      <color rgb="FF0074C4"/>
      <name val="Calibri"/>
      <family val="2"/>
      <scheme val="minor"/>
    </font>
    <font>
      <sz val="10"/>
      <color rgb="FF0074C4"/>
      <name val="Arial"/>
      <family val="2"/>
    </font>
    <font>
      <sz val="8"/>
      <color theme="0"/>
      <name val="Arial"/>
      <family val="2"/>
    </font>
    <font>
      <sz val="11"/>
      <color theme="4"/>
      <name val="Calibri"/>
      <family val="2"/>
      <scheme val="minor"/>
    </font>
    <font>
      <sz val="11"/>
      <color theme="0"/>
      <name val="Calibri"/>
      <family val="2"/>
    </font>
    <font>
      <sz val="11"/>
      <color rgb="FFFF0000"/>
      <name val="Calibri"/>
      <family val="2"/>
      <scheme val="minor"/>
    </font>
    <font>
      <sz val="22"/>
      <color theme="1"/>
      <name val="Arial"/>
      <family val="2"/>
    </font>
    <font>
      <sz val="12"/>
      <color theme="1"/>
      <name val="Arial"/>
      <family val="2"/>
    </font>
    <font>
      <sz val="16"/>
      <color theme="1"/>
      <name val="Arial"/>
      <family val="2"/>
    </font>
    <font>
      <b/>
      <sz val="10"/>
      <color theme="0"/>
      <name val="Arial"/>
      <family val="2"/>
    </font>
    <font>
      <sz val="10"/>
      <color rgb="FFFF0000"/>
      <name val="Arial"/>
      <family val="2"/>
    </font>
    <font>
      <b/>
      <sz val="10"/>
      <color theme="1"/>
      <name val="Arial"/>
      <family val="2"/>
    </font>
    <font>
      <sz val="8"/>
      <color rgb="FF8C9296"/>
      <name val="Arial"/>
      <family val="2"/>
    </font>
    <font>
      <sz val="10"/>
      <color rgb="FF8C9296"/>
      <name val="Arial"/>
      <family val="2"/>
    </font>
    <font>
      <i/>
      <sz val="10"/>
      <color rgb="FF000000"/>
      <name val="Arial"/>
      <family val="2"/>
    </font>
    <font>
      <sz val="9"/>
      <name val="Arial"/>
      <family val="2"/>
    </font>
    <font>
      <sz val="9"/>
      <color rgb="FF000000"/>
      <name val="Arial"/>
      <family val="2"/>
    </font>
    <font>
      <sz val="9"/>
      <color theme="1"/>
      <name val="Arial"/>
      <family val="2"/>
    </font>
    <font>
      <b/>
      <sz val="9"/>
      <color theme="0"/>
      <name val="Arial"/>
      <family val="2"/>
    </font>
    <font>
      <sz val="9"/>
      <color rgb="FF0074C4"/>
      <name val="Arial"/>
      <family val="2"/>
    </font>
    <font>
      <b/>
      <sz val="24"/>
      <color theme="4"/>
      <name val="Arial"/>
      <family val="2"/>
    </font>
    <font>
      <b/>
      <sz val="20"/>
      <color theme="3"/>
      <name val="Arial"/>
      <family val="2"/>
    </font>
    <font>
      <b/>
      <sz val="12"/>
      <color theme="1"/>
      <name val="Arial"/>
      <family val="2"/>
    </font>
    <font>
      <i/>
      <sz val="12"/>
      <color theme="1"/>
      <name val="Arial"/>
      <family val="2"/>
    </font>
    <font>
      <sz val="14"/>
      <color theme="3"/>
      <name val="Arial"/>
      <family val="2"/>
    </font>
    <font>
      <sz val="10"/>
      <color theme="3"/>
      <name val="Arial"/>
      <family val="2"/>
    </font>
    <font>
      <b/>
      <sz val="16"/>
      <color theme="3"/>
      <name val="Arial"/>
      <family val="2"/>
    </font>
    <font>
      <sz val="18"/>
      <color theme="0"/>
      <name val="Arial"/>
      <family val="2"/>
    </font>
    <font>
      <sz val="11"/>
      <color theme="0"/>
      <name val="Arial"/>
      <family val="2"/>
    </font>
    <font>
      <sz val="12"/>
      <color theme="3"/>
      <name val="Arial"/>
      <family val="2"/>
    </font>
    <font>
      <sz val="16"/>
      <color theme="3"/>
      <name val="Arial"/>
      <family val="2"/>
    </font>
    <font>
      <b/>
      <sz val="12"/>
      <color theme="3"/>
      <name val="Arial"/>
      <family val="2"/>
    </font>
    <font>
      <b/>
      <sz val="10"/>
      <color theme="3"/>
      <name val="Arial"/>
      <family val="2"/>
    </font>
    <font>
      <b/>
      <sz val="14"/>
      <color theme="3"/>
      <name val="Arial"/>
      <family val="2"/>
    </font>
    <font>
      <b/>
      <sz val="14"/>
      <color theme="4"/>
      <name val="Arial"/>
      <family val="2"/>
    </font>
    <font>
      <sz val="11"/>
      <color theme="1"/>
      <name val="Arial"/>
      <family val="2"/>
    </font>
    <font>
      <b/>
      <sz val="12"/>
      <color theme="5"/>
      <name val="Arial"/>
      <family val="2"/>
    </font>
    <font>
      <sz val="10"/>
      <color theme="4"/>
      <name val="Arial"/>
      <family val="2"/>
    </font>
    <font>
      <b/>
      <sz val="22"/>
      <color theme="4"/>
      <name val="Arial"/>
      <family val="2"/>
    </font>
    <font>
      <sz val="11"/>
      <color theme="3"/>
      <name val="Arial"/>
      <family val="2"/>
    </font>
    <font>
      <sz val="11"/>
      <color theme="3"/>
      <name val="Calibri"/>
      <family val="2"/>
      <scheme val="minor"/>
    </font>
    <font>
      <b/>
      <sz val="14"/>
      <color theme="0"/>
      <name val="Arial"/>
      <family val="2"/>
    </font>
    <font>
      <sz val="12"/>
      <color rgb="FF611C4A"/>
      <name val="Arial"/>
      <family val="2"/>
    </font>
    <font>
      <sz val="8"/>
      <color rgb="FF0074C4"/>
      <name val="Arial"/>
      <family val="2"/>
    </font>
    <font>
      <sz val="9"/>
      <color indexed="81"/>
      <name val="Tahoma"/>
      <family val="2"/>
    </font>
    <font>
      <sz val="18"/>
      <color theme="3"/>
      <name val="Arial"/>
      <family val="2"/>
    </font>
    <font>
      <sz val="11"/>
      <color rgb="FF000000"/>
      <name val="Arial"/>
      <family val="2"/>
    </font>
    <font>
      <b/>
      <sz val="11"/>
      <color rgb="FF2D373E"/>
      <name val="Arial"/>
      <family val="2"/>
    </font>
    <font>
      <sz val="9"/>
      <color theme="3"/>
      <name val="Arial"/>
      <family val="2"/>
    </font>
    <font>
      <b/>
      <sz val="9"/>
      <color rgb="FF611C4A"/>
      <name val="Arial"/>
      <family val="2"/>
    </font>
    <font>
      <b/>
      <sz val="11"/>
      <color theme="0"/>
      <name val="Calibri"/>
      <family val="2"/>
      <scheme val="minor"/>
    </font>
    <font>
      <sz val="9"/>
      <color rgb="FFC53900"/>
      <name val="Arial"/>
      <family val="2"/>
    </font>
    <font>
      <i/>
      <sz val="11"/>
      <color theme="3"/>
      <name val="Arial"/>
      <family val="2"/>
    </font>
    <font>
      <sz val="12"/>
      <color theme="2"/>
      <name val="Arial"/>
      <family val="2"/>
    </font>
    <font>
      <b/>
      <sz val="11"/>
      <color theme="3"/>
      <name val="Arial"/>
      <family val="2"/>
    </font>
    <font>
      <b/>
      <sz val="20"/>
      <color theme="4"/>
      <name val="Arial"/>
      <family val="2"/>
    </font>
    <font>
      <sz val="10"/>
      <name val="Arial"/>
      <family val="2"/>
    </font>
    <font>
      <b/>
      <sz val="9"/>
      <color theme="3"/>
      <name val="Arial"/>
      <family val="2"/>
    </font>
    <font>
      <sz val="11"/>
      <color rgb="FF575F65"/>
      <name val="Arial"/>
      <family val="2"/>
    </font>
    <font>
      <b/>
      <sz val="11"/>
      <color rgb="FF611C4A"/>
      <name val="Arial"/>
      <family val="2"/>
    </font>
    <font>
      <b/>
      <sz val="11"/>
      <color rgb="FF000000"/>
      <name val="Arial"/>
      <family val="2"/>
    </font>
    <font>
      <b/>
      <sz val="20"/>
      <color theme="5"/>
      <name val="Arial"/>
      <family val="2"/>
    </font>
    <font>
      <sz val="11"/>
      <color rgb="FF611C4A"/>
      <name val="Arial"/>
      <family val="2"/>
    </font>
    <font>
      <sz val="11"/>
      <name val="Arial"/>
      <family val="2"/>
    </font>
    <font>
      <b/>
      <sz val="11"/>
      <color theme="4"/>
      <name val="Arial"/>
      <family val="2"/>
    </font>
    <font>
      <sz val="24"/>
      <color theme="4"/>
      <name val="Arial"/>
      <family val="2"/>
    </font>
    <font>
      <sz val="10"/>
      <color rgb="FF2D373E"/>
      <name val="Arial"/>
      <family val="2"/>
    </font>
    <font>
      <sz val="9"/>
      <color theme="7"/>
      <name val="Arial"/>
      <family val="2"/>
    </font>
    <font>
      <sz val="10"/>
      <color theme="7"/>
      <name val="Arial"/>
      <family val="2"/>
    </font>
    <font>
      <sz val="9"/>
      <color rgb="FFC53B00"/>
      <name val="Arial"/>
      <family val="2"/>
    </font>
    <font>
      <sz val="11"/>
      <color theme="7"/>
      <name val="Calibri"/>
      <family val="2"/>
      <scheme val="minor"/>
    </font>
    <font>
      <b/>
      <sz val="11"/>
      <color theme="0"/>
      <name val="Arial"/>
      <family val="2"/>
    </font>
    <font>
      <sz val="11"/>
      <color rgb="FF0074C4"/>
      <name val="Segoe UI"/>
      <family val="2"/>
    </font>
    <font>
      <b/>
      <sz val="24"/>
      <color rgb="FF0074C4"/>
      <name val="Arial"/>
      <family val="2"/>
    </font>
    <font>
      <sz val="14"/>
      <color theme="0"/>
      <name val="Arial"/>
      <family val="2"/>
    </font>
    <font>
      <b/>
      <sz val="10"/>
      <color indexed="9"/>
      <name val="Arial"/>
      <family val="2"/>
    </font>
    <font>
      <sz val="24"/>
      <color rgb="FF0074C4"/>
      <name val="Arial"/>
      <family val="2"/>
    </font>
    <font>
      <sz val="10"/>
      <color theme="5"/>
      <name val="Arial"/>
      <family val="2"/>
    </font>
    <font>
      <sz val="10"/>
      <color theme="2"/>
      <name val="Arial"/>
      <family val="2"/>
    </font>
    <font>
      <sz val="6"/>
      <color theme="3"/>
      <name val="Arial"/>
      <family val="2"/>
    </font>
    <font>
      <i/>
      <sz val="10"/>
      <color theme="3"/>
      <name val="Arial"/>
      <family val="2"/>
    </font>
    <font>
      <b/>
      <sz val="10"/>
      <color rgb="FF0074C4"/>
      <name val="Arial"/>
      <family val="2"/>
    </font>
    <font>
      <sz val="11"/>
      <color rgb="FFFF0000"/>
      <name val="Arial"/>
      <family val="2"/>
    </font>
    <font>
      <sz val="11"/>
      <color rgb="FF0074C4"/>
      <name val="Arial"/>
      <family val="2"/>
    </font>
    <font>
      <sz val="12"/>
      <color rgb="FF0074C4"/>
      <name val="Arial"/>
      <family val="2"/>
    </font>
    <font>
      <vertAlign val="superscript"/>
      <sz val="11"/>
      <color theme="3"/>
      <name val="Arial"/>
      <family val="2"/>
    </font>
    <font>
      <sz val="10"/>
      <name val="Arial"/>
      <family val="2"/>
    </font>
    <font>
      <sz val="9"/>
      <color theme="1"/>
      <name val="Calibri"/>
      <family val="2"/>
      <scheme val="minor"/>
    </font>
    <font>
      <sz val="9"/>
      <color theme="0"/>
      <name val="Calibri"/>
      <family val="2"/>
      <scheme val="minor"/>
    </font>
    <font>
      <b/>
      <i/>
      <sz val="11"/>
      <color theme="3"/>
      <name val="Arial"/>
      <family val="2"/>
    </font>
    <font>
      <u/>
      <sz val="11"/>
      <color theme="10"/>
      <name val="Calibri"/>
      <family val="2"/>
      <scheme val="minor"/>
    </font>
    <font>
      <u/>
      <sz val="11"/>
      <color theme="10"/>
      <name val="Arial"/>
      <family val="2"/>
    </font>
    <font>
      <u/>
      <sz val="11"/>
      <color rgb="FF0074C4"/>
      <name val="Arial"/>
      <family val="2"/>
    </font>
    <font>
      <b/>
      <sz val="9"/>
      <color theme="1"/>
      <name val="Arial"/>
      <family val="2"/>
    </font>
    <font>
      <sz val="10"/>
      <color rgb="FFC53B00"/>
      <name val="Arial"/>
      <family val="2"/>
    </font>
    <font>
      <i/>
      <sz val="12"/>
      <color theme="9"/>
      <name val="Arial"/>
      <family val="2"/>
    </font>
    <font>
      <b/>
      <sz val="10"/>
      <color rgb="FFC53B00"/>
      <name val="Arial"/>
      <family val="2"/>
    </font>
    <font>
      <sz val="16"/>
      <color theme="4"/>
      <name val="Arial"/>
      <family val="2"/>
    </font>
    <font>
      <b/>
      <sz val="11"/>
      <color theme="1"/>
      <name val="Calibri"/>
      <family val="2"/>
      <scheme val="minor"/>
    </font>
    <font>
      <sz val="10"/>
      <color rgb="FFC40000"/>
      <name val="Arial"/>
      <family val="2"/>
    </font>
    <font>
      <b/>
      <sz val="14"/>
      <color theme="1"/>
      <name val="Arial"/>
      <family val="2"/>
    </font>
    <font>
      <sz val="12"/>
      <color rgb="FFF4F3F0"/>
      <name val="Arial"/>
      <family val="2"/>
    </font>
    <font>
      <b/>
      <sz val="12"/>
      <color rgb="FFF4F3F0"/>
      <name val="Arial"/>
      <family val="2"/>
    </font>
    <font>
      <sz val="9"/>
      <color theme="9"/>
      <name val="Arial"/>
      <family val="2"/>
    </font>
    <font>
      <sz val="11"/>
      <color theme="5"/>
      <name val="Calibri"/>
      <family val="2"/>
      <scheme val="minor"/>
    </font>
    <font>
      <sz val="10"/>
      <color rgb="FFC53900"/>
      <name val="Arial"/>
      <family val="2"/>
    </font>
    <font>
      <sz val="11"/>
      <color theme="3"/>
      <name val="Calibri"/>
      <family val="2"/>
    </font>
    <font>
      <b/>
      <sz val="11"/>
      <color theme="3"/>
      <name val="Calibri"/>
      <family val="2"/>
    </font>
    <font>
      <sz val="11"/>
      <color theme="9"/>
      <name val="Arial"/>
      <family val="2"/>
    </font>
    <font>
      <b/>
      <sz val="20"/>
      <color theme="1"/>
      <name val="Arial"/>
      <family val="2"/>
    </font>
    <font>
      <sz val="8"/>
      <name val="Arial"/>
      <family val="2"/>
    </font>
    <font>
      <b/>
      <sz val="11"/>
      <color theme="1"/>
      <name val="Arial"/>
      <family val="2"/>
    </font>
    <font>
      <i/>
      <sz val="9"/>
      <color theme="7"/>
      <name val="Arial"/>
      <family val="2"/>
    </font>
    <font>
      <sz val="10"/>
      <color rgb="FF575F65"/>
      <name val="Arial"/>
      <family val="2"/>
    </font>
    <font>
      <sz val="10"/>
      <color theme="9"/>
      <name val="Arial"/>
      <family val="2"/>
    </font>
    <font>
      <b/>
      <i/>
      <sz val="10"/>
      <color rgb="FF0074C4"/>
      <name val="Arial"/>
      <family val="2"/>
    </font>
    <font>
      <b/>
      <i/>
      <sz val="10"/>
      <color rgb="FF000000"/>
      <name val="Arial"/>
      <family val="2"/>
    </font>
    <font>
      <sz val="10"/>
      <color rgb="FF008000"/>
      <name val="Arial"/>
      <family val="2"/>
    </font>
    <font>
      <sz val="16"/>
      <color theme="9"/>
      <name val="Arial"/>
      <family val="2"/>
    </font>
    <font>
      <b/>
      <sz val="12"/>
      <color theme="9"/>
      <name val="Calibri"/>
      <family val="2"/>
    </font>
    <font>
      <b/>
      <sz val="24"/>
      <color theme="1"/>
      <name val="Arial"/>
      <family val="2"/>
    </font>
    <font>
      <b/>
      <sz val="12"/>
      <color theme="9"/>
      <name val="Calibri"/>
      <family val="2"/>
      <scheme val="minor"/>
    </font>
    <font>
      <b/>
      <sz val="9"/>
      <color rgb="FF0074C4"/>
      <name val="Arial"/>
      <family val="2"/>
    </font>
    <font>
      <i/>
      <sz val="9"/>
      <color theme="3"/>
      <name val="Arial"/>
      <family val="2"/>
    </font>
    <font>
      <sz val="8"/>
      <color theme="9"/>
      <name val="Arial"/>
      <family val="2"/>
    </font>
    <font>
      <sz val="9"/>
      <color rgb="FFC40000"/>
      <name val="Arial"/>
      <family val="2"/>
    </font>
    <font>
      <sz val="10"/>
      <name val="Arial"/>
      <family val="2"/>
    </font>
  </fonts>
  <fills count="27">
    <fill>
      <patternFill patternType="none"/>
    </fill>
    <fill>
      <patternFill patternType="gray125"/>
    </fill>
    <fill>
      <patternFill patternType="solid">
        <fgColor theme="0"/>
        <bgColor indexed="64"/>
      </patternFill>
    </fill>
    <fill>
      <patternFill patternType="solid">
        <fgColor rgb="FFF4F3F0"/>
        <bgColor indexed="64"/>
      </patternFill>
    </fill>
    <fill>
      <patternFill patternType="solid">
        <fgColor rgb="FF2D373E"/>
        <bgColor indexed="64"/>
      </patternFill>
    </fill>
    <fill>
      <patternFill patternType="solid">
        <fgColor indexed="26"/>
        <bgColor indexed="64"/>
      </patternFill>
    </fill>
    <fill>
      <patternFill patternType="solid">
        <fgColor rgb="FFC6EFCE"/>
      </patternFill>
    </fill>
    <fill>
      <patternFill patternType="solid">
        <fgColor indexed="9"/>
        <bgColor indexed="64"/>
      </patternFill>
    </fill>
    <fill>
      <patternFill patternType="solid">
        <fgColor theme="7"/>
        <bgColor indexed="64"/>
      </patternFill>
    </fill>
    <fill>
      <patternFill patternType="solid">
        <fgColor theme="2"/>
        <bgColor indexed="64"/>
      </patternFill>
    </fill>
    <fill>
      <patternFill patternType="solid">
        <fgColor rgb="FFEFF8FF"/>
        <bgColor indexed="64"/>
      </patternFill>
    </fill>
    <fill>
      <patternFill patternType="solid">
        <fgColor theme="1"/>
        <bgColor indexed="64"/>
      </patternFill>
    </fill>
    <fill>
      <patternFill patternType="solid">
        <fgColor theme="9" tint="-0.249977111117893"/>
        <bgColor indexed="64"/>
      </patternFill>
    </fill>
    <fill>
      <patternFill patternType="solid">
        <fgColor theme="7"/>
        <bgColor rgb="FF000000"/>
      </patternFill>
    </fill>
    <fill>
      <patternFill patternType="solid">
        <fgColor theme="4"/>
        <bgColor indexed="64"/>
      </patternFill>
    </fill>
    <fill>
      <patternFill patternType="solid">
        <fgColor theme="8"/>
        <bgColor indexed="64"/>
      </patternFill>
    </fill>
    <fill>
      <patternFill patternType="solid">
        <fgColor theme="6"/>
        <bgColor indexed="64"/>
      </patternFill>
    </fill>
    <fill>
      <patternFill patternType="solid">
        <fgColor theme="0" tint="-0.499984740745262"/>
        <bgColor indexed="64"/>
      </patternFill>
    </fill>
    <fill>
      <patternFill patternType="solid">
        <fgColor theme="5"/>
        <bgColor indexed="64"/>
      </patternFill>
    </fill>
    <fill>
      <patternFill patternType="solid">
        <fgColor rgb="FFFFEAE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EFEF"/>
        <bgColor indexed="64"/>
      </patternFill>
    </fill>
    <fill>
      <patternFill patternType="solid">
        <fgColor theme="2"/>
        <bgColor rgb="FF000000"/>
      </patternFill>
    </fill>
    <fill>
      <patternFill patternType="solid">
        <fgColor rgb="FFFFFF00"/>
        <bgColor indexed="64"/>
      </patternFill>
    </fill>
    <fill>
      <patternFill patternType="solid">
        <fgColor rgb="FFE7FFE7"/>
        <bgColor indexed="64"/>
      </patternFill>
    </fill>
    <fill>
      <patternFill patternType="solid">
        <fgColor rgb="FF0074C4"/>
        <bgColor indexed="64"/>
      </patternFill>
    </fill>
  </fills>
  <borders count="59">
    <border>
      <left/>
      <right/>
      <top/>
      <bottom/>
      <diagonal/>
    </border>
    <border>
      <left style="medium">
        <color rgb="FF621A4B"/>
      </left>
      <right style="medium">
        <color rgb="FF621A4B"/>
      </right>
      <top style="medium">
        <color rgb="FF621A4B"/>
      </top>
      <bottom style="medium">
        <color rgb="FF621A4B"/>
      </bottom>
      <diagonal/>
    </border>
    <border>
      <left style="medium">
        <color rgb="FFC40000"/>
      </left>
      <right style="medium">
        <color rgb="FFC40000"/>
      </right>
      <top style="medium">
        <color rgb="FFC40000"/>
      </top>
      <bottom style="medium">
        <color rgb="FFC40000"/>
      </bottom>
      <diagonal/>
    </border>
    <border>
      <left style="medium">
        <color rgb="FFC53B00"/>
      </left>
      <right style="medium">
        <color rgb="FFC53B00"/>
      </right>
      <top style="medium">
        <color rgb="FFC53B00"/>
      </top>
      <bottom style="medium">
        <color rgb="FFC53B00"/>
      </bottom>
      <diagonal/>
    </border>
    <border>
      <left style="medium">
        <color rgb="FF0074C4"/>
      </left>
      <right style="medium">
        <color rgb="FF0074C4"/>
      </right>
      <top style="medium">
        <color rgb="FF0074C4"/>
      </top>
      <bottom style="medium">
        <color rgb="FF0074C4"/>
      </bottom>
      <diagonal/>
    </border>
    <border>
      <left style="medium">
        <color rgb="FF008000"/>
      </left>
      <right style="medium">
        <color rgb="FF008000"/>
      </right>
      <top style="medium">
        <color rgb="FF008000"/>
      </top>
      <bottom style="medium">
        <color rgb="FF008000"/>
      </bottom>
      <diagonal/>
    </border>
    <border>
      <left style="thin">
        <color rgb="FF2D373E"/>
      </left>
      <right style="thin">
        <color rgb="FF2D373E"/>
      </right>
      <top style="thin">
        <color rgb="FF2D373E"/>
      </top>
      <bottom style="thin">
        <color rgb="FF2D373E"/>
      </bottom>
      <diagonal/>
    </border>
    <border>
      <left/>
      <right/>
      <top style="thin">
        <color rgb="FF8C9296"/>
      </top>
      <bottom/>
      <diagonal/>
    </border>
    <border>
      <left style="thick">
        <color theme="0"/>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rgb="FF0074C4"/>
      </top>
      <bottom/>
      <diagonal/>
    </border>
    <border>
      <left/>
      <right/>
      <top/>
      <bottom style="thin">
        <color rgb="FF0074C4"/>
      </bottom>
      <diagonal/>
    </border>
    <border>
      <left style="thin">
        <color theme="9"/>
      </left>
      <right style="thin">
        <color theme="9"/>
      </right>
      <top style="thin">
        <color theme="9"/>
      </top>
      <bottom style="thin">
        <color theme="9"/>
      </bottom>
      <diagonal/>
    </border>
    <border>
      <left/>
      <right/>
      <top/>
      <bottom style="thin">
        <color theme="9"/>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bottom style="thin">
        <color theme="9"/>
      </bottom>
      <diagonal/>
    </border>
    <border>
      <left/>
      <right style="thin">
        <color theme="9"/>
      </right>
      <top/>
      <bottom style="thin">
        <color theme="9"/>
      </bottom>
      <diagonal/>
    </border>
    <border>
      <left style="thin">
        <color theme="9"/>
      </left>
      <right/>
      <top/>
      <bottom/>
      <diagonal/>
    </border>
    <border>
      <left/>
      <right style="thin">
        <color theme="9"/>
      </right>
      <top/>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style="thin">
        <color theme="9"/>
      </left>
      <right style="thin">
        <color theme="9"/>
      </right>
      <top style="thin">
        <color theme="9"/>
      </top>
      <bottom/>
      <diagonal/>
    </border>
    <border>
      <left style="thin">
        <color theme="9"/>
      </left>
      <right style="thin">
        <color theme="9"/>
      </right>
      <top/>
      <bottom style="thin">
        <color theme="9"/>
      </bottom>
      <diagonal/>
    </border>
    <border>
      <left/>
      <right/>
      <top style="thin">
        <color rgb="FF0074C4"/>
      </top>
      <bottom style="thin">
        <color rgb="FF0074C4"/>
      </bottom>
      <diagonal/>
    </border>
    <border>
      <left/>
      <right/>
      <top style="thin">
        <color rgb="FFC53900"/>
      </top>
      <bottom/>
      <diagonal/>
    </border>
    <border>
      <left/>
      <right/>
      <top/>
      <bottom style="thin">
        <color rgb="FFC53900"/>
      </bottom>
      <diagonal/>
    </border>
    <border>
      <left style="thin">
        <color theme="9"/>
      </left>
      <right style="thin">
        <color theme="9"/>
      </right>
      <top/>
      <bottom/>
      <diagonal/>
    </border>
    <border>
      <left/>
      <right/>
      <top style="thin">
        <color rgb="FFC53B00"/>
      </top>
      <bottom/>
      <diagonal/>
    </border>
    <border>
      <left/>
      <right/>
      <top/>
      <bottom style="thin">
        <color rgb="FFC53B00"/>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style="thin">
        <color theme="8"/>
      </left>
      <right/>
      <top/>
      <bottom/>
      <diagonal/>
    </border>
    <border>
      <left/>
      <right style="thin">
        <color theme="8"/>
      </right>
      <top/>
      <bottom/>
      <diagonal/>
    </border>
    <border>
      <left style="thin">
        <color theme="8"/>
      </left>
      <right/>
      <top/>
      <bottom style="thin">
        <color theme="8"/>
      </bottom>
      <diagonal/>
    </border>
    <border>
      <left/>
      <right/>
      <top/>
      <bottom style="thin">
        <color theme="8"/>
      </bottom>
      <diagonal/>
    </border>
    <border>
      <left/>
      <right style="thin">
        <color theme="8"/>
      </right>
      <top/>
      <bottom style="thin">
        <color theme="8"/>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rgb="FFC53B00"/>
      </top>
      <bottom style="thin">
        <color rgb="FFC53B00"/>
      </bottom>
      <diagonal/>
    </border>
    <border>
      <left style="thin">
        <color rgb="FF611C4A"/>
      </left>
      <right/>
      <top/>
      <bottom style="thin">
        <color theme="9"/>
      </bottom>
      <diagonal/>
    </border>
    <border>
      <left style="thin">
        <color theme="9"/>
      </left>
      <right/>
      <top style="thin">
        <color rgb="FF0074C4"/>
      </top>
      <bottom style="thin">
        <color rgb="FF0074C4"/>
      </bottom>
      <diagonal/>
    </border>
    <border>
      <left/>
      <right/>
      <top style="thin">
        <color rgb="FFC40000"/>
      </top>
      <bottom style="thin">
        <color rgb="FFC40000"/>
      </bottom>
      <diagonal/>
    </border>
    <border>
      <left/>
      <right/>
      <top style="thin">
        <color rgb="FF008000"/>
      </top>
      <bottom style="thin">
        <color rgb="FF008000"/>
      </bottom>
      <diagonal/>
    </border>
    <border>
      <left/>
      <right/>
      <top style="thin">
        <color rgb="FFC53900"/>
      </top>
      <bottom style="thin">
        <color rgb="FFC53900"/>
      </bottom>
      <diagonal/>
    </border>
    <border>
      <left style="thin">
        <color rgb="FF0074C4"/>
      </left>
      <right style="thin">
        <color rgb="FF0074C4"/>
      </right>
      <top style="thin">
        <color rgb="FF0074C4"/>
      </top>
      <bottom style="thin">
        <color rgb="FF0074C4"/>
      </bottom>
      <diagonal/>
    </border>
    <border>
      <left style="thin">
        <color rgb="FF0074C4"/>
      </left>
      <right/>
      <top style="thin">
        <color rgb="FF0074C4"/>
      </top>
      <bottom style="thin">
        <color rgb="FF0074C4"/>
      </bottom>
      <diagonal/>
    </border>
    <border>
      <left/>
      <right style="thin">
        <color rgb="FF0074C4"/>
      </right>
      <top style="thin">
        <color rgb="FF0074C4"/>
      </top>
      <bottom style="thin">
        <color rgb="FF0074C4"/>
      </bottom>
      <diagonal/>
    </border>
    <border>
      <left/>
      <right/>
      <top style="thin">
        <color rgb="FFC40000"/>
      </top>
      <bottom/>
      <diagonal/>
    </border>
    <border>
      <left/>
      <right/>
      <top/>
      <bottom style="thin">
        <color rgb="FFC40000"/>
      </bottom>
      <diagonal/>
    </border>
  </borders>
  <cellStyleXfs count="44753">
    <xf numFmtId="172" fontId="0" fillId="0" borderId="0"/>
    <xf numFmtId="172" fontId="19" fillId="2" borderId="3">
      <alignment horizontal="center" vertical="center"/>
    </xf>
    <xf numFmtId="172" fontId="20" fillId="0" borderId="4">
      <alignment horizontal="center" vertical="center"/>
    </xf>
    <xf numFmtId="172" fontId="21" fillId="0" borderId="5">
      <alignment horizontal="center" vertical="center"/>
    </xf>
    <xf numFmtId="172" fontId="22" fillId="0" borderId="2">
      <alignment horizontal="center" vertical="center"/>
    </xf>
    <xf numFmtId="172" fontId="11" fillId="0" borderId="0" applyNumberFormat="0">
      <alignment vertical="center"/>
    </xf>
    <xf numFmtId="172" fontId="13" fillId="0" borderId="0">
      <alignment horizontal="left" vertical="center"/>
    </xf>
    <xf numFmtId="172" fontId="13" fillId="0" borderId="0">
      <alignment horizontal="left" vertical="center"/>
    </xf>
    <xf numFmtId="172" fontId="12" fillId="0" borderId="0">
      <alignment horizontal="left" vertical="center"/>
    </xf>
    <xf numFmtId="172" fontId="10" fillId="0" borderId="6">
      <alignment horizontal="right" vertical="center"/>
    </xf>
    <xf numFmtId="172" fontId="23" fillId="0" borderId="0">
      <alignment horizontal="left" vertical="center"/>
    </xf>
    <xf numFmtId="3" fontId="15" fillId="0" borderId="1">
      <alignment horizontal="right" vertical="center"/>
    </xf>
    <xf numFmtId="168" fontId="24" fillId="0" borderId="7" applyBorder="0">
      <alignment horizontal="right" vertical="center"/>
    </xf>
    <xf numFmtId="172" fontId="25" fillId="3" borderId="0">
      <alignment horizontal="left" vertical="center"/>
    </xf>
    <xf numFmtId="172" fontId="16" fillId="0" borderId="0"/>
    <xf numFmtId="172" fontId="41" fillId="0" borderId="0"/>
    <xf numFmtId="172" fontId="41" fillId="0" borderId="0"/>
    <xf numFmtId="166" fontId="41" fillId="0" borderId="0" applyFont="0" applyFill="0" applyBorder="0" applyAlignment="0" applyProtection="0"/>
    <xf numFmtId="169" fontId="41" fillId="0" borderId="0" applyFont="0" applyFill="0" applyBorder="0" applyAlignment="0" applyProtection="0"/>
    <xf numFmtId="169" fontId="41" fillId="0" borderId="0" applyFont="0" applyFill="0" applyBorder="0" applyAlignment="0" applyProtection="0"/>
    <xf numFmtId="169" fontId="41"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41" fillId="0" borderId="0" applyFont="0" applyFill="0" applyBorder="0" applyAlignment="0" applyProtection="0"/>
    <xf numFmtId="169" fontId="41" fillId="0" borderId="0" applyFont="0" applyFill="0" applyBorder="0" applyAlignment="0" applyProtection="0"/>
    <xf numFmtId="169" fontId="41"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9" fontId="44"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6" fillId="0" borderId="0" applyFont="0" applyFill="0" applyBorder="0" applyAlignment="0" applyProtection="0"/>
    <xf numFmtId="9" fontId="47" fillId="0" borderId="0" applyFont="0" applyFill="0" applyBorder="0" applyAlignment="0" applyProtection="0"/>
    <xf numFmtId="0" fontId="47" fillId="0" borderId="0"/>
    <xf numFmtId="0" fontId="25" fillId="3" borderId="0">
      <alignment horizontal="left" vertical="center"/>
    </xf>
    <xf numFmtId="0" fontId="13" fillId="0" borderId="0">
      <alignment horizontal="left" vertical="center"/>
    </xf>
    <xf numFmtId="0" fontId="12" fillId="0" borderId="0">
      <alignment horizontal="left" vertical="center"/>
    </xf>
    <xf numFmtId="0" fontId="10" fillId="0" borderId="6">
      <alignment horizontal="right" vertical="center"/>
    </xf>
    <xf numFmtId="0" fontId="16" fillId="0" borderId="0"/>
    <xf numFmtId="0" fontId="23" fillId="0" borderId="0">
      <alignment horizontal="left" vertical="center"/>
    </xf>
    <xf numFmtId="0" fontId="21" fillId="0" borderId="5">
      <alignment horizontal="center" vertical="center"/>
    </xf>
    <xf numFmtId="0" fontId="50" fillId="6" borderId="0" applyNumberFormat="0" applyBorder="0" applyAlignment="0" applyProtection="0"/>
    <xf numFmtId="0" fontId="22" fillId="0" borderId="2">
      <alignment horizontal="center" vertical="center"/>
    </xf>
    <xf numFmtId="0" fontId="20" fillId="0" borderId="4">
      <alignment horizontal="center" vertical="center"/>
    </xf>
    <xf numFmtId="166" fontId="16" fillId="0" borderId="0" applyFont="0" applyFill="0" applyBorder="0" applyAlignment="0" applyProtection="0"/>
    <xf numFmtId="0" fontId="41" fillId="0" borderId="0"/>
    <xf numFmtId="0" fontId="41" fillId="0" borderId="0"/>
    <xf numFmtId="0" fontId="8" fillId="0" borderId="0"/>
    <xf numFmtId="0" fontId="7" fillId="0" borderId="0"/>
    <xf numFmtId="0" fontId="39" fillId="0" borderId="0" applyNumberFormat="0" applyFill="0" applyBorder="0" applyAlignment="0" applyProtection="0"/>
    <xf numFmtId="0" fontId="6" fillId="0" borderId="0"/>
    <xf numFmtId="0" fontId="16" fillId="0" borderId="0"/>
    <xf numFmtId="0" fontId="5" fillId="0" borderId="0"/>
    <xf numFmtId="166" fontId="5" fillId="0" borderId="0" applyFont="0" applyFill="0" applyBorder="0" applyAlignment="0" applyProtection="0"/>
    <xf numFmtId="166" fontId="16" fillId="0" borderId="0" applyFont="0" applyFill="0" applyBorder="0" applyAlignment="0" applyProtection="0"/>
    <xf numFmtId="0" fontId="154" fillId="0" borderId="0" applyNumberFormat="0" applyFill="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3"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cellStyleXfs>
  <cellXfs count="1791">
    <xf numFmtId="172" fontId="0" fillId="0" borderId="0" xfId="0"/>
    <xf numFmtId="172" fontId="16" fillId="0" borderId="0" xfId="0" applyFont="1"/>
    <xf numFmtId="172" fontId="16" fillId="0" borderId="0" xfId="14"/>
    <xf numFmtId="0" fontId="41" fillId="0" borderId="0" xfId="16" applyNumberFormat="1"/>
    <xf numFmtId="0" fontId="47" fillId="0" borderId="0" xfId="44718"/>
    <xf numFmtId="0" fontId="12" fillId="0" borderId="0" xfId="44721" applyAlignment="1">
      <alignment horizontal="left" vertical="center" indent="1"/>
    </xf>
    <xf numFmtId="14" fontId="12" fillId="0" borderId="0" xfId="44718" applyNumberFormat="1" applyFont="1" applyAlignment="1">
      <alignment horizontal="left" vertical="center"/>
    </xf>
    <xf numFmtId="14" fontId="12" fillId="0" borderId="0" xfId="44721" applyNumberFormat="1">
      <alignment horizontal="left" vertical="center"/>
    </xf>
    <xf numFmtId="0" fontId="16" fillId="0" borderId="0" xfId="44723"/>
    <xf numFmtId="0" fontId="16" fillId="0" borderId="0" xfId="44723" applyAlignment="1">
      <alignment horizontal="center"/>
    </xf>
    <xf numFmtId="0" fontId="34" fillId="0" borderId="0" xfId="44723" applyFont="1" applyAlignment="1">
      <alignment horizontal="left" vertical="center"/>
    </xf>
    <xf numFmtId="0" fontId="14" fillId="0" borderId="0" xfId="44720" applyFont="1">
      <alignment horizontal="left" vertical="center"/>
    </xf>
    <xf numFmtId="0" fontId="27" fillId="0" borderId="0" xfId="44722" applyFont="1" applyBorder="1">
      <alignment horizontal="right" vertical="center"/>
    </xf>
    <xf numFmtId="0" fontId="47" fillId="0" borderId="0" xfId="44718" applyAlignment="1">
      <alignment horizontal="center"/>
    </xf>
    <xf numFmtId="0" fontId="17" fillId="0" borderId="0" xfId="44718" applyFont="1" applyAlignment="1">
      <alignment horizontal="left" vertical="center" indent="1"/>
    </xf>
    <xf numFmtId="0" fontId="31" fillId="0" borderId="0" xfId="44718" applyFont="1" applyAlignment="1">
      <alignment horizontal="right" vertical="center"/>
    </xf>
    <xf numFmtId="0" fontId="34" fillId="0" borderId="0" xfId="44718" applyFont="1" applyAlignment="1">
      <alignment horizontal="left" vertical="center"/>
    </xf>
    <xf numFmtId="0" fontId="27" fillId="0" borderId="0" xfId="44718" applyFont="1" applyAlignment="1">
      <alignment horizontal="right" vertical="center"/>
    </xf>
    <xf numFmtId="0" fontId="47" fillId="2" borderId="0" xfId="44718" applyFill="1"/>
    <xf numFmtId="0" fontId="16" fillId="2" borderId="0" xfId="44723" applyFill="1" applyAlignment="1">
      <alignment horizontal="center"/>
    </xf>
    <xf numFmtId="0" fontId="16" fillId="2" borderId="0" xfId="44723" applyFill="1"/>
    <xf numFmtId="0" fontId="29" fillId="0" borderId="0" xfId="44723" applyFont="1" applyAlignment="1">
      <alignment horizontal="center" vertical="center"/>
    </xf>
    <xf numFmtId="0" fontId="34" fillId="2" borderId="0" xfId="44723" applyFont="1" applyFill="1" applyAlignment="1">
      <alignment horizontal="left" vertical="center"/>
    </xf>
    <xf numFmtId="0" fontId="27" fillId="0" borderId="0" xfId="44724" applyFont="1">
      <alignment horizontal="left" vertical="center"/>
    </xf>
    <xf numFmtId="0" fontId="13" fillId="2" borderId="0" xfId="44720" applyFill="1" applyAlignment="1">
      <alignment horizontal="center" vertical="center"/>
    </xf>
    <xf numFmtId="0" fontId="0" fillId="0" borderId="0" xfId="0" applyNumberFormat="1"/>
    <xf numFmtId="0" fontId="27" fillId="2" borderId="0" xfId="44724" applyFont="1" applyFill="1">
      <alignment horizontal="left" vertical="center"/>
    </xf>
    <xf numFmtId="0" fontId="13" fillId="0" borderId="0" xfId="44720" applyAlignment="1">
      <alignment horizontal="center" vertical="center"/>
    </xf>
    <xf numFmtId="0" fontId="47" fillId="0" borderId="0" xfId="44718" applyAlignment="1">
      <alignment vertical="center"/>
    </xf>
    <xf numFmtId="0" fontId="26" fillId="0" borderId="0" xfId="44718" applyFont="1" applyAlignment="1">
      <alignment horizontal="right" vertical="center" indent="1"/>
    </xf>
    <xf numFmtId="0" fontId="47" fillId="0" borderId="0" xfId="44718" applyAlignment="1">
      <alignment horizontal="left" vertical="center"/>
    </xf>
    <xf numFmtId="0" fontId="16" fillId="0" borderId="0" xfId="44718" applyFont="1"/>
    <xf numFmtId="0" fontId="41" fillId="0" borderId="0" xfId="44730"/>
    <xf numFmtId="0" fontId="43" fillId="0" borderId="0" xfId="44731" applyFont="1"/>
    <xf numFmtId="0" fontId="41" fillId="0" borderId="0" xfId="44731"/>
    <xf numFmtId="0" fontId="41" fillId="0" borderId="0" xfId="44730" applyAlignment="1">
      <alignment horizontal="center"/>
    </xf>
    <xf numFmtId="0" fontId="8" fillId="0" borderId="0" xfId="44732"/>
    <xf numFmtId="0" fontId="41" fillId="7" borderId="0" xfId="44731" applyFill="1"/>
    <xf numFmtId="0" fontId="59" fillId="0" borderId="0" xfId="44721" applyFont="1" applyAlignment="1">
      <alignment horizontal="left" vertical="center" indent="1"/>
    </xf>
    <xf numFmtId="0" fontId="58" fillId="0" borderId="0" xfId="44723" applyFont="1"/>
    <xf numFmtId="0" fontId="7" fillId="7" borderId="0" xfId="44733" applyFill="1"/>
    <xf numFmtId="0" fontId="7" fillId="0" borderId="0" xfId="44733"/>
    <xf numFmtId="0" fontId="67" fillId="0" borderId="0" xfId="44733" applyFont="1"/>
    <xf numFmtId="0" fontId="55" fillId="0" borderId="0" xfId="44733" applyFont="1"/>
    <xf numFmtId="0" fontId="64" fillId="0" borderId="0" xfId="44733" applyFont="1"/>
    <xf numFmtId="0" fontId="63" fillId="7" borderId="0" xfId="44733" applyFont="1" applyFill="1"/>
    <xf numFmtId="0" fontId="68" fillId="7" borderId="0" xfId="44733" applyFont="1" applyFill="1"/>
    <xf numFmtId="0" fontId="29" fillId="0" borderId="0" xfId="44723" applyFont="1" applyAlignment="1">
      <alignment vertical="center"/>
    </xf>
    <xf numFmtId="0" fontId="28" fillId="0" borderId="0" xfId="44723" applyFont="1" applyAlignment="1">
      <alignment vertical="center"/>
    </xf>
    <xf numFmtId="0" fontId="28" fillId="0" borderId="0" xfId="44723" applyFont="1" applyAlignment="1">
      <alignment horizontal="center" vertical="center"/>
    </xf>
    <xf numFmtId="0" fontId="24" fillId="0" borderId="0" xfId="44719" applyFont="1" applyFill="1">
      <alignment horizontal="left" vertical="center"/>
    </xf>
    <xf numFmtId="0" fontId="56" fillId="0" borderId="0" xfId="44732" applyFont="1"/>
    <xf numFmtId="0" fontId="76" fillId="0" borderId="0" xfId="0" applyNumberFormat="1" applyFont="1" applyAlignment="1">
      <alignment horizontal="center" vertical="center"/>
    </xf>
    <xf numFmtId="166" fontId="0" fillId="0" borderId="0" xfId="44716" applyFont="1"/>
    <xf numFmtId="171" fontId="0" fillId="0" borderId="0" xfId="44717" applyNumberFormat="1" applyFont="1"/>
    <xf numFmtId="10" fontId="0" fillId="0" borderId="0" xfId="0" applyNumberFormat="1"/>
    <xf numFmtId="166" fontId="0" fillId="0" borderId="0" xfId="44716" applyFont="1" applyAlignment="1"/>
    <xf numFmtId="10" fontId="0" fillId="0" borderId="0" xfId="44717" applyNumberFormat="1" applyFont="1" applyAlignment="1"/>
    <xf numFmtId="172" fontId="45" fillId="0" borderId="0" xfId="16" applyFont="1"/>
    <xf numFmtId="0" fontId="45" fillId="0" borderId="0" xfId="16" applyNumberFormat="1" applyFont="1"/>
    <xf numFmtId="14" fontId="41" fillId="0" borderId="0" xfId="44730" applyNumberFormat="1"/>
    <xf numFmtId="0" fontId="15" fillId="0" borderId="0" xfId="44730" applyFont="1"/>
    <xf numFmtId="0" fontId="77" fillId="0" borderId="0" xfId="44730" applyFont="1"/>
    <xf numFmtId="0" fontId="70" fillId="0" borderId="0" xfId="44718" applyFont="1" applyAlignment="1">
      <alignment vertical="center"/>
    </xf>
    <xf numFmtId="0" fontId="29" fillId="0" borderId="0" xfId="44718" applyFont="1" applyAlignment="1">
      <alignment vertical="center"/>
    </xf>
    <xf numFmtId="0" fontId="16" fillId="0" borderId="0" xfId="0" applyNumberFormat="1" applyFont="1" applyAlignment="1">
      <alignment horizontal="left" vertical="center"/>
    </xf>
    <xf numFmtId="0" fontId="0" fillId="0" borderId="0" xfId="0" applyNumberFormat="1" applyAlignment="1">
      <alignment horizontal="left" vertical="center"/>
    </xf>
    <xf numFmtId="0" fontId="54" fillId="0" borderId="12" xfId="0" applyNumberFormat="1" applyFont="1" applyBorder="1"/>
    <xf numFmtId="0" fontId="54" fillId="0" borderId="14" xfId="0" applyNumberFormat="1" applyFont="1" applyBorder="1"/>
    <xf numFmtId="172" fontId="54" fillId="0" borderId="11" xfId="14" applyFont="1" applyBorder="1" applyAlignment="1">
      <alignment horizontal="center" vertical="center"/>
    </xf>
    <xf numFmtId="0" fontId="16" fillId="0" borderId="0" xfId="14" applyNumberFormat="1"/>
    <xf numFmtId="172" fontId="54" fillId="0" borderId="0" xfId="14" applyFont="1"/>
    <xf numFmtId="172" fontId="54" fillId="0" borderId="11" xfId="14" applyFont="1" applyBorder="1"/>
    <xf numFmtId="0" fontId="16" fillId="0" borderId="11" xfId="14" applyNumberFormat="1" applyBorder="1"/>
    <xf numFmtId="0" fontId="18" fillId="0" borderId="0" xfId="0" applyNumberFormat="1" applyFont="1"/>
    <xf numFmtId="0" fontId="54" fillId="0" borderId="0" xfId="0" applyNumberFormat="1" applyFont="1"/>
    <xf numFmtId="0" fontId="34" fillId="2" borderId="0" xfId="44718" applyFont="1" applyFill="1" applyAlignment="1">
      <alignment horizontal="left" vertical="center"/>
    </xf>
    <xf numFmtId="0" fontId="34" fillId="2" borderId="0" xfId="44723" applyFont="1" applyFill="1" applyAlignment="1">
      <alignment vertical="center"/>
    </xf>
    <xf numFmtId="0" fontId="37" fillId="2" borderId="0" xfId="44723" applyFont="1" applyFill="1" applyAlignment="1">
      <alignment vertical="center"/>
    </xf>
    <xf numFmtId="0" fontId="83" fillId="0" borderId="0" xfId="44733" applyFont="1"/>
    <xf numFmtId="0" fontId="16" fillId="0" borderId="0" xfId="0" applyNumberFormat="1" applyFont="1" applyAlignment="1">
      <alignment wrapText="1"/>
    </xf>
    <xf numFmtId="0" fontId="16" fillId="0" borderId="0" xfId="0" applyNumberFormat="1" applyFont="1"/>
    <xf numFmtId="172" fontId="58" fillId="0" borderId="0" xfId="0" applyFont="1"/>
    <xf numFmtId="172" fontId="40" fillId="0" borderId="0" xfId="0" applyFont="1"/>
    <xf numFmtId="172" fontId="89" fillId="0" borderId="0" xfId="0" applyFont="1"/>
    <xf numFmtId="0" fontId="89" fillId="9" borderId="0" xfId="44718" applyFont="1" applyFill="1"/>
    <xf numFmtId="0" fontId="40" fillId="14" borderId="0" xfId="44718" applyFont="1" applyFill="1"/>
    <xf numFmtId="0" fontId="16" fillId="9" borderId="0" xfId="44723" applyFill="1"/>
    <xf numFmtId="172" fontId="45" fillId="0" borderId="0" xfId="0" applyFont="1"/>
    <xf numFmtId="0" fontId="101" fillId="0" borderId="0" xfId="44723" applyFont="1" applyAlignment="1">
      <alignment horizontal="center"/>
    </xf>
    <xf numFmtId="0" fontId="90" fillId="0" borderId="0" xfId="44720" applyFont="1" applyAlignment="1"/>
    <xf numFmtId="0" fontId="95" fillId="0" borderId="0" xfId="44720" applyFont="1" applyAlignment="1">
      <alignment vertical="center"/>
    </xf>
    <xf numFmtId="0" fontId="41" fillId="0" borderId="0" xfId="44731" applyAlignment="1">
      <alignment horizontal="center"/>
    </xf>
    <xf numFmtId="0" fontId="41" fillId="9" borderId="10" xfId="44731" applyFill="1" applyBorder="1"/>
    <xf numFmtId="0" fontId="41" fillId="9" borderId="0" xfId="44731" applyFill="1"/>
    <xf numFmtId="0" fontId="41" fillId="7" borderId="10" xfId="44731" applyFill="1" applyBorder="1"/>
    <xf numFmtId="0" fontId="97" fillId="0" borderId="0" xfId="44720" applyFont="1" applyAlignment="1">
      <alignment vertical="center"/>
    </xf>
    <xf numFmtId="0" fontId="93" fillId="0" borderId="0" xfId="44720" applyFont="1" applyAlignment="1">
      <alignment vertical="center"/>
    </xf>
    <xf numFmtId="0" fontId="53" fillId="7" borderId="0" xfId="44731" applyFont="1" applyFill="1" applyAlignment="1">
      <alignment horizontal="right"/>
    </xf>
    <xf numFmtId="0" fontId="42" fillId="7" borderId="0" xfId="44731" applyFont="1" applyFill="1" applyAlignment="1">
      <alignment horizontal="center"/>
    </xf>
    <xf numFmtId="0" fontId="41" fillId="7" borderId="0" xfId="44731" applyFill="1" applyAlignment="1">
      <alignment horizontal="left"/>
    </xf>
    <xf numFmtId="0" fontId="41" fillId="0" borderId="10" xfId="44731" applyBorder="1"/>
    <xf numFmtId="0" fontId="97" fillId="0" borderId="0" xfId="44720" applyFont="1">
      <alignment horizontal="left" vertical="center"/>
    </xf>
    <xf numFmtId="0" fontId="97" fillId="0" borderId="0" xfId="44720" applyFont="1" applyAlignment="1">
      <alignment horizontal="center" vertical="center"/>
    </xf>
    <xf numFmtId="0" fontId="41" fillId="7" borderId="0" xfId="44731" applyFill="1" applyAlignment="1">
      <alignment horizontal="center"/>
    </xf>
    <xf numFmtId="167" fontId="41" fillId="7" borderId="0" xfId="44731" applyNumberFormat="1" applyFill="1"/>
    <xf numFmtId="0" fontId="98" fillId="0" borderId="0" xfId="44720" applyFont="1" applyAlignment="1">
      <alignment vertical="center" wrapText="1"/>
    </xf>
    <xf numFmtId="0" fontId="53" fillId="0" borderId="0" xfId="44731" applyFont="1"/>
    <xf numFmtId="0" fontId="102" fillId="0" borderId="0" xfId="44720" applyFont="1">
      <alignment horizontal="left" vertical="center"/>
    </xf>
    <xf numFmtId="0" fontId="71" fillId="9" borderId="17" xfId="44724" applyFont="1" applyFill="1" applyBorder="1" applyAlignment="1">
      <alignment horizontal="center" vertical="center" wrapText="1"/>
    </xf>
    <xf numFmtId="0" fontId="93" fillId="0" borderId="8" xfId="44720" applyFont="1" applyBorder="1" applyAlignment="1">
      <alignment horizontal="center" vertical="center"/>
    </xf>
    <xf numFmtId="0" fontId="89" fillId="0" borderId="0" xfId="44723" applyFont="1" applyAlignment="1">
      <alignment vertical="center"/>
    </xf>
    <xf numFmtId="172" fontId="95" fillId="0" borderId="0" xfId="0" applyFont="1" applyAlignment="1">
      <alignment horizontal="center" vertical="center"/>
    </xf>
    <xf numFmtId="0" fontId="71" fillId="2" borderId="17" xfId="44724" applyFont="1" applyFill="1" applyBorder="1" applyAlignment="1" applyProtection="1">
      <alignment horizontal="center" vertical="center" wrapText="1"/>
      <protection locked="0"/>
    </xf>
    <xf numFmtId="172" fontId="80" fillId="0" borderId="0" xfId="0" applyFont="1"/>
    <xf numFmtId="0" fontId="102" fillId="0" borderId="0" xfId="44720" applyFont="1" applyAlignment="1">
      <alignment vertical="center"/>
    </xf>
    <xf numFmtId="172" fontId="0" fillId="0" borderId="0" xfId="0" applyAlignment="1">
      <alignment vertical="center"/>
    </xf>
    <xf numFmtId="0" fontId="103" fillId="2" borderId="0" xfId="44724" applyFont="1" applyFill="1" applyAlignment="1">
      <alignment vertical="center"/>
    </xf>
    <xf numFmtId="172" fontId="54" fillId="0" borderId="0" xfId="14" applyFont="1" applyAlignment="1">
      <alignment horizontal="center" vertical="center"/>
    </xf>
    <xf numFmtId="166" fontId="16" fillId="17" borderId="0" xfId="44716" applyFont="1" applyFill="1" applyAlignment="1"/>
    <xf numFmtId="166" fontId="16" fillId="17" borderId="0" xfId="44716" applyFont="1" applyFill="1"/>
    <xf numFmtId="171" fontId="16" fillId="17" borderId="0" xfId="44717" applyNumberFormat="1" applyFont="1" applyFill="1" applyAlignment="1"/>
    <xf numFmtId="171" fontId="16" fillId="17" borderId="0" xfId="44716" applyNumberFormat="1" applyFont="1" applyFill="1" applyAlignment="1"/>
    <xf numFmtId="0" fontId="48" fillId="0" borderId="0" xfId="44722" applyFont="1" applyBorder="1" applyAlignment="1">
      <alignment horizontal="left" vertical="center"/>
    </xf>
    <xf numFmtId="0" fontId="40" fillId="9" borderId="0" xfId="44718" applyFont="1" applyFill="1"/>
    <xf numFmtId="172" fontId="0" fillId="9" borderId="0" xfId="0" applyFill="1"/>
    <xf numFmtId="0" fontId="40" fillId="2" borderId="0" xfId="44718" applyFont="1" applyFill="1"/>
    <xf numFmtId="0" fontId="31" fillId="2" borderId="0" xfId="44718" applyFont="1" applyFill="1"/>
    <xf numFmtId="0" fontId="31" fillId="2" borderId="0" xfId="44722" applyFont="1" applyFill="1" applyBorder="1">
      <alignment horizontal="right" vertical="center"/>
    </xf>
    <xf numFmtId="0" fontId="31" fillId="2" borderId="0" xfId="44720" applyFont="1" applyFill="1" applyAlignment="1">
      <alignment wrapText="1"/>
    </xf>
    <xf numFmtId="0" fontId="94" fillId="2" borderId="0" xfId="44718" applyFont="1" applyFill="1"/>
    <xf numFmtId="172" fontId="0" fillId="2" borderId="0" xfId="0" applyFill="1"/>
    <xf numFmtId="170" fontId="72" fillId="2" borderId="0" xfId="44722" applyNumberFormat="1" applyFont="1" applyFill="1" applyBorder="1" applyAlignment="1">
      <alignment vertical="center"/>
    </xf>
    <xf numFmtId="0" fontId="31" fillId="2" borderId="0" xfId="44720" applyFont="1" applyFill="1" applyAlignment="1">
      <alignment horizontal="left" wrapText="1"/>
    </xf>
    <xf numFmtId="170" fontId="71" fillId="2" borderId="0" xfId="44722" applyNumberFormat="1" applyFont="1" applyFill="1" applyBorder="1" applyAlignment="1">
      <alignment vertical="center"/>
    </xf>
    <xf numFmtId="0" fontId="91" fillId="2" borderId="0" xfId="44722" applyFont="1" applyFill="1" applyBorder="1">
      <alignment horizontal="right" vertical="center"/>
    </xf>
    <xf numFmtId="0" fontId="93" fillId="2" borderId="0" xfId="44718" applyFont="1" applyFill="1"/>
    <xf numFmtId="0" fontId="93" fillId="2" borderId="0" xfId="44722" applyFont="1" applyFill="1" applyBorder="1">
      <alignment horizontal="right" vertical="center"/>
    </xf>
    <xf numFmtId="0" fontId="35" fillId="2" borderId="0" xfId="44720" applyFont="1" applyFill="1" applyAlignment="1">
      <alignment horizontal="left" wrapText="1"/>
    </xf>
    <xf numFmtId="0" fontId="85" fillId="9" borderId="0" xfId="44720" applyFont="1" applyFill="1" applyAlignment="1">
      <alignment horizontal="left" wrapText="1"/>
    </xf>
    <xf numFmtId="0" fontId="109" fillId="9" borderId="0" xfId="44722" applyFont="1" applyFill="1" applyBorder="1">
      <alignment horizontal="right" vertical="center"/>
    </xf>
    <xf numFmtId="0" fontId="16" fillId="18" borderId="0" xfId="44723" applyFill="1"/>
    <xf numFmtId="0" fontId="34" fillId="18" borderId="0" xfId="44723" applyFont="1" applyFill="1" applyAlignment="1">
      <alignment horizontal="left" vertical="center"/>
    </xf>
    <xf numFmtId="0" fontId="35" fillId="14" borderId="0" xfId="44718" applyFont="1" applyFill="1" applyAlignment="1">
      <alignment horizontal="left" vertical="center"/>
    </xf>
    <xf numFmtId="0" fontId="35" fillId="14" borderId="0" xfId="44718" applyFont="1" applyFill="1" applyAlignment="1">
      <alignment vertical="center"/>
    </xf>
    <xf numFmtId="0" fontId="35" fillId="9" borderId="0" xfId="44718" applyFont="1" applyFill="1" applyAlignment="1">
      <alignment horizontal="left" vertical="center"/>
    </xf>
    <xf numFmtId="0" fontId="35" fillId="9" borderId="0" xfId="44718" applyFont="1" applyFill="1" applyAlignment="1">
      <alignment vertical="center"/>
    </xf>
    <xf numFmtId="0" fontId="90" fillId="0" borderId="0" xfId="44720" applyFont="1" applyAlignment="1">
      <alignment horizontal="left" vertical="center" wrapText="1"/>
    </xf>
    <xf numFmtId="0" fontId="93" fillId="0" borderId="0" xfId="44722" applyFont="1" applyBorder="1" applyAlignment="1">
      <alignment vertical="center" wrapText="1"/>
    </xf>
    <xf numFmtId="0" fontId="14" fillId="0" borderId="0" xfId="44720" applyFont="1" applyAlignment="1">
      <alignment vertical="center" wrapText="1"/>
    </xf>
    <xf numFmtId="0" fontId="38" fillId="0" borderId="0" xfId="44726" applyFont="1" applyFill="1" applyBorder="1" applyAlignment="1">
      <alignment horizontal="right" vertical="center"/>
    </xf>
    <xf numFmtId="0" fontId="38" fillId="0" borderId="0" xfId="44726" applyNumberFormat="1" applyFont="1" applyFill="1" applyBorder="1" applyAlignment="1">
      <alignment horizontal="right" vertical="center"/>
    </xf>
    <xf numFmtId="0" fontId="34" fillId="9" borderId="0" xfId="44723" applyFont="1" applyFill="1" applyAlignment="1">
      <alignment horizontal="left" vertical="center"/>
    </xf>
    <xf numFmtId="0" fontId="85" fillId="0" borderId="0" xfId="44723" applyFont="1" applyAlignment="1">
      <alignment horizontal="left" vertical="center"/>
    </xf>
    <xf numFmtId="172" fontId="110" fillId="0" borderId="0" xfId="0" applyFont="1"/>
    <xf numFmtId="0" fontId="103" fillId="2" borderId="0" xfId="44723" applyFont="1" applyFill="1" applyAlignment="1">
      <alignment vertical="top"/>
    </xf>
    <xf numFmtId="172" fontId="0" fillId="18" borderId="0" xfId="0" applyFill="1"/>
    <xf numFmtId="0" fontId="16" fillId="9" borderId="0" xfId="44723" applyFill="1" applyAlignment="1">
      <alignment horizontal="center"/>
    </xf>
    <xf numFmtId="0" fontId="14" fillId="9" borderId="0" xfId="44720" applyFont="1" applyFill="1">
      <alignment horizontal="left" vertical="center"/>
    </xf>
    <xf numFmtId="0" fontId="90" fillId="9" borderId="0" xfId="44720" applyFont="1" applyFill="1" applyAlignment="1">
      <alignment vertical="center" wrapText="1"/>
    </xf>
    <xf numFmtId="0" fontId="93" fillId="0" borderId="0" xfId="44728" applyFont="1" applyBorder="1" applyAlignment="1">
      <alignment vertical="center"/>
    </xf>
    <xf numFmtId="0" fontId="96" fillId="0" borderId="0" xfId="44720" applyFont="1" applyAlignment="1">
      <alignment horizontal="left" vertical="center" wrapText="1"/>
    </xf>
    <xf numFmtId="0" fontId="111" fillId="2" borderId="0" xfId="44720" applyFont="1" applyFill="1">
      <alignment horizontal="left" vertical="center"/>
    </xf>
    <xf numFmtId="0" fontId="90" fillId="0" borderId="0" xfId="44720" applyFont="1" applyAlignment="1">
      <alignment vertical="center" wrapText="1"/>
    </xf>
    <xf numFmtId="0" fontId="88" fillId="0" borderId="0" xfId="44720" applyFont="1" applyAlignment="1">
      <alignment vertical="center"/>
    </xf>
    <xf numFmtId="172" fontId="54" fillId="0" borderId="0" xfId="0" applyFont="1" applyAlignment="1">
      <alignment horizontal="center"/>
    </xf>
    <xf numFmtId="10" fontId="16" fillId="0" borderId="0" xfId="0" applyNumberFormat="1" applyFont="1"/>
    <xf numFmtId="172" fontId="112" fillId="0" borderId="0" xfId="0" applyFont="1"/>
    <xf numFmtId="0" fontId="40" fillId="2" borderId="0" xfId="0" applyNumberFormat="1" applyFont="1" applyFill="1"/>
    <xf numFmtId="172" fontId="40" fillId="2" borderId="0" xfId="0" applyFont="1" applyFill="1"/>
    <xf numFmtId="0" fontId="33" fillId="0" borderId="0" xfId="44720" applyFont="1" applyAlignment="1">
      <alignment vertical="center" wrapText="1"/>
    </xf>
    <xf numFmtId="0" fontId="33" fillId="0" borderId="0" xfId="44720" applyFont="1">
      <alignment horizontal="left" vertical="center"/>
    </xf>
    <xf numFmtId="0" fontId="113" fillId="2" borderId="0" xfId="44723" applyFont="1" applyFill="1" applyAlignment="1">
      <alignment vertical="center"/>
    </xf>
    <xf numFmtId="0" fontId="16" fillId="2" borderId="0" xfId="44723" applyFill="1" applyAlignment="1">
      <alignment horizontal="center" vertical="center"/>
    </xf>
    <xf numFmtId="0" fontId="47" fillId="2" borderId="0" xfId="44718" applyFill="1" applyAlignment="1">
      <alignment horizontal="center" vertical="center"/>
    </xf>
    <xf numFmtId="0" fontId="40" fillId="2" borderId="0" xfId="44723" applyFont="1" applyFill="1" applyAlignment="1">
      <alignment horizontal="center" vertical="center"/>
    </xf>
    <xf numFmtId="0" fontId="40" fillId="2" borderId="0" xfId="44718" applyFont="1" applyFill="1" applyAlignment="1">
      <alignment horizontal="center" vertical="center"/>
    </xf>
    <xf numFmtId="172" fontId="0" fillId="0" borderId="20" xfId="0" applyBorder="1"/>
    <xf numFmtId="0" fontId="45" fillId="0" borderId="17" xfId="44717" applyNumberFormat="1" applyFont="1" applyFill="1" applyBorder="1" applyAlignment="1" applyProtection="1"/>
    <xf numFmtId="166" fontId="0" fillId="0" borderId="17" xfId="44716" applyFont="1" applyBorder="1" applyAlignment="1"/>
    <xf numFmtId="9" fontId="45" fillId="0" borderId="17" xfId="44717" applyFont="1" applyFill="1" applyBorder="1" applyProtection="1"/>
    <xf numFmtId="172" fontId="114" fillId="8" borderId="17" xfId="0" applyFont="1" applyFill="1" applyBorder="1"/>
    <xf numFmtId="172" fontId="114" fillId="8" borderId="17" xfId="0" applyFont="1" applyFill="1" applyBorder="1" applyAlignment="1">
      <alignment horizontal="center"/>
    </xf>
    <xf numFmtId="0" fontId="73" fillId="8" borderId="17" xfId="0" applyNumberFormat="1" applyFont="1" applyFill="1" applyBorder="1" applyAlignment="1">
      <alignment vertical="center"/>
    </xf>
    <xf numFmtId="0" fontId="58" fillId="0" borderId="17" xfId="0" applyNumberFormat="1" applyFont="1" applyBorder="1"/>
    <xf numFmtId="0" fontId="0" fillId="0" borderId="17" xfId="0" applyNumberFormat="1" applyBorder="1" applyAlignment="1">
      <alignment horizontal="right" indent="1"/>
    </xf>
    <xf numFmtId="2" fontId="0" fillId="0" borderId="17" xfId="0" applyNumberFormat="1" applyBorder="1" applyAlignment="1">
      <alignment horizontal="right" indent="1"/>
    </xf>
    <xf numFmtId="0" fontId="43" fillId="0" borderId="17" xfId="0" applyNumberFormat="1" applyFont="1" applyBorder="1"/>
    <xf numFmtId="172" fontId="45" fillId="0" borderId="0" xfId="0" applyFont="1" applyAlignment="1">
      <alignment vertical="center" wrapText="1"/>
    </xf>
    <xf numFmtId="170" fontId="86" fillId="2" borderId="0" xfId="44722" applyNumberFormat="1" applyFont="1" applyFill="1" applyBorder="1" applyAlignment="1">
      <alignment vertical="center"/>
    </xf>
    <xf numFmtId="0" fontId="73" fillId="2" borderId="0" xfId="44718" applyFont="1" applyFill="1"/>
    <xf numFmtId="0" fontId="51" fillId="2" borderId="0" xfId="44722" applyFont="1" applyFill="1" applyBorder="1">
      <alignment horizontal="right" vertical="center"/>
    </xf>
    <xf numFmtId="166" fontId="0" fillId="0" borderId="0" xfId="44716" applyFont="1" applyFill="1"/>
    <xf numFmtId="0" fontId="30" fillId="14" borderId="0" xfId="44718" applyFont="1" applyFill="1" applyAlignment="1">
      <alignment vertical="center"/>
    </xf>
    <xf numFmtId="0" fontId="88" fillId="9" borderId="0" xfId="44720" applyFont="1" applyFill="1">
      <alignment horizontal="left" vertical="center"/>
    </xf>
    <xf numFmtId="0" fontId="32" fillId="0" borderId="0" xfId="44720" applyFont="1">
      <alignment horizontal="left" vertical="center"/>
    </xf>
    <xf numFmtId="0" fontId="58" fillId="0" borderId="0" xfId="44718" applyFont="1"/>
    <xf numFmtId="0" fontId="11" fillId="0" borderId="0" xfId="44721" applyFont="1" applyAlignment="1">
      <alignment horizontal="left" vertical="center" indent="1"/>
    </xf>
    <xf numFmtId="172" fontId="103" fillId="0" borderId="0" xfId="0" applyFont="1" applyAlignment="1">
      <alignment vertical="center"/>
    </xf>
    <xf numFmtId="0" fontId="40" fillId="18" borderId="0" xfId="44718" applyFont="1" applyFill="1"/>
    <xf numFmtId="0" fontId="35" fillId="18" borderId="0" xfId="44720" applyFont="1" applyFill="1" applyAlignment="1">
      <alignment wrapText="1"/>
    </xf>
    <xf numFmtId="0" fontId="31" fillId="18" borderId="0" xfId="44720" applyFont="1" applyFill="1" applyAlignment="1">
      <alignment horizontal="left" wrapText="1"/>
    </xf>
    <xf numFmtId="0" fontId="93" fillId="9" borderId="0" xfId="44720" applyFont="1" applyFill="1" applyAlignment="1">
      <alignment horizontal="left" vertical="center" indent="3"/>
    </xf>
    <xf numFmtId="0" fontId="37" fillId="9" borderId="0" xfId="44720" applyFont="1" applyFill="1" applyAlignment="1">
      <alignment horizontal="left" vertical="center" indent="3"/>
    </xf>
    <xf numFmtId="0" fontId="27" fillId="9" borderId="0" xfId="44722" applyFont="1" applyFill="1" applyBorder="1" applyAlignment="1">
      <alignment horizontal="left" vertical="center" indent="3"/>
    </xf>
    <xf numFmtId="0" fontId="103" fillId="0" borderId="0" xfId="44728" applyFont="1" applyBorder="1" applyAlignment="1">
      <alignment vertical="center"/>
    </xf>
    <xf numFmtId="0" fontId="106" fillId="9" borderId="0" xfId="44723" applyFont="1" applyFill="1" applyAlignment="1">
      <alignment horizontal="left" vertical="center" indent="3"/>
    </xf>
    <xf numFmtId="0" fontId="117" fillId="9" borderId="0" xfId="0" applyNumberFormat="1" applyFont="1" applyFill="1" applyAlignment="1">
      <alignment horizontal="left" vertical="center" indent="3"/>
    </xf>
    <xf numFmtId="172" fontId="36" fillId="9" borderId="0" xfId="0" applyFont="1" applyFill="1" applyAlignment="1">
      <alignment horizontal="left" vertical="center" indent="3"/>
    </xf>
    <xf numFmtId="0" fontId="36" fillId="9" borderId="0" xfId="44723" applyFont="1" applyFill="1" applyAlignment="1">
      <alignment horizontal="left" vertical="center" indent="3"/>
    </xf>
    <xf numFmtId="0" fontId="6" fillId="0" borderId="0" xfId="44735"/>
    <xf numFmtId="0" fontId="99" fillId="0" borderId="0" xfId="44735" applyFont="1"/>
    <xf numFmtId="170" fontId="71" fillId="0" borderId="34" xfId="44735" applyNumberFormat="1" applyFont="1" applyBorder="1" applyAlignment="1">
      <alignment horizontal="right" vertical="center" indent="1"/>
    </xf>
    <xf numFmtId="0" fontId="99" fillId="0" borderId="25" xfId="44735" applyFont="1" applyBorder="1" applyAlignment="1">
      <alignment horizontal="right" indent="1"/>
    </xf>
    <xf numFmtId="0" fontId="103" fillId="0" borderId="0" xfId="44735" applyFont="1" applyAlignment="1">
      <alignment horizontal="left" vertical="center"/>
    </xf>
    <xf numFmtId="170" fontId="71" fillId="0" borderId="0" xfId="44735" applyNumberFormat="1" applyFont="1" applyAlignment="1">
      <alignment horizontal="right" vertical="center" indent="1"/>
    </xf>
    <xf numFmtId="0" fontId="45" fillId="0" borderId="0" xfId="44735" applyFont="1" applyAlignment="1">
      <alignment horizontal="left" vertical="center"/>
    </xf>
    <xf numFmtId="0" fontId="99" fillId="9" borderId="0" xfId="44735" applyFont="1" applyFill="1"/>
    <xf numFmtId="170" fontId="71" fillId="9" borderId="0" xfId="44735" applyNumberFormat="1" applyFont="1" applyFill="1" applyAlignment="1">
      <alignment horizontal="right" vertical="center" indent="1"/>
    </xf>
    <xf numFmtId="0" fontId="99" fillId="0" borderId="0" xfId="44735" applyFont="1" applyAlignment="1">
      <alignment horizontal="left" vertical="center"/>
    </xf>
    <xf numFmtId="0" fontId="71" fillId="0" borderId="0" xfId="44735" applyFont="1"/>
    <xf numFmtId="0" fontId="71" fillId="9" borderId="0" xfId="44735" applyFont="1" applyFill="1"/>
    <xf numFmtId="0" fontId="71" fillId="0" borderId="34" xfId="44735" applyFont="1" applyBorder="1" applyAlignment="1">
      <alignment horizontal="right" indent="1"/>
    </xf>
    <xf numFmtId="0" fontId="88" fillId="9" borderId="0" xfId="44720" applyFont="1" applyFill="1" applyAlignment="1">
      <alignment vertical="center"/>
    </xf>
    <xf numFmtId="0" fontId="31" fillId="18" borderId="0" xfId="44720" applyFont="1" applyFill="1" applyAlignment="1">
      <alignment vertical="center"/>
    </xf>
    <xf numFmtId="0" fontId="99" fillId="0" borderId="0" xfId="44735" applyFont="1" applyAlignment="1">
      <alignment horizontal="right" indent="1"/>
    </xf>
    <xf numFmtId="164" fontId="99" fillId="0" borderId="0" xfId="44735" applyNumberFormat="1" applyFont="1"/>
    <xf numFmtId="0" fontId="31" fillId="14" borderId="0" xfId="44718" applyFont="1" applyFill="1" applyAlignment="1">
      <alignment vertical="center"/>
    </xf>
    <xf numFmtId="0" fontId="88" fillId="9" borderId="0" xfId="44720" applyFont="1" applyFill="1" applyAlignment="1">
      <alignment vertical="center" wrapText="1"/>
    </xf>
    <xf numFmtId="0" fontId="88" fillId="2" borderId="0" xfId="44718" applyFont="1" applyFill="1"/>
    <xf numFmtId="0" fontId="103" fillId="0" borderId="0" xfId="44727" applyFont="1" applyBorder="1" applyAlignment="1">
      <alignment vertical="center"/>
    </xf>
    <xf numFmtId="170" fontId="103" fillId="2" borderId="0" xfId="44722" applyNumberFormat="1" applyFont="1" applyFill="1" applyBorder="1" applyAlignment="1">
      <alignment vertical="center"/>
    </xf>
    <xf numFmtId="170" fontId="118" fillId="2" borderId="0" xfId="44722" applyNumberFormat="1" applyFont="1" applyFill="1" applyBorder="1" applyAlignment="1">
      <alignment vertical="center"/>
    </xf>
    <xf numFmtId="0" fontId="95" fillId="2" borderId="0" xfId="44718" applyFont="1" applyFill="1"/>
    <xf numFmtId="170" fontId="116" fillId="2" borderId="0" xfId="44722" applyNumberFormat="1" applyFont="1" applyFill="1" applyBorder="1" applyAlignment="1">
      <alignment vertical="center"/>
    </xf>
    <xf numFmtId="0" fontId="73" fillId="18" borderId="17" xfId="0" applyNumberFormat="1" applyFont="1" applyFill="1" applyBorder="1"/>
    <xf numFmtId="0" fontId="73" fillId="18" borderId="17" xfId="44718" applyFont="1" applyFill="1" applyBorder="1" applyAlignment="1">
      <alignment horizontal="center" vertical="center"/>
    </xf>
    <xf numFmtId="0" fontId="16" fillId="0" borderId="17" xfId="0" applyNumberFormat="1" applyFont="1" applyBorder="1"/>
    <xf numFmtId="0" fontId="0" fillId="0" borderId="17" xfId="0" applyNumberFormat="1" applyBorder="1"/>
    <xf numFmtId="0" fontId="54" fillId="0" borderId="17" xfId="0" applyNumberFormat="1" applyFont="1" applyBorder="1"/>
    <xf numFmtId="172" fontId="78" fillId="0" borderId="17" xfId="0" applyFont="1" applyBorder="1"/>
    <xf numFmtId="0" fontId="41" fillId="0" borderId="17" xfId="44718" applyFont="1" applyBorder="1" applyAlignment="1">
      <alignment vertical="center"/>
    </xf>
    <xf numFmtId="0" fontId="73" fillId="14" borderId="12" xfId="16" applyNumberFormat="1" applyFont="1" applyFill="1" applyBorder="1" applyAlignment="1">
      <alignment vertical="center"/>
    </xf>
    <xf numFmtId="0" fontId="41" fillId="14" borderId="13" xfId="44730" applyFill="1" applyBorder="1"/>
    <xf numFmtId="0" fontId="45" fillId="14" borderId="13" xfId="16" applyNumberFormat="1" applyFont="1" applyFill="1" applyBorder="1"/>
    <xf numFmtId="0" fontId="41" fillId="14" borderId="14" xfId="44730" applyFill="1" applyBorder="1"/>
    <xf numFmtId="0" fontId="41" fillId="14" borderId="0" xfId="44730" applyFill="1"/>
    <xf numFmtId="0" fontId="73" fillId="14" borderId="17" xfId="44730" applyFont="1" applyFill="1" applyBorder="1" applyAlignment="1">
      <alignment vertical="center"/>
    </xf>
    <xf numFmtId="0" fontId="73" fillId="14" borderId="17" xfId="44730" applyFont="1" applyFill="1" applyBorder="1" applyAlignment="1">
      <alignment horizontal="center" vertical="center"/>
    </xf>
    <xf numFmtId="0" fontId="42" fillId="9" borderId="17" xfId="44730" applyFont="1" applyFill="1" applyBorder="1" applyAlignment="1">
      <alignment horizontal="left" vertical="center"/>
    </xf>
    <xf numFmtId="0" fontId="45" fillId="9" borderId="17" xfId="16" applyNumberFormat="1" applyFont="1" applyFill="1" applyBorder="1"/>
    <xf numFmtId="0" fontId="41" fillId="0" borderId="17" xfId="44730" applyBorder="1"/>
    <xf numFmtId="0" fontId="45" fillId="0" borderId="17" xfId="16" applyNumberFormat="1" applyFont="1" applyBorder="1"/>
    <xf numFmtId="0" fontId="73" fillId="8" borderId="17" xfId="16" applyNumberFormat="1" applyFont="1" applyFill="1" applyBorder="1"/>
    <xf numFmtId="0" fontId="66" fillId="14" borderId="17" xfId="16" applyNumberFormat="1" applyFont="1" applyFill="1" applyBorder="1"/>
    <xf numFmtId="0" fontId="73" fillId="14" borderId="17" xfId="16" applyNumberFormat="1" applyFont="1" applyFill="1" applyBorder="1" applyAlignment="1">
      <alignment horizontal="center" vertical="center"/>
    </xf>
    <xf numFmtId="0" fontId="73" fillId="8" borderId="12" xfId="44730" applyFont="1" applyFill="1" applyBorder="1"/>
    <xf numFmtId="0" fontId="40" fillId="8" borderId="13" xfId="44730" applyFont="1" applyFill="1" applyBorder="1"/>
    <xf numFmtId="0" fontId="40" fillId="8" borderId="14" xfId="44730" applyFont="1" applyFill="1" applyBorder="1"/>
    <xf numFmtId="0" fontId="41" fillId="9" borderId="17" xfId="44730" applyFill="1" applyBorder="1"/>
    <xf numFmtId="0" fontId="42" fillId="9" borderId="17" xfId="44730" applyFont="1" applyFill="1" applyBorder="1"/>
    <xf numFmtId="0" fontId="41" fillId="9" borderId="17" xfId="44730" applyFill="1" applyBorder="1" applyAlignment="1">
      <alignment horizontal="center" vertical="center" wrapText="1"/>
    </xf>
    <xf numFmtId="0" fontId="42" fillId="9" borderId="17" xfId="44730" applyFont="1" applyFill="1" applyBorder="1" applyAlignment="1">
      <alignment horizontal="center" vertical="center" wrapText="1"/>
    </xf>
    <xf numFmtId="1" fontId="41" fillId="0" borderId="17" xfId="44730" applyNumberFormat="1" applyBorder="1"/>
    <xf numFmtId="173" fontId="41" fillId="0" borderId="17" xfId="44730" applyNumberFormat="1" applyBorder="1" applyAlignment="1">
      <alignment horizontal="center"/>
    </xf>
    <xf numFmtId="173" fontId="41" fillId="0" borderId="17" xfId="44730" applyNumberFormat="1" applyBorder="1"/>
    <xf numFmtId="172" fontId="0" fillId="0" borderId="17" xfId="0" applyBorder="1"/>
    <xf numFmtId="0" fontId="41" fillId="9" borderId="17" xfId="44730" applyFill="1" applyBorder="1" applyAlignment="1">
      <alignment horizontal="center" wrapText="1"/>
    </xf>
    <xf numFmtId="172" fontId="16" fillId="9" borderId="17" xfId="0" applyFont="1" applyFill="1" applyBorder="1"/>
    <xf numFmtId="0" fontId="40" fillId="2" borderId="18" xfId="44718" applyFont="1" applyFill="1" applyBorder="1"/>
    <xf numFmtId="172" fontId="100" fillId="2" borderId="18" xfId="1" applyFont="1" applyBorder="1" applyAlignment="1">
      <alignment vertical="center"/>
    </xf>
    <xf numFmtId="0" fontId="91" fillId="2" borderId="18" xfId="44722" applyFont="1" applyFill="1" applyBorder="1">
      <alignment horizontal="right" vertical="center"/>
    </xf>
    <xf numFmtId="0" fontId="92" fillId="2" borderId="18" xfId="44718" applyFont="1" applyFill="1" applyBorder="1" applyAlignment="1">
      <alignment wrapText="1"/>
    </xf>
    <xf numFmtId="172" fontId="0" fillId="0" borderId="18" xfId="0" applyBorder="1"/>
    <xf numFmtId="0" fontId="103" fillId="0" borderId="0" xfId="44720" applyFont="1" applyAlignment="1">
      <alignment vertical="center"/>
    </xf>
    <xf numFmtId="0" fontId="103" fillId="0" borderId="25" xfId="44720" applyFont="1" applyBorder="1" applyAlignment="1">
      <alignment vertical="center"/>
    </xf>
    <xf numFmtId="173" fontId="41" fillId="9" borderId="17" xfId="44716" applyNumberFormat="1" applyFont="1" applyFill="1" applyBorder="1" applyAlignment="1"/>
    <xf numFmtId="172" fontId="16" fillId="0" borderId="23" xfId="0" applyFont="1" applyBorder="1"/>
    <xf numFmtId="172" fontId="16" fillId="0" borderId="22" xfId="0" applyFont="1" applyBorder="1"/>
    <xf numFmtId="0" fontId="41" fillId="0" borderId="28" xfId="44731" applyBorder="1"/>
    <xf numFmtId="0" fontId="41" fillId="0" borderId="26" xfId="44731" applyBorder="1"/>
    <xf numFmtId="0" fontId="41" fillId="0" borderId="21" xfId="44731" applyBorder="1"/>
    <xf numFmtId="0" fontId="41" fillId="0" borderId="19" xfId="44731" applyBorder="1"/>
    <xf numFmtId="0" fontId="82" fillId="0" borderId="23" xfId="44732" applyFont="1" applyBorder="1" applyAlignment="1">
      <alignment horizontal="left" vertical="center"/>
    </xf>
    <xf numFmtId="0" fontId="82" fillId="0" borderId="22" xfId="44732" applyFont="1" applyBorder="1" applyAlignment="1">
      <alignment vertical="center"/>
    </xf>
    <xf numFmtId="0" fontId="81" fillId="0" borderId="28" xfId="44732" applyFont="1" applyBorder="1" applyAlignment="1">
      <alignment horizontal="left"/>
    </xf>
    <xf numFmtId="0" fontId="81" fillId="0" borderId="26" xfId="44732" applyFont="1" applyBorder="1"/>
    <xf numFmtId="0" fontId="81" fillId="0" borderId="21" xfId="44732" applyFont="1" applyBorder="1" applyAlignment="1">
      <alignment horizontal="left"/>
    </xf>
    <xf numFmtId="0" fontId="81" fillId="0" borderId="19" xfId="44732" applyFont="1" applyBorder="1"/>
    <xf numFmtId="0" fontId="120" fillId="0" borderId="0" xfId="16" applyNumberFormat="1" applyFont="1"/>
    <xf numFmtId="0" fontId="16" fillId="2" borderId="11" xfId="14" applyNumberFormat="1" applyFill="1" applyBorder="1"/>
    <xf numFmtId="0" fontId="16" fillId="9" borderId="11" xfId="14" applyNumberFormat="1" applyFill="1" applyBorder="1"/>
    <xf numFmtId="0" fontId="14" fillId="2" borderId="0" xfId="44720" applyFont="1" applyFill="1">
      <alignment horizontal="left" vertical="center"/>
    </xf>
    <xf numFmtId="0" fontId="93" fillId="2" borderId="0" xfId="44720" applyFont="1" applyFill="1" applyAlignment="1">
      <alignment horizontal="left" vertical="center" indent="3"/>
    </xf>
    <xf numFmtId="0" fontId="37" fillId="2" borderId="0" xfId="44720" applyFont="1" applyFill="1" applyAlignment="1">
      <alignment horizontal="left" vertical="center" indent="3"/>
    </xf>
    <xf numFmtId="0" fontId="27" fillId="2" borderId="0" xfId="44722" applyFont="1" applyFill="1" applyBorder="1" applyAlignment="1">
      <alignment horizontal="left" vertical="center" indent="3"/>
    </xf>
    <xf numFmtId="0" fontId="106" fillId="2" borderId="0" xfId="44723" applyFont="1" applyFill="1" applyAlignment="1">
      <alignment horizontal="left" vertical="center" indent="3"/>
    </xf>
    <xf numFmtId="0" fontId="117" fillId="2" borderId="0" xfId="0" applyNumberFormat="1" applyFont="1" applyFill="1" applyAlignment="1">
      <alignment horizontal="left" vertical="center" indent="3"/>
    </xf>
    <xf numFmtId="172" fontId="36" fillId="2" borderId="0" xfId="0" applyFont="1" applyFill="1" applyAlignment="1">
      <alignment horizontal="left" vertical="center" indent="3"/>
    </xf>
    <xf numFmtId="0" fontId="36" fillId="2" borderId="0" xfId="44723" applyFont="1" applyFill="1" applyAlignment="1">
      <alignment horizontal="left" vertical="center" indent="3"/>
    </xf>
    <xf numFmtId="0" fontId="88" fillId="2" borderId="0" xfId="44720" applyFont="1" applyFill="1">
      <alignment horizontal="left" vertical="center"/>
    </xf>
    <xf numFmtId="0" fontId="52" fillId="0" borderId="0" xfId="44720" applyFont="1" applyAlignment="1">
      <alignment horizontal="center" vertical="center" wrapText="1"/>
    </xf>
    <xf numFmtId="0" fontId="99" fillId="0" borderId="0" xfId="44737" applyFont="1"/>
    <xf numFmtId="0" fontId="5" fillId="0" borderId="0" xfId="44737"/>
    <xf numFmtId="0" fontId="40" fillId="18" borderId="0" xfId="44736" applyFont="1" applyFill="1" applyAlignment="1" applyProtection="1">
      <alignment vertical="center"/>
      <protection hidden="1"/>
    </xf>
    <xf numFmtId="0" fontId="45" fillId="0" borderId="0" xfId="44737" applyFont="1"/>
    <xf numFmtId="0" fontId="40" fillId="14" borderId="0" xfId="44736" applyFont="1" applyFill="1" applyAlignment="1" applyProtection="1">
      <alignment vertical="center"/>
      <protection hidden="1"/>
    </xf>
    <xf numFmtId="0" fontId="99" fillId="18" borderId="0" xfId="44737" applyFont="1" applyFill="1"/>
    <xf numFmtId="0" fontId="5" fillId="18" borderId="0" xfId="44737" applyFill="1"/>
    <xf numFmtId="0" fontId="99" fillId="14" borderId="0" xfId="44737" applyFont="1" applyFill="1"/>
    <xf numFmtId="0" fontId="5" fillId="14" borderId="0" xfId="44737" applyFill="1"/>
    <xf numFmtId="0" fontId="71" fillId="2" borderId="17" xfId="44737" applyFont="1" applyFill="1" applyBorder="1" applyAlignment="1" applyProtection="1">
      <alignment horizontal="center" vertical="center"/>
      <protection locked="0"/>
    </xf>
    <xf numFmtId="0" fontId="45" fillId="0" borderId="17" xfId="44737" applyFont="1" applyBorder="1"/>
    <xf numFmtId="166" fontId="54" fillId="0" borderId="17" xfId="44739" applyFont="1" applyBorder="1"/>
    <xf numFmtId="1" fontId="45" fillId="0" borderId="17" xfId="44737" applyNumberFormat="1" applyFont="1" applyBorder="1"/>
    <xf numFmtId="0" fontId="121" fillId="0" borderId="0" xfId="44737" applyFont="1"/>
    <xf numFmtId="0" fontId="82" fillId="14" borderId="29" xfId="44737" applyFont="1" applyFill="1" applyBorder="1"/>
    <xf numFmtId="0" fontId="82" fillId="14" borderId="30" xfId="44737" applyFont="1" applyFill="1" applyBorder="1"/>
    <xf numFmtId="0" fontId="82" fillId="14" borderId="17" xfId="44737" applyFont="1" applyFill="1" applyBorder="1"/>
    <xf numFmtId="14" fontId="0" fillId="0" borderId="0" xfId="0" applyNumberFormat="1"/>
    <xf numFmtId="164" fontId="0" fillId="0" borderId="0" xfId="0" applyNumberFormat="1"/>
    <xf numFmtId="0" fontId="48" fillId="2" borderId="0" xfId="0" applyNumberFormat="1" applyFont="1" applyFill="1" applyAlignment="1">
      <alignment horizontal="left" vertical="center" indent="3"/>
    </xf>
    <xf numFmtId="0" fontId="40" fillId="14" borderId="17" xfId="0" applyNumberFormat="1" applyFont="1" applyFill="1" applyBorder="1" applyAlignment="1">
      <alignment horizontal="center" vertical="center"/>
    </xf>
    <xf numFmtId="0" fontId="93" fillId="2" borderId="0" xfId="44724" applyFont="1" applyFill="1" applyAlignment="1">
      <alignment vertical="center" wrapText="1"/>
    </xf>
    <xf numFmtId="0" fontId="93" fillId="2" borderId="25" xfId="44724" applyFont="1" applyFill="1" applyBorder="1" applyAlignment="1">
      <alignment vertical="center" wrapText="1"/>
    </xf>
    <xf numFmtId="0" fontId="93" fillId="2" borderId="0" xfId="44724" applyFont="1" applyFill="1" applyAlignment="1">
      <alignment vertical="center"/>
    </xf>
    <xf numFmtId="0" fontId="93" fillId="2" borderId="25" xfId="44724" applyFont="1" applyFill="1" applyBorder="1" applyAlignment="1">
      <alignment vertical="center"/>
    </xf>
    <xf numFmtId="0" fontId="45" fillId="0" borderId="0" xfId="44720" applyFont="1" applyAlignment="1">
      <alignment horizontal="center" vertical="center"/>
    </xf>
    <xf numFmtId="0" fontId="45" fillId="0" borderId="0" xfId="44720" applyFont="1" applyAlignment="1">
      <alignment horizontal="left" vertical="center" indent="1"/>
    </xf>
    <xf numFmtId="0" fontId="101" fillId="0" borderId="0" xfId="44723" applyFont="1"/>
    <xf numFmtId="14" fontId="45" fillId="0" borderId="0" xfId="44720" applyNumberFormat="1" applyFont="1" applyAlignment="1">
      <alignment horizontal="center" vertical="center"/>
    </xf>
    <xf numFmtId="0" fontId="45" fillId="0" borderId="0" xfId="44723" applyFont="1" applyAlignment="1">
      <alignment horizontal="center" vertical="center"/>
    </xf>
    <xf numFmtId="0" fontId="101" fillId="18" borderId="0" xfId="44723" applyFont="1" applyFill="1" applyAlignment="1">
      <alignment horizontal="center"/>
    </xf>
    <xf numFmtId="0" fontId="45" fillId="18" borderId="0" xfId="44720" applyFont="1" applyFill="1" applyAlignment="1">
      <alignment horizontal="left" vertical="center" indent="1"/>
    </xf>
    <xf numFmtId="0" fontId="101" fillId="18" borderId="0" xfId="44723" applyFont="1" applyFill="1"/>
    <xf numFmtId="0" fontId="45" fillId="18" borderId="0" xfId="44720" applyFont="1" applyFill="1" applyAlignment="1">
      <alignment horizontal="center" vertical="center"/>
    </xf>
    <xf numFmtId="14" fontId="45" fillId="18" borderId="0" xfId="44720" applyNumberFormat="1" applyFont="1" applyFill="1" applyAlignment="1">
      <alignment horizontal="center" vertical="center"/>
    </xf>
    <xf numFmtId="0" fontId="45" fillId="18" borderId="0" xfId="44723" applyFont="1" applyFill="1" applyAlignment="1">
      <alignment horizontal="center" vertical="center"/>
    </xf>
    <xf numFmtId="0" fontId="31" fillId="18" borderId="0" xfId="44720" applyFont="1" applyFill="1">
      <alignment horizontal="left" vertical="center"/>
    </xf>
    <xf numFmtId="0" fontId="103" fillId="0" borderId="8" xfId="44720" applyFont="1" applyBorder="1" applyAlignment="1">
      <alignment vertical="center"/>
    </xf>
    <xf numFmtId="0" fontId="122" fillId="2" borderId="0" xfId="44724" applyFont="1" applyFill="1">
      <alignment horizontal="left" vertical="center"/>
    </xf>
    <xf numFmtId="172" fontId="118" fillId="0" borderId="0" xfId="0" applyFont="1" applyAlignment="1">
      <alignment horizontal="centerContinuous" vertical="center"/>
    </xf>
    <xf numFmtId="172" fontId="103" fillId="0" borderId="0" xfId="0" applyFont="1" applyAlignment="1">
      <alignment horizontal="centerContinuous" vertical="center"/>
    </xf>
    <xf numFmtId="172" fontId="118" fillId="0" borderId="0" xfId="0" applyFont="1" applyAlignment="1">
      <alignment horizontal="center" vertical="center"/>
    </xf>
    <xf numFmtId="0" fontId="103" fillId="0" borderId="8" xfId="44720" applyFont="1" applyBorder="1" applyAlignment="1">
      <alignment horizontal="center" vertical="center"/>
    </xf>
    <xf numFmtId="0" fontId="103" fillId="0" borderId="0" xfId="44720" applyFont="1" applyAlignment="1">
      <alignment horizontal="center" vertical="center"/>
    </xf>
    <xf numFmtId="0" fontId="99" fillId="2" borderId="0" xfId="44735" applyFont="1" applyFill="1"/>
    <xf numFmtId="164" fontId="99" fillId="2" borderId="0" xfId="44735" applyNumberFormat="1" applyFont="1" applyFill="1"/>
    <xf numFmtId="0" fontId="123" fillId="0" borderId="0" xfId="44718" applyFont="1" applyAlignment="1">
      <alignment horizontal="left" vertical="center"/>
    </xf>
    <xf numFmtId="0" fontId="48" fillId="2" borderId="0" xfId="44720" applyFont="1" applyFill="1" applyAlignment="1">
      <alignment vertical="center"/>
    </xf>
    <xf numFmtId="0" fontId="125" fillId="18" borderId="0" xfId="44718" applyFont="1" applyFill="1" applyAlignment="1">
      <alignment horizontal="left" vertical="center"/>
    </xf>
    <xf numFmtId="0" fontId="31" fillId="18" borderId="0" xfId="44735" applyFont="1" applyFill="1"/>
    <xf numFmtId="0" fontId="31" fillId="18" borderId="0" xfId="44736" applyFont="1" applyFill="1" applyAlignment="1" applyProtection="1">
      <alignment horizontal="left" vertical="center"/>
      <protection hidden="1"/>
    </xf>
    <xf numFmtId="0" fontId="31" fillId="18" borderId="0" xfId="44735" applyFont="1" applyFill="1" applyAlignment="1">
      <alignment horizontal="center" vertical="center"/>
    </xf>
    <xf numFmtId="0" fontId="126" fillId="0" borderId="0" xfId="44720" applyFont="1">
      <alignment horizontal="left" vertical="center"/>
    </xf>
    <xf numFmtId="0" fontId="127" fillId="7" borderId="0" xfId="44731" applyFont="1" applyFill="1"/>
    <xf numFmtId="0" fontId="99" fillId="0" borderId="0" xfId="44720" applyFont="1" applyAlignment="1">
      <alignment horizontal="right" vertical="center" indent="1"/>
    </xf>
    <xf numFmtId="0" fontId="41" fillId="0" borderId="20" xfId="44731" applyBorder="1"/>
    <xf numFmtId="0" fontId="98" fillId="0" borderId="20" xfId="44720" applyFont="1" applyBorder="1" applyAlignment="1">
      <alignment vertical="center" wrapText="1"/>
    </xf>
    <xf numFmtId="0" fontId="98" fillId="0" borderId="21" xfId="44720" applyFont="1" applyBorder="1" applyAlignment="1">
      <alignment vertical="center" wrapText="1"/>
    </xf>
    <xf numFmtId="0" fontId="41" fillId="0" borderId="24" xfId="44731" applyBorder="1"/>
    <xf numFmtId="0" fontId="41" fillId="0" borderId="25" xfId="44731" applyBorder="1"/>
    <xf numFmtId="0" fontId="41" fillId="7" borderId="24" xfId="44731" applyFill="1" applyBorder="1"/>
    <xf numFmtId="0" fontId="16" fillId="0" borderId="24" xfId="44723" applyBorder="1"/>
    <xf numFmtId="0" fontId="103" fillId="0" borderId="0" xfId="44720" applyFont="1" applyAlignment="1">
      <alignment horizontal="right" vertical="center"/>
    </xf>
    <xf numFmtId="0" fontId="103" fillId="0" borderId="0" xfId="44720" applyFont="1" applyAlignment="1">
      <alignment horizontal="right" vertical="center" indent="1"/>
    </xf>
    <xf numFmtId="0" fontId="118" fillId="0" borderId="0" xfId="44720" applyFont="1" applyAlignment="1">
      <alignment horizontal="right" vertical="center"/>
    </xf>
    <xf numFmtId="0" fontId="118" fillId="0" borderId="0" xfId="44720" applyFont="1" applyAlignment="1">
      <alignment horizontal="right" vertical="center" indent="1"/>
    </xf>
    <xf numFmtId="0" fontId="103" fillId="0" borderId="0" xfId="44720" applyFont="1" applyAlignment="1">
      <alignment horizontal="right" vertical="center" wrapText="1" indent="1"/>
    </xf>
    <xf numFmtId="0" fontId="129" fillId="0" borderId="0" xfId="44720" applyFont="1" applyAlignment="1">
      <alignment vertical="center"/>
    </xf>
    <xf numFmtId="0" fontId="26" fillId="0" borderId="30" xfId="44718" applyFont="1" applyBorder="1" applyAlignment="1">
      <alignment horizontal="left" vertical="center" indent="1"/>
    </xf>
    <xf numFmtId="0" fontId="92" fillId="2" borderId="0" xfId="44720" applyFont="1" applyFill="1" applyAlignment="1">
      <alignment vertical="center"/>
    </xf>
    <xf numFmtId="0" fontId="0" fillId="2" borderId="17" xfId="0" applyNumberFormat="1" applyFill="1" applyBorder="1" applyAlignment="1">
      <alignment vertical="center"/>
    </xf>
    <xf numFmtId="0" fontId="103" fillId="0" borderId="0" xfId="44737" applyFont="1" applyAlignment="1">
      <alignment horizontal="left" vertical="center"/>
    </xf>
    <xf numFmtId="174" fontId="45" fillId="9" borderId="17" xfId="44737" applyNumberFormat="1" applyFont="1" applyFill="1" applyBorder="1" applyAlignment="1">
      <alignment horizontal="left" vertical="center" indent="1"/>
    </xf>
    <xf numFmtId="0" fontId="103" fillId="2" borderId="0" xfId="44724" applyFont="1" applyFill="1">
      <alignment horizontal="left" vertical="center"/>
    </xf>
    <xf numFmtId="0" fontId="84" fillId="0" borderId="0" xfId="44719" applyFont="1" applyFill="1" applyAlignment="1">
      <alignment horizontal="left"/>
    </xf>
    <xf numFmtId="172" fontId="73" fillId="4" borderId="0" xfId="0" applyFont="1" applyFill="1"/>
    <xf numFmtId="172" fontId="83" fillId="0" borderId="0" xfId="0" applyFont="1"/>
    <xf numFmtId="172" fontId="40" fillId="0" borderId="0" xfId="0" applyFont="1" applyAlignment="1">
      <alignment horizontal="center" vertical="center"/>
    </xf>
    <xf numFmtId="172" fontId="81" fillId="0" borderId="0" xfId="0" applyFont="1"/>
    <xf numFmtId="172" fontId="131" fillId="0" borderId="0" xfId="0" applyFont="1" applyAlignment="1">
      <alignment horizontal="left" vertical="center" indent="2"/>
    </xf>
    <xf numFmtId="172" fontId="75" fillId="0" borderId="0" xfId="0" applyFont="1"/>
    <xf numFmtId="172" fontId="45" fillId="0" borderId="0" xfId="0" applyFont="1" applyAlignment="1">
      <alignment horizontal="left" indent="1"/>
    </xf>
    <xf numFmtId="172" fontId="45" fillId="0" borderId="20" xfId="0" applyFont="1" applyBorder="1"/>
    <xf numFmtId="172" fontId="45" fillId="9" borderId="0" xfId="0" applyFont="1" applyFill="1"/>
    <xf numFmtId="172" fontId="132" fillId="9" borderId="0" xfId="0" applyFont="1" applyFill="1"/>
    <xf numFmtId="172" fontId="64" fillId="2" borderId="0" xfId="0" applyFont="1" applyFill="1" applyAlignment="1">
      <alignment horizontal="center" vertical="center"/>
    </xf>
    <xf numFmtId="172" fontId="0" fillId="8" borderId="0" xfId="0" applyFill="1"/>
    <xf numFmtId="172" fontId="55" fillId="8" borderId="0" xfId="0" applyFont="1" applyFill="1"/>
    <xf numFmtId="172" fontId="55" fillId="2" borderId="0" xfId="0" applyFont="1" applyFill="1"/>
    <xf numFmtId="172" fontId="55" fillId="8" borderId="0" xfId="0" applyFont="1" applyFill="1" applyAlignment="1">
      <alignment horizontal="left" indent="1"/>
    </xf>
    <xf numFmtId="172" fontId="55" fillId="8" borderId="0" xfId="0" applyFont="1" applyFill="1" applyAlignment="1">
      <alignment vertical="center"/>
    </xf>
    <xf numFmtId="172" fontId="65" fillId="2" borderId="0" xfId="0" applyFont="1" applyFill="1"/>
    <xf numFmtId="172" fontId="104" fillId="0" borderId="0" xfId="0" applyFont="1" applyAlignment="1">
      <alignment horizontal="left" vertical="center" indent="3"/>
    </xf>
    <xf numFmtId="172" fontId="40" fillId="8" borderId="0" xfId="0" applyFont="1" applyFill="1" applyAlignment="1">
      <alignment horizontal="left" indent="1"/>
    </xf>
    <xf numFmtId="172" fontId="134" fillId="8" borderId="0" xfId="0" applyFont="1" applyFill="1"/>
    <xf numFmtId="172" fontId="64" fillId="2" borderId="0" xfId="0" applyFont="1" applyFill="1"/>
    <xf numFmtId="172" fontId="65" fillId="0" borderId="0" xfId="0" applyFont="1"/>
    <xf numFmtId="172" fontId="89" fillId="8" borderId="0" xfId="0" applyFont="1" applyFill="1"/>
    <xf numFmtId="172" fontId="45" fillId="8" borderId="0" xfId="0" applyFont="1" applyFill="1" applyAlignment="1">
      <alignment vertical="center"/>
    </xf>
    <xf numFmtId="172" fontId="45" fillId="8" borderId="0" xfId="0" applyFont="1" applyFill="1"/>
    <xf numFmtId="172" fontId="45" fillId="2" borderId="0" xfId="0" applyFont="1" applyFill="1"/>
    <xf numFmtId="172" fontId="45" fillId="0" borderId="0" xfId="0" applyFont="1" applyAlignment="1">
      <alignment vertical="center"/>
    </xf>
    <xf numFmtId="172" fontId="40" fillId="8" borderId="0" xfId="0" applyFont="1" applyFill="1"/>
    <xf numFmtId="172" fontId="40" fillId="8" borderId="0" xfId="0" applyFont="1" applyFill="1" applyAlignment="1">
      <alignment vertical="center"/>
    </xf>
    <xf numFmtId="172" fontId="104" fillId="0" borderId="0" xfId="0" applyFont="1" applyAlignment="1">
      <alignment horizontal="left" vertical="center"/>
    </xf>
    <xf numFmtId="172" fontId="132" fillId="8" borderId="0" xfId="0" applyFont="1" applyFill="1"/>
    <xf numFmtId="172" fontId="89" fillId="0" borderId="0" xfId="0" applyFont="1" applyAlignment="1">
      <alignment horizontal="left"/>
    </xf>
    <xf numFmtId="172" fontId="55" fillId="0" borderId="0" xfId="0" applyFont="1"/>
    <xf numFmtId="172" fontId="45" fillId="0" borderId="0" xfId="0" applyFont="1" applyAlignment="1">
      <alignment horizontal="left"/>
    </xf>
    <xf numFmtId="172" fontId="65" fillId="10" borderId="31" xfId="0" applyFont="1" applyFill="1" applyBorder="1" applyAlignment="1">
      <alignment horizontal="left" vertical="center" indent="1"/>
    </xf>
    <xf numFmtId="172" fontId="65" fillId="10" borderId="31" xfId="0" applyFont="1" applyFill="1" applyBorder="1"/>
    <xf numFmtId="172" fontId="132" fillId="0" borderId="0" xfId="0" applyFont="1"/>
    <xf numFmtId="172" fontId="74" fillId="0" borderId="0" xfId="0" applyFont="1"/>
    <xf numFmtId="172" fontId="131" fillId="0" borderId="0" xfId="0" applyFont="1" applyAlignment="1">
      <alignment horizontal="left" vertical="center" wrapText="1" indent="2"/>
    </xf>
    <xf numFmtId="172" fontId="104" fillId="0" borderId="0" xfId="0" applyFont="1" applyAlignment="1">
      <alignment horizontal="left"/>
    </xf>
    <xf numFmtId="172" fontId="103" fillId="0" borderId="0" xfId="0" applyFont="1" applyAlignment="1">
      <alignment horizontal="left" vertical="center"/>
    </xf>
    <xf numFmtId="172" fontId="118" fillId="0" borderId="0" xfId="0" applyFont="1" applyAlignment="1">
      <alignment horizontal="left" vertical="center"/>
    </xf>
    <xf numFmtId="172" fontId="103" fillId="0" borderId="0" xfId="0" applyFont="1" applyAlignment="1">
      <alignment horizontal="left" vertical="center" indent="3"/>
    </xf>
    <xf numFmtId="172" fontId="99" fillId="0" borderId="0" xfId="0" applyFont="1" applyAlignment="1">
      <alignment horizontal="left"/>
    </xf>
    <xf numFmtId="172" fontId="110" fillId="0" borderId="0" xfId="0" applyFont="1" applyAlignment="1">
      <alignment horizontal="left"/>
    </xf>
    <xf numFmtId="172" fontId="103" fillId="0" borderId="0" xfId="0" applyFont="1" applyAlignment="1">
      <alignment horizontal="left"/>
    </xf>
    <xf numFmtId="172" fontId="99" fillId="0" borderId="0" xfId="0" applyFont="1"/>
    <xf numFmtId="0" fontId="5" fillId="9" borderId="0" xfId="44737" applyFill="1"/>
    <xf numFmtId="0" fontId="99" fillId="9" borderId="0" xfId="44737" applyFont="1" applyFill="1"/>
    <xf numFmtId="172" fontId="40" fillId="0" borderId="0" xfId="14" applyFont="1"/>
    <xf numFmtId="172" fontId="45" fillId="0" borderId="0" xfId="14" applyFont="1"/>
    <xf numFmtId="2" fontId="16" fillId="0" borderId="0" xfId="0" applyNumberFormat="1" applyFont="1"/>
    <xf numFmtId="172" fontId="92" fillId="8" borderId="0" xfId="0" applyFont="1" applyFill="1" applyAlignment="1">
      <alignment horizontal="left" indent="1"/>
    </xf>
    <xf numFmtId="172" fontId="135" fillId="8" borderId="0" xfId="0" applyFont="1" applyFill="1" applyAlignment="1">
      <alignment horizontal="left" indent="1"/>
    </xf>
    <xf numFmtId="172" fontId="92" fillId="14" borderId="17" xfId="0" applyFont="1" applyFill="1" applyBorder="1" applyAlignment="1">
      <alignment horizontal="center" vertical="center"/>
    </xf>
    <xf numFmtId="0" fontId="71" fillId="9" borderId="17" xfId="0" applyNumberFormat="1" applyFont="1" applyFill="1" applyBorder="1" applyAlignment="1">
      <alignment horizontal="right" vertical="center" indent="1"/>
    </xf>
    <xf numFmtId="172" fontId="71" fillId="0" borderId="17" xfId="0" applyFont="1" applyBorder="1" applyAlignment="1" applyProtection="1">
      <alignment horizontal="center" vertical="center"/>
      <protection locked="0"/>
    </xf>
    <xf numFmtId="14" fontId="71" fillId="0" borderId="17" xfId="0" applyNumberFormat="1" applyFont="1" applyBorder="1" applyAlignment="1" applyProtection="1">
      <alignment horizontal="center" vertical="center"/>
      <protection locked="0"/>
    </xf>
    <xf numFmtId="0" fontId="71" fillId="0" borderId="17" xfId="44716" applyNumberFormat="1" applyFont="1" applyFill="1" applyBorder="1" applyAlignment="1" applyProtection="1">
      <alignment horizontal="center" vertical="center"/>
      <protection locked="0"/>
    </xf>
    <xf numFmtId="166" fontId="132" fillId="8" borderId="0" xfId="0" applyNumberFormat="1" applyFont="1" applyFill="1" applyProtection="1">
      <protection hidden="1"/>
    </xf>
    <xf numFmtId="172" fontId="136" fillId="10" borderId="31" xfId="0" applyFont="1" applyFill="1" applyBorder="1" applyAlignment="1">
      <alignment horizontal="left" vertical="center" indent="1"/>
    </xf>
    <xf numFmtId="0" fontId="137" fillId="10" borderId="31" xfId="44719" applyFont="1" applyFill="1" applyBorder="1" applyAlignment="1">
      <alignment horizontal="left"/>
    </xf>
    <xf numFmtId="0" fontId="65" fillId="10" borderId="31" xfId="44718" applyFont="1" applyFill="1" applyBorder="1" applyAlignment="1">
      <alignment horizontal="center"/>
    </xf>
    <xf numFmtId="172" fontId="40" fillId="14" borderId="17" xfId="0" applyFont="1" applyFill="1" applyBorder="1"/>
    <xf numFmtId="14" fontId="45" fillId="0" borderId="17" xfId="0" applyNumberFormat="1" applyFont="1" applyBorder="1" applyAlignment="1">
      <alignment horizontal="center"/>
    </xf>
    <xf numFmtId="0" fontId="73" fillId="4" borderId="17" xfId="44731" applyFont="1" applyFill="1" applyBorder="1" applyAlignment="1">
      <alignment vertical="center"/>
    </xf>
    <xf numFmtId="0" fontId="41" fillId="15" borderId="17" xfId="44731" applyFill="1" applyBorder="1" applyAlignment="1">
      <alignment horizontal="left" vertical="center" indent="1"/>
    </xf>
    <xf numFmtId="172" fontId="54" fillId="3" borderId="17" xfId="0" applyFont="1" applyFill="1" applyBorder="1"/>
    <xf numFmtId="14" fontId="42" fillId="0" borderId="17" xfId="16" applyNumberFormat="1" applyFont="1" applyBorder="1"/>
    <xf numFmtId="172" fontId="54" fillId="0" borderId="0" xfId="0" applyFont="1"/>
    <xf numFmtId="0" fontId="76" fillId="0" borderId="0" xfId="0" applyNumberFormat="1" applyFont="1" applyAlignment="1">
      <alignment horizontal="left" vertical="center" indent="1"/>
    </xf>
    <xf numFmtId="0" fontId="54" fillId="16" borderId="0" xfId="0" applyNumberFormat="1" applyFont="1" applyFill="1" applyAlignment="1">
      <alignment horizontal="left" vertical="center" indent="1"/>
    </xf>
    <xf numFmtId="0" fontId="89" fillId="2" borderId="0" xfId="44720" applyFont="1" applyFill="1" applyAlignment="1">
      <alignment horizontal="center" vertical="center"/>
    </xf>
    <xf numFmtId="0" fontId="89" fillId="0" borderId="0" xfId="44720" applyFont="1" applyAlignment="1">
      <alignment horizontal="center" vertical="center"/>
    </xf>
    <xf numFmtId="0" fontId="124" fillId="0" borderId="0" xfId="0" applyNumberFormat="1" applyFont="1"/>
    <xf numFmtId="0" fontId="98" fillId="0" borderId="19" xfId="44720" applyFont="1" applyBorder="1" applyAlignment="1">
      <alignment vertical="center" wrapText="1"/>
    </xf>
    <xf numFmtId="0" fontId="98" fillId="0" borderId="20" xfId="44720" applyFont="1" applyBorder="1" applyAlignment="1">
      <alignment vertical="center"/>
    </xf>
    <xf numFmtId="0" fontId="98" fillId="0" borderId="24" xfId="44720" applyFont="1" applyBorder="1" applyAlignment="1">
      <alignment vertical="center" wrapText="1"/>
    </xf>
    <xf numFmtId="0" fontId="118" fillId="0" borderId="0" xfId="44720" applyFont="1" applyAlignment="1">
      <alignment vertical="center"/>
    </xf>
    <xf numFmtId="0" fontId="7" fillId="0" borderId="25" xfId="44733" applyBorder="1"/>
    <xf numFmtId="0" fontId="64" fillId="0" borderId="25" xfId="44733" applyFont="1" applyBorder="1"/>
    <xf numFmtId="0" fontId="7" fillId="0" borderId="22" xfId="44733" applyBorder="1"/>
    <xf numFmtId="0" fontId="7" fillId="0" borderId="18" xfId="44733" applyBorder="1"/>
    <xf numFmtId="0" fontId="7" fillId="0" borderId="23" xfId="44733" applyBorder="1"/>
    <xf numFmtId="0" fontId="7" fillId="0" borderId="19" xfId="44733" applyBorder="1"/>
    <xf numFmtId="9" fontId="16" fillId="2" borderId="17" xfId="44717" applyFont="1" applyFill="1" applyBorder="1" applyAlignment="1"/>
    <xf numFmtId="172" fontId="40" fillId="2" borderId="0" xfId="0" applyFont="1" applyFill="1" applyAlignment="1">
      <alignment horizontal="center" vertical="center"/>
    </xf>
    <xf numFmtId="0" fontId="71" fillId="0" borderId="0" xfId="44735" applyFont="1" applyAlignment="1">
      <alignment horizontal="right" indent="1"/>
    </xf>
    <xf numFmtId="0" fontId="71" fillId="0" borderId="17" xfId="0" applyNumberFormat="1" applyFont="1" applyBorder="1" applyAlignment="1" applyProtection="1">
      <alignment horizontal="center" vertical="center"/>
      <protection locked="0"/>
    </xf>
    <xf numFmtId="0" fontId="92" fillId="14" borderId="17" xfId="0" applyNumberFormat="1" applyFont="1" applyFill="1" applyBorder="1" applyAlignment="1">
      <alignment horizontal="center" vertical="center"/>
    </xf>
    <xf numFmtId="0" fontId="55" fillId="2" borderId="0" xfId="44716" applyNumberFormat="1" applyFont="1" applyFill="1"/>
    <xf numFmtId="0" fontId="89" fillId="0" borderId="0" xfId="44720" applyFont="1" applyAlignment="1">
      <alignment vertical="center"/>
    </xf>
    <xf numFmtId="0" fontId="89" fillId="0" borderId="25" xfId="44720" applyFont="1" applyBorder="1" applyAlignment="1">
      <alignment vertical="center"/>
    </xf>
    <xf numFmtId="166" fontId="71" fillId="0" borderId="17" xfId="44735" applyNumberFormat="1" applyFont="1" applyBorder="1" applyAlignment="1" applyProtection="1">
      <alignment horizontal="center" vertical="center"/>
      <protection locked="0"/>
    </xf>
    <xf numFmtId="172" fontId="16" fillId="9" borderId="20" xfId="0" applyFont="1" applyFill="1" applyBorder="1"/>
    <xf numFmtId="172" fontId="16" fillId="9" borderId="0" xfId="0" applyFont="1" applyFill="1"/>
    <xf numFmtId="172" fontId="16" fillId="9" borderId="18" xfId="0" applyFont="1" applyFill="1" applyBorder="1"/>
    <xf numFmtId="0" fontId="45" fillId="0" borderId="0" xfId="0" applyNumberFormat="1" applyFont="1"/>
    <xf numFmtId="9" fontId="71" fillId="0" borderId="17" xfId="44717" applyFont="1" applyFill="1" applyBorder="1" applyAlignment="1" applyProtection="1">
      <alignment vertical="center"/>
      <protection locked="0"/>
    </xf>
    <xf numFmtId="0" fontId="97" fillId="9" borderId="0" xfId="44720" applyFont="1" applyFill="1" applyAlignment="1">
      <alignment vertical="center"/>
    </xf>
    <xf numFmtId="0" fontId="97" fillId="0" borderId="37" xfId="44720" applyFont="1" applyBorder="1" applyAlignment="1">
      <alignment vertical="center"/>
    </xf>
    <xf numFmtId="0" fontId="95" fillId="0" borderId="38" xfId="44720" applyFont="1" applyBorder="1" applyAlignment="1"/>
    <xf numFmtId="0" fontId="97" fillId="0" borderId="38" xfId="44720" applyFont="1" applyBorder="1" applyAlignment="1">
      <alignment vertical="center"/>
    </xf>
    <xf numFmtId="0" fontId="41" fillId="0" borderId="38" xfId="44731" applyBorder="1"/>
    <xf numFmtId="0" fontId="97" fillId="0" borderId="39" xfId="44720" applyFont="1" applyBorder="1" applyAlignment="1">
      <alignment vertical="center"/>
    </xf>
    <xf numFmtId="0" fontId="97" fillId="0" borderId="40" xfId="44720" applyFont="1" applyBorder="1" applyAlignment="1">
      <alignment vertical="center"/>
    </xf>
    <xf numFmtId="0" fontId="97" fillId="0" borderId="41" xfId="44720" applyFont="1" applyBorder="1" applyAlignment="1">
      <alignment vertical="center"/>
    </xf>
    <xf numFmtId="0" fontId="93" fillId="0" borderId="40" xfId="44720" applyFont="1" applyBorder="1" applyAlignment="1">
      <alignment vertical="center"/>
    </xf>
    <xf numFmtId="0" fontId="42" fillId="7" borderId="41" xfId="44731" applyFont="1" applyFill="1" applyBorder="1" applyAlignment="1">
      <alignment horizontal="center"/>
    </xf>
    <xf numFmtId="0" fontId="41" fillId="7" borderId="40" xfId="44731" applyFill="1" applyBorder="1" applyAlignment="1">
      <alignment horizontal="left"/>
    </xf>
    <xf numFmtId="167" fontId="41" fillId="7" borderId="41" xfId="44731" applyNumberFormat="1" applyFill="1" applyBorder="1"/>
    <xf numFmtId="0" fontId="41" fillId="0" borderId="42" xfId="44731" applyBorder="1"/>
    <xf numFmtId="0" fontId="41" fillId="0" borderId="43" xfId="44731" applyBorder="1"/>
    <xf numFmtId="0" fontId="41" fillId="7" borderId="44" xfId="44731" applyFill="1" applyBorder="1"/>
    <xf numFmtId="0" fontId="95" fillId="0" borderId="38" xfId="44720" applyFont="1" applyBorder="1" applyAlignment="1">
      <alignment vertical="center"/>
    </xf>
    <xf numFmtId="0" fontId="41" fillId="0" borderId="39" xfId="44731" applyBorder="1"/>
    <xf numFmtId="0" fontId="41" fillId="0" borderId="41" xfId="44731" applyBorder="1"/>
    <xf numFmtId="172" fontId="0" fillId="0" borderId="40" xfId="0" applyBorder="1"/>
    <xf numFmtId="172" fontId="0" fillId="0" borderId="42" xfId="0" applyBorder="1"/>
    <xf numFmtId="172" fontId="0" fillId="0" borderId="43" xfId="0" applyBorder="1"/>
    <xf numFmtId="172" fontId="0" fillId="0" borderId="44" xfId="0" applyBorder="1"/>
    <xf numFmtId="172" fontId="118" fillId="0" borderId="20" xfId="0" applyFont="1" applyBorder="1" applyAlignment="1">
      <alignment vertical="center" wrapText="1"/>
    </xf>
    <xf numFmtId="172" fontId="118" fillId="0" borderId="0" xfId="0" applyFont="1" applyAlignment="1">
      <alignment vertical="center" wrapText="1"/>
    </xf>
    <xf numFmtId="172" fontId="118" fillId="0" borderId="0" xfId="0" applyFont="1" applyAlignment="1">
      <alignment vertical="center"/>
    </xf>
    <xf numFmtId="0" fontId="138" fillId="18" borderId="20" xfId="44720" applyFont="1" applyFill="1" applyBorder="1" applyAlignment="1">
      <alignment horizontal="centerContinuous" vertical="center"/>
    </xf>
    <xf numFmtId="0" fontId="138" fillId="18" borderId="21" xfId="44720" applyFont="1" applyFill="1" applyBorder="1" applyAlignment="1">
      <alignment horizontal="centerContinuous" vertical="center"/>
    </xf>
    <xf numFmtId="0" fontId="138" fillId="14" borderId="20" xfId="44720" applyFont="1" applyFill="1" applyBorder="1" applyAlignment="1">
      <alignment horizontal="centerContinuous" vertical="center"/>
    </xf>
    <xf numFmtId="0" fontId="138" fillId="14" borderId="21" xfId="44720" applyFont="1" applyFill="1" applyBorder="1" applyAlignment="1">
      <alignment horizontal="centerContinuous" vertical="center"/>
    </xf>
    <xf numFmtId="0" fontId="138" fillId="8" borderId="20" xfId="44720" applyFont="1" applyFill="1" applyBorder="1" applyAlignment="1">
      <alignment horizontal="centerContinuous" vertical="center"/>
    </xf>
    <xf numFmtId="0" fontId="71" fillId="0" borderId="34" xfId="44735" applyFont="1" applyBorder="1" applyAlignment="1">
      <alignment horizontal="right" vertical="center" indent="1"/>
    </xf>
    <xf numFmtId="0" fontId="71" fillId="0" borderId="0" xfId="44735" applyFont="1" applyAlignment="1">
      <alignment horizontal="right" vertical="center" indent="1"/>
    </xf>
    <xf numFmtId="166" fontId="0" fillId="0" borderId="0" xfId="0" applyNumberFormat="1"/>
    <xf numFmtId="166" fontId="16" fillId="0" borderId="0" xfId="0" applyNumberFormat="1" applyFont="1"/>
    <xf numFmtId="0" fontId="103" fillId="2" borderId="0" xfId="44718" applyFont="1" applyFill="1" applyAlignment="1">
      <alignment vertical="center"/>
    </xf>
    <xf numFmtId="0" fontId="103" fillId="2" borderId="0" xfId="44720" applyFont="1" applyFill="1" applyAlignment="1">
      <alignment vertical="center"/>
    </xf>
    <xf numFmtId="0" fontId="7" fillId="2" borderId="24" xfId="44733" applyFill="1" applyBorder="1"/>
    <xf numFmtId="0" fontId="7" fillId="2" borderId="0" xfId="44733" applyFill="1"/>
    <xf numFmtId="0" fontId="7" fillId="2" borderId="22" xfId="44733" applyFill="1" applyBorder="1"/>
    <xf numFmtId="0" fontId="7" fillId="2" borderId="18" xfId="44733" applyFill="1" applyBorder="1"/>
    <xf numFmtId="0" fontId="7" fillId="2" borderId="23" xfId="44733" applyFill="1" applyBorder="1"/>
    <xf numFmtId="0" fontId="7" fillId="2" borderId="19" xfId="44733" applyFill="1" applyBorder="1"/>
    <xf numFmtId="0" fontId="7" fillId="2" borderId="20" xfId="44733" applyFill="1" applyBorder="1"/>
    <xf numFmtId="0" fontId="7" fillId="2" borderId="21" xfId="44733" applyFill="1" applyBorder="1"/>
    <xf numFmtId="0" fontId="128" fillId="2" borderId="0" xfId="44720" applyFont="1" applyFill="1" applyAlignment="1">
      <alignment vertical="center"/>
    </xf>
    <xf numFmtId="0" fontId="7" fillId="2" borderId="25" xfId="44733" applyFill="1" applyBorder="1"/>
    <xf numFmtId="172" fontId="103" fillId="2" borderId="0" xfId="0" applyFont="1" applyFill="1" applyAlignment="1">
      <alignment vertical="center"/>
    </xf>
    <xf numFmtId="0" fontId="48" fillId="18" borderId="19" xfId="44720" applyFont="1" applyFill="1" applyBorder="1" applyAlignment="1">
      <alignment horizontal="centerContinuous" vertical="center"/>
    </xf>
    <xf numFmtId="0" fontId="48" fillId="14" borderId="19" xfId="44720" applyFont="1" applyFill="1" applyBorder="1" applyAlignment="1">
      <alignment horizontal="centerContinuous" vertical="center"/>
    </xf>
    <xf numFmtId="0" fontId="48" fillId="8" borderId="19" xfId="44720" applyFont="1" applyFill="1" applyBorder="1" applyAlignment="1">
      <alignment horizontal="centerContinuous" vertical="center"/>
    </xf>
    <xf numFmtId="0" fontId="65" fillId="0" borderId="0" xfId="44720" applyFont="1" applyAlignment="1">
      <alignment horizontal="center" vertical="center"/>
    </xf>
    <xf numFmtId="0" fontId="65" fillId="0" borderId="8" xfId="44720" applyFont="1" applyBorder="1" applyAlignment="1">
      <alignment horizontal="center" vertical="center"/>
    </xf>
    <xf numFmtId="0" fontId="65" fillId="2" borderId="0" xfId="44722" applyFont="1" applyFill="1" applyBorder="1" applyAlignment="1">
      <alignment vertical="center"/>
    </xf>
    <xf numFmtId="0" fontId="65" fillId="0" borderId="0" xfId="44723" applyFont="1"/>
    <xf numFmtId="172" fontId="65" fillId="0" borderId="0" xfId="0" applyFont="1" applyAlignment="1">
      <alignment horizontal="center" vertical="center"/>
    </xf>
    <xf numFmtId="0" fontId="140" fillId="0" borderId="0" xfId="44719" applyFont="1" applyFill="1">
      <alignment horizontal="left" vertical="center"/>
    </xf>
    <xf numFmtId="0" fontId="65" fillId="0" borderId="0" xfId="44719" applyFont="1" applyFill="1">
      <alignment horizontal="left" vertical="center"/>
    </xf>
    <xf numFmtId="1" fontId="0" fillId="0" borderId="0" xfId="0" applyNumberFormat="1"/>
    <xf numFmtId="0" fontId="80" fillId="0" borderId="17" xfId="0" applyNumberFormat="1" applyFont="1" applyBorder="1"/>
    <xf numFmtId="0" fontId="129" fillId="0" borderId="0" xfId="44719" applyFont="1" applyFill="1" applyAlignment="1"/>
    <xf numFmtId="172" fontId="0" fillId="10" borderId="31" xfId="0" applyFill="1" applyBorder="1"/>
    <xf numFmtId="172" fontId="83" fillId="10" borderId="31" xfId="0" applyFont="1" applyFill="1" applyBorder="1" applyAlignment="1">
      <alignment horizontal="left" vertical="center" indent="1"/>
    </xf>
    <xf numFmtId="0" fontId="141" fillId="0" borderId="11" xfId="14" applyNumberFormat="1" applyFont="1" applyBorder="1"/>
    <xf numFmtId="172" fontId="141" fillId="0" borderId="0" xfId="0" applyFont="1"/>
    <xf numFmtId="0" fontId="141" fillId="2" borderId="11" xfId="14" applyNumberFormat="1" applyFont="1" applyFill="1" applyBorder="1"/>
    <xf numFmtId="172" fontId="142" fillId="9" borderId="0" xfId="0" applyFont="1" applyFill="1"/>
    <xf numFmtId="172" fontId="142" fillId="9" borderId="20" xfId="0" applyFont="1" applyFill="1" applyBorder="1"/>
    <xf numFmtId="170" fontId="142" fillId="9" borderId="20" xfId="0" applyNumberFormat="1" applyFont="1" applyFill="1" applyBorder="1" applyAlignment="1">
      <alignment horizontal="right"/>
    </xf>
    <xf numFmtId="172" fontId="142" fillId="9" borderId="24" xfId="0" applyFont="1" applyFill="1" applyBorder="1"/>
    <xf numFmtId="170" fontId="142" fillId="9" borderId="0" xfId="0" applyNumberFormat="1" applyFont="1" applyFill="1" applyAlignment="1">
      <alignment horizontal="right"/>
    </xf>
    <xf numFmtId="170" fontId="142" fillId="9" borderId="25" xfId="0" applyNumberFormat="1" applyFont="1" applyFill="1" applyBorder="1" applyAlignment="1">
      <alignment horizontal="right"/>
    </xf>
    <xf numFmtId="172" fontId="142" fillId="9" borderId="22" xfId="0" applyFont="1" applyFill="1" applyBorder="1"/>
    <xf numFmtId="172" fontId="142" fillId="9" borderId="18" xfId="0" applyFont="1" applyFill="1" applyBorder="1"/>
    <xf numFmtId="170" fontId="142" fillId="9" borderId="18" xfId="0" applyNumberFormat="1" applyFont="1" applyFill="1" applyBorder="1" applyAlignment="1">
      <alignment horizontal="right"/>
    </xf>
    <xf numFmtId="172" fontId="142" fillId="9" borderId="25" xfId="0" applyFont="1" applyFill="1" applyBorder="1"/>
    <xf numFmtId="172" fontId="142" fillId="9" borderId="23" xfId="0" applyFont="1" applyFill="1" applyBorder="1"/>
    <xf numFmtId="0" fontId="40" fillId="2" borderId="0" xfId="0" applyNumberFormat="1" applyFont="1" applyFill="1" applyAlignment="1">
      <alignment horizontal="center" vertical="center"/>
    </xf>
    <xf numFmtId="0" fontId="118" fillId="0" borderId="8" xfId="44720" applyFont="1" applyBorder="1" applyAlignment="1">
      <alignment vertical="center"/>
    </xf>
    <xf numFmtId="172" fontId="60" fillId="0" borderId="0" xfId="0" applyFont="1"/>
    <xf numFmtId="172" fontId="60" fillId="0" borderId="0" xfId="14" applyFont="1"/>
    <xf numFmtId="172" fontId="65" fillId="0" borderId="17" xfId="0" applyFont="1" applyBorder="1"/>
    <xf numFmtId="0" fontId="65" fillId="0" borderId="17" xfId="0" applyNumberFormat="1" applyFont="1" applyBorder="1"/>
    <xf numFmtId="0" fontId="76" fillId="0" borderId="0" xfId="0" applyNumberFormat="1" applyFont="1" applyAlignment="1">
      <alignment horizontal="left" vertical="center"/>
    </xf>
    <xf numFmtId="1" fontId="71" fillId="2" borderId="17" xfId="44724" applyNumberFormat="1" applyFont="1" applyFill="1" applyBorder="1" applyAlignment="1" applyProtection="1">
      <alignment horizontal="center" vertical="center"/>
      <protection locked="0"/>
    </xf>
    <xf numFmtId="0" fontId="92" fillId="0" borderId="0" xfId="44723" applyFont="1" applyAlignment="1">
      <alignment vertical="center"/>
    </xf>
    <xf numFmtId="172" fontId="144" fillId="0" borderId="0" xfId="0" applyFont="1" applyAlignment="1">
      <alignment horizontal="left" vertical="center"/>
    </xf>
    <xf numFmtId="0" fontId="73" fillId="2" borderId="0" xfId="44720" applyFont="1" applyFill="1">
      <alignment horizontal="left" vertical="center"/>
    </xf>
    <xf numFmtId="14" fontId="45" fillId="16" borderId="17" xfId="44731" applyNumberFormat="1" applyFont="1" applyFill="1" applyBorder="1" applyAlignment="1">
      <alignment horizontal="left" vertical="center" indent="1"/>
    </xf>
    <xf numFmtId="0" fontId="45" fillId="16" borderId="17" xfId="44731" applyFont="1" applyFill="1" applyBorder="1" applyAlignment="1">
      <alignment horizontal="left" vertical="center" indent="1"/>
    </xf>
    <xf numFmtId="14" fontId="45" fillId="16" borderId="17" xfId="44730" applyNumberFormat="1" applyFont="1" applyFill="1" applyBorder="1"/>
    <xf numFmtId="170" fontId="71" fillId="16" borderId="17" xfId="44722" applyNumberFormat="1" applyFont="1" applyFill="1" applyBorder="1" applyAlignment="1" applyProtection="1">
      <alignment horizontal="center" vertical="center"/>
      <protection locked="0"/>
    </xf>
    <xf numFmtId="0" fontId="16" fillId="9" borderId="19" xfId="0" applyNumberFormat="1" applyFont="1" applyFill="1" applyBorder="1"/>
    <xf numFmtId="0" fontId="16" fillId="9" borderId="20" xfId="0" applyNumberFormat="1" applyFont="1" applyFill="1" applyBorder="1"/>
    <xf numFmtId="0" fontId="16" fillId="9" borderId="24" xfId="0" applyNumberFormat="1" applyFont="1" applyFill="1" applyBorder="1"/>
    <xf numFmtId="0" fontId="16" fillId="9" borderId="0" xfId="0" applyNumberFormat="1" applyFont="1" applyFill="1"/>
    <xf numFmtId="0" fontId="16" fillId="9" borderId="22" xfId="0" applyNumberFormat="1" applyFont="1" applyFill="1" applyBorder="1"/>
    <xf numFmtId="0" fontId="16" fillId="9" borderId="18" xfId="0" applyNumberFormat="1" applyFont="1" applyFill="1" applyBorder="1"/>
    <xf numFmtId="0" fontId="16" fillId="0" borderId="0" xfId="14" applyNumberFormat="1" applyAlignment="1">
      <alignment horizontal="center" vertical="center"/>
    </xf>
    <xf numFmtId="0" fontId="40" fillId="0" borderId="0" xfId="0" applyNumberFormat="1" applyFont="1"/>
    <xf numFmtId="0" fontId="103" fillId="2" borderId="0" xfId="44724" applyFont="1" applyFill="1" applyAlignment="1">
      <alignment horizontal="center" vertical="center"/>
    </xf>
    <xf numFmtId="0" fontId="31" fillId="14" borderId="0" xfId="44720" applyFont="1" applyFill="1">
      <alignment horizontal="left" vertical="center"/>
    </xf>
    <xf numFmtId="0" fontId="71" fillId="0" borderId="0" xfId="0" applyNumberFormat="1" applyFont="1"/>
    <xf numFmtId="172" fontId="118" fillId="0" borderId="0" xfId="0" applyFont="1" applyAlignment="1">
      <alignment horizontal="center" vertical="top"/>
    </xf>
    <xf numFmtId="0" fontId="0" fillId="0" borderId="0" xfId="0" applyNumberFormat="1" applyAlignment="1">
      <alignment horizontal="center" vertical="top"/>
    </xf>
    <xf numFmtId="0" fontId="141" fillId="0" borderId="0" xfId="0" applyNumberFormat="1" applyFont="1"/>
    <xf numFmtId="0" fontId="141" fillId="2" borderId="0" xfId="0" applyNumberFormat="1" applyFont="1" applyFill="1"/>
    <xf numFmtId="172" fontId="73" fillId="20" borderId="46" xfId="0" applyFont="1" applyFill="1" applyBorder="1"/>
    <xf numFmtId="0" fontId="141" fillId="2" borderId="0" xfId="0" applyNumberFormat="1" applyFont="1" applyFill="1" applyAlignment="1">
      <alignment horizontal="center" vertical="center"/>
    </xf>
    <xf numFmtId="0" fontId="103" fillId="2" borderId="0" xfId="44724" applyFont="1" applyFill="1" applyAlignment="1">
      <alignment horizontal="center" vertical="center" wrapText="1"/>
    </xf>
    <xf numFmtId="0" fontId="71" fillId="9" borderId="17" xfId="0" applyNumberFormat="1" applyFont="1" applyFill="1" applyBorder="1" applyAlignment="1">
      <alignment horizontal="left" vertical="center"/>
    </xf>
    <xf numFmtId="0" fontId="74" fillId="0" borderId="0" xfId="0" applyNumberFormat="1" applyFont="1"/>
    <xf numFmtId="164" fontId="16" fillId="0" borderId="0" xfId="0" applyNumberFormat="1" applyFont="1"/>
    <xf numFmtId="172" fontId="73" fillId="14" borderId="0" xfId="0" applyFont="1" applyFill="1"/>
    <xf numFmtId="0" fontId="0" fillId="0" borderId="11" xfId="0" applyNumberFormat="1" applyBorder="1" applyAlignment="1">
      <alignment horizontal="center" vertical="center"/>
    </xf>
    <xf numFmtId="0" fontId="65" fillId="10" borderId="31" xfId="0" applyNumberFormat="1" applyFont="1" applyFill="1" applyBorder="1" applyAlignment="1">
      <alignment horizontal="left" vertical="center" indent="1"/>
    </xf>
    <xf numFmtId="0" fontId="141" fillId="2" borderId="0" xfId="0" applyNumberFormat="1" applyFont="1" applyFill="1" applyAlignment="1">
      <alignment horizontal="right"/>
    </xf>
    <xf numFmtId="0" fontId="45" fillId="14" borderId="0" xfId="44720" applyFont="1" applyFill="1" applyAlignment="1">
      <alignment horizontal="center" vertical="center"/>
    </xf>
    <xf numFmtId="0" fontId="45" fillId="14" borderId="0" xfId="44720" applyFont="1" applyFill="1" applyAlignment="1">
      <alignment horizontal="left" vertical="center" indent="1"/>
    </xf>
    <xf numFmtId="0" fontId="101" fillId="14" borderId="0" xfId="44723" applyFont="1" applyFill="1"/>
    <xf numFmtId="0" fontId="101" fillId="14" borderId="0" xfId="44723" applyFont="1" applyFill="1" applyAlignment="1">
      <alignment horizontal="center"/>
    </xf>
    <xf numFmtId="0" fontId="0" fillId="18" borderId="0" xfId="0" applyNumberFormat="1" applyFill="1"/>
    <xf numFmtId="0" fontId="93" fillId="0" borderId="0" xfId="44720" applyFont="1" applyAlignment="1">
      <alignment horizontal="center" vertical="center"/>
    </xf>
    <xf numFmtId="0" fontId="96" fillId="0" borderId="0" xfId="44720" applyFont="1" applyAlignment="1">
      <alignment horizontal="center" vertical="center"/>
    </xf>
    <xf numFmtId="0" fontId="12" fillId="0" borderId="0" xfId="44723" applyFont="1" applyAlignment="1">
      <alignment horizontal="left" vertical="center"/>
    </xf>
    <xf numFmtId="0" fontId="118" fillId="0" borderId="0" xfId="0" applyNumberFormat="1" applyFont="1" applyAlignment="1">
      <alignment horizontal="centerContinuous" vertical="center"/>
    </xf>
    <xf numFmtId="0" fontId="12" fillId="0" borderId="0" xfId="44718" applyFont="1" applyAlignment="1">
      <alignment horizontal="left" vertical="center"/>
    </xf>
    <xf numFmtId="0" fontId="12" fillId="0" borderId="0" xfId="44721">
      <alignment horizontal="left" vertical="center"/>
    </xf>
    <xf numFmtId="0" fontId="119" fillId="18" borderId="0" xfId="44718" applyFont="1" applyFill="1" applyAlignment="1">
      <alignment horizontal="left" vertical="center"/>
    </xf>
    <xf numFmtId="0" fontId="0" fillId="0" borderId="0" xfId="44718" applyFont="1" applyAlignment="1">
      <alignment vertical="center"/>
    </xf>
    <xf numFmtId="0" fontId="118" fillId="2" borderId="0" xfId="44718" applyFont="1" applyFill="1" applyAlignment="1">
      <alignment vertical="center"/>
    </xf>
    <xf numFmtId="0" fontId="118" fillId="2" borderId="0" xfId="44718" applyFont="1" applyFill="1" applyAlignment="1">
      <alignment horizontal="center" vertical="center"/>
    </xf>
    <xf numFmtId="0" fontId="130" fillId="0" borderId="30" xfId="44718" applyFont="1" applyBorder="1" applyAlignment="1">
      <alignment horizontal="left" vertical="center" indent="1"/>
    </xf>
    <xf numFmtId="0" fontId="110" fillId="0" borderId="0" xfId="44718" applyFont="1"/>
    <xf numFmtId="0" fontId="124" fillId="0" borderId="0" xfId="44718" applyFont="1" applyAlignment="1">
      <alignment horizontal="center" vertical="center"/>
    </xf>
    <xf numFmtId="0" fontId="110" fillId="0" borderId="0" xfId="44718" applyFont="1" applyAlignment="1">
      <alignment horizontal="left" vertical="center" indent="1"/>
    </xf>
    <xf numFmtId="0" fontId="0" fillId="0" borderId="0" xfId="0" applyNumberFormat="1" applyAlignment="1">
      <alignment vertical="center"/>
    </xf>
    <xf numFmtId="0" fontId="89" fillId="0" borderId="0" xfId="0" applyNumberFormat="1" applyFont="1" applyAlignment="1">
      <alignment horizontal="left" vertical="center" wrapText="1"/>
    </xf>
    <xf numFmtId="0" fontId="89" fillId="0" borderId="0" xfId="0" applyNumberFormat="1" applyFont="1" applyAlignment="1">
      <alignment horizontal="center" vertical="center" wrapText="1"/>
    </xf>
    <xf numFmtId="0" fontId="118" fillId="0" borderId="0" xfId="0" applyNumberFormat="1" applyFont="1" applyAlignment="1">
      <alignment vertical="center"/>
    </xf>
    <xf numFmtId="172" fontId="92" fillId="8" borderId="0" xfId="0" applyFont="1" applyFill="1" applyAlignment="1">
      <alignment horizontal="left" vertical="center" indent="1"/>
    </xf>
    <xf numFmtId="166" fontId="65" fillId="0" borderId="0" xfId="44716" applyFont="1" applyFill="1" applyBorder="1"/>
    <xf numFmtId="0" fontId="89" fillId="0" borderId="22" xfId="0" applyNumberFormat="1" applyFont="1" applyBorder="1" applyAlignment="1">
      <alignment horizontal="center" vertical="center" wrapText="1"/>
    </xf>
    <xf numFmtId="0" fontId="89" fillId="0" borderId="18" xfId="0" applyNumberFormat="1" applyFont="1" applyBorder="1" applyAlignment="1">
      <alignment horizontal="center" vertical="center" wrapText="1"/>
    </xf>
    <xf numFmtId="0" fontId="65" fillId="0" borderId="0" xfId="0" applyNumberFormat="1" applyFont="1" applyAlignment="1">
      <alignment vertical="center"/>
    </xf>
    <xf numFmtId="0" fontId="89" fillId="0" borderId="0" xfId="0" applyNumberFormat="1" applyFont="1" applyAlignment="1">
      <alignment horizontal="left" vertical="center" wrapText="1" indent="1"/>
    </xf>
    <xf numFmtId="0" fontId="92" fillId="2" borderId="0" xfId="44724" applyFont="1" applyFill="1" applyAlignment="1">
      <alignment horizontal="center" vertical="center"/>
    </xf>
    <xf numFmtId="0" fontId="48" fillId="2" borderId="0" xfId="0" applyNumberFormat="1" applyFont="1" applyFill="1" applyAlignment="1">
      <alignment horizontal="center"/>
    </xf>
    <xf numFmtId="0" fontId="45" fillId="2" borderId="17" xfId="44717" applyNumberFormat="1" applyFont="1" applyFill="1" applyBorder="1" applyAlignment="1" applyProtection="1">
      <alignment horizontal="center" vertical="center"/>
      <protection locked="0"/>
    </xf>
    <xf numFmtId="49" fontId="45" fillId="2" borderId="17" xfId="44717" applyNumberFormat="1" applyFont="1" applyFill="1" applyBorder="1" applyAlignment="1" applyProtection="1">
      <alignment horizontal="center" vertical="center"/>
      <protection locked="0"/>
    </xf>
    <xf numFmtId="0" fontId="45" fillId="0" borderId="17" xfId="0" applyNumberFormat="1" applyFont="1" applyBorder="1" applyAlignment="1" applyProtection="1">
      <alignment horizontal="right" vertical="center"/>
      <protection locked="0"/>
    </xf>
    <xf numFmtId="49" fontId="45" fillId="0" borderId="17" xfId="44717" applyNumberFormat="1" applyFont="1" applyBorder="1" applyAlignment="1" applyProtection="1">
      <alignment horizontal="center" vertical="center"/>
      <protection locked="0"/>
    </xf>
    <xf numFmtId="0" fontId="89" fillId="0" borderId="0" xfId="0" applyNumberFormat="1" applyFont="1" applyAlignment="1">
      <alignment horizontal="right" vertical="center" indent="1"/>
    </xf>
    <xf numFmtId="0" fontId="65" fillId="0" borderId="0" xfId="0" applyNumberFormat="1" applyFont="1"/>
    <xf numFmtId="0" fontId="101" fillId="8" borderId="0" xfId="44723" applyFont="1" applyFill="1" applyAlignment="1">
      <alignment horizontal="center"/>
    </xf>
    <xf numFmtId="0" fontId="31" fillId="8" borderId="0" xfId="44720" applyFont="1" applyFill="1">
      <alignment horizontal="left" vertical="center"/>
    </xf>
    <xf numFmtId="0" fontId="45" fillId="8" borderId="0" xfId="44720" applyFont="1" applyFill="1" applyAlignment="1">
      <alignment horizontal="left" vertical="center" indent="1"/>
    </xf>
    <xf numFmtId="0" fontId="101" fillId="8" borderId="0" xfId="44723" applyFont="1" applyFill="1"/>
    <xf numFmtId="0" fontId="45" fillId="8" borderId="0" xfId="44720" applyFont="1" applyFill="1" applyAlignment="1">
      <alignment horizontal="center" vertical="center"/>
    </xf>
    <xf numFmtId="0" fontId="99" fillId="9" borderId="17" xfId="44735" applyFont="1" applyFill="1" applyBorder="1" applyAlignment="1">
      <alignment horizontal="center" vertical="center"/>
    </xf>
    <xf numFmtId="0" fontId="71" fillId="9" borderId="17" xfId="0" applyNumberFormat="1" applyFont="1" applyFill="1" applyBorder="1" applyAlignment="1">
      <alignment horizontal="center" vertical="center"/>
    </xf>
    <xf numFmtId="172" fontId="45" fillId="21" borderId="45" xfId="0" applyFont="1" applyFill="1" applyBorder="1"/>
    <xf numFmtId="172" fontId="45" fillId="0" borderId="45" xfId="0" applyFont="1" applyBorder="1"/>
    <xf numFmtId="172" fontId="45" fillId="0" borderId="47" xfId="0" applyFont="1" applyBorder="1"/>
    <xf numFmtId="0" fontId="75" fillId="16" borderId="0" xfId="0" applyNumberFormat="1" applyFont="1" applyFill="1" applyAlignment="1">
      <alignment horizontal="left" vertical="center" indent="1"/>
    </xf>
    <xf numFmtId="0" fontId="146" fillId="0" borderId="0" xfId="44720" applyFont="1" applyAlignment="1">
      <alignment vertical="center"/>
    </xf>
    <xf numFmtId="14" fontId="71" fillId="0" borderId="17" xfId="44722" applyNumberFormat="1" applyFont="1" applyBorder="1" applyAlignment="1" applyProtection="1">
      <alignment horizontal="right" vertical="center" indent="1"/>
      <protection locked="0"/>
    </xf>
    <xf numFmtId="0" fontId="71" fillId="0" borderId="17" xfId="44717" applyNumberFormat="1" applyFont="1" applyFill="1" applyBorder="1" applyAlignment="1" applyProtection="1">
      <alignment horizontal="right" vertical="center" indent="1"/>
      <protection locked="0"/>
    </xf>
    <xf numFmtId="0" fontId="71" fillId="9" borderId="17" xfId="44722" applyFont="1" applyFill="1" applyBorder="1" applyAlignment="1">
      <alignment horizontal="right" vertical="center" indent="1"/>
    </xf>
    <xf numFmtId="14" fontId="71" fillId="0" borderId="17" xfId="44717" applyNumberFormat="1" applyFont="1" applyFill="1" applyBorder="1" applyAlignment="1" applyProtection="1">
      <alignment horizontal="right" vertical="center" indent="1"/>
      <protection locked="0"/>
    </xf>
    <xf numFmtId="10" fontId="48" fillId="2" borderId="0" xfId="44717" applyNumberFormat="1" applyFont="1" applyFill="1" applyBorder="1" applyAlignment="1" applyProtection="1">
      <alignment horizontal="center" vertical="center"/>
    </xf>
    <xf numFmtId="0" fontId="148" fillId="10" borderId="31" xfId="44731" applyFont="1" applyFill="1" applyBorder="1"/>
    <xf numFmtId="0" fontId="147" fillId="10" borderId="31" xfId="44731" applyFont="1" applyFill="1" applyBorder="1"/>
    <xf numFmtId="0" fontId="118" fillId="2" borderId="0" xfId="44720" applyFont="1" applyFill="1" applyAlignment="1">
      <alignment vertical="center"/>
    </xf>
    <xf numFmtId="10" fontId="16" fillId="0" borderId="0" xfId="44717" applyNumberFormat="1" applyFont="1" applyAlignment="1"/>
    <xf numFmtId="0" fontId="73" fillId="4" borderId="0" xfId="44731" applyFont="1" applyFill="1" applyAlignment="1">
      <alignment vertical="center"/>
    </xf>
    <xf numFmtId="0" fontId="34" fillId="2" borderId="20" xfId="44723" applyFont="1" applyFill="1" applyBorder="1" applyAlignment="1">
      <alignment vertical="center"/>
    </xf>
    <xf numFmtId="0" fontId="34" fillId="2" borderId="20" xfId="44718" applyFont="1" applyFill="1" applyBorder="1" applyAlignment="1">
      <alignment horizontal="left" vertical="center"/>
    </xf>
    <xf numFmtId="10" fontId="71" fillId="9" borderId="17" xfId="0" applyNumberFormat="1" applyFont="1" applyFill="1" applyBorder="1" applyAlignment="1">
      <alignment vertical="center"/>
    </xf>
    <xf numFmtId="0" fontId="66" fillId="2" borderId="0" xfId="0" applyNumberFormat="1" applyFont="1" applyFill="1"/>
    <xf numFmtId="0" fontId="65" fillId="10" borderId="31" xfId="44731" applyFont="1" applyFill="1" applyBorder="1" applyAlignment="1">
      <alignment horizontal="left" vertical="center" indent="1"/>
    </xf>
    <xf numFmtId="0" fontId="89" fillId="2" borderId="0" xfId="44720" applyFont="1" applyFill="1" applyAlignment="1">
      <alignment horizontal="center" wrapText="1"/>
    </xf>
    <xf numFmtId="0" fontId="64" fillId="10" borderId="31" xfId="44733" applyFont="1" applyFill="1" applyBorder="1"/>
    <xf numFmtId="172" fontId="118" fillId="2" borderId="0" xfId="0" applyFont="1" applyFill="1" applyAlignment="1">
      <alignment vertical="center"/>
    </xf>
    <xf numFmtId="172" fontId="118" fillId="2" borderId="20" xfId="0" applyFont="1" applyFill="1" applyBorder="1" applyAlignment="1">
      <alignment vertical="center" wrapText="1"/>
    </xf>
    <xf numFmtId="172" fontId="14" fillId="2" borderId="21" xfId="0" applyFont="1" applyFill="1" applyBorder="1" applyAlignment="1">
      <alignment vertical="center" wrapText="1"/>
    </xf>
    <xf numFmtId="172" fontId="118" fillId="2" borderId="0" xfId="0" applyFont="1" applyFill="1" applyAlignment="1">
      <alignment vertical="center" wrapText="1"/>
    </xf>
    <xf numFmtId="172" fontId="14" fillId="2" borderId="25" xfId="0" applyFont="1" applyFill="1" applyBorder="1" applyAlignment="1">
      <alignment vertical="center" wrapText="1"/>
    </xf>
    <xf numFmtId="0" fontId="61" fillId="2" borderId="18" xfId="44733" applyFont="1" applyFill="1" applyBorder="1"/>
    <xf numFmtId="172" fontId="0" fillId="2" borderId="24" xfId="0" applyFill="1" applyBorder="1"/>
    <xf numFmtId="0" fontId="118" fillId="2" borderId="0" xfId="44733" applyFont="1" applyFill="1" applyAlignment="1">
      <alignment vertical="center"/>
    </xf>
    <xf numFmtId="0" fontId="118" fillId="2" borderId="0" xfId="44733" applyFont="1" applyFill="1" applyAlignment="1">
      <alignment vertical="center" wrapText="1"/>
    </xf>
    <xf numFmtId="172" fontId="103" fillId="2" borderId="0" xfId="0" applyFont="1" applyFill="1" applyAlignment="1">
      <alignment horizontal="center" vertical="center"/>
    </xf>
    <xf numFmtId="0" fontId="82" fillId="11" borderId="18" xfId="44733" applyFont="1" applyFill="1" applyBorder="1"/>
    <xf numFmtId="0" fontId="16" fillId="0" borderId="27" xfId="44723" applyBorder="1"/>
    <xf numFmtId="0" fontId="16" fillId="0" borderId="20" xfId="44723" applyBorder="1"/>
    <xf numFmtId="0" fontId="82" fillId="11" borderId="17" xfId="44733" applyFont="1" applyFill="1" applyBorder="1"/>
    <xf numFmtId="0" fontId="81" fillId="7" borderId="17" xfId="44733" applyFont="1" applyFill="1" applyBorder="1"/>
    <xf numFmtId="9" fontId="79" fillId="0" borderId="17" xfId="44717" applyFont="1" applyBorder="1" applyProtection="1"/>
    <xf numFmtId="0" fontId="92" fillId="0" borderId="0" xfId="44718" applyFont="1" applyAlignment="1">
      <alignment vertical="center"/>
    </xf>
    <xf numFmtId="0" fontId="129" fillId="0" borderId="0" xfId="44719" applyFont="1" applyFill="1" applyAlignment="1">
      <alignment vertical="center"/>
    </xf>
    <xf numFmtId="0" fontId="31" fillId="18" borderId="0" xfId="44718" applyFont="1" applyFill="1" applyAlignment="1">
      <alignment vertical="center"/>
    </xf>
    <xf numFmtId="0" fontId="89" fillId="2" borderId="0" xfId="44720" applyFont="1" applyFill="1" applyAlignment="1">
      <alignment wrapText="1"/>
    </xf>
    <xf numFmtId="0" fontId="89" fillId="0" borderId="0" xfId="44718" applyFont="1" applyAlignment="1">
      <alignment wrapText="1"/>
    </xf>
    <xf numFmtId="0" fontId="47" fillId="18" borderId="0" xfId="44718" applyFill="1"/>
    <xf numFmtId="9" fontId="99" fillId="2" borderId="17" xfId="44720" applyNumberFormat="1" applyFont="1" applyFill="1" applyBorder="1" applyAlignment="1" applyProtection="1">
      <alignment horizontal="center" vertical="center"/>
      <protection locked="0"/>
    </xf>
    <xf numFmtId="172" fontId="103" fillId="0" borderId="0" xfId="0" applyFont="1" applyAlignment="1">
      <alignment horizontal="center" vertical="center"/>
    </xf>
    <xf numFmtId="0" fontId="45" fillId="2" borderId="17" xfId="44720" applyFont="1" applyFill="1" applyBorder="1" applyAlignment="1" applyProtection="1">
      <alignment horizontal="center" vertical="center"/>
      <protection locked="0"/>
    </xf>
    <xf numFmtId="9" fontId="45" fillId="2" borderId="23" xfId="44717" applyFont="1" applyFill="1" applyBorder="1" applyAlignment="1" applyProtection="1">
      <alignment horizontal="center" vertical="center"/>
      <protection locked="0"/>
    </xf>
    <xf numFmtId="9" fontId="45" fillId="2" borderId="30" xfId="44717" applyFont="1" applyFill="1" applyBorder="1" applyAlignment="1" applyProtection="1">
      <alignment horizontal="center" vertical="center"/>
      <protection locked="0"/>
    </xf>
    <xf numFmtId="0" fontId="45" fillId="0" borderId="26" xfId="44720" applyFont="1" applyBorder="1" applyAlignment="1" applyProtection="1">
      <alignment horizontal="center" vertical="center"/>
      <protection locked="0"/>
    </xf>
    <xf numFmtId="9" fontId="45" fillId="2" borderId="17" xfId="44717" applyFont="1" applyFill="1" applyBorder="1" applyAlignment="1" applyProtection="1">
      <alignment horizontal="center" vertical="center"/>
      <protection locked="0"/>
    </xf>
    <xf numFmtId="0" fontId="150" fillId="0" borderId="0" xfId="16" applyNumberFormat="1" applyFont="1"/>
    <xf numFmtId="10" fontId="41" fillId="0" borderId="0" xfId="16" applyNumberFormat="1"/>
    <xf numFmtId="172" fontId="103" fillId="2" borderId="0" xfId="0" applyFont="1" applyFill="1" applyAlignment="1">
      <alignment horizontal="left" vertical="center" indent="1"/>
    </xf>
    <xf numFmtId="10" fontId="71" fillId="9" borderId="17" xfId="44717" applyNumberFormat="1" applyFont="1" applyFill="1" applyBorder="1" applyAlignment="1" applyProtection="1">
      <alignment horizontal="right" vertical="center"/>
    </xf>
    <xf numFmtId="173" fontId="71" fillId="0" borderId="0" xfId="44722" applyNumberFormat="1" applyFont="1" applyBorder="1" applyAlignment="1">
      <alignment vertical="center"/>
    </xf>
    <xf numFmtId="173" fontId="71" fillId="0" borderId="0" xfId="44717" applyNumberFormat="1" applyFont="1" applyFill="1" applyBorder="1" applyAlignment="1" applyProtection="1">
      <alignment vertical="center"/>
      <protection hidden="1"/>
    </xf>
    <xf numFmtId="172" fontId="103" fillId="2" borderId="0" xfId="0" applyFont="1" applyFill="1" applyAlignment="1">
      <alignment horizontal="left" vertical="center"/>
    </xf>
    <xf numFmtId="0" fontId="103" fillId="2" borderId="0" xfId="44733" applyFont="1" applyFill="1" applyAlignment="1">
      <alignment horizontal="left" vertical="center"/>
    </xf>
    <xf numFmtId="0" fontId="83" fillId="10" borderId="31" xfId="44733" applyFont="1" applyFill="1" applyBorder="1" applyAlignment="1">
      <alignment horizontal="left" vertical="center" indent="1"/>
    </xf>
    <xf numFmtId="0" fontId="103" fillId="2" borderId="20" xfId="44720" applyFont="1" applyFill="1" applyBorder="1" applyAlignment="1">
      <alignment vertical="center"/>
    </xf>
    <xf numFmtId="172" fontId="0" fillId="2" borderId="20" xfId="0" applyFill="1" applyBorder="1"/>
    <xf numFmtId="0" fontId="7" fillId="0" borderId="20" xfId="44733" applyBorder="1"/>
    <xf numFmtId="0" fontId="64" fillId="0" borderId="21" xfId="44733" applyFont="1" applyBorder="1"/>
    <xf numFmtId="0" fontId="7" fillId="0" borderId="24" xfId="44733" applyBorder="1"/>
    <xf numFmtId="172" fontId="103" fillId="2" borderId="18" xfId="0" applyFont="1" applyFill="1" applyBorder="1" applyAlignment="1">
      <alignment horizontal="left" vertical="center"/>
    </xf>
    <xf numFmtId="0" fontId="69" fillId="0" borderId="0" xfId="44733" applyFont="1"/>
    <xf numFmtId="172" fontId="103" fillId="2" borderId="18" xfId="0" applyFont="1" applyFill="1" applyBorder="1" applyAlignment="1">
      <alignment vertical="center"/>
    </xf>
    <xf numFmtId="9" fontId="81" fillId="16" borderId="17" xfId="44717" applyFont="1" applyFill="1" applyBorder="1" applyProtection="1"/>
    <xf numFmtId="9" fontId="79" fillId="16" borderId="17" xfId="44717" applyFont="1" applyFill="1" applyBorder="1" applyProtection="1"/>
    <xf numFmtId="0" fontId="16" fillId="16" borderId="17" xfId="44723" applyFill="1" applyBorder="1"/>
    <xf numFmtId="9" fontId="16" fillId="9" borderId="17" xfId="44723" applyNumberFormat="1" applyFill="1" applyBorder="1"/>
    <xf numFmtId="0" fontId="78" fillId="0" borderId="17" xfId="0" applyNumberFormat="1" applyFont="1" applyBorder="1"/>
    <xf numFmtId="0" fontId="139" fillId="0" borderId="25" xfId="44733" applyFont="1" applyBorder="1" applyAlignment="1">
      <alignment vertical="center"/>
    </xf>
    <xf numFmtId="0" fontId="7" fillId="7" borderId="21" xfId="44733" applyFill="1" applyBorder="1" applyAlignment="1">
      <alignment vertical="center"/>
    </xf>
    <xf numFmtId="0" fontId="7" fillId="7" borderId="25" xfId="44733" applyFill="1" applyBorder="1" applyAlignment="1">
      <alignment vertical="center"/>
    </xf>
    <xf numFmtId="0" fontId="62" fillId="7" borderId="25" xfId="44733" applyFont="1" applyFill="1" applyBorder="1" applyAlignment="1">
      <alignment horizontal="center"/>
    </xf>
    <xf numFmtId="172" fontId="0" fillId="0" borderId="22" xfId="0" applyBorder="1"/>
    <xf numFmtId="172" fontId="0" fillId="0" borderId="23" xfId="0" applyBorder="1"/>
    <xf numFmtId="172" fontId="0" fillId="0" borderId="24" xfId="0" applyBorder="1"/>
    <xf numFmtId="172" fontId="0" fillId="0" borderId="25" xfId="0" applyBorder="1"/>
    <xf numFmtId="172" fontId="0" fillId="2" borderId="22" xfId="0" applyFill="1" applyBorder="1"/>
    <xf numFmtId="172" fontId="0" fillId="2" borderId="18" xfId="0" applyFill="1" applyBorder="1"/>
    <xf numFmtId="172" fontId="0" fillId="0" borderId="19" xfId="0" applyBorder="1"/>
    <xf numFmtId="172" fontId="0" fillId="0" borderId="21" xfId="0" applyBorder="1"/>
    <xf numFmtId="173" fontId="71" fillId="0" borderId="18" xfId="44722" applyNumberFormat="1" applyFont="1" applyBorder="1" applyAlignment="1">
      <alignment vertical="center"/>
    </xf>
    <xf numFmtId="172" fontId="99" fillId="2" borderId="18" xfId="0" applyFont="1" applyFill="1" applyBorder="1" applyAlignment="1">
      <alignment horizontal="center" vertical="center"/>
    </xf>
    <xf numFmtId="165" fontId="16" fillId="0" borderId="0" xfId="44723" applyNumberFormat="1"/>
    <xf numFmtId="172" fontId="151" fillId="0" borderId="0" xfId="0" applyFont="1"/>
    <xf numFmtId="172" fontId="151" fillId="9" borderId="0" xfId="0" applyFont="1" applyFill="1"/>
    <xf numFmtId="172" fontId="151" fillId="0" borderId="0" xfId="0" applyFont="1" applyAlignment="1">
      <alignment horizontal="left" vertical="center"/>
    </xf>
    <xf numFmtId="172" fontId="152" fillId="0" borderId="0" xfId="0" applyFont="1"/>
    <xf numFmtId="0" fontId="155" fillId="0" borderId="0" xfId="44740" applyFont="1" applyAlignment="1" applyProtection="1">
      <alignment vertical="center"/>
    </xf>
    <xf numFmtId="0" fontId="154" fillId="10" borderId="0" xfId="44740" applyFill="1" applyBorder="1" applyAlignment="1" applyProtection="1">
      <alignment horizontal="left" indent="1"/>
    </xf>
    <xf numFmtId="0" fontId="65" fillId="10" borderId="0" xfId="44740" applyFont="1" applyFill="1" applyBorder="1" applyAlignment="1" applyProtection="1">
      <alignment horizontal="left" indent="12"/>
    </xf>
    <xf numFmtId="0" fontId="156" fillId="10" borderId="16" xfId="44740" applyFont="1" applyFill="1" applyBorder="1" applyProtection="1"/>
    <xf numFmtId="172" fontId="45" fillId="0" borderId="17" xfId="0" applyFont="1" applyBorder="1"/>
    <xf numFmtId="14" fontId="0" fillId="2" borderId="0" xfId="0" applyNumberFormat="1" applyFill="1"/>
    <xf numFmtId="166" fontId="54" fillId="0" borderId="0" xfId="44716" applyFont="1"/>
    <xf numFmtId="176" fontId="0" fillId="0" borderId="0" xfId="0" applyNumberFormat="1"/>
    <xf numFmtId="172" fontId="99" fillId="2" borderId="17" xfId="0" applyFont="1" applyFill="1" applyBorder="1" applyAlignment="1" applyProtection="1">
      <alignment horizontal="center" vertical="center"/>
      <protection locked="0"/>
    </xf>
    <xf numFmtId="172" fontId="45" fillId="2" borderId="17" xfId="0" applyFont="1" applyFill="1" applyBorder="1" applyAlignment="1" applyProtection="1">
      <alignment horizontal="left" vertical="center"/>
      <protection locked="0"/>
    </xf>
    <xf numFmtId="10" fontId="71" fillId="2" borderId="17" xfId="44717" applyNumberFormat="1" applyFont="1" applyFill="1" applyBorder="1" applyAlignment="1" applyProtection="1">
      <alignment horizontal="right" vertical="center"/>
      <protection locked="0"/>
    </xf>
    <xf numFmtId="0" fontId="71" fillId="2" borderId="17" xfId="44722" applyFont="1" applyFill="1" applyBorder="1" applyAlignment="1" applyProtection="1">
      <alignment horizontal="right" vertical="center" indent="1"/>
      <protection locked="0"/>
    </xf>
    <xf numFmtId="2" fontId="134" fillId="8" borderId="0" xfId="0" applyNumberFormat="1" applyFont="1" applyFill="1"/>
    <xf numFmtId="10" fontId="71" fillId="0" borderId="17" xfId="44717" applyNumberFormat="1" applyFont="1" applyFill="1" applyBorder="1" applyAlignment="1" applyProtection="1">
      <alignment horizontal="right" vertical="center" indent="1"/>
      <protection locked="0"/>
    </xf>
    <xf numFmtId="10" fontId="71" fillId="9" borderId="17" xfId="44717" applyNumberFormat="1" applyFont="1" applyFill="1" applyBorder="1" applyAlignment="1">
      <alignment horizontal="right" vertical="center" indent="1"/>
    </xf>
    <xf numFmtId="0" fontId="71" fillId="2" borderId="0" xfId="44722" applyFont="1" applyFill="1" applyBorder="1" applyAlignment="1">
      <alignment horizontal="left" vertical="center" indent="1"/>
    </xf>
    <xf numFmtId="0" fontId="71" fillId="2" borderId="0" xfId="44722" applyFont="1" applyFill="1" applyBorder="1" applyAlignment="1">
      <alignment horizontal="center" vertical="center"/>
    </xf>
    <xf numFmtId="49" fontId="71" fillId="2" borderId="0" xfId="44722" applyNumberFormat="1" applyFont="1" applyFill="1" applyBorder="1" applyAlignment="1">
      <alignment horizontal="center" vertical="center"/>
    </xf>
    <xf numFmtId="172" fontId="31" fillId="8" borderId="0" xfId="0" applyFont="1" applyFill="1" applyAlignment="1">
      <alignment horizontal="left" vertical="center"/>
    </xf>
    <xf numFmtId="172" fontId="161" fillId="0" borderId="0" xfId="0" applyFont="1" applyAlignment="1">
      <alignment horizontal="left" vertical="center"/>
    </xf>
    <xf numFmtId="172" fontId="60" fillId="0" borderId="0" xfId="0" applyFont="1" applyAlignment="1">
      <alignment horizontal="left" vertical="center"/>
    </xf>
    <xf numFmtId="0" fontId="40" fillId="18" borderId="10" xfId="44731" applyFont="1" applyFill="1" applyBorder="1"/>
    <xf numFmtId="0" fontId="41" fillId="18" borderId="0" xfId="44731" applyFill="1"/>
    <xf numFmtId="0" fontId="58" fillId="18" borderId="0" xfId="44723" applyFont="1" applyFill="1"/>
    <xf numFmtId="0" fontId="59" fillId="18" borderId="0" xfId="44721" applyFont="1" applyFill="1" applyAlignment="1">
      <alignment horizontal="left" vertical="center" indent="1"/>
    </xf>
    <xf numFmtId="0" fontId="31" fillId="18" borderId="0" xfId="44721" applyFont="1" applyFill="1">
      <alignment horizontal="left" vertical="center"/>
    </xf>
    <xf numFmtId="0" fontId="33" fillId="18" borderId="0" xfId="44720" applyFont="1" applyFill="1" applyAlignment="1">
      <alignment vertical="center"/>
    </xf>
    <xf numFmtId="0" fontId="40" fillId="18" borderId="0" xfId="44731" applyFont="1" applyFill="1"/>
    <xf numFmtId="0" fontId="105" fillId="18" borderId="0" xfId="44720" applyFont="1" applyFill="1" applyAlignment="1">
      <alignment vertical="center"/>
    </xf>
    <xf numFmtId="0" fontId="99" fillId="0" borderId="0" xfId="44741" applyFont="1"/>
    <xf numFmtId="0" fontId="4" fillId="0" borderId="0" xfId="44741"/>
    <xf numFmtId="0" fontId="55" fillId="2" borderId="0" xfId="44741" applyFont="1" applyFill="1" applyAlignment="1">
      <alignment horizontal="center" vertical="center"/>
    </xf>
    <xf numFmtId="14" fontId="4" fillId="2" borderId="0" xfId="44741" applyNumberFormat="1" applyFill="1"/>
    <xf numFmtId="166" fontId="0" fillId="0" borderId="0" xfId="44742" applyFont="1"/>
    <xf numFmtId="0" fontId="103" fillId="2" borderId="0" xfId="44741" applyFont="1" applyFill="1" applyAlignment="1">
      <alignment vertical="center"/>
    </xf>
    <xf numFmtId="0" fontId="48" fillId="2" borderId="0" xfId="44741" applyFont="1" applyFill="1" applyAlignment="1">
      <alignment vertical="center"/>
    </xf>
    <xf numFmtId="14" fontId="4" fillId="0" borderId="0" xfId="44741" applyNumberFormat="1"/>
    <xf numFmtId="1" fontId="4" fillId="0" borderId="0" xfId="44741" applyNumberFormat="1"/>
    <xf numFmtId="166" fontId="4" fillId="0" borderId="0" xfId="44741" applyNumberFormat="1"/>
    <xf numFmtId="0" fontId="103" fillId="0" borderId="0" xfId="44741" applyFont="1" applyAlignment="1">
      <alignment horizontal="center" vertical="center"/>
    </xf>
    <xf numFmtId="177" fontId="71" fillId="0" borderId="0" xfId="44741" applyNumberFormat="1" applyFont="1" applyAlignment="1">
      <alignment vertical="center"/>
    </xf>
    <xf numFmtId="0" fontId="71" fillId="2" borderId="17" xfId="44740" applyFont="1" applyFill="1" applyBorder="1" applyAlignment="1" applyProtection="1">
      <alignment horizontal="center" vertical="center"/>
      <protection locked="0"/>
    </xf>
    <xf numFmtId="10" fontId="71" fillId="9" borderId="17" xfId="44743" applyNumberFormat="1" applyFont="1" applyFill="1" applyBorder="1" applyAlignment="1" applyProtection="1">
      <alignment vertical="center"/>
    </xf>
    <xf numFmtId="0" fontId="103" fillId="0" borderId="0" xfId="44741" applyFont="1"/>
    <xf numFmtId="0" fontId="103" fillId="0" borderId="0" xfId="44741" applyFont="1" applyAlignment="1">
      <alignment vertical="center"/>
    </xf>
    <xf numFmtId="0" fontId="88" fillId="0" borderId="0" xfId="44741" applyFont="1" applyAlignment="1">
      <alignment vertical="center"/>
    </xf>
    <xf numFmtId="166" fontId="162" fillId="0" borderId="0" xfId="44742" applyFont="1"/>
    <xf numFmtId="0" fontId="103" fillId="0" borderId="0" xfId="44741" applyFont="1" applyAlignment="1">
      <alignment vertical="center" wrapText="1"/>
    </xf>
    <xf numFmtId="0" fontId="71" fillId="0" borderId="0" xfId="44741" applyFont="1" applyAlignment="1">
      <alignment vertical="center"/>
    </xf>
    <xf numFmtId="0" fontId="4" fillId="0" borderId="0" xfId="44741" applyAlignment="1">
      <alignment horizontal="center"/>
    </xf>
    <xf numFmtId="0" fontId="71" fillId="0" borderId="17" xfId="44741" applyFont="1" applyBorder="1" applyAlignment="1" applyProtection="1">
      <alignment horizontal="center" vertical="center"/>
      <protection locked="0"/>
    </xf>
    <xf numFmtId="0" fontId="146" fillId="0" borderId="0" xfId="44741" applyFont="1"/>
    <xf numFmtId="0" fontId="164" fillId="0" borderId="0" xfId="44741" applyFont="1" applyAlignment="1">
      <alignment vertical="center" wrapText="1"/>
    </xf>
    <xf numFmtId="0" fontId="99" fillId="0" borderId="0" xfId="44741" applyFont="1" applyAlignment="1">
      <alignment vertical="center" wrapText="1"/>
    </xf>
    <xf numFmtId="0" fontId="55" fillId="0" borderId="0" xfId="44741" applyFont="1"/>
    <xf numFmtId="0" fontId="32" fillId="0" borderId="0" xfId="44741" applyFont="1"/>
    <xf numFmtId="0" fontId="71" fillId="0" borderId="0" xfId="44741" applyFont="1"/>
    <xf numFmtId="0" fontId="99" fillId="0" borderId="19" xfId="44741" applyFont="1" applyBorder="1"/>
    <xf numFmtId="0" fontId="4" fillId="0" borderId="20" xfId="44741" applyBorder="1"/>
    <xf numFmtId="0" fontId="99" fillId="0" borderId="21" xfId="44741" applyFont="1" applyBorder="1"/>
    <xf numFmtId="0" fontId="99" fillId="0" borderId="24" xfId="44741" applyFont="1" applyBorder="1"/>
    <xf numFmtId="0" fontId="71" fillId="2" borderId="17" xfId="44741" applyFont="1" applyFill="1" applyBorder="1" applyAlignment="1" applyProtection="1">
      <alignment horizontal="center" vertical="center"/>
      <protection locked="0"/>
    </xf>
    <xf numFmtId="0" fontId="99" fillId="0" borderId="25" xfId="44741" applyFont="1" applyBorder="1"/>
    <xf numFmtId="0" fontId="103" fillId="0" borderId="0" xfId="44741" applyFont="1" applyAlignment="1">
      <alignment horizontal="center"/>
    </xf>
    <xf numFmtId="0" fontId="103" fillId="0" borderId="0" xfId="44740" applyFont="1" applyFill="1" applyAlignment="1" applyProtection="1">
      <alignment horizontal="center" vertical="center"/>
    </xf>
    <xf numFmtId="0" fontId="93" fillId="0" borderId="0" xfId="44740" applyFont="1" applyFill="1" applyAlignment="1" applyProtection="1">
      <alignment vertical="center"/>
    </xf>
    <xf numFmtId="10" fontId="71" fillId="2" borderId="17" xfId="44743" applyNumberFormat="1" applyFont="1" applyFill="1" applyBorder="1" applyAlignment="1" applyProtection="1">
      <alignment vertical="center"/>
    </xf>
    <xf numFmtId="0" fontId="4" fillId="14" borderId="20" xfId="44741" applyFill="1" applyBorder="1"/>
    <xf numFmtId="0" fontId="4" fillId="14" borderId="20" xfId="44741" applyFill="1" applyBorder="1" applyAlignment="1">
      <alignment horizontal="center"/>
    </xf>
    <xf numFmtId="0" fontId="99" fillId="14" borderId="21" xfId="44741" applyFont="1" applyFill="1" applyBorder="1"/>
    <xf numFmtId="0" fontId="99" fillId="14" borderId="25" xfId="44741" applyFont="1" applyFill="1" applyBorder="1"/>
    <xf numFmtId="0" fontId="166" fillId="14" borderId="18" xfId="44741" applyFont="1" applyFill="1" applyBorder="1" applyAlignment="1">
      <alignment horizontal="center" vertical="center"/>
    </xf>
    <xf numFmtId="0" fontId="4" fillId="14" borderId="18" xfId="44741" applyFill="1" applyBorder="1"/>
    <xf numFmtId="0" fontId="99" fillId="14" borderId="23" xfId="44741" applyFont="1" applyFill="1" applyBorder="1"/>
    <xf numFmtId="0" fontId="99" fillId="0" borderId="22" xfId="44741" applyFont="1" applyBorder="1"/>
    <xf numFmtId="0" fontId="99" fillId="0" borderId="18" xfId="44741" applyFont="1" applyBorder="1"/>
    <xf numFmtId="0" fontId="99" fillId="0" borderId="23" xfId="44741" applyFont="1" applyBorder="1"/>
    <xf numFmtId="0" fontId="4" fillId="8" borderId="20" xfId="44741" applyFill="1" applyBorder="1"/>
    <xf numFmtId="0" fontId="4" fillId="8" borderId="20" xfId="44741" applyFill="1" applyBorder="1" applyAlignment="1">
      <alignment horizontal="center"/>
    </xf>
    <xf numFmtId="177" fontId="71" fillId="8" borderId="21" xfId="44741" applyNumberFormat="1" applyFont="1" applyFill="1" applyBorder="1" applyAlignment="1">
      <alignment horizontal="right" vertical="center"/>
    </xf>
    <xf numFmtId="0" fontId="99" fillId="8" borderId="0" xfId="44741" applyFont="1" applyFill="1"/>
    <xf numFmtId="0" fontId="4" fillId="8" borderId="0" xfId="44741" applyFill="1"/>
    <xf numFmtId="0" fontId="99" fillId="8" borderId="25" xfId="44741" applyFont="1" applyFill="1" applyBorder="1"/>
    <xf numFmtId="0" fontId="166" fillId="8" borderId="18" xfId="44741" applyFont="1" applyFill="1" applyBorder="1" applyAlignment="1">
      <alignment horizontal="left" vertical="center"/>
    </xf>
    <xf numFmtId="0" fontId="166" fillId="8" borderId="18" xfId="44741" applyFont="1" applyFill="1" applyBorder="1" applyAlignment="1">
      <alignment horizontal="center" vertical="center"/>
    </xf>
    <xf numFmtId="0" fontId="4" fillId="8" borderId="18" xfId="44741" applyFill="1" applyBorder="1"/>
    <xf numFmtId="0" fontId="4" fillId="8" borderId="49" xfId="44741" applyFill="1" applyBorder="1"/>
    <xf numFmtId="0" fontId="99" fillId="8" borderId="23" xfId="44741" applyFont="1" applyFill="1" applyBorder="1"/>
    <xf numFmtId="0" fontId="99" fillId="18" borderId="19" xfId="44741" applyFont="1" applyFill="1" applyBorder="1"/>
    <xf numFmtId="0" fontId="92" fillId="18" borderId="0" xfId="44741" applyFont="1" applyFill="1" applyAlignment="1">
      <alignment horizontal="center" vertical="center"/>
    </xf>
    <xf numFmtId="0" fontId="4" fillId="18" borderId="0" xfId="44741" applyFill="1"/>
    <xf numFmtId="0" fontId="52" fillId="0" borderId="0" xfId="44741" applyFont="1" applyAlignment="1">
      <alignment vertical="center"/>
    </xf>
    <xf numFmtId="0" fontId="4" fillId="18" borderId="24" xfId="44741" applyFill="1" applyBorder="1"/>
    <xf numFmtId="0" fontId="4" fillId="18" borderId="25" xfId="44741" applyFill="1" applyBorder="1"/>
    <xf numFmtId="0" fontId="99" fillId="18" borderId="24" xfId="44741" applyFont="1" applyFill="1" applyBorder="1"/>
    <xf numFmtId="0" fontId="86" fillId="18" borderId="25" xfId="44741" applyFont="1" applyFill="1" applyBorder="1" applyAlignment="1">
      <alignment vertical="center" wrapText="1"/>
    </xf>
    <xf numFmtId="0" fontId="99" fillId="18" borderId="22" xfId="44741" applyFont="1" applyFill="1" applyBorder="1"/>
    <xf numFmtId="0" fontId="99" fillId="18" borderId="18" xfId="44741" applyFont="1" applyFill="1" applyBorder="1"/>
    <xf numFmtId="0" fontId="99" fillId="18" borderId="23" xfId="44741" applyFont="1" applyFill="1" applyBorder="1"/>
    <xf numFmtId="0" fontId="147" fillId="0" borderId="0" xfId="44741" applyFont="1"/>
    <xf numFmtId="178" fontId="4" fillId="0" borderId="0" xfId="44741" applyNumberFormat="1"/>
    <xf numFmtId="0" fontId="48" fillId="14" borderId="0" xfId="44741" applyFont="1" applyFill="1" applyAlignment="1">
      <alignment horizontal="left" vertical="center"/>
    </xf>
    <xf numFmtId="0" fontId="48" fillId="8" borderId="0" xfId="44741" applyFont="1" applyFill="1" applyAlignment="1">
      <alignment vertical="center"/>
    </xf>
    <xf numFmtId="0" fontId="138" fillId="8" borderId="0" xfId="44741" applyFont="1" applyFill="1" applyAlignment="1">
      <alignment vertical="center"/>
    </xf>
    <xf numFmtId="0" fontId="92" fillId="14" borderId="0" xfId="44741" applyFont="1" applyFill="1"/>
    <xf numFmtId="0" fontId="105" fillId="14" borderId="0" xfId="44741" applyFont="1" applyFill="1" applyAlignment="1">
      <alignment vertical="center"/>
    </xf>
    <xf numFmtId="0" fontId="167" fillId="0" borderId="0" xfId="44741" applyFont="1" applyAlignment="1">
      <alignment horizontal="right" vertical="center"/>
    </xf>
    <xf numFmtId="0" fontId="99" fillId="8" borderId="26" xfId="44741" applyFont="1" applyFill="1" applyBorder="1"/>
    <xf numFmtId="0" fontId="48" fillId="8" borderId="27" xfId="44741" applyFont="1" applyFill="1" applyBorder="1" applyAlignment="1">
      <alignment vertical="center"/>
    </xf>
    <xf numFmtId="0" fontId="99" fillId="8" borderId="27" xfId="44741" applyFont="1" applyFill="1" applyBorder="1"/>
    <xf numFmtId="0" fontId="99" fillId="8" borderId="28" xfId="44741" applyFont="1" applyFill="1" applyBorder="1"/>
    <xf numFmtId="0" fontId="103" fillId="0" borderId="0" xfId="44741" applyFont="1" applyAlignment="1">
      <alignment horizontal="left" vertical="center"/>
    </xf>
    <xf numFmtId="14" fontId="71" fillId="2" borderId="17" xfId="44740" applyNumberFormat="1" applyFont="1" applyFill="1" applyBorder="1" applyAlignment="1" applyProtection="1">
      <alignment horizontal="center" vertical="center"/>
      <protection locked="0"/>
    </xf>
    <xf numFmtId="0" fontId="92" fillId="2" borderId="0" xfId="44741" applyFont="1" applyFill="1" applyAlignment="1">
      <alignment horizontal="center" vertical="center"/>
    </xf>
    <xf numFmtId="10" fontId="71" fillId="9" borderId="17" xfId="44741" applyNumberFormat="1" applyFont="1" applyFill="1" applyBorder="1" applyAlignment="1">
      <alignment vertical="center"/>
    </xf>
    <xf numFmtId="0" fontId="45" fillId="9" borderId="17" xfId="44737" applyFont="1" applyFill="1" applyBorder="1" applyAlignment="1">
      <alignment horizontal="left" vertical="center" indent="1"/>
    </xf>
    <xf numFmtId="0" fontId="45" fillId="9" borderId="17" xfId="44737" applyFont="1" applyFill="1" applyBorder="1" applyAlignment="1">
      <alignment horizontal="center" vertical="center"/>
    </xf>
    <xf numFmtId="14" fontId="45" fillId="9" borderId="17" xfId="44737" applyNumberFormat="1" applyFont="1" applyFill="1" applyBorder="1" applyAlignment="1">
      <alignment horizontal="center" vertical="center"/>
    </xf>
    <xf numFmtId="0" fontId="45" fillId="9" borderId="26" xfId="44720" applyFont="1" applyFill="1" applyBorder="1" applyAlignment="1">
      <alignment horizontal="left" vertical="center" indent="1"/>
    </xf>
    <xf numFmtId="0" fontId="45" fillId="9" borderId="28" xfId="44720" applyFont="1" applyFill="1" applyBorder="1">
      <alignment horizontal="left" vertical="center"/>
    </xf>
    <xf numFmtId="0" fontId="45" fillId="9" borderId="27" xfId="44720" applyFont="1" applyFill="1" applyBorder="1">
      <alignment horizontal="left" vertical="center"/>
    </xf>
    <xf numFmtId="0" fontId="45" fillId="9" borderId="28" xfId="44723" applyFont="1" applyFill="1" applyBorder="1"/>
    <xf numFmtId="166" fontId="0" fillId="0" borderId="0" xfId="44739" applyFont="1" applyAlignment="1"/>
    <xf numFmtId="166" fontId="71" fillId="0" borderId="17" xfId="44739" applyFont="1" applyFill="1" applyBorder="1" applyAlignment="1" applyProtection="1">
      <alignment horizontal="center" vertical="center"/>
      <protection locked="0"/>
    </xf>
    <xf numFmtId="0" fontId="5" fillId="2" borderId="0" xfId="44737" applyFill="1"/>
    <xf numFmtId="0" fontId="131" fillId="0" borderId="0" xfId="0" applyNumberFormat="1" applyFont="1" applyAlignment="1">
      <alignment horizontal="left" vertical="center" indent="2"/>
    </xf>
    <xf numFmtId="0" fontId="5" fillId="8" borderId="0" xfId="44737" applyFill="1"/>
    <xf numFmtId="172" fontId="91" fillId="8" borderId="0" xfId="0" applyFont="1" applyFill="1" applyAlignment="1">
      <alignment horizontal="left" vertical="center"/>
    </xf>
    <xf numFmtId="172" fontId="168" fillId="8" borderId="0" xfId="0" applyFont="1" applyFill="1"/>
    <xf numFmtId="0" fontId="35" fillId="8" borderId="0" xfId="44720" applyFont="1" applyFill="1" applyAlignment="1">
      <alignment horizontal="left" wrapText="1"/>
    </xf>
    <xf numFmtId="0" fontId="138" fillId="8" borderId="0" xfId="44720" applyFont="1" applyFill="1" applyAlignment="1">
      <alignment vertical="center"/>
    </xf>
    <xf numFmtId="0" fontId="91" fillId="8" borderId="0" xfId="44722" applyFont="1" applyFill="1" applyBorder="1">
      <alignment horizontal="right" vertical="center"/>
    </xf>
    <xf numFmtId="0" fontId="40" fillId="8" borderId="0" xfId="44718" applyFont="1" applyFill="1"/>
    <xf numFmtId="0" fontId="35" fillId="14" borderId="0" xfId="44720" applyFont="1" applyFill="1" applyAlignment="1">
      <alignment wrapText="1"/>
    </xf>
    <xf numFmtId="0" fontId="31" fillId="14" borderId="0" xfId="44720" applyFont="1" applyFill="1" applyAlignment="1">
      <alignment horizontal="left" wrapText="1"/>
    </xf>
    <xf numFmtId="0" fontId="71" fillId="0" borderId="17" xfId="44741" quotePrefix="1" applyFont="1" applyBorder="1" applyAlignment="1">
      <alignment horizontal="center" vertical="center"/>
    </xf>
    <xf numFmtId="172" fontId="54" fillId="0" borderId="12" xfId="14" applyFont="1" applyBorder="1" applyAlignment="1">
      <alignment vertical="center"/>
    </xf>
    <xf numFmtId="172" fontId="54" fillId="0" borderId="13" xfId="14" applyFont="1" applyBorder="1" applyAlignment="1">
      <alignment vertical="center"/>
    </xf>
    <xf numFmtId="0" fontId="45" fillId="9" borderId="17" xfId="44744" applyFont="1" applyFill="1" applyBorder="1" applyAlignment="1">
      <alignment horizontal="center" vertical="center"/>
    </xf>
    <xf numFmtId="14" fontId="45" fillId="9" borderId="17" xfId="44744" applyNumberFormat="1" applyFont="1" applyFill="1" applyBorder="1" applyAlignment="1">
      <alignment horizontal="center" vertical="center"/>
    </xf>
    <xf numFmtId="172" fontId="99" fillId="0" borderId="0" xfId="14" applyFont="1"/>
    <xf numFmtId="172" fontId="16" fillId="18" borderId="0" xfId="14" applyFill="1"/>
    <xf numFmtId="172" fontId="45" fillId="0" borderId="0" xfId="14" applyFont="1" applyAlignment="1">
      <alignment wrapText="1"/>
    </xf>
    <xf numFmtId="172" fontId="103" fillId="0" borderId="0" xfId="14" applyFont="1" applyAlignment="1">
      <alignment horizontal="left" vertical="center" wrapText="1"/>
    </xf>
    <xf numFmtId="49" fontId="99" fillId="0" borderId="17" xfId="14" applyNumberFormat="1" applyFont="1" applyBorder="1" applyAlignment="1" applyProtection="1">
      <alignment horizontal="left" vertical="center"/>
      <protection locked="0"/>
    </xf>
    <xf numFmtId="0" fontId="99" fillId="0" borderId="17" xfId="14" applyNumberFormat="1" applyFont="1" applyBorder="1" applyAlignment="1" applyProtection="1">
      <alignment horizontal="center" vertical="center"/>
      <protection locked="0"/>
    </xf>
    <xf numFmtId="172" fontId="103" fillId="0" borderId="0" xfId="14" applyFont="1" applyAlignment="1">
      <alignment horizontal="center" vertical="center" wrapText="1"/>
    </xf>
    <xf numFmtId="172" fontId="40" fillId="2" borderId="0" xfId="14" applyFont="1" applyFill="1" applyAlignment="1">
      <alignment wrapText="1"/>
    </xf>
    <xf numFmtId="49" fontId="99" fillId="0" borderId="0" xfId="14" applyNumberFormat="1" applyFont="1" applyAlignment="1" applyProtection="1">
      <alignment horizontal="left" vertical="center"/>
      <protection locked="0"/>
    </xf>
    <xf numFmtId="172" fontId="99" fillId="0" borderId="17" xfId="14" applyFont="1" applyBorder="1" applyAlignment="1" applyProtection="1">
      <alignment vertical="center" wrapText="1"/>
      <protection locked="0"/>
    </xf>
    <xf numFmtId="0" fontId="40" fillId="2" borderId="0" xfId="14" applyNumberFormat="1" applyFont="1" applyFill="1" applyAlignment="1">
      <alignment horizontal="center" vertical="center" wrapText="1"/>
    </xf>
    <xf numFmtId="0" fontId="41" fillId="15" borderId="0" xfId="44731" applyFill="1"/>
    <xf numFmtId="172" fontId="118" fillId="15" borderId="0" xfId="14" applyFont="1" applyFill="1" applyAlignment="1">
      <alignment wrapText="1"/>
    </xf>
    <xf numFmtId="172" fontId="103" fillId="15" borderId="0" xfId="14" applyFont="1" applyFill="1" applyAlignment="1">
      <alignment vertical="center"/>
    </xf>
    <xf numFmtId="172" fontId="99" fillId="15" borderId="0" xfId="14" applyFont="1" applyFill="1"/>
    <xf numFmtId="172" fontId="45" fillId="15" borderId="0" xfId="14" applyFont="1" applyFill="1" applyAlignment="1">
      <alignment vertical="center"/>
    </xf>
    <xf numFmtId="172" fontId="118" fillId="0" borderId="0" xfId="14" applyFont="1" applyAlignment="1">
      <alignment wrapText="1"/>
    </xf>
    <xf numFmtId="172" fontId="103" fillId="0" borderId="0" xfId="14" applyFont="1" applyAlignment="1">
      <alignment vertical="center"/>
    </xf>
    <xf numFmtId="172" fontId="45" fillId="0" borderId="0" xfId="14" applyFont="1" applyAlignment="1">
      <alignment vertical="center"/>
    </xf>
    <xf numFmtId="172" fontId="99" fillId="0" borderId="0" xfId="14" applyFont="1" applyAlignment="1">
      <alignment vertical="center"/>
    </xf>
    <xf numFmtId="172" fontId="45" fillId="0" borderId="0" xfId="14" applyFont="1" applyProtection="1">
      <protection locked="0"/>
    </xf>
    <xf numFmtId="172" fontId="103" fillId="0" borderId="0" xfId="14" applyFont="1" applyAlignment="1">
      <alignment horizontal="left" vertical="center"/>
    </xf>
    <xf numFmtId="49" fontId="99" fillId="0" borderId="17" xfId="14" applyNumberFormat="1" applyFont="1" applyBorder="1" applyAlignment="1" applyProtection="1">
      <alignment horizontal="center" vertical="center"/>
      <protection locked="0"/>
    </xf>
    <xf numFmtId="172" fontId="45" fillId="0" borderId="18" xfId="14" applyFont="1" applyBorder="1" applyAlignment="1">
      <alignment vertical="center"/>
    </xf>
    <xf numFmtId="172" fontId="145" fillId="10" borderId="15" xfId="14" applyFont="1" applyFill="1" applyBorder="1" applyAlignment="1">
      <alignment horizontal="left" indent="1"/>
    </xf>
    <xf numFmtId="172" fontId="65" fillId="10" borderId="15" xfId="14" applyFont="1" applyFill="1" applyBorder="1"/>
    <xf numFmtId="172" fontId="145" fillId="10" borderId="0" xfId="14" applyFont="1" applyFill="1" applyAlignment="1">
      <alignment horizontal="left" indent="1"/>
    </xf>
    <xf numFmtId="172" fontId="65" fillId="10" borderId="0" xfId="14" applyFont="1" applyFill="1" applyAlignment="1">
      <alignment horizontal="left" indent="12"/>
    </xf>
    <xf numFmtId="172" fontId="99" fillId="10" borderId="0" xfId="14" applyFont="1" applyFill="1"/>
    <xf numFmtId="172" fontId="65" fillId="10" borderId="0" xfId="14" applyFont="1" applyFill="1"/>
    <xf numFmtId="172" fontId="16" fillId="10" borderId="0" xfId="14" applyFill="1"/>
    <xf numFmtId="172" fontId="65" fillId="10" borderId="16" xfId="14" applyFont="1" applyFill="1" applyBorder="1"/>
    <xf numFmtId="172" fontId="45" fillId="2" borderId="0" xfId="14" applyFont="1" applyFill="1"/>
    <xf numFmtId="172" fontId="16" fillId="14" borderId="0" xfId="14" applyFill="1"/>
    <xf numFmtId="172" fontId="48" fillId="14" borderId="0" xfId="14" applyFont="1" applyFill="1" applyAlignment="1">
      <alignment horizontal="left" vertical="center"/>
    </xf>
    <xf numFmtId="172" fontId="135" fillId="14" borderId="0" xfId="14" applyFont="1" applyFill="1" applyAlignment="1">
      <alignment horizontal="left" vertical="center"/>
    </xf>
    <xf numFmtId="172" fontId="75" fillId="0" borderId="0" xfId="14" applyFont="1"/>
    <xf numFmtId="172" fontId="75" fillId="0" borderId="0" xfId="14" applyFont="1" applyAlignment="1">
      <alignment horizontal="center"/>
    </xf>
    <xf numFmtId="172" fontId="158" fillId="19" borderId="48" xfId="14" applyFont="1" applyFill="1" applyBorder="1" applyAlignment="1">
      <alignment horizontal="left" vertical="center" indent="1"/>
    </xf>
    <xf numFmtId="172" fontId="158" fillId="19" borderId="48" xfId="14" applyFont="1" applyFill="1" applyBorder="1"/>
    <xf numFmtId="172" fontId="99" fillId="9" borderId="17" xfId="14" applyFont="1" applyFill="1" applyBorder="1" applyAlignment="1">
      <alignment vertical="center"/>
    </xf>
    <xf numFmtId="172" fontId="89" fillId="0" borderId="0" xfId="14" applyFont="1" applyAlignment="1">
      <alignment horizontal="left" vertical="center"/>
    </xf>
    <xf numFmtId="172" fontId="99" fillId="0" borderId="17" xfId="14" applyFont="1" applyBorder="1" applyAlignment="1" applyProtection="1">
      <alignment horizontal="center" vertical="center"/>
      <protection locked="0"/>
    </xf>
    <xf numFmtId="172" fontId="45" fillId="0" borderId="0" xfId="14" applyFont="1" applyAlignment="1">
      <alignment vertical="center" wrapText="1"/>
    </xf>
    <xf numFmtId="172" fontId="40" fillId="0" borderId="0" xfId="14" applyFont="1" applyAlignment="1">
      <alignment horizontal="right" vertical="center"/>
    </xf>
    <xf numFmtId="172" fontId="157" fillId="0" borderId="0" xfId="14" applyFont="1" applyAlignment="1">
      <alignment vertical="top"/>
    </xf>
    <xf numFmtId="174" fontId="112" fillId="0" borderId="0" xfId="14" applyNumberFormat="1" applyFont="1" applyAlignment="1">
      <alignment horizontal="right" vertical="center"/>
    </xf>
    <xf numFmtId="4" fontId="99" fillId="0" borderId="17" xfId="14" applyNumberFormat="1" applyFont="1" applyBorder="1" applyAlignment="1" applyProtection="1">
      <alignment vertical="center"/>
      <protection locked="0"/>
    </xf>
    <xf numFmtId="172" fontId="99" fillId="0" borderId="0" xfId="14" applyFont="1" applyAlignment="1">
      <alignment horizontal="right" vertical="center"/>
    </xf>
    <xf numFmtId="0" fontId="45" fillId="0" borderId="17" xfId="14" applyNumberFormat="1" applyFont="1" applyBorder="1" applyAlignment="1" applyProtection="1">
      <alignment horizontal="center" vertical="center"/>
      <protection locked="0"/>
    </xf>
    <xf numFmtId="175" fontId="99" fillId="2" borderId="17" xfId="14" applyNumberFormat="1" applyFont="1" applyFill="1" applyBorder="1" applyAlignment="1" applyProtection="1">
      <alignment horizontal="right" vertical="center"/>
      <protection locked="0"/>
    </xf>
    <xf numFmtId="172" fontId="112" fillId="0" borderId="0" xfId="14" applyFont="1" applyAlignment="1">
      <alignment horizontal="right" vertical="center"/>
    </xf>
    <xf numFmtId="4" fontId="99" fillId="9" borderId="17" xfId="14" applyNumberFormat="1" applyFont="1" applyFill="1" applyBorder="1" applyAlignment="1">
      <alignment vertical="center"/>
    </xf>
    <xf numFmtId="4" fontId="92" fillId="8" borderId="17" xfId="14" applyNumberFormat="1" applyFont="1" applyFill="1" applyBorder="1" applyAlignment="1">
      <alignment vertical="center"/>
    </xf>
    <xf numFmtId="172" fontId="45" fillId="0" borderId="0" xfId="14" applyFont="1" applyAlignment="1">
      <alignment horizontal="center"/>
    </xf>
    <xf numFmtId="172" fontId="81" fillId="0" borderId="0" xfId="14" applyFont="1" applyAlignment="1">
      <alignment vertical="center" wrapText="1"/>
    </xf>
    <xf numFmtId="172" fontId="41" fillId="0" borderId="0" xfId="14" applyFont="1" applyAlignment="1">
      <alignment vertical="center" wrapText="1"/>
    </xf>
    <xf numFmtId="172" fontId="89" fillId="0" borderId="0" xfId="14" applyFont="1" applyAlignment="1">
      <alignment vertical="center"/>
    </xf>
    <xf numFmtId="4" fontId="99" fillId="9" borderId="17" xfId="14" applyNumberFormat="1" applyFont="1" applyFill="1" applyBorder="1" applyAlignment="1">
      <alignment horizontal="center" vertical="center"/>
    </xf>
    <xf numFmtId="0" fontId="99" fillId="9" borderId="17" xfId="14" applyNumberFormat="1" applyFont="1" applyFill="1" applyBorder="1" applyAlignment="1">
      <alignment horizontal="center" vertical="center"/>
    </xf>
    <xf numFmtId="0" fontId="99" fillId="0" borderId="17" xfId="14" applyNumberFormat="1" applyFont="1" applyBorder="1" applyAlignment="1" applyProtection="1">
      <alignment horizontal="left" vertical="center"/>
      <protection locked="0"/>
    </xf>
    <xf numFmtId="172" fontId="16" fillId="0" borderId="18" xfId="14" applyBorder="1"/>
    <xf numFmtId="172" fontId="45" fillId="0" borderId="18" xfId="14" applyFont="1" applyBorder="1"/>
    <xf numFmtId="172" fontId="41" fillId="0" borderId="18" xfId="14" applyFont="1" applyBorder="1" applyAlignment="1">
      <alignment vertical="center" wrapText="1"/>
    </xf>
    <xf numFmtId="0" fontId="43" fillId="2" borderId="17" xfId="0" applyNumberFormat="1" applyFont="1" applyFill="1" applyBorder="1"/>
    <xf numFmtId="2" fontId="89" fillId="16" borderId="17" xfId="44720" applyNumberFormat="1" applyFont="1" applyFill="1" applyBorder="1" applyAlignment="1">
      <alignment horizontal="right" vertical="center" wrapText="1" indent="1"/>
    </xf>
    <xf numFmtId="0" fontId="65" fillId="0" borderId="17" xfId="0" applyNumberFormat="1" applyFont="1" applyBorder="1" applyAlignment="1">
      <alignment horizontal="center" vertical="center"/>
    </xf>
    <xf numFmtId="9" fontId="65" fillId="0" borderId="17" xfId="44717" applyFont="1" applyFill="1" applyBorder="1" applyAlignment="1">
      <alignment horizontal="center" vertical="center"/>
    </xf>
    <xf numFmtId="174" fontId="40" fillId="2" borderId="0" xfId="0" applyNumberFormat="1" applyFont="1" applyFill="1" applyAlignment="1">
      <alignment vertical="center"/>
    </xf>
    <xf numFmtId="49" fontId="71" fillId="2" borderId="30" xfId="44741" applyNumberFormat="1" applyFont="1" applyFill="1" applyBorder="1" applyAlignment="1" applyProtection="1">
      <alignment horizontal="center" vertical="center"/>
      <protection locked="0"/>
    </xf>
    <xf numFmtId="49" fontId="71" fillId="2" borderId="30" xfId="44741" applyNumberFormat="1" applyFont="1" applyFill="1" applyBorder="1" applyAlignment="1" applyProtection="1">
      <alignment horizontal="center" vertical="center" wrapText="1"/>
      <protection locked="0"/>
    </xf>
    <xf numFmtId="0" fontId="4" fillId="8" borderId="19" xfId="44741" applyFill="1" applyBorder="1"/>
    <xf numFmtId="0" fontId="99" fillId="8" borderId="24" xfId="44741" applyFont="1" applyFill="1" applyBorder="1"/>
    <xf numFmtId="0" fontId="92" fillId="8" borderId="0" xfId="44741" applyFont="1" applyFill="1" applyAlignment="1">
      <alignment horizontal="center" vertical="center"/>
    </xf>
    <xf numFmtId="0" fontId="166" fillId="8" borderId="22" xfId="44741" applyFont="1" applyFill="1" applyBorder="1" applyAlignment="1">
      <alignment horizontal="left" vertical="center"/>
    </xf>
    <xf numFmtId="0" fontId="4" fillId="14" borderId="19" xfId="44741" applyFill="1" applyBorder="1"/>
    <xf numFmtId="0" fontId="99" fillId="14" borderId="24" xfId="44741" applyFont="1" applyFill="1" applyBorder="1"/>
    <xf numFmtId="0" fontId="92" fillId="14" borderId="0" xfId="44741" applyFont="1" applyFill="1" applyAlignment="1">
      <alignment horizontal="center" vertical="center"/>
    </xf>
    <xf numFmtId="0" fontId="165" fillId="14" borderId="0" xfId="44741" applyFont="1" applyFill="1" applyAlignment="1">
      <alignment vertical="center"/>
    </xf>
    <xf numFmtId="0" fontId="166" fillId="14" borderId="22" xfId="44741" applyFont="1" applyFill="1" applyBorder="1" applyAlignment="1">
      <alignment horizontal="left" vertical="center"/>
    </xf>
    <xf numFmtId="0" fontId="103" fillId="15" borderId="19" xfId="44741" applyFont="1" applyFill="1" applyBorder="1" applyAlignment="1">
      <alignment horizontal="centerContinuous" vertical="center"/>
    </xf>
    <xf numFmtId="0" fontId="138" fillId="15" borderId="20" xfId="44741" applyFont="1" applyFill="1" applyBorder="1" applyAlignment="1">
      <alignment horizontal="centerContinuous" vertical="center"/>
    </xf>
    <xf numFmtId="0" fontId="105" fillId="15" borderId="20" xfId="44741" applyFont="1" applyFill="1" applyBorder="1" applyAlignment="1">
      <alignment horizontal="centerContinuous" vertical="center"/>
    </xf>
    <xf numFmtId="0" fontId="52" fillId="15" borderId="21" xfId="44741" applyFont="1" applyFill="1" applyBorder="1" applyAlignment="1">
      <alignment horizontal="centerContinuous" vertical="center"/>
    </xf>
    <xf numFmtId="0" fontId="99" fillId="15" borderId="25" xfId="44741" applyFont="1" applyFill="1" applyBorder="1"/>
    <xf numFmtId="0" fontId="99" fillId="15" borderId="23" xfId="44741" applyFont="1" applyFill="1" applyBorder="1"/>
    <xf numFmtId="0" fontId="99" fillId="15" borderId="22" xfId="44741" applyFont="1" applyFill="1" applyBorder="1"/>
    <xf numFmtId="0" fontId="99" fillId="15" borderId="18" xfId="44741" applyFont="1" applyFill="1" applyBorder="1"/>
    <xf numFmtId="0" fontId="65" fillId="10" borderId="50" xfId="44741" applyFont="1" applyFill="1" applyBorder="1" applyAlignment="1">
      <alignment horizontal="centerContinuous" vertical="center" wrapText="1"/>
    </xf>
    <xf numFmtId="0" fontId="65" fillId="10" borderId="31" xfId="44741" applyFont="1" applyFill="1" applyBorder="1" applyAlignment="1">
      <alignment horizontal="centerContinuous" vertical="center" wrapText="1"/>
    </xf>
    <xf numFmtId="0" fontId="103" fillId="0" borderId="0" xfId="44723" applyFont="1" applyAlignment="1">
      <alignment horizontal="left" vertical="center"/>
    </xf>
    <xf numFmtId="0" fontId="40" fillId="8" borderId="17" xfId="44723" applyFont="1" applyFill="1" applyBorder="1" applyAlignment="1">
      <alignment horizontal="center" vertical="center"/>
    </xf>
    <xf numFmtId="0" fontId="16" fillId="9" borderId="17" xfId="44723" applyFill="1" applyBorder="1" applyAlignment="1">
      <alignment horizontal="center" vertical="center"/>
    </xf>
    <xf numFmtId="10" fontId="99" fillId="9" borderId="17" xfId="44717" applyNumberFormat="1" applyFont="1" applyFill="1" applyBorder="1" applyAlignment="1" applyProtection="1">
      <alignment vertical="center"/>
    </xf>
    <xf numFmtId="0" fontId="41" fillId="0" borderId="0" xfId="44731" applyAlignment="1">
      <alignment horizontal="left" vertical="center"/>
    </xf>
    <xf numFmtId="0" fontId="79" fillId="0" borderId="0" xfId="44731" applyFont="1" applyAlignment="1">
      <alignment horizontal="left" vertical="center" indent="1"/>
    </xf>
    <xf numFmtId="172" fontId="89" fillId="0" borderId="0" xfId="0" applyFont="1" applyAlignment="1">
      <alignment horizontal="center" vertical="center" wrapText="1"/>
    </xf>
    <xf numFmtId="0" fontId="89" fillId="0" borderId="0" xfId="44718" applyFont="1" applyAlignment="1">
      <alignment horizontal="center" wrapText="1"/>
    </xf>
    <xf numFmtId="0" fontId="89" fillId="0" borderId="0" xfId="44723" applyFont="1" applyAlignment="1">
      <alignment horizontal="center" wrapText="1"/>
    </xf>
    <xf numFmtId="0" fontId="89" fillId="0" borderId="0" xfId="44723" applyFont="1" applyAlignment="1">
      <alignment horizontal="center"/>
    </xf>
    <xf numFmtId="0" fontId="103" fillId="0" borderId="0" xfId="44723" applyFont="1" applyAlignment="1">
      <alignment vertical="center"/>
    </xf>
    <xf numFmtId="172" fontId="16" fillId="0" borderId="0" xfId="0" applyFont="1" applyAlignment="1">
      <alignment vertical="center"/>
    </xf>
    <xf numFmtId="172" fontId="54" fillId="0" borderId="0" xfId="0" applyFont="1" applyAlignment="1">
      <alignment vertical="center"/>
    </xf>
    <xf numFmtId="172" fontId="74" fillId="0" borderId="0" xfId="0" applyFont="1" applyAlignment="1">
      <alignment vertical="center"/>
    </xf>
    <xf numFmtId="172" fontId="103" fillId="0" borderId="0" xfId="0" applyFont="1" applyAlignment="1">
      <alignment horizontal="right" vertical="center" indent="1"/>
    </xf>
    <xf numFmtId="172" fontId="54" fillId="16" borderId="17" xfId="0" applyFont="1" applyFill="1" applyBorder="1" applyAlignment="1">
      <alignment horizontal="center" vertical="center"/>
    </xf>
    <xf numFmtId="0" fontId="172" fillId="0" borderId="0" xfId="0" applyNumberFormat="1" applyFont="1" applyAlignment="1">
      <alignment horizontal="center" vertical="center"/>
    </xf>
    <xf numFmtId="0" fontId="173" fillId="16" borderId="0" xfId="44720" applyFont="1" applyFill="1" applyAlignment="1">
      <alignment horizontal="left" wrapText="1"/>
    </xf>
    <xf numFmtId="0" fontId="32" fillId="16" borderId="0" xfId="44720" applyFont="1" applyFill="1" applyAlignment="1">
      <alignment vertical="center"/>
    </xf>
    <xf numFmtId="0" fontId="51" fillId="16" borderId="0" xfId="44722" applyFont="1" applyFill="1" applyBorder="1">
      <alignment horizontal="right" vertical="center"/>
    </xf>
    <xf numFmtId="0" fontId="45" fillId="16" borderId="0" xfId="44718" applyFont="1" applyFill="1"/>
    <xf numFmtId="172" fontId="112" fillId="0" borderId="0" xfId="0" applyFont="1" applyAlignment="1">
      <alignment horizontal="left" vertical="center"/>
    </xf>
    <xf numFmtId="0" fontId="67" fillId="0" borderId="21" xfId="44733" applyFont="1" applyBorder="1"/>
    <xf numFmtId="0" fontId="67" fillId="0" borderId="25" xfId="44733" applyFont="1" applyBorder="1"/>
    <xf numFmtId="0" fontId="16" fillId="0" borderId="25" xfId="44723" applyBorder="1"/>
    <xf numFmtId="0" fontId="16" fillId="0" borderId="22" xfId="44723" applyBorder="1"/>
    <xf numFmtId="0" fontId="16" fillId="0" borderId="18" xfId="44723" applyBorder="1"/>
    <xf numFmtId="0" fontId="16" fillId="0" borderId="23" xfId="44723" applyBorder="1"/>
    <xf numFmtId="172" fontId="36" fillId="15" borderId="26" xfId="0" applyFont="1" applyFill="1" applyBorder="1" applyAlignment="1">
      <alignment horizontal="centerContinuous" vertical="center"/>
    </xf>
    <xf numFmtId="172" fontId="16" fillId="15" borderId="27" xfId="0" applyFont="1" applyFill="1" applyBorder="1" applyAlignment="1">
      <alignment horizontal="centerContinuous" vertical="center"/>
    </xf>
    <xf numFmtId="0" fontId="67" fillId="15" borderId="28" xfId="44733" applyFont="1" applyFill="1" applyBorder="1" applyAlignment="1">
      <alignment horizontal="centerContinuous" vertical="center"/>
    </xf>
    <xf numFmtId="10" fontId="71" fillId="2" borderId="17" xfId="44743" applyNumberFormat="1" applyFont="1" applyFill="1" applyBorder="1" applyAlignment="1" applyProtection="1">
      <alignment vertical="center" wrapText="1"/>
      <protection locked="0"/>
    </xf>
    <xf numFmtId="0" fontId="45" fillId="0" borderId="17" xfId="0" applyNumberFormat="1" applyFont="1" applyBorder="1" applyAlignment="1" applyProtection="1">
      <alignment horizontal="center" vertical="center"/>
      <protection locked="0"/>
    </xf>
    <xf numFmtId="0" fontId="45" fillId="0" borderId="17" xfId="44717" applyNumberFormat="1" applyFont="1" applyBorder="1" applyAlignment="1" applyProtection="1">
      <alignment horizontal="center" vertical="center"/>
      <protection locked="0"/>
    </xf>
    <xf numFmtId="0" fontId="45" fillId="2" borderId="17" xfId="44717" applyNumberFormat="1" applyFont="1" applyFill="1" applyBorder="1" applyAlignment="1" applyProtection="1"/>
    <xf numFmtId="0" fontId="139" fillId="0" borderId="0" xfId="44733" applyFont="1" applyAlignment="1">
      <alignment vertical="center"/>
    </xf>
    <xf numFmtId="10" fontId="71" fillId="23" borderId="17" xfId="44717" applyNumberFormat="1" applyFont="1" applyFill="1" applyBorder="1" applyAlignment="1" applyProtection="1">
      <alignment horizontal="right" vertical="center"/>
      <protection hidden="1"/>
    </xf>
    <xf numFmtId="10" fontId="71" fillId="9" borderId="17" xfId="44717" applyNumberFormat="1" applyFont="1" applyFill="1" applyBorder="1" applyAlignment="1" applyProtection="1">
      <alignment horizontal="right" vertical="center" indent="1"/>
    </xf>
    <xf numFmtId="0" fontId="0" fillId="0" borderId="17" xfId="0" applyNumberFormat="1" applyBorder="1" applyAlignment="1">
      <alignment vertical="center"/>
    </xf>
    <xf numFmtId="0" fontId="65" fillId="0" borderId="17" xfId="0" applyNumberFormat="1" applyFont="1" applyBorder="1" applyAlignment="1">
      <alignment vertical="center"/>
    </xf>
    <xf numFmtId="0" fontId="0" fillId="9" borderId="17" xfId="0" applyNumberFormat="1" applyFill="1" applyBorder="1" applyAlignment="1">
      <alignment vertical="center"/>
    </xf>
    <xf numFmtId="0" fontId="54" fillId="9" borderId="17" xfId="0" applyNumberFormat="1" applyFont="1" applyFill="1" applyBorder="1" applyAlignment="1">
      <alignment vertical="center"/>
    </xf>
    <xf numFmtId="0" fontId="54" fillId="0" borderId="17" xfId="0" applyNumberFormat="1" applyFont="1" applyBorder="1" applyAlignment="1">
      <alignment vertical="center"/>
    </xf>
    <xf numFmtId="0" fontId="0" fillId="9" borderId="0" xfId="0" applyNumberFormat="1" applyFill="1" applyAlignment="1">
      <alignment vertical="center"/>
    </xf>
    <xf numFmtId="9" fontId="0" fillId="9" borderId="17" xfId="44717" applyFont="1" applyFill="1" applyBorder="1" applyAlignment="1">
      <alignment vertical="center"/>
    </xf>
    <xf numFmtId="10" fontId="0" fillId="2" borderId="17" xfId="44717" applyNumberFormat="1" applyFont="1" applyFill="1" applyBorder="1" applyAlignment="1">
      <alignment vertical="center"/>
    </xf>
    <xf numFmtId="9" fontId="54" fillId="9" borderId="17" xfId="44717" applyFont="1" applyFill="1" applyBorder="1" applyAlignment="1">
      <alignment vertical="center"/>
    </xf>
    <xf numFmtId="0" fontId="0" fillId="9" borderId="17" xfId="44717" applyNumberFormat="1" applyFont="1" applyFill="1" applyBorder="1" applyAlignment="1">
      <alignment vertical="center"/>
    </xf>
    <xf numFmtId="0" fontId="99" fillId="0" borderId="17" xfId="0" applyNumberFormat="1" applyFont="1" applyBorder="1" applyAlignment="1" applyProtection="1">
      <alignment horizontal="center" vertical="center"/>
      <protection locked="0"/>
    </xf>
    <xf numFmtId="166" fontId="55" fillId="2" borderId="0" xfId="44716" applyFont="1" applyFill="1"/>
    <xf numFmtId="172" fontId="45" fillId="0" borderId="0" xfId="0" applyFont="1" applyAlignment="1">
      <alignment horizontal="left" vertical="center" indent="2"/>
    </xf>
    <xf numFmtId="181" fontId="71" fillId="2" borderId="17" xfId="44724" applyNumberFormat="1" applyFont="1" applyFill="1" applyBorder="1" applyAlignment="1" applyProtection="1">
      <alignment horizontal="left" vertical="center" wrapText="1"/>
      <protection locked="0"/>
    </xf>
    <xf numFmtId="181" fontId="53" fillId="9" borderId="17" xfId="44722" applyNumberFormat="1" applyFont="1" applyFill="1" applyBorder="1" applyAlignment="1">
      <alignment horizontal="left" vertical="center"/>
    </xf>
    <xf numFmtId="181" fontId="71" fillId="2" borderId="17" xfId="44717" applyNumberFormat="1" applyFont="1" applyFill="1" applyBorder="1" applyAlignment="1" applyProtection="1">
      <alignment horizontal="left" vertical="center"/>
      <protection locked="0"/>
    </xf>
    <xf numFmtId="181" fontId="71" fillId="9" borderId="17" xfId="44741" applyNumberFormat="1" applyFont="1" applyFill="1" applyBorder="1" applyAlignment="1">
      <alignment horizontal="left" vertical="center"/>
    </xf>
    <xf numFmtId="172" fontId="131" fillId="0" borderId="0" xfId="0" applyFont="1" applyAlignment="1">
      <alignment vertical="top"/>
    </xf>
    <xf numFmtId="166" fontId="16" fillId="0" borderId="0" xfId="44716" applyFont="1"/>
    <xf numFmtId="172" fontId="116" fillId="0" borderId="0" xfId="0" applyFont="1" applyAlignment="1">
      <alignment horizontal="left" vertical="center"/>
    </xf>
    <xf numFmtId="0" fontId="107" fillId="0" borderId="0" xfId="0" applyNumberFormat="1" applyFont="1" applyAlignment="1">
      <alignment horizontal="center" vertical="center"/>
    </xf>
    <xf numFmtId="0" fontId="65" fillId="0" borderId="0" xfId="44718" applyFont="1"/>
    <xf numFmtId="0" fontId="65" fillId="0" borderId="0" xfId="44718" applyFont="1" applyAlignment="1">
      <alignment horizontal="center" vertical="center"/>
    </xf>
    <xf numFmtId="0" fontId="65" fillId="0" borderId="0" xfId="44718" applyFont="1" applyAlignment="1">
      <alignment vertical="center"/>
    </xf>
    <xf numFmtId="166" fontId="65" fillId="0" borderId="17" xfId="44716" applyFont="1" applyFill="1" applyBorder="1" applyAlignment="1">
      <alignment horizontal="left" vertical="center"/>
    </xf>
    <xf numFmtId="166" fontId="65" fillId="0" borderId="17" xfId="44716" applyFont="1" applyFill="1" applyBorder="1" applyAlignment="1">
      <alignment horizontal="center" vertical="center"/>
    </xf>
    <xf numFmtId="9" fontId="65" fillId="9" borderId="17" xfId="44717" applyFont="1" applyFill="1" applyBorder="1" applyAlignment="1">
      <alignment horizontal="center" vertical="center"/>
    </xf>
    <xf numFmtId="166" fontId="65" fillId="0" borderId="17" xfId="44716" applyFont="1" applyBorder="1" applyAlignment="1">
      <alignment horizontal="right" vertical="center" indent="1"/>
    </xf>
    <xf numFmtId="0" fontId="65" fillId="0" borderId="0" xfId="44716" applyNumberFormat="1" applyFont="1" applyAlignment="1"/>
    <xf numFmtId="166" fontId="145" fillId="0" borderId="0" xfId="44716" applyFont="1" applyBorder="1" applyAlignment="1">
      <alignment vertical="center"/>
    </xf>
    <xf numFmtId="166" fontId="145" fillId="0" borderId="17" xfId="44716" applyFont="1" applyBorder="1" applyAlignment="1">
      <alignment vertical="center"/>
    </xf>
    <xf numFmtId="0" fontId="65" fillId="9" borderId="17" xfId="0" applyNumberFormat="1" applyFont="1" applyFill="1" applyBorder="1"/>
    <xf numFmtId="0" fontId="93" fillId="0" borderId="0" xfId="44722" applyFont="1" applyBorder="1" applyAlignment="1">
      <alignment vertical="center"/>
    </xf>
    <xf numFmtId="0" fontId="16" fillId="10" borderId="15" xfId="44723" applyFill="1" applyBorder="1"/>
    <xf numFmtId="0" fontId="16" fillId="10" borderId="0" xfId="44723" applyFill="1"/>
    <xf numFmtId="0" fontId="16" fillId="10" borderId="16" xfId="44723" applyFill="1" applyBorder="1"/>
    <xf numFmtId="0" fontId="163" fillId="22" borderId="51" xfId="44723" applyFont="1" applyFill="1" applyBorder="1" applyAlignment="1">
      <alignment vertical="center"/>
    </xf>
    <xf numFmtId="182" fontId="142" fillId="9" borderId="0" xfId="0" applyNumberFormat="1" applyFont="1" applyFill="1" applyAlignment="1">
      <alignment horizontal="right"/>
    </xf>
    <xf numFmtId="182" fontId="142" fillId="9" borderId="18" xfId="0" applyNumberFormat="1" applyFont="1" applyFill="1" applyBorder="1" applyAlignment="1">
      <alignment horizontal="right"/>
    </xf>
    <xf numFmtId="182" fontId="142" fillId="9" borderId="20" xfId="0" applyNumberFormat="1" applyFont="1" applyFill="1" applyBorder="1"/>
    <xf numFmtId="182" fontId="142" fillId="9" borderId="0" xfId="0" applyNumberFormat="1" applyFont="1" applyFill="1"/>
    <xf numFmtId="182" fontId="142" fillId="9" borderId="18" xfId="0" applyNumberFormat="1" applyFont="1" applyFill="1" applyBorder="1"/>
    <xf numFmtId="166" fontId="0" fillId="16" borderId="0" xfId="44716" applyFont="1" applyFill="1"/>
    <xf numFmtId="166" fontId="0" fillId="0" borderId="0" xfId="44739" applyFont="1" applyFill="1" applyAlignment="1"/>
    <xf numFmtId="0" fontId="45" fillId="15" borderId="17" xfId="44737" applyFont="1" applyFill="1" applyBorder="1"/>
    <xf numFmtId="166" fontId="16" fillId="15" borderId="17" xfId="44739" applyFont="1" applyFill="1" applyBorder="1"/>
    <xf numFmtId="0" fontId="45" fillId="15" borderId="17" xfId="44716" applyNumberFormat="1" applyFont="1" applyFill="1" applyBorder="1"/>
    <xf numFmtId="0" fontId="45" fillId="2" borderId="17" xfId="44737" applyFont="1" applyFill="1" applyBorder="1"/>
    <xf numFmtId="0" fontId="103" fillId="0" borderId="0" xfId="0" applyNumberFormat="1" applyFont="1" applyAlignment="1">
      <alignment horizontal="left" vertical="center"/>
    </xf>
    <xf numFmtId="181" fontId="40" fillId="2" borderId="0" xfId="44716" applyNumberFormat="1" applyFont="1" applyFill="1" applyAlignment="1"/>
    <xf numFmtId="0" fontId="45" fillId="12" borderId="17" xfId="44737" applyFont="1" applyFill="1" applyBorder="1"/>
    <xf numFmtId="0" fontId="89" fillId="0" borderId="0" xfId="44720" applyFont="1" applyAlignment="1">
      <alignment horizontal="center" wrapText="1"/>
    </xf>
    <xf numFmtId="0" fontId="91" fillId="18" borderId="0" xfId="44718" applyFont="1" applyFill="1" applyAlignment="1">
      <alignment vertical="center"/>
    </xf>
    <xf numFmtId="0" fontId="118" fillId="2" borderId="18" xfId="44718" applyFont="1" applyFill="1" applyBorder="1" applyAlignment="1">
      <alignment vertical="center"/>
    </xf>
    <xf numFmtId="0" fontId="16" fillId="0" borderId="0" xfId="44718" applyFont="1" applyAlignment="1">
      <alignment wrapText="1"/>
    </xf>
    <xf numFmtId="0" fontId="65" fillId="0" borderId="17" xfId="44718" applyFont="1" applyBorder="1" applyAlignment="1">
      <alignment horizontal="right" vertical="center" indent="1"/>
    </xf>
    <xf numFmtId="0" fontId="145" fillId="0" borderId="17" xfId="44718" applyFont="1" applyBorder="1" applyAlignment="1">
      <alignment horizontal="right" vertical="center" indent="1"/>
    </xf>
    <xf numFmtId="10" fontId="142" fillId="9" borderId="20" xfId="44717" applyNumberFormat="1" applyFont="1" applyFill="1" applyBorder="1"/>
    <xf numFmtId="172" fontId="112" fillId="0" borderId="0" xfId="0" applyFont="1" applyAlignment="1">
      <alignment horizontal="left" wrapText="1" indent="1"/>
    </xf>
    <xf numFmtId="170" fontId="65" fillId="2" borderId="0" xfId="0" applyNumberFormat="1" applyFont="1" applyFill="1" applyAlignment="1">
      <alignment vertical="center"/>
    </xf>
    <xf numFmtId="172" fontId="65" fillId="0" borderId="0" xfId="0" applyFont="1" applyAlignment="1">
      <alignment vertical="center"/>
    </xf>
    <xf numFmtId="10" fontId="65" fillId="0" borderId="0" xfId="44717" applyNumberFormat="1" applyFont="1" applyAlignment="1">
      <alignment vertical="center"/>
    </xf>
    <xf numFmtId="172" fontId="65" fillId="0" borderId="0" xfId="0" applyFont="1" applyAlignment="1">
      <alignment horizontal="center" wrapText="1"/>
    </xf>
    <xf numFmtId="172" fontId="112" fillId="0" borderId="0" xfId="0" applyFont="1" applyAlignment="1">
      <alignment wrapText="1"/>
    </xf>
    <xf numFmtId="172" fontId="83" fillId="0" borderId="0" xfId="0" applyFont="1" applyAlignment="1">
      <alignment horizontal="center" wrapText="1"/>
    </xf>
    <xf numFmtId="183" fontId="65" fillId="0" borderId="0" xfId="0" applyNumberFormat="1" applyFont="1" applyAlignment="1">
      <alignment vertical="center"/>
    </xf>
    <xf numFmtId="183" fontId="65" fillId="2" borderId="0" xfId="0" applyNumberFormat="1" applyFont="1" applyFill="1" applyAlignment="1">
      <alignment vertical="center"/>
    </xf>
    <xf numFmtId="0" fontId="65" fillId="0" borderId="17" xfId="44716" applyNumberFormat="1" applyFont="1" applyFill="1" applyBorder="1" applyAlignment="1">
      <alignment horizontal="left" vertical="center"/>
    </xf>
    <xf numFmtId="0" fontId="27" fillId="9" borderId="0" xfId="44722" applyFont="1" applyFill="1" applyBorder="1" applyAlignment="1">
      <alignment horizontal="left" vertical="center"/>
    </xf>
    <xf numFmtId="0" fontId="177" fillId="9" borderId="0" xfId="44722" applyFont="1" applyFill="1" applyBorder="1" applyAlignment="1">
      <alignment horizontal="left" vertical="center"/>
    </xf>
    <xf numFmtId="172" fontId="65" fillId="10" borderId="31" xfId="0" applyFont="1" applyFill="1" applyBorder="1" applyAlignment="1">
      <alignment horizontal="left" indent="1"/>
    </xf>
    <xf numFmtId="0" fontId="45" fillId="15" borderId="17" xfId="44731" applyFont="1" applyFill="1" applyBorder="1" applyAlignment="1">
      <alignment horizontal="left" vertical="center" indent="1"/>
    </xf>
    <xf numFmtId="10" fontId="0" fillId="2" borderId="17" xfId="44717" applyNumberFormat="1" applyFont="1" applyFill="1" applyBorder="1" applyAlignment="1"/>
    <xf numFmtId="0" fontId="93" fillId="9" borderId="0" xfId="44720" applyFont="1" applyFill="1">
      <alignment horizontal="left" vertical="center"/>
    </xf>
    <xf numFmtId="0" fontId="48" fillId="8" borderId="0" xfId="44720" applyFont="1" applyFill="1">
      <alignment horizontal="left" vertical="center"/>
    </xf>
    <xf numFmtId="0" fontId="48" fillId="14" borderId="0" xfId="44720" applyFont="1" applyFill="1">
      <alignment horizontal="left" vertical="center"/>
    </xf>
    <xf numFmtId="166" fontId="71" fillId="9" borderId="17" xfId="44724" applyNumberFormat="1" applyFont="1" applyFill="1" applyBorder="1" applyAlignment="1">
      <alignment horizontal="center" vertical="center" wrapText="1"/>
    </xf>
    <xf numFmtId="0" fontId="65" fillId="0" borderId="0" xfId="0" applyNumberFormat="1" applyFont="1" applyAlignment="1">
      <alignment horizontal="left" vertical="center"/>
    </xf>
    <xf numFmtId="172" fontId="65" fillId="0" borderId="0" xfId="0" applyFont="1" applyAlignment="1">
      <alignment horizontal="left" vertical="center"/>
    </xf>
    <xf numFmtId="0" fontId="65" fillId="0" borderId="17" xfId="0" applyNumberFormat="1" applyFont="1" applyBorder="1" applyAlignment="1">
      <alignment horizontal="left" vertical="center"/>
    </xf>
    <xf numFmtId="0" fontId="178" fillId="9" borderId="0" xfId="44722" applyFont="1" applyFill="1" applyBorder="1" applyAlignment="1">
      <alignment horizontal="left" vertical="center"/>
    </xf>
    <xf numFmtId="0" fontId="118" fillId="0" borderId="0" xfId="0" applyNumberFormat="1" applyFont="1" applyAlignment="1">
      <alignment horizontal="center" vertical="center"/>
    </xf>
    <xf numFmtId="172" fontId="93" fillId="9" borderId="0" xfId="0" applyFont="1" applyFill="1" applyAlignment="1">
      <alignment horizontal="left" vertical="center"/>
    </xf>
    <xf numFmtId="0" fontId="93" fillId="9" borderId="0" xfId="44720" applyFont="1" applyFill="1" applyAlignment="1">
      <alignment vertical="center"/>
    </xf>
    <xf numFmtId="172" fontId="65" fillId="0" borderId="17" xfId="0" applyFont="1" applyBorder="1" applyAlignment="1">
      <alignment horizontal="left" vertical="center"/>
    </xf>
    <xf numFmtId="0" fontId="145" fillId="0" borderId="17" xfId="0" applyNumberFormat="1" applyFont="1" applyBorder="1" applyAlignment="1">
      <alignment horizontal="left" vertical="center"/>
    </xf>
    <xf numFmtId="10" fontId="71" fillId="9" borderId="17" xfId="44717" applyNumberFormat="1" applyFont="1" applyFill="1" applyBorder="1" applyAlignment="1" applyProtection="1">
      <alignment horizontal="right" vertical="center" wrapText="1"/>
    </xf>
    <xf numFmtId="172" fontId="145" fillId="0" borderId="0" xfId="0" applyFont="1"/>
    <xf numFmtId="172" fontId="145" fillId="0" borderId="0" xfId="0" applyFont="1" applyAlignment="1">
      <alignment horizontal="center" vertical="center"/>
    </xf>
    <xf numFmtId="0" fontId="145" fillId="0" borderId="0" xfId="0" applyNumberFormat="1" applyFont="1" applyAlignment="1">
      <alignment horizontal="center" vertical="center"/>
    </xf>
    <xf numFmtId="0" fontId="179" fillId="0" borderId="0" xfId="0" applyNumberFormat="1" applyFont="1" applyAlignment="1">
      <alignment horizontal="center" vertical="center"/>
    </xf>
    <xf numFmtId="0" fontId="180" fillId="0" borderId="0" xfId="0" applyNumberFormat="1" applyFont="1"/>
    <xf numFmtId="172" fontId="145" fillId="0" borderId="0" xfId="0" applyFont="1" applyAlignment="1">
      <alignment horizontal="left" vertical="center"/>
    </xf>
    <xf numFmtId="10" fontId="65" fillId="2" borderId="17" xfId="0" applyNumberFormat="1" applyFont="1" applyFill="1" applyBorder="1" applyAlignment="1">
      <alignment horizontal="right" vertical="center"/>
    </xf>
    <xf numFmtId="10" fontId="65" fillId="2" borderId="17" xfId="44717" applyNumberFormat="1" applyFont="1" applyFill="1" applyBorder="1" applyAlignment="1" applyProtection="1">
      <alignment horizontal="right" vertical="center"/>
    </xf>
    <xf numFmtId="0" fontId="65" fillId="2" borderId="0" xfId="0" applyNumberFormat="1" applyFont="1" applyFill="1" applyAlignment="1">
      <alignment horizontal="right"/>
    </xf>
    <xf numFmtId="166" fontId="65" fillId="2" borderId="17" xfId="44739" applyFont="1" applyFill="1" applyBorder="1" applyAlignment="1">
      <alignment horizontal="right" vertical="center"/>
    </xf>
    <xf numFmtId="166" fontId="65" fillId="0" borderId="17" xfId="44716" applyFont="1" applyBorder="1" applyAlignment="1">
      <alignment horizontal="right" vertical="center"/>
    </xf>
    <xf numFmtId="166" fontId="65" fillId="0" borderId="0" xfId="44716" applyFont="1" applyAlignment="1">
      <alignment horizontal="right" vertical="center"/>
    </xf>
    <xf numFmtId="10" fontId="65" fillId="0" borderId="17" xfId="44717" applyNumberFormat="1" applyFont="1" applyBorder="1" applyAlignment="1">
      <alignment horizontal="right" vertical="center"/>
    </xf>
    <xf numFmtId="10" fontId="65" fillId="0" borderId="0" xfId="44717" applyNumberFormat="1" applyFont="1" applyAlignment="1">
      <alignment horizontal="right" vertical="center"/>
    </xf>
    <xf numFmtId="0" fontId="65" fillId="0" borderId="17" xfId="0" applyNumberFormat="1" applyFont="1" applyBorder="1" applyAlignment="1">
      <alignment horizontal="right" vertical="center"/>
    </xf>
    <xf numFmtId="172" fontId="65" fillId="0" borderId="17" xfId="0" applyFont="1" applyBorder="1" applyAlignment="1">
      <alignment horizontal="right" vertical="center"/>
    </xf>
    <xf numFmtId="166" fontId="65" fillId="0" borderId="17" xfId="44716" applyFont="1" applyFill="1" applyBorder="1" applyAlignment="1">
      <alignment horizontal="right" vertical="center"/>
    </xf>
    <xf numFmtId="0" fontId="65" fillId="2" borderId="17" xfId="0" applyNumberFormat="1" applyFont="1" applyFill="1" applyBorder="1" applyAlignment="1">
      <alignment horizontal="right" vertical="center"/>
    </xf>
    <xf numFmtId="166" fontId="65" fillId="9" borderId="17" xfId="44716" applyFont="1" applyFill="1" applyBorder="1" applyAlignment="1">
      <alignment horizontal="right" vertical="center"/>
    </xf>
    <xf numFmtId="172" fontId="145" fillId="0" borderId="17" xfId="0" applyFont="1" applyBorder="1" applyAlignment="1">
      <alignment horizontal="left" vertical="center"/>
    </xf>
    <xf numFmtId="166" fontId="145" fillId="0" borderId="17" xfId="44716" applyFont="1" applyBorder="1" applyAlignment="1">
      <alignment horizontal="right" vertical="center"/>
    </xf>
    <xf numFmtId="166" fontId="145" fillId="0" borderId="0" xfId="44716" applyFont="1" applyAlignment="1">
      <alignment horizontal="right" vertical="center"/>
    </xf>
    <xf numFmtId="0" fontId="0" fillId="0" borderId="0" xfId="44716" applyNumberFormat="1" applyFont="1" applyAlignment="1"/>
    <xf numFmtId="0" fontId="16" fillId="2" borderId="17" xfId="0" applyNumberFormat="1" applyFont="1" applyFill="1" applyBorder="1"/>
    <xf numFmtId="166" fontId="65" fillId="9" borderId="17" xfId="44739" applyFont="1" applyFill="1" applyBorder="1" applyAlignment="1">
      <alignment horizontal="right" vertical="center"/>
    </xf>
    <xf numFmtId="172" fontId="179" fillId="0" borderId="17" xfId="0" applyFont="1" applyBorder="1" applyAlignment="1">
      <alignment horizontal="left" vertical="center"/>
    </xf>
    <xf numFmtId="166" fontId="65" fillId="2" borderId="17" xfId="0" applyNumberFormat="1" applyFont="1" applyFill="1" applyBorder="1" applyAlignment="1">
      <alignment horizontal="right" vertical="center"/>
    </xf>
    <xf numFmtId="166" fontId="65" fillId="9" borderId="17" xfId="0" applyNumberFormat="1" applyFont="1" applyFill="1" applyBorder="1" applyAlignment="1">
      <alignment horizontal="right" vertical="center"/>
    </xf>
    <xf numFmtId="10" fontId="71" fillId="0" borderId="17" xfId="44717" applyNumberFormat="1" applyFont="1" applyBorder="1" applyAlignment="1" applyProtection="1">
      <alignment horizontal="right" vertical="center"/>
      <protection locked="0"/>
    </xf>
    <xf numFmtId="0" fontId="147" fillId="10" borderId="31" xfId="44724" applyFont="1" applyFill="1" applyBorder="1" applyAlignment="1">
      <alignment vertical="center"/>
    </xf>
    <xf numFmtId="10" fontId="71" fillId="0" borderId="17" xfId="44717" applyNumberFormat="1" applyFont="1" applyBorder="1" applyAlignment="1" applyProtection="1">
      <alignment horizontal="right" vertical="center"/>
    </xf>
    <xf numFmtId="164" fontId="0" fillId="0" borderId="0" xfId="44716" applyNumberFormat="1" applyFont="1" applyAlignment="1"/>
    <xf numFmtId="0" fontId="103" fillId="2" borderId="0" xfId="44724" applyFont="1" applyFill="1" applyAlignment="1">
      <alignment horizontal="left" vertical="center" indent="2"/>
    </xf>
    <xf numFmtId="10" fontId="45" fillId="0" borderId="17" xfId="44717" applyNumberFormat="1" applyFont="1" applyFill="1" applyBorder="1" applyProtection="1"/>
    <xf numFmtId="172" fontId="65" fillId="24" borderId="0" xfId="0" applyFont="1" applyFill="1" applyAlignment="1">
      <alignment horizontal="center" vertical="center" wrapText="1"/>
    </xf>
    <xf numFmtId="10" fontId="65" fillId="24" borderId="0" xfId="0" applyNumberFormat="1" applyFont="1" applyFill="1" applyAlignment="1">
      <alignment vertical="center"/>
    </xf>
    <xf numFmtId="0" fontId="48" fillId="14" borderId="0" xfId="44723" applyFont="1" applyFill="1" applyAlignment="1">
      <alignment horizontal="left" vertical="center"/>
    </xf>
    <xf numFmtId="0" fontId="71" fillId="2" borderId="0" xfId="0" applyNumberFormat="1" applyFont="1" applyFill="1" applyAlignment="1">
      <alignment horizontal="center" vertical="center"/>
    </xf>
    <xf numFmtId="10" fontId="65" fillId="0" borderId="17" xfId="0" applyNumberFormat="1" applyFont="1" applyBorder="1" applyAlignment="1">
      <alignment horizontal="right" vertical="center"/>
    </xf>
    <xf numFmtId="0" fontId="41" fillId="2" borderId="17" xfId="44718" applyFont="1" applyFill="1" applyBorder="1" applyAlignment="1">
      <alignment vertical="center"/>
    </xf>
    <xf numFmtId="0" fontId="40" fillId="2" borderId="0" xfId="0" applyNumberFormat="1" applyFont="1" applyFill="1" applyAlignment="1">
      <alignment vertical="center"/>
    </xf>
    <xf numFmtId="172" fontId="185" fillId="0" borderId="0" xfId="0" applyFont="1" applyAlignment="1">
      <alignment horizontal="left" vertical="center"/>
    </xf>
    <xf numFmtId="0" fontId="65" fillId="2" borderId="26" xfId="0" applyNumberFormat="1" applyFont="1" applyFill="1" applyBorder="1" applyAlignment="1">
      <alignment horizontal="right" vertical="center"/>
    </xf>
    <xf numFmtId="0" fontId="65" fillId="0" borderId="0" xfId="0" applyNumberFormat="1" applyFont="1" applyAlignment="1">
      <alignment horizontal="right" vertical="center"/>
    </xf>
    <xf numFmtId="172" fontId="89" fillId="0" borderId="0" xfId="0" applyFont="1" applyAlignment="1">
      <alignment vertical="center"/>
    </xf>
    <xf numFmtId="0" fontId="71" fillId="2" borderId="0" xfId="44724" applyFont="1" applyFill="1" applyAlignment="1">
      <alignment vertical="center" wrapText="1"/>
    </xf>
    <xf numFmtId="0" fontId="48" fillId="2" borderId="0" xfId="0" applyNumberFormat="1" applyFont="1" applyFill="1" applyAlignment="1">
      <alignment horizontal="center" vertical="center"/>
    </xf>
    <xf numFmtId="0" fontId="71" fillId="0" borderId="0" xfId="0" applyNumberFormat="1" applyFont="1" applyAlignment="1">
      <alignment horizontal="left" vertical="center"/>
    </xf>
    <xf numFmtId="166" fontId="71" fillId="2" borderId="0" xfId="44724" applyNumberFormat="1" applyFont="1" applyFill="1" applyAlignment="1">
      <alignment horizontal="left" vertical="center" wrapText="1"/>
    </xf>
    <xf numFmtId="166" fontId="181" fillId="25" borderId="52" xfId="44724" applyNumberFormat="1" applyFont="1" applyFill="1" applyBorder="1" applyAlignment="1">
      <alignment horizontal="left" vertical="center" indent="1"/>
    </xf>
    <xf numFmtId="0" fontId="181" fillId="25" borderId="52" xfId="0" applyNumberFormat="1" applyFont="1" applyFill="1" applyBorder="1" applyAlignment="1">
      <alignment horizontal="left" indent="1"/>
    </xf>
    <xf numFmtId="0" fontId="185" fillId="2" borderId="0" xfId="44724" applyFont="1" applyFill="1" applyAlignment="1">
      <alignment horizontal="center" vertical="center"/>
    </xf>
    <xf numFmtId="0" fontId="16" fillId="0" borderId="0" xfId="0" applyNumberFormat="1" applyFont="1" applyAlignment="1">
      <alignment horizontal="left" vertical="center" indent="5"/>
    </xf>
    <xf numFmtId="171" fontId="71" fillId="2" borderId="0" xfId="44717" applyNumberFormat="1" applyFont="1" applyFill="1" applyBorder="1" applyAlignment="1" applyProtection="1">
      <alignment horizontal="right" vertical="center" wrapText="1" indent="1"/>
    </xf>
    <xf numFmtId="0" fontId="93" fillId="2" borderId="0" xfId="44724" applyFont="1" applyFill="1" applyAlignment="1">
      <alignment horizontal="center" vertical="center"/>
    </xf>
    <xf numFmtId="0" fontId="178" fillId="0" borderId="0" xfId="0" applyNumberFormat="1" applyFont="1" applyAlignment="1">
      <alignment horizontal="left" vertical="center" indent="5"/>
    </xf>
    <xf numFmtId="0" fontId="118" fillId="2" borderId="0" xfId="44720" applyFont="1" applyFill="1">
      <alignment horizontal="left" vertical="center"/>
    </xf>
    <xf numFmtId="0" fontId="40" fillId="2" borderId="0" xfId="44723" applyFont="1" applyFill="1" applyAlignment="1">
      <alignment horizontal="center"/>
    </xf>
    <xf numFmtId="0" fontId="138" fillId="2" borderId="0" xfId="44720" applyFont="1" applyFill="1">
      <alignment horizontal="left" vertical="center"/>
    </xf>
    <xf numFmtId="0" fontId="33" fillId="2" borderId="0" xfId="44720" applyFont="1" applyFill="1">
      <alignment horizontal="left" vertical="center"/>
    </xf>
    <xf numFmtId="0" fontId="0" fillId="2" borderId="0" xfId="0" applyNumberFormat="1" applyFill="1"/>
    <xf numFmtId="0" fontId="48" fillId="2" borderId="0" xfId="44720" applyFont="1" applyFill="1" applyAlignment="1">
      <alignment horizontal="left" vertical="center" indent="3"/>
    </xf>
    <xf numFmtId="0" fontId="48" fillId="2" borderId="0" xfId="44722" applyFont="1" applyFill="1" applyBorder="1" applyAlignment="1">
      <alignment horizontal="left" vertical="center" indent="3"/>
    </xf>
    <xf numFmtId="0" fontId="45" fillId="2" borderId="0" xfId="0" applyNumberFormat="1" applyFont="1" applyFill="1" applyAlignment="1">
      <alignment horizontal="left" vertical="center"/>
    </xf>
    <xf numFmtId="0" fontId="183" fillId="2" borderId="0" xfId="44724" applyFont="1" applyFill="1" applyAlignment="1">
      <alignment horizontal="center" vertical="center"/>
    </xf>
    <xf numFmtId="0" fontId="103" fillId="2" borderId="0" xfId="44724" applyFont="1" applyFill="1" applyAlignment="1">
      <alignment horizontal="right" vertical="center" indent="1"/>
    </xf>
    <xf numFmtId="0" fontId="182" fillId="2" borderId="0" xfId="44724" applyFont="1" applyFill="1" applyAlignment="1">
      <alignment horizontal="center" vertical="center"/>
    </xf>
    <xf numFmtId="172" fontId="17" fillId="0" borderId="0" xfId="0" applyFont="1"/>
    <xf numFmtId="0" fontId="48" fillId="14" borderId="0" xfId="44718" applyFont="1" applyFill="1" applyAlignment="1">
      <alignment vertical="center"/>
    </xf>
    <xf numFmtId="0" fontId="48" fillId="14" borderId="0" xfId="44718" applyFont="1" applyFill="1" applyAlignment="1">
      <alignment horizontal="left" vertical="center"/>
    </xf>
    <xf numFmtId="0" fontId="48" fillId="18" borderId="0" xfId="44723" applyFont="1" applyFill="1" applyAlignment="1">
      <alignment horizontal="left" vertical="center"/>
    </xf>
    <xf numFmtId="0" fontId="48" fillId="18" borderId="0" xfId="44720" applyFont="1" applyFill="1" applyAlignment="1">
      <alignment vertical="center"/>
    </xf>
    <xf numFmtId="0" fontId="48" fillId="14" borderId="0" xfId="44720" applyFont="1" applyFill="1" applyAlignment="1">
      <alignment vertical="center"/>
    </xf>
    <xf numFmtId="0" fontId="48" fillId="8" borderId="0" xfId="44720" applyFont="1" applyFill="1" applyAlignment="1">
      <alignment vertical="center"/>
    </xf>
    <xf numFmtId="0" fontId="71" fillId="16" borderId="0" xfId="44720" applyFont="1" applyFill="1" applyAlignment="1">
      <alignment vertical="center"/>
    </xf>
    <xf numFmtId="0" fontId="93" fillId="9" borderId="0" xfId="44736" applyFont="1" applyFill="1" applyAlignment="1" applyProtection="1">
      <alignment horizontal="left" vertical="center"/>
      <protection hidden="1"/>
    </xf>
    <xf numFmtId="0" fontId="37" fillId="2" borderId="0" xfId="44720" applyFont="1" applyFill="1" applyAlignment="1">
      <alignment horizontal="centerContinuous" vertical="center"/>
    </xf>
    <xf numFmtId="0" fontId="27" fillId="2" borderId="0" xfId="44722" applyFont="1" applyFill="1" applyBorder="1" applyAlignment="1">
      <alignment horizontal="centerContinuous" vertical="center"/>
    </xf>
    <xf numFmtId="0" fontId="106" fillId="2" borderId="0" xfId="44723" applyFont="1" applyFill="1" applyAlignment="1">
      <alignment horizontal="centerContinuous" vertical="center"/>
    </xf>
    <xf numFmtId="0" fontId="117" fillId="2" borderId="0" xfId="0" applyNumberFormat="1" applyFont="1" applyFill="1" applyAlignment="1">
      <alignment horizontal="centerContinuous" vertical="center"/>
    </xf>
    <xf numFmtId="0" fontId="36" fillId="2" borderId="0" xfId="44723" applyFont="1" applyFill="1" applyAlignment="1">
      <alignment horizontal="centerContinuous" vertical="center"/>
    </xf>
    <xf numFmtId="0" fontId="75" fillId="16" borderId="0" xfId="44730" applyFont="1" applyFill="1" applyAlignment="1">
      <alignment horizontal="center" vertical="center"/>
    </xf>
    <xf numFmtId="0" fontId="45" fillId="0" borderId="17" xfId="16" applyNumberFormat="1" applyFont="1" applyBorder="1" applyAlignment="1">
      <alignment vertical="center"/>
    </xf>
    <xf numFmtId="0" fontId="71" fillId="9" borderId="17" xfId="44716" applyNumberFormat="1" applyFont="1" applyFill="1" applyBorder="1" applyAlignment="1" applyProtection="1">
      <alignment horizontal="center" vertical="center"/>
    </xf>
    <xf numFmtId="166" fontId="71" fillId="0" borderId="0" xfId="44716" applyFont="1" applyFill="1" applyBorder="1" applyAlignment="1" applyProtection="1">
      <alignment horizontal="left" vertical="center"/>
      <protection locked="0"/>
    </xf>
    <xf numFmtId="166" fontId="65" fillId="0" borderId="0" xfId="44716" applyFont="1" applyAlignment="1">
      <alignment horizontal="left" vertical="center"/>
    </xf>
    <xf numFmtId="172" fontId="118" fillId="0" borderId="0" xfId="0" applyFont="1" applyAlignment="1">
      <alignment horizontal="left" vertical="center" indent="1"/>
    </xf>
    <xf numFmtId="0" fontId="48" fillId="14" borderId="0" xfId="44736" applyFont="1" applyFill="1" applyAlignment="1" applyProtection="1">
      <alignment vertical="center"/>
      <protection hidden="1"/>
    </xf>
    <xf numFmtId="0" fontId="118" fillId="0" borderId="0" xfId="44737" applyFont="1" applyAlignment="1">
      <alignment horizontal="left" vertical="center"/>
    </xf>
    <xf numFmtId="172" fontId="83" fillId="0" borderId="54" xfId="0" applyFont="1" applyBorder="1" applyAlignment="1">
      <alignment vertical="center"/>
    </xf>
    <xf numFmtId="0" fontId="83" fillId="2" borderId="54" xfId="0" applyNumberFormat="1" applyFont="1" applyFill="1" applyBorder="1" applyAlignment="1" applyProtection="1">
      <alignment vertical="center"/>
      <protection hidden="1"/>
    </xf>
    <xf numFmtId="166" fontId="65" fillId="0" borderId="54" xfId="44716" applyFont="1" applyBorder="1" applyAlignment="1">
      <alignment horizontal="left" vertical="center"/>
    </xf>
    <xf numFmtId="172" fontId="186" fillId="10" borderId="54" xfId="0" applyFont="1" applyFill="1" applyBorder="1" applyAlignment="1">
      <alignment horizontal="left" vertical="center"/>
    </xf>
    <xf numFmtId="172" fontId="186" fillId="10" borderId="54" xfId="0" applyFont="1" applyFill="1" applyBorder="1" applyAlignment="1">
      <alignment horizontal="center" vertical="center"/>
    </xf>
    <xf numFmtId="0" fontId="151" fillId="0" borderId="0" xfId="44737" applyFont="1"/>
    <xf numFmtId="9" fontId="83" fillId="0" borderId="0" xfId="44717" applyFont="1"/>
    <xf numFmtId="0" fontId="80" fillId="0" borderId="0" xfId="0" applyNumberFormat="1" applyFont="1"/>
    <xf numFmtId="166" fontId="71" fillId="0" borderId="0" xfId="44716" applyFont="1" applyFill="1" applyBorder="1" applyAlignment="1" applyProtection="1">
      <alignment horizontal="left" vertical="center"/>
    </xf>
    <xf numFmtId="0" fontId="83" fillId="9" borderId="54" xfId="0" applyNumberFormat="1" applyFont="1" applyFill="1" applyBorder="1" applyAlignment="1">
      <alignment horizontal="center" vertical="center"/>
    </xf>
    <xf numFmtId="0" fontId="83" fillId="0" borderId="54" xfId="0" applyNumberFormat="1" applyFont="1" applyBorder="1" applyAlignment="1">
      <alignment vertical="center"/>
    </xf>
    <xf numFmtId="0" fontId="83" fillId="2" borderId="54" xfId="0" applyNumberFormat="1" applyFont="1" applyFill="1" applyBorder="1" applyAlignment="1">
      <alignment vertical="center"/>
    </xf>
    <xf numFmtId="0" fontId="83" fillId="0" borderId="54" xfId="0" applyNumberFormat="1" applyFont="1" applyBorder="1" applyAlignment="1" applyProtection="1">
      <alignment vertical="center"/>
      <protection hidden="1"/>
    </xf>
    <xf numFmtId="0" fontId="83" fillId="9" borderId="54" xfId="0" applyNumberFormat="1" applyFont="1" applyFill="1" applyBorder="1" applyAlignment="1">
      <alignment vertical="center"/>
    </xf>
    <xf numFmtId="0" fontId="64" fillId="9" borderId="54" xfId="44737" applyFont="1" applyFill="1" applyBorder="1"/>
    <xf numFmtId="172" fontId="65" fillId="9" borderId="54" xfId="0" applyFont="1" applyFill="1" applyBorder="1"/>
    <xf numFmtId="172" fontId="83" fillId="2" borderId="54" xfId="0" applyFont="1" applyFill="1" applyBorder="1" applyAlignment="1">
      <alignment vertical="center"/>
    </xf>
    <xf numFmtId="10" fontId="83" fillId="2" borderId="54" xfId="44717" applyNumberFormat="1" applyFont="1" applyFill="1" applyBorder="1" applyAlignment="1">
      <alignment horizontal="center" vertical="center"/>
    </xf>
    <xf numFmtId="0" fontId="83" fillId="2" borderId="54" xfId="0" applyNumberFormat="1" applyFont="1" applyFill="1" applyBorder="1" applyAlignment="1">
      <alignment horizontal="center" vertical="center"/>
    </xf>
    <xf numFmtId="2" fontId="83" fillId="2" borderId="54" xfId="0" applyNumberFormat="1" applyFont="1" applyFill="1" applyBorder="1" applyAlignment="1">
      <alignment vertical="center"/>
    </xf>
    <xf numFmtId="0" fontId="83" fillId="9" borderId="54" xfId="0" applyNumberFormat="1" applyFont="1" applyFill="1" applyBorder="1" applyAlignment="1" applyProtection="1">
      <alignment vertical="center"/>
      <protection hidden="1"/>
    </xf>
    <xf numFmtId="172" fontId="186" fillId="9" borderId="54" xfId="0" applyFont="1" applyFill="1" applyBorder="1" applyAlignment="1">
      <alignment horizontal="center" vertical="center"/>
    </xf>
    <xf numFmtId="0" fontId="5" fillId="0" borderId="0" xfId="44737" applyAlignment="1">
      <alignment vertical="center"/>
    </xf>
    <xf numFmtId="172" fontId="186" fillId="10" borderId="54" xfId="0" applyFont="1" applyFill="1" applyBorder="1" applyAlignment="1">
      <alignment vertical="center"/>
    </xf>
    <xf numFmtId="172" fontId="83" fillId="0" borderId="54" xfId="0" applyFont="1" applyBorder="1" applyAlignment="1">
      <alignment horizontal="left" vertical="center" indent="1"/>
    </xf>
    <xf numFmtId="172" fontId="0" fillId="0" borderId="0" xfId="0" applyAlignment="1">
      <alignment horizontal="left" indent="1"/>
    </xf>
    <xf numFmtId="172" fontId="186" fillId="0" borderId="54" xfId="0" applyFont="1" applyBorder="1" applyAlignment="1">
      <alignment horizontal="left" vertical="center" indent="1"/>
    </xf>
    <xf numFmtId="172" fontId="83" fillId="2" borderId="54" xfId="0" applyFont="1" applyFill="1" applyBorder="1" applyAlignment="1" applyProtection="1">
      <alignment vertical="center"/>
      <protection hidden="1"/>
    </xf>
    <xf numFmtId="2" fontId="83" fillId="0" borderId="54" xfId="44716" applyNumberFormat="1" applyFont="1" applyBorder="1" applyAlignment="1">
      <alignment vertical="center"/>
    </xf>
    <xf numFmtId="2" fontId="5" fillId="0" borderId="0" xfId="44737" applyNumberFormat="1"/>
    <xf numFmtId="2" fontId="0" fillId="0" borderId="0" xfId="0" applyNumberFormat="1"/>
    <xf numFmtId="2" fontId="186" fillId="0" borderId="54" xfId="44716" applyNumberFormat="1" applyFont="1" applyBorder="1" applyAlignment="1">
      <alignment vertical="center"/>
    </xf>
    <xf numFmtId="2" fontId="83" fillId="9" borderId="54" xfId="44716" applyNumberFormat="1" applyFont="1" applyFill="1" applyBorder="1" applyAlignment="1">
      <alignment vertical="center"/>
    </xf>
    <xf numFmtId="172" fontId="96" fillId="0" borderId="0" xfId="14" applyFont="1"/>
    <xf numFmtId="0" fontId="83" fillId="2" borderId="54" xfId="0" applyNumberFormat="1" applyFont="1" applyFill="1" applyBorder="1" applyAlignment="1" applyProtection="1">
      <alignment horizontal="center" vertical="center"/>
      <protection hidden="1"/>
    </xf>
    <xf numFmtId="0" fontId="82" fillId="26" borderId="0" xfId="44737" applyFont="1" applyFill="1" applyAlignment="1">
      <alignment horizontal="centerContinuous" vertical="center"/>
    </xf>
    <xf numFmtId="0" fontId="55" fillId="26" borderId="0" xfId="44737" applyFont="1" applyFill="1" applyAlignment="1">
      <alignment horizontal="centerContinuous"/>
    </xf>
    <xf numFmtId="0" fontId="65" fillId="0" borderId="54" xfId="0" applyNumberFormat="1" applyFont="1" applyBorder="1" applyAlignment="1">
      <alignment horizontal="center" vertical="center"/>
    </xf>
    <xf numFmtId="0" fontId="65" fillId="0" borderId="54" xfId="0" applyNumberFormat="1" applyFont="1" applyBorder="1" applyAlignment="1">
      <alignment vertical="center"/>
    </xf>
    <xf numFmtId="10" fontId="45" fillId="9" borderId="17" xfId="44717" applyNumberFormat="1" applyFont="1" applyFill="1" applyBorder="1" applyAlignment="1" applyProtection="1">
      <alignment vertical="center"/>
      <protection hidden="1"/>
    </xf>
    <xf numFmtId="0" fontId="107" fillId="10" borderId="54" xfId="0" applyNumberFormat="1" applyFont="1" applyFill="1" applyBorder="1" applyAlignment="1">
      <alignment horizontal="center" vertical="center" wrapText="1"/>
    </xf>
    <xf numFmtId="0" fontId="45" fillId="2" borderId="17" xfId="0" applyNumberFormat="1" applyFont="1" applyFill="1" applyBorder="1" applyAlignment="1" applyProtection="1">
      <alignment vertical="center"/>
      <protection locked="0"/>
    </xf>
    <xf numFmtId="10" fontId="45" fillId="2" borderId="17" xfId="44717" applyNumberFormat="1" applyFont="1" applyFill="1" applyBorder="1" applyAlignment="1" applyProtection="1">
      <alignment vertical="center"/>
      <protection locked="0"/>
    </xf>
    <xf numFmtId="0" fontId="65" fillId="2" borderId="54" xfId="0" applyNumberFormat="1" applyFont="1" applyFill="1" applyBorder="1" applyAlignment="1">
      <alignment vertical="center"/>
    </xf>
    <xf numFmtId="0" fontId="145" fillId="10" borderId="55" xfId="0" applyNumberFormat="1" applyFont="1" applyFill="1" applyBorder="1" applyAlignment="1">
      <alignment horizontal="left" vertical="center"/>
    </xf>
    <xf numFmtId="0" fontId="65" fillId="10" borderId="31" xfId="0" applyNumberFormat="1" applyFont="1" applyFill="1" applyBorder="1" applyAlignment="1">
      <alignment horizontal="left" vertical="center"/>
    </xf>
    <xf numFmtId="0" fontId="65" fillId="10" borderId="56" xfId="0" applyNumberFormat="1" applyFont="1" applyFill="1" applyBorder="1" applyAlignment="1">
      <alignment horizontal="left" vertical="center"/>
    </xf>
    <xf numFmtId="0" fontId="0" fillId="0" borderId="0" xfId="0" applyNumberFormat="1" applyAlignment="1">
      <alignment horizontal="left" vertical="center" indent="1"/>
    </xf>
    <xf numFmtId="166" fontId="65" fillId="0" borderId="17" xfId="0" applyNumberFormat="1" applyFont="1" applyBorder="1" applyAlignment="1">
      <alignment horizontal="left" vertical="center"/>
    </xf>
    <xf numFmtId="172" fontId="65" fillId="0" borderId="17" xfId="0" applyFont="1" applyBorder="1" applyAlignment="1">
      <alignment horizontal="center" vertical="center"/>
    </xf>
    <xf numFmtId="0" fontId="103" fillId="2" borderId="0" xfId="0" applyNumberFormat="1" applyFont="1" applyFill="1" applyAlignment="1">
      <alignment horizontal="left" vertical="center"/>
    </xf>
    <xf numFmtId="0" fontId="71" fillId="0" borderId="17" xfId="0" applyNumberFormat="1" applyFont="1" applyBorder="1" applyAlignment="1" applyProtection="1">
      <alignment vertical="center"/>
      <protection locked="0"/>
    </xf>
    <xf numFmtId="0" fontId="65" fillId="0" borderId="0" xfId="0" applyNumberFormat="1" applyFont="1" applyAlignment="1">
      <alignment horizontal="center" vertical="center"/>
    </xf>
    <xf numFmtId="0" fontId="16" fillId="0" borderId="0" xfId="0" applyNumberFormat="1" applyFont="1" applyAlignment="1">
      <alignment vertical="center"/>
    </xf>
    <xf numFmtId="172" fontId="65" fillId="0" borderId="54" xfId="0" applyFont="1" applyBorder="1" applyAlignment="1">
      <alignment vertical="center"/>
    </xf>
    <xf numFmtId="0" fontId="65" fillId="2" borderId="54" xfId="0" applyNumberFormat="1" applyFont="1" applyFill="1" applyBorder="1" applyAlignment="1">
      <alignment horizontal="center" vertical="center"/>
    </xf>
    <xf numFmtId="0" fontId="71" fillId="2" borderId="17" xfId="44724" applyFont="1" applyFill="1" applyBorder="1" applyAlignment="1" applyProtection="1">
      <alignment vertical="center" wrapText="1"/>
      <protection locked="0"/>
    </xf>
    <xf numFmtId="0" fontId="89" fillId="2" borderId="0" xfId="44724" applyFont="1" applyFill="1" applyAlignment="1">
      <alignment horizontal="left" vertical="center" indent="5"/>
    </xf>
    <xf numFmtId="0" fontId="89" fillId="2" borderId="0" xfId="44724" applyFont="1" applyFill="1" applyAlignment="1">
      <alignment horizontal="left" vertical="center" indent="1"/>
    </xf>
    <xf numFmtId="0" fontId="112" fillId="2" borderId="0" xfId="44724" applyFont="1" applyFill="1" applyAlignment="1">
      <alignment horizontal="left" vertical="center" indent="5"/>
    </xf>
    <xf numFmtId="166" fontId="65" fillId="0" borderId="0" xfId="44739" applyFont="1" applyAlignment="1">
      <alignment horizontal="right" vertical="center"/>
    </xf>
    <xf numFmtId="0" fontId="71" fillId="2" borderId="17" xfId="0" applyNumberFormat="1" applyFont="1" applyFill="1" applyBorder="1" applyAlignment="1" applyProtection="1">
      <alignment horizontal="center" vertical="center"/>
      <protection locked="0"/>
    </xf>
    <xf numFmtId="0" fontId="99" fillId="0" borderId="0" xfId="44748" applyFont="1"/>
    <xf numFmtId="0" fontId="1" fillId="0" borderId="0" xfId="44748"/>
    <xf numFmtId="0" fontId="45" fillId="9" borderId="17" xfId="44748" applyFont="1" applyFill="1" applyBorder="1" applyAlignment="1">
      <alignment vertical="center"/>
    </xf>
    <xf numFmtId="0" fontId="45" fillId="9" borderId="17" xfId="44749" applyFont="1" applyFill="1" applyBorder="1" applyAlignment="1">
      <alignment horizontal="center" vertical="center"/>
    </xf>
    <xf numFmtId="14" fontId="45" fillId="9" borderId="17" xfId="44749" applyNumberFormat="1" applyFont="1" applyFill="1" applyBorder="1" applyAlignment="1">
      <alignment horizontal="center" vertical="center"/>
    </xf>
    <xf numFmtId="0" fontId="55" fillId="2" borderId="0" xfId="44748" applyFont="1" applyFill="1" applyAlignment="1">
      <alignment horizontal="center" vertical="center"/>
    </xf>
    <xf numFmtId="0" fontId="1" fillId="0" borderId="0" xfId="44750"/>
    <xf numFmtId="0" fontId="103" fillId="0" borderId="0" xfId="44750" applyFont="1" applyAlignment="1">
      <alignment vertical="center"/>
    </xf>
    <xf numFmtId="0" fontId="99" fillId="0" borderId="0" xfId="44750" applyFont="1"/>
    <xf numFmtId="0" fontId="103" fillId="0" borderId="0" xfId="44750" applyFont="1" applyAlignment="1">
      <alignment horizontal="left" vertical="center" indent="1"/>
    </xf>
    <xf numFmtId="0" fontId="103" fillId="0" borderId="0" xfId="44750" applyFont="1"/>
    <xf numFmtId="0" fontId="187" fillId="0" borderId="0" xfId="44750" applyFont="1" applyAlignment="1">
      <alignment horizontal="left" vertical="center" indent="1"/>
    </xf>
    <xf numFmtId="0" fontId="186" fillId="10" borderId="54" xfId="44750" applyFont="1" applyFill="1" applyBorder="1" applyAlignment="1">
      <alignment horizontal="left" vertical="center"/>
    </xf>
    <xf numFmtId="14" fontId="83" fillId="0" borderId="54" xfId="44750" applyNumberFormat="1" applyFont="1" applyBorder="1" applyAlignment="1">
      <alignment vertical="center"/>
    </xf>
    <xf numFmtId="0" fontId="83" fillId="0" borderId="54" xfId="44750" applyFont="1" applyBorder="1" applyAlignment="1">
      <alignment vertical="center"/>
    </xf>
    <xf numFmtId="0" fontId="83" fillId="0" borderId="0" xfId="44750" applyFont="1"/>
    <xf numFmtId="14" fontId="83" fillId="25" borderId="0" xfId="44750" applyNumberFormat="1" applyFont="1" applyFill="1"/>
    <xf numFmtId="14" fontId="83" fillId="2" borderId="54" xfId="44750" applyNumberFormat="1" applyFont="1" applyFill="1" applyBorder="1" applyAlignment="1">
      <alignment vertical="center"/>
    </xf>
    <xf numFmtId="14" fontId="83" fillId="24" borderId="0" xfId="44750" applyNumberFormat="1" applyFont="1" applyFill="1"/>
    <xf numFmtId="166" fontId="83" fillId="0" borderId="54" xfId="44752" applyFont="1" applyBorder="1" applyAlignment="1">
      <alignment vertical="center"/>
    </xf>
    <xf numFmtId="14" fontId="83" fillId="0" borderId="0" xfId="44750" applyNumberFormat="1" applyFont="1"/>
    <xf numFmtId="0" fontId="99" fillId="0" borderId="0" xfId="44750" applyFont="1" applyAlignment="1">
      <alignment horizontal="left" vertical="center" indent="1"/>
    </xf>
    <xf numFmtId="0" fontId="64" fillId="0" borderId="0" xfId="44750" applyFont="1"/>
    <xf numFmtId="0" fontId="186" fillId="10" borderId="54" xfId="44750" applyFont="1" applyFill="1" applyBorder="1" applyAlignment="1">
      <alignment horizontal="center" vertical="center"/>
    </xf>
    <xf numFmtId="166" fontId="83" fillId="0" borderId="54" xfId="44750" applyNumberFormat="1" applyFont="1" applyBorder="1" applyAlignment="1">
      <alignment vertical="center"/>
    </xf>
    <xf numFmtId="166" fontId="83" fillId="0" borderId="54" xfId="44739" applyFont="1" applyBorder="1" applyAlignment="1">
      <alignment vertical="center"/>
    </xf>
    <xf numFmtId="0" fontId="1" fillId="19" borderId="32" xfId="44750" applyFill="1" applyBorder="1"/>
    <xf numFmtId="0" fontId="115" fillId="19" borderId="32" xfId="44750" applyFont="1" applyFill="1" applyBorder="1" applyAlignment="1">
      <alignment vertical="center" wrapText="1"/>
    </xf>
    <xf numFmtId="0" fontId="115" fillId="19" borderId="0" xfId="44750" applyFont="1" applyFill="1" applyAlignment="1">
      <alignment vertical="center" wrapText="1"/>
    </xf>
    <xf numFmtId="0" fontId="115" fillId="19" borderId="33" xfId="44750" applyFont="1" applyFill="1" applyBorder="1" applyAlignment="1">
      <alignment vertical="center" wrapText="1"/>
    </xf>
    <xf numFmtId="165" fontId="1" fillId="0" borderId="0" xfId="44750" applyNumberFormat="1"/>
    <xf numFmtId="166" fontId="83" fillId="0" borderId="0" xfId="44750" applyNumberFormat="1" applyFont="1"/>
    <xf numFmtId="0" fontId="54" fillId="0" borderId="0" xfId="0" applyNumberFormat="1" applyFont="1" applyAlignment="1">
      <alignment vertical="center"/>
    </xf>
    <xf numFmtId="0" fontId="0" fillId="0" borderId="0" xfId="0" applyNumberFormat="1" applyAlignment="1">
      <alignment horizontal="right" vertical="center"/>
    </xf>
    <xf numFmtId="0" fontId="71" fillId="2" borderId="17" xfId="44750" applyFont="1" applyFill="1" applyBorder="1" applyAlignment="1" applyProtection="1">
      <alignment vertical="center"/>
      <protection locked="0"/>
    </xf>
    <xf numFmtId="0" fontId="83" fillId="10" borderId="54" xfId="44750" applyFont="1" applyFill="1" applyBorder="1" applyAlignment="1">
      <alignment horizontal="left" vertical="center"/>
    </xf>
    <xf numFmtId="0" fontId="71" fillId="2" borderId="17" xfId="44750" applyFont="1" applyFill="1" applyBorder="1" applyAlignment="1" applyProtection="1">
      <alignment horizontal="center" vertical="center"/>
      <protection locked="0"/>
    </xf>
    <xf numFmtId="14" fontId="71" fillId="2" borderId="17" xfId="44750" applyNumberFormat="1" applyFont="1" applyFill="1" applyBorder="1" applyAlignment="1" applyProtection="1">
      <alignment vertical="center"/>
      <protection locked="0"/>
    </xf>
    <xf numFmtId="14" fontId="71" fillId="9" borderId="17" xfId="44750" applyNumberFormat="1" applyFont="1" applyFill="1" applyBorder="1" applyAlignment="1">
      <alignment vertical="center"/>
    </xf>
    <xf numFmtId="0" fontId="188" fillId="0" borderId="0" xfId="0" applyNumberFormat="1" applyFont="1" applyAlignment="1">
      <alignment horizontal="right" vertical="center"/>
    </xf>
    <xf numFmtId="172" fontId="16" fillId="0" borderId="0" xfId="0" applyFont="1" applyAlignment="1">
      <alignment horizontal="center" vertical="center"/>
    </xf>
    <xf numFmtId="0" fontId="103" fillId="0" borderId="0" xfId="0" applyNumberFormat="1" applyFont="1" applyAlignment="1">
      <alignment horizontal="center" vertical="center"/>
    </xf>
    <xf numFmtId="0" fontId="65" fillId="2" borderId="17" xfId="0" applyNumberFormat="1" applyFont="1" applyFill="1" applyBorder="1" applyAlignment="1">
      <alignment horizontal="center" vertical="center"/>
    </xf>
    <xf numFmtId="172" fontId="0" fillId="0" borderId="0" xfId="0" applyAlignment="1">
      <alignment horizontal="center"/>
    </xf>
    <xf numFmtId="0" fontId="65" fillId="2" borderId="0" xfId="0" applyNumberFormat="1" applyFont="1" applyFill="1" applyAlignment="1">
      <alignment horizontal="center"/>
    </xf>
    <xf numFmtId="10" fontId="71" fillId="2" borderId="17" xfId="44751" applyNumberFormat="1" applyFont="1" applyFill="1" applyBorder="1" applyAlignment="1" applyProtection="1">
      <alignment horizontal="right" vertical="center"/>
      <protection locked="0"/>
    </xf>
    <xf numFmtId="0" fontId="71" fillId="2" borderId="17" xfId="44750" applyFont="1" applyFill="1" applyBorder="1" applyAlignment="1" applyProtection="1">
      <alignment horizontal="right" vertical="center"/>
      <protection locked="0"/>
    </xf>
    <xf numFmtId="10" fontId="1" fillId="0" borderId="0" xfId="44750" applyNumberFormat="1"/>
    <xf numFmtId="14" fontId="71" fillId="2" borderId="17" xfId="44750" applyNumberFormat="1" applyFont="1" applyFill="1" applyBorder="1" applyAlignment="1" applyProtection="1">
      <alignment horizontal="right" vertical="center"/>
      <protection locked="0"/>
    </xf>
    <xf numFmtId="165" fontId="99" fillId="0" borderId="0" xfId="44750" applyNumberFormat="1" applyFont="1"/>
    <xf numFmtId="166" fontId="99" fillId="0" borderId="0" xfId="44750" applyNumberFormat="1" applyFont="1"/>
    <xf numFmtId="0" fontId="103" fillId="0" borderId="0" xfId="44735" applyFont="1" applyAlignment="1">
      <alignment horizontal="left" vertical="top"/>
    </xf>
    <xf numFmtId="0" fontId="83" fillId="2" borderId="54" xfId="44750" applyFont="1" applyFill="1" applyBorder="1" applyAlignment="1">
      <alignment vertical="center"/>
    </xf>
    <xf numFmtId="0" fontId="147" fillId="0" borderId="0" xfId="44750" applyFont="1" applyAlignment="1">
      <alignment horizontal="center" vertical="center"/>
    </xf>
    <xf numFmtId="181" fontId="71" fillId="2" borderId="17" xfId="44722" applyNumberFormat="1" applyFont="1" applyFill="1" applyBorder="1" applyAlignment="1" applyProtection="1">
      <alignment horizontal="left" vertical="center" shrinkToFit="1"/>
      <protection locked="0"/>
    </xf>
    <xf numFmtId="181" fontId="71" fillId="0" borderId="17" xfId="44722" applyNumberFormat="1" applyFont="1" applyBorder="1" applyAlignment="1" applyProtection="1">
      <alignment horizontal="left" vertical="center" shrinkToFit="1"/>
      <protection locked="0"/>
    </xf>
    <xf numFmtId="181" fontId="71" fillId="9" borderId="17" xfId="44722" applyNumberFormat="1" applyFont="1" applyFill="1" applyBorder="1" applyAlignment="1" applyProtection="1">
      <alignment vertical="center" shrinkToFit="1"/>
      <protection hidden="1"/>
    </xf>
    <xf numFmtId="181" fontId="71" fillId="23" borderId="17" xfId="44718" applyNumberFormat="1" applyFont="1" applyFill="1" applyBorder="1" applyAlignment="1" applyProtection="1">
      <alignment horizontal="left" vertical="center" shrinkToFit="1"/>
      <protection hidden="1"/>
    </xf>
    <xf numFmtId="181" fontId="71" fillId="9" borderId="17" xfId="44717" applyNumberFormat="1" applyFont="1" applyFill="1" applyBorder="1" applyAlignment="1" applyProtection="1">
      <alignment horizontal="left" vertical="center" shrinkToFit="1"/>
      <protection hidden="1"/>
    </xf>
    <xf numFmtId="181" fontId="71" fillId="9" borderId="17" xfId="44722" applyNumberFormat="1" applyFont="1" applyFill="1" applyBorder="1" applyAlignment="1">
      <alignment horizontal="left" vertical="center" shrinkToFit="1"/>
    </xf>
    <xf numFmtId="166" fontId="71" fillId="0" borderId="17" xfId="44722" applyNumberFormat="1" applyFont="1" applyBorder="1" applyAlignment="1" applyProtection="1">
      <alignment vertical="center" shrinkToFit="1"/>
      <protection locked="0"/>
    </xf>
    <xf numFmtId="181" fontId="71" fillId="0" borderId="17" xfId="44722" applyNumberFormat="1" applyFont="1" applyBorder="1" applyAlignment="1" applyProtection="1">
      <alignment vertical="center" shrinkToFit="1"/>
      <protection locked="0"/>
    </xf>
    <xf numFmtId="181" fontId="71" fillId="9" borderId="17" xfId="44716" applyNumberFormat="1" applyFont="1" applyFill="1" applyBorder="1" applyAlignment="1" applyProtection="1">
      <alignment vertical="center" shrinkToFit="1"/>
    </xf>
    <xf numFmtId="181" fontId="71" fillId="9" borderId="17" xfId="44717" applyNumberFormat="1" applyFont="1" applyFill="1" applyBorder="1" applyAlignment="1" applyProtection="1">
      <alignment vertical="center" shrinkToFit="1"/>
    </xf>
    <xf numFmtId="0" fontId="16" fillId="9" borderId="17" xfId="44723" applyFill="1" applyBorder="1" applyAlignment="1">
      <alignment horizontal="center" vertical="center" shrinkToFit="1"/>
    </xf>
    <xf numFmtId="173" fontId="16" fillId="9" borderId="17" xfId="44716" applyNumberFormat="1" applyFont="1" applyFill="1" applyBorder="1" applyAlignment="1" applyProtection="1">
      <alignment horizontal="left" vertical="center" shrinkToFit="1"/>
    </xf>
    <xf numFmtId="0" fontId="71" fillId="2" borderId="17" xfId="44750" applyFont="1" applyFill="1" applyBorder="1" applyAlignment="1" applyProtection="1">
      <alignment vertical="center" shrinkToFit="1"/>
      <protection locked="0"/>
    </xf>
    <xf numFmtId="166" fontId="71" fillId="2" borderId="17" xfId="44752" applyFont="1" applyFill="1" applyBorder="1" applyAlignment="1" applyProtection="1">
      <alignment horizontal="left" vertical="center" shrinkToFit="1"/>
      <protection locked="0"/>
    </xf>
    <xf numFmtId="166" fontId="71" fillId="2" borderId="17" xfId="44752" applyFont="1" applyFill="1" applyBorder="1" applyAlignment="1" applyProtection="1">
      <alignment vertical="center" shrinkToFit="1"/>
      <protection locked="0"/>
    </xf>
    <xf numFmtId="166" fontId="71" fillId="9" borderId="17" xfId="44752" applyFont="1" applyFill="1" applyBorder="1" applyAlignment="1">
      <alignment vertical="center" shrinkToFit="1"/>
    </xf>
    <xf numFmtId="166" fontId="71" fillId="0" borderId="17" xfId="44722" applyNumberFormat="1" applyFont="1" applyBorder="1" applyAlignment="1" applyProtection="1">
      <alignment horizontal="left" vertical="center" indent="1" shrinkToFit="1"/>
      <protection locked="0"/>
    </xf>
    <xf numFmtId="166" fontId="71" fillId="9" borderId="17" xfId="44722" applyNumberFormat="1" applyFont="1" applyFill="1" applyBorder="1" applyAlignment="1">
      <alignment horizontal="left" vertical="center" indent="1" shrinkToFit="1"/>
    </xf>
    <xf numFmtId="49" fontId="81" fillId="2" borderId="17" xfId="0" applyNumberFormat="1" applyFont="1" applyFill="1" applyBorder="1" applyAlignment="1" applyProtection="1">
      <alignment horizontal="left" vertical="center" shrinkToFit="1"/>
      <protection locked="0"/>
    </xf>
    <xf numFmtId="0" fontId="93" fillId="2" borderId="0" xfId="44720" applyFont="1" applyFill="1" applyAlignment="1">
      <alignment horizontal="centerContinuous" vertical="center" shrinkToFit="1"/>
    </xf>
    <xf numFmtId="0" fontId="71" fillId="2" borderId="17" xfId="44737" applyFont="1" applyFill="1" applyBorder="1" applyAlignment="1" applyProtection="1">
      <alignment horizontal="center" vertical="center" shrinkToFit="1"/>
      <protection locked="0"/>
    </xf>
    <xf numFmtId="0" fontId="45" fillId="2" borderId="17" xfId="44737" applyFont="1" applyFill="1" applyBorder="1" applyAlignment="1" applyProtection="1">
      <alignment horizontal="center" vertical="center" shrinkToFit="1"/>
      <protection locked="0"/>
    </xf>
    <xf numFmtId="166" fontId="71" fillId="0" borderId="17" xfId="44716" applyFont="1" applyFill="1" applyBorder="1" applyAlignment="1" applyProtection="1">
      <alignment horizontal="left" vertical="center" shrinkToFit="1"/>
      <protection locked="0"/>
    </xf>
    <xf numFmtId="181" fontId="71" fillId="9" borderId="17" xfId="44716" applyNumberFormat="1" applyFont="1" applyFill="1" applyBorder="1" applyAlignment="1">
      <alignment horizontal="left" vertical="center" shrinkToFit="1"/>
    </xf>
    <xf numFmtId="181" fontId="71" fillId="9" borderId="30" xfId="44716" applyNumberFormat="1" applyFont="1" applyFill="1" applyBorder="1" applyAlignment="1">
      <alignment horizontal="left" vertical="center" shrinkToFit="1"/>
    </xf>
    <xf numFmtId="181" fontId="71" fillId="9" borderId="17" xfId="44739" applyNumberFormat="1" applyFont="1" applyFill="1" applyBorder="1" applyAlignment="1">
      <alignment horizontal="left" vertical="center" shrinkToFit="1"/>
    </xf>
    <xf numFmtId="166" fontId="71" fillId="9" borderId="17" xfId="44716" applyFont="1" applyFill="1" applyBorder="1" applyAlignment="1" applyProtection="1">
      <alignment horizontal="left" vertical="center" shrinkToFit="1"/>
    </xf>
    <xf numFmtId="0" fontId="71" fillId="9" borderId="17" xfId="0" applyNumberFormat="1" applyFont="1" applyFill="1" applyBorder="1" applyAlignment="1">
      <alignment horizontal="left" vertical="center" shrinkToFit="1"/>
    </xf>
    <xf numFmtId="49" fontId="71" fillId="9" borderId="17" xfId="0" applyNumberFormat="1" applyFont="1" applyFill="1" applyBorder="1" applyAlignment="1">
      <alignment horizontal="left" vertical="center" shrinkToFit="1"/>
    </xf>
    <xf numFmtId="166" fontId="71" fillId="9" borderId="17" xfId="0" applyNumberFormat="1" applyFont="1" applyFill="1" applyBorder="1" applyAlignment="1">
      <alignment horizontal="left" vertical="center" shrinkToFit="1"/>
    </xf>
    <xf numFmtId="0" fontId="71" fillId="0" borderId="17" xfId="0" applyNumberFormat="1" applyFont="1" applyBorder="1" applyAlignment="1" applyProtection="1">
      <alignment vertical="center" shrinkToFit="1"/>
      <protection locked="0"/>
    </xf>
    <xf numFmtId="0" fontId="103" fillId="2" borderId="0" xfId="44724" applyFont="1" applyFill="1" applyAlignment="1">
      <alignment horizontal="center" vertical="center" shrinkToFit="1"/>
    </xf>
    <xf numFmtId="166" fontId="71" fillId="2" borderId="17" xfId="0" applyNumberFormat="1" applyFont="1" applyFill="1" applyBorder="1" applyAlignment="1" applyProtection="1">
      <alignment vertical="center" shrinkToFit="1"/>
      <protection locked="0"/>
    </xf>
    <xf numFmtId="172" fontId="0" fillId="0" borderId="0" xfId="0" applyAlignment="1">
      <alignment shrinkToFit="1"/>
    </xf>
    <xf numFmtId="166" fontId="71" fillId="9" borderId="17" xfId="0" applyNumberFormat="1" applyFont="1" applyFill="1" applyBorder="1" applyAlignment="1">
      <alignment vertical="center" shrinkToFit="1"/>
    </xf>
    <xf numFmtId="0" fontId="71" fillId="0" borderId="0" xfId="0" applyNumberFormat="1" applyFont="1" applyAlignment="1">
      <alignment shrinkToFit="1"/>
    </xf>
    <xf numFmtId="0" fontId="0" fillId="0" borderId="0" xfId="0" applyNumberFormat="1" applyAlignment="1">
      <alignment shrinkToFit="1"/>
    </xf>
    <xf numFmtId="166" fontId="71" fillId="9" borderId="30" xfId="0" applyNumberFormat="1" applyFont="1" applyFill="1" applyBorder="1" applyAlignment="1">
      <alignment vertical="center" shrinkToFit="1"/>
    </xf>
    <xf numFmtId="166" fontId="71" fillId="9" borderId="17" xfId="44739" applyFont="1" applyFill="1" applyBorder="1" applyAlignment="1">
      <alignment vertical="center" shrinkToFit="1"/>
    </xf>
    <xf numFmtId="179" fontId="36" fillId="9" borderId="17" xfId="0" applyNumberFormat="1" applyFont="1" applyFill="1" applyBorder="1" applyAlignment="1">
      <alignment horizontal="left" vertical="center" shrinkToFit="1"/>
    </xf>
    <xf numFmtId="166" fontId="71" fillId="2" borderId="17" xfId="44724" applyNumberFormat="1" applyFont="1" applyFill="1" applyBorder="1" applyAlignment="1" applyProtection="1">
      <alignment horizontal="left" vertical="center" shrinkToFit="1"/>
      <protection locked="0"/>
    </xf>
    <xf numFmtId="0" fontId="71" fillId="0" borderId="17" xfId="0" applyNumberFormat="1" applyFont="1" applyBorder="1" applyAlignment="1" applyProtection="1">
      <alignment horizontal="left" vertical="center" shrinkToFit="1"/>
      <protection locked="0"/>
    </xf>
    <xf numFmtId="0" fontId="71" fillId="2" borderId="17" xfId="44724" applyFont="1" applyFill="1" applyBorder="1" applyAlignment="1" applyProtection="1">
      <alignment horizontal="left" vertical="center" shrinkToFit="1"/>
      <protection locked="0"/>
    </xf>
    <xf numFmtId="166" fontId="71" fillId="9" borderId="17" xfId="44724" applyNumberFormat="1" applyFont="1" applyFill="1" applyBorder="1" applyAlignment="1">
      <alignment horizontal="left" vertical="center" shrinkToFit="1"/>
    </xf>
    <xf numFmtId="49" fontId="45" fillId="2" borderId="17" xfId="0" applyNumberFormat="1" applyFont="1" applyFill="1" applyBorder="1" applyAlignment="1" applyProtection="1">
      <alignment vertical="center" shrinkToFit="1"/>
      <protection locked="0"/>
    </xf>
    <xf numFmtId="166" fontId="45" fillId="2" borderId="17" xfId="0" applyNumberFormat="1" applyFont="1" applyFill="1" applyBorder="1" applyAlignment="1" applyProtection="1">
      <alignment vertical="center" shrinkToFit="1"/>
      <protection locked="0"/>
    </xf>
    <xf numFmtId="0" fontId="45" fillId="2" borderId="17" xfId="0" applyNumberFormat="1" applyFont="1" applyFill="1" applyBorder="1" applyAlignment="1" applyProtection="1">
      <alignment vertical="center" shrinkToFit="1"/>
      <protection locked="0"/>
    </xf>
    <xf numFmtId="166" fontId="45" fillId="9" borderId="17" xfId="0" applyNumberFormat="1" applyFont="1" applyFill="1" applyBorder="1" applyAlignment="1" applyProtection="1">
      <alignment vertical="center" shrinkToFit="1"/>
      <protection hidden="1"/>
    </xf>
    <xf numFmtId="166" fontId="45" fillId="9" borderId="17" xfId="0" applyNumberFormat="1" applyFont="1" applyFill="1" applyBorder="1" applyAlignment="1">
      <alignment vertical="center" shrinkToFit="1"/>
    </xf>
    <xf numFmtId="49" fontId="45" fillId="0" borderId="17" xfId="0" applyNumberFormat="1" applyFont="1" applyBorder="1" applyAlignment="1" applyProtection="1">
      <alignment horizontal="left" vertical="center" shrinkToFit="1"/>
      <protection locked="0"/>
    </xf>
    <xf numFmtId="166" fontId="45" fillId="2" borderId="17" xfId="44717" applyNumberFormat="1" applyFont="1" applyFill="1" applyBorder="1" applyAlignment="1" applyProtection="1">
      <alignment horizontal="left" vertical="center" shrinkToFit="1"/>
      <protection locked="0"/>
    </xf>
    <xf numFmtId="166" fontId="45" fillId="0" borderId="17" xfId="44717" applyNumberFormat="1" applyFont="1" applyBorder="1" applyAlignment="1" applyProtection="1">
      <alignment horizontal="left" vertical="center" shrinkToFit="1"/>
      <protection locked="0"/>
    </xf>
    <xf numFmtId="166" fontId="45" fillId="0" borderId="17" xfId="0" applyNumberFormat="1" applyFont="1" applyBorder="1" applyAlignment="1" applyProtection="1">
      <alignment horizontal="left" vertical="center" shrinkToFit="1"/>
      <protection locked="0"/>
    </xf>
    <xf numFmtId="181" fontId="45" fillId="9" borderId="17" xfId="44717" applyNumberFormat="1" applyFont="1" applyFill="1" applyBorder="1" applyAlignment="1" applyProtection="1">
      <alignment horizontal="left" vertical="center" shrinkToFit="1"/>
    </xf>
    <xf numFmtId="181" fontId="45" fillId="9" borderId="17" xfId="0" applyNumberFormat="1" applyFont="1" applyFill="1" applyBorder="1" applyAlignment="1">
      <alignment horizontal="left" vertical="center" shrinkToFit="1"/>
    </xf>
    <xf numFmtId="166" fontId="60" fillId="9" borderId="17" xfId="0" applyNumberFormat="1" applyFont="1" applyFill="1" applyBorder="1" applyAlignment="1">
      <alignment horizontal="left" vertical="center" shrinkToFit="1"/>
    </xf>
    <xf numFmtId="181" fontId="45" fillId="0" borderId="17" xfId="0" applyNumberFormat="1" applyFont="1" applyBorder="1" applyAlignment="1" applyProtection="1">
      <alignment horizontal="left" vertical="center" shrinkToFit="1"/>
      <protection locked="0"/>
    </xf>
    <xf numFmtId="181" fontId="45" fillId="2" borderId="17" xfId="0" applyNumberFormat="1" applyFont="1" applyFill="1" applyBorder="1" applyAlignment="1" applyProtection="1">
      <alignment horizontal="left" vertical="center" shrinkToFit="1"/>
      <protection locked="0"/>
    </xf>
    <xf numFmtId="181" fontId="45" fillId="2" borderId="17" xfId="44717" applyNumberFormat="1" applyFont="1" applyFill="1" applyBorder="1" applyAlignment="1" applyProtection="1">
      <alignment horizontal="left" vertical="center" shrinkToFit="1"/>
      <protection locked="0"/>
    </xf>
    <xf numFmtId="0" fontId="71" fillId="2" borderId="17" xfId="44724" applyFont="1" applyFill="1" applyBorder="1" applyAlignment="1" applyProtection="1">
      <alignment horizontal="center" vertical="center" shrinkToFit="1"/>
      <protection locked="0"/>
    </xf>
    <xf numFmtId="172" fontId="45" fillId="9" borderId="19" xfId="0" applyFont="1" applyFill="1" applyBorder="1" applyAlignment="1">
      <alignment shrinkToFit="1"/>
    </xf>
    <xf numFmtId="172" fontId="45" fillId="9" borderId="20" xfId="0" applyFont="1" applyFill="1" applyBorder="1" applyAlignment="1">
      <alignment shrinkToFit="1"/>
    </xf>
    <xf numFmtId="0" fontId="45" fillId="9" borderId="20" xfId="44723" applyFont="1" applyFill="1" applyBorder="1" applyAlignment="1">
      <alignment shrinkToFit="1"/>
    </xf>
    <xf numFmtId="0" fontId="45" fillId="9" borderId="21" xfId="44723" applyFont="1" applyFill="1" applyBorder="1" applyAlignment="1">
      <alignment shrinkToFit="1"/>
    </xf>
    <xf numFmtId="181" fontId="71" fillId="9" borderId="29" xfId="44722" applyNumberFormat="1" applyFont="1" applyFill="1" applyBorder="1" applyAlignment="1">
      <alignment horizontal="left" vertical="center" shrinkToFit="1"/>
    </xf>
    <xf numFmtId="0" fontId="71" fillId="9" borderId="17" xfId="44724" applyFont="1" applyFill="1" applyBorder="1" applyAlignment="1">
      <alignment horizontal="center" vertical="center" shrinkToFit="1"/>
    </xf>
    <xf numFmtId="0" fontId="81" fillId="9" borderId="26" xfId="0" applyNumberFormat="1" applyFont="1" applyFill="1" applyBorder="1" applyAlignment="1">
      <alignment horizontal="left" vertical="center" shrinkToFit="1"/>
    </xf>
    <xf numFmtId="172" fontId="45" fillId="9" borderId="27" xfId="0" applyFont="1" applyFill="1" applyBorder="1" applyAlignment="1">
      <alignment shrinkToFit="1"/>
    </xf>
    <xf numFmtId="0" fontId="45" fillId="9" borderId="27" xfId="44723" applyFont="1" applyFill="1" applyBorder="1" applyAlignment="1">
      <alignment shrinkToFit="1"/>
    </xf>
    <xf numFmtId="181" fontId="71" fillId="9" borderId="28" xfId="44722" applyNumberFormat="1" applyFont="1" applyFill="1" applyBorder="1" applyAlignment="1">
      <alignment horizontal="left" vertical="center" shrinkToFit="1"/>
    </xf>
    <xf numFmtId="0" fontId="71" fillId="2" borderId="25" xfId="44724" applyFont="1" applyFill="1" applyBorder="1" applyAlignment="1" applyProtection="1">
      <alignment horizontal="center" vertical="center" shrinkToFit="1"/>
      <protection locked="0"/>
    </xf>
    <xf numFmtId="166" fontId="71" fillId="2" borderId="34" xfId="44724" applyNumberFormat="1" applyFont="1" applyFill="1" applyBorder="1" applyAlignment="1" applyProtection="1">
      <alignment horizontal="left" vertical="center" shrinkToFit="1"/>
      <protection locked="0"/>
    </xf>
    <xf numFmtId="181" fontId="71" fillId="9" borderId="30" xfId="44722" applyNumberFormat="1" applyFont="1" applyFill="1" applyBorder="1" applyAlignment="1">
      <alignment horizontal="left" vertical="center" shrinkToFit="1"/>
    </xf>
    <xf numFmtId="172" fontId="45" fillId="9" borderId="26" xfId="0" applyFont="1" applyFill="1" applyBorder="1" applyAlignment="1">
      <alignment shrinkToFit="1"/>
    </xf>
    <xf numFmtId="172" fontId="45" fillId="9" borderId="28" xfId="0" applyFont="1" applyFill="1" applyBorder="1" applyAlignment="1">
      <alignment shrinkToFit="1"/>
    </xf>
    <xf numFmtId="0" fontId="184" fillId="9" borderId="27" xfId="44719" applyFont="1" applyFill="1" applyBorder="1" applyAlignment="1">
      <alignment horizontal="left" vertical="center" shrinkToFit="1"/>
    </xf>
    <xf numFmtId="0" fontId="184" fillId="9" borderId="28" xfId="44719" applyFont="1" applyFill="1" applyBorder="1" applyAlignment="1">
      <alignment horizontal="left" vertical="center" shrinkToFit="1"/>
    </xf>
    <xf numFmtId="0" fontId="45" fillId="9" borderId="28" xfId="44723" applyFont="1" applyFill="1" applyBorder="1" applyAlignment="1">
      <alignment shrinkToFit="1"/>
    </xf>
    <xf numFmtId="0" fontId="45" fillId="2" borderId="17" xfId="44720" applyFont="1" applyFill="1" applyBorder="1" applyAlignment="1" applyProtection="1">
      <alignment horizontal="left" vertical="center" shrinkToFit="1"/>
      <protection locked="0"/>
    </xf>
    <xf numFmtId="181" fontId="45" fillId="0" borderId="17" xfId="44716" applyNumberFormat="1" applyFont="1" applyFill="1" applyBorder="1" applyAlignment="1" applyProtection="1">
      <alignment horizontal="left" vertical="center" shrinkToFit="1"/>
      <protection locked="0"/>
    </xf>
    <xf numFmtId="181" fontId="45" fillId="0" borderId="17" xfId="44720" applyNumberFormat="1" applyFont="1" applyBorder="1" applyAlignment="1" applyProtection="1">
      <alignment horizontal="left" vertical="center" shrinkToFit="1"/>
      <protection locked="0"/>
    </xf>
    <xf numFmtId="0" fontId="81" fillId="9" borderId="17" xfId="44718" applyFont="1" applyFill="1" applyBorder="1" applyAlignment="1">
      <alignment vertical="center" shrinkToFit="1"/>
    </xf>
    <xf numFmtId="181" fontId="45" fillId="9" borderId="28" xfId="44729" applyNumberFormat="1" applyFont="1" applyFill="1" applyBorder="1" applyAlignment="1">
      <alignment horizontal="left" vertical="center" shrinkToFit="1"/>
    </xf>
    <xf numFmtId="49" fontId="99" fillId="2" borderId="17" xfId="44720" applyNumberFormat="1" applyFont="1" applyFill="1" applyBorder="1" applyAlignment="1" applyProtection="1">
      <alignment horizontal="left" vertical="center" shrinkToFit="1"/>
      <protection locked="0"/>
    </xf>
    <xf numFmtId="10" fontId="99" fillId="0" borderId="17" xfId="44720" applyNumberFormat="1" applyFont="1" applyBorder="1" applyAlignment="1" applyProtection="1">
      <alignment horizontal="right" vertical="center" shrinkToFit="1"/>
      <protection locked="0"/>
    </xf>
    <xf numFmtId="166" fontId="99" fillId="2" borderId="17" xfId="44720" applyNumberFormat="1" applyFont="1" applyFill="1" applyBorder="1" applyAlignment="1" applyProtection="1">
      <alignment horizontal="left" vertical="center" shrinkToFit="1"/>
      <protection locked="0"/>
    </xf>
    <xf numFmtId="166" fontId="99" fillId="9" borderId="17" xfId="44729" applyFont="1" applyFill="1" applyBorder="1" applyAlignment="1">
      <alignment horizontal="left" vertical="center" shrinkToFit="1"/>
    </xf>
    <xf numFmtId="0" fontId="99" fillId="2" borderId="0" xfId="44735" applyFont="1" applyFill="1" applyAlignment="1">
      <alignment horizontal="center" vertical="center" shrinkToFit="1"/>
    </xf>
    <xf numFmtId="166" fontId="71" fillId="0" borderId="17" xfId="44735" applyNumberFormat="1" applyFont="1" applyBorder="1" applyAlignment="1" applyProtection="1">
      <alignment horizontal="left" vertical="center" indent="1" shrinkToFit="1"/>
      <protection locked="0"/>
    </xf>
    <xf numFmtId="166" fontId="71" fillId="9" borderId="17" xfId="44735" applyNumberFormat="1" applyFont="1" applyFill="1" applyBorder="1" applyAlignment="1">
      <alignment horizontal="left" vertical="center" indent="1" shrinkToFit="1"/>
    </xf>
    <xf numFmtId="166" fontId="71" fillId="9" borderId="17" xfId="44735" applyNumberFormat="1" applyFont="1" applyFill="1" applyBorder="1" applyAlignment="1" applyProtection="1">
      <alignment horizontal="left" vertical="center" indent="1" shrinkToFit="1"/>
      <protection hidden="1"/>
    </xf>
    <xf numFmtId="181" fontId="71" fillId="9" borderId="17" xfId="44722" applyNumberFormat="1" applyFont="1" applyFill="1" applyBorder="1" applyAlignment="1">
      <alignment vertical="center" shrinkToFit="1"/>
    </xf>
    <xf numFmtId="181" fontId="71" fillId="23" borderId="17" xfId="44718" applyNumberFormat="1" applyFont="1" applyFill="1" applyBorder="1" applyAlignment="1">
      <alignment vertical="center" shrinkToFit="1"/>
    </xf>
    <xf numFmtId="181" fontId="71" fillId="9" borderId="17" xfId="44741" applyNumberFormat="1" applyFont="1" applyFill="1" applyBorder="1" applyAlignment="1">
      <alignment vertical="center" shrinkToFit="1"/>
    </xf>
    <xf numFmtId="181" fontId="71" fillId="2" borderId="26" xfId="44741" applyNumberFormat="1" applyFont="1" applyFill="1" applyBorder="1" applyAlignment="1" applyProtection="1">
      <alignment horizontal="right" vertical="center" shrinkToFit="1"/>
      <protection locked="0"/>
    </xf>
    <xf numFmtId="181" fontId="71" fillId="2" borderId="23" xfId="44741" applyNumberFormat="1" applyFont="1" applyFill="1" applyBorder="1" applyAlignment="1" applyProtection="1">
      <alignment vertical="center" shrinkToFit="1"/>
      <protection locked="0"/>
    </xf>
    <xf numFmtId="181" fontId="71" fillId="2" borderId="30" xfId="44741" applyNumberFormat="1" applyFont="1" applyFill="1" applyBorder="1" applyAlignment="1" applyProtection="1">
      <alignment vertical="center" shrinkToFit="1"/>
      <protection locked="0"/>
    </xf>
    <xf numFmtId="181" fontId="71" fillId="2" borderId="28" xfId="44741" applyNumberFormat="1" applyFont="1" applyFill="1" applyBorder="1" applyAlignment="1" applyProtection="1">
      <alignment vertical="center" shrinkToFit="1"/>
      <protection locked="0"/>
    </xf>
    <xf numFmtId="181" fontId="71" fillId="2" borderId="17" xfId="44741" applyNumberFormat="1" applyFont="1" applyFill="1" applyBorder="1" applyAlignment="1" applyProtection="1">
      <alignment vertical="center" shrinkToFit="1"/>
      <protection locked="0"/>
    </xf>
    <xf numFmtId="181" fontId="71" fillId="0" borderId="17" xfId="44741" applyNumberFormat="1" applyFont="1" applyBorder="1" applyAlignment="1">
      <alignment vertical="center" shrinkToFit="1"/>
    </xf>
    <xf numFmtId="166" fontId="71" fillId="0" borderId="17" xfId="44717" applyNumberFormat="1" applyFont="1" applyBorder="1" applyAlignment="1" applyProtection="1">
      <alignment horizontal="left" vertical="center" shrinkToFit="1"/>
    </xf>
    <xf numFmtId="0" fontId="71" fillId="0" borderId="17" xfId="44716" applyNumberFormat="1" applyFont="1" applyFill="1" applyBorder="1" applyAlignment="1" applyProtection="1">
      <alignment horizontal="center" vertical="center"/>
    </xf>
    <xf numFmtId="166" fontId="45" fillId="0" borderId="17" xfId="44716" applyFont="1" applyFill="1" applyBorder="1" applyProtection="1"/>
    <xf numFmtId="166" fontId="0" fillId="2" borderId="17" xfId="0" applyNumberFormat="1" applyFill="1" applyBorder="1" applyAlignment="1">
      <alignment vertical="center"/>
    </xf>
    <xf numFmtId="172" fontId="42" fillId="0" borderId="0" xfId="16" applyFont="1" applyAlignment="1">
      <alignment horizontal="center"/>
    </xf>
    <xf numFmtId="166" fontId="48" fillId="2" borderId="0" xfId="44739" applyFont="1" applyFill="1" applyBorder="1" applyAlignment="1" applyProtection="1">
      <alignment vertical="center"/>
    </xf>
    <xf numFmtId="0" fontId="71" fillId="0" borderId="17" xfId="0" applyNumberFormat="1" applyFont="1" applyBorder="1" applyAlignment="1">
      <alignment vertical="center"/>
    </xf>
    <xf numFmtId="0" fontId="71" fillId="0" borderId="17" xfId="0" applyNumberFormat="1" applyFont="1" applyBorder="1" applyAlignment="1">
      <alignment vertical="center" shrinkToFit="1"/>
    </xf>
    <xf numFmtId="0" fontId="71" fillId="0" borderId="29" xfId="0" applyNumberFormat="1" applyFont="1" applyBorder="1" applyAlignment="1">
      <alignment vertical="center"/>
    </xf>
    <xf numFmtId="0" fontId="71" fillId="0" borderId="29" xfId="0" applyNumberFormat="1" applyFont="1" applyBorder="1" applyAlignment="1">
      <alignment vertical="center" shrinkToFit="1"/>
    </xf>
    <xf numFmtId="49" fontId="0" fillId="0" borderId="0" xfId="0" applyNumberFormat="1"/>
    <xf numFmtId="166" fontId="99" fillId="2" borderId="17" xfId="44722" applyNumberFormat="1" applyFont="1" applyFill="1" applyBorder="1" applyAlignment="1" applyProtection="1">
      <alignment vertical="center" shrinkToFit="1"/>
      <protection locked="0"/>
    </xf>
    <xf numFmtId="166" fontId="99" fillId="9" borderId="17" xfId="44722" applyNumberFormat="1" applyFont="1" applyFill="1" applyBorder="1" applyAlignment="1">
      <alignment vertical="center" shrinkToFit="1"/>
    </xf>
    <xf numFmtId="172" fontId="110" fillId="0" borderId="0" xfId="0" applyFont="1" applyAlignment="1">
      <alignment vertical="center"/>
    </xf>
    <xf numFmtId="10" fontId="99" fillId="0" borderId="17" xfId="44717" applyNumberFormat="1" applyFont="1" applyBorder="1" applyAlignment="1" applyProtection="1">
      <alignment horizontal="right" vertical="center"/>
    </xf>
    <xf numFmtId="9" fontId="99" fillId="0" borderId="17" xfId="44717" applyFont="1" applyBorder="1" applyAlignment="1" applyProtection="1">
      <alignment vertical="center"/>
      <protection locked="0"/>
    </xf>
    <xf numFmtId="10" fontId="99" fillId="0" borderId="17" xfId="44717" applyNumberFormat="1" applyFont="1" applyBorder="1" applyAlignment="1" applyProtection="1">
      <alignment horizontal="right" vertical="center"/>
      <protection locked="0"/>
    </xf>
    <xf numFmtId="172" fontId="118" fillId="0" borderId="0" xfId="14" applyFont="1" applyAlignment="1">
      <alignment horizontal="left" vertical="center"/>
    </xf>
    <xf numFmtId="172" fontId="83" fillId="0" borderId="54" xfId="0" applyFont="1" applyBorder="1" applyAlignment="1">
      <alignment horizontal="left" vertical="center"/>
    </xf>
    <xf numFmtId="10" fontId="83" fillId="0" borderId="54" xfId="44717" applyNumberFormat="1" applyFont="1" applyBorder="1" applyAlignment="1" applyProtection="1">
      <alignment vertical="center"/>
    </xf>
    <xf numFmtId="172" fontId="83" fillId="0" borderId="0" xfId="0" applyFont="1" applyAlignment="1">
      <alignment horizontal="center" vertical="center"/>
    </xf>
    <xf numFmtId="10" fontId="83" fillId="0" borderId="0" xfId="44717" applyNumberFormat="1" applyFont="1" applyBorder="1" applyAlignment="1" applyProtection="1">
      <alignment vertical="center"/>
    </xf>
    <xf numFmtId="166" fontId="65" fillId="0" borderId="0" xfId="44716" applyFont="1" applyAlignment="1" applyProtection="1">
      <alignment vertical="center"/>
    </xf>
    <xf numFmtId="172" fontId="103" fillId="0" borderId="0" xfId="14" applyFont="1" applyAlignment="1">
      <alignment horizontal="center" vertical="center"/>
    </xf>
    <xf numFmtId="166" fontId="99" fillId="9" borderId="17" xfId="44717" applyNumberFormat="1" applyFont="1" applyFill="1" applyBorder="1" applyAlignment="1" applyProtection="1">
      <alignment horizontal="right" vertical="center"/>
    </xf>
    <xf numFmtId="172" fontId="16" fillId="0" borderId="0" xfId="0" applyFont="1" applyAlignment="1">
      <alignment horizontal="left" vertical="center"/>
    </xf>
    <xf numFmtId="49" fontId="16" fillId="0" borderId="0" xfId="0" applyNumberFormat="1" applyFont="1" applyAlignment="1">
      <alignment horizontal="left" vertical="center"/>
    </xf>
    <xf numFmtId="172" fontId="115" fillId="19" borderId="53" xfId="0" applyFont="1" applyFill="1" applyBorder="1" applyAlignment="1">
      <alignment horizontal="center" vertical="center"/>
    </xf>
    <xf numFmtId="172" fontId="103" fillId="0" borderId="0" xfId="0" applyFont="1" applyAlignment="1">
      <alignment horizontal="right"/>
    </xf>
    <xf numFmtId="172" fontId="54" fillId="0" borderId="0" xfId="14" applyFont="1" applyAlignment="1">
      <alignment horizontal="left" vertical="center"/>
    </xf>
    <xf numFmtId="0" fontId="65" fillId="2" borderId="0" xfId="0" applyNumberFormat="1" applyFont="1" applyFill="1" applyAlignment="1">
      <alignment horizontal="center" vertical="center"/>
    </xf>
    <xf numFmtId="0" fontId="190" fillId="0" borderId="0" xfId="16" applyNumberFormat="1" applyFont="1"/>
    <xf numFmtId="10" fontId="0" fillId="0" borderId="0" xfId="44717" applyNumberFormat="1" applyFont="1"/>
    <xf numFmtId="10" fontId="0" fillId="24" borderId="0" xfId="44717" applyNumberFormat="1" applyFont="1" applyFill="1"/>
    <xf numFmtId="10" fontId="83" fillId="2" borderId="54" xfId="44717" applyNumberFormat="1" applyFont="1" applyFill="1" applyBorder="1" applyAlignment="1">
      <alignment vertical="center"/>
    </xf>
    <xf numFmtId="10" fontId="83" fillId="2" borderId="54" xfId="0" applyNumberFormat="1" applyFont="1" applyFill="1" applyBorder="1" applyAlignment="1">
      <alignment vertical="center"/>
    </xf>
    <xf numFmtId="166" fontId="71" fillId="2" borderId="17" xfId="0" applyNumberFormat="1" applyFont="1" applyFill="1" applyBorder="1" applyAlignment="1">
      <alignment vertical="center" shrinkToFit="1"/>
    </xf>
    <xf numFmtId="0" fontId="71" fillId="0" borderId="17" xfId="0" applyNumberFormat="1" applyFont="1" applyBorder="1" applyAlignment="1">
      <alignment horizontal="center" vertical="center"/>
    </xf>
    <xf numFmtId="0" fontId="99" fillId="0" borderId="17" xfId="0" applyNumberFormat="1" applyFont="1" applyBorder="1" applyAlignment="1">
      <alignment horizontal="center" vertical="center"/>
    </xf>
    <xf numFmtId="181" fontId="71" fillId="2" borderId="17" xfId="44741" applyNumberFormat="1" applyFont="1" applyFill="1" applyBorder="1" applyAlignment="1">
      <alignment horizontal="left" vertical="center"/>
    </xf>
    <xf numFmtId="181" fontId="71" fillId="2" borderId="17" xfId="44741" applyNumberFormat="1" applyFont="1" applyFill="1" applyBorder="1" applyAlignment="1">
      <alignment vertical="center" shrinkToFit="1"/>
    </xf>
    <xf numFmtId="172" fontId="99" fillId="0" borderId="17" xfId="14" applyFont="1" applyBorder="1" applyAlignment="1">
      <alignment vertical="center" wrapText="1"/>
    </xf>
    <xf numFmtId="172" fontId="99" fillId="0" borderId="17" xfId="14" applyFont="1" applyBorder="1" applyAlignment="1">
      <alignment horizontal="center" vertical="center"/>
    </xf>
    <xf numFmtId="0" fontId="99" fillId="0" borderId="17" xfId="14" applyNumberFormat="1" applyFont="1" applyBorder="1" applyAlignment="1">
      <alignment horizontal="center" vertical="center"/>
    </xf>
    <xf numFmtId="4" fontId="99" fillId="0" borderId="17" xfId="14" applyNumberFormat="1" applyFont="1" applyBorder="1" applyAlignment="1">
      <alignment vertical="center"/>
    </xf>
    <xf numFmtId="0" fontId="45" fillId="0" borderId="17" xfId="14" applyNumberFormat="1" applyFont="1" applyBorder="1" applyAlignment="1">
      <alignment horizontal="center" vertical="center"/>
    </xf>
    <xf numFmtId="175" fontId="99" fillId="2" borderId="17" xfId="14" applyNumberFormat="1" applyFont="1" applyFill="1" applyBorder="1" applyAlignment="1">
      <alignment horizontal="right" vertical="center"/>
    </xf>
    <xf numFmtId="0" fontId="99" fillId="0" borderId="17" xfId="14" applyNumberFormat="1" applyFont="1" applyBorder="1" applyAlignment="1">
      <alignment horizontal="left" vertical="center"/>
    </xf>
    <xf numFmtId="172" fontId="45" fillId="0" borderId="17" xfId="14" applyFont="1" applyBorder="1" applyAlignment="1">
      <alignment wrapText="1"/>
    </xf>
    <xf numFmtId="0" fontId="71" fillId="2" borderId="17" xfId="44717" applyNumberFormat="1" applyFont="1" applyFill="1" applyBorder="1" applyAlignment="1" applyProtection="1">
      <alignment horizontal="left" vertical="center" indent="1"/>
    </xf>
    <xf numFmtId="166" fontId="71" fillId="0" borderId="17" xfId="44735" applyNumberFormat="1" applyFont="1" applyBorder="1" applyAlignment="1">
      <alignment horizontal="left" vertical="center" indent="1" shrinkToFit="1"/>
    </xf>
    <xf numFmtId="166" fontId="71" fillId="0" borderId="17" xfId="44735" applyNumberFormat="1" applyFont="1" applyBorder="1" applyAlignment="1">
      <alignment horizontal="center" vertical="center"/>
    </xf>
    <xf numFmtId="166" fontId="71" fillId="9" borderId="34" xfId="44724" applyNumberFormat="1" applyFont="1" applyFill="1" applyBorder="1" applyAlignment="1">
      <alignment horizontal="left" vertical="center" shrinkToFit="1"/>
    </xf>
    <xf numFmtId="166" fontId="71" fillId="9" borderId="22" xfId="44724" applyNumberFormat="1" applyFont="1" applyFill="1" applyBorder="1" applyAlignment="1">
      <alignment horizontal="left" vertical="center" shrinkToFit="1"/>
    </xf>
    <xf numFmtId="166" fontId="71" fillId="9" borderId="29" xfId="44724" applyNumberFormat="1" applyFont="1" applyFill="1" applyBorder="1" applyAlignment="1">
      <alignment horizontal="left" vertical="center" shrinkToFit="1"/>
    </xf>
    <xf numFmtId="0" fontId="71" fillId="2" borderId="17" xfId="0" applyNumberFormat="1" applyFont="1" applyFill="1" applyBorder="1" applyAlignment="1">
      <alignment horizontal="center" vertical="center"/>
    </xf>
    <xf numFmtId="0" fontId="43" fillId="0" borderId="17" xfId="0" applyNumberFormat="1" applyFont="1" applyBorder="1" applyAlignment="1">
      <alignment horizontal="left" vertical="center"/>
    </xf>
    <xf numFmtId="0" fontId="43" fillId="2" borderId="17" xfId="0" applyNumberFormat="1" applyFont="1" applyFill="1" applyBorder="1" applyAlignment="1">
      <alignment horizontal="left" vertical="center"/>
    </xf>
    <xf numFmtId="0" fontId="43" fillId="0" borderId="26" xfId="0" applyNumberFormat="1" applyFont="1" applyBorder="1" applyAlignment="1">
      <alignment horizontal="left"/>
    </xf>
    <xf numFmtId="0" fontId="43" fillId="0" borderId="27" xfId="0" applyNumberFormat="1" applyFont="1" applyBorder="1" applyAlignment="1">
      <alignment horizontal="left"/>
    </xf>
    <xf numFmtId="0" fontId="43" fillId="0" borderId="28" xfId="0" applyNumberFormat="1" applyFont="1" applyBorder="1" applyAlignment="1">
      <alignment horizontal="left"/>
    </xf>
    <xf numFmtId="0" fontId="43" fillId="0" borderId="26" xfId="0" applyNumberFormat="1" applyFont="1" applyBorder="1" applyAlignment="1">
      <alignment horizontal="left" vertical="center"/>
    </xf>
    <xf numFmtId="0" fontId="43" fillId="0" borderId="27" xfId="0" applyNumberFormat="1" applyFont="1" applyBorder="1" applyAlignment="1">
      <alignment horizontal="left" vertical="center"/>
    </xf>
    <xf numFmtId="0" fontId="43" fillId="0" borderId="28" xfId="0" applyNumberFormat="1" applyFont="1" applyBorder="1" applyAlignment="1">
      <alignment horizontal="left" vertical="center"/>
    </xf>
    <xf numFmtId="172" fontId="114" fillId="8" borderId="17" xfId="0" applyFont="1" applyFill="1" applyBorder="1" applyAlignment="1">
      <alignment horizontal="center" vertical="center"/>
    </xf>
    <xf numFmtId="0" fontId="82" fillId="14" borderId="17" xfId="44737" applyFont="1" applyFill="1" applyBorder="1" applyAlignment="1">
      <alignment horizontal="center" wrapText="1"/>
    </xf>
    <xf numFmtId="0" fontId="82" fillId="14" borderId="17" xfId="44737" applyFont="1" applyFill="1" applyBorder="1" applyAlignment="1">
      <alignment horizontal="center" vertical="center"/>
    </xf>
    <xf numFmtId="0" fontId="82" fillId="14" borderId="17" xfId="44737" applyFont="1" applyFill="1" applyBorder="1" applyAlignment="1">
      <alignment horizontal="center"/>
    </xf>
    <xf numFmtId="172" fontId="114" fillId="8" borderId="24" xfId="0" applyFont="1" applyFill="1" applyBorder="1" applyAlignment="1">
      <alignment horizontal="left"/>
    </xf>
    <xf numFmtId="172" fontId="114" fillId="8" borderId="0" xfId="0" applyFont="1" applyFill="1" applyAlignment="1">
      <alignment horizontal="left"/>
    </xf>
    <xf numFmtId="0" fontId="41" fillId="0" borderId="17" xfId="44730" applyBorder="1" applyAlignment="1">
      <alignment horizontal="center"/>
    </xf>
    <xf numFmtId="173" fontId="41" fillId="0" borderId="17" xfId="44730" applyNumberFormat="1" applyBorder="1" applyAlignment="1">
      <alignment horizontal="center" vertical="center" wrapText="1"/>
    </xf>
    <xf numFmtId="14" fontId="73" fillId="18" borderId="17" xfId="44730" applyNumberFormat="1" applyFont="1" applyFill="1" applyBorder="1" applyAlignment="1">
      <alignment horizontal="center"/>
    </xf>
    <xf numFmtId="0" fontId="42" fillId="9" borderId="17" xfId="44730" applyFont="1" applyFill="1" applyBorder="1" applyAlignment="1">
      <alignment horizontal="center" vertical="center" wrapText="1"/>
    </xf>
    <xf numFmtId="0" fontId="42" fillId="9" borderId="17" xfId="44730" applyFont="1" applyFill="1" applyBorder="1" applyAlignment="1">
      <alignment horizontal="left" vertical="center"/>
    </xf>
    <xf numFmtId="0" fontId="42" fillId="9" borderId="17" xfId="44730" applyFont="1" applyFill="1" applyBorder="1" applyAlignment="1">
      <alignment horizontal="center" vertical="top"/>
    </xf>
    <xf numFmtId="0" fontId="42" fillId="9" borderId="17" xfId="44730" applyFont="1" applyFill="1" applyBorder="1" applyAlignment="1">
      <alignment horizontal="center" vertical="top" wrapText="1"/>
    </xf>
    <xf numFmtId="14" fontId="73" fillId="18" borderId="11" xfId="44730" applyNumberFormat="1" applyFont="1" applyFill="1" applyBorder="1" applyAlignment="1">
      <alignment horizontal="center"/>
    </xf>
    <xf numFmtId="172" fontId="54" fillId="0" borderId="0" xfId="14" applyFont="1" applyAlignment="1">
      <alignment horizontal="center" vertical="center"/>
    </xf>
    <xf numFmtId="172" fontId="54" fillId="0" borderId="0" xfId="0" applyFont="1" applyAlignment="1">
      <alignment horizontal="center"/>
    </xf>
    <xf numFmtId="172" fontId="42" fillId="0" borderId="0" xfId="16" applyFont="1" applyAlignment="1">
      <alignment horizontal="center"/>
    </xf>
    <xf numFmtId="166" fontId="71" fillId="9" borderId="26" xfId="44722" applyNumberFormat="1" applyFont="1" applyFill="1" applyBorder="1" applyAlignment="1">
      <alignment horizontal="left" vertical="center" shrinkToFit="1"/>
    </xf>
    <xf numFmtId="166" fontId="71" fillId="9" borderId="27" xfId="44722" applyNumberFormat="1" applyFont="1" applyFill="1" applyBorder="1" applyAlignment="1">
      <alignment horizontal="left" vertical="center" shrinkToFit="1"/>
    </xf>
    <xf numFmtId="166" fontId="71" fillId="9" borderId="28" xfId="44722" applyNumberFormat="1" applyFont="1" applyFill="1" applyBorder="1" applyAlignment="1">
      <alignment horizontal="left" vertical="center" shrinkToFit="1"/>
    </xf>
    <xf numFmtId="10" fontId="99" fillId="2" borderId="17" xfId="44717" applyNumberFormat="1" applyFont="1" applyFill="1" applyBorder="1" applyAlignment="1" applyProtection="1">
      <alignment horizontal="right" vertical="center" indent="1" shrinkToFit="1"/>
      <protection locked="0"/>
    </xf>
    <xf numFmtId="0" fontId="45" fillId="0" borderId="17" xfId="0" applyNumberFormat="1" applyFont="1" applyBorder="1" applyAlignment="1" applyProtection="1">
      <alignment horizontal="left" vertical="center"/>
      <protection locked="0"/>
    </xf>
    <xf numFmtId="166" fontId="71" fillId="2" borderId="26" xfId="44722" applyNumberFormat="1" applyFont="1" applyFill="1" applyBorder="1" applyAlignment="1" applyProtection="1">
      <alignment horizontal="left" vertical="center" shrinkToFit="1"/>
      <protection locked="0"/>
    </xf>
    <xf numFmtId="166" fontId="71" fillId="2" borderId="27" xfId="44722" applyNumberFormat="1" applyFont="1" applyFill="1" applyBorder="1" applyAlignment="1" applyProtection="1">
      <alignment horizontal="left" vertical="center" shrinkToFit="1"/>
      <protection locked="0"/>
    </xf>
    <xf numFmtId="166" fontId="71" fillId="2" borderId="28" xfId="44722" applyNumberFormat="1" applyFont="1" applyFill="1" applyBorder="1" applyAlignment="1" applyProtection="1">
      <alignment horizontal="left" vertical="center" shrinkToFit="1"/>
      <protection locked="0"/>
    </xf>
    <xf numFmtId="166" fontId="71" fillId="2" borderId="26" xfId="44722" applyNumberFormat="1" applyFont="1" applyFill="1" applyBorder="1" applyAlignment="1">
      <alignment horizontal="left" vertical="center" shrinkToFit="1"/>
    </xf>
    <xf numFmtId="166" fontId="71" fillId="2" borderId="27" xfId="44722" applyNumberFormat="1" applyFont="1" applyFill="1" applyBorder="1" applyAlignment="1">
      <alignment horizontal="left" vertical="center" shrinkToFit="1"/>
    </xf>
    <xf numFmtId="166" fontId="71" fillId="2" borderId="28" xfId="44722" applyNumberFormat="1" applyFont="1" applyFill="1" applyBorder="1" applyAlignment="1">
      <alignment horizontal="left" vertical="center" shrinkToFit="1"/>
    </xf>
    <xf numFmtId="166" fontId="99" fillId="2" borderId="17" xfId="44722" applyNumberFormat="1" applyFont="1" applyFill="1" applyBorder="1" applyAlignment="1" applyProtection="1">
      <alignment horizontal="left" vertical="center" indent="1" shrinkToFit="1"/>
      <protection locked="0"/>
    </xf>
    <xf numFmtId="0" fontId="89" fillId="0" borderId="0" xfId="44723" applyFont="1" applyAlignment="1">
      <alignment horizontal="center" wrapText="1"/>
    </xf>
    <xf numFmtId="2" fontId="99" fillId="2" borderId="26" xfId="44722" applyNumberFormat="1" applyFont="1" applyFill="1" applyBorder="1" applyAlignment="1" applyProtection="1">
      <alignment horizontal="center" vertical="center"/>
      <protection locked="0"/>
    </xf>
    <xf numFmtId="2" fontId="99" fillId="2" borderId="27" xfId="44722" applyNumberFormat="1" applyFont="1" applyFill="1" applyBorder="1" applyAlignment="1" applyProtection="1">
      <alignment horizontal="center" vertical="center"/>
      <protection locked="0"/>
    </xf>
    <xf numFmtId="2" fontId="99" fillId="2" borderId="28" xfId="44722" applyNumberFormat="1" applyFont="1" applyFill="1" applyBorder="1" applyAlignment="1" applyProtection="1">
      <alignment horizontal="center" vertical="center"/>
      <protection locked="0"/>
    </xf>
    <xf numFmtId="0" fontId="71" fillId="2" borderId="26" xfId="44722" applyFont="1" applyFill="1" applyBorder="1" applyAlignment="1">
      <alignment horizontal="center" vertical="center"/>
    </xf>
    <xf numFmtId="0" fontId="71" fillId="2" borderId="27" xfId="44722" applyFont="1" applyFill="1" applyBorder="1" applyAlignment="1">
      <alignment horizontal="center" vertical="center"/>
    </xf>
    <xf numFmtId="0" fontId="71" fillId="2" borderId="28" xfId="44722" applyFont="1" applyFill="1" applyBorder="1" applyAlignment="1">
      <alignment horizontal="center" vertical="center"/>
    </xf>
    <xf numFmtId="10" fontId="99" fillId="9" borderId="17" xfId="44717" applyNumberFormat="1" applyFont="1" applyFill="1" applyBorder="1" applyAlignment="1">
      <alignment horizontal="right" vertical="center" indent="1"/>
    </xf>
    <xf numFmtId="10" fontId="99" fillId="0" borderId="26" xfId="44717" applyNumberFormat="1" applyFont="1" applyBorder="1" applyAlignment="1" applyProtection="1">
      <alignment horizontal="center" vertical="center"/>
    </xf>
    <xf numFmtId="10" fontId="99" fillId="0" borderId="27" xfId="44717" applyNumberFormat="1" applyFont="1" applyBorder="1" applyAlignment="1" applyProtection="1">
      <alignment horizontal="center" vertical="center"/>
    </xf>
    <xf numFmtId="10" fontId="99" fillId="0" borderId="28" xfId="44717" applyNumberFormat="1" applyFont="1" applyBorder="1" applyAlignment="1" applyProtection="1">
      <alignment horizontal="center" vertical="center"/>
    </xf>
    <xf numFmtId="166" fontId="45" fillId="9" borderId="26" xfId="0" applyNumberFormat="1" applyFont="1" applyFill="1" applyBorder="1" applyAlignment="1">
      <alignment horizontal="left" vertical="center" shrinkToFit="1"/>
    </xf>
    <xf numFmtId="166" fontId="45" fillId="9" borderId="27" xfId="0" applyNumberFormat="1" applyFont="1" applyFill="1" applyBorder="1" applyAlignment="1">
      <alignment horizontal="left" vertical="center" shrinkToFit="1"/>
    </xf>
    <xf numFmtId="166" fontId="45" fillId="9" borderId="28" xfId="0" applyNumberFormat="1" applyFont="1" applyFill="1" applyBorder="1" applyAlignment="1">
      <alignment horizontal="left" vertical="center" shrinkToFit="1"/>
    </xf>
    <xf numFmtId="1" fontId="45" fillId="9" borderId="17" xfId="44739" applyNumberFormat="1" applyFont="1" applyFill="1" applyBorder="1" applyAlignment="1" applyProtection="1">
      <alignment horizontal="center" vertical="center"/>
    </xf>
    <xf numFmtId="184" fontId="45" fillId="0" borderId="17" xfId="44739" applyNumberFormat="1" applyFont="1" applyBorder="1" applyAlignment="1" applyProtection="1">
      <alignment horizontal="right" vertical="center" shrinkToFit="1"/>
      <protection locked="0"/>
    </xf>
    <xf numFmtId="9" fontId="45" fillId="0" borderId="17" xfId="44717" applyFont="1" applyBorder="1" applyAlignment="1" applyProtection="1">
      <alignment horizontal="center" vertical="center"/>
      <protection locked="0"/>
    </xf>
    <xf numFmtId="166" fontId="99" fillId="9" borderId="17" xfId="44717" applyNumberFormat="1" applyFont="1" applyFill="1" applyBorder="1" applyAlignment="1" applyProtection="1">
      <alignment horizontal="left" vertical="center" shrinkToFit="1"/>
    </xf>
    <xf numFmtId="10" fontId="71" fillId="9" borderId="26" xfId="44722" applyNumberFormat="1" applyFont="1" applyFill="1" applyBorder="1" applyAlignment="1">
      <alignment horizontal="right" vertical="center" shrinkToFit="1"/>
    </xf>
    <xf numFmtId="10" fontId="71" fillId="9" borderId="27" xfId="44722" applyNumberFormat="1" applyFont="1" applyFill="1" applyBorder="1" applyAlignment="1">
      <alignment horizontal="right" vertical="center" shrinkToFit="1"/>
    </xf>
    <xf numFmtId="10" fontId="71" fillId="9" borderId="28" xfId="44722" applyNumberFormat="1" applyFont="1" applyFill="1" applyBorder="1" applyAlignment="1">
      <alignment horizontal="right" vertical="center" shrinkToFit="1"/>
    </xf>
    <xf numFmtId="172" fontId="36" fillId="0" borderId="17" xfId="0" applyFont="1" applyBorder="1" applyAlignment="1" applyProtection="1">
      <alignment horizontal="center" vertical="center"/>
      <protection locked="0"/>
    </xf>
    <xf numFmtId="0" fontId="71" fillId="9" borderId="26" xfId="44722" applyFont="1" applyFill="1" applyBorder="1" applyAlignment="1">
      <alignment horizontal="center" vertical="center"/>
    </xf>
    <xf numFmtId="0" fontId="71" fillId="9" borderId="27" xfId="44722" applyFont="1" applyFill="1" applyBorder="1" applyAlignment="1">
      <alignment horizontal="center" vertical="center"/>
    </xf>
    <xf numFmtId="0" fontId="71" fillId="9" borderId="28" xfId="44722" applyFont="1" applyFill="1" applyBorder="1" applyAlignment="1">
      <alignment horizontal="center" vertical="center"/>
    </xf>
    <xf numFmtId="166" fontId="48" fillId="13" borderId="26" xfId="44718" applyNumberFormat="1" applyFont="1" applyFill="1" applyBorder="1" applyAlignment="1">
      <alignment horizontal="left" vertical="center" shrinkToFit="1"/>
    </xf>
    <xf numFmtId="166" fontId="48" fillId="13" borderId="27" xfId="44718" applyNumberFormat="1" applyFont="1" applyFill="1" applyBorder="1" applyAlignment="1">
      <alignment horizontal="left" vertical="center" shrinkToFit="1"/>
    </xf>
    <xf numFmtId="166" fontId="48" fillId="13" borderId="28" xfId="44718" applyNumberFormat="1" applyFont="1" applyFill="1" applyBorder="1" applyAlignment="1">
      <alignment horizontal="left" vertical="center" shrinkToFit="1"/>
    </xf>
    <xf numFmtId="179" fontId="99" fillId="9" borderId="17" xfId="44717" applyNumberFormat="1" applyFont="1" applyFill="1" applyBorder="1" applyAlignment="1" applyProtection="1">
      <alignment horizontal="left" vertical="center"/>
    </xf>
    <xf numFmtId="172" fontId="110" fillId="9" borderId="17" xfId="0" applyFont="1" applyFill="1" applyBorder="1" applyAlignment="1">
      <alignment horizontal="center" vertical="center"/>
    </xf>
    <xf numFmtId="10" fontId="110" fillId="9" borderId="17" xfId="44717" applyNumberFormat="1" applyFont="1" applyFill="1" applyBorder="1" applyAlignment="1">
      <alignment horizontal="right" vertical="center"/>
    </xf>
    <xf numFmtId="166" fontId="99" fillId="9" borderId="17" xfId="44722" applyNumberFormat="1" applyFont="1" applyFill="1" applyBorder="1" applyAlignment="1">
      <alignment horizontal="left" vertical="center"/>
    </xf>
    <xf numFmtId="166" fontId="99" fillId="9" borderId="17" xfId="44722" applyNumberFormat="1" applyFont="1" applyFill="1" applyBorder="1" applyAlignment="1">
      <alignment horizontal="left" vertical="center" shrinkToFit="1"/>
    </xf>
    <xf numFmtId="172" fontId="83" fillId="10" borderId="15" xfId="0" applyFont="1" applyFill="1" applyBorder="1" applyAlignment="1">
      <alignment horizontal="center" vertical="center" wrapText="1"/>
    </xf>
    <xf numFmtId="172" fontId="83" fillId="10" borderId="16" xfId="0" applyFont="1" applyFill="1" applyBorder="1" applyAlignment="1">
      <alignment horizontal="center" vertical="center" wrapText="1"/>
    </xf>
    <xf numFmtId="166" fontId="99" fillId="9" borderId="26" xfId="44722" applyNumberFormat="1" applyFont="1" applyFill="1" applyBorder="1" applyAlignment="1">
      <alignment horizontal="left" vertical="center" shrinkToFit="1"/>
    </xf>
    <xf numFmtId="166" fontId="99" fillId="9" borderId="27" xfId="44722" applyNumberFormat="1" applyFont="1" applyFill="1" applyBorder="1" applyAlignment="1">
      <alignment horizontal="left" vertical="center" shrinkToFit="1"/>
    </xf>
    <xf numFmtId="166" fontId="99" fillId="9" borderId="28" xfId="44722" applyNumberFormat="1" applyFont="1" applyFill="1" applyBorder="1" applyAlignment="1">
      <alignment horizontal="left" vertical="center" shrinkToFit="1"/>
    </xf>
    <xf numFmtId="172" fontId="169" fillId="19" borderId="32" xfId="0" applyFont="1" applyFill="1" applyBorder="1" applyAlignment="1">
      <alignment horizontal="left" vertical="center" wrapText="1" indent="1"/>
    </xf>
    <xf numFmtId="172" fontId="169" fillId="19" borderId="0" xfId="0" applyFont="1" applyFill="1" applyAlignment="1">
      <alignment horizontal="left" vertical="center" wrapText="1" indent="1"/>
    </xf>
    <xf numFmtId="172" fontId="169" fillId="19" borderId="33" xfId="0" applyFont="1" applyFill="1" applyBorder="1" applyAlignment="1">
      <alignment horizontal="left" vertical="center" wrapText="1" indent="1"/>
    </xf>
    <xf numFmtId="2" fontId="71" fillId="9" borderId="26" xfId="44722" applyNumberFormat="1" applyFont="1" applyFill="1" applyBorder="1" applyAlignment="1">
      <alignment horizontal="right" vertical="center" indent="1"/>
    </xf>
    <xf numFmtId="2" fontId="71" fillId="9" borderId="27" xfId="44722" applyNumberFormat="1" applyFont="1" applyFill="1" applyBorder="1" applyAlignment="1">
      <alignment horizontal="right" vertical="center" indent="1"/>
    </xf>
    <xf numFmtId="2" fontId="71" fillId="9" borderId="28" xfId="44722" applyNumberFormat="1" applyFont="1" applyFill="1" applyBorder="1" applyAlignment="1">
      <alignment horizontal="right" vertical="center" indent="1"/>
    </xf>
    <xf numFmtId="10" fontId="110" fillId="9" borderId="26" xfId="44717" applyNumberFormat="1" applyFont="1" applyFill="1" applyBorder="1" applyAlignment="1" applyProtection="1">
      <alignment horizontal="center" vertical="center"/>
    </xf>
    <xf numFmtId="10" fontId="110" fillId="9" borderId="27" xfId="44717" applyNumberFormat="1" applyFont="1" applyFill="1" applyBorder="1" applyAlignment="1" applyProtection="1">
      <alignment horizontal="center" vertical="center"/>
    </xf>
    <xf numFmtId="10" fontId="110" fillId="9" borderId="28" xfId="44717" applyNumberFormat="1" applyFont="1" applyFill="1" applyBorder="1" applyAlignment="1" applyProtection="1">
      <alignment horizontal="center" vertical="center"/>
    </xf>
    <xf numFmtId="2" fontId="99" fillId="9" borderId="26" xfId="44722" applyNumberFormat="1" applyFont="1" applyFill="1" applyBorder="1" applyAlignment="1">
      <alignment horizontal="center" vertical="center"/>
    </xf>
    <xf numFmtId="2" fontId="99" fillId="9" borderId="27" xfId="44722" applyNumberFormat="1" applyFont="1" applyFill="1" applyBorder="1" applyAlignment="1">
      <alignment horizontal="center" vertical="center"/>
    </xf>
    <xf numFmtId="2" fontId="99" fillId="9" borderId="28" xfId="44722" applyNumberFormat="1" applyFont="1" applyFill="1" applyBorder="1" applyAlignment="1">
      <alignment horizontal="center" vertical="center"/>
    </xf>
    <xf numFmtId="166" fontId="99" fillId="9" borderId="26" xfId="0" applyNumberFormat="1" applyFont="1" applyFill="1" applyBorder="1" applyAlignment="1">
      <alignment horizontal="left" vertical="center" shrinkToFit="1"/>
    </xf>
    <xf numFmtId="166" fontId="99" fillId="9" borderId="27" xfId="0" applyNumberFormat="1" applyFont="1" applyFill="1" applyBorder="1" applyAlignment="1">
      <alignment horizontal="left" vertical="center" shrinkToFit="1"/>
    </xf>
    <xf numFmtId="166" fontId="99" fillId="9" borderId="28" xfId="0" applyNumberFormat="1" applyFont="1" applyFill="1" applyBorder="1" applyAlignment="1">
      <alignment horizontal="left" vertical="center" shrinkToFit="1"/>
    </xf>
    <xf numFmtId="166" fontId="99" fillId="9" borderId="26" xfId="44716" applyFont="1" applyFill="1" applyBorder="1" applyAlignment="1" applyProtection="1">
      <alignment horizontal="left" vertical="center" shrinkToFit="1"/>
    </xf>
    <xf numFmtId="166" fontId="99" fillId="9" borderId="27" xfId="44716" applyFont="1" applyFill="1" applyBorder="1" applyAlignment="1" applyProtection="1">
      <alignment horizontal="left" vertical="center" shrinkToFit="1"/>
    </xf>
    <xf numFmtId="166" fontId="99" fillId="9" borderId="28" xfId="44716" applyFont="1" applyFill="1" applyBorder="1" applyAlignment="1" applyProtection="1">
      <alignment horizontal="left" vertical="center" shrinkToFit="1"/>
    </xf>
    <xf numFmtId="1" fontId="99" fillId="9" borderId="26" xfId="44722" applyNumberFormat="1" applyFont="1" applyFill="1" applyBorder="1" applyAlignment="1">
      <alignment horizontal="center" vertical="center"/>
    </xf>
    <xf numFmtId="1" fontId="99" fillId="9" borderId="27" xfId="44722" applyNumberFormat="1" applyFont="1" applyFill="1" applyBorder="1" applyAlignment="1">
      <alignment horizontal="center" vertical="center"/>
    </xf>
    <xf numFmtId="1" fontId="99" fillId="9" borderId="28" xfId="44722" applyNumberFormat="1" applyFont="1" applyFill="1" applyBorder="1" applyAlignment="1">
      <alignment horizontal="center" vertical="center"/>
    </xf>
    <xf numFmtId="10" fontId="99" fillId="9" borderId="26" xfId="44717" applyNumberFormat="1" applyFont="1" applyFill="1" applyBorder="1" applyAlignment="1" applyProtection="1">
      <alignment horizontal="center" vertical="center"/>
    </xf>
    <xf numFmtId="10" fontId="99" fillId="9" borderId="27" xfId="44717" applyNumberFormat="1" applyFont="1" applyFill="1" applyBorder="1" applyAlignment="1" applyProtection="1">
      <alignment horizontal="center" vertical="center"/>
    </xf>
    <xf numFmtId="10" fontId="99" fillId="9" borderId="28" xfId="44717" applyNumberFormat="1" applyFont="1" applyFill="1" applyBorder="1" applyAlignment="1" applyProtection="1">
      <alignment horizontal="center" vertical="center"/>
    </xf>
    <xf numFmtId="0" fontId="89" fillId="0" borderId="0" xfId="44723" applyFont="1" applyAlignment="1">
      <alignment horizontal="center"/>
    </xf>
    <xf numFmtId="49" fontId="81" fillId="0" borderId="26" xfId="0" applyNumberFormat="1" applyFont="1" applyBorder="1" applyAlignment="1" applyProtection="1">
      <alignment horizontal="left" vertical="center" shrinkToFit="1"/>
      <protection locked="0"/>
    </xf>
    <xf numFmtId="49" fontId="81" fillId="0" borderId="27" xfId="0" applyNumberFormat="1" applyFont="1" applyBorder="1" applyAlignment="1" applyProtection="1">
      <alignment horizontal="left" vertical="center" shrinkToFit="1"/>
      <protection locked="0"/>
    </xf>
    <xf numFmtId="49" fontId="81" fillId="0" borderId="28" xfId="0" applyNumberFormat="1" applyFont="1" applyBorder="1" applyAlignment="1" applyProtection="1">
      <alignment horizontal="left" vertical="center" shrinkToFit="1"/>
      <protection locked="0"/>
    </xf>
    <xf numFmtId="166" fontId="71" fillId="0" borderId="26" xfId="44722" applyNumberFormat="1" applyFont="1" applyBorder="1" applyAlignment="1" applyProtection="1">
      <alignment horizontal="left" vertical="center" shrinkToFit="1"/>
      <protection locked="0"/>
    </xf>
    <xf numFmtId="166" fontId="71" fillId="0" borderId="27" xfId="44722" applyNumberFormat="1" applyFont="1" applyBorder="1" applyAlignment="1" applyProtection="1">
      <alignment horizontal="left" vertical="center" shrinkToFit="1"/>
      <protection locked="0"/>
    </xf>
    <xf numFmtId="166" fontId="71" fillId="0" borderId="28" xfId="44722" applyNumberFormat="1" applyFont="1" applyBorder="1" applyAlignment="1" applyProtection="1">
      <alignment horizontal="left" vertical="center" shrinkToFit="1"/>
      <protection locked="0"/>
    </xf>
    <xf numFmtId="10" fontId="71" fillId="9" borderId="26" xfId="44717" applyNumberFormat="1" applyFont="1" applyFill="1" applyBorder="1" applyAlignment="1">
      <alignment horizontal="right" vertical="center" indent="1"/>
    </xf>
    <xf numFmtId="10" fontId="71" fillId="9" borderId="27" xfId="44717" applyNumberFormat="1" applyFont="1" applyFill="1" applyBorder="1" applyAlignment="1">
      <alignment horizontal="right" vertical="center" indent="1"/>
    </xf>
    <xf numFmtId="10" fontId="71" fillId="9" borderId="28" xfId="44717" applyNumberFormat="1" applyFont="1" applyFill="1" applyBorder="1" applyAlignment="1">
      <alignment horizontal="right" vertical="center" indent="1"/>
    </xf>
    <xf numFmtId="172" fontId="115" fillId="19" borderId="32" xfId="0" applyFont="1" applyFill="1" applyBorder="1" applyAlignment="1">
      <alignment horizontal="left" vertical="top" wrapText="1" indent="1"/>
    </xf>
    <xf numFmtId="172" fontId="115" fillId="19" borderId="0" xfId="0" applyFont="1" applyFill="1" applyAlignment="1">
      <alignment horizontal="left" vertical="top" wrapText="1" indent="1"/>
    </xf>
    <xf numFmtId="172" fontId="115" fillId="19" borderId="33" xfId="0" applyFont="1" applyFill="1" applyBorder="1" applyAlignment="1">
      <alignment horizontal="left" vertical="top" wrapText="1" indent="1"/>
    </xf>
    <xf numFmtId="0" fontId="45" fillId="0" borderId="17" xfId="44717" applyNumberFormat="1" applyFont="1" applyBorder="1" applyAlignment="1" applyProtection="1">
      <alignment horizontal="center" vertical="center"/>
      <protection locked="0"/>
    </xf>
    <xf numFmtId="0" fontId="112" fillId="2" borderId="0" xfId="44723" applyFont="1" applyFill="1" applyAlignment="1">
      <alignment horizontal="center" wrapText="1"/>
    </xf>
    <xf numFmtId="172" fontId="112" fillId="0" borderId="0" xfId="0" applyFont="1" applyAlignment="1">
      <alignment horizontal="center" wrapText="1"/>
    </xf>
    <xf numFmtId="182" fontId="142" fillId="9" borderId="0" xfId="0" applyNumberFormat="1" applyFont="1" applyFill="1" applyAlignment="1">
      <alignment horizontal="right" vertical="center"/>
    </xf>
    <xf numFmtId="0" fontId="65" fillId="10" borderId="15" xfId="44718" applyFont="1" applyFill="1" applyBorder="1" applyAlignment="1">
      <alignment horizontal="left" vertical="center" wrapText="1" indent="1"/>
    </xf>
    <xf numFmtId="0" fontId="65" fillId="10" borderId="0" xfId="44718" applyFont="1" applyFill="1" applyAlignment="1">
      <alignment horizontal="left" vertical="center" wrapText="1" indent="1"/>
    </xf>
    <xf numFmtId="0" fontId="65" fillId="10" borderId="16" xfId="44718" applyFont="1" applyFill="1" applyBorder="1" applyAlignment="1">
      <alignment horizontal="left" vertical="center" wrapText="1" indent="1"/>
    </xf>
    <xf numFmtId="182" fontId="45" fillId="0" borderId="17" xfId="0" applyNumberFormat="1" applyFont="1" applyBorder="1" applyAlignment="1" applyProtection="1">
      <alignment horizontal="right" vertical="center" shrinkToFit="1"/>
      <protection locked="0"/>
    </xf>
    <xf numFmtId="182" fontId="142" fillId="9" borderId="20" xfId="0" applyNumberFormat="1" applyFont="1" applyFill="1" applyBorder="1" applyAlignment="1">
      <alignment horizontal="right" vertical="center"/>
    </xf>
    <xf numFmtId="0" fontId="112" fillId="2" borderId="0" xfId="44723" applyFont="1" applyFill="1" applyAlignment="1">
      <alignment horizontal="left" wrapText="1"/>
    </xf>
    <xf numFmtId="0" fontId="45" fillId="0" borderId="17" xfId="0" applyNumberFormat="1" applyFont="1" applyBorder="1" applyAlignment="1" applyProtection="1">
      <alignment horizontal="center" vertical="center"/>
      <protection locked="0"/>
    </xf>
    <xf numFmtId="0" fontId="45" fillId="0" borderId="17" xfId="0" applyNumberFormat="1" applyFont="1" applyBorder="1" applyAlignment="1" applyProtection="1">
      <alignment horizontal="center" vertical="center" shrinkToFit="1"/>
      <protection locked="0"/>
    </xf>
    <xf numFmtId="10" fontId="45" fillId="0" borderId="17" xfId="44717" applyNumberFormat="1" applyFont="1" applyBorder="1" applyAlignment="1" applyProtection="1">
      <alignment horizontal="center" vertical="center" shrinkToFit="1"/>
      <protection locked="0"/>
    </xf>
    <xf numFmtId="166" fontId="45" fillId="9" borderId="17" xfId="0" applyNumberFormat="1" applyFont="1" applyFill="1" applyBorder="1" applyAlignment="1">
      <alignment horizontal="left" vertical="center" shrinkToFit="1"/>
    </xf>
    <xf numFmtId="166" fontId="71" fillId="2" borderId="26" xfId="44717" applyNumberFormat="1" applyFont="1" applyFill="1" applyBorder="1" applyAlignment="1" applyProtection="1">
      <alignment horizontal="right" vertical="center" indent="1"/>
      <protection locked="0"/>
    </xf>
    <xf numFmtId="166" fontId="71" fillId="2" borderId="27" xfId="44717" applyNumberFormat="1" applyFont="1" applyFill="1" applyBorder="1" applyAlignment="1" applyProtection="1">
      <alignment horizontal="right" vertical="center" indent="1"/>
      <protection locked="0"/>
    </xf>
    <xf numFmtId="166" fontId="71" fillId="2" borderId="28" xfId="44717" applyNumberFormat="1" applyFont="1" applyFill="1" applyBorder="1" applyAlignment="1" applyProtection="1">
      <alignment horizontal="right" vertical="center" indent="1"/>
      <protection locked="0"/>
    </xf>
    <xf numFmtId="166" fontId="71" fillId="2" borderId="26" xfId="44722" applyNumberFormat="1" applyFont="1" applyFill="1" applyBorder="1" applyAlignment="1" applyProtection="1">
      <alignment horizontal="right" vertical="center" shrinkToFit="1"/>
      <protection locked="0"/>
    </xf>
    <xf numFmtId="166" fontId="71" fillId="2" borderId="27" xfId="44722" applyNumberFormat="1" applyFont="1" applyFill="1" applyBorder="1" applyAlignment="1" applyProtection="1">
      <alignment horizontal="right" vertical="center" shrinkToFit="1"/>
      <protection locked="0"/>
    </xf>
    <xf numFmtId="166" fontId="71" fillId="2" borderId="28" xfId="44722" applyNumberFormat="1" applyFont="1" applyFill="1" applyBorder="1" applyAlignment="1" applyProtection="1">
      <alignment horizontal="right" vertical="center" shrinkToFit="1"/>
      <protection locked="0"/>
    </xf>
    <xf numFmtId="0" fontId="71" fillId="2" borderId="26" xfId="44722" applyFont="1" applyFill="1" applyBorder="1" applyAlignment="1" applyProtection="1">
      <alignment horizontal="right" vertical="center" indent="1"/>
      <protection locked="0"/>
    </xf>
    <xf numFmtId="0" fontId="71" fillId="2" borderId="27" xfId="44722" applyFont="1" applyFill="1" applyBorder="1" applyAlignment="1" applyProtection="1">
      <alignment horizontal="right" vertical="center" indent="1"/>
      <protection locked="0"/>
    </xf>
    <xf numFmtId="0" fontId="71" fillId="2" borderId="28" xfId="44722" applyFont="1" applyFill="1" applyBorder="1" applyAlignment="1" applyProtection="1">
      <alignment horizontal="right" vertical="center" indent="1"/>
      <protection locked="0"/>
    </xf>
    <xf numFmtId="10" fontId="71" fillId="2" borderId="26" xfId="44717" applyNumberFormat="1" applyFont="1" applyFill="1" applyBorder="1" applyAlignment="1" applyProtection="1">
      <alignment horizontal="right" vertical="center" indent="1"/>
      <protection locked="0"/>
    </xf>
    <xf numFmtId="10" fontId="71" fillId="2" borderId="27" xfId="44717" applyNumberFormat="1" applyFont="1" applyFill="1" applyBorder="1" applyAlignment="1" applyProtection="1">
      <alignment horizontal="right" vertical="center" indent="1"/>
      <protection locked="0"/>
    </xf>
    <xf numFmtId="10" fontId="71" fillId="2" borderId="28" xfId="44717" applyNumberFormat="1" applyFont="1" applyFill="1" applyBorder="1" applyAlignment="1" applyProtection="1">
      <alignment horizontal="right" vertical="center" indent="1"/>
      <protection locked="0"/>
    </xf>
    <xf numFmtId="10" fontId="142" fillId="9" borderId="20" xfId="44717" applyNumberFormat="1" applyFont="1" applyFill="1" applyBorder="1" applyAlignment="1">
      <alignment horizontal="center" vertical="center"/>
    </xf>
    <xf numFmtId="184" fontId="45" fillId="0" borderId="17" xfId="0" applyNumberFormat="1" applyFont="1" applyBorder="1" applyAlignment="1" applyProtection="1">
      <alignment horizontal="right" vertical="center" shrinkToFit="1"/>
      <protection locked="0"/>
    </xf>
    <xf numFmtId="9" fontId="45" fillId="9" borderId="17" xfId="44717" applyFont="1" applyFill="1" applyBorder="1" applyAlignment="1">
      <alignment horizontal="center" vertical="center"/>
    </xf>
    <xf numFmtId="0" fontId="45" fillId="9" borderId="17" xfId="0" applyNumberFormat="1" applyFont="1" applyFill="1" applyBorder="1" applyAlignment="1" applyProtection="1">
      <alignment horizontal="right" vertical="center" shrinkToFit="1"/>
      <protection locked="0"/>
    </xf>
    <xf numFmtId="184" fontId="45" fillId="9" borderId="17" xfId="0" applyNumberFormat="1" applyFont="1" applyFill="1" applyBorder="1" applyAlignment="1" applyProtection="1">
      <alignment horizontal="right" vertical="center" shrinkToFit="1"/>
      <protection locked="0"/>
    </xf>
    <xf numFmtId="184" fontId="45" fillId="0" borderId="26" xfId="44739" applyNumberFormat="1" applyFont="1" applyBorder="1" applyAlignment="1" applyProtection="1">
      <alignment horizontal="right" vertical="center" shrinkToFit="1"/>
      <protection locked="0"/>
    </xf>
    <xf numFmtId="184" fontId="45" fillId="0" borderId="27" xfId="44739" applyNumberFormat="1" applyFont="1" applyBorder="1" applyAlignment="1" applyProtection="1">
      <alignment horizontal="right" vertical="center" shrinkToFit="1"/>
      <protection locked="0"/>
    </xf>
    <xf numFmtId="184" fontId="45" fillId="0" borderId="28" xfId="44739" applyNumberFormat="1" applyFont="1" applyBorder="1" applyAlignment="1" applyProtection="1">
      <alignment horizontal="right" vertical="center" shrinkToFit="1"/>
      <protection locked="0"/>
    </xf>
    <xf numFmtId="0" fontId="99" fillId="2" borderId="17" xfId="44717" applyNumberFormat="1" applyFont="1" applyFill="1" applyBorder="1" applyAlignment="1" applyProtection="1">
      <alignment horizontal="left" vertical="center" shrinkToFit="1"/>
      <protection locked="0"/>
    </xf>
    <xf numFmtId="166" fontId="99" fillId="2" borderId="17" xfId="44717" applyNumberFormat="1" applyFont="1" applyFill="1" applyBorder="1" applyAlignment="1" applyProtection="1">
      <alignment horizontal="left" vertical="center" shrinkToFit="1"/>
      <protection locked="0"/>
    </xf>
    <xf numFmtId="166" fontId="71" fillId="9" borderId="26" xfId="44722" applyNumberFormat="1" applyFont="1" applyFill="1" applyBorder="1" applyAlignment="1">
      <alignment vertical="center" shrinkToFit="1"/>
    </xf>
    <xf numFmtId="166" fontId="71" fillId="9" borderId="27" xfId="44722" applyNumberFormat="1" applyFont="1" applyFill="1" applyBorder="1" applyAlignment="1">
      <alignment vertical="center" shrinkToFit="1"/>
    </xf>
    <xf numFmtId="166" fontId="71" fillId="9" borderId="28" xfId="44722" applyNumberFormat="1" applyFont="1" applyFill="1" applyBorder="1" applyAlignment="1">
      <alignment vertical="center" shrinkToFit="1"/>
    </xf>
    <xf numFmtId="166" fontId="99" fillId="9" borderId="17" xfId="44716" applyFont="1" applyFill="1" applyBorder="1" applyAlignment="1">
      <alignment horizontal="left" vertical="center" indent="1" shrinkToFit="1"/>
    </xf>
    <xf numFmtId="0" fontId="99" fillId="2" borderId="17" xfId="44717" applyNumberFormat="1" applyFont="1" applyFill="1" applyBorder="1" applyAlignment="1" applyProtection="1">
      <alignment horizontal="left" vertical="center"/>
      <protection locked="0"/>
    </xf>
    <xf numFmtId="0" fontId="71" fillId="2" borderId="26" xfId="44722" applyFont="1" applyFill="1" applyBorder="1" applyAlignment="1" applyProtection="1">
      <alignment horizontal="center" vertical="center"/>
      <protection locked="0"/>
    </xf>
    <xf numFmtId="0" fontId="71" fillId="2" borderId="27" xfId="44722" applyFont="1" applyFill="1" applyBorder="1" applyAlignment="1" applyProtection="1">
      <alignment horizontal="center" vertical="center"/>
      <protection locked="0"/>
    </xf>
    <xf numFmtId="0" fontId="71" fillId="2" borderId="28" xfId="44722" applyFont="1" applyFill="1" applyBorder="1" applyAlignment="1" applyProtection="1">
      <alignment horizontal="center" vertical="center"/>
      <protection locked="0"/>
    </xf>
    <xf numFmtId="166" fontId="48" fillId="13" borderId="26" xfId="44718" applyNumberFormat="1" applyFont="1" applyFill="1" applyBorder="1" applyAlignment="1">
      <alignment vertical="center" shrinkToFit="1"/>
    </xf>
    <xf numFmtId="166" fontId="48" fillId="13" borderId="27" xfId="44718" applyNumberFormat="1" applyFont="1" applyFill="1" applyBorder="1" applyAlignment="1">
      <alignment vertical="center" shrinkToFit="1"/>
    </xf>
    <xf numFmtId="166" fontId="48" fillId="13" borderId="28" xfId="44718" applyNumberFormat="1" applyFont="1" applyFill="1" applyBorder="1" applyAlignment="1">
      <alignment vertical="center" shrinkToFit="1"/>
    </xf>
    <xf numFmtId="14" fontId="45" fillId="9" borderId="17" xfId="44720" applyNumberFormat="1" applyFont="1" applyFill="1" applyBorder="1" applyAlignment="1">
      <alignment horizontal="center" vertical="center"/>
    </xf>
    <xf numFmtId="0" fontId="45" fillId="9" borderId="17" xfId="44720" applyFont="1" applyFill="1" applyBorder="1" applyAlignment="1">
      <alignment horizontal="center" vertical="center"/>
    </xf>
    <xf numFmtId="49" fontId="71" fillId="2" borderId="17" xfId="44722" applyNumberFormat="1" applyFont="1" applyFill="1" applyBorder="1" applyAlignment="1" applyProtection="1">
      <alignment horizontal="left" vertical="center" shrinkToFit="1"/>
      <protection locked="0"/>
    </xf>
    <xf numFmtId="0" fontId="71" fillId="2" borderId="26" xfId="44722" applyFont="1" applyFill="1" applyBorder="1" applyAlignment="1" applyProtection="1">
      <alignment horizontal="center" vertical="center" shrinkToFit="1"/>
      <protection locked="0"/>
    </xf>
    <xf numFmtId="0" fontId="71" fillId="2" borderId="27" xfId="44722" applyFont="1" applyFill="1" applyBorder="1" applyAlignment="1" applyProtection="1">
      <alignment horizontal="center" vertical="center" shrinkToFit="1"/>
      <protection locked="0"/>
    </xf>
    <xf numFmtId="0" fontId="71" fillId="2" borderId="28" xfId="44722" applyFont="1" applyFill="1" applyBorder="1" applyAlignment="1" applyProtection="1">
      <alignment horizontal="center" vertical="center" shrinkToFit="1"/>
      <protection locked="0"/>
    </xf>
    <xf numFmtId="166" fontId="87" fillId="9" borderId="26" xfId="44722" applyNumberFormat="1" applyFont="1" applyFill="1" applyBorder="1" applyAlignment="1">
      <alignment horizontal="left" vertical="center" shrinkToFit="1"/>
    </xf>
    <xf numFmtId="166" fontId="87" fillId="9" borderId="27" xfId="44722" applyNumberFormat="1" applyFont="1" applyFill="1" applyBorder="1" applyAlignment="1">
      <alignment horizontal="left" vertical="center" shrinkToFit="1"/>
    </xf>
    <xf numFmtId="166" fontId="87" fillId="9" borderId="28" xfId="44722" applyNumberFormat="1" applyFont="1" applyFill="1" applyBorder="1" applyAlignment="1">
      <alignment horizontal="left" vertical="center" shrinkToFit="1"/>
    </xf>
    <xf numFmtId="0" fontId="71" fillId="2" borderId="19" xfId="44722" applyFont="1" applyFill="1" applyBorder="1" applyAlignment="1">
      <alignment horizontal="center" vertical="center"/>
    </xf>
    <xf numFmtId="0" fontId="71" fillId="2" borderId="20" xfId="44722" applyFont="1" applyFill="1" applyBorder="1" applyAlignment="1">
      <alignment horizontal="center" vertical="center"/>
    </xf>
    <xf numFmtId="0" fontId="71" fillId="2" borderId="21" xfId="44722" applyFont="1" applyFill="1" applyBorder="1" applyAlignment="1">
      <alignment horizontal="center" vertical="center"/>
    </xf>
    <xf numFmtId="166" fontId="71" fillId="2" borderId="26" xfId="44722" applyNumberFormat="1" applyFont="1" applyFill="1" applyBorder="1" applyAlignment="1">
      <alignment vertical="center" shrinkToFit="1"/>
    </xf>
    <xf numFmtId="166" fontId="71" fillId="2" borderId="27" xfId="44722" applyNumberFormat="1" applyFont="1" applyFill="1" applyBorder="1" applyAlignment="1">
      <alignment vertical="center" shrinkToFit="1"/>
    </xf>
    <xf numFmtId="166" fontId="71" fillId="2" borderId="28" xfId="44722" applyNumberFormat="1" applyFont="1" applyFill="1" applyBorder="1" applyAlignment="1">
      <alignment vertical="center" shrinkToFit="1"/>
    </xf>
    <xf numFmtId="0" fontId="99" fillId="2" borderId="17" xfId="44717" applyNumberFormat="1" applyFont="1" applyFill="1" applyBorder="1" applyAlignment="1" applyProtection="1">
      <alignment horizontal="left" vertical="center" shrinkToFit="1"/>
    </xf>
    <xf numFmtId="0" fontId="103" fillId="2" borderId="0" xfId="44724" applyFont="1" applyFill="1">
      <alignment horizontal="left" vertical="center"/>
    </xf>
    <xf numFmtId="0" fontId="103" fillId="2" borderId="25" xfId="44724" applyFont="1" applyFill="1" applyBorder="1">
      <alignment horizontal="left" vertical="center"/>
    </xf>
    <xf numFmtId="0" fontId="129" fillId="0" borderId="0" xfId="44719" applyFont="1" applyFill="1" applyAlignment="1">
      <alignment horizontal="left"/>
    </xf>
    <xf numFmtId="0" fontId="71" fillId="0" borderId="26" xfId="44727" applyFont="1" applyBorder="1" applyProtection="1">
      <alignment horizontal="center" vertical="center"/>
      <protection locked="0"/>
    </xf>
    <xf numFmtId="0" fontId="71" fillId="0" borderId="27" xfId="44727" applyFont="1" applyBorder="1" applyProtection="1">
      <alignment horizontal="center" vertical="center"/>
      <protection locked="0"/>
    </xf>
    <xf numFmtId="0" fontId="71" fillId="0" borderId="28" xfId="44727" applyFont="1" applyBorder="1" applyProtection="1">
      <alignment horizontal="center" vertical="center"/>
      <protection locked="0"/>
    </xf>
    <xf numFmtId="14" fontId="71" fillId="2" borderId="26" xfId="44723" applyNumberFormat="1" applyFont="1" applyFill="1" applyBorder="1" applyAlignment="1" applyProtection="1">
      <alignment horizontal="center" vertical="center"/>
      <protection locked="0"/>
    </xf>
    <xf numFmtId="14" fontId="71" fillId="2" borderId="27" xfId="44723" applyNumberFormat="1" applyFont="1" applyFill="1" applyBorder="1" applyAlignment="1" applyProtection="1">
      <alignment horizontal="center" vertical="center"/>
      <protection locked="0"/>
    </xf>
    <xf numFmtId="14" fontId="71" fillId="2" borderId="28" xfId="44723" applyNumberFormat="1" applyFont="1" applyFill="1" applyBorder="1" applyAlignment="1" applyProtection="1">
      <alignment horizontal="center" vertical="center"/>
      <protection locked="0"/>
    </xf>
    <xf numFmtId="49" fontId="71" fillId="2" borderId="26" xfId="44722" applyNumberFormat="1" applyFont="1" applyFill="1" applyBorder="1" applyAlignment="1">
      <alignment horizontal="center" vertical="center"/>
    </xf>
    <xf numFmtId="49" fontId="71" fillId="2" borderId="27" xfId="44722" applyNumberFormat="1" applyFont="1" applyFill="1" applyBorder="1" applyAlignment="1">
      <alignment horizontal="center" vertical="center"/>
    </xf>
    <xf numFmtId="49" fontId="71" fillId="2" borderId="28" xfId="44722" applyNumberFormat="1" applyFont="1" applyFill="1" applyBorder="1" applyAlignment="1">
      <alignment horizontal="center" vertical="center"/>
    </xf>
    <xf numFmtId="49" fontId="71" fillId="2" borderId="26" xfId="44722" applyNumberFormat="1" applyFont="1" applyFill="1" applyBorder="1" applyAlignment="1" applyProtection="1">
      <alignment horizontal="center" vertical="center"/>
      <protection locked="0"/>
    </xf>
    <xf numFmtId="49" fontId="71" fillId="2" borderId="27" xfId="44722" applyNumberFormat="1" applyFont="1" applyFill="1" applyBorder="1" applyAlignment="1" applyProtection="1">
      <alignment horizontal="center" vertical="center"/>
      <protection locked="0"/>
    </xf>
    <xf numFmtId="49" fontId="71" fillId="2" borderId="28" xfId="44722" applyNumberFormat="1" applyFont="1" applyFill="1" applyBorder="1" applyAlignment="1" applyProtection="1">
      <alignment horizontal="center" vertical="center"/>
      <protection locked="0"/>
    </xf>
    <xf numFmtId="0" fontId="65" fillId="10" borderId="15" xfId="44728" applyFont="1" applyFill="1" applyBorder="1" applyAlignment="1">
      <alignment horizontal="center" vertical="center" wrapText="1"/>
    </xf>
    <xf numFmtId="0" fontId="65" fillId="10" borderId="16" xfId="44728" applyFont="1" applyFill="1" applyBorder="1" applyAlignment="1">
      <alignment horizontal="center" vertical="center" wrapText="1"/>
    </xf>
    <xf numFmtId="0" fontId="49" fillId="2" borderId="0" xfId="44726" applyNumberFormat="1" applyFont="1" applyFill="1" applyBorder="1" applyAlignment="1">
      <alignment horizontal="center" vertical="center"/>
    </xf>
    <xf numFmtId="1" fontId="71" fillId="2" borderId="26" xfId="44722" applyNumberFormat="1" applyFont="1" applyFill="1" applyBorder="1" applyAlignment="1">
      <alignment horizontal="center" vertical="center" shrinkToFit="1"/>
    </xf>
    <xf numFmtId="1" fontId="71" fillId="2" borderId="27" xfId="44722" applyNumberFormat="1" applyFont="1" applyFill="1" applyBorder="1" applyAlignment="1">
      <alignment horizontal="center" vertical="center" shrinkToFit="1"/>
    </xf>
    <xf numFmtId="1" fontId="71" fillId="2" borderId="28" xfId="44722" applyNumberFormat="1" applyFont="1" applyFill="1" applyBorder="1" applyAlignment="1">
      <alignment horizontal="center" vertical="center" shrinkToFit="1"/>
    </xf>
    <xf numFmtId="0" fontId="71" fillId="2" borderId="19" xfId="44722" applyFont="1" applyFill="1" applyBorder="1" applyAlignment="1" applyProtection="1">
      <alignment horizontal="center" vertical="center"/>
      <protection locked="0"/>
    </xf>
    <xf numFmtId="0" fontId="71" fillId="2" borderId="20" xfId="44722" applyFont="1" applyFill="1" applyBorder="1" applyAlignment="1" applyProtection="1">
      <alignment horizontal="center" vertical="center"/>
      <protection locked="0"/>
    </xf>
    <xf numFmtId="0" fontId="71" fillId="2" borderId="21" xfId="44722" applyFont="1" applyFill="1" applyBorder="1" applyAlignment="1" applyProtection="1">
      <alignment horizontal="center" vertical="center"/>
      <protection locked="0"/>
    </xf>
    <xf numFmtId="0" fontId="71" fillId="2" borderId="19" xfId="44722" applyFont="1" applyFill="1" applyBorder="1" applyAlignment="1">
      <alignment horizontal="center" vertical="center" shrinkToFit="1"/>
    </xf>
    <xf numFmtId="0" fontId="71" fillId="2" borderId="20" xfId="44722" applyFont="1" applyFill="1" applyBorder="1" applyAlignment="1">
      <alignment horizontal="center" vertical="center" shrinkToFit="1"/>
    </xf>
    <xf numFmtId="0" fontId="71" fillId="2" borderId="21" xfId="44722" applyFont="1" applyFill="1" applyBorder="1" applyAlignment="1">
      <alignment horizontal="center" vertical="center" shrinkToFit="1"/>
    </xf>
    <xf numFmtId="0" fontId="71" fillId="2" borderId="19" xfId="44722" applyFont="1" applyFill="1" applyBorder="1" applyAlignment="1" applyProtection="1">
      <alignment horizontal="center" vertical="center" shrinkToFit="1"/>
      <protection locked="0"/>
    </xf>
    <xf numFmtId="0" fontId="71" fillId="2" borderId="20" xfId="44722" applyFont="1" applyFill="1" applyBorder="1" applyAlignment="1" applyProtection="1">
      <alignment horizontal="center" vertical="center" shrinkToFit="1"/>
      <protection locked="0"/>
    </xf>
    <xf numFmtId="0" fontId="71" fillId="2" borderId="21" xfId="44722" applyFont="1" applyFill="1" applyBorder="1" applyAlignment="1" applyProtection="1">
      <alignment horizontal="center" vertical="center" shrinkToFit="1"/>
      <protection locked="0"/>
    </xf>
    <xf numFmtId="0" fontId="89" fillId="0" borderId="0" xfId="44718" applyFont="1" applyAlignment="1">
      <alignment horizontal="center" wrapText="1"/>
    </xf>
    <xf numFmtId="0" fontId="65" fillId="10" borderId="15" xfId="44723" applyFont="1" applyFill="1" applyBorder="1" applyAlignment="1">
      <alignment horizontal="center" vertical="center" wrapText="1"/>
    </xf>
    <xf numFmtId="0" fontId="65" fillId="10" borderId="0" xfId="44723" applyFont="1" applyFill="1" applyAlignment="1">
      <alignment horizontal="center" vertical="center" wrapText="1"/>
    </xf>
    <xf numFmtId="0" fontId="65" fillId="10" borderId="16" xfId="44723" applyFont="1" applyFill="1" applyBorder="1" applyAlignment="1">
      <alignment horizontal="center" vertical="center" wrapText="1"/>
    </xf>
    <xf numFmtId="0" fontId="175" fillId="9" borderId="17" xfId="44717" applyNumberFormat="1" applyFont="1" applyFill="1" applyBorder="1" applyAlignment="1" applyProtection="1">
      <alignment horizontal="center" vertical="center"/>
    </xf>
    <xf numFmtId="179" fontId="99" fillId="9" borderId="17" xfId="44717" applyNumberFormat="1" applyFont="1" applyFill="1" applyBorder="1" applyAlignment="1" applyProtection="1">
      <alignment horizontal="left" vertical="center" shrinkToFit="1"/>
    </xf>
    <xf numFmtId="172" fontId="112" fillId="0" borderId="0" xfId="0" applyFont="1" applyAlignment="1">
      <alignment horizontal="center"/>
    </xf>
    <xf numFmtId="172" fontId="89" fillId="0" borderId="0" xfId="0" applyFont="1" applyAlignment="1">
      <alignment horizontal="center" vertical="center" wrapText="1"/>
    </xf>
    <xf numFmtId="10" fontId="48" fillId="2" borderId="0" xfId="44717" applyNumberFormat="1" applyFont="1" applyFill="1" applyBorder="1" applyAlignment="1" applyProtection="1">
      <alignment horizontal="center" vertical="center"/>
    </xf>
    <xf numFmtId="9" fontId="99" fillId="9" borderId="17" xfId="44717" applyFont="1" applyFill="1" applyBorder="1" applyAlignment="1">
      <alignment horizontal="center" vertical="center"/>
    </xf>
    <xf numFmtId="0" fontId="45" fillId="9" borderId="26" xfId="44737" applyFont="1" applyFill="1" applyBorder="1" applyAlignment="1">
      <alignment horizontal="center" vertical="center"/>
    </xf>
    <xf numFmtId="0" fontId="45" fillId="9" borderId="28" xfId="44737" applyFont="1" applyFill="1" applyBorder="1" applyAlignment="1">
      <alignment horizontal="center" vertical="center"/>
    </xf>
    <xf numFmtId="172" fontId="133" fillId="19" borderId="35" xfId="0" applyFont="1" applyFill="1" applyBorder="1" applyAlignment="1">
      <alignment horizontal="center" vertical="center" wrapText="1"/>
    </xf>
    <xf numFmtId="172" fontId="133" fillId="19" borderId="36" xfId="0" applyFont="1" applyFill="1" applyBorder="1" applyAlignment="1">
      <alignment horizontal="center" vertical="center" wrapText="1"/>
    </xf>
    <xf numFmtId="172" fontId="133" fillId="19" borderId="35" xfId="0" applyFont="1" applyFill="1" applyBorder="1" applyAlignment="1">
      <alignment horizontal="left" vertical="center" wrapText="1" indent="1"/>
    </xf>
    <xf numFmtId="172" fontId="133" fillId="19" borderId="0" xfId="0" applyFont="1" applyFill="1" applyAlignment="1">
      <alignment horizontal="left" vertical="center" wrapText="1" indent="1"/>
    </xf>
    <xf numFmtId="172" fontId="133" fillId="19" borderId="36" xfId="0" applyFont="1" applyFill="1" applyBorder="1" applyAlignment="1">
      <alignment horizontal="left" vertical="center" wrapText="1" indent="1"/>
    </xf>
    <xf numFmtId="172" fontId="133" fillId="19" borderId="0" xfId="0" applyFont="1" applyFill="1" applyAlignment="1">
      <alignment horizontal="center" vertical="center" wrapText="1"/>
    </xf>
    <xf numFmtId="172" fontId="169" fillId="19" borderId="32" xfId="0" applyFont="1" applyFill="1" applyBorder="1" applyAlignment="1">
      <alignment horizontal="center" vertical="center" wrapText="1"/>
    </xf>
    <xf numFmtId="172" fontId="169" fillId="19" borderId="0" xfId="0" applyFont="1" applyFill="1" applyAlignment="1">
      <alignment horizontal="center" vertical="center" wrapText="1"/>
    </xf>
    <xf numFmtId="172" fontId="169" fillId="19" borderId="33" xfId="0" applyFont="1" applyFill="1" applyBorder="1" applyAlignment="1">
      <alignment horizontal="center" vertical="center" wrapText="1"/>
    </xf>
    <xf numFmtId="172" fontId="169" fillId="19" borderId="53" xfId="0" applyFont="1" applyFill="1" applyBorder="1" applyAlignment="1">
      <alignment horizontal="center" vertical="center" wrapText="1"/>
    </xf>
    <xf numFmtId="0" fontId="71" fillId="2" borderId="26" xfId="44724" applyFont="1" applyFill="1" applyBorder="1" applyAlignment="1" applyProtection="1">
      <alignment horizontal="left" vertical="center" shrinkToFit="1"/>
      <protection locked="0"/>
    </xf>
    <xf numFmtId="0" fontId="71" fillId="2" borderId="28" xfId="44724" applyFont="1" applyFill="1" applyBorder="1" applyAlignment="1" applyProtection="1">
      <alignment horizontal="left" vertical="center" shrinkToFit="1"/>
      <protection locked="0"/>
    </xf>
    <xf numFmtId="0" fontId="81" fillId="0" borderId="19" xfId="0" applyNumberFormat="1" applyFont="1" applyBorder="1" applyAlignment="1" applyProtection="1">
      <alignment horizontal="left" vertical="top" wrapText="1"/>
      <protection locked="0"/>
    </xf>
    <xf numFmtId="0" fontId="81" fillId="0" borderId="20" xfId="0" applyNumberFormat="1" applyFont="1" applyBorder="1" applyAlignment="1" applyProtection="1">
      <alignment horizontal="left" vertical="top" wrapText="1"/>
      <protection locked="0"/>
    </xf>
    <xf numFmtId="0" fontId="81" fillId="0" borderId="21" xfId="0" applyNumberFormat="1" applyFont="1" applyBorder="1" applyAlignment="1" applyProtection="1">
      <alignment horizontal="left" vertical="top" wrapText="1"/>
      <protection locked="0"/>
    </xf>
    <xf numFmtId="0" fontId="81" fillId="0" borderId="24" xfId="0" applyNumberFormat="1" applyFont="1" applyBorder="1" applyAlignment="1" applyProtection="1">
      <alignment horizontal="left" vertical="top" wrapText="1"/>
      <protection locked="0"/>
    </xf>
    <xf numFmtId="0" fontId="81" fillId="0" borderId="0" xfId="0" applyNumberFormat="1" applyFont="1" applyAlignment="1" applyProtection="1">
      <alignment horizontal="left" vertical="top" wrapText="1"/>
      <protection locked="0"/>
    </xf>
    <xf numFmtId="0" fontId="81" fillId="0" borderId="25" xfId="0" applyNumberFormat="1" applyFont="1" applyBorder="1" applyAlignment="1" applyProtection="1">
      <alignment horizontal="left" vertical="top" wrapText="1"/>
      <protection locked="0"/>
    </xf>
    <xf numFmtId="0" fontId="81" fillId="0" borderId="22" xfId="0" applyNumberFormat="1" applyFont="1" applyBorder="1" applyAlignment="1" applyProtection="1">
      <alignment horizontal="left" vertical="top" wrapText="1"/>
      <protection locked="0"/>
    </xf>
    <xf numFmtId="0" fontId="81" fillId="0" borderId="18" xfId="0" applyNumberFormat="1" applyFont="1" applyBorder="1" applyAlignment="1" applyProtection="1">
      <alignment horizontal="left" vertical="top" wrapText="1"/>
      <protection locked="0"/>
    </xf>
    <xf numFmtId="0" fontId="81" fillId="0" borderId="23" xfId="0" applyNumberFormat="1" applyFont="1" applyBorder="1" applyAlignment="1" applyProtection="1">
      <alignment horizontal="left" vertical="top" wrapText="1"/>
      <protection locked="0"/>
    </xf>
    <xf numFmtId="0" fontId="45" fillId="2" borderId="26" xfId="0" applyNumberFormat="1" applyFont="1" applyFill="1" applyBorder="1" applyAlignment="1" applyProtection="1">
      <alignment horizontal="left" vertical="center" shrinkToFit="1"/>
      <protection locked="0"/>
    </xf>
    <xf numFmtId="0" fontId="45" fillId="2" borderId="27" xfId="0" applyNumberFormat="1" applyFont="1" applyFill="1" applyBorder="1" applyAlignment="1" applyProtection="1">
      <alignment horizontal="left" vertical="center" shrinkToFit="1"/>
      <protection locked="0"/>
    </xf>
    <xf numFmtId="0" fontId="45" fillId="2" borderId="28" xfId="0" applyNumberFormat="1" applyFont="1" applyFill="1" applyBorder="1" applyAlignment="1" applyProtection="1">
      <alignment horizontal="left" vertical="center" shrinkToFit="1"/>
      <protection locked="0"/>
    </xf>
    <xf numFmtId="0" fontId="178" fillId="0" borderId="0" xfId="0" applyNumberFormat="1" applyFont="1" applyAlignment="1">
      <alignment horizontal="left" vertical="center" wrapText="1" indent="2"/>
    </xf>
    <xf numFmtId="0" fontId="83" fillId="10" borderId="31" xfId="44724" applyFont="1" applyFill="1" applyBorder="1" applyAlignment="1">
      <alignment horizontal="left" vertical="center" wrapText="1"/>
    </xf>
    <xf numFmtId="0" fontId="0" fillId="0" borderId="0" xfId="0" applyNumberFormat="1" applyAlignment="1">
      <alignment horizontal="left" vertical="center" wrapText="1" indent="1"/>
    </xf>
    <xf numFmtId="0" fontId="71" fillId="0" borderId="26" xfId="0" applyNumberFormat="1" applyFont="1" applyBorder="1" applyAlignment="1" applyProtection="1">
      <alignment horizontal="left" vertical="center"/>
      <protection locked="0"/>
    </xf>
    <xf numFmtId="0" fontId="71" fillId="0" borderId="28" xfId="0" applyNumberFormat="1" applyFont="1" applyBorder="1" applyAlignment="1" applyProtection="1">
      <alignment horizontal="left" vertical="center"/>
      <protection locked="0"/>
    </xf>
    <xf numFmtId="0" fontId="71" fillId="0" borderId="26" xfId="0" applyNumberFormat="1" applyFont="1" applyBorder="1" applyAlignment="1">
      <alignment horizontal="center" vertical="center"/>
    </xf>
    <xf numFmtId="0" fontId="71" fillId="0" borderId="28" xfId="0" applyNumberFormat="1" applyFont="1" applyBorder="1" applyAlignment="1">
      <alignment horizontal="center" vertical="center"/>
    </xf>
    <xf numFmtId="0" fontId="71" fillId="0" borderId="26" xfId="0" applyNumberFormat="1" applyFont="1" applyBorder="1" applyAlignment="1" applyProtection="1">
      <alignment horizontal="left" vertical="center" shrinkToFit="1"/>
      <protection locked="0"/>
    </xf>
    <xf numFmtId="0" fontId="71" fillId="0" borderId="28" xfId="0" applyNumberFormat="1" applyFont="1" applyBorder="1" applyAlignment="1" applyProtection="1">
      <alignment horizontal="left" vertical="center" shrinkToFit="1"/>
      <protection locked="0"/>
    </xf>
    <xf numFmtId="49" fontId="71" fillId="0" borderId="26" xfId="0" applyNumberFormat="1" applyFont="1" applyBorder="1" applyAlignment="1" applyProtection="1">
      <alignment horizontal="left" vertical="center"/>
      <protection locked="0"/>
    </xf>
    <xf numFmtId="49" fontId="71" fillId="0" borderId="28" xfId="0" applyNumberFormat="1" applyFont="1" applyBorder="1" applyAlignment="1" applyProtection="1">
      <alignment horizontal="left" vertical="center"/>
      <protection locked="0"/>
    </xf>
    <xf numFmtId="0" fontId="71" fillId="2" borderId="26" xfId="44724" applyFont="1" applyFill="1" applyBorder="1" applyAlignment="1" applyProtection="1">
      <alignment horizontal="left" vertical="center" wrapText="1"/>
      <protection locked="0"/>
    </xf>
    <xf numFmtId="0" fontId="71" fillId="2" borderId="28" xfId="44724" applyFont="1" applyFill="1" applyBorder="1" applyAlignment="1" applyProtection="1">
      <alignment horizontal="left" vertical="center" wrapText="1"/>
      <protection locked="0"/>
    </xf>
    <xf numFmtId="174" fontId="45" fillId="9" borderId="26" xfId="44720" applyNumberFormat="1" applyFont="1" applyFill="1" applyBorder="1" applyAlignment="1">
      <alignment horizontal="left" vertical="center" indent="1"/>
    </xf>
    <xf numFmtId="174" fontId="45" fillId="9" borderId="28" xfId="44720" applyNumberFormat="1" applyFont="1" applyFill="1" applyBorder="1" applyAlignment="1">
      <alignment horizontal="left" vertical="center" indent="1"/>
    </xf>
    <xf numFmtId="0" fontId="118" fillId="0" borderId="24" xfId="0" applyNumberFormat="1" applyFont="1" applyBorder="1" applyAlignment="1">
      <alignment horizontal="center" vertical="center"/>
    </xf>
    <xf numFmtId="0" fontId="118" fillId="0" borderId="0" xfId="0" applyNumberFormat="1" applyFont="1" applyAlignment="1">
      <alignment horizontal="center" vertical="center"/>
    </xf>
    <xf numFmtId="0" fontId="129" fillId="0" borderId="0" xfId="44720" applyFont="1" applyAlignment="1">
      <alignment vertical="center"/>
    </xf>
    <xf numFmtId="174" fontId="45" fillId="9" borderId="27" xfId="44720" applyNumberFormat="1" applyFont="1" applyFill="1" applyBorder="1" applyAlignment="1">
      <alignment horizontal="left" vertical="center" indent="1"/>
    </xf>
    <xf numFmtId="172" fontId="89" fillId="0" borderId="0" xfId="0" applyFont="1" applyAlignment="1">
      <alignment horizontal="left" wrapText="1" indent="1"/>
    </xf>
    <xf numFmtId="0" fontId="107" fillId="0" borderId="0" xfId="0" applyNumberFormat="1" applyFont="1" applyAlignment="1">
      <alignment horizontal="center" vertical="center" wrapText="1"/>
    </xf>
    <xf numFmtId="0" fontId="89" fillId="0" borderId="29" xfId="44720" applyFont="1" applyBorder="1" applyAlignment="1">
      <alignment horizontal="center" wrapText="1"/>
    </xf>
    <xf numFmtId="0" fontId="89" fillId="0" borderId="34" xfId="44720" applyFont="1" applyBorder="1" applyAlignment="1">
      <alignment horizontal="center" wrapText="1"/>
    </xf>
    <xf numFmtId="0" fontId="89" fillId="0" borderId="30" xfId="44720" applyFont="1" applyBorder="1" applyAlignment="1">
      <alignment horizontal="center" wrapText="1"/>
    </xf>
    <xf numFmtId="0" fontId="92" fillId="0" borderId="0" xfId="44718" applyFont="1" applyAlignment="1">
      <alignment horizontal="center" vertical="center"/>
    </xf>
    <xf numFmtId="0" fontId="89" fillId="0" borderId="0" xfId="44720" applyFont="1" applyAlignment="1">
      <alignment horizontal="center" wrapText="1"/>
    </xf>
    <xf numFmtId="0" fontId="89" fillId="2" borderId="0" xfId="44720" applyFont="1" applyFill="1" applyAlignment="1">
      <alignment horizontal="center" wrapText="1"/>
    </xf>
    <xf numFmtId="0" fontId="89" fillId="0" borderId="0" xfId="44720" applyFont="1" applyAlignment="1">
      <alignment horizontal="center"/>
    </xf>
    <xf numFmtId="0" fontId="89" fillId="0" borderId="0" xfId="44718" applyFont="1" applyAlignment="1">
      <alignment horizontal="center"/>
    </xf>
    <xf numFmtId="0" fontId="107" fillId="0" borderId="0" xfId="0" applyNumberFormat="1" applyFont="1" applyAlignment="1">
      <alignment horizontal="center" vertical="center"/>
    </xf>
    <xf numFmtId="0" fontId="89" fillId="2" borderId="0" xfId="44720" applyFont="1" applyFill="1" applyAlignment="1">
      <alignment horizontal="left" wrapText="1"/>
    </xf>
    <xf numFmtId="0" fontId="65" fillId="0" borderId="17" xfId="44718" applyFont="1" applyBorder="1" applyAlignment="1">
      <alignment horizontal="center" wrapText="1"/>
    </xf>
    <xf numFmtId="0" fontId="65" fillId="10" borderId="31" xfId="44718" applyFont="1" applyFill="1" applyBorder="1" applyAlignment="1">
      <alignment horizontal="left" vertical="center" wrapText="1" indent="1"/>
    </xf>
    <xf numFmtId="0" fontId="40" fillId="0" borderId="0" xfId="44718" applyFont="1" applyAlignment="1">
      <alignment horizontal="center" vertical="center" wrapText="1"/>
    </xf>
    <xf numFmtId="0" fontId="65" fillId="10" borderId="15" xfId="44735" applyFont="1" applyFill="1" applyBorder="1" applyAlignment="1">
      <alignment horizontal="center" vertical="center" wrapText="1"/>
    </xf>
    <xf numFmtId="0" fontId="65" fillId="10" borderId="16" xfId="44735" applyFont="1" applyFill="1" applyBorder="1" applyAlignment="1">
      <alignment horizontal="center" vertical="center" wrapText="1"/>
    </xf>
    <xf numFmtId="164" fontId="45" fillId="0" borderId="26" xfId="44735" applyNumberFormat="1" applyFont="1" applyBorder="1" applyAlignment="1" applyProtection="1">
      <alignment horizontal="left" vertical="top" wrapText="1"/>
      <protection locked="0"/>
    </xf>
    <xf numFmtId="164" fontId="45" fillId="0" borderId="27" xfId="44735" applyNumberFormat="1" applyFont="1" applyBorder="1" applyAlignment="1" applyProtection="1">
      <alignment horizontal="left" vertical="top"/>
      <protection locked="0"/>
    </xf>
    <xf numFmtId="164" fontId="45" fillId="0" borderId="28" xfId="44735" applyNumberFormat="1" applyFont="1" applyBorder="1" applyAlignment="1" applyProtection="1">
      <alignment horizontal="left" vertical="top"/>
      <protection locked="0"/>
    </xf>
    <xf numFmtId="0" fontId="83" fillId="10" borderId="15" xfId="44733" applyFont="1" applyFill="1" applyBorder="1" applyAlignment="1">
      <alignment horizontal="left" vertical="center" wrapText="1" indent="1"/>
    </xf>
    <xf numFmtId="0" fontId="83" fillId="10" borderId="16" xfId="44733" applyFont="1" applyFill="1" applyBorder="1" applyAlignment="1">
      <alignment horizontal="left" vertical="center" wrapText="1" indent="1"/>
    </xf>
    <xf numFmtId="0" fontId="139" fillId="0" borderId="0" xfId="44733" applyFont="1" applyAlignment="1">
      <alignment horizontal="center" vertical="center" wrapText="1"/>
    </xf>
    <xf numFmtId="0" fontId="169" fillId="19" borderId="32" xfId="44733" applyFont="1" applyFill="1" applyBorder="1" applyAlignment="1">
      <alignment horizontal="center" vertical="center" wrapText="1"/>
    </xf>
    <xf numFmtId="0" fontId="169" fillId="19" borderId="0" xfId="44733" applyFont="1" applyFill="1" applyAlignment="1">
      <alignment horizontal="center" vertical="center" wrapText="1"/>
    </xf>
    <xf numFmtId="0" fontId="169" fillId="19" borderId="33" xfId="44733" applyFont="1" applyFill="1" applyBorder="1" applyAlignment="1">
      <alignment horizontal="center" vertical="center" wrapText="1"/>
    </xf>
    <xf numFmtId="0" fontId="41" fillId="0" borderId="0" xfId="44731" applyAlignment="1">
      <alignment horizontal="left" vertical="center" indent="1"/>
    </xf>
    <xf numFmtId="0" fontId="83" fillId="10" borderId="15" xfId="44731" applyFont="1" applyFill="1" applyBorder="1" applyAlignment="1">
      <alignment horizontal="left" vertical="center" wrapText="1" indent="1"/>
    </xf>
    <xf numFmtId="0" fontId="83" fillId="10" borderId="15" xfId="44731" applyFont="1" applyFill="1" applyBorder="1" applyAlignment="1">
      <alignment horizontal="left" vertical="center" indent="1"/>
    </xf>
    <xf numFmtId="0" fontId="83" fillId="10" borderId="16" xfId="44731" applyFont="1" applyFill="1" applyBorder="1" applyAlignment="1">
      <alignment horizontal="left" vertical="center" indent="1"/>
    </xf>
    <xf numFmtId="172" fontId="189" fillId="22" borderId="57" xfId="14" applyFont="1" applyFill="1" applyBorder="1" applyAlignment="1">
      <alignment horizontal="center" vertical="center" wrapText="1"/>
    </xf>
    <xf numFmtId="172" fontId="189" fillId="22" borderId="0" xfId="14" applyFont="1" applyFill="1" applyAlignment="1">
      <alignment horizontal="center" vertical="center" wrapText="1"/>
    </xf>
    <xf numFmtId="172" fontId="189" fillId="22" borderId="58" xfId="14" applyFont="1" applyFill="1" applyBorder="1" applyAlignment="1">
      <alignment horizontal="center" vertical="center" wrapText="1"/>
    </xf>
    <xf numFmtId="0" fontId="45" fillId="2" borderId="29" xfId="44741" applyFont="1" applyFill="1" applyBorder="1" applyAlignment="1" applyProtection="1">
      <alignment horizontal="left" vertical="top" wrapText="1"/>
      <protection locked="0"/>
    </xf>
    <xf numFmtId="0" fontId="45" fillId="2" borderId="34" xfId="44741" applyFont="1" applyFill="1" applyBorder="1" applyAlignment="1" applyProtection="1">
      <alignment horizontal="left" vertical="top" wrapText="1"/>
      <protection locked="0"/>
    </xf>
    <xf numFmtId="0" fontId="45" fillId="2" borderId="30" xfId="44741" applyFont="1" applyFill="1" applyBorder="1" applyAlignment="1" applyProtection="1">
      <alignment horizontal="left" vertical="top" wrapText="1"/>
      <protection locked="0"/>
    </xf>
    <xf numFmtId="49" fontId="45" fillId="2" borderId="17" xfId="44741" applyNumberFormat="1" applyFont="1" applyFill="1" applyBorder="1" applyAlignment="1" applyProtection="1">
      <alignment horizontal="left" vertical="center" shrinkToFit="1"/>
      <protection locked="0"/>
    </xf>
    <xf numFmtId="0" fontId="71" fillId="2" borderId="17" xfId="44741" applyFont="1" applyFill="1" applyBorder="1" applyAlignment="1" applyProtection="1">
      <alignment horizontal="center" vertical="center" shrinkToFit="1"/>
      <protection locked="0"/>
    </xf>
    <xf numFmtId="0" fontId="99" fillId="0" borderId="25" xfId="44741" applyFont="1" applyBorder="1" applyAlignment="1">
      <alignment horizontal="center" vertical="top" wrapText="1"/>
    </xf>
    <xf numFmtId="0" fontId="99" fillId="0" borderId="23" xfId="44741" applyFont="1" applyBorder="1" applyAlignment="1">
      <alignment horizontal="center" vertical="top" wrapText="1"/>
    </xf>
    <xf numFmtId="0" fontId="45" fillId="9" borderId="17" xfId="44741" applyFont="1" applyFill="1" applyBorder="1" applyAlignment="1">
      <alignment horizontal="center" vertical="center"/>
    </xf>
    <xf numFmtId="0" fontId="71" fillId="2" borderId="26" xfId="44740" applyFont="1" applyFill="1" applyBorder="1" applyAlignment="1" applyProtection="1">
      <alignment horizontal="left" vertical="center" shrinkToFit="1"/>
      <protection locked="0"/>
    </xf>
    <xf numFmtId="0" fontId="71" fillId="2" borderId="27" xfId="44740" applyFont="1" applyFill="1" applyBorder="1" applyAlignment="1" applyProtection="1">
      <alignment horizontal="left" vertical="center" shrinkToFit="1"/>
      <protection locked="0"/>
    </xf>
    <xf numFmtId="0" fontId="71" fillId="2" borderId="28" xfId="44740" applyFont="1" applyFill="1" applyBorder="1" applyAlignment="1" applyProtection="1">
      <alignment horizontal="left" vertical="center" shrinkToFit="1"/>
      <protection locked="0"/>
    </xf>
    <xf numFmtId="0" fontId="163" fillId="22" borderId="32" xfId="44741" applyFont="1" applyFill="1" applyBorder="1" applyAlignment="1">
      <alignment horizontal="left" vertical="center" wrapText="1" indent="1"/>
    </xf>
    <xf numFmtId="0" fontId="163" fillId="22" borderId="33" xfId="44741" applyFont="1" applyFill="1" applyBorder="1" applyAlignment="1">
      <alignment horizontal="left" vertical="center" wrapText="1" indent="1"/>
    </xf>
    <xf numFmtId="0" fontId="103" fillId="0" borderId="0" xfId="44741" applyFont="1" applyAlignment="1">
      <alignment horizontal="left" vertical="center" wrapText="1"/>
    </xf>
    <xf numFmtId="0" fontId="103" fillId="0" borderId="0" xfId="44741" applyFont="1" applyAlignment="1">
      <alignment horizontal="left" vertical="center"/>
    </xf>
    <xf numFmtId="0" fontId="103" fillId="0" borderId="0" xfId="44741" applyFont="1" applyAlignment="1">
      <alignment horizontal="left" vertical="top" wrapText="1"/>
    </xf>
    <xf numFmtId="0" fontId="71" fillId="2" borderId="19" xfId="44741" applyFont="1" applyFill="1" applyBorder="1" applyAlignment="1" applyProtection="1">
      <alignment horizontal="left" vertical="top" wrapText="1"/>
      <protection locked="0"/>
    </xf>
    <xf numFmtId="0" fontId="71" fillId="2" borderId="20" xfId="44741" applyFont="1" applyFill="1" applyBorder="1" applyAlignment="1" applyProtection="1">
      <alignment horizontal="left" vertical="top" wrapText="1"/>
      <protection locked="0"/>
    </xf>
    <xf numFmtId="0" fontId="71" fillId="2" borderId="21" xfId="44741" applyFont="1" applyFill="1" applyBorder="1" applyAlignment="1" applyProtection="1">
      <alignment horizontal="left" vertical="top" wrapText="1"/>
      <protection locked="0"/>
    </xf>
    <xf numFmtId="0" fontId="71" fillId="2" borderId="24" xfId="44741" applyFont="1" applyFill="1" applyBorder="1" applyAlignment="1" applyProtection="1">
      <alignment horizontal="left" vertical="top" wrapText="1"/>
      <protection locked="0"/>
    </xf>
    <xf numFmtId="0" fontId="71" fillId="2" borderId="0" xfId="44741" applyFont="1" applyFill="1" applyAlignment="1" applyProtection="1">
      <alignment horizontal="left" vertical="top" wrapText="1"/>
      <protection locked="0"/>
    </xf>
    <xf numFmtId="0" fontId="71" fillId="2" borderId="25" xfId="44741" applyFont="1" applyFill="1" applyBorder="1" applyAlignment="1" applyProtection="1">
      <alignment horizontal="left" vertical="top" wrapText="1"/>
      <protection locked="0"/>
    </xf>
    <xf numFmtId="0" fontId="71" fillId="2" borderId="22" xfId="44741" applyFont="1" applyFill="1" applyBorder="1" applyAlignment="1" applyProtection="1">
      <alignment horizontal="left" vertical="top" wrapText="1"/>
      <protection locked="0"/>
    </xf>
    <xf numFmtId="0" fontId="71" fillId="2" borderId="18" xfId="44741" applyFont="1" applyFill="1" applyBorder="1" applyAlignment="1" applyProtection="1">
      <alignment horizontal="left" vertical="top" wrapText="1"/>
      <protection locked="0"/>
    </xf>
    <xf numFmtId="0" fontId="71" fillId="2" borderId="23" xfId="44741" applyFont="1" applyFill="1" applyBorder="1" applyAlignment="1" applyProtection="1">
      <alignment horizontal="left" vertical="top" wrapText="1"/>
      <protection locked="0"/>
    </xf>
    <xf numFmtId="0" fontId="99" fillId="0" borderId="0" xfId="44741" applyFont="1" applyAlignment="1">
      <alignment horizontal="center" vertical="center" wrapText="1"/>
    </xf>
    <xf numFmtId="172" fontId="45" fillId="0" borderId="26" xfId="14" applyFont="1" applyBorder="1" applyAlignment="1" applyProtection="1">
      <alignment horizontal="left" vertical="center"/>
      <protection locked="0"/>
    </xf>
    <xf numFmtId="172" fontId="45" fillId="0" borderId="27" xfId="14" applyFont="1" applyBorder="1" applyAlignment="1" applyProtection="1">
      <alignment horizontal="left" vertical="center"/>
      <protection locked="0"/>
    </xf>
    <xf numFmtId="172" fontId="45" fillId="0" borderId="28" xfId="14" applyFont="1" applyBorder="1" applyAlignment="1" applyProtection="1">
      <alignment horizontal="left" vertical="center"/>
      <protection locked="0"/>
    </xf>
    <xf numFmtId="172" fontId="158" fillId="19" borderId="48" xfId="14" applyFont="1" applyFill="1" applyBorder="1" applyAlignment="1">
      <alignment horizontal="left" vertical="center" wrapText="1" indent="1"/>
    </xf>
    <xf numFmtId="0" fontId="105" fillId="8" borderId="26" xfId="44720" applyFont="1" applyFill="1" applyBorder="1" applyAlignment="1">
      <alignment horizontal="center" vertical="center"/>
    </xf>
    <xf numFmtId="0" fontId="105" fillId="8" borderId="27" xfId="44720" applyFont="1" applyFill="1" applyBorder="1" applyAlignment="1">
      <alignment horizontal="center" vertical="center"/>
    </xf>
    <xf numFmtId="0" fontId="105" fillId="8" borderId="28" xfId="44720" applyFont="1" applyFill="1" applyBorder="1" applyAlignment="1">
      <alignment horizontal="center" vertical="center"/>
    </xf>
    <xf numFmtId="0" fontId="105" fillId="14" borderId="26" xfId="44720" applyFont="1" applyFill="1" applyBorder="1" applyAlignment="1">
      <alignment horizontal="center" vertical="center"/>
    </xf>
    <xf numFmtId="0" fontId="105" fillId="14" borderId="27" xfId="44720" applyFont="1" applyFill="1" applyBorder="1" applyAlignment="1">
      <alignment horizontal="center" vertical="center"/>
    </xf>
    <xf numFmtId="0" fontId="105" fillId="14" borderId="28" xfId="44720" applyFont="1" applyFill="1" applyBorder="1" applyAlignment="1">
      <alignment horizontal="center" vertical="center"/>
    </xf>
    <xf numFmtId="0" fontId="103" fillId="0" borderId="0" xfId="44720" applyFont="1" applyAlignment="1">
      <alignment horizontal="center" vertical="center"/>
    </xf>
    <xf numFmtId="0" fontId="103" fillId="0" borderId="18" xfId="44720" applyFont="1" applyBorder="1" applyAlignment="1">
      <alignment horizontal="center" vertical="center"/>
    </xf>
    <xf numFmtId="0" fontId="115" fillId="19" borderId="32" xfId="44750" applyFont="1" applyFill="1" applyBorder="1" applyAlignment="1">
      <alignment horizontal="center" vertical="center" wrapText="1"/>
    </xf>
    <xf numFmtId="0" fontId="115" fillId="19" borderId="0" xfId="44750" applyFont="1" applyFill="1" applyAlignment="1">
      <alignment horizontal="center" vertical="center" wrapText="1"/>
    </xf>
    <xf numFmtId="0" fontId="115" fillId="19" borderId="33" xfId="44750" applyFont="1" applyFill="1" applyBorder="1" applyAlignment="1">
      <alignment horizontal="center" vertical="center" wrapText="1"/>
    </xf>
    <xf numFmtId="0" fontId="99" fillId="9" borderId="26" xfId="44723" applyFont="1" applyFill="1" applyBorder="1" applyAlignment="1">
      <alignment horizontal="center" vertical="center"/>
    </xf>
    <xf numFmtId="0" fontId="99" fillId="9" borderId="28" xfId="44723" applyFont="1" applyFill="1" applyBorder="1" applyAlignment="1">
      <alignment horizontal="center" vertical="center"/>
    </xf>
    <xf numFmtId="179" fontId="99" fillId="9" borderId="26" xfId="44723" applyNumberFormat="1" applyFont="1" applyFill="1" applyBorder="1" applyAlignment="1">
      <alignment horizontal="center" vertical="center"/>
    </xf>
    <xf numFmtId="179" fontId="99" fillId="9" borderId="28" xfId="44723" applyNumberFormat="1" applyFont="1" applyFill="1" applyBorder="1" applyAlignment="1">
      <alignment horizontal="center" vertical="center"/>
    </xf>
    <xf numFmtId="180" fontId="99" fillId="9" borderId="26" xfId="44716" applyNumberFormat="1" applyFont="1" applyFill="1" applyBorder="1" applyAlignment="1" applyProtection="1">
      <alignment horizontal="left" vertical="center"/>
    </xf>
    <xf numFmtId="180" fontId="99" fillId="9" borderId="28" xfId="44716" applyNumberFormat="1" applyFont="1" applyFill="1" applyBorder="1" applyAlignment="1" applyProtection="1">
      <alignment horizontal="left" vertical="center"/>
    </xf>
    <xf numFmtId="171" fontId="99" fillId="9" borderId="26" xfId="44717" applyNumberFormat="1" applyFont="1" applyFill="1" applyBorder="1" applyAlignment="1" applyProtection="1">
      <alignment horizontal="right" vertical="center"/>
    </xf>
    <xf numFmtId="171" fontId="99" fillId="9" borderId="28" xfId="44717" applyNumberFormat="1" applyFont="1" applyFill="1" applyBorder="1" applyAlignment="1" applyProtection="1">
      <alignment horizontal="right" vertical="center"/>
    </xf>
    <xf numFmtId="180" fontId="99" fillId="9" borderId="26" xfId="44716" applyNumberFormat="1" applyFont="1" applyFill="1" applyBorder="1" applyAlignment="1" applyProtection="1">
      <alignment horizontal="left" vertical="center" shrinkToFit="1"/>
    </xf>
    <xf numFmtId="180" fontId="99" fillId="9" borderId="28" xfId="44716" applyNumberFormat="1" applyFont="1" applyFill="1" applyBorder="1" applyAlignment="1" applyProtection="1">
      <alignment horizontal="left" vertical="center" shrinkToFit="1"/>
    </xf>
    <xf numFmtId="166" fontId="71" fillId="0" borderId="17" xfId="44716" applyNumberFormat="1" applyFont="1" applyFill="1" applyBorder="1" applyAlignment="1" applyProtection="1">
      <alignment horizontal="left" vertical="center" shrinkToFit="1"/>
      <protection locked="0"/>
    </xf>
    <xf numFmtId="166" fontId="71" fillId="0" borderId="17" xfId="44716" applyNumberFormat="1" applyFont="1" applyFill="1" applyBorder="1" applyAlignment="1" applyProtection="1">
      <alignment horizontal="left" vertical="center" shrinkToFit="1"/>
    </xf>
    <xf numFmtId="14" fontId="71" fillId="0" borderId="17" xfId="0" applyNumberFormat="1" applyFont="1" applyBorder="1" applyAlignment="1" applyProtection="1">
      <alignment horizontal="center" vertical="center"/>
    </xf>
  </cellXfs>
  <cellStyles count="44753">
    <cellStyle name="14p Input" xfId="9" xr:uid="{00000000-0005-0000-0000-000000000000}"/>
    <cellStyle name="14p Input 2" xfId="44722" xr:uid="{00000000-0005-0000-0000-000001000000}"/>
    <cellStyle name="16p Copy" xfId="8" xr:uid="{00000000-0005-0000-0000-000002000000}"/>
    <cellStyle name="16p Copy 2" xfId="44721" xr:uid="{00000000-0005-0000-0000-000003000000}"/>
    <cellStyle name="18 Field title" xfId="7" xr:uid="{00000000-0005-0000-0000-000004000000}"/>
    <cellStyle name="18 Field title 2" xfId="44720" xr:uid="{00000000-0005-0000-0000-000005000000}"/>
    <cellStyle name="2 field question" xfId="10" xr:uid="{00000000-0005-0000-0000-000006000000}"/>
    <cellStyle name="2 field question 2" xfId="44724" xr:uid="{00000000-0005-0000-0000-000007000000}"/>
    <cellStyle name="Comma 2" xfId="18" xr:uid="{00000000-0005-0000-0000-000009000000}"/>
    <cellStyle name="Comma 2 2" xfId="19" xr:uid="{00000000-0005-0000-0000-00000A000000}"/>
    <cellStyle name="Comma 2 2 2" xfId="20" xr:uid="{00000000-0005-0000-0000-00000B000000}"/>
    <cellStyle name="Comma 2 3" xfId="21" xr:uid="{00000000-0005-0000-0000-00000C000000}"/>
    <cellStyle name="Comma 2 3 10" xfId="22" xr:uid="{00000000-0005-0000-0000-00000D000000}"/>
    <cellStyle name="Comma 2 3 10 2" xfId="23" xr:uid="{00000000-0005-0000-0000-00000E000000}"/>
    <cellStyle name="Comma 2 3 10 2 2" xfId="24" xr:uid="{00000000-0005-0000-0000-00000F000000}"/>
    <cellStyle name="Comma 2 3 10 2 2 2" xfId="25" xr:uid="{00000000-0005-0000-0000-000010000000}"/>
    <cellStyle name="Comma 2 3 10 2 3" xfId="26" xr:uid="{00000000-0005-0000-0000-000011000000}"/>
    <cellStyle name="Comma 2 3 10 2 3 2" xfId="27" xr:uid="{00000000-0005-0000-0000-000012000000}"/>
    <cellStyle name="Comma 2 3 10 2 4" xfId="28" xr:uid="{00000000-0005-0000-0000-000013000000}"/>
    <cellStyle name="Comma 2 3 10 3" xfId="29" xr:uid="{00000000-0005-0000-0000-000014000000}"/>
    <cellStyle name="Comma 2 3 10 3 2" xfId="30" xr:uid="{00000000-0005-0000-0000-000015000000}"/>
    <cellStyle name="Comma 2 3 10 4" xfId="31" xr:uid="{00000000-0005-0000-0000-000016000000}"/>
    <cellStyle name="Comma 2 3 10 4 2" xfId="32" xr:uid="{00000000-0005-0000-0000-000017000000}"/>
    <cellStyle name="Comma 2 3 10 5" xfId="33" xr:uid="{00000000-0005-0000-0000-000018000000}"/>
    <cellStyle name="Comma 2 3 11" xfId="34" xr:uid="{00000000-0005-0000-0000-000019000000}"/>
    <cellStyle name="Comma 2 3 11 2" xfId="35" xr:uid="{00000000-0005-0000-0000-00001A000000}"/>
    <cellStyle name="Comma 2 3 11 2 2" xfId="36" xr:uid="{00000000-0005-0000-0000-00001B000000}"/>
    <cellStyle name="Comma 2 3 11 2 2 2" xfId="37" xr:uid="{00000000-0005-0000-0000-00001C000000}"/>
    <cellStyle name="Comma 2 3 11 2 3" xfId="38" xr:uid="{00000000-0005-0000-0000-00001D000000}"/>
    <cellStyle name="Comma 2 3 11 2 3 2" xfId="39" xr:uid="{00000000-0005-0000-0000-00001E000000}"/>
    <cellStyle name="Comma 2 3 11 2 4" xfId="40" xr:uid="{00000000-0005-0000-0000-00001F000000}"/>
    <cellStyle name="Comma 2 3 11 3" xfId="41" xr:uid="{00000000-0005-0000-0000-000020000000}"/>
    <cellStyle name="Comma 2 3 11 3 2" xfId="42" xr:uid="{00000000-0005-0000-0000-000021000000}"/>
    <cellStyle name="Comma 2 3 11 4" xfId="43" xr:uid="{00000000-0005-0000-0000-000022000000}"/>
    <cellStyle name="Comma 2 3 11 4 2" xfId="44" xr:uid="{00000000-0005-0000-0000-000023000000}"/>
    <cellStyle name="Comma 2 3 11 5" xfId="45" xr:uid="{00000000-0005-0000-0000-000024000000}"/>
    <cellStyle name="Comma 2 3 12" xfId="46" xr:uid="{00000000-0005-0000-0000-000025000000}"/>
    <cellStyle name="Comma 2 3 12 2" xfId="47" xr:uid="{00000000-0005-0000-0000-000026000000}"/>
    <cellStyle name="Comma 2 3 12 2 2" xfId="48" xr:uid="{00000000-0005-0000-0000-000027000000}"/>
    <cellStyle name="Comma 2 3 12 3" xfId="49" xr:uid="{00000000-0005-0000-0000-000028000000}"/>
    <cellStyle name="Comma 2 3 12 3 2" xfId="50" xr:uid="{00000000-0005-0000-0000-000029000000}"/>
    <cellStyle name="Comma 2 3 12 4" xfId="51" xr:uid="{00000000-0005-0000-0000-00002A000000}"/>
    <cellStyle name="Comma 2 3 13" xfId="52" xr:uid="{00000000-0005-0000-0000-00002B000000}"/>
    <cellStyle name="Comma 2 3 13 2" xfId="53" xr:uid="{00000000-0005-0000-0000-00002C000000}"/>
    <cellStyle name="Comma 2 3 14" xfId="54" xr:uid="{00000000-0005-0000-0000-00002D000000}"/>
    <cellStyle name="Comma 2 3 14 2" xfId="55" xr:uid="{00000000-0005-0000-0000-00002E000000}"/>
    <cellStyle name="Comma 2 3 15" xfId="56" xr:uid="{00000000-0005-0000-0000-00002F000000}"/>
    <cellStyle name="Comma 2 3 2" xfId="57" xr:uid="{00000000-0005-0000-0000-000030000000}"/>
    <cellStyle name="Comma 2 3 2 10" xfId="58" xr:uid="{00000000-0005-0000-0000-000031000000}"/>
    <cellStyle name="Comma 2 3 2 10 2" xfId="59" xr:uid="{00000000-0005-0000-0000-000032000000}"/>
    <cellStyle name="Comma 2 3 2 10 2 2" xfId="60" xr:uid="{00000000-0005-0000-0000-000033000000}"/>
    <cellStyle name="Comma 2 3 2 10 2 2 2" xfId="61" xr:uid="{00000000-0005-0000-0000-000034000000}"/>
    <cellStyle name="Comma 2 3 2 10 2 3" xfId="62" xr:uid="{00000000-0005-0000-0000-000035000000}"/>
    <cellStyle name="Comma 2 3 2 10 2 3 2" xfId="63" xr:uid="{00000000-0005-0000-0000-000036000000}"/>
    <cellStyle name="Comma 2 3 2 10 2 4" xfId="64" xr:uid="{00000000-0005-0000-0000-000037000000}"/>
    <cellStyle name="Comma 2 3 2 10 3" xfId="65" xr:uid="{00000000-0005-0000-0000-000038000000}"/>
    <cellStyle name="Comma 2 3 2 10 3 2" xfId="66" xr:uid="{00000000-0005-0000-0000-000039000000}"/>
    <cellStyle name="Comma 2 3 2 10 4" xfId="67" xr:uid="{00000000-0005-0000-0000-00003A000000}"/>
    <cellStyle name="Comma 2 3 2 10 4 2" xfId="68" xr:uid="{00000000-0005-0000-0000-00003B000000}"/>
    <cellStyle name="Comma 2 3 2 10 5" xfId="69" xr:uid="{00000000-0005-0000-0000-00003C000000}"/>
    <cellStyle name="Comma 2 3 2 11" xfId="70" xr:uid="{00000000-0005-0000-0000-00003D000000}"/>
    <cellStyle name="Comma 2 3 2 11 2" xfId="71" xr:uid="{00000000-0005-0000-0000-00003E000000}"/>
    <cellStyle name="Comma 2 3 2 11 2 2" xfId="72" xr:uid="{00000000-0005-0000-0000-00003F000000}"/>
    <cellStyle name="Comma 2 3 2 11 3" xfId="73" xr:uid="{00000000-0005-0000-0000-000040000000}"/>
    <cellStyle name="Comma 2 3 2 11 3 2" xfId="74" xr:uid="{00000000-0005-0000-0000-000041000000}"/>
    <cellStyle name="Comma 2 3 2 11 4" xfId="75" xr:uid="{00000000-0005-0000-0000-000042000000}"/>
    <cellStyle name="Comma 2 3 2 12" xfId="76" xr:uid="{00000000-0005-0000-0000-000043000000}"/>
    <cellStyle name="Comma 2 3 2 12 2" xfId="77" xr:uid="{00000000-0005-0000-0000-000044000000}"/>
    <cellStyle name="Comma 2 3 2 13" xfId="78" xr:uid="{00000000-0005-0000-0000-000045000000}"/>
    <cellStyle name="Comma 2 3 2 13 2" xfId="79" xr:uid="{00000000-0005-0000-0000-000046000000}"/>
    <cellStyle name="Comma 2 3 2 14" xfId="80" xr:uid="{00000000-0005-0000-0000-000047000000}"/>
    <cellStyle name="Comma 2 3 2 2" xfId="81" xr:uid="{00000000-0005-0000-0000-000048000000}"/>
    <cellStyle name="Comma 2 3 2 2 10" xfId="82" xr:uid="{00000000-0005-0000-0000-000049000000}"/>
    <cellStyle name="Comma 2 3 2 2 10 2" xfId="83" xr:uid="{00000000-0005-0000-0000-00004A000000}"/>
    <cellStyle name="Comma 2 3 2 2 11" xfId="84" xr:uid="{00000000-0005-0000-0000-00004B000000}"/>
    <cellStyle name="Comma 2 3 2 2 11 2" xfId="85" xr:uid="{00000000-0005-0000-0000-00004C000000}"/>
    <cellStyle name="Comma 2 3 2 2 12" xfId="86" xr:uid="{00000000-0005-0000-0000-00004D000000}"/>
    <cellStyle name="Comma 2 3 2 2 2" xfId="87" xr:uid="{00000000-0005-0000-0000-00004E000000}"/>
    <cellStyle name="Comma 2 3 2 2 2 2" xfId="88" xr:uid="{00000000-0005-0000-0000-00004F000000}"/>
    <cellStyle name="Comma 2 3 2 2 2 2 2" xfId="89" xr:uid="{00000000-0005-0000-0000-000050000000}"/>
    <cellStyle name="Comma 2 3 2 2 2 2 2 2" xfId="90" xr:uid="{00000000-0005-0000-0000-000051000000}"/>
    <cellStyle name="Comma 2 3 2 2 2 2 2 2 2" xfId="91" xr:uid="{00000000-0005-0000-0000-000052000000}"/>
    <cellStyle name="Comma 2 3 2 2 2 2 2 2 2 2" xfId="92" xr:uid="{00000000-0005-0000-0000-000053000000}"/>
    <cellStyle name="Comma 2 3 2 2 2 2 2 2 3" xfId="93" xr:uid="{00000000-0005-0000-0000-000054000000}"/>
    <cellStyle name="Comma 2 3 2 2 2 2 2 2 3 2" xfId="94" xr:uid="{00000000-0005-0000-0000-000055000000}"/>
    <cellStyle name="Comma 2 3 2 2 2 2 2 2 4" xfId="95" xr:uid="{00000000-0005-0000-0000-000056000000}"/>
    <cellStyle name="Comma 2 3 2 2 2 2 2 3" xfId="96" xr:uid="{00000000-0005-0000-0000-000057000000}"/>
    <cellStyle name="Comma 2 3 2 2 2 2 2 3 2" xfId="97" xr:uid="{00000000-0005-0000-0000-000058000000}"/>
    <cellStyle name="Comma 2 3 2 2 2 2 2 4" xfId="98" xr:uid="{00000000-0005-0000-0000-000059000000}"/>
    <cellStyle name="Comma 2 3 2 2 2 2 2 4 2" xfId="99" xr:uid="{00000000-0005-0000-0000-00005A000000}"/>
    <cellStyle name="Comma 2 3 2 2 2 2 2 5" xfId="100" xr:uid="{00000000-0005-0000-0000-00005B000000}"/>
    <cellStyle name="Comma 2 3 2 2 2 2 3" xfId="101" xr:uid="{00000000-0005-0000-0000-00005C000000}"/>
    <cellStyle name="Comma 2 3 2 2 2 2 3 2" xfId="102" xr:uid="{00000000-0005-0000-0000-00005D000000}"/>
    <cellStyle name="Comma 2 3 2 2 2 2 3 2 2" xfId="103" xr:uid="{00000000-0005-0000-0000-00005E000000}"/>
    <cellStyle name="Comma 2 3 2 2 2 2 3 2 2 2" xfId="104" xr:uid="{00000000-0005-0000-0000-00005F000000}"/>
    <cellStyle name="Comma 2 3 2 2 2 2 3 2 3" xfId="105" xr:uid="{00000000-0005-0000-0000-000060000000}"/>
    <cellStyle name="Comma 2 3 2 2 2 2 3 2 3 2" xfId="106" xr:uid="{00000000-0005-0000-0000-000061000000}"/>
    <cellStyle name="Comma 2 3 2 2 2 2 3 2 4" xfId="107" xr:uid="{00000000-0005-0000-0000-000062000000}"/>
    <cellStyle name="Comma 2 3 2 2 2 2 3 3" xfId="108" xr:uid="{00000000-0005-0000-0000-000063000000}"/>
    <cellStyle name="Comma 2 3 2 2 2 2 3 3 2" xfId="109" xr:uid="{00000000-0005-0000-0000-000064000000}"/>
    <cellStyle name="Comma 2 3 2 2 2 2 3 4" xfId="110" xr:uid="{00000000-0005-0000-0000-000065000000}"/>
    <cellStyle name="Comma 2 3 2 2 2 2 3 4 2" xfId="111" xr:uid="{00000000-0005-0000-0000-000066000000}"/>
    <cellStyle name="Comma 2 3 2 2 2 2 3 5" xfId="112" xr:uid="{00000000-0005-0000-0000-000067000000}"/>
    <cellStyle name="Comma 2 3 2 2 2 2 4" xfId="113" xr:uid="{00000000-0005-0000-0000-000068000000}"/>
    <cellStyle name="Comma 2 3 2 2 2 2 4 2" xfId="114" xr:uid="{00000000-0005-0000-0000-000069000000}"/>
    <cellStyle name="Comma 2 3 2 2 2 2 4 2 2" xfId="115" xr:uid="{00000000-0005-0000-0000-00006A000000}"/>
    <cellStyle name="Comma 2 3 2 2 2 2 4 3" xfId="116" xr:uid="{00000000-0005-0000-0000-00006B000000}"/>
    <cellStyle name="Comma 2 3 2 2 2 2 4 3 2" xfId="117" xr:uid="{00000000-0005-0000-0000-00006C000000}"/>
    <cellStyle name="Comma 2 3 2 2 2 2 4 4" xfId="118" xr:uid="{00000000-0005-0000-0000-00006D000000}"/>
    <cellStyle name="Comma 2 3 2 2 2 2 5" xfId="119" xr:uid="{00000000-0005-0000-0000-00006E000000}"/>
    <cellStyle name="Comma 2 3 2 2 2 2 5 2" xfId="120" xr:uid="{00000000-0005-0000-0000-00006F000000}"/>
    <cellStyle name="Comma 2 3 2 2 2 2 6" xfId="121" xr:uid="{00000000-0005-0000-0000-000070000000}"/>
    <cellStyle name="Comma 2 3 2 2 2 2 6 2" xfId="122" xr:uid="{00000000-0005-0000-0000-000071000000}"/>
    <cellStyle name="Comma 2 3 2 2 2 2 7" xfId="123" xr:uid="{00000000-0005-0000-0000-000072000000}"/>
    <cellStyle name="Comma 2 3 2 2 2 3" xfId="124" xr:uid="{00000000-0005-0000-0000-000073000000}"/>
    <cellStyle name="Comma 2 3 2 2 2 3 2" xfId="125" xr:uid="{00000000-0005-0000-0000-000074000000}"/>
    <cellStyle name="Comma 2 3 2 2 2 3 2 2" xfId="126" xr:uid="{00000000-0005-0000-0000-000075000000}"/>
    <cellStyle name="Comma 2 3 2 2 2 3 2 2 2" xfId="127" xr:uid="{00000000-0005-0000-0000-000076000000}"/>
    <cellStyle name="Comma 2 3 2 2 2 3 2 3" xfId="128" xr:uid="{00000000-0005-0000-0000-000077000000}"/>
    <cellStyle name="Comma 2 3 2 2 2 3 2 3 2" xfId="129" xr:uid="{00000000-0005-0000-0000-000078000000}"/>
    <cellStyle name="Comma 2 3 2 2 2 3 2 4" xfId="130" xr:uid="{00000000-0005-0000-0000-000079000000}"/>
    <cellStyle name="Comma 2 3 2 2 2 3 3" xfId="131" xr:uid="{00000000-0005-0000-0000-00007A000000}"/>
    <cellStyle name="Comma 2 3 2 2 2 3 3 2" xfId="132" xr:uid="{00000000-0005-0000-0000-00007B000000}"/>
    <cellStyle name="Comma 2 3 2 2 2 3 4" xfId="133" xr:uid="{00000000-0005-0000-0000-00007C000000}"/>
    <cellStyle name="Comma 2 3 2 2 2 3 4 2" xfId="134" xr:uid="{00000000-0005-0000-0000-00007D000000}"/>
    <cellStyle name="Comma 2 3 2 2 2 3 5" xfId="135" xr:uid="{00000000-0005-0000-0000-00007E000000}"/>
    <cellStyle name="Comma 2 3 2 2 2 4" xfId="136" xr:uid="{00000000-0005-0000-0000-00007F000000}"/>
    <cellStyle name="Comma 2 3 2 2 2 4 2" xfId="137" xr:uid="{00000000-0005-0000-0000-000080000000}"/>
    <cellStyle name="Comma 2 3 2 2 2 4 2 2" xfId="138" xr:uid="{00000000-0005-0000-0000-000081000000}"/>
    <cellStyle name="Comma 2 3 2 2 2 4 2 2 2" xfId="139" xr:uid="{00000000-0005-0000-0000-000082000000}"/>
    <cellStyle name="Comma 2 3 2 2 2 4 2 3" xfId="140" xr:uid="{00000000-0005-0000-0000-000083000000}"/>
    <cellStyle name="Comma 2 3 2 2 2 4 2 3 2" xfId="141" xr:uid="{00000000-0005-0000-0000-000084000000}"/>
    <cellStyle name="Comma 2 3 2 2 2 4 2 4" xfId="142" xr:uid="{00000000-0005-0000-0000-000085000000}"/>
    <cellStyle name="Comma 2 3 2 2 2 4 3" xfId="143" xr:uid="{00000000-0005-0000-0000-000086000000}"/>
    <cellStyle name="Comma 2 3 2 2 2 4 3 2" xfId="144" xr:uid="{00000000-0005-0000-0000-000087000000}"/>
    <cellStyle name="Comma 2 3 2 2 2 4 4" xfId="145" xr:uid="{00000000-0005-0000-0000-000088000000}"/>
    <cellStyle name="Comma 2 3 2 2 2 4 4 2" xfId="146" xr:uid="{00000000-0005-0000-0000-000089000000}"/>
    <cellStyle name="Comma 2 3 2 2 2 4 5" xfId="147" xr:uid="{00000000-0005-0000-0000-00008A000000}"/>
    <cellStyle name="Comma 2 3 2 2 2 5" xfId="148" xr:uid="{00000000-0005-0000-0000-00008B000000}"/>
    <cellStyle name="Comma 2 3 2 2 2 5 2" xfId="149" xr:uid="{00000000-0005-0000-0000-00008C000000}"/>
    <cellStyle name="Comma 2 3 2 2 2 5 2 2" xfId="150" xr:uid="{00000000-0005-0000-0000-00008D000000}"/>
    <cellStyle name="Comma 2 3 2 2 2 5 3" xfId="151" xr:uid="{00000000-0005-0000-0000-00008E000000}"/>
    <cellStyle name="Comma 2 3 2 2 2 5 3 2" xfId="152" xr:uid="{00000000-0005-0000-0000-00008F000000}"/>
    <cellStyle name="Comma 2 3 2 2 2 5 4" xfId="153" xr:uid="{00000000-0005-0000-0000-000090000000}"/>
    <cellStyle name="Comma 2 3 2 2 2 6" xfId="154" xr:uid="{00000000-0005-0000-0000-000091000000}"/>
    <cellStyle name="Comma 2 3 2 2 2 6 2" xfId="155" xr:uid="{00000000-0005-0000-0000-000092000000}"/>
    <cellStyle name="Comma 2 3 2 2 2 7" xfId="156" xr:uid="{00000000-0005-0000-0000-000093000000}"/>
    <cellStyle name="Comma 2 3 2 2 2 7 2" xfId="157" xr:uid="{00000000-0005-0000-0000-000094000000}"/>
    <cellStyle name="Comma 2 3 2 2 2 8" xfId="158" xr:uid="{00000000-0005-0000-0000-000095000000}"/>
    <cellStyle name="Comma 2 3 2 2 3" xfId="159" xr:uid="{00000000-0005-0000-0000-000096000000}"/>
    <cellStyle name="Comma 2 3 2 2 3 2" xfId="160" xr:uid="{00000000-0005-0000-0000-000097000000}"/>
    <cellStyle name="Comma 2 3 2 2 3 2 2" xfId="161" xr:uid="{00000000-0005-0000-0000-000098000000}"/>
    <cellStyle name="Comma 2 3 2 2 3 2 2 2" xfId="162" xr:uid="{00000000-0005-0000-0000-000099000000}"/>
    <cellStyle name="Comma 2 3 2 2 3 2 2 2 2" xfId="163" xr:uid="{00000000-0005-0000-0000-00009A000000}"/>
    <cellStyle name="Comma 2 3 2 2 3 2 2 3" xfId="164" xr:uid="{00000000-0005-0000-0000-00009B000000}"/>
    <cellStyle name="Comma 2 3 2 2 3 2 2 3 2" xfId="165" xr:uid="{00000000-0005-0000-0000-00009C000000}"/>
    <cellStyle name="Comma 2 3 2 2 3 2 2 4" xfId="166" xr:uid="{00000000-0005-0000-0000-00009D000000}"/>
    <cellStyle name="Comma 2 3 2 2 3 2 3" xfId="167" xr:uid="{00000000-0005-0000-0000-00009E000000}"/>
    <cellStyle name="Comma 2 3 2 2 3 2 3 2" xfId="168" xr:uid="{00000000-0005-0000-0000-00009F000000}"/>
    <cellStyle name="Comma 2 3 2 2 3 2 4" xfId="169" xr:uid="{00000000-0005-0000-0000-0000A0000000}"/>
    <cellStyle name="Comma 2 3 2 2 3 2 4 2" xfId="170" xr:uid="{00000000-0005-0000-0000-0000A1000000}"/>
    <cellStyle name="Comma 2 3 2 2 3 2 5" xfId="171" xr:uid="{00000000-0005-0000-0000-0000A2000000}"/>
    <cellStyle name="Comma 2 3 2 2 3 3" xfId="172" xr:uid="{00000000-0005-0000-0000-0000A3000000}"/>
    <cellStyle name="Comma 2 3 2 2 3 3 2" xfId="173" xr:uid="{00000000-0005-0000-0000-0000A4000000}"/>
    <cellStyle name="Comma 2 3 2 2 3 3 2 2" xfId="174" xr:uid="{00000000-0005-0000-0000-0000A5000000}"/>
    <cellStyle name="Comma 2 3 2 2 3 3 2 2 2" xfId="175" xr:uid="{00000000-0005-0000-0000-0000A6000000}"/>
    <cellStyle name="Comma 2 3 2 2 3 3 2 3" xfId="176" xr:uid="{00000000-0005-0000-0000-0000A7000000}"/>
    <cellStyle name="Comma 2 3 2 2 3 3 2 3 2" xfId="177" xr:uid="{00000000-0005-0000-0000-0000A8000000}"/>
    <cellStyle name="Comma 2 3 2 2 3 3 2 4" xfId="178" xr:uid="{00000000-0005-0000-0000-0000A9000000}"/>
    <cellStyle name="Comma 2 3 2 2 3 3 3" xfId="179" xr:uid="{00000000-0005-0000-0000-0000AA000000}"/>
    <cellStyle name="Comma 2 3 2 2 3 3 3 2" xfId="180" xr:uid="{00000000-0005-0000-0000-0000AB000000}"/>
    <cellStyle name="Comma 2 3 2 2 3 3 4" xfId="181" xr:uid="{00000000-0005-0000-0000-0000AC000000}"/>
    <cellStyle name="Comma 2 3 2 2 3 3 4 2" xfId="182" xr:uid="{00000000-0005-0000-0000-0000AD000000}"/>
    <cellStyle name="Comma 2 3 2 2 3 3 5" xfId="183" xr:uid="{00000000-0005-0000-0000-0000AE000000}"/>
    <cellStyle name="Comma 2 3 2 2 3 4" xfId="184" xr:uid="{00000000-0005-0000-0000-0000AF000000}"/>
    <cellStyle name="Comma 2 3 2 2 3 4 2" xfId="185" xr:uid="{00000000-0005-0000-0000-0000B0000000}"/>
    <cellStyle name="Comma 2 3 2 2 3 4 2 2" xfId="186" xr:uid="{00000000-0005-0000-0000-0000B1000000}"/>
    <cellStyle name="Comma 2 3 2 2 3 4 3" xfId="187" xr:uid="{00000000-0005-0000-0000-0000B2000000}"/>
    <cellStyle name="Comma 2 3 2 2 3 4 3 2" xfId="188" xr:uid="{00000000-0005-0000-0000-0000B3000000}"/>
    <cellStyle name="Comma 2 3 2 2 3 4 4" xfId="189" xr:uid="{00000000-0005-0000-0000-0000B4000000}"/>
    <cellStyle name="Comma 2 3 2 2 3 5" xfId="190" xr:uid="{00000000-0005-0000-0000-0000B5000000}"/>
    <cellStyle name="Comma 2 3 2 2 3 5 2" xfId="191" xr:uid="{00000000-0005-0000-0000-0000B6000000}"/>
    <cellStyle name="Comma 2 3 2 2 3 6" xfId="192" xr:uid="{00000000-0005-0000-0000-0000B7000000}"/>
    <cellStyle name="Comma 2 3 2 2 3 6 2" xfId="193" xr:uid="{00000000-0005-0000-0000-0000B8000000}"/>
    <cellStyle name="Comma 2 3 2 2 3 7" xfId="194" xr:uid="{00000000-0005-0000-0000-0000B9000000}"/>
    <cellStyle name="Comma 2 3 2 2 4" xfId="195" xr:uid="{00000000-0005-0000-0000-0000BA000000}"/>
    <cellStyle name="Comma 2 3 2 2 4 2" xfId="196" xr:uid="{00000000-0005-0000-0000-0000BB000000}"/>
    <cellStyle name="Comma 2 3 2 2 4 2 2" xfId="197" xr:uid="{00000000-0005-0000-0000-0000BC000000}"/>
    <cellStyle name="Comma 2 3 2 2 4 2 2 2" xfId="198" xr:uid="{00000000-0005-0000-0000-0000BD000000}"/>
    <cellStyle name="Comma 2 3 2 2 4 2 2 2 2" xfId="199" xr:uid="{00000000-0005-0000-0000-0000BE000000}"/>
    <cellStyle name="Comma 2 3 2 2 4 2 2 3" xfId="200" xr:uid="{00000000-0005-0000-0000-0000BF000000}"/>
    <cellStyle name="Comma 2 3 2 2 4 2 2 3 2" xfId="201" xr:uid="{00000000-0005-0000-0000-0000C0000000}"/>
    <cellStyle name="Comma 2 3 2 2 4 2 2 4" xfId="202" xr:uid="{00000000-0005-0000-0000-0000C1000000}"/>
    <cellStyle name="Comma 2 3 2 2 4 2 3" xfId="203" xr:uid="{00000000-0005-0000-0000-0000C2000000}"/>
    <cellStyle name="Comma 2 3 2 2 4 2 3 2" xfId="204" xr:uid="{00000000-0005-0000-0000-0000C3000000}"/>
    <cellStyle name="Comma 2 3 2 2 4 2 4" xfId="205" xr:uid="{00000000-0005-0000-0000-0000C4000000}"/>
    <cellStyle name="Comma 2 3 2 2 4 2 4 2" xfId="206" xr:uid="{00000000-0005-0000-0000-0000C5000000}"/>
    <cellStyle name="Comma 2 3 2 2 4 2 5" xfId="207" xr:uid="{00000000-0005-0000-0000-0000C6000000}"/>
    <cellStyle name="Comma 2 3 2 2 4 3" xfId="208" xr:uid="{00000000-0005-0000-0000-0000C7000000}"/>
    <cellStyle name="Comma 2 3 2 2 4 3 2" xfId="209" xr:uid="{00000000-0005-0000-0000-0000C8000000}"/>
    <cellStyle name="Comma 2 3 2 2 4 3 2 2" xfId="210" xr:uid="{00000000-0005-0000-0000-0000C9000000}"/>
    <cellStyle name="Comma 2 3 2 2 4 3 2 2 2" xfId="211" xr:uid="{00000000-0005-0000-0000-0000CA000000}"/>
    <cellStyle name="Comma 2 3 2 2 4 3 2 3" xfId="212" xr:uid="{00000000-0005-0000-0000-0000CB000000}"/>
    <cellStyle name="Comma 2 3 2 2 4 3 2 3 2" xfId="213" xr:uid="{00000000-0005-0000-0000-0000CC000000}"/>
    <cellStyle name="Comma 2 3 2 2 4 3 2 4" xfId="214" xr:uid="{00000000-0005-0000-0000-0000CD000000}"/>
    <cellStyle name="Comma 2 3 2 2 4 3 3" xfId="215" xr:uid="{00000000-0005-0000-0000-0000CE000000}"/>
    <cellStyle name="Comma 2 3 2 2 4 3 3 2" xfId="216" xr:uid="{00000000-0005-0000-0000-0000CF000000}"/>
    <cellStyle name="Comma 2 3 2 2 4 3 4" xfId="217" xr:uid="{00000000-0005-0000-0000-0000D0000000}"/>
    <cellStyle name="Comma 2 3 2 2 4 3 4 2" xfId="218" xr:uid="{00000000-0005-0000-0000-0000D1000000}"/>
    <cellStyle name="Comma 2 3 2 2 4 3 5" xfId="219" xr:uid="{00000000-0005-0000-0000-0000D2000000}"/>
    <cellStyle name="Comma 2 3 2 2 4 4" xfId="220" xr:uid="{00000000-0005-0000-0000-0000D3000000}"/>
    <cellStyle name="Comma 2 3 2 2 4 4 2" xfId="221" xr:uid="{00000000-0005-0000-0000-0000D4000000}"/>
    <cellStyle name="Comma 2 3 2 2 4 4 2 2" xfId="222" xr:uid="{00000000-0005-0000-0000-0000D5000000}"/>
    <cellStyle name="Comma 2 3 2 2 4 4 3" xfId="223" xr:uid="{00000000-0005-0000-0000-0000D6000000}"/>
    <cellStyle name="Comma 2 3 2 2 4 4 3 2" xfId="224" xr:uid="{00000000-0005-0000-0000-0000D7000000}"/>
    <cellStyle name="Comma 2 3 2 2 4 4 4" xfId="225" xr:uid="{00000000-0005-0000-0000-0000D8000000}"/>
    <cellStyle name="Comma 2 3 2 2 4 5" xfId="226" xr:uid="{00000000-0005-0000-0000-0000D9000000}"/>
    <cellStyle name="Comma 2 3 2 2 4 5 2" xfId="227" xr:uid="{00000000-0005-0000-0000-0000DA000000}"/>
    <cellStyle name="Comma 2 3 2 2 4 6" xfId="228" xr:uid="{00000000-0005-0000-0000-0000DB000000}"/>
    <cellStyle name="Comma 2 3 2 2 4 6 2" xfId="229" xr:uid="{00000000-0005-0000-0000-0000DC000000}"/>
    <cellStyle name="Comma 2 3 2 2 4 7" xfId="230" xr:uid="{00000000-0005-0000-0000-0000DD000000}"/>
    <cellStyle name="Comma 2 3 2 2 5" xfId="231" xr:uid="{00000000-0005-0000-0000-0000DE000000}"/>
    <cellStyle name="Comma 2 3 2 2 5 2" xfId="232" xr:uid="{00000000-0005-0000-0000-0000DF000000}"/>
    <cellStyle name="Comma 2 3 2 2 5 2 2" xfId="233" xr:uid="{00000000-0005-0000-0000-0000E0000000}"/>
    <cellStyle name="Comma 2 3 2 2 5 2 2 2" xfId="234" xr:uid="{00000000-0005-0000-0000-0000E1000000}"/>
    <cellStyle name="Comma 2 3 2 2 5 2 2 2 2" xfId="235" xr:uid="{00000000-0005-0000-0000-0000E2000000}"/>
    <cellStyle name="Comma 2 3 2 2 5 2 2 3" xfId="236" xr:uid="{00000000-0005-0000-0000-0000E3000000}"/>
    <cellStyle name="Comma 2 3 2 2 5 2 2 3 2" xfId="237" xr:uid="{00000000-0005-0000-0000-0000E4000000}"/>
    <cellStyle name="Comma 2 3 2 2 5 2 2 4" xfId="238" xr:uid="{00000000-0005-0000-0000-0000E5000000}"/>
    <cellStyle name="Comma 2 3 2 2 5 2 3" xfId="239" xr:uid="{00000000-0005-0000-0000-0000E6000000}"/>
    <cellStyle name="Comma 2 3 2 2 5 2 3 2" xfId="240" xr:uid="{00000000-0005-0000-0000-0000E7000000}"/>
    <cellStyle name="Comma 2 3 2 2 5 2 4" xfId="241" xr:uid="{00000000-0005-0000-0000-0000E8000000}"/>
    <cellStyle name="Comma 2 3 2 2 5 2 4 2" xfId="242" xr:uid="{00000000-0005-0000-0000-0000E9000000}"/>
    <cellStyle name="Comma 2 3 2 2 5 2 5" xfId="243" xr:uid="{00000000-0005-0000-0000-0000EA000000}"/>
    <cellStyle name="Comma 2 3 2 2 5 3" xfId="244" xr:uid="{00000000-0005-0000-0000-0000EB000000}"/>
    <cellStyle name="Comma 2 3 2 2 5 3 2" xfId="245" xr:uid="{00000000-0005-0000-0000-0000EC000000}"/>
    <cellStyle name="Comma 2 3 2 2 5 3 2 2" xfId="246" xr:uid="{00000000-0005-0000-0000-0000ED000000}"/>
    <cellStyle name="Comma 2 3 2 2 5 3 2 2 2" xfId="247" xr:uid="{00000000-0005-0000-0000-0000EE000000}"/>
    <cellStyle name="Comma 2 3 2 2 5 3 2 3" xfId="248" xr:uid="{00000000-0005-0000-0000-0000EF000000}"/>
    <cellStyle name="Comma 2 3 2 2 5 3 2 3 2" xfId="249" xr:uid="{00000000-0005-0000-0000-0000F0000000}"/>
    <cellStyle name="Comma 2 3 2 2 5 3 2 4" xfId="250" xr:uid="{00000000-0005-0000-0000-0000F1000000}"/>
    <cellStyle name="Comma 2 3 2 2 5 3 3" xfId="251" xr:uid="{00000000-0005-0000-0000-0000F2000000}"/>
    <cellStyle name="Comma 2 3 2 2 5 3 3 2" xfId="252" xr:uid="{00000000-0005-0000-0000-0000F3000000}"/>
    <cellStyle name="Comma 2 3 2 2 5 3 4" xfId="253" xr:uid="{00000000-0005-0000-0000-0000F4000000}"/>
    <cellStyle name="Comma 2 3 2 2 5 3 4 2" xfId="254" xr:uid="{00000000-0005-0000-0000-0000F5000000}"/>
    <cellStyle name="Comma 2 3 2 2 5 3 5" xfId="255" xr:uid="{00000000-0005-0000-0000-0000F6000000}"/>
    <cellStyle name="Comma 2 3 2 2 5 4" xfId="256" xr:uid="{00000000-0005-0000-0000-0000F7000000}"/>
    <cellStyle name="Comma 2 3 2 2 5 4 2" xfId="257" xr:uid="{00000000-0005-0000-0000-0000F8000000}"/>
    <cellStyle name="Comma 2 3 2 2 5 4 2 2" xfId="258" xr:uid="{00000000-0005-0000-0000-0000F9000000}"/>
    <cellStyle name="Comma 2 3 2 2 5 4 3" xfId="259" xr:uid="{00000000-0005-0000-0000-0000FA000000}"/>
    <cellStyle name="Comma 2 3 2 2 5 4 3 2" xfId="260" xr:uid="{00000000-0005-0000-0000-0000FB000000}"/>
    <cellStyle name="Comma 2 3 2 2 5 4 4" xfId="261" xr:uid="{00000000-0005-0000-0000-0000FC000000}"/>
    <cellStyle name="Comma 2 3 2 2 5 5" xfId="262" xr:uid="{00000000-0005-0000-0000-0000FD000000}"/>
    <cellStyle name="Comma 2 3 2 2 5 5 2" xfId="263" xr:uid="{00000000-0005-0000-0000-0000FE000000}"/>
    <cellStyle name="Comma 2 3 2 2 5 6" xfId="264" xr:uid="{00000000-0005-0000-0000-0000FF000000}"/>
    <cellStyle name="Comma 2 3 2 2 5 6 2" xfId="265" xr:uid="{00000000-0005-0000-0000-000000010000}"/>
    <cellStyle name="Comma 2 3 2 2 5 7" xfId="266" xr:uid="{00000000-0005-0000-0000-000001010000}"/>
    <cellStyle name="Comma 2 3 2 2 6" xfId="267" xr:uid="{00000000-0005-0000-0000-000002010000}"/>
    <cellStyle name="Comma 2 3 2 2 6 2" xfId="268" xr:uid="{00000000-0005-0000-0000-000003010000}"/>
    <cellStyle name="Comma 2 3 2 2 6 2 2" xfId="269" xr:uid="{00000000-0005-0000-0000-000004010000}"/>
    <cellStyle name="Comma 2 3 2 2 6 2 2 2" xfId="270" xr:uid="{00000000-0005-0000-0000-000005010000}"/>
    <cellStyle name="Comma 2 3 2 2 6 2 2 2 2" xfId="271" xr:uid="{00000000-0005-0000-0000-000006010000}"/>
    <cellStyle name="Comma 2 3 2 2 6 2 2 3" xfId="272" xr:uid="{00000000-0005-0000-0000-000007010000}"/>
    <cellStyle name="Comma 2 3 2 2 6 2 2 3 2" xfId="273" xr:uid="{00000000-0005-0000-0000-000008010000}"/>
    <cellStyle name="Comma 2 3 2 2 6 2 2 4" xfId="274" xr:uid="{00000000-0005-0000-0000-000009010000}"/>
    <cellStyle name="Comma 2 3 2 2 6 2 3" xfId="275" xr:uid="{00000000-0005-0000-0000-00000A010000}"/>
    <cellStyle name="Comma 2 3 2 2 6 2 3 2" xfId="276" xr:uid="{00000000-0005-0000-0000-00000B010000}"/>
    <cellStyle name="Comma 2 3 2 2 6 2 4" xfId="277" xr:uid="{00000000-0005-0000-0000-00000C010000}"/>
    <cellStyle name="Comma 2 3 2 2 6 2 4 2" xfId="278" xr:uid="{00000000-0005-0000-0000-00000D010000}"/>
    <cellStyle name="Comma 2 3 2 2 6 2 5" xfId="279" xr:uid="{00000000-0005-0000-0000-00000E010000}"/>
    <cellStyle name="Comma 2 3 2 2 6 3" xfId="280" xr:uid="{00000000-0005-0000-0000-00000F010000}"/>
    <cellStyle name="Comma 2 3 2 2 6 3 2" xfId="281" xr:uid="{00000000-0005-0000-0000-000010010000}"/>
    <cellStyle name="Comma 2 3 2 2 6 3 2 2" xfId="282" xr:uid="{00000000-0005-0000-0000-000011010000}"/>
    <cellStyle name="Comma 2 3 2 2 6 3 2 2 2" xfId="283" xr:uid="{00000000-0005-0000-0000-000012010000}"/>
    <cellStyle name="Comma 2 3 2 2 6 3 2 3" xfId="284" xr:uid="{00000000-0005-0000-0000-000013010000}"/>
    <cellStyle name="Comma 2 3 2 2 6 3 2 3 2" xfId="285" xr:uid="{00000000-0005-0000-0000-000014010000}"/>
    <cellStyle name="Comma 2 3 2 2 6 3 2 4" xfId="286" xr:uid="{00000000-0005-0000-0000-000015010000}"/>
    <cellStyle name="Comma 2 3 2 2 6 3 3" xfId="287" xr:uid="{00000000-0005-0000-0000-000016010000}"/>
    <cellStyle name="Comma 2 3 2 2 6 3 3 2" xfId="288" xr:uid="{00000000-0005-0000-0000-000017010000}"/>
    <cellStyle name="Comma 2 3 2 2 6 3 4" xfId="289" xr:uid="{00000000-0005-0000-0000-000018010000}"/>
    <cellStyle name="Comma 2 3 2 2 6 3 4 2" xfId="290" xr:uid="{00000000-0005-0000-0000-000019010000}"/>
    <cellStyle name="Comma 2 3 2 2 6 3 5" xfId="291" xr:uid="{00000000-0005-0000-0000-00001A010000}"/>
    <cellStyle name="Comma 2 3 2 2 6 4" xfId="292" xr:uid="{00000000-0005-0000-0000-00001B010000}"/>
    <cellStyle name="Comma 2 3 2 2 6 4 2" xfId="293" xr:uid="{00000000-0005-0000-0000-00001C010000}"/>
    <cellStyle name="Comma 2 3 2 2 6 4 2 2" xfId="294" xr:uid="{00000000-0005-0000-0000-00001D010000}"/>
    <cellStyle name="Comma 2 3 2 2 6 4 3" xfId="295" xr:uid="{00000000-0005-0000-0000-00001E010000}"/>
    <cellStyle name="Comma 2 3 2 2 6 4 3 2" xfId="296" xr:uid="{00000000-0005-0000-0000-00001F010000}"/>
    <cellStyle name="Comma 2 3 2 2 6 4 4" xfId="297" xr:uid="{00000000-0005-0000-0000-000020010000}"/>
    <cellStyle name="Comma 2 3 2 2 6 5" xfId="298" xr:uid="{00000000-0005-0000-0000-000021010000}"/>
    <cellStyle name="Comma 2 3 2 2 6 5 2" xfId="299" xr:uid="{00000000-0005-0000-0000-000022010000}"/>
    <cellStyle name="Comma 2 3 2 2 6 6" xfId="300" xr:uid="{00000000-0005-0000-0000-000023010000}"/>
    <cellStyle name="Comma 2 3 2 2 6 6 2" xfId="301" xr:uid="{00000000-0005-0000-0000-000024010000}"/>
    <cellStyle name="Comma 2 3 2 2 6 7" xfId="302" xr:uid="{00000000-0005-0000-0000-000025010000}"/>
    <cellStyle name="Comma 2 3 2 2 7" xfId="303" xr:uid="{00000000-0005-0000-0000-000026010000}"/>
    <cellStyle name="Comma 2 3 2 2 7 2" xfId="304" xr:uid="{00000000-0005-0000-0000-000027010000}"/>
    <cellStyle name="Comma 2 3 2 2 7 2 2" xfId="305" xr:uid="{00000000-0005-0000-0000-000028010000}"/>
    <cellStyle name="Comma 2 3 2 2 7 2 2 2" xfId="306" xr:uid="{00000000-0005-0000-0000-000029010000}"/>
    <cellStyle name="Comma 2 3 2 2 7 2 3" xfId="307" xr:uid="{00000000-0005-0000-0000-00002A010000}"/>
    <cellStyle name="Comma 2 3 2 2 7 2 3 2" xfId="308" xr:uid="{00000000-0005-0000-0000-00002B010000}"/>
    <cellStyle name="Comma 2 3 2 2 7 2 4" xfId="309" xr:uid="{00000000-0005-0000-0000-00002C010000}"/>
    <cellStyle name="Comma 2 3 2 2 7 3" xfId="310" xr:uid="{00000000-0005-0000-0000-00002D010000}"/>
    <cellStyle name="Comma 2 3 2 2 7 3 2" xfId="311" xr:uid="{00000000-0005-0000-0000-00002E010000}"/>
    <cellStyle name="Comma 2 3 2 2 7 4" xfId="312" xr:uid="{00000000-0005-0000-0000-00002F010000}"/>
    <cellStyle name="Comma 2 3 2 2 7 4 2" xfId="313" xr:uid="{00000000-0005-0000-0000-000030010000}"/>
    <cellStyle name="Comma 2 3 2 2 7 5" xfId="314" xr:uid="{00000000-0005-0000-0000-000031010000}"/>
    <cellStyle name="Comma 2 3 2 2 8" xfId="315" xr:uid="{00000000-0005-0000-0000-000032010000}"/>
    <cellStyle name="Comma 2 3 2 2 8 2" xfId="316" xr:uid="{00000000-0005-0000-0000-000033010000}"/>
    <cellStyle name="Comma 2 3 2 2 8 2 2" xfId="317" xr:uid="{00000000-0005-0000-0000-000034010000}"/>
    <cellStyle name="Comma 2 3 2 2 8 2 2 2" xfId="318" xr:uid="{00000000-0005-0000-0000-000035010000}"/>
    <cellStyle name="Comma 2 3 2 2 8 2 3" xfId="319" xr:uid="{00000000-0005-0000-0000-000036010000}"/>
    <cellStyle name="Comma 2 3 2 2 8 2 3 2" xfId="320" xr:uid="{00000000-0005-0000-0000-000037010000}"/>
    <cellStyle name="Comma 2 3 2 2 8 2 4" xfId="321" xr:uid="{00000000-0005-0000-0000-000038010000}"/>
    <cellStyle name="Comma 2 3 2 2 8 3" xfId="322" xr:uid="{00000000-0005-0000-0000-000039010000}"/>
    <cellStyle name="Comma 2 3 2 2 8 3 2" xfId="323" xr:uid="{00000000-0005-0000-0000-00003A010000}"/>
    <cellStyle name="Comma 2 3 2 2 8 4" xfId="324" xr:uid="{00000000-0005-0000-0000-00003B010000}"/>
    <cellStyle name="Comma 2 3 2 2 8 4 2" xfId="325" xr:uid="{00000000-0005-0000-0000-00003C010000}"/>
    <cellStyle name="Comma 2 3 2 2 8 5" xfId="326" xr:uid="{00000000-0005-0000-0000-00003D010000}"/>
    <cellStyle name="Comma 2 3 2 2 9" xfId="327" xr:uid="{00000000-0005-0000-0000-00003E010000}"/>
    <cellStyle name="Comma 2 3 2 2 9 2" xfId="328" xr:uid="{00000000-0005-0000-0000-00003F010000}"/>
    <cellStyle name="Comma 2 3 2 2 9 2 2" xfId="329" xr:uid="{00000000-0005-0000-0000-000040010000}"/>
    <cellStyle name="Comma 2 3 2 2 9 3" xfId="330" xr:uid="{00000000-0005-0000-0000-000041010000}"/>
    <cellStyle name="Comma 2 3 2 2 9 3 2" xfId="331" xr:uid="{00000000-0005-0000-0000-000042010000}"/>
    <cellStyle name="Comma 2 3 2 2 9 4" xfId="332" xr:uid="{00000000-0005-0000-0000-000043010000}"/>
    <cellStyle name="Comma 2 3 2 3" xfId="333" xr:uid="{00000000-0005-0000-0000-000044010000}"/>
    <cellStyle name="Comma 2 3 2 3 2" xfId="334" xr:uid="{00000000-0005-0000-0000-000045010000}"/>
    <cellStyle name="Comma 2 3 2 3 2 2" xfId="335" xr:uid="{00000000-0005-0000-0000-000046010000}"/>
    <cellStyle name="Comma 2 3 2 3 2 2 2" xfId="336" xr:uid="{00000000-0005-0000-0000-000047010000}"/>
    <cellStyle name="Comma 2 3 2 3 2 2 2 2" xfId="337" xr:uid="{00000000-0005-0000-0000-000048010000}"/>
    <cellStyle name="Comma 2 3 2 3 2 2 2 2 2" xfId="338" xr:uid="{00000000-0005-0000-0000-000049010000}"/>
    <cellStyle name="Comma 2 3 2 3 2 2 2 3" xfId="339" xr:uid="{00000000-0005-0000-0000-00004A010000}"/>
    <cellStyle name="Comma 2 3 2 3 2 2 2 3 2" xfId="340" xr:uid="{00000000-0005-0000-0000-00004B010000}"/>
    <cellStyle name="Comma 2 3 2 3 2 2 2 4" xfId="341" xr:uid="{00000000-0005-0000-0000-00004C010000}"/>
    <cellStyle name="Comma 2 3 2 3 2 2 3" xfId="342" xr:uid="{00000000-0005-0000-0000-00004D010000}"/>
    <cellStyle name="Comma 2 3 2 3 2 2 3 2" xfId="343" xr:uid="{00000000-0005-0000-0000-00004E010000}"/>
    <cellStyle name="Comma 2 3 2 3 2 2 4" xfId="344" xr:uid="{00000000-0005-0000-0000-00004F010000}"/>
    <cellStyle name="Comma 2 3 2 3 2 2 4 2" xfId="345" xr:uid="{00000000-0005-0000-0000-000050010000}"/>
    <cellStyle name="Comma 2 3 2 3 2 2 5" xfId="346" xr:uid="{00000000-0005-0000-0000-000051010000}"/>
    <cellStyle name="Comma 2 3 2 3 2 3" xfId="347" xr:uid="{00000000-0005-0000-0000-000052010000}"/>
    <cellStyle name="Comma 2 3 2 3 2 3 2" xfId="348" xr:uid="{00000000-0005-0000-0000-000053010000}"/>
    <cellStyle name="Comma 2 3 2 3 2 3 2 2" xfId="349" xr:uid="{00000000-0005-0000-0000-000054010000}"/>
    <cellStyle name="Comma 2 3 2 3 2 3 2 2 2" xfId="350" xr:uid="{00000000-0005-0000-0000-000055010000}"/>
    <cellStyle name="Comma 2 3 2 3 2 3 2 3" xfId="351" xr:uid="{00000000-0005-0000-0000-000056010000}"/>
    <cellStyle name="Comma 2 3 2 3 2 3 2 3 2" xfId="352" xr:uid="{00000000-0005-0000-0000-000057010000}"/>
    <cellStyle name="Comma 2 3 2 3 2 3 2 4" xfId="353" xr:uid="{00000000-0005-0000-0000-000058010000}"/>
    <cellStyle name="Comma 2 3 2 3 2 3 3" xfId="354" xr:uid="{00000000-0005-0000-0000-000059010000}"/>
    <cellStyle name="Comma 2 3 2 3 2 3 3 2" xfId="355" xr:uid="{00000000-0005-0000-0000-00005A010000}"/>
    <cellStyle name="Comma 2 3 2 3 2 3 4" xfId="356" xr:uid="{00000000-0005-0000-0000-00005B010000}"/>
    <cellStyle name="Comma 2 3 2 3 2 3 4 2" xfId="357" xr:uid="{00000000-0005-0000-0000-00005C010000}"/>
    <cellStyle name="Comma 2 3 2 3 2 3 5" xfId="358" xr:uid="{00000000-0005-0000-0000-00005D010000}"/>
    <cellStyle name="Comma 2 3 2 3 2 4" xfId="359" xr:uid="{00000000-0005-0000-0000-00005E010000}"/>
    <cellStyle name="Comma 2 3 2 3 2 4 2" xfId="360" xr:uid="{00000000-0005-0000-0000-00005F010000}"/>
    <cellStyle name="Comma 2 3 2 3 2 4 2 2" xfId="361" xr:uid="{00000000-0005-0000-0000-000060010000}"/>
    <cellStyle name="Comma 2 3 2 3 2 4 3" xfId="362" xr:uid="{00000000-0005-0000-0000-000061010000}"/>
    <cellStyle name="Comma 2 3 2 3 2 4 3 2" xfId="363" xr:uid="{00000000-0005-0000-0000-000062010000}"/>
    <cellStyle name="Comma 2 3 2 3 2 4 4" xfId="364" xr:uid="{00000000-0005-0000-0000-000063010000}"/>
    <cellStyle name="Comma 2 3 2 3 2 5" xfId="365" xr:uid="{00000000-0005-0000-0000-000064010000}"/>
    <cellStyle name="Comma 2 3 2 3 2 5 2" xfId="366" xr:uid="{00000000-0005-0000-0000-000065010000}"/>
    <cellStyle name="Comma 2 3 2 3 2 6" xfId="367" xr:uid="{00000000-0005-0000-0000-000066010000}"/>
    <cellStyle name="Comma 2 3 2 3 2 6 2" xfId="368" xr:uid="{00000000-0005-0000-0000-000067010000}"/>
    <cellStyle name="Comma 2 3 2 3 2 7" xfId="369" xr:uid="{00000000-0005-0000-0000-000068010000}"/>
    <cellStyle name="Comma 2 3 2 3 3" xfId="370" xr:uid="{00000000-0005-0000-0000-000069010000}"/>
    <cellStyle name="Comma 2 3 2 3 3 2" xfId="371" xr:uid="{00000000-0005-0000-0000-00006A010000}"/>
    <cellStyle name="Comma 2 3 2 3 3 2 2" xfId="372" xr:uid="{00000000-0005-0000-0000-00006B010000}"/>
    <cellStyle name="Comma 2 3 2 3 3 2 2 2" xfId="373" xr:uid="{00000000-0005-0000-0000-00006C010000}"/>
    <cellStyle name="Comma 2 3 2 3 3 2 3" xfId="374" xr:uid="{00000000-0005-0000-0000-00006D010000}"/>
    <cellStyle name="Comma 2 3 2 3 3 2 3 2" xfId="375" xr:uid="{00000000-0005-0000-0000-00006E010000}"/>
    <cellStyle name="Comma 2 3 2 3 3 2 4" xfId="376" xr:uid="{00000000-0005-0000-0000-00006F010000}"/>
    <cellStyle name="Comma 2 3 2 3 3 3" xfId="377" xr:uid="{00000000-0005-0000-0000-000070010000}"/>
    <cellStyle name="Comma 2 3 2 3 3 3 2" xfId="378" xr:uid="{00000000-0005-0000-0000-000071010000}"/>
    <cellStyle name="Comma 2 3 2 3 3 4" xfId="379" xr:uid="{00000000-0005-0000-0000-000072010000}"/>
    <cellStyle name="Comma 2 3 2 3 3 4 2" xfId="380" xr:uid="{00000000-0005-0000-0000-000073010000}"/>
    <cellStyle name="Comma 2 3 2 3 3 5" xfId="381" xr:uid="{00000000-0005-0000-0000-000074010000}"/>
    <cellStyle name="Comma 2 3 2 3 4" xfId="382" xr:uid="{00000000-0005-0000-0000-000075010000}"/>
    <cellStyle name="Comma 2 3 2 3 4 2" xfId="383" xr:uid="{00000000-0005-0000-0000-000076010000}"/>
    <cellStyle name="Comma 2 3 2 3 4 2 2" xfId="384" xr:uid="{00000000-0005-0000-0000-000077010000}"/>
    <cellStyle name="Comma 2 3 2 3 4 2 2 2" xfId="385" xr:uid="{00000000-0005-0000-0000-000078010000}"/>
    <cellStyle name="Comma 2 3 2 3 4 2 3" xfId="386" xr:uid="{00000000-0005-0000-0000-000079010000}"/>
    <cellStyle name="Comma 2 3 2 3 4 2 3 2" xfId="387" xr:uid="{00000000-0005-0000-0000-00007A010000}"/>
    <cellStyle name="Comma 2 3 2 3 4 2 4" xfId="388" xr:uid="{00000000-0005-0000-0000-00007B010000}"/>
    <cellStyle name="Comma 2 3 2 3 4 3" xfId="389" xr:uid="{00000000-0005-0000-0000-00007C010000}"/>
    <cellStyle name="Comma 2 3 2 3 4 3 2" xfId="390" xr:uid="{00000000-0005-0000-0000-00007D010000}"/>
    <cellStyle name="Comma 2 3 2 3 4 4" xfId="391" xr:uid="{00000000-0005-0000-0000-00007E010000}"/>
    <cellStyle name="Comma 2 3 2 3 4 4 2" xfId="392" xr:uid="{00000000-0005-0000-0000-00007F010000}"/>
    <cellStyle name="Comma 2 3 2 3 4 5" xfId="393" xr:uid="{00000000-0005-0000-0000-000080010000}"/>
    <cellStyle name="Comma 2 3 2 3 5" xfId="394" xr:uid="{00000000-0005-0000-0000-000081010000}"/>
    <cellStyle name="Comma 2 3 2 3 5 2" xfId="395" xr:uid="{00000000-0005-0000-0000-000082010000}"/>
    <cellStyle name="Comma 2 3 2 3 5 2 2" xfId="396" xr:uid="{00000000-0005-0000-0000-000083010000}"/>
    <cellStyle name="Comma 2 3 2 3 5 3" xfId="397" xr:uid="{00000000-0005-0000-0000-000084010000}"/>
    <cellStyle name="Comma 2 3 2 3 5 3 2" xfId="398" xr:uid="{00000000-0005-0000-0000-000085010000}"/>
    <cellStyle name="Comma 2 3 2 3 5 4" xfId="399" xr:uid="{00000000-0005-0000-0000-000086010000}"/>
    <cellStyle name="Comma 2 3 2 3 6" xfId="400" xr:uid="{00000000-0005-0000-0000-000087010000}"/>
    <cellStyle name="Comma 2 3 2 3 6 2" xfId="401" xr:uid="{00000000-0005-0000-0000-000088010000}"/>
    <cellStyle name="Comma 2 3 2 3 7" xfId="402" xr:uid="{00000000-0005-0000-0000-000089010000}"/>
    <cellStyle name="Comma 2 3 2 3 7 2" xfId="403" xr:uid="{00000000-0005-0000-0000-00008A010000}"/>
    <cellStyle name="Comma 2 3 2 3 8" xfId="404" xr:uid="{00000000-0005-0000-0000-00008B010000}"/>
    <cellStyle name="Comma 2 3 2 4" xfId="405" xr:uid="{00000000-0005-0000-0000-00008C010000}"/>
    <cellStyle name="Comma 2 3 2 4 2" xfId="406" xr:uid="{00000000-0005-0000-0000-00008D010000}"/>
    <cellStyle name="Comma 2 3 2 4 2 2" xfId="407" xr:uid="{00000000-0005-0000-0000-00008E010000}"/>
    <cellStyle name="Comma 2 3 2 4 2 2 2" xfId="408" xr:uid="{00000000-0005-0000-0000-00008F010000}"/>
    <cellStyle name="Comma 2 3 2 4 2 2 2 2" xfId="409" xr:uid="{00000000-0005-0000-0000-000090010000}"/>
    <cellStyle name="Comma 2 3 2 4 2 2 2 2 2" xfId="410" xr:uid="{00000000-0005-0000-0000-000091010000}"/>
    <cellStyle name="Comma 2 3 2 4 2 2 2 3" xfId="411" xr:uid="{00000000-0005-0000-0000-000092010000}"/>
    <cellStyle name="Comma 2 3 2 4 2 2 2 3 2" xfId="412" xr:uid="{00000000-0005-0000-0000-000093010000}"/>
    <cellStyle name="Comma 2 3 2 4 2 2 2 4" xfId="413" xr:uid="{00000000-0005-0000-0000-000094010000}"/>
    <cellStyle name="Comma 2 3 2 4 2 2 3" xfId="414" xr:uid="{00000000-0005-0000-0000-000095010000}"/>
    <cellStyle name="Comma 2 3 2 4 2 2 3 2" xfId="415" xr:uid="{00000000-0005-0000-0000-000096010000}"/>
    <cellStyle name="Comma 2 3 2 4 2 2 4" xfId="416" xr:uid="{00000000-0005-0000-0000-000097010000}"/>
    <cellStyle name="Comma 2 3 2 4 2 2 4 2" xfId="417" xr:uid="{00000000-0005-0000-0000-000098010000}"/>
    <cellStyle name="Comma 2 3 2 4 2 2 5" xfId="418" xr:uid="{00000000-0005-0000-0000-000099010000}"/>
    <cellStyle name="Comma 2 3 2 4 2 3" xfId="419" xr:uid="{00000000-0005-0000-0000-00009A010000}"/>
    <cellStyle name="Comma 2 3 2 4 2 3 2" xfId="420" xr:uid="{00000000-0005-0000-0000-00009B010000}"/>
    <cellStyle name="Comma 2 3 2 4 2 3 2 2" xfId="421" xr:uid="{00000000-0005-0000-0000-00009C010000}"/>
    <cellStyle name="Comma 2 3 2 4 2 3 2 2 2" xfId="422" xr:uid="{00000000-0005-0000-0000-00009D010000}"/>
    <cellStyle name="Comma 2 3 2 4 2 3 2 3" xfId="423" xr:uid="{00000000-0005-0000-0000-00009E010000}"/>
    <cellStyle name="Comma 2 3 2 4 2 3 2 3 2" xfId="424" xr:uid="{00000000-0005-0000-0000-00009F010000}"/>
    <cellStyle name="Comma 2 3 2 4 2 3 2 4" xfId="425" xr:uid="{00000000-0005-0000-0000-0000A0010000}"/>
    <cellStyle name="Comma 2 3 2 4 2 3 3" xfId="426" xr:uid="{00000000-0005-0000-0000-0000A1010000}"/>
    <cellStyle name="Comma 2 3 2 4 2 3 3 2" xfId="427" xr:uid="{00000000-0005-0000-0000-0000A2010000}"/>
    <cellStyle name="Comma 2 3 2 4 2 3 4" xfId="428" xr:uid="{00000000-0005-0000-0000-0000A3010000}"/>
    <cellStyle name="Comma 2 3 2 4 2 3 4 2" xfId="429" xr:uid="{00000000-0005-0000-0000-0000A4010000}"/>
    <cellStyle name="Comma 2 3 2 4 2 3 5" xfId="430" xr:uid="{00000000-0005-0000-0000-0000A5010000}"/>
    <cellStyle name="Comma 2 3 2 4 2 4" xfId="431" xr:uid="{00000000-0005-0000-0000-0000A6010000}"/>
    <cellStyle name="Comma 2 3 2 4 2 4 2" xfId="432" xr:uid="{00000000-0005-0000-0000-0000A7010000}"/>
    <cellStyle name="Comma 2 3 2 4 2 4 2 2" xfId="433" xr:uid="{00000000-0005-0000-0000-0000A8010000}"/>
    <cellStyle name="Comma 2 3 2 4 2 4 3" xfId="434" xr:uid="{00000000-0005-0000-0000-0000A9010000}"/>
    <cellStyle name="Comma 2 3 2 4 2 4 3 2" xfId="435" xr:uid="{00000000-0005-0000-0000-0000AA010000}"/>
    <cellStyle name="Comma 2 3 2 4 2 4 4" xfId="436" xr:uid="{00000000-0005-0000-0000-0000AB010000}"/>
    <cellStyle name="Comma 2 3 2 4 2 5" xfId="437" xr:uid="{00000000-0005-0000-0000-0000AC010000}"/>
    <cellStyle name="Comma 2 3 2 4 2 5 2" xfId="438" xr:uid="{00000000-0005-0000-0000-0000AD010000}"/>
    <cellStyle name="Comma 2 3 2 4 2 6" xfId="439" xr:uid="{00000000-0005-0000-0000-0000AE010000}"/>
    <cellStyle name="Comma 2 3 2 4 2 6 2" xfId="440" xr:uid="{00000000-0005-0000-0000-0000AF010000}"/>
    <cellStyle name="Comma 2 3 2 4 2 7" xfId="441" xr:uid="{00000000-0005-0000-0000-0000B0010000}"/>
    <cellStyle name="Comma 2 3 2 4 3" xfId="442" xr:uid="{00000000-0005-0000-0000-0000B1010000}"/>
    <cellStyle name="Comma 2 3 2 4 3 2" xfId="443" xr:uid="{00000000-0005-0000-0000-0000B2010000}"/>
    <cellStyle name="Comma 2 3 2 4 3 2 2" xfId="444" xr:uid="{00000000-0005-0000-0000-0000B3010000}"/>
    <cellStyle name="Comma 2 3 2 4 3 2 2 2" xfId="445" xr:uid="{00000000-0005-0000-0000-0000B4010000}"/>
    <cellStyle name="Comma 2 3 2 4 3 2 3" xfId="446" xr:uid="{00000000-0005-0000-0000-0000B5010000}"/>
    <cellStyle name="Comma 2 3 2 4 3 2 3 2" xfId="447" xr:uid="{00000000-0005-0000-0000-0000B6010000}"/>
    <cellStyle name="Comma 2 3 2 4 3 2 4" xfId="448" xr:uid="{00000000-0005-0000-0000-0000B7010000}"/>
    <cellStyle name="Comma 2 3 2 4 3 3" xfId="449" xr:uid="{00000000-0005-0000-0000-0000B8010000}"/>
    <cellStyle name="Comma 2 3 2 4 3 3 2" xfId="450" xr:uid="{00000000-0005-0000-0000-0000B9010000}"/>
    <cellStyle name="Comma 2 3 2 4 3 4" xfId="451" xr:uid="{00000000-0005-0000-0000-0000BA010000}"/>
    <cellStyle name="Comma 2 3 2 4 3 4 2" xfId="452" xr:uid="{00000000-0005-0000-0000-0000BB010000}"/>
    <cellStyle name="Comma 2 3 2 4 3 5" xfId="453" xr:uid="{00000000-0005-0000-0000-0000BC010000}"/>
    <cellStyle name="Comma 2 3 2 4 4" xfId="454" xr:uid="{00000000-0005-0000-0000-0000BD010000}"/>
    <cellStyle name="Comma 2 3 2 4 4 2" xfId="455" xr:uid="{00000000-0005-0000-0000-0000BE010000}"/>
    <cellStyle name="Comma 2 3 2 4 4 2 2" xfId="456" xr:uid="{00000000-0005-0000-0000-0000BF010000}"/>
    <cellStyle name="Comma 2 3 2 4 4 2 2 2" xfId="457" xr:uid="{00000000-0005-0000-0000-0000C0010000}"/>
    <cellStyle name="Comma 2 3 2 4 4 2 3" xfId="458" xr:uid="{00000000-0005-0000-0000-0000C1010000}"/>
    <cellStyle name="Comma 2 3 2 4 4 2 3 2" xfId="459" xr:uid="{00000000-0005-0000-0000-0000C2010000}"/>
    <cellStyle name="Comma 2 3 2 4 4 2 4" xfId="460" xr:uid="{00000000-0005-0000-0000-0000C3010000}"/>
    <cellStyle name="Comma 2 3 2 4 4 3" xfId="461" xr:uid="{00000000-0005-0000-0000-0000C4010000}"/>
    <cellStyle name="Comma 2 3 2 4 4 3 2" xfId="462" xr:uid="{00000000-0005-0000-0000-0000C5010000}"/>
    <cellStyle name="Comma 2 3 2 4 4 4" xfId="463" xr:uid="{00000000-0005-0000-0000-0000C6010000}"/>
    <cellStyle name="Comma 2 3 2 4 4 4 2" xfId="464" xr:uid="{00000000-0005-0000-0000-0000C7010000}"/>
    <cellStyle name="Comma 2 3 2 4 4 5" xfId="465" xr:uid="{00000000-0005-0000-0000-0000C8010000}"/>
    <cellStyle name="Comma 2 3 2 4 5" xfId="466" xr:uid="{00000000-0005-0000-0000-0000C9010000}"/>
    <cellStyle name="Comma 2 3 2 4 5 2" xfId="467" xr:uid="{00000000-0005-0000-0000-0000CA010000}"/>
    <cellStyle name="Comma 2 3 2 4 5 2 2" xfId="468" xr:uid="{00000000-0005-0000-0000-0000CB010000}"/>
    <cellStyle name="Comma 2 3 2 4 5 3" xfId="469" xr:uid="{00000000-0005-0000-0000-0000CC010000}"/>
    <cellStyle name="Comma 2 3 2 4 5 3 2" xfId="470" xr:uid="{00000000-0005-0000-0000-0000CD010000}"/>
    <cellStyle name="Comma 2 3 2 4 5 4" xfId="471" xr:uid="{00000000-0005-0000-0000-0000CE010000}"/>
    <cellStyle name="Comma 2 3 2 4 6" xfId="472" xr:uid="{00000000-0005-0000-0000-0000CF010000}"/>
    <cellStyle name="Comma 2 3 2 4 6 2" xfId="473" xr:uid="{00000000-0005-0000-0000-0000D0010000}"/>
    <cellStyle name="Comma 2 3 2 4 7" xfId="474" xr:uid="{00000000-0005-0000-0000-0000D1010000}"/>
    <cellStyle name="Comma 2 3 2 4 7 2" xfId="475" xr:uid="{00000000-0005-0000-0000-0000D2010000}"/>
    <cellStyle name="Comma 2 3 2 4 8" xfId="476" xr:uid="{00000000-0005-0000-0000-0000D3010000}"/>
    <cellStyle name="Comma 2 3 2 5" xfId="477" xr:uid="{00000000-0005-0000-0000-0000D4010000}"/>
    <cellStyle name="Comma 2 3 2 5 2" xfId="478" xr:uid="{00000000-0005-0000-0000-0000D5010000}"/>
    <cellStyle name="Comma 2 3 2 5 2 2" xfId="479" xr:uid="{00000000-0005-0000-0000-0000D6010000}"/>
    <cellStyle name="Comma 2 3 2 5 2 2 2" xfId="480" xr:uid="{00000000-0005-0000-0000-0000D7010000}"/>
    <cellStyle name="Comma 2 3 2 5 2 2 2 2" xfId="481" xr:uid="{00000000-0005-0000-0000-0000D8010000}"/>
    <cellStyle name="Comma 2 3 2 5 2 2 3" xfId="482" xr:uid="{00000000-0005-0000-0000-0000D9010000}"/>
    <cellStyle name="Comma 2 3 2 5 2 2 3 2" xfId="483" xr:uid="{00000000-0005-0000-0000-0000DA010000}"/>
    <cellStyle name="Comma 2 3 2 5 2 2 4" xfId="484" xr:uid="{00000000-0005-0000-0000-0000DB010000}"/>
    <cellStyle name="Comma 2 3 2 5 2 3" xfId="485" xr:uid="{00000000-0005-0000-0000-0000DC010000}"/>
    <cellStyle name="Comma 2 3 2 5 2 3 2" xfId="486" xr:uid="{00000000-0005-0000-0000-0000DD010000}"/>
    <cellStyle name="Comma 2 3 2 5 2 4" xfId="487" xr:uid="{00000000-0005-0000-0000-0000DE010000}"/>
    <cellStyle name="Comma 2 3 2 5 2 4 2" xfId="488" xr:uid="{00000000-0005-0000-0000-0000DF010000}"/>
    <cellStyle name="Comma 2 3 2 5 2 5" xfId="489" xr:uid="{00000000-0005-0000-0000-0000E0010000}"/>
    <cellStyle name="Comma 2 3 2 5 3" xfId="490" xr:uid="{00000000-0005-0000-0000-0000E1010000}"/>
    <cellStyle name="Comma 2 3 2 5 3 2" xfId="491" xr:uid="{00000000-0005-0000-0000-0000E2010000}"/>
    <cellStyle name="Comma 2 3 2 5 3 2 2" xfId="492" xr:uid="{00000000-0005-0000-0000-0000E3010000}"/>
    <cellStyle name="Comma 2 3 2 5 3 2 2 2" xfId="493" xr:uid="{00000000-0005-0000-0000-0000E4010000}"/>
    <cellStyle name="Comma 2 3 2 5 3 2 3" xfId="494" xr:uid="{00000000-0005-0000-0000-0000E5010000}"/>
    <cellStyle name="Comma 2 3 2 5 3 2 3 2" xfId="495" xr:uid="{00000000-0005-0000-0000-0000E6010000}"/>
    <cellStyle name="Comma 2 3 2 5 3 2 4" xfId="496" xr:uid="{00000000-0005-0000-0000-0000E7010000}"/>
    <cellStyle name="Comma 2 3 2 5 3 3" xfId="497" xr:uid="{00000000-0005-0000-0000-0000E8010000}"/>
    <cellStyle name="Comma 2 3 2 5 3 3 2" xfId="498" xr:uid="{00000000-0005-0000-0000-0000E9010000}"/>
    <cellStyle name="Comma 2 3 2 5 3 4" xfId="499" xr:uid="{00000000-0005-0000-0000-0000EA010000}"/>
    <cellStyle name="Comma 2 3 2 5 3 4 2" xfId="500" xr:uid="{00000000-0005-0000-0000-0000EB010000}"/>
    <cellStyle name="Comma 2 3 2 5 3 5" xfId="501" xr:uid="{00000000-0005-0000-0000-0000EC010000}"/>
    <cellStyle name="Comma 2 3 2 5 4" xfId="502" xr:uid="{00000000-0005-0000-0000-0000ED010000}"/>
    <cellStyle name="Comma 2 3 2 5 4 2" xfId="503" xr:uid="{00000000-0005-0000-0000-0000EE010000}"/>
    <cellStyle name="Comma 2 3 2 5 4 2 2" xfId="504" xr:uid="{00000000-0005-0000-0000-0000EF010000}"/>
    <cellStyle name="Comma 2 3 2 5 4 3" xfId="505" xr:uid="{00000000-0005-0000-0000-0000F0010000}"/>
    <cellStyle name="Comma 2 3 2 5 4 3 2" xfId="506" xr:uid="{00000000-0005-0000-0000-0000F1010000}"/>
    <cellStyle name="Comma 2 3 2 5 4 4" xfId="507" xr:uid="{00000000-0005-0000-0000-0000F2010000}"/>
    <cellStyle name="Comma 2 3 2 5 5" xfId="508" xr:uid="{00000000-0005-0000-0000-0000F3010000}"/>
    <cellStyle name="Comma 2 3 2 5 5 2" xfId="509" xr:uid="{00000000-0005-0000-0000-0000F4010000}"/>
    <cellStyle name="Comma 2 3 2 5 6" xfId="510" xr:uid="{00000000-0005-0000-0000-0000F5010000}"/>
    <cellStyle name="Comma 2 3 2 5 6 2" xfId="511" xr:uid="{00000000-0005-0000-0000-0000F6010000}"/>
    <cellStyle name="Comma 2 3 2 5 7" xfId="512" xr:uid="{00000000-0005-0000-0000-0000F7010000}"/>
    <cellStyle name="Comma 2 3 2 6" xfId="513" xr:uid="{00000000-0005-0000-0000-0000F8010000}"/>
    <cellStyle name="Comma 2 3 2 6 2" xfId="514" xr:uid="{00000000-0005-0000-0000-0000F9010000}"/>
    <cellStyle name="Comma 2 3 2 6 2 2" xfId="515" xr:uid="{00000000-0005-0000-0000-0000FA010000}"/>
    <cellStyle name="Comma 2 3 2 6 2 2 2" xfId="516" xr:uid="{00000000-0005-0000-0000-0000FB010000}"/>
    <cellStyle name="Comma 2 3 2 6 2 2 2 2" xfId="517" xr:uid="{00000000-0005-0000-0000-0000FC010000}"/>
    <cellStyle name="Comma 2 3 2 6 2 2 3" xfId="518" xr:uid="{00000000-0005-0000-0000-0000FD010000}"/>
    <cellStyle name="Comma 2 3 2 6 2 2 3 2" xfId="519" xr:uid="{00000000-0005-0000-0000-0000FE010000}"/>
    <cellStyle name="Comma 2 3 2 6 2 2 4" xfId="520" xr:uid="{00000000-0005-0000-0000-0000FF010000}"/>
    <cellStyle name="Comma 2 3 2 6 2 3" xfId="521" xr:uid="{00000000-0005-0000-0000-000000020000}"/>
    <cellStyle name="Comma 2 3 2 6 2 3 2" xfId="522" xr:uid="{00000000-0005-0000-0000-000001020000}"/>
    <cellStyle name="Comma 2 3 2 6 2 4" xfId="523" xr:uid="{00000000-0005-0000-0000-000002020000}"/>
    <cellStyle name="Comma 2 3 2 6 2 4 2" xfId="524" xr:uid="{00000000-0005-0000-0000-000003020000}"/>
    <cellStyle name="Comma 2 3 2 6 2 5" xfId="525" xr:uid="{00000000-0005-0000-0000-000004020000}"/>
    <cellStyle name="Comma 2 3 2 6 3" xfId="526" xr:uid="{00000000-0005-0000-0000-000005020000}"/>
    <cellStyle name="Comma 2 3 2 6 3 2" xfId="527" xr:uid="{00000000-0005-0000-0000-000006020000}"/>
    <cellStyle name="Comma 2 3 2 6 3 2 2" xfId="528" xr:uid="{00000000-0005-0000-0000-000007020000}"/>
    <cellStyle name="Comma 2 3 2 6 3 2 2 2" xfId="529" xr:uid="{00000000-0005-0000-0000-000008020000}"/>
    <cellStyle name="Comma 2 3 2 6 3 2 3" xfId="530" xr:uid="{00000000-0005-0000-0000-000009020000}"/>
    <cellStyle name="Comma 2 3 2 6 3 2 3 2" xfId="531" xr:uid="{00000000-0005-0000-0000-00000A020000}"/>
    <cellStyle name="Comma 2 3 2 6 3 2 4" xfId="532" xr:uid="{00000000-0005-0000-0000-00000B020000}"/>
    <cellStyle name="Comma 2 3 2 6 3 3" xfId="533" xr:uid="{00000000-0005-0000-0000-00000C020000}"/>
    <cellStyle name="Comma 2 3 2 6 3 3 2" xfId="534" xr:uid="{00000000-0005-0000-0000-00000D020000}"/>
    <cellStyle name="Comma 2 3 2 6 3 4" xfId="535" xr:uid="{00000000-0005-0000-0000-00000E020000}"/>
    <cellStyle name="Comma 2 3 2 6 3 4 2" xfId="536" xr:uid="{00000000-0005-0000-0000-00000F020000}"/>
    <cellStyle name="Comma 2 3 2 6 3 5" xfId="537" xr:uid="{00000000-0005-0000-0000-000010020000}"/>
    <cellStyle name="Comma 2 3 2 6 4" xfId="538" xr:uid="{00000000-0005-0000-0000-000011020000}"/>
    <cellStyle name="Comma 2 3 2 6 4 2" xfId="539" xr:uid="{00000000-0005-0000-0000-000012020000}"/>
    <cellStyle name="Comma 2 3 2 6 4 2 2" xfId="540" xr:uid="{00000000-0005-0000-0000-000013020000}"/>
    <cellStyle name="Comma 2 3 2 6 4 3" xfId="541" xr:uid="{00000000-0005-0000-0000-000014020000}"/>
    <cellStyle name="Comma 2 3 2 6 4 3 2" xfId="542" xr:uid="{00000000-0005-0000-0000-000015020000}"/>
    <cellStyle name="Comma 2 3 2 6 4 4" xfId="543" xr:uid="{00000000-0005-0000-0000-000016020000}"/>
    <cellStyle name="Comma 2 3 2 6 5" xfId="544" xr:uid="{00000000-0005-0000-0000-000017020000}"/>
    <cellStyle name="Comma 2 3 2 6 5 2" xfId="545" xr:uid="{00000000-0005-0000-0000-000018020000}"/>
    <cellStyle name="Comma 2 3 2 6 6" xfId="546" xr:uid="{00000000-0005-0000-0000-000019020000}"/>
    <cellStyle name="Comma 2 3 2 6 6 2" xfId="547" xr:uid="{00000000-0005-0000-0000-00001A020000}"/>
    <cellStyle name="Comma 2 3 2 6 7" xfId="548" xr:uid="{00000000-0005-0000-0000-00001B020000}"/>
    <cellStyle name="Comma 2 3 2 7" xfId="549" xr:uid="{00000000-0005-0000-0000-00001C020000}"/>
    <cellStyle name="Comma 2 3 2 7 2" xfId="550" xr:uid="{00000000-0005-0000-0000-00001D020000}"/>
    <cellStyle name="Comma 2 3 2 7 2 2" xfId="551" xr:uid="{00000000-0005-0000-0000-00001E020000}"/>
    <cellStyle name="Comma 2 3 2 7 2 2 2" xfId="552" xr:uid="{00000000-0005-0000-0000-00001F020000}"/>
    <cellStyle name="Comma 2 3 2 7 2 2 2 2" xfId="553" xr:uid="{00000000-0005-0000-0000-000020020000}"/>
    <cellStyle name="Comma 2 3 2 7 2 2 3" xfId="554" xr:uid="{00000000-0005-0000-0000-000021020000}"/>
    <cellStyle name="Comma 2 3 2 7 2 2 3 2" xfId="555" xr:uid="{00000000-0005-0000-0000-000022020000}"/>
    <cellStyle name="Comma 2 3 2 7 2 2 4" xfId="556" xr:uid="{00000000-0005-0000-0000-000023020000}"/>
    <cellStyle name="Comma 2 3 2 7 2 3" xfId="557" xr:uid="{00000000-0005-0000-0000-000024020000}"/>
    <cellStyle name="Comma 2 3 2 7 2 3 2" xfId="558" xr:uid="{00000000-0005-0000-0000-000025020000}"/>
    <cellStyle name="Comma 2 3 2 7 2 4" xfId="559" xr:uid="{00000000-0005-0000-0000-000026020000}"/>
    <cellStyle name="Comma 2 3 2 7 2 4 2" xfId="560" xr:uid="{00000000-0005-0000-0000-000027020000}"/>
    <cellStyle name="Comma 2 3 2 7 2 5" xfId="561" xr:uid="{00000000-0005-0000-0000-000028020000}"/>
    <cellStyle name="Comma 2 3 2 7 3" xfId="562" xr:uid="{00000000-0005-0000-0000-000029020000}"/>
    <cellStyle name="Comma 2 3 2 7 3 2" xfId="563" xr:uid="{00000000-0005-0000-0000-00002A020000}"/>
    <cellStyle name="Comma 2 3 2 7 3 2 2" xfId="564" xr:uid="{00000000-0005-0000-0000-00002B020000}"/>
    <cellStyle name="Comma 2 3 2 7 3 2 2 2" xfId="565" xr:uid="{00000000-0005-0000-0000-00002C020000}"/>
    <cellStyle name="Comma 2 3 2 7 3 2 3" xfId="566" xr:uid="{00000000-0005-0000-0000-00002D020000}"/>
    <cellStyle name="Comma 2 3 2 7 3 2 3 2" xfId="567" xr:uid="{00000000-0005-0000-0000-00002E020000}"/>
    <cellStyle name="Comma 2 3 2 7 3 2 4" xfId="568" xr:uid="{00000000-0005-0000-0000-00002F020000}"/>
    <cellStyle name="Comma 2 3 2 7 3 3" xfId="569" xr:uid="{00000000-0005-0000-0000-000030020000}"/>
    <cellStyle name="Comma 2 3 2 7 3 3 2" xfId="570" xr:uid="{00000000-0005-0000-0000-000031020000}"/>
    <cellStyle name="Comma 2 3 2 7 3 4" xfId="571" xr:uid="{00000000-0005-0000-0000-000032020000}"/>
    <cellStyle name="Comma 2 3 2 7 3 4 2" xfId="572" xr:uid="{00000000-0005-0000-0000-000033020000}"/>
    <cellStyle name="Comma 2 3 2 7 3 5" xfId="573" xr:uid="{00000000-0005-0000-0000-000034020000}"/>
    <cellStyle name="Comma 2 3 2 7 4" xfId="574" xr:uid="{00000000-0005-0000-0000-000035020000}"/>
    <cellStyle name="Comma 2 3 2 7 4 2" xfId="575" xr:uid="{00000000-0005-0000-0000-000036020000}"/>
    <cellStyle name="Comma 2 3 2 7 4 2 2" xfId="576" xr:uid="{00000000-0005-0000-0000-000037020000}"/>
    <cellStyle name="Comma 2 3 2 7 4 3" xfId="577" xr:uid="{00000000-0005-0000-0000-000038020000}"/>
    <cellStyle name="Comma 2 3 2 7 4 3 2" xfId="578" xr:uid="{00000000-0005-0000-0000-000039020000}"/>
    <cellStyle name="Comma 2 3 2 7 4 4" xfId="579" xr:uid="{00000000-0005-0000-0000-00003A020000}"/>
    <cellStyle name="Comma 2 3 2 7 5" xfId="580" xr:uid="{00000000-0005-0000-0000-00003B020000}"/>
    <cellStyle name="Comma 2 3 2 7 5 2" xfId="581" xr:uid="{00000000-0005-0000-0000-00003C020000}"/>
    <cellStyle name="Comma 2 3 2 7 6" xfId="582" xr:uid="{00000000-0005-0000-0000-00003D020000}"/>
    <cellStyle name="Comma 2 3 2 7 6 2" xfId="583" xr:uid="{00000000-0005-0000-0000-00003E020000}"/>
    <cellStyle name="Comma 2 3 2 7 7" xfId="584" xr:uid="{00000000-0005-0000-0000-00003F020000}"/>
    <cellStyle name="Comma 2 3 2 8" xfId="585" xr:uid="{00000000-0005-0000-0000-000040020000}"/>
    <cellStyle name="Comma 2 3 2 8 2" xfId="586" xr:uid="{00000000-0005-0000-0000-000041020000}"/>
    <cellStyle name="Comma 2 3 2 8 2 2" xfId="587" xr:uid="{00000000-0005-0000-0000-000042020000}"/>
    <cellStyle name="Comma 2 3 2 8 2 2 2" xfId="588" xr:uid="{00000000-0005-0000-0000-000043020000}"/>
    <cellStyle name="Comma 2 3 2 8 2 2 2 2" xfId="589" xr:uid="{00000000-0005-0000-0000-000044020000}"/>
    <cellStyle name="Comma 2 3 2 8 2 2 3" xfId="590" xr:uid="{00000000-0005-0000-0000-000045020000}"/>
    <cellStyle name="Comma 2 3 2 8 2 2 3 2" xfId="591" xr:uid="{00000000-0005-0000-0000-000046020000}"/>
    <cellStyle name="Comma 2 3 2 8 2 2 4" xfId="592" xr:uid="{00000000-0005-0000-0000-000047020000}"/>
    <cellStyle name="Comma 2 3 2 8 2 3" xfId="593" xr:uid="{00000000-0005-0000-0000-000048020000}"/>
    <cellStyle name="Comma 2 3 2 8 2 3 2" xfId="594" xr:uid="{00000000-0005-0000-0000-000049020000}"/>
    <cellStyle name="Comma 2 3 2 8 2 4" xfId="595" xr:uid="{00000000-0005-0000-0000-00004A020000}"/>
    <cellStyle name="Comma 2 3 2 8 2 4 2" xfId="596" xr:uid="{00000000-0005-0000-0000-00004B020000}"/>
    <cellStyle name="Comma 2 3 2 8 2 5" xfId="597" xr:uid="{00000000-0005-0000-0000-00004C020000}"/>
    <cellStyle name="Comma 2 3 2 8 3" xfId="598" xr:uid="{00000000-0005-0000-0000-00004D020000}"/>
    <cellStyle name="Comma 2 3 2 8 3 2" xfId="599" xr:uid="{00000000-0005-0000-0000-00004E020000}"/>
    <cellStyle name="Comma 2 3 2 8 3 2 2" xfId="600" xr:uid="{00000000-0005-0000-0000-00004F020000}"/>
    <cellStyle name="Comma 2 3 2 8 3 2 2 2" xfId="601" xr:uid="{00000000-0005-0000-0000-000050020000}"/>
    <cellStyle name="Comma 2 3 2 8 3 2 3" xfId="602" xr:uid="{00000000-0005-0000-0000-000051020000}"/>
    <cellStyle name="Comma 2 3 2 8 3 2 3 2" xfId="603" xr:uid="{00000000-0005-0000-0000-000052020000}"/>
    <cellStyle name="Comma 2 3 2 8 3 2 4" xfId="604" xr:uid="{00000000-0005-0000-0000-000053020000}"/>
    <cellStyle name="Comma 2 3 2 8 3 3" xfId="605" xr:uid="{00000000-0005-0000-0000-000054020000}"/>
    <cellStyle name="Comma 2 3 2 8 3 3 2" xfId="606" xr:uid="{00000000-0005-0000-0000-000055020000}"/>
    <cellStyle name="Comma 2 3 2 8 3 4" xfId="607" xr:uid="{00000000-0005-0000-0000-000056020000}"/>
    <cellStyle name="Comma 2 3 2 8 3 4 2" xfId="608" xr:uid="{00000000-0005-0000-0000-000057020000}"/>
    <cellStyle name="Comma 2 3 2 8 3 5" xfId="609" xr:uid="{00000000-0005-0000-0000-000058020000}"/>
    <cellStyle name="Comma 2 3 2 8 4" xfId="610" xr:uid="{00000000-0005-0000-0000-000059020000}"/>
    <cellStyle name="Comma 2 3 2 8 4 2" xfId="611" xr:uid="{00000000-0005-0000-0000-00005A020000}"/>
    <cellStyle name="Comma 2 3 2 8 4 2 2" xfId="612" xr:uid="{00000000-0005-0000-0000-00005B020000}"/>
    <cellStyle name="Comma 2 3 2 8 4 3" xfId="613" xr:uid="{00000000-0005-0000-0000-00005C020000}"/>
    <cellStyle name="Comma 2 3 2 8 4 3 2" xfId="614" xr:uid="{00000000-0005-0000-0000-00005D020000}"/>
    <cellStyle name="Comma 2 3 2 8 4 4" xfId="615" xr:uid="{00000000-0005-0000-0000-00005E020000}"/>
    <cellStyle name="Comma 2 3 2 8 5" xfId="616" xr:uid="{00000000-0005-0000-0000-00005F020000}"/>
    <cellStyle name="Comma 2 3 2 8 5 2" xfId="617" xr:uid="{00000000-0005-0000-0000-000060020000}"/>
    <cellStyle name="Comma 2 3 2 8 6" xfId="618" xr:uid="{00000000-0005-0000-0000-000061020000}"/>
    <cellStyle name="Comma 2 3 2 8 6 2" xfId="619" xr:uid="{00000000-0005-0000-0000-000062020000}"/>
    <cellStyle name="Comma 2 3 2 8 7" xfId="620" xr:uid="{00000000-0005-0000-0000-000063020000}"/>
    <cellStyle name="Comma 2 3 2 9" xfId="621" xr:uid="{00000000-0005-0000-0000-000064020000}"/>
    <cellStyle name="Comma 2 3 2 9 2" xfId="622" xr:uid="{00000000-0005-0000-0000-000065020000}"/>
    <cellStyle name="Comma 2 3 2 9 2 2" xfId="623" xr:uid="{00000000-0005-0000-0000-000066020000}"/>
    <cellStyle name="Comma 2 3 2 9 2 2 2" xfId="624" xr:uid="{00000000-0005-0000-0000-000067020000}"/>
    <cellStyle name="Comma 2 3 2 9 2 3" xfId="625" xr:uid="{00000000-0005-0000-0000-000068020000}"/>
    <cellStyle name="Comma 2 3 2 9 2 3 2" xfId="626" xr:uid="{00000000-0005-0000-0000-000069020000}"/>
    <cellStyle name="Comma 2 3 2 9 2 4" xfId="627" xr:uid="{00000000-0005-0000-0000-00006A020000}"/>
    <cellStyle name="Comma 2 3 2 9 3" xfId="628" xr:uid="{00000000-0005-0000-0000-00006B020000}"/>
    <cellStyle name="Comma 2 3 2 9 3 2" xfId="629" xr:uid="{00000000-0005-0000-0000-00006C020000}"/>
    <cellStyle name="Comma 2 3 2 9 4" xfId="630" xr:uid="{00000000-0005-0000-0000-00006D020000}"/>
    <cellStyle name="Comma 2 3 2 9 4 2" xfId="631" xr:uid="{00000000-0005-0000-0000-00006E020000}"/>
    <cellStyle name="Comma 2 3 2 9 5" xfId="632" xr:uid="{00000000-0005-0000-0000-00006F020000}"/>
    <cellStyle name="Comma 2 3 3" xfId="633" xr:uid="{00000000-0005-0000-0000-000070020000}"/>
    <cellStyle name="Comma 2 3 3 10" xfId="634" xr:uid="{00000000-0005-0000-0000-000071020000}"/>
    <cellStyle name="Comma 2 3 3 10 2" xfId="635" xr:uid="{00000000-0005-0000-0000-000072020000}"/>
    <cellStyle name="Comma 2 3 3 10 2 2" xfId="636" xr:uid="{00000000-0005-0000-0000-000073020000}"/>
    <cellStyle name="Comma 2 3 3 10 3" xfId="637" xr:uid="{00000000-0005-0000-0000-000074020000}"/>
    <cellStyle name="Comma 2 3 3 10 3 2" xfId="638" xr:uid="{00000000-0005-0000-0000-000075020000}"/>
    <cellStyle name="Comma 2 3 3 10 4" xfId="639" xr:uid="{00000000-0005-0000-0000-000076020000}"/>
    <cellStyle name="Comma 2 3 3 11" xfId="640" xr:uid="{00000000-0005-0000-0000-000077020000}"/>
    <cellStyle name="Comma 2 3 3 11 2" xfId="641" xr:uid="{00000000-0005-0000-0000-000078020000}"/>
    <cellStyle name="Comma 2 3 3 12" xfId="642" xr:uid="{00000000-0005-0000-0000-000079020000}"/>
    <cellStyle name="Comma 2 3 3 12 2" xfId="643" xr:uid="{00000000-0005-0000-0000-00007A020000}"/>
    <cellStyle name="Comma 2 3 3 13" xfId="644" xr:uid="{00000000-0005-0000-0000-00007B020000}"/>
    <cellStyle name="Comma 2 3 3 2" xfId="645" xr:uid="{00000000-0005-0000-0000-00007C020000}"/>
    <cellStyle name="Comma 2 3 3 2 10" xfId="646" xr:uid="{00000000-0005-0000-0000-00007D020000}"/>
    <cellStyle name="Comma 2 3 3 2 10 2" xfId="647" xr:uid="{00000000-0005-0000-0000-00007E020000}"/>
    <cellStyle name="Comma 2 3 3 2 11" xfId="648" xr:uid="{00000000-0005-0000-0000-00007F020000}"/>
    <cellStyle name="Comma 2 3 3 2 2" xfId="649" xr:uid="{00000000-0005-0000-0000-000080020000}"/>
    <cellStyle name="Comma 2 3 3 2 2 2" xfId="650" xr:uid="{00000000-0005-0000-0000-000081020000}"/>
    <cellStyle name="Comma 2 3 3 2 2 2 2" xfId="651" xr:uid="{00000000-0005-0000-0000-000082020000}"/>
    <cellStyle name="Comma 2 3 3 2 2 2 2 2" xfId="652" xr:uid="{00000000-0005-0000-0000-000083020000}"/>
    <cellStyle name="Comma 2 3 3 2 2 2 2 2 2" xfId="653" xr:uid="{00000000-0005-0000-0000-000084020000}"/>
    <cellStyle name="Comma 2 3 3 2 2 2 2 3" xfId="654" xr:uid="{00000000-0005-0000-0000-000085020000}"/>
    <cellStyle name="Comma 2 3 3 2 2 2 2 3 2" xfId="655" xr:uid="{00000000-0005-0000-0000-000086020000}"/>
    <cellStyle name="Comma 2 3 3 2 2 2 2 4" xfId="656" xr:uid="{00000000-0005-0000-0000-000087020000}"/>
    <cellStyle name="Comma 2 3 3 2 2 2 3" xfId="657" xr:uid="{00000000-0005-0000-0000-000088020000}"/>
    <cellStyle name="Comma 2 3 3 2 2 2 3 2" xfId="658" xr:uid="{00000000-0005-0000-0000-000089020000}"/>
    <cellStyle name="Comma 2 3 3 2 2 2 4" xfId="659" xr:uid="{00000000-0005-0000-0000-00008A020000}"/>
    <cellStyle name="Comma 2 3 3 2 2 2 4 2" xfId="660" xr:uid="{00000000-0005-0000-0000-00008B020000}"/>
    <cellStyle name="Comma 2 3 3 2 2 2 5" xfId="661" xr:uid="{00000000-0005-0000-0000-00008C020000}"/>
    <cellStyle name="Comma 2 3 3 2 2 3" xfId="662" xr:uid="{00000000-0005-0000-0000-00008D020000}"/>
    <cellStyle name="Comma 2 3 3 2 2 3 2" xfId="663" xr:uid="{00000000-0005-0000-0000-00008E020000}"/>
    <cellStyle name="Comma 2 3 3 2 2 3 2 2" xfId="664" xr:uid="{00000000-0005-0000-0000-00008F020000}"/>
    <cellStyle name="Comma 2 3 3 2 2 3 2 2 2" xfId="665" xr:uid="{00000000-0005-0000-0000-000090020000}"/>
    <cellStyle name="Comma 2 3 3 2 2 3 2 3" xfId="666" xr:uid="{00000000-0005-0000-0000-000091020000}"/>
    <cellStyle name="Comma 2 3 3 2 2 3 2 3 2" xfId="667" xr:uid="{00000000-0005-0000-0000-000092020000}"/>
    <cellStyle name="Comma 2 3 3 2 2 3 2 4" xfId="668" xr:uid="{00000000-0005-0000-0000-000093020000}"/>
    <cellStyle name="Comma 2 3 3 2 2 3 3" xfId="669" xr:uid="{00000000-0005-0000-0000-000094020000}"/>
    <cellStyle name="Comma 2 3 3 2 2 3 3 2" xfId="670" xr:uid="{00000000-0005-0000-0000-000095020000}"/>
    <cellStyle name="Comma 2 3 3 2 2 3 4" xfId="671" xr:uid="{00000000-0005-0000-0000-000096020000}"/>
    <cellStyle name="Comma 2 3 3 2 2 3 4 2" xfId="672" xr:uid="{00000000-0005-0000-0000-000097020000}"/>
    <cellStyle name="Comma 2 3 3 2 2 3 5" xfId="673" xr:uid="{00000000-0005-0000-0000-000098020000}"/>
    <cellStyle name="Comma 2 3 3 2 2 4" xfId="674" xr:uid="{00000000-0005-0000-0000-000099020000}"/>
    <cellStyle name="Comma 2 3 3 2 2 4 2" xfId="675" xr:uid="{00000000-0005-0000-0000-00009A020000}"/>
    <cellStyle name="Comma 2 3 3 2 2 4 2 2" xfId="676" xr:uid="{00000000-0005-0000-0000-00009B020000}"/>
    <cellStyle name="Comma 2 3 3 2 2 4 3" xfId="677" xr:uid="{00000000-0005-0000-0000-00009C020000}"/>
    <cellStyle name="Comma 2 3 3 2 2 4 3 2" xfId="678" xr:uid="{00000000-0005-0000-0000-00009D020000}"/>
    <cellStyle name="Comma 2 3 3 2 2 4 4" xfId="679" xr:uid="{00000000-0005-0000-0000-00009E020000}"/>
    <cellStyle name="Comma 2 3 3 2 2 5" xfId="680" xr:uid="{00000000-0005-0000-0000-00009F020000}"/>
    <cellStyle name="Comma 2 3 3 2 2 5 2" xfId="681" xr:uid="{00000000-0005-0000-0000-0000A0020000}"/>
    <cellStyle name="Comma 2 3 3 2 2 6" xfId="682" xr:uid="{00000000-0005-0000-0000-0000A1020000}"/>
    <cellStyle name="Comma 2 3 3 2 2 6 2" xfId="683" xr:uid="{00000000-0005-0000-0000-0000A2020000}"/>
    <cellStyle name="Comma 2 3 3 2 2 7" xfId="684" xr:uid="{00000000-0005-0000-0000-0000A3020000}"/>
    <cellStyle name="Comma 2 3 3 2 3" xfId="685" xr:uid="{00000000-0005-0000-0000-0000A4020000}"/>
    <cellStyle name="Comma 2 3 3 2 3 2" xfId="686" xr:uid="{00000000-0005-0000-0000-0000A5020000}"/>
    <cellStyle name="Comma 2 3 3 2 3 2 2" xfId="687" xr:uid="{00000000-0005-0000-0000-0000A6020000}"/>
    <cellStyle name="Comma 2 3 3 2 3 2 2 2" xfId="688" xr:uid="{00000000-0005-0000-0000-0000A7020000}"/>
    <cellStyle name="Comma 2 3 3 2 3 2 2 2 2" xfId="689" xr:uid="{00000000-0005-0000-0000-0000A8020000}"/>
    <cellStyle name="Comma 2 3 3 2 3 2 2 3" xfId="690" xr:uid="{00000000-0005-0000-0000-0000A9020000}"/>
    <cellStyle name="Comma 2 3 3 2 3 2 2 3 2" xfId="691" xr:uid="{00000000-0005-0000-0000-0000AA020000}"/>
    <cellStyle name="Comma 2 3 3 2 3 2 2 4" xfId="692" xr:uid="{00000000-0005-0000-0000-0000AB020000}"/>
    <cellStyle name="Comma 2 3 3 2 3 2 3" xfId="693" xr:uid="{00000000-0005-0000-0000-0000AC020000}"/>
    <cellStyle name="Comma 2 3 3 2 3 2 3 2" xfId="694" xr:uid="{00000000-0005-0000-0000-0000AD020000}"/>
    <cellStyle name="Comma 2 3 3 2 3 2 4" xfId="695" xr:uid="{00000000-0005-0000-0000-0000AE020000}"/>
    <cellStyle name="Comma 2 3 3 2 3 2 4 2" xfId="696" xr:uid="{00000000-0005-0000-0000-0000AF020000}"/>
    <cellStyle name="Comma 2 3 3 2 3 2 5" xfId="697" xr:uid="{00000000-0005-0000-0000-0000B0020000}"/>
    <cellStyle name="Comma 2 3 3 2 3 3" xfId="698" xr:uid="{00000000-0005-0000-0000-0000B1020000}"/>
    <cellStyle name="Comma 2 3 3 2 3 3 2" xfId="699" xr:uid="{00000000-0005-0000-0000-0000B2020000}"/>
    <cellStyle name="Comma 2 3 3 2 3 3 2 2" xfId="700" xr:uid="{00000000-0005-0000-0000-0000B3020000}"/>
    <cellStyle name="Comma 2 3 3 2 3 3 2 2 2" xfId="701" xr:uid="{00000000-0005-0000-0000-0000B4020000}"/>
    <cellStyle name="Comma 2 3 3 2 3 3 2 3" xfId="702" xr:uid="{00000000-0005-0000-0000-0000B5020000}"/>
    <cellStyle name="Comma 2 3 3 2 3 3 2 3 2" xfId="703" xr:uid="{00000000-0005-0000-0000-0000B6020000}"/>
    <cellStyle name="Comma 2 3 3 2 3 3 2 4" xfId="704" xr:uid="{00000000-0005-0000-0000-0000B7020000}"/>
    <cellStyle name="Comma 2 3 3 2 3 3 3" xfId="705" xr:uid="{00000000-0005-0000-0000-0000B8020000}"/>
    <cellStyle name="Comma 2 3 3 2 3 3 3 2" xfId="706" xr:uid="{00000000-0005-0000-0000-0000B9020000}"/>
    <cellStyle name="Comma 2 3 3 2 3 3 4" xfId="707" xr:uid="{00000000-0005-0000-0000-0000BA020000}"/>
    <cellStyle name="Comma 2 3 3 2 3 3 4 2" xfId="708" xr:uid="{00000000-0005-0000-0000-0000BB020000}"/>
    <cellStyle name="Comma 2 3 3 2 3 3 5" xfId="709" xr:uid="{00000000-0005-0000-0000-0000BC020000}"/>
    <cellStyle name="Comma 2 3 3 2 3 4" xfId="710" xr:uid="{00000000-0005-0000-0000-0000BD020000}"/>
    <cellStyle name="Comma 2 3 3 2 3 4 2" xfId="711" xr:uid="{00000000-0005-0000-0000-0000BE020000}"/>
    <cellStyle name="Comma 2 3 3 2 3 4 2 2" xfId="712" xr:uid="{00000000-0005-0000-0000-0000BF020000}"/>
    <cellStyle name="Comma 2 3 3 2 3 4 3" xfId="713" xr:uid="{00000000-0005-0000-0000-0000C0020000}"/>
    <cellStyle name="Comma 2 3 3 2 3 4 3 2" xfId="714" xr:uid="{00000000-0005-0000-0000-0000C1020000}"/>
    <cellStyle name="Comma 2 3 3 2 3 4 4" xfId="715" xr:uid="{00000000-0005-0000-0000-0000C2020000}"/>
    <cellStyle name="Comma 2 3 3 2 3 5" xfId="716" xr:uid="{00000000-0005-0000-0000-0000C3020000}"/>
    <cellStyle name="Comma 2 3 3 2 3 5 2" xfId="717" xr:uid="{00000000-0005-0000-0000-0000C4020000}"/>
    <cellStyle name="Comma 2 3 3 2 3 6" xfId="718" xr:uid="{00000000-0005-0000-0000-0000C5020000}"/>
    <cellStyle name="Comma 2 3 3 2 3 6 2" xfId="719" xr:uid="{00000000-0005-0000-0000-0000C6020000}"/>
    <cellStyle name="Comma 2 3 3 2 3 7" xfId="720" xr:uid="{00000000-0005-0000-0000-0000C7020000}"/>
    <cellStyle name="Comma 2 3 3 2 4" xfId="721" xr:uid="{00000000-0005-0000-0000-0000C8020000}"/>
    <cellStyle name="Comma 2 3 3 2 4 2" xfId="722" xr:uid="{00000000-0005-0000-0000-0000C9020000}"/>
    <cellStyle name="Comma 2 3 3 2 4 2 2" xfId="723" xr:uid="{00000000-0005-0000-0000-0000CA020000}"/>
    <cellStyle name="Comma 2 3 3 2 4 2 2 2" xfId="724" xr:uid="{00000000-0005-0000-0000-0000CB020000}"/>
    <cellStyle name="Comma 2 3 3 2 4 2 2 2 2" xfId="725" xr:uid="{00000000-0005-0000-0000-0000CC020000}"/>
    <cellStyle name="Comma 2 3 3 2 4 2 2 3" xfId="726" xr:uid="{00000000-0005-0000-0000-0000CD020000}"/>
    <cellStyle name="Comma 2 3 3 2 4 2 2 3 2" xfId="727" xr:uid="{00000000-0005-0000-0000-0000CE020000}"/>
    <cellStyle name="Comma 2 3 3 2 4 2 2 4" xfId="728" xr:uid="{00000000-0005-0000-0000-0000CF020000}"/>
    <cellStyle name="Comma 2 3 3 2 4 2 3" xfId="729" xr:uid="{00000000-0005-0000-0000-0000D0020000}"/>
    <cellStyle name="Comma 2 3 3 2 4 2 3 2" xfId="730" xr:uid="{00000000-0005-0000-0000-0000D1020000}"/>
    <cellStyle name="Comma 2 3 3 2 4 2 4" xfId="731" xr:uid="{00000000-0005-0000-0000-0000D2020000}"/>
    <cellStyle name="Comma 2 3 3 2 4 2 4 2" xfId="732" xr:uid="{00000000-0005-0000-0000-0000D3020000}"/>
    <cellStyle name="Comma 2 3 3 2 4 2 5" xfId="733" xr:uid="{00000000-0005-0000-0000-0000D4020000}"/>
    <cellStyle name="Comma 2 3 3 2 4 3" xfId="734" xr:uid="{00000000-0005-0000-0000-0000D5020000}"/>
    <cellStyle name="Comma 2 3 3 2 4 3 2" xfId="735" xr:uid="{00000000-0005-0000-0000-0000D6020000}"/>
    <cellStyle name="Comma 2 3 3 2 4 3 2 2" xfId="736" xr:uid="{00000000-0005-0000-0000-0000D7020000}"/>
    <cellStyle name="Comma 2 3 3 2 4 3 2 2 2" xfId="737" xr:uid="{00000000-0005-0000-0000-0000D8020000}"/>
    <cellStyle name="Comma 2 3 3 2 4 3 2 3" xfId="738" xr:uid="{00000000-0005-0000-0000-0000D9020000}"/>
    <cellStyle name="Comma 2 3 3 2 4 3 2 3 2" xfId="739" xr:uid="{00000000-0005-0000-0000-0000DA020000}"/>
    <cellStyle name="Comma 2 3 3 2 4 3 2 4" xfId="740" xr:uid="{00000000-0005-0000-0000-0000DB020000}"/>
    <cellStyle name="Comma 2 3 3 2 4 3 3" xfId="741" xr:uid="{00000000-0005-0000-0000-0000DC020000}"/>
    <cellStyle name="Comma 2 3 3 2 4 3 3 2" xfId="742" xr:uid="{00000000-0005-0000-0000-0000DD020000}"/>
    <cellStyle name="Comma 2 3 3 2 4 3 4" xfId="743" xr:uid="{00000000-0005-0000-0000-0000DE020000}"/>
    <cellStyle name="Comma 2 3 3 2 4 3 4 2" xfId="744" xr:uid="{00000000-0005-0000-0000-0000DF020000}"/>
    <cellStyle name="Comma 2 3 3 2 4 3 5" xfId="745" xr:uid="{00000000-0005-0000-0000-0000E0020000}"/>
    <cellStyle name="Comma 2 3 3 2 4 4" xfId="746" xr:uid="{00000000-0005-0000-0000-0000E1020000}"/>
    <cellStyle name="Comma 2 3 3 2 4 4 2" xfId="747" xr:uid="{00000000-0005-0000-0000-0000E2020000}"/>
    <cellStyle name="Comma 2 3 3 2 4 4 2 2" xfId="748" xr:uid="{00000000-0005-0000-0000-0000E3020000}"/>
    <cellStyle name="Comma 2 3 3 2 4 4 3" xfId="749" xr:uid="{00000000-0005-0000-0000-0000E4020000}"/>
    <cellStyle name="Comma 2 3 3 2 4 4 3 2" xfId="750" xr:uid="{00000000-0005-0000-0000-0000E5020000}"/>
    <cellStyle name="Comma 2 3 3 2 4 4 4" xfId="751" xr:uid="{00000000-0005-0000-0000-0000E6020000}"/>
    <cellStyle name="Comma 2 3 3 2 4 5" xfId="752" xr:uid="{00000000-0005-0000-0000-0000E7020000}"/>
    <cellStyle name="Comma 2 3 3 2 4 5 2" xfId="753" xr:uid="{00000000-0005-0000-0000-0000E8020000}"/>
    <cellStyle name="Comma 2 3 3 2 4 6" xfId="754" xr:uid="{00000000-0005-0000-0000-0000E9020000}"/>
    <cellStyle name="Comma 2 3 3 2 4 6 2" xfId="755" xr:uid="{00000000-0005-0000-0000-0000EA020000}"/>
    <cellStyle name="Comma 2 3 3 2 4 7" xfId="756" xr:uid="{00000000-0005-0000-0000-0000EB020000}"/>
    <cellStyle name="Comma 2 3 3 2 5" xfId="757" xr:uid="{00000000-0005-0000-0000-0000EC020000}"/>
    <cellStyle name="Comma 2 3 3 2 5 2" xfId="758" xr:uid="{00000000-0005-0000-0000-0000ED020000}"/>
    <cellStyle name="Comma 2 3 3 2 5 2 2" xfId="759" xr:uid="{00000000-0005-0000-0000-0000EE020000}"/>
    <cellStyle name="Comma 2 3 3 2 5 2 2 2" xfId="760" xr:uid="{00000000-0005-0000-0000-0000EF020000}"/>
    <cellStyle name="Comma 2 3 3 2 5 2 2 2 2" xfId="761" xr:uid="{00000000-0005-0000-0000-0000F0020000}"/>
    <cellStyle name="Comma 2 3 3 2 5 2 2 3" xfId="762" xr:uid="{00000000-0005-0000-0000-0000F1020000}"/>
    <cellStyle name="Comma 2 3 3 2 5 2 2 3 2" xfId="763" xr:uid="{00000000-0005-0000-0000-0000F2020000}"/>
    <cellStyle name="Comma 2 3 3 2 5 2 2 4" xfId="764" xr:uid="{00000000-0005-0000-0000-0000F3020000}"/>
    <cellStyle name="Comma 2 3 3 2 5 2 3" xfId="765" xr:uid="{00000000-0005-0000-0000-0000F4020000}"/>
    <cellStyle name="Comma 2 3 3 2 5 2 3 2" xfId="766" xr:uid="{00000000-0005-0000-0000-0000F5020000}"/>
    <cellStyle name="Comma 2 3 3 2 5 2 4" xfId="767" xr:uid="{00000000-0005-0000-0000-0000F6020000}"/>
    <cellStyle name="Comma 2 3 3 2 5 2 4 2" xfId="768" xr:uid="{00000000-0005-0000-0000-0000F7020000}"/>
    <cellStyle name="Comma 2 3 3 2 5 2 5" xfId="769" xr:uid="{00000000-0005-0000-0000-0000F8020000}"/>
    <cellStyle name="Comma 2 3 3 2 5 3" xfId="770" xr:uid="{00000000-0005-0000-0000-0000F9020000}"/>
    <cellStyle name="Comma 2 3 3 2 5 3 2" xfId="771" xr:uid="{00000000-0005-0000-0000-0000FA020000}"/>
    <cellStyle name="Comma 2 3 3 2 5 3 2 2" xfId="772" xr:uid="{00000000-0005-0000-0000-0000FB020000}"/>
    <cellStyle name="Comma 2 3 3 2 5 3 2 2 2" xfId="773" xr:uid="{00000000-0005-0000-0000-0000FC020000}"/>
    <cellStyle name="Comma 2 3 3 2 5 3 2 3" xfId="774" xr:uid="{00000000-0005-0000-0000-0000FD020000}"/>
    <cellStyle name="Comma 2 3 3 2 5 3 2 3 2" xfId="775" xr:uid="{00000000-0005-0000-0000-0000FE020000}"/>
    <cellStyle name="Comma 2 3 3 2 5 3 2 4" xfId="776" xr:uid="{00000000-0005-0000-0000-0000FF020000}"/>
    <cellStyle name="Comma 2 3 3 2 5 3 3" xfId="777" xr:uid="{00000000-0005-0000-0000-000000030000}"/>
    <cellStyle name="Comma 2 3 3 2 5 3 3 2" xfId="778" xr:uid="{00000000-0005-0000-0000-000001030000}"/>
    <cellStyle name="Comma 2 3 3 2 5 3 4" xfId="779" xr:uid="{00000000-0005-0000-0000-000002030000}"/>
    <cellStyle name="Comma 2 3 3 2 5 3 4 2" xfId="780" xr:uid="{00000000-0005-0000-0000-000003030000}"/>
    <cellStyle name="Comma 2 3 3 2 5 3 5" xfId="781" xr:uid="{00000000-0005-0000-0000-000004030000}"/>
    <cellStyle name="Comma 2 3 3 2 5 4" xfId="782" xr:uid="{00000000-0005-0000-0000-000005030000}"/>
    <cellStyle name="Comma 2 3 3 2 5 4 2" xfId="783" xr:uid="{00000000-0005-0000-0000-000006030000}"/>
    <cellStyle name="Comma 2 3 3 2 5 4 2 2" xfId="784" xr:uid="{00000000-0005-0000-0000-000007030000}"/>
    <cellStyle name="Comma 2 3 3 2 5 4 3" xfId="785" xr:uid="{00000000-0005-0000-0000-000008030000}"/>
    <cellStyle name="Comma 2 3 3 2 5 4 3 2" xfId="786" xr:uid="{00000000-0005-0000-0000-000009030000}"/>
    <cellStyle name="Comma 2 3 3 2 5 4 4" xfId="787" xr:uid="{00000000-0005-0000-0000-00000A030000}"/>
    <cellStyle name="Comma 2 3 3 2 5 5" xfId="788" xr:uid="{00000000-0005-0000-0000-00000B030000}"/>
    <cellStyle name="Comma 2 3 3 2 5 5 2" xfId="789" xr:uid="{00000000-0005-0000-0000-00000C030000}"/>
    <cellStyle name="Comma 2 3 3 2 5 6" xfId="790" xr:uid="{00000000-0005-0000-0000-00000D030000}"/>
    <cellStyle name="Comma 2 3 3 2 5 6 2" xfId="791" xr:uid="{00000000-0005-0000-0000-00000E030000}"/>
    <cellStyle name="Comma 2 3 3 2 5 7" xfId="792" xr:uid="{00000000-0005-0000-0000-00000F030000}"/>
    <cellStyle name="Comma 2 3 3 2 6" xfId="793" xr:uid="{00000000-0005-0000-0000-000010030000}"/>
    <cellStyle name="Comma 2 3 3 2 6 2" xfId="794" xr:uid="{00000000-0005-0000-0000-000011030000}"/>
    <cellStyle name="Comma 2 3 3 2 6 2 2" xfId="795" xr:uid="{00000000-0005-0000-0000-000012030000}"/>
    <cellStyle name="Comma 2 3 3 2 6 2 2 2" xfId="796" xr:uid="{00000000-0005-0000-0000-000013030000}"/>
    <cellStyle name="Comma 2 3 3 2 6 2 3" xfId="797" xr:uid="{00000000-0005-0000-0000-000014030000}"/>
    <cellStyle name="Comma 2 3 3 2 6 2 3 2" xfId="798" xr:uid="{00000000-0005-0000-0000-000015030000}"/>
    <cellStyle name="Comma 2 3 3 2 6 2 4" xfId="799" xr:uid="{00000000-0005-0000-0000-000016030000}"/>
    <cellStyle name="Comma 2 3 3 2 6 3" xfId="800" xr:uid="{00000000-0005-0000-0000-000017030000}"/>
    <cellStyle name="Comma 2 3 3 2 6 3 2" xfId="801" xr:uid="{00000000-0005-0000-0000-000018030000}"/>
    <cellStyle name="Comma 2 3 3 2 6 4" xfId="802" xr:uid="{00000000-0005-0000-0000-000019030000}"/>
    <cellStyle name="Comma 2 3 3 2 6 4 2" xfId="803" xr:uid="{00000000-0005-0000-0000-00001A030000}"/>
    <cellStyle name="Comma 2 3 3 2 6 5" xfId="804" xr:uid="{00000000-0005-0000-0000-00001B030000}"/>
    <cellStyle name="Comma 2 3 3 2 7" xfId="805" xr:uid="{00000000-0005-0000-0000-00001C030000}"/>
    <cellStyle name="Comma 2 3 3 2 7 2" xfId="806" xr:uid="{00000000-0005-0000-0000-00001D030000}"/>
    <cellStyle name="Comma 2 3 3 2 7 2 2" xfId="807" xr:uid="{00000000-0005-0000-0000-00001E030000}"/>
    <cellStyle name="Comma 2 3 3 2 7 2 2 2" xfId="808" xr:uid="{00000000-0005-0000-0000-00001F030000}"/>
    <cellStyle name="Comma 2 3 3 2 7 2 3" xfId="809" xr:uid="{00000000-0005-0000-0000-000020030000}"/>
    <cellStyle name="Comma 2 3 3 2 7 2 3 2" xfId="810" xr:uid="{00000000-0005-0000-0000-000021030000}"/>
    <cellStyle name="Comma 2 3 3 2 7 2 4" xfId="811" xr:uid="{00000000-0005-0000-0000-000022030000}"/>
    <cellStyle name="Comma 2 3 3 2 7 3" xfId="812" xr:uid="{00000000-0005-0000-0000-000023030000}"/>
    <cellStyle name="Comma 2 3 3 2 7 3 2" xfId="813" xr:uid="{00000000-0005-0000-0000-000024030000}"/>
    <cellStyle name="Comma 2 3 3 2 7 4" xfId="814" xr:uid="{00000000-0005-0000-0000-000025030000}"/>
    <cellStyle name="Comma 2 3 3 2 7 4 2" xfId="815" xr:uid="{00000000-0005-0000-0000-000026030000}"/>
    <cellStyle name="Comma 2 3 3 2 7 5" xfId="816" xr:uid="{00000000-0005-0000-0000-000027030000}"/>
    <cellStyle name="Comma 2 3 3 2 8" xfId="817" xr:uid="{00000000-0005-0000-0000-000028030000}"/>
    <cellStyle name="Comma 2 3 3 2 8 2" xfId="818" xr:uid="{00000000-0005-0000-0000-000029030000}"/>
    <cellStyle name="Comma 2 3 3 2 8 2 2" xfId="819" xr:uid="{00000000-0005-0000-0000-00002A030000}"/>
    <cellStyle name="Comma 2 3 3 2 8 3" xfId="820" xr:uid="{00000000-0005-0000-0000-00002B030000}"/>
    <cellStyle name="Comma 2 3 3 2 8 3 2" xfId="821" xr:uid="{00000000-0005-0000-0000-00002C030000}"/>
    <cellStyle name="Comma 2 3 3 2 8 4" xfId="822" xr:uid="{00000000-0005-0000-0000-00002D030000}"/>
    <cellStyle name="Comma 2 3 3 2 9" xfId="823" xr:uid="{00000000-0005-0000-0000-00002E030000}"/>
    <cellStyle name="Comma 2 3 3 2 9 2" xfId="824" xr:uid="{00000000-0005-0000-0000-00002F030000}"/>
    <cellStyle name="Comma 2 3 3 3" xfId="825" xr:uid="{00000000-0005-0000-0000-000030030000}"/>
    <cellStyle name="Comma 2 3 3 3 2" xfId="826" xr:uid="{00000000-0005-0000-0000-000031030000}"/>
    <cellStyle name="Comma 2 3 3 3 2 2" xfId="827" xr:uid="{00000000-0005-0000-0000-000032030000}"/>
    <cellStyle name="Comma 2 3 3 3 2 2 2" xfId="828" xr:uid="{00000000-0005-0000-0000-000033030000}"/>
    <cellStyle name="Comma 2 3 3 3 2 2 2 2" xfId="829" xr:uid="{00000000-0005-0000-0000-000034030000}"/>
    <cellStyle name="Comma 2 3 3 3 2 2 2 2 2" xfId="830" xr:uid="{00000000-0005-0000-0000-000035030000}"/>
    <cellStyle name="Comma 2 3 3 3 2 2 2 3" xfId="831" xr:uid="{00000000-0005-0000-0000-000036030000}"/>
    <cellStyle name="Comma 2 3 3 3 2 2 2 3 2" xfId="832" xr:uid="{00000000-0005-0000-0000-000037030000}"/>
    <cellStyle name="Comma 2 3 3 3 2 2 2 4" xfId="833" xr:uid="{00000000-0005-0000-0000-000038030000}"/>
    <cellStyle name="Comma 2 3 3 3 2 2 3" xfId="834" xr:uid="{00000000-0005-0000-0000-000039030000}"/>
    <cellStyle name="Comma 2 3 3 3 2 2 3 2" xfId="835" xr:uid="{00000000-0005-0000-0000-00003A030000}"/>
    <cellStyle name="Comma 2 3 3 3 2 2 4" xfId="836" xr:uid="{00000000-0005-0000-0000-00003B030000}"/>
    <cellStyle name="Comma 2 3 3 3 2 2 4 2" xfId="837" xr:uid="{00000000-0005-0000-0000-00003C030000}"/>
    <cellStyle name="Comma 2 3 3 3 2 2 5" xfId="838" xr:uid="{00000000-0005-0000-0000-00003D030000}"/>
    <cellStyle name="Comma 2 3 3 3 2 3" xfId="839" xr:uid="{00000000-0005-0000-0000-00003E030000}"/>
    <cellStyle name="Comma 2 3 3 3 2 3 2" xfId="840" xr:uid="{00000000-0005-0000-0000-00003F030000}"/>
    <cellStyle name="Comma 2 3 3 3 2 3 2 2" xfId="841" xr:uid="{00000000-0005-0000-0000-000040030000}"/>
    <cellStyle name="Comma 2 3 3 3 2 3 2 2 2" xfId="842" xr:uid="{00000000-0005-0000-0000-000041030000}"/>
    <cellStyle name="Comma 2 3 3 3 2 3 2 3" xfId="843" xr:uid="{00000000-0005-0000-0000-000042030000}"/>
    <cellStyle name="Comma 2 3 3 3 2 3 2 3 2" xfId="844" xr:uid="{00000000-0005-0000-0000-000043030000}"/>
    <cellStyle name="Comma 2 3 3 3 2 3 2 4" xfId="845" xr:uid="{00000000-0005-0000-0000-000044030000}"/>
    <cellStyle name="Comma 2 3 3 3 2 3 3" xfId="846" xr:uid="{00000000-0005-0000-0000-000045030000}"/>
    <cellStyle name="Comma 2 3 3 3 2 3 3 2" xfId="847" xr:uid="{00000000-0005-0000-0000-000046030000}"/>
    <cellStyle name="Comma 2 3 3 3 2 3 4" xfId="848" xr:uid="{00000000-0005-0000-0000-000047030000}"/>
    <cellStyle name="Comma 2 3 3 3 2 3 4 2" xfId="849" xr:uid="{00000000-0005-0000-0000-000048030000}"/>
    <cellStyle name="Comma 2 3 3 3 2 3 5" xfId="850" xr:uid="{00000000-0005-0000-0000-000049030000}"/>
    <cellStyle name="Comma 2 3 3 3 2 4" xfId="851" xr:uid="{00000000-0005-0000-0000-00004A030000}"/>
    <cellStyle name="Comma 2 3 3 3 2 4 2" xfId="852" xr:uid="{00000000-0005-0000-0000-00004B030000}"/>
    <cellStyle name="Comma 2 3 3 3 2 4 2 2" xfId="853" xr:uid="{00000000-0005-0000-0000-00004C030000}"/>
    <cellStyle name="Comma 2 3 3 3 2 4 3" xfId="854" xr:uid="{00000000-0005-0000-0000-00004D030000}"/>
    <cellStyle name="Comma 2 3 3 3 2 4 3 2" xfId="855" xr:uid="{00000000-0005-0000-0000-00004E030000}"/>
    <cellStyle name="Comma 2 3 3 3 2 4 4" xfId="856" xr:uid="{00000000-0005-0000-0000-00004F030000}"/>
    <cellStyle name="Comma 2 3 3 3 2 5" xfId="857" xr:uid="{00000000-0005-0000-0000-000050030000}"/>
    <cellStyle name="Comma 2 3 3 3 2 5 2" xfId="858" xr:uid="{00000000-0005-0000-0000-000051030000}"/>
    <cellStyle name="Comma 2 3 3 3 2 6" xfId="859" xr:uid="{00000000-0005-0000-0000-000052030000}"/>
    <cellStyle name="Comma 2 3 3 3 2 6 2" xfId="860" xr:uid="{00000000-0005-0000-0000-000053030000}"/>
    <cellStyle name="Comma 2 3 3 3 2 7" xfId="861" xr:uid="{00000000-0005-0000-0000-000054030000}"/>
    <cellStyle name="Comma 2 3 3 3 3" xfId="862" xr:uid="{00000000-0005-0000-0000-000055030000}"/>
    <cellStyle name="Comma 2 3 3 3 3 2" xfId="863" xr:uid="{00000000-0005-0000-0000-000056030000}"/>
    <cellStyle name="Comma 2 3 3 3 3 2 2" xfId="864" xr:uid="{00000000-0005-0000-0000-000057030000}"/>
    <cellStyle name="Comma 2 3 3 3 3 2 2 2" xfId="865" xr:uid="{00000000-0005-0000-0000-000058030000}"/>
    <cellStyle name="Comma 2 3 3 3 3 2 3" xfId="866" xr:uid="{00000000-0005-0000-0000-000059030000}"/>
    <cellStyle name="Comma 2 3 3 3 3 2 3 2" xfId="867" xr:uid="{00000000-0005-0000-0000-00005A030000}"/>
    <cellStyle name="Comma 2 3 3 3 3 2 4" xfId="868" xr:uid="{00000000-0005-0000-0000-00005B030000}"/>
    <cellStyle name="Comma 2 3 3 3 3 3" xfId="869" xr:uid="{00000000-0005-0000-0000-00005C030000}"/>
    <cellStyle name="Comma 2 3 3 3 3 3 2" xfId="870" xr:uid="{00000000-0005-0000-0000-00005D030000}"/>
    <cellStyle name="Comma 2 3 3 3 3 4" xfId="871" xr:uid="{00000000-0005-0000-0000-00005E030000}"/>
    <cellStyle name="Comma 2 3 3 3 3 4 2" xfId="872" xr:uid="{00000000-0005-0000-0000-00005F030000}"/>
    <cellStyle name="Comma 2 3 3 3 3 5" xfId="873" xr:uid="{00000000-0005-0000-0000-000060030000}"/>
    <cellStyle name="Comma 2 3 3 3 4" xfId="874" xr:uid="{00000000-0005-0000-0000-000061030000}"/>
    <cellStyle name="Comma 2 3 3 3 4 2" xfId="875" xr:uid="{00000000-0005-0000-0000-000062030000}"/>
    <cellStyle name="Comma 2 3 3 3 4 2 2" xfId="876" xr:uid="{00000000-0005-0000-0000-000063030000}"/>
    <cellStyle name="Comma 2 3 3 3 4 2 2 2" xfId="877" xr:uid="{00000000-0005-0000-0000-000064030000}"/>
    <cellStyle name="Comma 2 3 3 3 4 2 3" xfId="878" xr:uid="{00000000-0005-0000-0000-000065030000}"/>
    <cellStyle name="Comma 2 3 3 3 4 2 3 2" xfId="879" xr:uid="{00000000-0005-0000-0000-000066030000}"/>
    <cellStyle name="Comma 2 3 3 3 4 2 4" xfId="880" xr:uid="{00000000-0005-0000-0000-000067030000}"/>
    <cellStyle name="Comma 2 3 3 3 4 3" xfId="881" xr:uid="{00000000-0005-0000-0000-000068030000}"/>
    <cellStyle name="Comma 2 3 3 3 4 3 2" xfId="882" xr:uid="{00000000-0005-0000-0000-000069030000}"/>
    <cellStyle name="Comma 2 3 3 3 4 4" xfId="883" xr:uid="{00000000-0005-0000-0000-00006A030000}"/>
    <cellStyle name="Comma 2 3 3 3 4 4 2" xfId="884" xr:uid="{00000000-0005-0000-0000-00006B030000}"/>
    <cellStyle name="Comma 2 3 3 3 4 5" xfId="885" xr:uid="{00000000-0005-0000-0000-00006C030000}"/>
    <cellStyle name="Comma 2 3 3 3 5" xfId="886" xr:uid="{00000000-0005-0000-0000-00006D030000}"/>
    <cellStyle name="Comma 2 3 3 3 5 2" xfId="887" xr:uid="{00000000-0005-0000-0000-00006E030000}"/>
    <cellStyle name="Comma 2 3 3 3 5 2 2" xfId="888" xr:uid="{00000000-0005-0000-0000-00006F030000}"/>
    <cellStyle name="Comma 2 3 3 3 5 3" xfId="889" xr:uid="{00000000-0005-0000-0000-000070030000}"/>
    <cellStyle name="Comma 2 3 3 3 5 3 2" xfId="890" xr:uid="{00000000-0005-0000-0000-000071030000}"/>
    <cellStyle name="Comma 2 3 3 3 5 4" xfId="891" xr:uid="{00000000-0005-0000-0000-000072030000}"/>
    <cellStyle name="Comma 2 3 3 3 6" xfId="892" xr:uid="{00000000-0005-0000-0000-000073030000}"/>
    <cellStyle name="Comma 2 3 3 3 6 2" xfId="893" xr:uid="{00000000-0005-0000-0000-000074030000}"/>
    <cellStyle name="Comma 2 3 3 3 7" xfId="894" xr:uid="{00000000-0005-0000-0000-000075030000}"/>
    <cellStyle name="Comma 2 3 3 3 7 2" xfId="895" xr:uid="{00000000-0005-0000-0000-000076030000}"/>
    <cellStyle name="Comma 2 3 3 3 8" xfId="896" xr:uid="{00000000-0005-0000-0000-000077030000}"/>
    <cellStyle name="Comma 2 3 3 4" xfId="897" xr:uid="{00000000-0005-0000-0000-000078030000}"/>
    <cellStyle name="Comma 2 3 3 4 2" xfId="898" xr:uid="{00000000-0005-0000-0000-000079030000}"/>
    <cellStyle name="Comma 2 3 3 4 2 2" xfId="899" xr:uid="{00000000-0005-0000-0000-00007A030000}"/>
    <cellStyle name="Comma 2 3 3 4 2 2 2" xfId="900" xr:uid="{00000000-0005-0000-0000-00007B030000}"/>
    <cellStyle name="Comma 2 3 3 4 2 2 2 2" xfId="901" xr:uid="{00000000-0005-0000-0000-00007C030000}"/>
    <cellStyle name="Comma 2 3 3 4 2 2 3" xfId="902" xr:uid="{00000000-0005-0000-0000-00007D030000}"/>
    <cellStyle name="Comma 2 3 3 4 2 2 3 2" xfId="903" xr:uid="{00000000-0005-0000-0000-00007E030000}"/>
    <cellStyle name="Comma 2 3 3 4 2 2 4" xfId="904" xr:uid="{00000000-0005-0000-0000-00007F030000}"/>
    <cellStyle name="Comma 2 3 3 4 2 3" xfId="905" xr:uid="{00000000-0005-0000-0000-000080030000}"/>
    <cellStyle name="Comma 2 3 3 4 2 3 2" xfId="906" xr:uid="{00000000-0005-0000-0000-000081030000}"/>
    <cellStyle name="Comma 2 3 3 4 2 4" xfId="907" xr:uid="{00000000-0005-0000-0000-000082030000}"/>
    <cellStyle name="Comma 2 3 3 4 2 4 2" xfId="908" xr:uid="{00000000-0005-0000-0000-000083030000}"/>
    <cellStyle name="Comma 2 3 3 4 2 5" xfId="909" xr:uid="{00000000-0005-0000-0000-000084030000}"/>
    <cellStyle name="Comma 2 3 3 4 3" xfId="910" xr:uid="{00000000-0005-0000-0000-000085030000}"/>
    <cellStyle name="Comma 2 3 3 4 3 2" xfId="911" xr:uid="{00000000-0005-0000-0000-000086030000}"/>
    <cellStyle name="Comma 2 3 3 4 3 2 2" xfId="912" xr:uid="{00000000-0005-0000-0000-000087030000}"/>
    <cellStyle name="Comma 2 3 3 4 3 2 2 2" xfId="913" xr:uid="{00000000-0005-0000-0000-000088030000}"/>
    <cellStyle name="Comma 2 3 3 4 3 2 3" xfId="914" xr:uid="{00000000-0005-0000-0000-000089030000}"/>
    <cellStyle name="Comma 2 3 3 4 3 2 3 2" xfId="915" xr:uid="{00000000-0005-0000-0000-00008A030000}"/>
    <cellStyle name="Comma 2 3 3 4 3 2 4" xfId="916" xr:uid="{00000000-0005-0000-0000-00008B030000}"/>
    <cellStyle name="Comma 2 3 3 4 3 3" xfId="917" xr:uid="{00000000-0005-0000-0000-00008C030000}"/>
    <cellStyle name="Comma 2 3 3 4 3 3 2" xfId="918" xr:uid="{00000000-0005-0000-0000-00008D030000}"/>
    <cellStyle name="Comma 2 3 3 4 3 4" xfId="919" xr:uid="{00000000-0005-0000-0000-00008E030000}"/>
    <cellStyle name="Comma 2 3 3 4 3 4 2" xfId="920" xr:uid="{00000000-0005-0000-0000-00008F030000}"/>
    <cellStyle name="Comma 2 3 3 4 3 5" xfId="921" xr:uid="{00000000-0005-0000-0000-000090030000}"/>
    <cellStyle name="Comma 2 3 3 4 4" xfId="922" xr:uid="{00000000-0005-0000-0000-000091030000}"/>
    <cellStyle name="Comma 2 3 3 4 4 2" xfId="923" xr:uid="{00000000-0005-0000-0000-000092030000}"/>
    <cellStyle name="Comma 2 3 3 4 4 2 2" xfId="924" xr:uid="{00000000-0005-0000-0000-000093030000}"/>
    <cellStyle name="Comma 2 3 3 4 4 3" xfId="925" xr:uid="{00000000-0005-0000-0000-000094030000}"/>
    <cellStyle name="Comma 2 3 3 4 4 3 2" xfId="926" xr:uid="{00000000-0005-0000-0000-000095030000}"/>
    <cellStyle name="Comma 2 3 3 4 4 4" xfId="927" xr:uid="{00000000-0005-0000-0000-000096030000}"/>
    <cellStyle name="Comma 2 3 3 4 5" xfId="928" xr:uid="{00000000-0005-0000-0000-000097030000}"/>
    <cellStyle name="Comma 2 3 3 4 5 2" xfId="929" xr:uid="{00000000-0005-0000-0000-000098030000}"/>
    <cellStyle name="Comma 2 3 3 4 6" xfId="930" xr:uid="{00000000-0005-0000-0000-000099030000}"/>
    <cellStyle name="Comma 2 3 3 4 6 2" xfId="931" xr:uid="{00000000-0005-0000-0000-00009A030000}"/>
    <cellStyle name="Comma 2 3 3 4 7" xfId="932" xr:uid="{00000000-0005-0000-0000-00009B030000}"/>
    <cellStyle name="Comma 2 3 3 5" xfId="933" xr:uid="{00000000-0005-0000-0000-00009C030000}"/>
    <cellStyle name="Comma 2 3 3 5 2" xfId="934" xr:uid="{00000000-0005-0000-0000-00009D030000}"/>
    <cellStyle name="Comma 2 3 3 5 2 2" xfId="935" xr:uid="{00000000-0005-0000-0000-00009E030000}"/>
    <cellStyle name="Comma 2 3 3 5 2 2 2" xfId="936" xr:uid="{00000000-0005-0000-0000-00009F030000}"/>
    <cellStyle name="Comma 2 3 3 5 2 2 2 2" xfId="937" xr:uid="{00000000-0005-0000-0000-0000A0030000}"/>
    <cellStyle name="Comma 2 3 3 5 2 2 3" xfId="938" xr:uid="{00000000-0005-0000-0000-0000A1030000}"/>
    <cellStyle name="Comma 2 3 3 5 2 2 3 2" xfId="939" xr:uid="{00000000-0005-0000-0000-0000A2030000}"/>
    <cellStyle name="Comma 2 3 3 5 2 2 4" xfId="940" xr:uid="{00000000-0005-0000-0000-0000A3030000}"/>
    <cellStyle name="Comma 2 3 3 5 2 3" xfId="941" xr:uid="{00000000-0005-0000-0000-0000A4030000}"/>
    <cellStyle name="Comma 2 3 3 5 2 3 2" xfId="942" xr:uid="{00000000-0005-0000-0000-0000A5030000}"/>
    <cellStyle name="Comma 2 3 3 5 2 4" xfId="943" xr:uid="{00000000-0005-0000-0000-0000A6030000}"/>
    <cellStyle name="Comma 2 3 3 5 2 4 2" xfId="944" xr:uid="{00000000-0005-0000-0000-0000A7030000}"/>
    <cellStyle name="Comma 2 3 3 5 2 5" xfId="945" xr:uid="{00000000-0005-0000-0000-0000A8030000}"/>
    <cellStyle name="Comma 2 3 3 5 3" xfId="946" xr:uid="{00000000-0005-0000-0000-0000A9030000}"/>
    <cellStyle name="Comma 2 3 3 5 3 2" xfId="947" xr:uid="{00000000-0005-0000-0000-0000AA030000}"/>
    <cellStyle name="Comma 2 3 3 5 3 2 2" xfId="948" xr:uid="{00000000-0005-0000-0000-0000AB030000}"/>
    <cellStyle name="Comma 2 3 3 5 3 2 2 2" xfId="949" xr:uid="{00000000-0005-0000-0000-0000AC030000}"/>
    <cellStyle name="Comma 2 3 3 5 3 2 3" xfId="950" xr:uid="{00000000-0005-0000-0000-0000AD030000}"/>
    <cellStyle name="Comma 2 3 3 5 3 2 3 2" xfId="951" xr:uid="{00000000-0005-0000-0000-0000AE030000}"/>
    <cellStyle name="Comma 2 3 3 5 3 2 4" xfId="952" xr:uid="{00000000-0005-0000-0000-0000AF030000}"/>
    <cellStyle name="Comma 2 3 3 5 3 3" xfId="953" xr:uid="{00000000-0005-0000-0000-0000B0030000}"/>
    <cellStyle name="Comma 2 3 3 5 3 3 2" xfId="954" xr:uid="{00000000-0005-0000-0000-0000B1030000}"/>
    <cellStyle name="Comma 2 3 3 5 3 4" xfId="955" xr:uid="{00000000-0005-0000-0000-0000B2030000}"/>
    <cellStyle name="Comma 2 3 3 5 3 4 2" xfId="956" xr:uid="{00000000-0005-0000-0000-0000B3030000}"/>
    <cellStyle name="Comma 2 3 3 5 3 5" xfId="957" xr:uid="{00000000-0005-0000-0000-0000B4030000}"/>
    <cellStyle name="Comma 2 3 3 5 4" xfId="958" xr:uid="{00000000-0005-0000-0000-0000B5030000}"/>
    <cellStyle name="Comma 2 3 3 5 4 2" xfId="959" xr:uid="{00000000-0005-0000-0000-0000B6030000}"/>
    <cellStyle name="Comma 2 3 3 5 4 2 2" xfId="960" xr:uid="{00000000-0005-0000-0000-0000B7030000}"/>
    <cellStyle name="Comma 2 3 3 5 4 3" xfId="961" xr:uid="{00000000-0005-0000-0000-0000B8030000}"/>
    <cellStyle name="Comma 2 3 3 5 4 3 2" xfId="962" xr:uid="{00000000-0005-0000-0000-0000B9030000}"/>
    <cellStyle name="Comma 2 3 3 5 4 4" xfId="963" xr:uid="{00000000-0005-0000-0000-0000BA030000}"/>
    <cellStyle name="Comma 2 3 3 5 5" xfId="964" xr:uid="{00000000-0005-0000-0000-0000BB030000}"/>
    <cellStyle name="Comma 2 3 3 5 5 2" xfId="965" xr:uid="{00000000-0005-0000-0000-0000BC030000}"/>
    <cellStyle name="Comma 2 3 3 5 6" xfId="966" xr:uid="{00000000-0005-0000-0000-0000BD030000}"/>
    <cellStyle name="Comma 2 3 3 5 6 2" xfId="967" xr:uid="{00000000-0005-0000-0000-0000BE030000}"/>
    <cellStyle name="Comma 2 3 3 5 7" xfId="968" xr:uid="{00000000-0005-0000-0000-0000BF030000}"/>
    <cellStyle name="Comma 2 3 3 6" xfId="969" xr:uid="{00000000-0005-0000-0000-0000C0030000}"/>
    <cellStyle name="Comma 2 3 3 6 2" xfId="970" xr:uid="{00000000-0005-0000-0000-0000C1030000}"/>
    <cellStyle name="Comma 2 3 3 6 2 2" xfId="971" xr:uid="{00000000-0005-0000-0000-0000C2030000}"/>
    <cellStyle name="Comma 2 3 3 6 2 2 2" xfId="972" xr:uid="{00000000-0005-0000-0000-0000C3030000}"/>
    <cellStyle name="Comma 2 3 3 6 2 2 2 2" xfId="973" xr:uid="{00000000-0005-0000-0000-0000C4030000}"/>
    <cellStyle name="Comma 2 3 3 6 2 2 3" xfId="974" xr:uid="{00000000-0005-0000-0000-0000C5030000}"/>
    <cellStyle name="Comma 2 3 3 6 2 2 3 2" xfId="975" xr:uid="{00000000-0005-0000-0000-0000C6030000}"/>
    <cellStyle name="Comma 2 3 3 6 2 2 4" xfId="976" xr:uid="{00000000-0005-0000-0000-0000C7030000}"/>
    <cellStyle name="Comma 2 3 3 6 2 3" xfId="977" xr:uid="{00000000-0005-0000-0000-0000C8030000}"/>
    <cellStyle name="Comma 2 3 3 6 2 3 2" xfId="978" xr:uid="{00000000-0005-0000-0000-0000C9030000}"/>
    <cellStyle name="Comma 2 3 3 6 2 4" xfId="979" xr:uid="{00000000-0005-0000-0000-0000CA030000}"/>
    <cellStyle name="Comma 2 3 3 6 2 4 2" xfId="980" xr:uid="{00000000-0005-0000-0000-0000CB030000}"/>
    <cellStyle name="Comma 2 3 3 6 2 5" xfId="981" xr:uid="{00000000-0005-0000-0000-0000CC030000}"/>
    <cellStyle name="Comma 2 3 3 6 3" xfId="982" xr:uid="{00000000-0005-0000-0000-0000CD030000}"/>
    <cellStyle name="Comma 2 3 3 6 3 2" xfId="983" xr:uid="{00000000-0005-0000-0000-0000CE030000}"/>
    <cellStyle name="Comma 2 3 3 6 3 2 2" xfId="984" xr:uid="{00000000-0005-0000-0000-0000CF030000}"/>
    <cellStyle name="Comma 2 3 3 6 3 2 2 2" xfId="985" xr:uid="{00000000-0005-0000-0000-0000D0030000}"/>
    <cellStyle name="Comma 2 3 3 6 3 2 3" xfId="986" xr:uid="{00000000-0005-0000-0000-0000D1030000}"/>
    <cellStyle name="Comma 2 3 3 6 3 2 3 2" xfId="987" xr:uid="{00000000-0005-0000-0000-0000D2030000}"/>
    <cellStyle name="Comma 2 3 3 6 3 2 4" xfId="988" xr:uid="{00000000-0005-0000-0000-0000D3030000}"/>
    <cellStyle name="Comma 2 3 3 6 3 3" xfId="989" xr:uid="{00000000-0005-0000-0000-0000D4030000}"/>
    <cellStyle name="Comma 2 3 3 6 3 3 2" xfId="990" xr:uid="{00000000-0005-0000-0000-0000D5030000}"/>
    <cellStyle name="Comma 2 3 3 6 3 4" xfId="991" xr:uid="{00000000-0005-0000-0000-0000D6030000}"/>
    <cellStyle name="Comma 2 3 3 6 3 4 2" xfId="992" xr:uid="{00000000-0005-0000-0000-0000D7030000}"/>
    <cellStyle name="Comma 2 3 3 6 3 5" xfId="993" xr:uid="{00000000-0005-0000-0000-0000D8030000}"/>
    <cellStyle name="Comma 2 3 3 6 4" xfId="994" xr:uid="{00000000-0005-0000-0000-0000D9030000}"/>
    <cellStyle name="Comma 2 3 3 6 4 2" xfId="995" xr:uid="{00000000-0005-0000-0000-0000DA030000}"/>
    <cellStyle name="Comma 2 3 3 6 4 2 2" xfId="996" xr:uid="{00000000-0005-0000-0000-0000DB030000}"/>
    <cellStyle name="Comma 2 3 3 6 4 3" xfId="997" xr:uid="{00000000-0005-0000-0000-0000DC030000}"/>
    <cellStyle name="Comma 2 3 3 6 4 3 2" xfId="998" xr:uid="{00000000-0005-0000-0000-0000DD030000}"/>
    <cellStyle name="Comma 2 3 3 6 4 4" xfId="999" xr:uid="{00000000-0005-0000-0000-0000DE030000}"/>
    <cellStyle name="Comma 2 3 3 6 5" xfId="1000" xr:uid="{00000000-0005-0000-0000-0000DF030000}"/>
    <cellStyle name="Comma 2 3 3 6 5 2" xfId="1001" xr:uid="{00000000-0005-0000-0000-0000E0030000}"/>
    <cellStyle name="Comma 2 3 3 6 6" xfId="1002" xr:uid="{00000000-0005-0000-0000-0000E1030000}"/>
    <cellStyle name="Comma 2 3 3 6 6 2" xfId="1003" xr:uid="{00000000-0005-0000-0000-0000E2030000}"/>
    <cellStyle name="Comma 2 3 3 6 7" xfId="1004" xr:uid="{00000000-0005-0000-0000-0000E3030000}"/>
    <cellStyle name="Comma 2 3 3 7" xfId="1005" xr:uid="{00000000-0005-0000-0000-0000E4030000}"/>
    <cellStyle name="Comma 2 3 3 7 2" xfId="1006" xr:uid="{00000000-0005-0000-0000-0000E5030000}"/>
    <cellStyle name="Comma 2 3 3 7 2 2" xfId="1007" xr:uid="{00000000-0005-0000-0000-0000E6030000}"/>
    <cellStyle name="Comma 2 3 3 7 2 2 2" xfId="1008" xr:uid="{00000000-0005-0000-0000-0000E7030000}"/>
    <cellStyle name="Comma 2 3 3 7 2 2 2 2" xfId="1009" xr:uid="{00000000-0005-0000-0000-0000E8030000}"/>
    <cellStyle name="Comma 2 3 3 7 2 2 3" xfId="1010" xr:uid="{00000000-0005-0000-0000-0000E9030000}"/>
    <cellStyle name="Comma 2 3 3 7 2 2 3 2" xfId="1011" xr:uid="{00000000-0005-0000-0000-0000EA030000}"/>
    <cellStyle name="Comma 2 3 3 7 2 2 4" xfId="1012" xr:uid="{00000000-0005-0000-0000-0000EB030000}"/>
    <cellStyle name="Comma 2 3 3 7 2 3" xfId="1013" xr:uid="{00000000-0005-0000-0000-0000EC030000}"/>
    <cellStyle name="Comma 2 3 3 7 2 3 2" xfId="1014" xr:uid="{00000000-0005-0000-0000-0000ED030000}"/>
    <cellStyle name="Comma 2 3 3 7 2 4" xfId="1015" xr:uid="{00000000-0005-0000-0000-0000EE030000}"/>
    <cellStyle name="Comma 2 3 3 7 2 4 2" xfId="1016" xr:uid="{00000000-0005-0000-0000-0000EF030000}"/>
    <cellStyle name="Comma 2 3 3 7 2 5" xfId="1017" xr:uid="{00000000-0005-0000-0000-0000F0030000}"/>
    <cellStyle name="Comma 2 3 3 7 3" xfId="1018" xr:uid="{00000000-0005-0000-0000-0000F1030000}"/>
    <cellStyle name="Comma 2 3 3 7 3 2" xfId="1019" xr:uid="{00000000-0005-0000-0000-0000F2030000}"/>
    <cellStyle name="Comma 2 3 3 7 3 2 2" xfId="1020" xr:uid="{00000000-0005-0000-0000-0000F3030000}"/>
    <cellStyle name="Comma 2 3 3 7 3 2 2 2" xfId="1021" xr:uid="{00000000-0005-0000-0000-0000F4030000}"/>
    <cellStyle name="Comma 2 3 3 7 3 2 3" xfId="1022" xr:uid="{00000000-0005-0000-0000-0000F5030000}"/>
    <cellStyle name="Comma 2 3 3 7 3 2 3 2" xfId="1023" xr:uid="{00000000-0005-0000-0000-0000F6030000}"/>
    <cellStyle name="Comma 2 3 3 7 3 2 4" xfId="1024" xr:uid="{00000000-0005-0000-0000-0000F7030000}"/>
    <cellStyle name="Comma 2 3 3 7 3 3" xfId="1025" xr:uid="{00000000-0005-0000-0000-0000F8030000}"/>
    <cellStyle name="Comma 2 3 3 7 3 3 2" xfId="1026" xr:uid="{00000000-0005-0000-0000-0000F9030000}"/>
    <cellStyle name="Comma 2 3 3 7 3 4" xfId="1027" xr:uid="{00000000-0005-0000-0000-0000FA030000}"/>
    <cellStyle name="Comma 2 3 3 7 3 4 2" xfId="1028" xr:uid="{00000000-0005-0000-0000-0000FB030000}"/>
    <cellStyle name="Comma 2 3 3 7 3 5" xfId="1029" xr:uid="{00000000-0005-0000-0000-0000FC030000}"/>
    <cellStyle name="Comma 2 3 3 7 4" xfId="1030" xr:uid="{00000000-0005-0000-0000-0000FD030000}"/>
    <cellStyle name="Comma 2 3 3 7 4 2" xfId="1031" xr:uid="{00000000-0005-0000-0000-0000FE030000}"/>
    <cellStyle name="Comma 2 3 3 7 4 2 2" xfId="1032" xr:uid="{00000000-0005-0000-0000-0000FF030000}"/>
    <cellStyle name="Comma 2 3 3 7 4 3" xfId="1033" xr:uid="{00000000-0005-0000-0000-000000040000}"/>
    <cellStyle name="Comma 2 3 3 7 4 3 2" xfId="1034" xr:uid="{00000000-0005-0000-0000-000001040000}"/>
    <cellStyle name="Comma 2 3 3 7 4 4" xfId="1035" xr:uid="{00000000-0005-0000-0000-000002040000}"/>
    <cellStyle name="Comma 2 3 3 7 5" xfId="1036" xr:uid="{00000000-0005-0000-0000-000003040000}"/>
    <cellStyle name="Comma 2 3 3 7 5 2" xfId="1037" xr:uid="{00000000-0005-0000-0000-000004040000}"/>
    <cellStyle name="Comma 2 3 3 7 6" xfId="1038" xr:uid="{00000000-0005-0000-0000-000005040000}"/>
    <cellStyle name="Comma 2 3 3 7 6 2" xfId="1039" xr:uid="{00000000-0005-0000-0000-000006040000}"/>
    <cellStyle name="Comma 2 3 3 7 7" xfId="1040" xr:uid="{00000000-0005-0000-0000-000007040000}"/>
    <cellStyle name="Comma 2 3 3 8" xfId="1041" xr:uid="{00000000-0005-0000-0000-000008040000}"/>
    <cellStyle name="Comma 2 3 3 8 2" xfId="1042" xr:uid="{00000000-0005-0000-0000-000009040000}"/>
    <cellStyle name="Comma 2 3 3 8 2 2" xfId="1043" xr:uid="{00000000-0005-0000-0000-00000A040000}"/>
    <cellStyle name="Comma 2 3 3 8 2 2 2" xfId="1044" xr:uid="{00000000-0005-0000-0000-00000B040000}"/>
    <cellStyle name="Comma 2 3 3 8 2 3" xfId="1045" xr:uid="{00000000-0005-0000-0000-00000C040000}"/>
    <cellStyle name="Comma 2 3 3 8 2 3 2" xfId="1046" xr:uid="{00000000-0005-0000-0000-00000D040000}"/>
    <cellStyle name="Comma 2 3 3 8 2 4" xfId="1047" xr:uid="{00000000-0005-0000-0000-00000E040000}"/>
    <cellStyle name="Comma 2 3 3 8 3" xfId="1048" xr:uid="{00000000-0005-0000-0000-00000F040000}"/>
    <cellStyle name="Comma 2 3 3 8 3 2" xfId="1049" xr:uid="{00000000-0005-0000-0000-000010040000}"/>
    <cellStyle name="Comma 2 3 3 8 4" xfId="1050" xr:uid="{00000000-0005-0000-0000-000011040000}"/>
    <cellStyle name="Comma 2 3 3 8 4 2" xfId="1051" xr:uid="{00000000-0005-0000-0000-000012040000}"/>
    <cellStyle name="Comma 2 3 3 8 5" xfId="1052" xr:uid="{00000000-0005-0000-0000-000013040000}"/>
    <cellStyle name="Comma 2 3 3 9" xfId="1053" xr:uid="{00000000-0005-0000-0000-000014040000}"/>
    <cellStyle name="Comma 2 3 3 9 2" xfId="1054" xr:uid="{00000000-0005-0000-0000-000015040000}"/>
    <cellStyle name="Comma 2 3 3 9 2 2" xfId="1055" xr:uid="{00000000-0005-0000-0000-000016040000}"/>
    <cellStyle name="Comma 2 3 3 9 2 2 2" xfId="1056" xr:uid="{00000000-0005-0000-0000-000017040000}"/>
    <cellStyle name="Comma 2 3 3 9 2 3" xfId="1057" xr:uid="{00000000-0005-0000-0000-000018040000}"/>
    <cellStyle name="Comma 2 3 3 9 2 3 2" xfId="1058" xr:uid="{00000000-0005-0000-0000-000019040000}"/>
    <cellStyle name="Comma 2 3 3 9 2 4" xfId="1059" xr:uid="{00000000-0005-0000-0000-00001A040000}"/>
    <cellStyle name="Comma 2 3 3 9 3" xfId="1060" xr:uid="{00000000-0005-0000-0000-00001B040000}"/>
    <cellStyle name="Comma 2 3 3 9 3 2" xfId="1061" xr:uid="{00000000-0005-0000-0000-00001C040000}"/>
    <cellStyle name="Comma 2 3 3 9 4" xfId="1062" xr:uid="{00000000-0005-0000-0000-00001D040000}"/>
    <cellStyle name="Comma 2 3 3 9 4 2" xfId="1063" xr:uid="{00000000-0005-0000-0000-00001E040000}"/>
    <cellStyle name="Comma 2 3 3 9 5" xfId="1064" xr:uid="{00000000-0005-0000-0000-00001F040000}"/>
    <cellStyle name="Comma 2 3 4" xfId="1065" xr:uid="{00000000-0005-0000-0000-000020040000}"/>
    <cellStyle name="Comma 2 3 4 10" xfId="1066" xr:uid="{00000000-0005-0000-0000-000021040000}"/>
    <cellStyle name="Comma 2 3 4 10 2" xfId="1067" xr:uid="{00000000-0005-0000-0000-000022040000}"/>
    <cellStyle name="Comma 2 3 4 11" xfId="1068" xr:uid="{00000000-0005-0000-0000-000023040000}"/>
    <cellStyle name="Comma 2 3 4 2" xfId="1069" xr:uid="{00000000-0005-0000-0000-000024040000}"/>
    <cellStyle name="Comma 2 3 4 2 2" xfId="1070" xr:uid="{00000000-0005-0000-0000-000025040000}"/>
    <cellStyle name="Comma 2 3 4 2 2 2" xfId="1071" xr:uid="{00000000-0005-0000-0000-000026040000}"/>
    <cellStyle name="Comma 2 3 4 2 2 2 2" xfId="1072" xr:uid="{00000000-0005-0000-0000-000027040000}"/>
    <cellStyle name="Comma 2 3 4 2 2 2 2 2" xfId="1073" xr:uid="{00000000-0005-0000-0000-000028040000}"/>
    <cellStyle name="Comma 2 3 4 2 2 2 3" xfId="1074" xr:uid="{00000000-0005-0000-0000-000029040000}"/>
    <cellStyle name="Comma 2 3 4 2 2 2 3 2" xfId="1075" xr:uid="{00000000-0005-0000-0000-00002A040000}"/>
    <cellStyle name="Comma 2 3 4 2 2 2 4" xfId="1076" xr:uid="{00000000-0005-0000-0000-00002B040000}"/>
    <cellStyle name="Comma 2 3 4 2 2 3" xfId="1077" xr:uid="{00000000-0005-0000-0000-00002C040000}"/>
    <cellStyle name="Comma 2 3 4 2 2 3 2" xfId="1078" xr:uid="{00000000-0005-0000-0000-00002D040000}"/>
    <cellStyle name="Comma 2 3 4 2 2 4" xfId="1079" xr:uid="{00000000-0005-0000-0000-00002E040000}"/>
    <cellStyle name="Comma 2 3 4 2 2 4 2" xfId="1080" xr:uid="{00000000-0005-0000-0000-00002F040000}"/>
    <cellStyle name="Comma 2 3 4 2 2 5" xfId="1081" xr:uid="{00000000-0005-0000-0000-000030040000}"/>
    <cellStyle name="Comma 2 3 4 2 3" xfId="1082" xr:uid="{00000000-0005-0000-0000-000031040000}"/>
    <cellStyle name="Comma 2 3 4 2 3 2" xfId="1083" xr:uid="{00000000-0005-0000-0000-000032040000}"/>
    <cellStyle name="Comma 2 3 4 2 3 2 2" xfId="1084" xr:uid="{00000000-0005-0000-0000-000033040000}"/>
    <cellStyle name="Comma 2 3 4 2 3 2 2 2" xfId="1085" xr:uid="{00000000-0005-0000-0000-000034040000}"/>
    <cellStyle name="Comma 2 3 4 2 3 2 3" xfId="1086" xr:uid="{00000000-0005-0000-0000-000035040000}"/>
    <cellStyle name="Comma 2 3 4 2 3 2 3 2" xfId="1087" xr:uid="{00000000-0005-0000-0000-000036040000}"/>
    <cellStyle name="Comma 2 3 4 2 3 2 4" xfId="1088" xr:uid="{00000000-0005-0000-0000-000037040000}"/>
    <cellStyle name="Comma 2 3 4 2 3 3" xfId="1089" xr:uid="{00000000-0005-0000-0000-000038040000}"/>
    <cellStyle name="Comma 2 3 4 2 3 3 2" xfId="1090" xr:uid="{00000000-0005-0000-0000-000039040000}"/>
    <cellStyle name="Comma 2 3 4 2 3 4" xfId="1091" xr:uid="{00000000-0005-0000-0000-00003A040000}"/>
    <cellStyle name="Comma 2 3 4 2 3 4 2" xfId="1092" xr:uid="{00000000-0005-0000-0000-00003B040000}"/>
    <cellStyle name="Comma 2 3 4 2 3 5" xfId="1093" xr:uid="{00000000-0005-0000-0000-00003C040000}"/>
    <cellStyle name="Comma 2 3 4 2 4" xfId="1094" xr:uid="{00000000-0005-0000-0000-00003D040000}"/>
    <cellStyle name="Comma 2 3 4 2 4 2" xfId="1095" xr:uid="{00000000-0005-0000-0000-00003E040000}"/>
    <cellStyle name="Comma 2 3 4 2 4 2 2" xfId="1096" xr:uid="{00000000-0005-0000-0000-00003F040000}"/>
    <cellStyle name="Comma 2 3 4 2 4 3" xfId="1097" xr:uid="{00000000-0005-0000-0000-000040040000}"/>
    <cellStyle name="Comma 2 3 4 2 4 3 2" xfId="1098" xr:uid="{00000000-0005-0000-0000-000041040000}"/>
    <cellStyle name="Comma 2 3 4 2 4 4" xfId="1099" xr:uid="{00000000-0005-0000-0000-000042040000}"/>
    <cellStyle name="Comma 2 3 4 2 5" xfId="1100" xr:uid="{00000000-0005-0000-0000-000043040000}"/>
    <cellStyle name="Comma 2 3 4 2 5 2" xfId="1101" xr:uid="{00000000-0005-0000-0000-000044040000}"/>
    <cellStyle name="Comma 2 3 4 2 6" xfId="1102" xr:uid="{00000000-0005-0000-0000-000045040000}"/>
    <cellStyle name="Comma 2 3 4 2 6 2" xfId="1103" xr:uid="{00000000-0005-0000-0000-000046040000}"/>
    <cellStyle name="Comma 2 3 4 2 7" xfId="1104" xr:uid="{00000000-0005-0000-0000-000047040000}"/>
    <cellStyle name="Comma 2 3 4 3" xfId="1105" xr:uid="{00000000-0005-0000-0000-000048040000}"/>
    <cellStyle name="Comma 2 3 4 3 2" xfId="1106" xr:uid="{00000000-0005-0000-0000-000049040000}"/>
    <cellStyle name="Comma 2 3 4 3 2 2" xfId="1107" xr:uid="{00000000-0005-0000-0000-00004A040000}"/>
    <cellStyle name="Comma 2 3 4 3 2 2 2" xfId="1108" xr:uid="{00000000-0005-0000-0000-00004B040000}"/>
    <cellStyle name="Comma 2 3 4 3 2 2 2 2" xfId="1109" xr:uid="{00000000-0005-0000-0000-00004C040000}"/>
    <cellStyle name="Comma 2 3 4 3 2 2 3" xfId="1110" xr:uid="{00000000-0005-0000-0000-00004D040000}"/>
    <cellStyle name="Comma 2 3 4 3 2 2 3 2" xfId="1111" xr:uid="{00000000-0005-0000-0000-00004E040000}"/>
    <cellStyle name="Comma 2 3 4 3 2 2 4" xfId="1112" xr:uid="{00000000-0005-0000-0000-00004F040000}"/>
    <cellStyle name="Comma 2 3 4 3 2 3" xfId="1113" xr:uid="{00000000-0005-0000-0000-000050040000}"/>
    <cellStyle name="Comma 2 3 4 3 2 3 2" xfId="1114" xr:uid="{00000000-0005-0000-0000-000051040000}"/>
    <cellStyle name="Comma 2 3 4 3 2 4" xfId="1115" xr:uid="{00000000-0005-0000-0000-000052040000}"/>
    <cellStyle name="Comma 2 3 4 3 2 4 2" xfId="1116" xr:uid="{00000000-0005-0000-0000-000053040000}"/>
    <cellStyle name="Comma 2 3 4 3 2 5" xfId="1117" xr:uid="{00000000-0005-0000-0000-000054040000}"/>
    <cellStyle name="Comma 2 3 4 3 3" xfId="1118" xr:uid="{00000000-0005-0000-0000-000055040000}"/>
    <cellStyle name="Comma 2 3 4 3 3 2" xfId="1119" xr:uid="{00000000-0005-0000-0000-000056040000}"/>
    <cellStyle name="Comma 2 3 4 3 3 2 2" xfId="1120" xr:uid="{00000000-0005-0000-0000-000057040000}"/>
    <cellStyle name="Comma 2 3 4 3 3 2 2 2" xfId="1121" xr:uid="{00000000-0005-0000-0000-000058040000}"/>
    <cellStyle name="Comma 2 3 4 3 3 2 3" xfId="1122" xr:uid="{00000000-0005-0000-0000-000059040000}"/>
    <cellStyle name="Comma 2 3 4 3 3 2 3 2" xfId="1123" xr:uid="{00000000-0005-0000-0000-00005A040000}"/>
    <cellStyle name="Comma 2 3 4 3 3 2 4" xfId="1124" xr:uid="{00000000-0005-0000-0000-00005B040000}"/>
    <cellStyle name="Comma 2 3 4 3 3 3" xfId="1125" xr:uid="{00000000-0005-0000-0000-00005C040000}"/>
    <cellStyle name="Comma 2 3 4 3 3 3 2" xfId="1126" xr:uid="{00000000-0005-0000-0000-00005D040000}"/>
    <cellStyle name="Comma 2 3 4 3 3 4" xfId="1127" xr:uid="{00000000-0005-0000-0000-00005E040000}"/>
    <cellStyle name="Comma 2 3 4 3 3 4 2" xfId="1128" xr:uid="{00000000-0005-0000-0000-00005F040000}"/>
    <cellStyle name="Comma 2 3 4 3 3 5" xfId="1129" xr:uid="{00000000-0005-0000-0000-000060040000}"/>
    <cellStyle name="Comma 2 3 4 3 4" xfId="1130" xr:uid="{00000000-0005-0000-0000-000061040000}"/>
    <cellStyle name="Comma 2 3 4 3 4 2" xfId="1131" xr:uid="{00000000-0005-0000-0000-000062040000}"/>
    <cellStyle name="Comma 2 3 4 3 4 2 2" xfId="1132" xr:uid="{00000000-0005-0000-0000-000063040000}"/>
    <cellStyle name="Comma 2 3 4 3 4 3" xfId="1133" xr:uid="{00000000-0005-0000-0000-000064040000}"/>
    <cellStyle name="Comma 2 3 4 3 4 3 2" xfId="1134" xr:uid="{00000000-0005-0000-0000-000065040000}"/>
    <cellStyle name="Comma 2 3 4 3 4 4" xfId="1135" xr:uid="{00000000-0005-0000-0000-000066040000}"/>
    <cellStyle name="Comma 2 3 4 3 5" xfId="1136" xr:uid="{00000000-0005-0000-0000-000067040000}"/>
    <cellStyle name="Comma 2 3 4 3 5 2" xfId="1137" xr:uid="{00000000-0005-0000-0000-000068040000}"/>
    <cellStyle name="Comma 2 3 4 3 6" xfId="1138" xr:uid="{00000000-0005-0000-0000-000069040000}"/>
    <cellStyle name="Comma 2 3 4 3 6 2" xfId="1139" xr:uid="{00000000-0005-0000-0000-00006A040000}"/>
    <cellStyle name="Comma 2 3 4 3 7" xfId="1140" xr:uid="{00000000-0005-0000-0000-00006B040000}"/>
    <cellStyle name="Comma 2 3 4 4" xfId="1141" xr:uid="{00000000-0005-0000-0000-00006C040000}"/>
    <cellStyle name="Comma 2 3 4 4 2" xfId="1142" xr:uid="{00000000-0005-0000-0000-00006D040000}"/>
    <cellStyle name="Comma 2 3 4 4 2 2" xfId="1143" xr:uid="{00000000-0005-0000-0000-00006E040000}"/>
    <cellStyle name="Comma 2 3 4 4 2 2 2" xfId="1144" xr:uid="{00000000-0005-0000-0000-00006F040000}"/>
    <cellStyle name="Comma 2 3 4 4 2 2 2 2" xfId="1145" xr:uid="{00000000-0005-0000-0000-000070040000}"/>
    <cellStyle name="Comma 2 3 4 4 2 2 3" xfId="1146" xr:uid="{00000000-0005-0000-0000-000071040000}"/>
    <cellStyle name="Comma 2 3 4 4 2 2 3 2" xfId="1147" xr:uid="{00000000-0005-0000-0000-000072040000}"/>
    <cellStyle name="Comma 2 3 4 4 2 2 4" xfId="1148" xr:uid="{00000000-0005-0000-0000-000073040000}"/>
    <cellStyle name="Comma 2 3 4 4 2 3" xfId="1149" xr:uid="{00000000-0005-0000-0000-000074040000}"/>
    <cellStyle name="Comma 2 3 4 4 2 3 2" xfId="1150" xr:uid="{00000000-0005-0000-0000-000075040000}"/>
    <cellStyle name="Comma 2 3 4 4 2 4" xfId="1151" xr:uid="{00000000-0005-0000-0000-000076040000}"/>
    <cellStyle name="Comma 2 3 4 4 2 4 2" xfId="1152" xr:uid="{00000000-0005-0000-0000-000077040000}"/>
    <cellStyle name="Comma 2 3 4 4 2 5" xfId="1153" xr:uid="{00000000-0005-0000-0000-000078040000}"/>
    <cellStyle name="Comma 2 3 4 4 3" xfId="1154" xr:uid="{00000000-0005-0000-0000-000079040000}"/>
    <cellStyle name="Comma 2 3 4 4 3 2" xfId="1155" xr:uid="{00000000-0005-0000-0000-00007A040000}"/>
    <cellStyle name="Comma 2 3 4 4 3 2 2" xfId="1156" xr:uid="{00000000-0005-0000-0000-00007B040000}"/>
    <cellStyle name="Comma 2 3 4 4 3 2 2 2" xfId="1157" xr:uid="{00000000-0005-0000-0000-00007C040000}"/>
    <cellStyle name="Comma 2 3 4 4 3 2 3" xfId="1158" xr:uid="{00000000-0005-0000-0000-00007D040000}"/>
    <cellStyle name="Comma 2 3 4 4 3 2 3 2" xfId="1159" xr:uid="{00000000-0005-0000-0000-00007E040000}"/>
    <cellStyle name="Comma 2 3 4 4 3 2 4" xfId="1160" xr:uid="{00000000-0005-0000-0000-00007F040000}"/>
    <cellStyle name="Comma 2 3 4 4 3 3" xfId="1161" xr:uid="{00000000-0005-0000-0000-000080040000}"/>
    <cellStyle name="Comma 2 3 4 4 3 3 2" xfId="1162" xr:uid="{00000000-0005-0000-0000-000081040000}"/>
    <cellStyle name="Comma 2 3 4 4 3 4" xfId="1163" xr:uid="{00000000-0005-0000-0000-000082040000}"/>
    <cellStyle name="Comma 2 3 4 4 3 4 2" xfId="1164" xr:uid="{00000000-0005-0000-0000-000083040000}"/>
    <cellStyle name="Comma 2 3 4 4 3 5" xfId="1165" xr:uid="{00000000-0005-0000-0000-000084040000}"/>
    <cellStyle name="Comma 2 3 4 4 4" xfId="1166" xr:uid="{00000000-0005-0000-0000-000085040000}"/>
    <cellStyle name="Comma 2 3 4 4 4 2" xfId="1167" xr:uid="{00000000-0005-0000-0000-000086040000}"/>
    <cellStyle name="Comma 2 3 4 4 4 2 2" xfId="1168" xr:uid="{00000000-0005-0000-0000-000087040000}"/>
    <cellStyle name="Comma 2 3 4 4 4 3" xfId="1169" xr:uid="{00000000-0005-0000-0000-000088040000}"/>
    <cellStyle name="Comma 2 3 4 4 4 3 2" xfId="1170" xr:uid="{00000000-0005-0000-0000-000089040000}"/>
    <cellStyle name="Comma 2 3 4 4 4 4" xfId="1171" xr:uid="{00000000-0005-0000-0000-00008A040000}"/>
    <cellStyle name="Comma 2 3 4 4 5" xfId="1172" xr:uid="{00000000-0005-0000-0000-00008B040000}"/>
    <cellStyle name="Comma 2 3 4 4 5 2" xfId="1173" xr:uid="{00000000-0005-0000-0000-00008C040000}"/>
    <cellStyle name="Comma 2 3 4 4 6" xfId="1174" xr:uid="{00000000-0005-0000-0000-00008D040000}"/>
    <cellStyle name="Comma 2 3 4 4 6 2" xfId="1175" xr:uid="{00000000-0005-0000-0000-00008E040000}"/>
    <cellStyle name="Comma 2 3 4 4 7" xfId="1176" xr:uid="{00000000-0005-0000-0000-00008F040000}"/>
    <cellStyle name="Comma 2 3 4 5" xfId="1177" xr:uid="{00000000-0005-0000-0000-000090040000}"/>
    <cellStyle name="Comma 2 3 4 5 2" xfId="1178" xr:uid="{00000000-0005-0000-0000-000091040000}"/>
    <cellStyle name="Comma 2 3 4 5 2 2" xfId="1179" xr:uid="{00000000-0005-0000-0000-000092040000}"/>
    <cellStyle name="Comma 2 3 4 5 2 2 2" xfId="1180" xr:uid="{00000000-0005-0000-0000-000093040000}"/>
    <cellStyle name="Comma 2 3 4 5 2 2 2 2" xfId="1181" xr:uid="{00000000-0005-0000-0000-000094040000}"/>
    <cellStyle name="Comma 2 3 4 5 2 2 3" xfId="1182" xr:uid="{00000000-0005-0000-0000-000095040000}"/>
    <cellStyle name="Comma 2 3 4 5 2 2 3 2" xfId="1183" xr:uid="{00000000-0005-0000-0000-000096040000}"/>
    <cellStyle name="Comma 2 3 4 5 2 2 4" xfId="1184" xr:uid="{00000000-0005-0000-0000-000097040000}"/>
    <cellStyle name="Comma 2 3 4 5 2 3" xfId="1185" xr:uid="{00000000-0005-0000-0000-000098040000}"/>
    <cellStyle name="Comma 2 3 4 5 2 3 2" xfId="1186" xr:uid="{00000000-0005-0000-0000-000099040000}"/>
    <cellStyle name="Comma 2 3 4 5 2 4" xfId="1187" xr:uid="{00000000-0005-0000-0000-00009A040000}"/>
    <cellStyle name="Comma 2 3 4 5 2 4 2" xfId="1188" xr:uid="{00000000-0005-0000-0000-00009B040000}"/>
    <cellStyle name="Comma 2 3 4 5 2 5" xfId="1189" xr:uid="{00000000-0005-0000-0000-00009C040000}"/>
    <cellStyle name="Comma 2 3 4 5 3" xfId="1190" xr:uid="{00000000-0005-0000-0000-00009D040000}"/>
    <cellStyle name="Comma 2 3 4 5 3 2" xfId="1191" xr:uid="{00000000-0005-0000-0000-00009E040000}"/>
    <cellStyle name="Comma 2 3 4 5 3 2 2" xfId="1192" xr:uid="{00000000-0005-0000-0000-00009F040000}"/>
    <cellStyle name="Comma 2 3 4 5 3 2 2 2" xfId="1193" xr:uid="{00000000-0005-0000-0000-0000A0040000}"/>
    <cellStyle name="Comma 2 3 4 5 3 2 3" xfId="1194" xr:uid="{00000000-0005-0000-0000-0000A1040000}"/>
    <cellStyle name="Comma 2 3 4 5 3 2 3 2" xfId="1195" xr:uid="{00000000-0005-0000-0000-0000A2040000}"/>
    <cellStyle name="Comma 2 3 4 5 3 2 4" xfId="1196" xr:uid="{00000000-0005-0000-0000-0000A3040000}"/>
    <cellStyle name="Comma 2 3 4 5 3 3" xfId="1197" xr:uid="{00000000-0005-0000-0000-0000A4040000}"/>
    <cellStyle name="Comma 2 3 4 5 3 3 2" xfId="1198" xr:uid="{00000000-0005-0000-0000-0000A5040000}"/>
    <cellStyle name="Comma 2 3 4 5 3 4" xfId="1199" xr:uid="{00000000-0005-0000-0000-0000A6040000}"/>
    <cellStyle name="Comma 2 3 4 5 3 4 2" xfId="1200" xr:uid="{00000000-0005-0000-0000-0000A7040000}"/>
    <cellStyle name="Comma 2 3 4 5 3 5" xfId="1201" xr:uid="{00000000-0005-0000-0000-0000A8040000}"/>
    <cellStyle name="Comma 2 3 4 5 4" xfId="1202" xr:uid="{00000000-0005-0000-0000-0000A9040000}"/>
    <cellStyle name="Comma 2 3 4 5 4 2" xfId="1203" xr:uid="{00000000-0005-0000-0000-0000AA040000}"/>
    <cellStyle name="Comma 2 3 4 5 4 2 2" xfId="1204" xr:uid="{00000000-0005-0000-0000-0000AB040000}"/>
    <cellStyle name="Comma 2 3 4 5 4 3" xfId="1205" xr:uid="{00000000-0005-0000-0000-0000AC040000}"/>
    <cellStyle name="Comma 2 3 4 5 4 3 2" xfId="1206" xr:uid="{00000000-0005-0000-0000-0000AD040000}"/>
    <cellStyle name="Comma 2 3 4 5 4 4" xfId="1207" xr:uid="{00000000-0005-0000-0000-0000AE040000}"/>
    <cellStyle name="Comma 2 3 4 5 5" xfId="1208" xr:uid="{00000000-0005-0000-0000-0000AF040000}"/>
    <cellStyle name="Comma 2 3 4 5 5 2" xfId="1209" xr:uid="{00000000-0005-0000-0000-0000B0040000}"/>
    <cellStyle name="Comma 2 3 4 5 6" xfId="1210" xr:uid="{00000000-0005-0000-0000-0000B1040000}"/>
    <cellStyle name="Comma 2 3 4 5 6 2" xfId="1211" xr:uid="{00000000-0005-0000-0000-0000B2040000}"/>
    <cellStyle name="Comma 2 3 4 5 7" xfId="1212" xr:uid="{00000000-0005-0000-0000-0000B3040000}"/>
    <cellStyle name="Comma 2 3 4 6" xfId="1213" xr:uid="{00000000-0005-0000-0000-0000B4040000}"/>
    <cellStyle name="Comma 2 3 4 6 2" xfId="1214" xr:uid="{00000000-0005-0000-0000-0000B5040000}"/>
    <cellStyle name="Comma 2 3 4 6 2 2" xfId="1215" xr:uid="{00000000-0005-0000-0000-0000B6040000}"/>
    <cellStyle name="Comma 2 3 4 6 2 2 2" xfId="1216" xr:uid="{00000000-0005-0000-0000-0000B7040000}"/>
    <cellStyle name="Comma 2 3 4 6 2 3" xfId="1217" xr:uid="{00000000-0005-0000-0000-0000B8040000}"/>
    <cellStyle name="Comma 2 3 4 6 2 3 2" xfId="1218" xr:uid="{00000000-0005-0000-0000-0000B9040000}"/>
    <cellStyle name="Comma 2 3 4 6 2 4" xfId="1219" xr:uid="{00000000-0005-0000-0000-0000BA040000}"/>
    <cellStyle name="Comma 2 3 4 6 3" xfId="1220" xr:uid="{00000000-0005-0000-0000-0000BB040000}"/>
    <cellStyle name="Comma 2 3 4 6 3 2" xfId="1221" xr:uid="{00000000-0005-0000-0000-0000BC040000}"/>
    <cellStyle name="Comma 2 3 4 6 4" xfId="1222" xr:uid="{00000000-0005-0000-0000-0000BD040000}"/>
    <cellStyle name="Comma 2 3 4 6 4 2" xfId="1223" xr:uid="{00000000-0005-0000-0000-0000BE040000}"/>
    <cellStyle name="Comma 2 3 4 6 5" xfId="1224" xr:uid="{00000000-0005-0000-0000-0000BF040000}"/>
    <cellStyle name="Comma 2 3 4 7" xfId="1225" xr:uid="{00000000-0005-0000-0000-0000C0040000}"/>
    <cellStyle name="Comma 2 3 4 7 2" xfId="1226" xr:uid="{00000000-0005-0000-0000-0000C1040000}"/>
    <cellStyle name="Comma 2 3 4 7 2 2" xfId="1227" xr:uid="{00000000-0005-0000-0000-0000C2040000}"/>
    <cellStyle name="Comma 2 3 4 7 2 2 2" xfId="1228" xr:uid="{00000000-0005-0000-0000-0000C3040000}"/>
    <cellStyle name="Comma 2 3 4 7 2 3" xfId="1229" xr:uid="{00000000-0005-0000-0000-0000C4040000}"/>
    <cellStyle name="Comma 2 3 4 7 2 3 2" xfId="1230" xr:uid="{00000000-0005-0000-0000-0000C5040000}"/>
    <cellStyle name="Comma 2 3 4 7 2 4" xfId="1231" xr:uid="{00000000-0005-0000-0000-0000C6040000}"/>
    <cellStyle name="Comma 2 3 4 7 3" xfId="1232" xr:uid="{00000000-0005-0000-0000-0000C7040000}"/>
    <cellStyle name="Comma 2 3 4 7 3 2" xfId="1233" xr:uid="{00000000-0005-0000-0000-0000C8040000}"/>
    <cellStyle name="Comma 2 3 4 7 4" xfId="1234" xr:uid="{00000000-0005-0000-0000-0000C9040000}"/>
    <cellStyle name="Comma 2 3 4 7 4 2" xfId="1235" xr:uid="{00000000-0005-0000-0000-0000CA040000}"/>
    <cellStyle name="Comma 2 3 4 7 5" xfId="1236" xr:uid="{00000000-0005-0000-0000-0000CB040000}"/>
    <cellStyle name="Comma 2 3 4 8" xfId="1237" xr:uid="{00000000-0005-0000-0000-0000CC040000}"/>
    <cellStyle name="Comma 2 3 4 8 2" xfId="1238" xr:uid="{00000000-0005-0000-0000-0000CD040000}"/>
    <cellStyle name="Comma 2 3 4 8 2 2" xfId="1239" xr:uid="{00000000-0005-0000-0000-0000CE040000}"/>
    <cellStyle name="Comma 2 3 4 8 3" xfId="1240" xr:uid="{00000000-0005-0000-0000-0000CF040000}"/>
    <cellStyle name="Comma 2 3 4 8 3 2" xfId="1241" xr:uid="{00000000-0005-0000-0000-0000D0040000}"/>
    <cellStyle name="Comma 2 3 4 8 4" xfId="1242" xr:uid="{00000000-0005-0000-0000-0000D1040000}"/>
    <cellStyle name="Comma 2 3 4 9" xfId="1243" xr:uid="{00000000-0005-0000-0000-0000D2040000}"/>
    <cellStyle name="Comma 2 3 4 9 2" xfId="1244" xr:uid="{00000000-0005-0000-0000-0000D3040000}"/>
    <cellStyle name="Comma 2 3 5" xfId="1245" xr:uid="{00000000-0005-0000-0000-0000D4040000}"/>
    <cellStyle name="Comma 2 3 5 2" xfId="1246" xr:uid="{00000000-0005-0000-0000-0000D5040000}"/>
    <cellStyle name="Comma 2 3 5 2 2" xfId="1247" xr:uid="{00000000-0005-0000-0000-0000D6040000}"/>
    <cellStyle name="Comma 2 3 5 2 2 2" xfId="1248" xr:uid="{00000000-0005-0000-0000-0000D7040000}"/>
    <cellStyle name="Comma 2 3 5 2 2 2 2" xfId="1249" xr:uid="{00000000-0005-0000-0000-0000D8040000}"/>
    <cellStyle name="Comma 2 3 5 2 2 2 2 2" xfId="1250" xr:uid="{00000000-0005-0000-0000-0000D9040000}"/>
    <cellStyle name="Comma 2 3 5 2 2 2 3" xfId="1251" xr:uid="{00000000-0005-0000-0000-0000DA040000}"/>
    <cellStyle name="Comma 2 3 5 2 2 2 3 2" xfId="1252" xr:uid="{00000000-0005-0000-0000-0000DB040000}"/>
    <cellStyle name="Comma 2 3 5 2 2 2 4" xfId="1253" xr:uid="{00000000-0005-0000-0000-0000DC040000}"/>
    <cellStyle name="Comma 2 3 5 2 2 3" xfId="1254" xr:uid="{00000000-0005-0000-0000-0000DD040000}"/>
    <cellStyle name="Comma 2 3 5 2 2 3 2" xfId="1255" xr:uid="{00000000-0005-0000-0000-0000DE040000}"/>
    <cellStyle name="Comma 2 3 5 2 2 4" xfId="1256" xr:uid="{00000000-0005-0000-0000-0000DF040000}"/>
    <cellStyle name="Comma 2 3 5 2 2 4 2" xfId="1257" xr:uid="{00000000-0005-0000-0000-0000E0040000}"/>
    <cellStyle name="Comma 2 3 5 2 2 5" xfId="1258" xr:uid="{00000000-0005-0000-0000-0000E1040000}"/>
    <cellStyle name="Comma 2 3 5 2 3" xfId="1259" xr:uid="{00000000-0005-0000-0000-0000E2040000}"/>
    <cellStyle name="Comma 2 3 5 2 3 2" xfId="1260" xr:uid="{00000000-0005-0000-0000-0000E3040000}"/>
    <cellStyle name="Comma 2 3 5 2 3 2 2" xfId="1261" xr:uid="{00000000-0005-0000-0000-0000E4040000}"/>
    <cellStyle name="Comma 2 3 5 2 3 2 2 2" xfId="1262" xr:uid="{00000000-0005-0000-0000-0000E5040000}"/>
    <cellStyle name="Comma 2 3 5 2 3 2 3" xfId="1263" xr:uid="{00000000-0005-0000-0000-0000E6040000}"/>
    <cellStyle name="Comma 2 3 5 2 3 2 3 2" xfId="1264" xr:uid="{00000000-0005-0000-0000-0000E7040000}"/>
    <cellStyle name="Comma 2 3 5 2 3 2 4" xfId="1265" xr:uid="{00000000-0005-0000-0000-0000E8040000}"/>
    <cellStyle name="Comma 2 3 5 2 3 3" xfId="1266" xr:uid="{00000000-0005-0000-0000-0000E9040000}"/>
    <cellStyle name="Comma 2 3 5 2 3 3 2" xfId="1267" xr:uid="{00000000-0005-0000-0000-0000EA040000}"/>
    <cellStyle name="Comma 2 3 5 2 3 4" xfId="1268" xr:uid="{00000000-0005-0000-0000-0000EB040000}"/>
    <cellStyle name="Comma 2 3 5 2 3 4 2" xfId="1269" xr:uid="{00000000-0005-0000-0000-0000EC040000}"/>
    <cellStyle name="Comma 2 3 5 2 3 5" xfId="1270" xr:uid="{00000000-0005-0000-0000-0000ED040000}"/>
    <cellStyle name="Comma 2 3 5 2 4" xfId="1271" xr:uid="{00000000-0005-0000-0000-0000EE040000}"/>
    <cellStyle name="Comma 2 3 5 2 4 2" xfId="1272" xr:uid="{00000000-0005-0000-0000-0000EF040000}"/>
    <cellStyle name="Comma 2 3 5 2 4 2 2" xfId="1273" xr:uid="{00000000-0005-0000-0000-0000F0040000}"/>
    <cellStyle name="Comma 2 3 5 2 4 3" xfId="1274" xr:uid="{00000000-0005-0000-0000-0000F1040000}"/>
    <cellStyle name="Comma 2 3 5 2 4 3 2" xfId="1275" xr:uid="{00000000-0005-0000-0000-0000F2040000}"/>
    <cellStyle name="Comma 2 3 5 2 4 4" xfId="1276" xr:uid="{00000000-0005-0000-0000-0000F3040000}"/>
    <cellStyle name="Comma 2 3 5 2 5" xfId="1277" xr:uid="{00000000-0005-0000-0000-0000F4040000}"/>
    <cellStyle name="Comma 2 3 5 2 5 2" xfId="1278" xr:uid="{00000000-0005-0000-0000-0000F5040000}"/>
    <cellStyle name="Comma 2 3 5 2 6" xfId="1279" xr:uid="{00000000-0005-0000-0000-0000F6040000}"/>
    <cellStyle name="Comma 2 3 5 2 6 2" xfId="1280" xr:uid="{00000000-0005-0000-0000-0000F7040000}"/>
    <cellStyle name="Comma 2 3 5 2 7" xfId="1281" xr:uid="{00000000-0005-0000-0000-0000F8040000}"/>
    <cellStyle name="Comma 2 3 5 3" xfId="1282" xr:uid="{00000000-0005-0000-0000-0000F9040000}"/>
    <cellStyle name="Comma 2 3 5 3 2" xfId="1283" xr:uid="{00000000-0005-0000-0000-0000FA040000}"/>
    <cellStyle name="Comma 2 3 5 3 2 2" xfId="1284" xr:uid="{00000000-0005-0000-0000-0000FB040000}"/>
    <cellStyle name="Comma 2 3 5 3 2 2 2" xfId="1285" xr:uid="{00000000-0005-0000-0000-0000FC040000}"/>
    <cellStyle name="Comma 2 3 5 3 2 3" xfId="1286" xr:uid="{00000000-0005-0000-0000-0000FD040000}"/>
    <cellStyle name="Comma 2 3 5 3 2 3 2" xfId="1287" xr:uid="{00000000-0005-0000-0000-0000FE040000}"/>
    <cellStyle name="Comma 2 3 5 3 2 4" xfId="1288" xr:uid="{00000000-0005-0000-0000-0000FF040000}"/>
    <cellStyle name="Comma 2 3 5 3 3" xfId="1289" xr:uid="{00000000-0005-0000-0000-000000050000}"/>
    <cellStyle name="Comma 2 3 5 3 3 2" xfId="1290" xr:uid="{00000000-0005-0000-0000-000001050000}"/>
    <cellStyle name="Comma 2 3 5 3 4" xfId="1291" xr:uid="{00000000-0005-0000-0000-000002050000}"/>
    <cellStyle name="Comma 2 3 5 3 4 2" xfId="1292" xr:uid="{00000000-0005-0000-0000-000003050000}"/>
    <cellStyle name="Comma 2 3 5 3 5" xfId="1293" xr:uid="{00000000-0005-0000-0000-000004050000}"/>
    <cellStyle name="Comma 2 3 5 4" xfId="1294" xr:uid="{00000000-0005-0000-0000-000005050000}"/>
    <cellStyle name="Comma 2 3 5 4 2" xfId="1295" xr:uid="{00000000-0005-0000-0000-000006050000}"/>
    <cellStyle name="Comma 2 3 5 4 2 2" xfId="1296" xr:uid="{00000000-0005-0000-0000-000007050000}"/>
    <cellStyle name="Comma 2 3 5 4 2 2 2" xfId="1297" xr:uid="{00000000-0005-0000-0000-000008050000}"/>
    <cellStyle name="Comma 2 3 5 4 2 3" xfId="1298" xr:uid="{00000000-0005-0000-0000-000009050000}"/>
    <cellStyle name="Comma 2 3 5 4 2 3 2" xfId="1299" xr:uid="{00000000-0005-0000-0000-00000A050000}"/>
    <cellStyle name="Comma 2 3 5 4 2 4" xfId="1300" xr:uid="{00000000-0005-0000-0000-00000B050000}"/>
    <cellStyle name="Comma 2 3 5 4 3" xfId="1301" xr:uid="{00000000-0005-0000-0000-00000C050000}"/>
    <cellStyle name="Comma 2 3 5 4 3 2" xfId="1302" xr:uid="{00000000-0005-0000-0000-00000D050000}"/>
    <cellStyle name="Comma 2 3 5 4 4" xfId="1303" xr:uid="{00000000-0005-0000-0000-00000E050000}"/>
    <cellStyle name="Comma 2 3 5 4 4 2" xfId="1304" xr:uid="{00000000-0005-0000-0000-00000F050000}"/>
    <cellStyle name="Comma 2 3 5 4 5" xfId="1305" xr:uid="{00000000-0005-0000-0000-000010050000}"/>
    <cellStyle name="Comma 2 3 5 5" xfId="1306" xr:uid="{00000000-0005-0000-0000-000011050000}"/>
    <cellStyle name="Comma 2 3 5 5 2" xfId="1307" xr:uid="{00000000-0005-0000-0000-000012050000}"/>
    <cellStyle name="Comma 2 3 5 5 2 2" xfId="1308" xr:uid="{00000000-0005-0000-0000-000013050000}"/>
    <cellStyle name="Comma 2 3 5 5 3" xfId="1309" xr:uid="{00000000-0005-0000-0000-000014050000}"/>
    <cellStyle name="Comma 2 3 5 5 3 2" xfId="1310" xr:uid="{00000000-0005-0000-0000-000015050000}"/>
    <cellStyle name="Comma 2 3 5 5 4" xfId="1311" xr:uid="{00000000-0005-0000-0000-000016050000}"/>
    <cellStyle name="Comma 2 3 5 6" xfId="1312" xr:uid="{00000000-0005-0000-0000-000017050000}"/>
    <cellStyle name="Comma 2 3 5 6 2" xfId="1313" xr:uid="{00000000-0005-0000-0000-000018050000}"/>
    <cellStyle name="Comma 2 3 5 7" xfId="1314" xr:uid="{00000000-0005-0000-0000-000019050000}"/>
    <cellStyle name="Comma 2 3 5 7 2" xfId="1315" xr:uid="{00000000-0005-0000-0000-00001A050000}"/>
    <cellStyle name="Comma 2 3 5 8" xfId="1316" xr:uid="{00000000-0005-0000-0000-00001B050000}"/>
    <cellStyle name="Comma 2 3 6" xfId="1317" xr:uid="{00000000-0005-0000-0000-00001C050000}"/>
    <cellStyle name="Comma 2 3 6 2" xfId="1318" xr:uid="{00000000-0005-0000-0000-00001D050000}"/>
    <cellStyle name="Comma 2 3 6 2 2" xfId="1319" xr:uid="{00000000-0005-0000-0000-00001E050000}"/>
    <cellStyle name="Comma 2 3 6 2 2 2" xfId="1320" xr:uid="{00000000-0005-0000-0000-00001F050000}"/>
    <cellStyle name="Comma 2 3 6 2 2 2 2" xfId="1321" xr:uid="{00000000-0005-0000-0000-000020050000}"/>
    <cellStyle name="Comma 2 3 6 2 2 3" xfId="1322" xr:uid="{00000000-0005-0000-0000-000021050000}"/>
    <cellStyle name="Comma 2 3 6 2 2 3 2" xfId="1323" xr:uid="{00000000-0005-0000-0000-000022050000}"/>
    <cellStyle name="Comma 2 3 6 2 2 4" xfId="1324" xr:uid="{00000000-0005-0000-0000-000023050000}"/>
    <cellStyle name="Comma 2 3 6 2 3" xfId="1325" xr:uid="{00000000-0005-0000-0000-000024050000}"/>
    <cellStyle name="Comma 2 3 6 2 3 2" xfId="1326" xr:uid="{00000000-0005-0000-0000-000025050000}"/>
    <cellStyle name="Comma 2 3 6 2 4" xfId="1327" xr:uid="{00000000-0005-0000-0000-000026050000}"/>
    <cellStyle name="Comma 2 3 6 2 4 2" xfId="1328" xr:uid="{00000000-0005-0000-0000-000027050000}"/>
    <cellStyle name="Comma 2 3 6 2 5" xfId="1329" xr:uid="{00000000-0005-0000-0000-000028050000}"/>
    <cellStyle name="Comma 2 3 6 3" xfId="1330" xr:uid="{00000000-0005-0000-0000-000029050000}"/>
    <cellStyle name="Comma 2 3 6 3 2" xfId="1331" xr:uid="{00000000-0005-0000-0000-00002A050000}"/>
    <cellStyle name="Comma 2 3 6 3 2 2" xfId="1332" xr:uid="{00000000-0005-0000-0000-00002B050000}"/>
    <cellStyle name="Comma 2 3 6 3 2 2 2" xfId="1333" xr:uid="{00000000-0005-0000-0000-00002C050000}"/>
    <cellStyle name="Comma 2 3 6 3 2 3" xfId="1334" xr:uid="{00000000-0005-0000-0000-00002D050000}"/>
    <cellStyle name="Comma 2 3 6 3 2 3 2" xfId="1335" xr:uid="{00000000-0005-0000-0000-00002E050000}"/>
    <cellStyle name="Comma 2 3 6 3 2 4" xfId="1336" xr:uid="{00000000-0005-0000-0000-00002F050000}"/>
    <cellStyle name="Comma 2 3 6 3 3" xfId="1337" xr:uid="{00000000-0005-0000-0000-000030050000}"/>
    <cellStyle name="Comma 2 3 6 3 3 2" xfId="1338" xr:uid="{00000000-0005-0000-0000-000031050000}"/>
    <cellStyle name="Comma 2 3 6 3 4" xfId="1339" xr:uid="{00000000-0005-0000-0000-000032050000}"/>
    <cellStyle name="Comma 2 3 6 3 4 2" xfId="1340" xr:uid="{00000000-0005-0000-0000-000033050000}"/>
    <cellStyle name="Comma 2 3 6 3 5" xfId="1341" xr:uid="{00000000-0005-0000-0000-000034050000}"/>
    <cellStyle name="Comma 2 3 6 4" xfId="1342" xr:uid="{00000000-0005-0000-0000-000035050000}"/>
    <cellStyle name="Comma 2 3 6 4 2" xfId="1343" xr:uid="{00000000-0005-0000-0000-000036050000}"/>
    <cellStyle name="Comma 2 3 6 4 2 2" xfId="1344" xr:uid="{00000000-0005-0000-0000-000037050000}"/>
    <cellStyle name="Comma 2 3 6 4 3" xfId="1345" xr:uid="{00000000-0005-0000-0000-000038050000}"/>
    <cellStyle name="Comma 2 3 6 4 3 2" xfId="1346" xr:uid="{00000000-0005-0000-0000-000039050000}"/>
    <cellStyle name="Comma 2 3 6 4 4" xfId="1347" xr:uid="{00000000-0005-0000-0000-00003A050000}"/>
    <cellStyle name="Comma 2 3 6 5" xfId="1348" xr:uid="{00000000-0005-0000-0000-00003B050000}"/>
    <cellStyle name="Comma 2 3 6 5 2" xfId="1349" xr:uid="{00000000-0005-0000-0000-00003C050000}"/>
    <cellStyle name="Comma 2 3 6 6" xfId="1350" xr:uid="{00000000-0005-0000-0000-00003D050000}"/>
    <cellStyle name="Comma 2 3 6 6 2" xfId="1351" xr:uid="{00000000-0005-0000-0000-00003E050000}"/>
    <cellStyle name="Comma 2 3 6 7" xfId="1352" xr:uid="{00000000-0005-0000-0000-00003F050000}"/>
    <cellStyle name="Comma 2 3 7" xfId="1353" xr:uid="{00000000-0005-0000-0000-000040050000}"/>
    <cellStyle name="Comma 2 3 7 2" xfId="1354" xr:uid="{00000000-0005-0000-0000-000041050000}"/>
    <cellStyle name="Comma 2 3 7 2 2" xfId="1355" xr:uid="{00000000-0005-0000-0000-000042050000}"/>
    <cellStyle name="Comma 2 3 7 2 2 2" xfId="1356" xr:uid="{00000000-0005-0000-0000-000043050000}"/>
    <cellStyle name="Comma 2 3 7 2 2 2 2" xfId="1357" xr:uid="{00000000-0005-0000-0000-000044050000}"/>
    <cellStyle name="Comma 2 3 7 2 2 3" xfId="1358" xr:uid="{00000000-0005-0000-0000-000045050000}"/>
    <cellStyle name="Comma 2 3 7 2 2 3 2" xfId="1359" xr:uid="{00000000-0005-0000-0000-000046050000}"/>
    <cellStyle name="Comma 2 3 7 2 2 4" xfId="1360" xr:uid="{00000000-0005-0000-0000-000047050000}"/>
    <cellStyle name="Comma 2 3 7 2 3" xfId="1361" xr:uid="{00000000-0005-0000-0000-000048050000}"/>
    <cellStyle name="Comma 2 3 7 2 3 2" xfId="1362" xr:uid="{00000000-0005-0000-0000-000049050000}"/>
    <cellStyle name="Comma 2 3 7 2 4" xfId="1363" xr:uid="{00000000-0005-0000-0000-00004A050000}"/>
    <cellStyle name="Comma 2 3 7 2 4 2" xfId="1364" xr:uid="{00000000-0005-0000-0000-00004B050000}"/>
    <cellStyle name="Comma 2 3 7 2 5" xfId="1365" xr:uid="{00000000-0005-0000-0000-00004C050000}"/>
    <cellStyle name="Comma 2 3 7 3" xfId="1366" xr:uid="{00000000-0005-0000-0000-00004D050000}"/>
    <cellStyle name="Comma 2 3 7 3 2" xfId="1367" xr:uid="{00000000-0005-0000-0000-00004E050000}"/>
    <cellStyle name="Comma 2 3 7 3 2 2" xfId="1368" xr:uid="{00000000-0005-0000-0000-00004F050000}"/>
    <cellStyle name="Comma 2 3 7 3 2 2 2" xfId="1369" xr:uid="{00000000-0005-0000-0000-000050050000}"/>
    <cellStyle name="Comma 2 3 7 3 2 3" xfId="1370" xr:uid="{00000000-0005-0000-0000-000051050000}"/>
    <cellStyle name="Comma 2 3 7 3 2 3 2" xfId="1371" xr:uid="{00000000-0005-0000-0000-000052050000}"/>
    <cellStyle name="Comma 2 3 7 3 2 4" xfId="1372" xr:uid="{00000000-0005-0000-0000-000053050000}"/>
    <cellStyle name="Comma 2 3 7 3 3" xfId="1373" xr:uid="{00000000-0005-0000-0000-000054050000}"/>
    <cellStyle name="Comma 2 3 7 3 3 2" xfId="1374" xr:uid="{00000000-0005-0000-0000-000055050000}"/>
    <cellStyle name="Comma 2 3 7 3 4" xfId="1375" xr:uid="{00000000-0005-0000-0000-000056050000}"/>
    <cellStyle name="Comma 2 3 7 3 4 2" xfId="1376" xr:uid="{00000000-0005-0000-0000-000057050000}"/>
    <cellStyle name="Comma 2 3 7 3 5" xfId="1377" xr:uid="{00000000-0005-0000-0000-000058050000}"/>
    <cellStyle name="Comma 2 3 7 4" xfId="1378" xr:uid="{00000000-0005-0000-0000-000059050000}"/>
    <cellStyle name="Comma 2 3 7 4 2" xfId="1379" xr:uid="{00000000-0005-0000-0000-00005A050000}"/>
    <cellStyle name="Comma 2 3 7 4 2 2" xfId="1380" xr:uid="{00000000-0005-0000-0000-00005B050000}"/>
    <cellStyle name="Comma 2 3 7 4 3" xfId="1381" xr:uid="{00000000-0005-0000-0000-00005C050000}"/>
    <cellStyle name="Comma 2 3 7 4 3 2" xfId="1382" xr:uid="{00000000-0005-0000-0000-00005D050000}"/>
    <cellStyle name="Comma 2 3 7 4 4" xfId="1383" xr:uid="{00000000-0005-0000-0000-00005E050000}"/>
    <cellStyle name="Comma 2 3 7 5" xfId="1384" xr:uid="{00000000-0005-0000-0000-00005F050000}"/>
    <cellStyle name="Comma 2 3 7 5 2" xfId="1385" xr:uid="{00000000-0005-0000-0000-000060050000}"/>
    <cellStyle name="Comma 2 3 7 6" xfId="1386" xr:uid="{00000000-0005-0000-0000-000061050000}"/>
    <cellStyle name="Comma 2 3 7 6 2" xfId="1387" xr:uid="{00000000-0005-0000-0000-000062050000}"/>
    <cellStyle name="Comma 2 3 7 7" xfId="1388" xr:uid="{00000000-0005-0000-0000-000063050000}"/>
    <cellStyle name="Comma 2 3 8" xfId="1389" xr:uid="{00000000-0005-0000-0000-000064050000}"/>
    <cellStyle name="Comma 2 3 8 2" xfId="1390" xr:uid="{00000000-0005-0000-0000-000065050000}"/>
    <cellStyle name="Comma 2 3 8 2 2" xfId="1391" xr:uid="{00000000-0005-0000-0000-000066050000}"/>
    <cellStyle name="Comma 2 3 8 2 2 2" xfId="1392" xr:uid="{00000000-0005-0000-0000-000067050000}"/>
    <cellStyle name="Comma 2 3 8 2 2 2 2" xfId="1393" xr:uid="{00000000-0005-0000-0000-000068050000}"/>
    <cellStyle name="Comma 2 3 8 2 2 3" xfId="1394" xr:uid="{00000000-0005-0000-0000-000069050000}"/>
    <cellStyle name="Comma 2 3 8 2 2 3 2" xfId="1395" xr:uid="{00000000-0005-0000-0000-00006A050000}"/>
    <cellStyle name="Comma 2 3 8 2 2 4" xfId="1396" xr:uid="{00000000-0005-0000-0000-00006B050000}"/>
    <cellStyle name="Comma 2 3 8 2 3" xfId="1397" xr:uid="{00000000-0005-0000-0000-00006C050000}"/>
    <cellStyle name="Comma 2 3 8 2 3 2" xfId="1398" xr:uid="{00000000-0005-0000-0000-00006D050000}"/>
    <cellStyle name="Comma 2 3 8 2 4" xfId="1399" xr:uid="{00000000-0005-0000-0000-00006E050000}"/>
    <cellStyle name="Comma 2 3 8 2 4 2" xfId="1400" xr:uid="{00000000-0005-0000-0000-00006F050000}"/>
    <cellStyle name="Comma 2 3 8 2 5" xfId="1401" xr:uid="{00000000-0005-0000-0000-000070050000}"/>
    <cellStyle name="Comma 2 3 8 3" xfId="1402" xr:uid="{00000000-0005-0000-0000-000071050000}"/>
    <cellStyle name="Comma 2 3 8 3 2" xfId="1403" xr:uid="{00000000-0005-0000-0000-000072050000}"/>
    <cellStyle name="Comma 2 3 8 3 2 2" xfId="1404" xr:uid="{00000000-0005-0000-0000-000073050000}"/>
    <cellStyle name="Comma 2 3 8 3 2 2 2" xfId="1405" xr:uid="{00000000-0005-0000-0000-000074050000}"/>
    <cellStyle name="Comma 2 3 8 3 2 3" xfId="1406" xr:uid="{00000000-0005-0000-0000-000075050000}"/>
    <cellStyle name="Comma 2 3 8 3 2 3 2" xfId="1407" xr:uid="{00000000-0005-0000-0000-000076050000}"/>
    <cellStyle name="Comma 2 3 8 3 2 4" xfId="1408" xr:uid="{00000000-0005-0000-0000-000077050000}"/>
    <cellStyle name="Comma 2 3 8 3 3" xfId="1409" xr:uid="{00000000-0005-0000-0000-000078050000}"/>
    <cellStyle name="Comma 2 3 8 3 3 2" xfId="1410" xr:uid="{00000000-0005-0000-0000-000079050000}"/>
    <cellStyle name="Comma 2 3 8 3 4" xfId="1411" xr:uid="{00000000-0005-0000-0000-00007A050000}"/>
    <cellStyle name="Comma 2 3 8 3 4 2" xfId="1412" xr:uid="{00000000-0005-0000-0000-00007B050000}"/>
    <cellStyle name="Comma 2 3 8 3 5" xfId="1413" xr:uid="{00000000-0005-0000-0000-00007C050000}"/>
    <cellStyle name="Comma 2 3 8 4" xfId="1414" xr:uid="{00000000-0005-0000-0000-00007D050000}"/>
    <cellStyle name="Comma 2 3 8 4 2" xfId="1415" xr:uid="{00000000-0005-0000-0000-00007E050000}"/>
    <cellStyle name="Comma 2 3 8 4 2 2" xfId="1416" xr:uid="{00000000-0005-0000-0000-00007F050000}"/>
    <cellStyle name="Comma 2 3 8 4 3" xfId="1417" xr:uid="{00000000-0005-0000-0000-000080050000}"/>
    <cellStyle name="Comma 2 3 8 4 3 2" xfId="1418" xr:uid="{00000000-0005-0000-0000-000081050000}"/>
    <cellStyle name="Comma 2 3 8 4 4" xfId="1419" xr:uid="{00000000-0005-0000-0000-000082050000}"/>
    <cellStyle name="Comma 2 3 8 5" xfId="1420" xr:uid="{00000000-0005-0000-0000-000083050000}"/>
    <cellStyle name="Comma 2 3 8 5 2" xfId="1421" xr:uid="{00000000-0005-0000-0000-000084050000}"/>
    <cellStyle name="Comma 2 3 8 6" xfId="1422" xr:uid="{00000000-0005-0000-0000-000085050000}"/>
    <cellStyle name="Comma 2 3 8 6 2" xfId="1423" xr:uid="{00000000-0005-0000-0000-000086050000}"/>
    <cellStyle name="Comma 2 3 8 7" xfId="1424" xr:uid="{00000000-0005-0000-0000-000087050000}"/>
    <cellStyle name="Comma 2 3 9" xfId="1425" xr:uid="{00000000-0005-0000-0000-000088050000}"/>
    <cellStyle name="Comma 2 3 9 2" xfId="1426" xr:uid="{00000000-0005-0000-0000-000089050000}"/>
    <cellStyle name="Comma 2 3 9 2 2" xfId="1427" xr:uid="{00000000-0005-0000-0000-00008A050000}"/>
    <cellStyle name="Comma 2 3 9 2 2 2" xfId="1428" xr:uid="{00000000-0005-0000-0000-00008B050000}"/>
    <cellStyle name="Comma 2 3 9 2 2 2 2" xfId="1429" xr:uid="{00000000-0005-0000-0000-00008C050000}"/>
    <cellStyle name="Comma 2 3 9 2 2 3" xfId="1430" xr:uid="{00000000-0005-0000-0000-00008D050000}"/>
    <cellStyle name="Comma 2 3 9 2 2 3 2" xfId="1431" xr:uid="{00000000-0005-0000-0000-00008E050000}"/>
    <cellStyle name="Comma 2 3 9 2 2 4" xfId="1432" xr:uid="{00000000-0005-0000-0000-00008F050000}"/>
    <cellStyle name="Comma 2 3 9 2 3" xfId="1433" xr:uid="{00000000-0005-0000-0000-000090050000}"/>
    <cellStyle name="Comma 2 3 9 2 3 2" xfId="1434" xr:uid="{00000000-0005-0000-0000-000091050000}"/>
    <cellStyle name="Comma 2 3 9 2 4" xfId="1435" xr:uid="{00000000-0005-0000-0000-000092050000}"/>
    <cellStyle name="Comma 2 3 9 2 4 2" xfId="1436" xr:uid="{00000000-0005-0000-0000-000093050000}"/>
    <cellStyle name="Comma 2 3 9 2 5" xfId="1437" xr:uid="{00000000-0005-0000-0000-000094050000}"/>
    <cellStyle name="Comma 2 3 9 3" xfId="1438" xr:uid="{00000000-0005-0000-0000-000095050000}"/>
    <cellStyle name="Comma 2 3 9 3 2" xfId="1439" xr:uid="{00000000-0005-0000-0000-000096050000}"/>
    <cellStyle name="Comma 2 3 9 3 2 2" xfId="1440" xr:uid="{00000000-0005-0000-0000-000097050000}"/>
    <cellStyle name="Comma 2 3 9 3 2 2 2" xfId="1441" xr:uid="{00000000-0005-0000-0000-000098050000}"/>
    <cellStyle name="Comma 2 3 9 3 2 3" xfId="1442" xr:uid="{00000000-0005-0000-0000-000099050000}"/>
    <cellStyle name="Comma 2 3 9 3 2 3 2" xfId="1443" xr:uid="{00000000-0005-0000-0000-00009A050000}"/>
    <cellStyle name="Comma 2 3 9 3 2 4" xfId="1444" xr:uid="{00000000-0005-0000-0000-00009B050000}"/>
    <cellStyle name="Comma 2 3 9 3 3" xfId="1445" xr:uid="{00000000-0005-0000-0000-00009C050000}"/>
    <cellStyle name="Comma 2 3 9 3 3 2" xfId="1446" xr:uid="{00000000-0005-0000-0000-00009D050000}"/>
    <cellStyle name="Comma 2 3 9 3 4" xfId="1447" xr:uid="{00000000-0005-0000-0000-00009E050000}"/>
    <cellStyle name="Comma 2 3 9 3 4 2" xfId="1448" xr:uid="{00000000-0005-0000-0000-00009F050000}"/>
    <cellStyle name="Comma 2 3 9 3 5" xfId="1449" xr:uid="{00000000-0005-0000-0000-0000A0050000}"/>
    <cellStyle name="Comma 2 3 9 4" xfId="1450" xr:uid="{00000000-0005-0000-0000-0000A1050000}"/>
    <cellStyle name="Comma 2 3 9 4 2" xfId="1451" xr:uid="{00000000-0005-0000-0000-0000A2050000}"/>
    <cellStyle name="Comma 2 3 9 4 2 2" xfId="1452" xr:uid="{00000000-0005-0000-0000-0000A3050000}"/>
    <cellStyle name="Comma 2 3 9 4 3" xfId="1453" xr:uid="{00000000-0005-0000-0000-0000A4050000}"/>
    <cellStyle name="Comma 2 3 9 4 3 2" xfId="1454" xr:uid="{00000000-0005-0000-0000-0000A5050000}"/>
    <cellStyle name="Comma 2 3 9 4 4" xfId="1455" xr:uid="{00000000-0005-0000-0000-0000A6050000}"/>
    <cellStyle name="Comma 2 3 9 5" xfId="1456" xr:uid="{00000000-0005-0000-0000-0000A7050000}"/>
    <cellStyle name="Comma 2 3 9 5 2" xfId="1457" xr:uid="{00000000-0005-0000-0000-0000A8050000}"/>
    <cellStyle name="Comma 2 3 9 6" xfId="1458" xr:uid="{00000000-0005-0000-0000-0000A9050000}"/>
    <cellStyle name="Comma 2 3 9 6 2" xfId="1459" xr:uid="{00000000-0005-0000-0000-0000AA050000}"/>
    <cellStyle name="Comma 2 3 9 7" xfId="1460" xr:uid="{00000000-0005-0000-0000-0000AB050000}"/>
    <cellStyle name="Comma 2 4" xfId="1461" xr:uid="{00000000-0005-0000-0000-0000AC050000}"/>
    <cellStyle name="Comma 3" xfId="1462" xr:uid="{00000000-0005-0000-0000-0000AD050000}"/>
    <cellStyle name="Comma 4" xfId="1463" xr:uid="{00000000-0005-0000-0000-0000AE050000}"/>
    <cellStyle name="Currency" xfId="44716" builtinId="4"/>
    <cellStyle name="Currency 2" xfId="17" xr:uid="{00000000-0005-0000-0000-0000B0050000}"/>
    <cellStyle name="Currency 2 2" xfId="1464" xr:uid="{00000000-0005-0000-0000-0000B1050000}"/>
    <cellStyle name="Currency 2 2 2" xfId="1465" xr:uid="{00000000-0005-0000-0000-0000B2050000}"/>
    <cellStyle name="Currency 2 3" xfId="1466" xr:uid="{00000000-0005-0000-0000-0000B3050000}"/>
    <cellStyle name="Currency 3" xfId="1467" xr:uid="{00000000-0005-0000-0000-0000B4050000}"/>
    <cellStyle name="Currency 3 2" xfId="1468" xr:uid="{00000000-0005-0000-0000-0000B5050000}"/>
    <cellStyle name="Currency 3 2 2" xfId="1469" xr:uid="{00000000-0005-0000-0000-0000B6050000}"/>
    <cellStyle name="Currency 3 2 2 2" xfId="1470" xr:uid="{00000000-0005-0000-0000-0000B7050000}"/>
    <cellStyle name="Currency 3 2 3" xfId="1471" xr:uid="{00000000-0005-0000-0000-0000B8050000}"/>
    <cellStyle name="Currency 3 3" xfId="1472" xr:uid="{00000000-0005-0000-0000-0000B9050000}"/>
    <cellStyle name="Currency 3 3 2" xfId="1473" xr:uid="{00000000-0005-0000-0000-0000BA050000}"/>
    <cellStyle name="Currency 3 4" xfId="1474" xr:uid="{00000000-0005-0000-0000-0000BB050000}"/>
    <cellStyle name="Currency 3 5" xfId="44739" xr:uid="{CC156130-DE67-4D24-9D75-8A3BD4628B47}"/>
    <cellStyle name="Currency 4" xfId="44729" xr:uid="{00000000-0005-0000-0000-0000BC050000}"/>
    <cellStyle name="Currency 5" xfId="44738" xr:uid="{F4D948C0-ABCA-4918-A43A-778C544DC5EC}"/>
    <cellStyle name="Currency 6" xfId="1475" xr:uid="{00000000-0005-0000-0000-0000BD050000}"/>
    <cellStyle name="Currency 6 2" xfId="1476" xr:uid="{00000000-0005-0000-0000-0000BE050000}"/>
    <cellStyle name="Currency 6 2 2" xfId="1477" xr:uid="{00000000-0005-0000-0000-0000BF050000}"/>
    <cellStyle name="Currency 6 3" xfId="1478" xr:uid="{00000000-0005-0000-0000-0000C0050000}"/>
    <cellStyle name="Currency 7" xfId="44742" xr:uid="{DBBFD8BF-1B5D-47FE-AAE8-48D3E0EC20D7}"/>
    <cellStyle name="Currency 8" xfId="44747" xr:uid="{D264F8B0-BCF8-4D37-B4A7-886F8F7C1076}"/>
    <cellStyle name="Currency 8 2" xfId="44752" xr:uid="{2935A42A-2727-454D-9619-86A7BB407646}"/>
    <cellStyle name="Error Message" xfId="4" xr:uid="{00000000-0005-0000-0000-0000C1050000}"/>
    <cellStyle name="Error Message 2" xfId="44727" xr:uid="{00000000-0005-0000-0000-0000C2050000}"/>
    <cellStyle name="Good 2" xfId="44726" xr:uid="{00000000-0005-0000-0000-0000C3050000}"/>
    <cellStyle name="H4 - 18px" xfId="6" xr:uid="{00000000-0005-0000-0000-0000C4050000}"/>
    <cellStyle name="Hyperlink" xfId="44740" builtinId="8"/>
    <cellStyle name="Hyperlink 2" xfId="44734" xr:uid="{00000000-0005-0000-0000-0000C6050000}"/>
    <cellStyle name="Information" xfId="2" xr:uid="{00000000-0005-0000-0000-0000C7050000}"/>
    <cellStyle name="Information 2" xfId="44728" xr:uid="{00000000-0005-0000-0000-0000C8050000}"/>
    <cellStyle name="Normal" xfId="0" builtinId="0"/>
    <cellStyle name="Normal 10" xfId="44737" xr:uid="{ABA50E6A-D545-4E7A-B140-B049D9920BF5}"/>
    <cellStyle name="Normal 10 2" xfId="44744" xr:uid="{44E7A57D-40DA-4014-8E41-C27529BA6213}"/>
    <cellStyle name="Normal 10 3" xfId="44749" xr:uid="{7184949D-F44D-4C6B-9F0D-AF02A0555805}"/>
    <cellStyle name="Normal 11" xfId="44741" xr:uid="{8B84D643-A52C-4907-A23D-EBD67DDD1CAF}"/>
    <cellStyle name="Normal 11 2" xfId="44748" xr:uid="{B6E21E2D-DE9F-4FF7-9AF0-F8F18498D0EF}"/>
    <cellStyle name="Normal 12" xfId="44745" xr:uid="{0E1ACD58-B0B7-462B-8E65-472B5B99DEB1}"/>
    <cellStyle name="Normal 12 2" xfId="44750" xr:uid="{A0746DB8-49D8-4FFF-9872-E180C225BD7E}"/>
    <cellStyle name="Normal 2" xfId="14" xr:uid="{00000000-0005-0000-0000-0000CA050000}"/>
    <cellStyle name="Normal 2 10" xfId="1479" xr:uid="{00000000-0005-0000-0000-0000CB050000}"/>
    <cellStyle name="Normal 2 10 2" xfId="1480" xr:uid="{00000000-0005-0000-0000-0000CC050000}"/>
    <cellStyle name="Normal 2 10 2 2" xfId="1481" xr:uid="{00000000-0005-0000-0000-0000CD050000}"/>
    <cellStyle name="Normal 2 10 2 2 2" xfId="1482" xr:uid="{00000000-0005-0000-0000-0000CE050000}"/>
    <cellStyle name="Normal 2 10 2 2 2 2" xfId="1483" xr:uid="{00000000-0005-0000-0000-0000CF050000}"/>
    <cellStyle name="Normal 2 10 2 2 3" xfId="1484" xr:uid="{00000000-0005-0000-0000-0000D0050000}"/>
    <cellStyle name="Normal 2 10 2 2 3 2" xfId="1485" xr:uid="{00000000-0005-0000-0000-0000D1050000}"/>
    <cellStyle name="Normal 2 10 2 2 4" xfId="1486" xr:uid="{00000000-0005-0000-0000-0000D2050000}"/>
    <cellStyle name="Normal 2 10 2 3" xfId="1487" xr:uid="{00000000-0005-0000-0000-0000D3050000}"/>
    <cellStyle name="Normal 2 10 2 3 2" xfId="1488" xr:uid="{00000000-0005-0000-0000-0000D4050000}"/>
    <cellStyle name="Normal 2 10 2 4" xfId="1489" xr:uid="{00000000-0005-0000-0000-0000D5050000}"/>
    <cellStyle name="Normal 2 10 2 4 2" xfId="1490" xr:uid="{00000000-0005-0000-0000-0000D6050000}"/>
    <cellStyle name="Normal 2 10 2 5" xfId="1491" xr:uid="{00000000-0005-0000-0000-0000D7050000}"/>
    <cellStyle name="Normal 2 10 3" xfId="1492" xr:uid="{00000000-0005-0000-0000-0000D8050000}"/>
    <cellStyle name="Normal 2 10 3 2" xfId="1493" xr:uid="{00000000-0005-0000-0000-0000D9050000}"/>
    <cellStyle name="Normal 2 10 3 2 2" xfId="1494" xr:uid="{00000000-0005-0000-0000-0000DA050000}"/>
    <cellStyle name="Normal 2 10 3 2 2 2" xfId="1495" xr:uid="{00000000-0005-0000-0000-0000DB050000}"/>
    <cellStyle name="Normal 2 10 3 2 3" xfId="1496" xr:uid="{00000000-0005-0000-0000-0000DC050000}"/>
    <cellStyle name="Normal 2 10 3 2 3 2" xfId="1497" xr:uid="{00000000-0005-0000-0000-0000DD050000}"/>
    <cellStyle name="Normal 2 10 3 2 4" xfId="1498" xr:uid="{00000000-0005-0000-0000-0000DE050000}"/>
    <cellStyle name="Normal 2 10 3 3" xfId="1499" xr:uid="{00000000-0005-0000-0000-0000DF050000}"/>
    <cellStyle name="Normal 2 10 3 3 2" xfId="1500" xr:uid="{00000000-0005-0000-0000-0000E0050000}"/>
    <cellStyle name="Normal 2 10 3 4" xfId="1501" xr:uid="{00000000-0005-0000-0000-0000E1050000}"/>
    <cellStyle name="Normal 2 10 3 4 2" xfId="1502" xr:uid="{00000000-0005-0000-0000-0000E2050000}"/>
    <cellStyle name="Normal 2 10 3 5" xfId="1503" xr:uid="{00000000-0005-0000-0000-0000E3050000}"/>
    <cellStyle name="Normal 2 10 4" xfId="1504" xr:uid="{00000000-0005-0000-0000-0000E4050000}"/>
    <cellStyle name="Normal 2 10 4 2" xfId="1505" xr:uid="{00000000-0005-0000-0000-0000E5050000}"/>
    <cellStyle name="Normal 2 10 4 2 2" xfId="1506" xr:uid="{00000000-0005-0000-0000-0000E6050000}"/>
    <cellStyle name="Normal 2 10 4 3" xfId="1507" xr:uid="{00000000-0005-0000-0000-0000E7050000}"/>
    <cellStyle name="Normal 2 10 4 3 2" xfId="1508" xr:uid="{00000000-0005-0000-0000-0000E8050000}"/>
    <cellStyle name="Normal 2 10 4 4" xfId="1509" xr:uid="{00000000-0005-0000-0000-0000E9050000}"/>
    <cellStyle name="Normal 2 10 5" xfId="1510" xr:uid="{00000000-0005-0000-0000-0000EA050000}"/>
    <cellStyle name="Normal 2 10 5 2" xfId="1511" xr:uid="{00000000-0005-0000-0000-0000EB050000}"/>
    <cellStyle name="Normal 2 10 6" xfId="1512" xr:uid="{00000000-0005-0000-0000-0000EC050000}"/>
    <cellStyle name="Normal 2 10 6 2" xfId="1513" xr:uid="{00000000-0005-0000-0000-0000ED050000}"/>
    <cellStyle name="Normal 2 10 7" xfId="1514" xr:uid="{00000000-0005-0000-0000-0000EE050000}"/>
    <cellStyle name="Normal 2 11" xfId="1515" xr:uid="{00000000-0005-0000-0000-0000EF050000}"/>
    <cellStyle name="Normal 2 11 2" xfId="1516" xr:uid="{00000000-0005-0000-0000-0000F0050000}"/>
    <cellStyle name="Normal 2 11 2 2" xfId="1517" xr:uid="{00000000-0005-0000-0000-0000F1050000}"/>
    <cellStyle name="Normal 2 11 2 2 2" xfId="1518" xr:uid="{00000000-0005-0000-0000-0000F2050000}"/>
    <cellStyle name="Normal 2 11 2 2 2 2" xfId="1519" xr:uid="{00000000-0005-0000-0000-0000F3050000}"/>
    <cellStyle name="Normal 2 11 2 2 3" xfId="1520" xr:uid="{00000000-0005-0000-0000-0000F4050000}"/>
    <cellStyle name="Normal 2 11 2 2 3 2" xfId="1521" xr:uid="{00000000-0005-0000-0000-0000F5050000}"/>
    <cellStyle name="Normal 2 11 2 2 4" xfId="1522" xr:uid="{00000000-0005-0000-0000-0000F6050000}"/>
    <cellStyle name="Normal 2 11 2 3" xfId="1523" xr:uid="{00000000-0005-0000-0000-0000F7050000}"/>
    <cellStyle name="Normal 2 11 2 3 2" xfId="1524" xr:uid="{00000000-0005-0000-0000-0000F8050000}"/>
    <cellStyle name="Normal 2 11 2 4" xfId="1525" xr:uid="{00000000-0005-0000-0000-0000F9050000}"/>
    <cellStyle name="Normal 2 11 2 4 2" xfId="1526" xr:uid="{00000000-0005-0000-0000-0000FA050000}"/>
    <cellStyle name="Normal 2 11 2 5" xfId="1527" xr:uid="{00000000-0005-0000-0000-0000FB050000}"/>
    <cellStyle name="Normal 2 11 3" xfId="1528" xr:uid="{00000000-0005-0000-0000-0000FC050000}"/>
    <cellStyle name="Normal 2 11 3 2" xfId="1529" xr:uid="{00000000-0005-0000-0000-0000FD050000}"/>
    <cellStyle name="Normal 2 11 3 2 2" xfId="1530" xr:uid="{00000000-0005-0000-0000-0000FE050000}"/>
    <cellStyle name="Normal 2 11 3 2 2 2" xfId="1531" xr:uid="{00000000-0005-0000-0000-0000FF050000}"/>
    <cellStyle name="Normal 2 11 3 2 3" xfId="1532" xr:uid="{00000000-0005-0000-0000-000000060000}"/>
    <cellStyle name="Normal 2 11 3 2 3 2" xfId="1533" xr:uid="{00000000-0005-0000-0000-000001060000}"/>
    <cellStyle name="Normal 2 11 3 2 4" xfId="1534" xr:uid="{00000000-0005-0000-0000-000002060000}"/>
    <cellStyle name="Normal 2 11 3 3" xfId="1535" xr:uid="{00000000-0005-0000-0000-000003060000}"/>
    <cellStyle name="Normal 2 11 3 3 2" xfId="1536" xr:uid="{00000000-0005-0000-0000-000004060000}"/>
    <cellStyle name="Normal 2 11 3 4" xfId="1537" xr:uid="{00000000-0005-0000-0000-000005060000}"/>
    <cellStyle name="Normal 2 11 3 4 2" xfId="1538" xr:uid="{00000000-0005-0000-0000-000006060000}"/>
    <cellStyle name="Normal 2 11 3 5" xfId="1539" xr:uid="{00000000-0005-0000-0000-000007060000}"/>
    <cellStyle name="Normal 2 11 4" xfId="1540" xr:uid="{00000000-0005-0000-0000-000008060000}"/>
    <cellStyle name="Normal 2 11 4 2" xfId="1541" xr:uid="{00000000-0005-0000-0000-000009060000}"/>
    <cellStyle name="Normal 2 11 4 2 2" xfId="1542" xr:uid="{00000000-0005-0000-0000-00000A060000}"/>
    <cellStyle name="Normal 2 11 4 3" xfId="1543" xr:uid="{00000000-0005-0000-0000-00000B060000}"/>
    <cellStyle name="Normal 2 11 4 3 2" xfId="1544" xr:uid="{00000000-0005-0000-0000-00000C060000}"/>
    <cellStyle name="Normal 2 11 4 4" xfId="1545" xr:uid="{00000000-0005-0000-0000-00000D060000}"/>
    <cellStyle name="Normal 2 11 5" xfId="1546" xr:uid="{00000000-0005-0000-0000-00000E060000}"/>
    <cellStyle name="Normal 2 11 5 2" xfId="1547" xr:uid="{00000000-0005-0000-0000-00000F060000}"/>
    <cellStyle name="Normal 2 11 6" xfId="1548" xr:uid="{00000000-0005-0000-0000-000010060000}"/>
    <cellStyle name="Normal 2 11 6 2" xfId="1549" xr:uid="{00000000-0005-0000-0000-000011060000}"/>
    <cellStyle name="Normal 2 11 7" xfId="1550" xr:uid="{00000000-0005-0000-0000-000012060000}"/>
    <cellStyle name="Normal 2 12" xfId="1551" xr:uid="{00000000-0005-0000-0000-000013060000}"/>
    <cellStyle name="Normal 2 12 2" xfId="1552" xr:uid="{00000000-0005-0000-0000-000014060000}"/>
    <cellStyle name="Normal 2 12 2 2" xfId="1553" xr:uid="{00000000-0005-0000-0000-000015060000}"/>
    <cellStyle name="Normal 2 12 2 2 2" xfId="1554" xr:uid="{00000000-0005-0000-0000-000016060000}"/>
    <cellStyle name="Normal 2 12 2 2 2 2" xfId="1555" xr:uid="{00000000-0005-0000-0000-000017060000}"/>
    <cellStyle name="Normal 2 12 2 2 3" xfId="1556" xr:uid="{00000000-0005-0000-0000-000018060000}"/>
    <cellStyle name="Normal 2 12 2 2 3 2" xfId="1557" xr:uid="{00000000-0005-0000-0000-000019060000}"/>
    <cellStyle name="Normal 2 12 2 2 4" xfId="1558" xr:uid="{00000000-0005-0000-0000-00001A060000}"/>
    <cellStyle name="Normal 2 12 2 3" xfId="1559" xr:uid="{00000000-0005-0000-0000-00001B060000}"/>
    <cellStyle name="Normal 2 12 2 3 2" xfId="1560" xr:uid="{00000000-0005-0000-0000-00001C060000}"/>
    <cellStyle name="Normal 2 12 2 4" xfId="1561" xr:uid="{00000000-0005-0000-0000-00001D060000}"/>
    <cellStyle name="Normal 2 12 2 4 2" xfId="1562" xr:uid="{00000000-0005-0000-0000-00001E060000}"/>
    <cellStyle name="Normal 2 12 2 5" xfId="1563" xr:uid="{00000000-0005-0000-0000-00001F060000}"/>
    <cellStyle name="Normal 2 12 3" xfId="1564" xr:uid="{00000000-0005-0000-0000-000020060000}"/>
    <cellStyle name="Normal 2 12 3 2" xfId="1565" xr:uid="{00000000-0005-0000-0000-000021060000}"/>
    <cellStyle name="Normal 2 12 3 2 2" xfId="1566" xr:uid="{00000000-0005-0000-0000-000022060000}"/>
    <cellStyle name="Normal 2 12 3 2 2 2" xfId="1567" xr:uid="{00000000-0005-0000-0000-000023060000}"/>
    <cellStyle name="Normal 2 12 3 2 3" xfId="1568" xr:uid="{00000000-0005-0000-0000-000024060000}"/>
    <cellStyle name="Normal 2 12 3 2 3 2" xfId="1569" xr:uid="{00000000-0005-0000-0000-000025060000}"/>
    <cellStyle name="Normal 2 12 3 2 4" xfId="1570" xr:uid="{00000000-0005-0000-0000-000026060000}"/>
    <cellStyle name="Normal 2 12 3 3" xfId="1571" xr:uid="{00000000-0005-0000-0000-000027060000}"/>
    <cellStyle name="Normal 2 12 3 3 2" xfId="1572" xr:uid="{00000000-0005-0000-0000-000028060000}"/>
    <cellStyle name="Normal 2 12 3 4" xfId="1573" xr:uid="{00000000-0005-0000-0000-000029060000}"/>
    <cellStyle name="Normal 2 12 3 4 2" xfId="1574" xr:uid="{00000000-0005-0000-0000-00002A060000}"/>
    <cellStyle name="Normal 2 12 3 5" xfId="1575" xr:uid="{00000000-0005-0000-0000-00002B060000}"/>
    <cellStyle name="Normal 2 12 4" xfId="1576" xr:uid="{00000000-0005-0000-0000-00002C060000}"/>
    <cellStyle name="Normal 2 12 4 2" xfId="1577" xr:uid="{00000000-0005-0000-0000-00002D060000}"/>
    <cellStyle name="Normal 2 12 4 2 2" xfId="1578" xr:uid="{00000000-0005-0000-0000-00002E060000}"/>
    <cellStyle name="Normal 2 12 4 3" xfId="1579" xr:uid="{00000000-0005-0000-0000-00002F060000}"/>
    <cellStyle name="Normal 2 12 4 3 2" xfId="1580" xr:uid="{00000000-0005-0000-0000-000030060000}"/>
    <cellStyle name="Normal 2 12 4 4" xfId="1581" xr:uid="{00000000-0005-0000-0000-000031060000}"/>
    <cellStyle name="Normal 2 12 5" xfId="1582" xr:uid="{00000000-0005-0000-0000-000032060000}"/>
    <cellStyle name="Normal 2 12 5 2" xfId="1583" xr:uid="{00000000-0005-0000-0000-000033060000}"/>
    <cellStyle name="Normal 2 12 6" xfId="1584" xr:uid="{00000000-0005-0000-0000-000034060000}"/>
    <cellStyle name="Normal 2 12 6 2" xfId="1585" xr:uid="{00000000-0005-0000-0000-000035060000}"/>
    <cellStyle name="Normal 2 12 7" xfId="1586" xr:uid="{00000000-0005-0000-0000-000036060000}"/>
    <cellStyle name="Normal 2 13" xfId="1587" xr:uid="{00000000-0005-0000-0000-000037060000}"/>
    <cellStyle name="Normal 2 13 2" xfId="1588" xr:uid="{00000000-0005-0000-0000-000038060000}"/>
    <cellStyle name="Normal 2 13 2 2" xfId="1589" xr:uid="{00000000-0005-0000-0000-000039060000}"/>
    <cellStyle name="Normal 2 13 2 2 2" xfId="1590" xr:uid="{00000000-0005-0000-0000-00003A060000}"/>
    <cellStyle name="Normal 2 13 2 2 2 2" xfId="1591" xr:uid="{00000000-0005-0000-0000-00003B060000}"/>
    <cellStyle name="Normal 2 13 2 2 3" xfId="1592" xr:uid="{00000000-0005-0000-0000-00003C060000}"/>
    <cellStyle name="Normal 2 13 2 2 3 2" xfId="1593" xr:uid="{00000000-0005-0000-0000-00003D060000}"/>
    <cellStyle name="Normal 2 13 2 2 4" xfId="1594" xr:uid="{00000000-0005-0000-0000-00003E060000}"/>
    <cellStyle name="Normal 2 13 2 3" xfId="1595" xr:uid="{00000000-0005-0000-0000-00003F060000}"/>
    <cellStyle name="Normal 2 13 2 3 2" xfId="1596" xr:uid="{00000000-0005-0000-0000-000040060000}"/>
    <cellStyle name="Normal 2 13 2 4" xfId="1597" xr:uid="{00000000-0005-0000-0000-000041060000}"/>
    <cellStyle name="Normal 2 13 2 4 2" xfId="1598" xr:uid="{00000000-0005-0000-0000-000042060000}"/>
    <cellStyle name="Normal 2 13 2 5" xfId="1599" xr:uid="{00000000-0005-0000-0000-000043060000}"/>
    <cellStyle name="Normal 2 13 3" xfId="1600" xr:uid="{00000000-0005-0000-0000-000044060000}"/>
    <cellStyle name="Normal 2 13 3 2" xfId="1601" xr:uid="{00000000-0005-0000-0000-000045060000}"/>
    <cellStyle name="Normal 2 13 3 2 2" xfId="1602" xr:uid="{00000000-0005-0000-0000-000046060000}"/>
    <cellStyle name="Normal 2 13 3 3" xfId="1603" xr:uid="{00000000-0005-0000-0000-000047060000}"/>
    <cellStyle name="Normal 2 13 3 3 2" xfId="1604" xr:uid="{00000000-0005-0000-0000-000048060000}"/>
    <cellStyle name="Normal 2 13 3 4" xfId="1605" xr:uid="{00000000-0005-0000-0000-000049060000}"/>
    <cellStyle name="Normal 2 13 4" xfId="1606" xr:uid="{00000000-0005-0000-0000-00004A060000}"/>
    <cellStyle name="Normal 2 13 4 2" xfId="1607" xr:uid="{00000000-0005-0000-0000-00004B060000}"/>
    <cellStyle name="Normal 2 13 5" xfId="1608" xr:uid="{00000000-0005-0000-0000-00004C060000}"/>
    <cellStyle name="Normal 2 13 5 2" xfId="1609" xr:uid="{00000000-0005-0000-0000-00004D060000}"/>
    <cellStyle name="Normal 2 13 6" xfId="1610" xr:uid="{00000000-0005-0000-0000-00004E060000}"/>
    <cellStyle name="Normal 2 14" xfId="1611" xr:uid="{00000000-0005-0000-0000-00004F060000}"/>
    <cellStyle name="Normal 2 14 2" xfId="1612" xr:uid="{00000000-0005-0000-0000-000050060000}"/>
    <cellStyle name="Normal 2 14 2 2" xfId="1613" xr:uid="{00000000-0005-0000-0000-000051060000}"/>
    <cellStyle name="Normal 2 14 2 2 2" xfId="1614" xr:uid="{00000000-0005-0000-0000-000052060000}"/>
    <cellStyle name="Normal 2 14 2 3" xfId="1615" xr:uid="{00000000-0005-0000-0000-000053060000}"/>
    <cellStyle name="Normal 2 14 2 3 2" xfId="1616" xr:uid="{00000000-0005-0000-0000-000054060000}"/>
    <cellStyle name="Normal 2 14 2 4" xfId="1617" xr:uid="{00000000-0005-0000-0000-000055060000}"/>
    <cellStyle name="Normal 2 14 3" xfId="1618" xr:uid="{00000000-0005-0000-0000-000056060000}"/>
    <cellStyle name="Normal 2 14 3 2" xfId="1619" xr:uid="{00000000-0005-0000-0000-000057060000}"/>
    <cellStyle name="Normal 2 14 4" xfId="1620" xr:uid="{00000000-0005-0000-0000-000058060000}"/>
    <cellStyle name="Normal 2 14 4 2" xfId="1621" xr:uid="{00000000-0005-0000-0000-000059060000}"/>
    <cellStyle name="Normal 2 14 5" xfId="1622" xr:uid="{00000000-0005-0000-0000-00005A060000}"/>
    <cellStyle name="Normal 2 15" xfId="1623" xr:uid="{00000000-0005-0000-0000-00005B060000}"/>
    <cellStyle name="Normal 2 15 2" xfId="1624" xr:uid="{00000000-0005-0000-0000-00005C060000}"/>
    <cellStyle name="Normal 2 15 2 2" xfId="1625" xr:uid="{00000000-0005-0000-0000-00005D060000}"/>
    <cellStyle name="Normal 2 15 2 2 2" xfId="1626" xr:uid="{00000000-0005-0000-0000-00005E060000}"/>
    <cellStyle name="Normal 2 15 2 3" xfId="1627" xr:uid="{00000000-0005-0000-0000-00005F060000}"/>
    <cellStyle name="Normal 2 15 2 3 2" xfId="1628" xr:uid="{00000000-0005-0000-0000-000060060000}"/>
    <cellStyle name="Normal 2 15 2 4" xfId="1629" xr:uid="{00000000-0005-0000-0000-000061060000}"/>
    <cellStyle name="Normal 2 15 3" xfId="1630" xr:uid="{00000000-0005-0000-0000-000062060000}"/>
    <cellStyle name="Normal 2 15 3 2" xfId="1631" xr:uid="{00000000-0005-0000-0000-000063060000}"/>
    <cellStyle name="Normal 2 15 4" xfId="1632" xr:uid="{00000000-0005-0000-0000-000064060000}"/>
    <cellStyle name="Normal 2 15 4 2" xfId="1633" xr:uid="{00000000-0005-0000-0000-000065060000}"/>
    <cellStyle name="Normal 2 15 5" xfId="1634" xr:uid="{00000000-0005-0000-0000-000066060000}"/>
    <cellStyle name="Normal 2 16" xfId="1635" xr:uid="{00000000-0005-0000-0000-000067060000}"/>
    <cellStyle name="Normal 2 16 2" xfId="1636" xr:uid="{00000000-0005-0000-0000-000068060000}"/>
    <cellStyle name="Normal 2 16 2 2" xfId="1637" xr:uid="{00000000-0005-0000-0000-000069060000}"/>
    <cellStyle name="Normal 2 16 3" xfId="1638" xr:uid="{00000000-0005-0000-0000-00006A060000}"/>
    <cellStyle name="Normal 2 16 3 2" xfId="1639" xr:uid="{00000000-0005-0000-0000-00006B060000}"/>
    <cellStyle name="Normal 2 16 4" xfId="1640" xr:uid="{00000000-0005-0000-0000-00006C060000}"/>
    <cellStyle name="Normal 2 17" xfId="1641" xr:uid="{00000000-0005-0000-0000-00006D060000}"/>
    <cellStyle name="Normal 2 17 2" xfId="1642" xr:uid="{00000000-0005-0000-0000-00006E060000}"/>
    <cellStyle name="Normal 2 18" xfId="1643" xr:uid="{00000000-0005-0000-0000-00006F060000}"/>
    <cellStyle name="Normal 2 18 2" xfId="1644" xr:uid="{00000000-0005-0000-0000-000070060000}"/>
    <cellStyle name="Normal 2 19" xfId="1645" xr:uid="{00000000-0005-0000-0000-000071060000}"/>
    <cellStyle name="Normal 2 2" xfId="16" xr:uid="{00000000-0005-0000-0000-000072060000}"/>
    <cellStyle name="Normal 2 2 2" xfId="44731" xr:uid="{00000000-0005-0000-0000-000073060000}"/>
    <cellStyle name="Normal 2 20" xfId="44723" xr:uid="{00000000-0005-0000-0000-000074060000}"/>
    <cellStyle name="Normal 2 21" xfId="44733" xr:uid="{00000000-0005-0000-0000-000075060000}"/>
    <cellStyle name="Normal 2 3" xfId="1646" xr:uid="{00000000-0005-0000-0000-000076060000}"/>
    <cellStyle name="Normal 2 3 10" xfId="1647" xr:uid="{00000000-0005-0000-0000-000077060000}"/>
    <cellStyle name="Normal 2 3 10 2" xfId="1648" xr:uid="{00000000-0005-0000-0000-000078060000}"/>
    <cellStyle name="Normal 2 3 10 2 2" xfId="1649" xr:uid="{00000000-0005-0000-0000-000079060000}"/>
    <cellStyle name="Normal 2 3 10 2 2 2" xfId="1650" xr:uid="{00000000-0005-0000-0000-00007A060000}"/>
    <cellStyle name="Normal 2 3 10 2 3" xfId="1651" xr:uid="{00000000-0005-0000-0000-00007B060000}"/>
    <cellStyle name="Normal 2 3 10 2 3 2" xfId="1652" xr:uid="{00000000-0005-0000-0000-00007C060000}"/>
    <cellStyle name="Normal 2 3 10 2 4" xfId="1653" xr:uid="{00000000-0005-0000-0000-00007D060000}"/>
    <cellStyle name="Normal 2 3 10 3" xfId="1654" xr:uid="{00000000-0005-0000-0000-00007E060000}"/>
    <cellStyle name="Normal 2 3 10 3 2" xfId="1655" xr:uid="{00000000-0005-0000-0000-00007F060000}"/>
    <cellStyle name="Normal 2 3 10 4" xfId="1656" xr:uid="{00000000-0005-0000-0000-000080060000}"/>
    <cellStyle name="Normal 2 3 10 4 2" xfId="1657" xr:uid="{00000000-0005-0000-0000-000081060000}"/>
    <cellStyle name="Normal 2 3 10 5" xfId="1658" xr:uid="{00000000-0005-0000-0000-000082060000}"/>
    <cellStyle name="Normal 2 3 11" xfId="1659" xr:uid="{00000000-0005-0000-0000-000083060000}"/>
    <cellStyle name="Normal 2 3 11 2" xfId="1660" xr:uid="{00000000-0005-0000-0000-000084060000}"/>
    <cellStyle name="Normal 2 3 11 2 2" xfId="1661" xr:uid="{00000000-0005-0000-0000-000085060000}"/>
    <cellStyle name="Normal 2 3 11 2 2 2" xfId="1662" xr:uid="{00000000-0005-0000-0000-000086060000}"/>
    <cellStyle name="Normal 2 3 11 2 3" xfId="1663" xr:uid="{00000000-0005-0000-0000-000087060000}"/>
    <cellStyle name="Normal 2 3 11 2 3 2" xfId="1664" xr:uid="{00000000-0005-0000-0000-000088060000}"/>
    <cellStyle name="Normal 2 3 11 2 4" xfId="1665" xr:uid="{00000000-0005-0000-0000-000089060000}"/>
    <cellStyle name="Normal 2 3 11 3" xfId="1666" xr:uid="{00000000-0005-0000-0000-00008A060000}"/>
    <cellStyle name="Normal 2 3 11 3 2" xfId="1667" xr:uid="{00000000-0005-0000-0000-00008B060000}"/>
    <cellStyle name="Normal 2 3 11 4" xfId="1668" xr:uid="{00000000-0005-0000-0000-00008C060000}"/>
    <cellStyle name="Normal 2 3 11 4 2" xfId="1669" xr:uid="{00000000-0005-0000-0000-00008D060000}"/>
    <cellStyle name="Normal 2 3 11 5" xfId="1670" xr:uid="{00000000-0005-0000-0000-00008E060000}"/>
    <cellStyle name="Normal 2 3 12" xfId="1671" xr:uid="{00000000-0005-0000-0000-00008F060000}"/>
    <cellStyle name="Normal 2 3 12 2" xfId="1672" xr:uid="{00000000-0005-0000-0000-000090060000}"/>
    <cellStyle name="Normal 2 3 12 2 2" xfId="1673" xr:uid="{00000000-0005-0000-0000-000091060000}"/>
    <cellStyle name="Normal 2 3 12 3" xfId="1674" xr:uid="{00000000-0005-0000-0000-000092060000}"/>
    <cellStyle name="Normal 2 3 12 3 2" xfId="1675" xr:uid="{00000000-0005-0000-0000-000093060000}"/>
    <cellStyle name="Normal 2 3 12 4" xfId="1676" xr:uid="{00000000-0005-0000-0000-000094060000}"/>
    <cellStyle name="Normal 2 3 13" xfId="1677" xr:uid="{00000000-0005-0000-0000-000095060000}"/>
    <cellStyle name="Normal 2 3 13 2" xfId="1678" xr:uid="{00000000-0005-0000-0000-000096060000}"/>
    <cellStyle name="Normal 2 3 14" xfId="1679" xr:uid="{00000000-0005-0000-0000-000097060000}"/>
    <cellStyle name="Normal 2 3 14 2" xfId="1680" xr:uid="{00000000-0005-0000-0000-000098060000}"/>
    <cellStyle name="Normal 2 3 15" xfId="1681" xr:uid="{00000000-0005-0000-0000-000099060000}"/>
    <cellStyle name="Normal 2 3 2" xfId="1682" xr:uid="{00000000-0005-0000-0000-00009A060000}"/>
    <cellStyle name="Normal 2 3 2 10" xfId="1683" xr:uid="{00000000-0005-0000-0000-00009B060000}"/>
    <cellStyle name="Normal 2 3 2 10 2" xfId="1684" xr:uid="{00000000-0005-0000-0000-00009C060000}"/>
    <cellStyle name="Normal 2 3 2 10 2 2" xfId="1685" xr:uid="{00000000-0005-0000-0000-00009D060000}"/>
    <cellStyle name="Normal 2 3 2 10 2 2 2" xfId="1686" xr:uid="{00000000-0005-0000-0000-00009E060000}"/>
    <cellStyle name="Normal 2 3 2 10 2 3" xfId="1687" xr:uid="{00000000-0005-0000-0000-00009F060000}"/>
    <cellStyle name="Normal 2 3 2 10 2 3 2" xfId="1688" xr:uid="{00000000-0005-0000-0000-0000A0060000}"/>
    <cellStyle name="Normal 2 3 2 10 2 4" xfId="1689" xr:uid="{00000000-0005-0000-0000-0000A1060000}"/>
    <cellStyle name="Normal 2 3 2 10 3" xfId="1690" xr:uid="{00000000-0005-0000-0000-0000A2060000}"/>
    <cellStyle name="Normal 2 3 2 10 3 2" xfId="1691" xr:uid="{00000000-0005-0000-0000-0000A3060000}"/>
    <cellStyle name="Normal 2 3 2 10 4" xfId="1692" xr:uid="{00000000-0005-0000-0000-0000A4060000}"/>
    <cellStyle name="Normal 2 3 2 10 4 2" xfId="1693" xr:uid="{00000000-0005-0000-0000-0000A5060000}"/>
    <cellStyle name="Normal 2 3 2 10 5" xfId="1694" xr:uid="{00000000-0005-0000-0000-0000A6060000}"/>
    <cellStyle name="Normal 2 3 2 11" xfId="1695" xr:uid="{00000000-0005-0000-0000-0000A7060000}"/>
    <cellStyle name="Normal 2 3 2 11 2" xfId="1696" xr:uid="{00000000-0005-0000-0000-0000A8060000}"/>
    <cellStyle name="Normal 2 3 2 11 2 2" xfId="1697" xr:uid="{00000000-0005-0000-0000-0000A9060000}"/>
    <cellStyle name="Normal 2 3 2 11 3" xfId="1698" xr:uid="{00000000-0005-0000-0000-0000AA060000}"/>
    <cellStyle name="Normal 2 3 2 11 3 2" xfId="1699" xr:uid="{00000000-0005-0000-0000-0000AB060000}"/>
    <cellStyle name="Normal 2 3 2 11 4" xfId="1700" xr:uid="{00000000-0005-0000-0000-0000AC060000}"/>
    <cellStyle name="Normal 2 3 2 12" xfId="1701" xr:uid="{00000000-0005-0000-0000-0000AD060000}"/>
    <cellStyle name="Normal 2 3 2 12 2" xfId="1702" xr:uid="{00000000-0005-0000-0000-0000AE060000}"/>
    <cellStyle name="Normal 2 3 2 13" xfId="1703" xr:uid="{00000000-0005-0000-0000-0000AF060000}"/>
    <cellStyle name="Normal 2 3 2 13 2" xfId="1704" xr:uid="{00000000-0005-0000-0000-0000B0060000}"/>
    <cellStyle name="Normal 2 3 2 14" xfId="1705" xr:uid="{00000000-0005-0000-0000-0000B1060000}"/>
    <cellStyle name="Normal 2 3 2 2" xfId="1706" xr:uid="{00000000-0005-0000-0000-0000B2060000}"/>
    <cellStyle name="Normal 2 3 2 2 10" xfId="1707" xr:uid="{00000000-0005-0000-0000-0000B3060000}"/>
    <cellStyle name="Normal 2 3 2 2 10 2" xfId="1708" xr:uid="{00000000-0005-0000-0000-0000B4060000}"/>
    <cellStyle name="Normal 2 3 2 2 11" xfId="1709" xr:uid="{00000000-0005-0000-0000-0000B5060000}"/>
    <cellStyle name="Normal 2 3 2 2 11 2" xfId="1710" xr:uid="{00000000-0005-0000-0000-0000B6060000}"/>
    <cellStyle name="Normal 2 3 2 2 12" xfId="1711" xr:uid="{00000000-0005-0000-0000-0000B7060000}"/>
    <cellStyle name="Normal 2 3 2 2 2" xfId="1712" xr:uid="{00000000-0005-0000-0000-0000B8060000}"/>
    <cellStyle name="Normal 2 3 2 2 2 2" xfId="1713" xr:uid="{00000000-0005-0000-0000-0000B9060000}"/>
    <cellStyle name="Normal 2 3 2 2 2 2 2" xfId="1714" xr:uid="{00000000-0005-0000-0000-0000BA060000}"/>
    <cellStyle name="Normal 2 3 2 2 2 2 2 2" xfId="1715" xr:uid="{00000000-0005-0000-0000-0000BB060000}"/>
    <cellStyle name="Normal 2 3 2 2 2 2 2 2 2" xfId="1716" xr:uid="{00000000-0005-0000-0000-0000BC060000}"/>
    <cellStyle name="Normal 2 3 2 2 2 2 2 2 2 2" xfId="1717" xr:uid="{00000000-0005-0000-0000-0000BD060000}"/>
    <cellStyle name="Normal 2 3 2 2 2 2 2 2 3" xfId="1718" xr:uid="{00000000-0005-0000-0000-0000BE060000}"/>
    <cellStyle name="Normal 2 3 2 2 2 2 2 2 3 2" xfId="1719" xr:uid="{00000000-0005-0000-0000-0000BF060000}"/>
    <cellStyle name="Normal 2 3 2 2 2 2 2 2 4" xfId="1720" xr:uid="{00000000-0005-0000-0000-0000C0060000}"/>
    <cellStyle name="Normal 2 3 2 2 2 2 2 3" xfId="1721" xr:uid="{00000000-0005-0000-0000-0000C1060000}"/>
    <cellStyle name="Normal 2 3 2 2 2 2 2 3 2" xfId="1722" xr:uid="{00000000-0005-0000-0000-0000C2060000}"/>
    <cellStyle name="Normal 2 3 2 2 2 2 2 4" xfId="1723" xr:uid="{00000000-0005-0000-0000-0000C3060000}"/>
    <cellStyle name="Normal 2 3 2 2 2 2 2 4 2" xfId="1724" xr:uid="{00000000-0005-0000-0000-0000C4060000}"/>
    <cellStyle name="Normal 2 3 2 2 2 2 2 5" xfId="1725" xr:uid="{00000000-0005-0000-0000-0000C5060000}"/>
    <cellStyle name="Normal 2 3 2 2 2 2 3" xfId="1726" xr:uid="{00000000-0005-0000-0000-0000C6060000}"/>
    <cellStyle name="Normal 2 3 2 2 2 2 3 2" xfId="1727" xr:uid="{00000000-0005-0000-0000-0000C7060000}"/>
    <cellStyle name="Normal 2 3 2 2 2 2 3 2 2" xfId="1728" xr:uid="{00000000-0005-0000-0000-0000C8060000}"/>
    <cellStyle name="Normal 2 3 2 2 2 2 3 2 2 2" xfId="1729" xr:uid="{00000000-0005-0000-0000-0000C9060000}"/>
    <cellStyle name="Normal 2 3 2 2 2 2 3 2 3" xfId="1730" xr:uid="{00000000-0005-0000-0000-0000CA060000}"/>
    <cellStyle name="Normal 2 3 2 2 2 2 3 2 3 2" xfId="1731" xr:uid="{00000000-0005-0000-0000-0000CB060000}"/>
    <cellStyle name="Normal 2 3 2 2 2 2 3 2 4" xfId="1732" xr:uid="{00000000-0005-0000-0000-0000CC060000}"/>
    <cellStyle name="Normal 2 3 2 2 2 2 3 3" xfId="1733" xr:uid="{00000000-0005-0000-0000-0000CD060000}"/>
    <cellStyle name="Normal 2 3 2 2 2 2 3 3 2" xfId="1734" xr:uid="{00000000-0005-0000-0000-0000CE060000}"/>
    <cellStyle name="Normal 2 3 2 2 2 2 3 4" xfId="1735" xr:uid="{00000000-0005-0000-0000-0000CF060000}"/>
    <cellStyle name="Normal 2 3 2 2 2 2 3 4 2" xfId="1736" xr:uid="{00000000-0005-0000-0000-0000D0060000}"/>
    <cellStyle name="Normal 2 3 2 2 2 2 3 5" xfId="1737" xr:uid="{00000000-0005-0000-0000-0000D1060000}"/>
    <cellStyle name="Normal 2 3 2 2 2 2 4" xfId="1738" xr:uid="{00000000-0005-0000-0000-0000D2060000}"/>
    <cellStyle name="Normal 2 3 2 2 2 2 4 2" xfId="1739" xr:uid="{00000000-0005-0000-0000-0000D3060000}"/>
    <cellStyle name="Normal 2 3 2 2 2 2 4 2 2" xfId="1740" xr:uid="{00000000-0005-0000-0000-0000D4060000}"/>
    <cellStyle name="Normal 2 3 2 2 2 2 4 3" xfId="1741" xr:uid="{00000000-0005-0000-0000-0000D5060000}"/>
    <cellStyle name="Normal 2 3 2 2 2 2 4 3 2" xfId="1742" xr:uid="{00000000-0005-0000-0000-0000D6060000}"/>
    <cellStyle name="Normal 2 3 2 2 2 2 4 4" xfId="1743" xr:uid="{00000000-0005-0000-0000-0000D7060000}"/>
    <cellStyle name="Normal 2 3 2 2 2 2 5" xfId="1744" xr:uid="{00000000-0005-0000-0000-0000D8060000}"/>
    <cellStyle name="Normal 2 3 2 2 2 2 5 2" xfId="1745" xr:uid="{00000000-0005-0000-0000-0000D9060000}"/>
    <cellStyle name="Normal 2 3 2 2 2 2 6" xfId="1746" xr:uid="{00000000-0005-0000-0000-0000DA060000}"/>
    <cellStyle name="Normal 2 3 2 2 2 2 6 2" xfId="1747" xr:uid="{00000000-0005-0000-0000-0000DB060000}"/>
    <cellStyle name="Normal 2 3 2 2 2 2 7" xfId="1748" xr:uid="{00000000-0005-0000-0000-0000DC060000}"/>
    <cellStyle name="Normal 2 3 2 2 2 3" xfId="1749" xr:uid="{00000000-0005-0000-0000-0000DD060000}"/>
    <cellStyle name="Normal 2 3 2 2 2 3 2" xfId="1750" xr:uid="{00000000-0005-0000-0000-0000DE060000}"/>
    <cellStyle name="Normal 2 3 2 2 2 3 2 2" xfId="1751" xr:uid="{00000000-0005-0000-0000-0000DF060000}"/>
    <cellStyle name="Normal 2 3 2 2 2 3 2 2 2" xfId="1752" xr:uid="{00000000-0005-0000-0000-0000E0060000}"/>
    <cellStyle name="Normal 2 3 2 2 2 3 2 3" xfId="1753" xr:uid="{00000000-0005-0000-0000-0000E1060000}"/>
    <cellStyle name="Normal 2 3 2 2 2 3 2 3 2" xfId="1754" xr:uid="{00000000-0005-0000-0000-0000E2060000}"/>
    <cellStyle name="Normal 2 3 2 2 2 3 2 4" xfId="1755" xr:uid="{00000000-0005-0000-0000-0000E3060000}"/>
    <cellStyle name="Normal 2 3 2 2 2 3 3" xfId="1756" xr:uid="{00000000-0005-0000-0000-0000E4060000}"/>
    <cellStyle name="Normal 2 3 2 2 2 3 3 2" xfId="1757" xr:uid="{00000000-0005-0000-0000-0000E5060000}"/>
    <cellStyle name="Normal 2 3 2 2 2 3 4" xfId="1758" xr:uid="{00000000-0005-0000-0000-0000E6060000}"/>
    <cellStyle name="Normal 2 3 2 2 2 3 4 2" xfId="1759" xr:uid="{00000000-0005-0000-0000-0000E7060000}"/>
    <cellStyle name="Normal 2 3 2 2 2 3 5" xfId="1760" xr:uid="{00000000-0005-0000-0000-0000E8060000}"/>
    <cellStyle name="Normal 2 3 2 2 2 4" xfId="1761" xr:uid="{00000000-0005-0000-0000-0000E9060000}"/>
    <cellStyle name="Normal 2 3 2 2 2 4 2" xfId="1762" xr:uid="{00000000-0005-0000-0000-0000EA060000}"/>
    <cellStyle name="Normal 2 3 2 2 2 4 2 2" xfId="1763" xr:uid="{00000000-0005-0000-0000-0000EB060000}"/>
    <cellStyle name="Normal 2 3 2 2 2 4 2 2 2" xfId="1764" xr:uid="{00000000-0005-0000-0000-0000EC060000}"/>
    <cellStyle name="Normal 2 3 2 2 2 4 2 3" xfId="1765" xr:uid="{00000000-0005-0000-0000-0000ED060000}"/>
    <cellStyle name="Normal 2 3 2 2 2 4 2 3 2" xfId="1766" xr:uid="{00000000-0005-0000-0000-0000EE060000}"/>
    <cellStyle name="Normal 2 3 2 2 2 4 2 4" xfId="1767" xr:uid="{00000000-0005-0000-0000-0000EF060000}"/>
    <cellStyle name="Normal 2 3 2 2 2 4 3" xfId="1768" xr:uid="{00000000-0005-0000-0000-0000F0060000}"/>
    <cellStyle name="Normal 2 3 2 2 2 4 3 2" xfId="1769" xr:uid="{00000000-0005-0000-0000-0000F1060000}"/>
    <cellStyle name="Normal 2 3 2 2 2 4 4" xfId="1770" xr:uid="{00000000-0005-0000-0000-0000F2060000}"/>
    <cellStyle name="Normal 2 3 2 2 2 4 4 2" xfId="1771" xr:uid="{00000000-0005-0000-0000-0000F3060000}"/>
    <cellStyle name="Normal 2 3 2 2 2 4 5" xfId="1772" xr:uid="{00000000-0005-0000-0000-0000F4060000}"/>
    <cellStyle name="Normal 2 3 2 2 2 5" xfId="1773" xr:uid="{00000000-0005-0000-0000-0000F5060000}"/>
    <cellStyle name="Normal 2 3 2 2 2 5 2" xfId="1774" xr:uid="{00000000-0005-0000-0000-0000F6060000}"/>
    <cellStyle name="Normal 2 3 2 2 2 5 2 2" xfId="1775" xr:uid="{00000000-0005-0000-0000-0000F7060000}"/>
    <cellStyle name="Normal 2 3 2 2 2 5 3" xfId="1776" xr:uid="{00000000-0005-0000-0000-0000F8060000}"/>
    <cellStyle name="Normal 2 3 2 2 2 5 3 2" xfId="1777" xr:uid="{00000000-0005-0000-0000-0000F9060000}"/>
    <cellStyle name="Normal 2 3 2 2 2 5 4" xfId="1778" xr:uid="{00000000-0005-0000-0000-0000FA060000}"/>
    <cellStyle name="Normal 2 3 2 2 2 6" xfId="1779" xr:uid="{00000000-0005-0000-0000-0000FB060000}"/>
    <cellStyle name="Normal 2 3 2 2 2 6 2" xfId="1780" xr:uid="{00000000-0005-0000-0000-0000FC060000}"/>
    <cellStyle name="Normal 2 3 2 2 2 7" xfId="1781" xr:uid="{00000000-0005-0000-0000-0000FD060000}"/>
    <cellStyle name="Normal 2 3 2 2 2 7 2" xfId="1782" xr:uid="{00000000-0005-0000-0000-0000FE060000}"/>
    <cellStyle name="Normal 2 3 2 2 2 8" xfId="1783" xr:uid="{00000000-0005-0000-0000-0000FF060000}"/>
    <cellStyle name="Normal 2 3 2 2 3" xfId="1784" xr:uid="{00000000-0005-0000-0000-000000070000}"/>
    <cellStyle name="Normal 2 3 2 2 3 2" xfId="1785" xr:uid="{00000000-0005-0000-0000-000001070000}"/>
    <cellStyle name="Normal 2 3 2 2 3 2 2" xfId="1786" xr:uid="{00000000-0005-0000-0000-000002070000}"/>
    <cellStyle name="Normal 2 3 2 2 3 2 2 2" xfId="1787" xr:uid="{00000000-0005-0000-0000-000003070000}"/>
    <cellStyle name="Normal 2 3 2 2 3 2 2 2 2" xfId="1788" xr:uid="{00000000-0005-0000-0000-000004070000}"/>
    <cellStyle name="Normal 2 3 2 2 3 2 2 3" xfId="1789" xr:uid="{00000000-0005-0000-0000-000005070000}"/>
    <cellStyle name="Normal 2 3 2 2 3 2 2 3 2" xfId="1790" xr:uid="{00000000-0005-0000-0000-000006070000}"/>
    <cellStyle name="Normal 2 3 2 2 3 2 2 4" xfId="1791" xr:uid="{00000000-0005-0000-0000-000007070000}"/>
    <cellStyle name="Normal 2 3 2 2 3 2 3" xfId="1792" xr:uid="{00000000-0005-0000-0000-000008070000}"/>
    <cellStyle name="Normal 2 3 2 2 3 2 3 2" xfId="1793" xr:uid="{00000000-0005-0000-0000-000009070000}"/>
    <cellStyle name="Normal 2 3 2 2 3 2 4" xfId="1794" xr:uid="{00000000-0005-0000-0000-00000A070000}"/>
    <cellStyle name="Normal 2 3 2 2 3 2 4 2" xfId="1795" xr:uid="{00000000-0005-0000-0000-00000B070000}"/>
    <cellStyle name="Normal 2 3 2 2 3 2 5" xfId="1796" xr:uid="{00000000-0005-0000-0000-00000C070000}"/>
    <cellStyle name="Normal 2 3 2 2 3 3" xfId="1797" xr:uid="{00000000-0005-0000-0000-00000D070000}"/>
    <cellStyle name="Normal 2 3 2 2 3 3 2" xfId="1798" xr:uid="{00000000-0005-0000-0000-00000E070000}"/>
    <cellStyle name="Normal 2 3 2 2 3 3 2 2" xfId="1799" xr:uid="{00000000-0005-0000-0000-00000F070000}"/>
    <cellStyle name="Normal 2 3 2 2 3 3 2 2 2" xfId="1800" xr:uid="{00000000-0005-0000-0000-000010070000}"/>
    <cellStyle name="Normal 2 3 2 2 3 3 2 3" xfId="1801" xr:uid="{00000000-0005-0000-0000-000011070000}"/>
    <cellStyle name="Normal 2 3 2 2 3 3 2 3 2" xfId="1802" xr:uid="{00000000-0005-0000-0000-000012070000}"/>
    <cellStyle name="Normal 2 3 2 2 3 3 2 4" xfId="1803" xr:uid="{00000000-0005-0000-0000-000013070000}"/>
    <cellStyle name="Normal 2 3 2 2 3 3 3" xfId="1804" xr:uid="{00000000-0005-0000-0000-000014070000}"/>
    <cellStyle name="Normal 2 3 2 2 3 3 3 2" xfId="1805" xr:uid="{00000000-0005-0000-0000-000015070000}"/>
    <cellStyle name="Normal 2 3 2 2 3 3 4" xfId="1806" xr:uid="{00000000-0005-0000-0000-000016070000}"/>
    <cellStyle name="Normal 2 3 2 2 3 3 4 2" xfId="1807" xr:uid="{00000000-0005-0000-0000-000017070000}"/>
    <cellStyle name="Normal 2 3 2 2 3 3 5" xfId="1808" xr:uid="{00000000-0005-0000-0000-000018070000}"/>
    <cellStyle name="Normal 2 3 2 2 3 4" xfId="1809" xr:uid="{00000000-0005-0000-0000-000019070000}"/>
    <cellStyle name="Normal 2 3 2 2 3 4 2" xfId="1810" xr:uid="{00000000-0005-0000-0000-00001A070000}"/>
    <cellStyle name="Normal 2 3 2 2 3 4 2 2" xfId="1811" xr:uid="{00000000-0005-0000-0000-00001B070000}"/>
    <cellStyle name="Normal 2 3 2 2 3 4 3" xfId="1812" xr:uid="{00000000-0005-0000-0000-00001C070000}"/>
    <cellStyle name="Normal 2 3 2 2 3 4 3 2" xfId="1813" xr:uid="{00000000-0005-0000-0000-00001D070000}"/>
    <cellStyle name="Normal 2 3 2 2 3 4 4" xfId="1814" xr:uid="{00000000-0005-0000-0000-00001E070000}"/>
    <cellStyle name="Normal 2 3 2 2 3 5" xfId="1815" xr:uid="{00000000-0005-0000-0000-00001F070000}"/>
    <cellStyle name="Normal 2 3 2 2 3 5 2" xfId="1816" xr:uid="{00000000-0005-0000-0000-000020070000}"/>
    <cellStyle name="Normal 2 3 2 2 3 6" xfId="1817" xr:uid="{00000000-0005-0000-0000-000021070000}"/>
    <cellStyle name="Normal 2 3 2 2 3 6 2" xfId="1818" xr:uid="{00000000-0005-0000-0000-000022070000}"/>
    <cellStyle name="Normal 2 3 2 2 3 7" xfId="1819" xr:uid="{00000000-0005-0000-0000-000023070000}"/>
    <cellStyle name="Normal 2 3 2 2 4" xfId="1820" xr:uid="{00000000-0005-0000-0000-000024070000}"/>
    <cellStyle name="Normal 2 3 2 2 4 2" xfId="1821" xr:uid="{00000000-0005-0000-0000-000025070000}"/>
    <cellStyle name="Normal 2 3 2 2 4 2 2" xfId="1822" xr:uid="{00000000-0005-0000-0000-000026070000}"/>
    <cellStyle name="Normal 2 3 2 2 4 2 2 2" xfId="1823" xr:uid="{00000000-0005-0000-0000-000027070000}"/>
    <cellStyle name="Normal 2 3 2 2 4 2 2 2 2" xfId="1824" xr:uid="{00000000-0005-0000-0000-000028070000}"/>
    <cellStyle name="Normal 2 3 2 2 4 2 2 3" xfId="1825" xr:uid="{00000000-0005-0000-0000-000029070000}"/>
    <cellStyle name="Normal 2 3 2 2 4 2 2 3 2" xfId="1826" xr:uid="{00000000-0005-0000-0000-00002A070000}"/>
    <cellStyle name="Normal 2 3 2 2 4 2 2 4" xfId="1827" xr:uid="{00000000-0005-0000-0000-00002B070000}"/>
    <cellStyle name="Normal 2 3 2 2 4 2 3" xfId="1828" xr:uid="{00000000-0005-0000-0000-00002C070000}"/>
    <cellStyle name="Normal 2 3 2 2 4 2 3 2" xfId="1829" xr:uid="{00000000-0005-0000-0000-00002D070000}"/>
    <cellStyle name="Normal 2 3 2 2 4 2 4" xfId="1830" xr:uid="{00000000-0005-0000-0000-00002E070000}"/>
    <cellStyle name="Normal 2 3 2 2 4 2 4 2" xfId="1831" xr:uid="{00000000-0005-0000-0000-00002F070000}"/>
    <cellStyle name="Normal 2 3 2 2 4 2 5" xfId="1832" xr:uid="{00000000-0005-0000-0000-000030070000}"/>
    <cellStyle name="Normal 2 3 2 2 4 3" xfId="1833" xr:uid="{00000000-0005-0000-0000-000031070000}"/>
    <cellStyle name="Normal 2 3 2 2 4 3 2" xfId="1834" xr:uid="{00000000-0005-0000-0000-000032070000}"/>
    <cellStyle name="Normal 2 3 2 2 4 3 2 2" xfId="1835" xr:uid="{00000000-0005-0000-0000-000033070000}"/>
    <cellStyle name="Normal 2 3 2 2 4 3 2 2 2" xfId="1836" xr:uid="{00000000-0005-0000-0000-000034070000}"/>
    <cellStyle name="Normal 2 3 2 2 4 3 2 3" xfId="1837" xr:uid="{00000000-0005-0000-0000-000035070000}"/>
    <cellStyle name="Normal 2 3 2 2 4 3 2 3 2" xfId="1838" xr:uid="{00000000-0005-0000-0000-000036070000}"/>
    <cellStyle name="Normal 2 3 2 2 4 3 2 4" xfId="1839" xr:uid="{00000000-0005-0000-0000-000037070000}"/>
    <cellStyle name="Normal 2 3 2 2 4 3 3" xfId="1840" xr:uid="{00000000-0005-0000-0000-000038070000}"/>
    <cellStyle name="Normal 2 3 2 2 4 3 3 2" xfId="1841" xr:uid="{00000000-0005-0000-0000-000039070000}"/>
    <cellStyle name="Normal 2 3 2 2 4 3 4" xfId="1842" xr:uid="{00000000-0005-0000-0000-00003A070000}"/>
    <cellStyle name="Normal 2 3 2 2 4 3 4 2" xfId="1843" xr:uid="{00000000-0005-0000-0000-00003B070000}"/>
    <cellStyle name="Normal 2 3 2 2 4 3 5" xfId="1844" xr:uid="{00000000-0005-0000-0000-00003C070000}"/>
    <cellStyle name="Normal 2 3 2 2 4 4" xfId="1845" xr:uid="{00000000-0005-0000-0000-00003D070000}"/>
    <cellStyle name="Normal 2 3 2 2 4 4 2" xfId="1846" xr:uid="{00000000-0005-0000-0000-00003E070000}"/>
    <cellStyle name="Normal 2 3 2 2 4 4 2 2" xfId="1847" xr:uid="{00000000-0005-0000-0000-00003F070000}"/>
    <cellStyle name="Normal 2 3 2 2 4 4 3" xfId="1848" xr:uid="{00000000-0005-0000-0000-000040070000}"/>
    <cellStyle name="Normal 2 3 2 2 4 4 3 2" xfId="1849" xr:uid="{00000000-0005-0000-0000-000041070000}"/>
    <cellStyle name="Normal 2 3 2 2 4 4 4" xfId="1850" xr:uid="{00000000-0005-0000-0000-000042070000}"/>
    <cellStyle name="Normal 2 3 2 2 4 5" xfId="1851" xr:uid="{00000000-0005-0000-0000-000043070000}"/>
    <cellStyle name="Normal 2 3 2 2 4 5 2" xfId="1852" xr:uid="{00000000-0005-0000-0000-000044070000}"/>
    <cellStyle name="Normal 2 3 2 2 4 6" xfId="1853" xr:uid="{00000000-0005-0000-0000-000045070000}"/>
    <cellStyle name="Normal 2 3 2 2 4 6 2" xfId="1854" xr:uid="{00000000-0005-0000-0000-000046070000}"/>
    <cellStyle name="Normal 2 3 2 2 4 7" xfId="1855" xr:uid="{00000000-0005-0000-0000-000047070000}"/>
    <cellStyle name="Normal 2 3 2 2 5" xfId="1856" xr:uid="{00000000-0005-0000-0000-000048070000}"/>
    <cellStyle name="Normal 2 3 2 2 5 2" xfId="1857" xr:uid="{00000000-0005-0000-0000-000049070000}"/>
    <cellStyle name="Normal 2 3 2 2 5 2 2" xfId="1858" xr:uid="{00000000-0005-0000-0000-00004A070000}"/>
    <cellStyle name="Normal 2 3 2 2 5 2 2 2" xfId="1859" xr:uid="{00000000-0005-0000-0000-00004B070000}"/>
    <cellStyle name="Normal 2 3 2 2 5 2 2 2 2" xfId="1860" xr:uid="{00000000-0005-0000-0000-00004C070000}"/>
    <cellStyle name="Normal 2 3 2 2 5 2 2 3" xfId="1861" xr:uid="{00000000-0005-0000-0000-00004D070000}"/>
    <cellStyle name="Normal 2 3 2 2 5 2 2 3 2" xfId="1862" xr:uid="{00000000-0005-0000-0000-00004E070000}"/>
    <cellStyle name="Normal 2 3 2 2 5 2 2 4" xfId="1863" xr:uid="{00000000-0005-0000-0000-00004F070000}"/>
    <cellStyle name="Normal 2 3 2 2 5 2 3" xfId="1864" xr:uid="{00000000-0005-0000-0000-000050070000}"/>
    <cellStyle name="Normal 2 3 2 2 5 2 3 2" xfId="1865" xr:uid="{00000000-0005-0000-0000-000051070000}"/>
    <cellStyle name="Normal 2 3 2 2 5 2 4" xfId="1866" xr:uid="{00000000-0005-0000-0000-000052070000}"/>
    <cellStyle name="Normal 2 3 2 2 5 2 4 2" xfId="1867" xr:uid="{00000000-0005-0000-0000-000053070000}"/>
    <cellStyle name="Normal 2 3 2 2 5 2 5" xfId="1868" xr:uid="{00000000-0005-0000-0000-000054070000}"/>
    <cellStyle name="Normal 2 3 2 2 5 3" xfId="1869" xr:uid="{00000000-0005-0000-0000-000055070000}"/>
    <cellStyle name="Normal 2 3 2 2 5 3 2" xfId="1870" xr:uid="{00000000-0005-0000-0000-000056070000}"/>
    <cellStyle name="Normal 2 3 2 2 5 3 2 2" xfId="1871" xr:uid="{00000000-0005-0000-0000-000057070000}"/>
    <cellStyle name="Normal 2 3 2 2 5 3 2 2 2" xfId="1872" xr:uid="{00000000-0005-0000-0000-000058070000}"/>
    <cellStyle name="Normal 2 3 2 2 5 3 2 3" xfId="1873" xr:uid="{00000000-0005-0000-0000-000059070000}"/>
    <cellStyle name="Normal 2 3 2 2 5 3 2 3 2" xfId="1874" xr:uid="{00000000-0005-0000-0000-00005A070000}"/>
    <cellStyle name="Normal 2 3 2 2 5 3 2 4" xfId="1875" xr:uid="{00000000-0005-0000-0000-00005B070000}"/>
    <cellStyle name="Normal 2 3 2 2 5 3 3" xfId="1876" xr:uid="{00000000-0005-0000-0000-00005C070000}"/>
    <cellStyle name="Normal 2 3 2 2 5 3 3 2" xfId="1877" xr:uid="{00000000-0005-0000-0000-00005D070000}"/>
    <cellStyle name="Normal 2 3 2 2 5 3 4" xfId="1878" xr:uid="{00000000-0005-0000-0000-00005E070000}"/>
    <cellStyle name="Normal 2 3 2 2 5 3 4 2" xfId="1879" xr:uid="{00000000-0005-0000-0000-00005F070000}"/>
    <cellStyle name="Normal 2 3 2 2 5 3 5" xfId="1880" xr:uid="{00000000-0005-0000-0000-000060070000}"/>
    <cellStyle name="Normal 2 3 2 2 5 4" xfId="1881" xr:uid="{00000000-0005-0000-0000-000061070000}"/>
    <cellStyle name="Normal 2 3 2 2 5 4 2" xfId="1882" xr:uid="{00000000-0005-0000-0000-000062070000}"/>
    <cellStyle name="Normal 2 3 2 2 5 4 2 2" xfId="1883" xr:uid="{00000000-0005-0000-0000-000063070000}"/>
    <cellStyle name="Normal 2 3 2 2 5 4 3" xfId="1884" xr:uid="{00000000-0005-0000-0000-000064070000}"/>
    <cellStyle name="Normal 2 3 2 2 5 4 3 2" xfId="1885" xr:uid="{00000000-0005-0000-0000-000065070000}"/>
    <cellStyle name="Normal 2 3 2 2 5 4 4" xfId="1886" xr:uid="{00000000-0005-0000-0000-000066070000}"/>
    <cellStyle name="Normal 2 3 2 2 5 5" xfId="1887" xr:uid="{00000000-0005-0000-0000-000067070000}"/>
    <cellStyle name="Normal 2 3 2 2 5 5 2" xfId="1888" xr:uid="{00000000-0005-0000-0000-000068070000}"/>
    <cellStyle name="Normal 2 3 2 2 5 6" xfId="1889" xr:uid="{00000000-0005-0000-0000-000069070000}"/>
    <cellStyle name="Normal 2 3 2 2 5 6 2" xfId="1890" xr:uid="{00000000-0005-0000-0000-00006A070000}"/>
    <cellStyle name="Normal 2 3 2 2 5 7" xfId="1891" xr:uid="{00000000-0005-0000-0000-00006B070000}"/>
    <cellStyle name="Normal 2 3 2 2 6" xfId="1892" xr:uid="{00000000-0005-0000-0000-00006C070000}"/>
    <cellStyle name="Normal 2 3 2 2 6 2" xfId="1893" xr:uid="{00000000-0005-0000-0000-00006D070000}"/>
    <cellStyle name="Normal 2 3 2 2 6 2 2" xfId="1894" xr:uid="{00000000-0005-0000-0000-00006E070000}"/>
    <cellStyle name="Normal 2 3 2 2 6 2 2 2" xfId="1895" xr:uid="{00000000-0005-0000-0000-00006F070000}"/>
    <cellStyle name="Normal 2 3 2 2 6 2 2 2 2" xfId="1896" xr:uid="{00000000-0005-0000-0000-000070070000}"/>
    <cellStyle name="Normal 2 3 2 2 6 2 2 3" xfId="1897" xr:uid="{00000000-0005-0000-0000-000071070000}"/>
    <cellStyle name="Normal 2 3 2 2 6 2 2 3 2" xfId="1898" xr:uid="{00000000-0005-0000-0000-000072070000}"/>
    <cellStyle name="Normal 2 3 2 2 6 2 2 4" xfId="1899" xr:uid="{00000000-0005-0000-0000-000073070000}"/>
    <cellStyle name="Normal 2 3 2 2 6 2 3" xfId="1900" xr:uid="{00000000-0005-0000-0000-000074070000}"/>
    <cellStyle name="Normal 2 3 2 2 6 2 3 2" xfId="1901" xr:uid="{00000000-0005-0000-0000-000075070000}"/>
    <cellStyle name="Normal 2 3 2 2 6 2 4" xfId="1902" xr:uid="{00000000-0005-0000-0000-000076070000}"/>
    <cellStyle name="Normal 2 3 2 2 6 2 4 2" xfId="1903" xr:uid="{00000000-0005-0000-0000-000077070000}"/>
    <cellStyle name="Normal 2 3 2 2 6 2 5" xfId="1904" xr:uid="{00000000-0005-0000-0000-000078070000}"/>
    <cellStyle name="Normal 2 3 2 2 6 3" xfId="1905" xr:uid="{00000000-0005-0000-0000-000079070000}"/>
    <cellStyle name="Normal 2 3 2 2 6 3 2" xfId="1906" xr:uid="{00000000-0005-0000-0000-00007A070000}"/>
    <cellStyle name="Normal 2 3 2 2 6 3 2 2" xfId="1907" xr:uid="{00000000-0005-0000-0000-00007B070000}"/>
    <cellStyle name="Normal 2 3 2 2 6 3 2 2 2" xfId="1908" xr:uid="{00000000-0005-0000-0000-00007C070000}"/>
    <cellStyle name="Normal 2 3 2 2 6 3 2 3" xfId="1909" xr:uid="{00000000-0005-0000-0000-00007D070000}"/>
    <cellStyle name="Normal 2 3 2 2 6 3 2 3 2" xfId="1910" xr:uid="{00000000-0005-0000-0000-00007E070000}"/>
    <cellStyle name="Normal 2 3 2 2 6 3 2 4" xfId="1911" xr:uid="{00000000-0005-0000-0000-00007F070000}"/>
    <cellStyle name="Normal 2 3 2 2 6 3 3" xfId="1912" xr:uid="{00000000-0005-0000-0000-000080070000}"/>
    <cellStyle name="Normal 2 3 2 2 6 3 3 2" xfId="1913" xr:uid="{00000000-0005-0000-0000-000081070000}"/>
    <cellStyle name="Normal 2 3 2 2 6 3 4" xfId="1914" xr:uid="{00000000-0005-0000-0000-000082070000}"/>
    <cellStyle name="Normal 2 3 2 2 6 3 4 2" xfId="1915" xr:uid="{00000000-0005-0000-0000-000083070000}"/>
    <cellStyle name="Normal 2 3 2 2 6 3 5" xfId="1916" xr:uid="{00000000-0005-0000-0000-000084070000}"/>
    <cellStyle name="Normal 2 3 2 2 6 4" xfId="1917" xr:uid="{00000000-0005-0000-0000-000085070000}"/>
    <cellStyle name="Normal 2 3 2 2 6 4 2" xfId="1918" xr:uid="{00000000-0005-0000-0000-000086070000}"/>
    <cellStyle name="Normal 2 3 2 2 6 4 2 2" xfId="1919" xr:uid="{00000000-0005-0000-0000-000087070000}"/>
    <cellStyle name="Normal 2 3 2 2 6 4 3" xfId="1920" xr:uid="{00000000-0005-0000-0000-000088070000}"/>
    <cellStyle name="Normal 2 3 2 2 6 4 3 2" xfId="1921" xr:uid="{00000000-0005-0000-0000-000089070000}"/>
    <cellStyle name="Normal 2 3 2 2 6 4 4" xfId="1922" xr:uid="{00000000-0005-0000-0000-00008A070000}"/>
    <cellStyle name="Normal 2 3 2 2 6 5" xfId="1923" xr:uid="{00000000-0005-0000-0000-00008B070000}"/>
    <cellStyle name="Normal 2 3 2 2 6 5 2" xfId="1924" xr:uid="{00000000-0005-0000-0000-00008C070000}"/>
    <cellStyle name="Normal 2 3 2 2 6 6" xfId="1925" xr:uid="{00000000-0005-0000-0000-00008D070000}"/>
    <cellStyle name="Normal 2 3 2 2 6 6 2" xfId="1926" xr:uid="{00000000-0005-0000-0000-00008E070000}"/>
    <cellStyle name="Normal 2 3 2 2 6 7" xfId="1927" xr:uid="{00000000-0005-0000-0000-00008F070000}"/>
    <cellStyle name="Normal 2 3 2 2 7" xfId="1928" xr:uid="{00000000-0005-0000-0000-000090070000}"/>
    <cellStyle name="Normal 2 3 2 2 7 2" xfId="1929" xr:uid="{00000000-0005-0000-0000-000091070000}"/>
    <cellStyle name="Normal 2 3 2 2 7 2 2" xfId="1930" xr:uid="{00000000-0005-0000-0000-000092070000}"/>
    <cellStyle name="Normal 2 3 2 2 7 2 2 2" xfId="1931" xr:uid="{00000000-0005-0000-0000-000093070000}"/>
    <cellStyle name="Normal 2 3 2 2 7 2 3" xfId="1932" xr:uid="{00000000-0005-0000-0000-000094070000}"/>
    <cellStyle name="Normal 2 3 2 2 7 2 3 2" xfId="1933" xr:uid="{00000000-0005-0000-0000-000095070000}"/>
    <cellStyle name="Normal 2 3 2 2 7 2 4" xfId="1934" xr:uid="{00000000-0005-0000-0000-000096070000}"/>
    <cellStyle name="Normal 2 3 2 2 7 3" xfId="1935" xr:uid="{00000000-0005-0000-0000-000097070000}"/>
    <cellStyle name="Normal 2 3 2 2 7 3 2" xfId="1936" xr:uid="{00000000-0005-0000-0000-000098070000}"/>
    <cellStyle name="Normal 2 3 2 2 7 4" xfId="1937" xr:uid="{00000000-0005-0000-0000-000099070000}"/>
    <cellStyle name="Normal 2 3 2 2 7 4 2" xfId="1938" xr:uid="{00000000-0005-0000-0000-00009A070000}"/>
    <cellStyle name="Normal 2 3 2 2 7 5" xfId="1939" xr:uid="{00000000-0005-0000-0000-00009B070000}"/>
    <cellStyle name="Normal 2 3 2 2 8" xfId="1940" xr:uid="{00000000-0005-0000-0000-00009C070000}"/>
    <cellStyle name="Normal 2 3 2 2 8 2" xfId="1941" xr:uid="{00000000-0005-0000-0000-00009D070000}"/>
    <cellStyle name="Normal 2 3 2 2 8 2 2" xfId="1942" xr:uid="{00000000-0005-0000-0000-00009E070000}"/>
    <cellStyle name="Normal 2 3 2 2 8 2 2 2" xfId="1943" xr:uid="{00000000-0005-0000-0000-00009F070000}"/>
    <cellStyle name="Normal 2 3 2 2 8 2 3" xfId="1944" xr:uid="{00000000-0005-0000-0000-0000A0070000}"/>
    <cellStyle name="Normal 2 3 2 2 8 2 3 2" xfId="1945" xr:uid="{00000000-0005-0000-0000-0000A1070000}"/>
    <cellStyle name="Normal 2 3 2 2 8 2 4" xfId="1946" xr:uid="{00000000-0005-0000-0000-0000A2070000}"/>
    <cellStyle name="Normal 2 3 2 2 8 3" xfId="1947" xr:uid="{00000000-0005-0000-0000-0000A3070000}"/>
    <cellStyle name="Normal 2 3 2 2 8 3 2" xfId="1948" xr:uid="{00000000-0005-0000-0000-0000A4070000}"/>
    <cellStyle name="Normal 2 3 2 2 8 4" xfId="1949" xr:uid="{00000000-0005-0000-0000-0000A5070000}"/>
    <cellStyle name="Normal 2 3 2 2 8 4 2" xfId="1950" xr:uid="{00000000-0005-0000-0000-0000A6070000}"/>
    <cellStyle name="Normal 2 3 2 2 8 5" xfId="1951" xr:uid="{00000000-0005-0000-0000-0000A7070000}"/>
    <cellStyle name="Normal 2 3 2 2 9" xfId="1952" xr:uid="{00000000-0005-0000-0000-0000A8070000}"/>
    <cellStyle name="Normal 2 3 2 2 9 2" xfId="1953" xr:uid="{00000000-0005-0000-0000-0000A9070000}"/>
    <cellStyle name="Normal 2 3 2 2 9 2 2" xfId="1954" xr:uid="{00000000-0005-0000-0000-0000AA070000}"/>
    <cellStyle name="Normal 2 3 2 2 9 3" xfId="1955" xr:uid="{00000000-0005-0000-0000-0000AB070000}"/>
    <cellStyle name="Normal 2 3 2 2 9 3 2" xfId="1956" xr:uid="{00000000-0005-0000-0000-0000AC070000}"/>
    <cellStyle name="Normal 2 3 2 2 9 4" xfId="1957" xr:uid="{00000000-0005-0000-0000-0000AD070000}"/>
    <cellStyle name="Normal 2 3 2 3" xfId="1958" xr:uid="{00000000-0005-0000-0000-0000AE070000}"/>
    <cellStyle name="Normal 2 3 2 3 2" xfId="1959" xr:uid="{00000000-0005-0000-0000-0000AF070000}"/>
    <cellStyle name="Normal 2 3 2 3 2 2" xfId="1960" xr:uid="{00000000-0005-0000-0000-0000B0070000}"/>
    <cellStyle name="Normal 2 3 2 3 2 2 2" xfId="1961" xr:uid="{00000000-0005-0000-0000-0000B1070000}"/>
    <cellStyle name="Normal 2 3 2 3 2 2 2 2" xfId="1962" xr:uid="{00000000-0005-0000-0000-0000B2070000}"/>
    <cellStyle name="Normal 2 3 2 3 2 2 2 2 2" xfId="1963" xr:uid="{00000000-0005-0000-0000-0000B3070000}"/>
    <cellStyle name="Normal 2 3 2 3 2 2 2 3" xfId="1964" xr:uid="{00000000-0005-0000-0000-0000B4070000}"/>
    <cellStyle name="Normal 2 3 2 3 2 2 2 3 2" xfId="1965" xr:uid="{00000000-0005-0000-0000-0000B5070000}"/>
    <cellStyle name="Normal 2 3 2 3 2 2 2 4" xfId="1966" xr:uid="{00000000-0005-0000-0000-0000B6070000}"/>
    <cellStyle name="Normal 2 3 2 3 2 2 3" xfId="1967" xr:uid="{00000000-0005-0000-0000-0000B7070000}"/>
    <cellStyle name="Normal 2 3 2 3 2 2 3 2" xfId="1968" xr:uid="{00000000-0005-0000-0000-0000B8070000}"/>
    <cellStyle name="Normal 2 3 2 3 2 2 4" xfId="1969" xr:uid="{00000000-0005-0000-0000-0000B9070000}"/>
    <cellStyle name="Normal 2 3 2 3 2 2 4 2" xfId="1970" xr:uid="{00000000-0005-0000-0000-0000BA070000}"/>
    <cellStyle name="Normal 2 3 2 3 2 2 5" xfId="1971" xr:uid="{00000000-0005-0000-0000-0000BB070000}"/>
    <cellStyle name="Normal 2 3 2 3 2 3" xfId="1972" xr:uid="{00000000-0005-0000-0000-0000BC070000}"/>
    <cellStyle name="Normal 2 3 2 3 2 3 2" xfId="1973" xr:uid="{00000000-0005-0000-0000-0000BD070000}"/>
    <cellStyle name="Normal 2 3 2 3 2 3 2 2" xfId="1974" xr:uid="{00000000-0005-0000-0000-0000BE070000}"/>
    <cellStyle name="Normal 2 3 2 3 2 3 2 2 2" xfId="1975" xr:uid="{00000000-0005-0000-0000-0000BF070000}"/>
    <cellStyle name="Normal 2 3 2 3 2 3 2 3" xfId="1976" xr:uid="{00000000-0005-0000-0000-0000C0070000}"/>
    <cellStyle name="Normal 2 3 2 3 2 3 2 3 2" xfId="1977" xr:uid="{00000000-0005-0000-0000-0000C1070000}"/>
    <cellStyle name="Normal 2 3 2 3 2 3 2 4" xfId="1978" xr:uid="{00000000-0005-0000-0000-0000C2070000}"/>
    <cellStyle name="Normal 2 3 2 3 2 3 3" xfId="1979" xr:uid="{00000000-0005-0000-0000-0000C3070000}"/>
    <cellStyle name="Normal 2 3 2 3 2 3 3 2" xfId="1980" xr:uid="{00000000-0005-0000-0000-0000C4070000}"/>
    <cellStyle name="Normal 2 3 2 3 2 3 4" xfId="1981" xr:uid="{00000000-0005-0000-0000-0000C5070000}"/>
    <cellStyle name="Normal 2 3 2 3 2 3 4 2" xfId="1982" xr:uid="{00000000-0005-0000-0000-0000C6070000}"/>
    <cellStyle name="Normal 2 3 2 3 2 3 5" xfId="1983" xr:uid="{00000000-0005-0000-0000-0000C7070000}"/>
    <cellStyle name="Normal 2 3 2 3 2 4" xfId="1984" xr:uid="{00000000-0005-0000-0000-0000C8070000}"/>
    <cellStyle name="Normal 2 3 2 3 2 4 2" xfId="1985" xr:uid="{00000000-0005-0000-0000-0000C9070000}"/>
    <cellStyle name="Normal 2 3 2 3 2 4 2 2" xfId="1986" xr:uid="{00000000-0005-0000-0000-0000CA070000}"/>
    <cellStyle name="Normal 2 3 2 3 2 4 3" xfId="1987" xr:uid="{00000000-0005-0000-0000-0000CB070000}"/>
    <cellStyle name="Normal 2 3 2 3 2 4 3 2" xfId="1988" xr:uid="{00000000-0005-0000-0000-0000CC070000}"/>
    <cellStyle name="Normal 2 3 2 3 2 4 4" xfId="1989" xr:uid="{00000000-0005-0000-0000-0000CD070000}"/>
    <cellStyle name="Normal 2 3 2 3 2 5" xfId="1990" xr:uid="{00000000-0005-0000-0000-0000CE070000}"/>
    <cellStyle name="Normal 2 3 2 3 2 5 2" xfId="1991" xr:uid="{00000000-0005-0000-0000-0000CF070000}"/>
    <cellStyle name="Normal 2 3 2 3 2 6" xfId="1992" xr:uid="{00000000-0005-0000-0000-0000D0070000}"/>
    <cellStyle name="Normal 2 3 2 3 2 6 2" xfId="1993" xr:uid="{00000000-0005-0000-0000-0000D1070000}"/>
    <cellStyle name="Normal 2 3 2 3 2 7" xfId="1994" xr:uid="{00000000-0005-0000-0000-0000D2070000}"/>
    <cellStyle name="Normal 2 3 2 3 3" xfId="1995" xr:uid="{00000000-0005-0000-0000-0000D3070000}"/>
    <cellStyle name="Normal 2 3 2 3 3 2" xfId="1996" xr:uid="{00000000-0005-0000-0000-0000D4070000}"/>
    <cellStyle name="Normal 2 3 2 3 3 2 2" xfId="1997" xr:uid="{00000000-0005-0000-0000-0000D5070000}"/>
    <cellStyle name="Normal 2 3 2 3 3 2 2 2" xfId="1998" xr:uid="{00000000-0005-0000-0000-0000D6070000}"/>
    <cellStyle name="Normal 2 3 2 3 3 2 3" xfId="1999" xr:uid="{00000000-0005-0000-0000-0000D7070000}"/>
    <cellStyle name="Normal 2 3 2 3 3 2 3 2" xfId="2000" xr:uid="{00000000-0005-0000-0000-0000D8070000}"/>
    <cellStyle name="Normal 2 3 2 3 3 2 4" xfId="2001" xr:uid="{00000000-0005-0000-0000-0000D9070000}"/>
    <cellStyle name="Normal 2 3 2 3 3 3" xfId="2002" xr:uid="{00000000-0005-0000-0000-0000DA070000}"/>
    <cellStyle name="Normal 2 3 2 3 3 3 2" xfId="2003" xr:uid="{00000000-0005-0000-0000-0000DB070000}"/>
    <cellStyle name="Normal 2 3 2 3 3 4" xfId="2004" xr:uid="{00000000-0005-0000-0000-0000DC070000}"/>
    <cellStyle name="Normal 2 3 2 3 3 4 2" xfId="2005" xr:uid="{00000000-0005-0000-0000-0000DD070000}"/>
    <cellStyle name="Normal 2 3 2 3 3 5" xfId="2006" xr:uid="{00000000-0005-0000-0000-0000DE070000}"/>
    <cellStyle name="Normal 2 3 2 3 4" xfId="2007" xr:uid="{00000000-0005-0000-0000-0000DF070000}"/>
    <cellStyle name="Normal 2 3 2 3 4 2" xfId="2008" xr:uid="{00000000-0005-0000-0000-0000E0070000}"/>
    <cellStyle name="Normal 2 3 2 3 4 2 2" xfId="2009" xr:uid="{00000000-0005-0000-0000-0000E1070000}"/>
    <cellStyle name="Normal 2 3 2 3 4 2 2 2" xfId="2010" xr:uid="{00000000-0005-0000-0000-0000E2070000}"/>
    <cellStyle name="Normal 2 3 2 3 4 2 3" xfId="2011" xr:uid="{00000000-0005-0000-0000-0000E3070000}"/>
    <cellStyle name="Normal 2 3 2 3 4 2 3 2" xfId="2012" xr:uid="{00000000-0005-0000-0000-0000E4070000}"/>
    <cellStyle name="Normal 2 3 2 3 4 2 4" xfId="2013" xr:uid="{00000000-0005-0000-0000-0000E5070000}"/>
    <cellStyle name="Normal 2 3 2 3 4 3" xfId="2014" xr:uid="{00000000-0005-0000-0000-0000E6070000}"/>
    <cellStyle name="Normal 2 3 2 3 4 3 2" xfId="2015" xr:uid="{00000000-0005-0000-0000-0000E7070000}"/>
    <cellStyle name="Normal 2 3 2 3 4 4" xfId="2016" xr:uid="{00000000-0005-0000-0000-0000E8070000}"/>
    <cellStyle name="Normal 2 3 2 3 4 4 2" xfId="2017" xr:uid="{00000000-0005-0000-0000-0000E9070000}"/>
    <cellStyle name="Normal 2 3 2 3 4 5" xfId="2018" xr:uid="{00000000-0005-0000-0000-0000EA070000}"/>
    <cellStyle name="Normal 2 3 2 3 5" xfId="2019" xr:uid="{00000000-0005-0000-0000-0000EB070000}"/>
    <cellStyle name="Normal 2 3 2 3 5 2" xfId="2020" xr:uid="{00000000-0005-0000-0000-0000EC070000}"/>
    <cellStyle name="Normal 2 3 2 3 5 2 2" xfId="2021" xr:uid="{00000000-0005-0000-0000-0000ED070000}"/>
    <cellStyle name="Normal 2 3 2 3 5 3" xfId="2022" xr:uid="{00000000-0005-0000-0000-0000EE070000}"/>
    <cellStyle name="Normal 2 3 2 3 5 3 2" xfId="2023" xr:uid="{00000000-0005-0000-0000-0000EF070000}"/>
    <cellStyle name="Normal 2 3 2 3 5 4" xfId="2024" xr:uid="{00000000-0005-0000-0000-0000F0070000}"/>
    <cellStyle name="Normal 2 3 2 3 6" xfId="2025" xr:uid="{00000000-0005-0000-0000-0000F1070000}"/>
    <cellStyle name="Normal 2 3 2 3 6 2" xfId="2026" xr:uid="{00000000-0005-0000-0000-0000F2070000}"/>
    <cellStyle name="Normal 2 3 2 3 7" xfId="2027" xr:uid="{00000000-0005-0000-0000-0000F3070000}"/>
    <cellStyle name="Normal 2 3 2 3 7 2" xfId="2028" xr:uid="{00000000-0005-0000-0000-0000F4070000}"/>
    <cellStyle name="Normal 2 3 2 3 8" xfId="2029" xr:uid="{00000000-0005-0000-0000-0000F5070000}"/>
    <cellStyle name="Normal 2 3 2 4" xfId="2030" xr:uid="{00000000-0005-0000-0000-0000F6070000}"/>
    <cellStyle name="Normal 2 3 2 4 2" xfId="2031" xr:uid="{00000000-0005-0000-0000-0000F7070000}"/>
    <cellStyle name="Normal 2 3 2 4 2 2" xfId="2032" xr:uid="{00000000-0005-0000-0000-0000F8070000}"/>
    <cellStyle name="Normal 2 3 2 4 2 2 2" xfId="2033" xr:uid="{00000000-0005-0000-0000-0000F9070000}"/>
    <cellStyle name="Normal 2 3 2 4 2 2 2 2" xfId="2034" xr:uid="{00000000-0005-0000-0000-0000FA070000}"/>
    <cellStyle name="Normal 2 3 2 4 2 2 2 2 2" xfId="2035" xr:uid="{00000000-0005-0000-0000-0000FB070000}"/>
    <cellStyle name="Normal 2 3 2 4 2 2 2 3" xfId="2036" xr:uid="{00000000-0005-0000-0000-0000FC070000}"/>
    <cellStyle name="Normal 2 3 2 4 2 2 2 3 2" xfId="2037" xr:uid="{00000000-0005-0000-0000-0000FD070000}"/>
    <cellStyle name="Normal 2 3 2 4 2 2 2 4" xfId="2038" xr:uid="{00000000-0005-0000-0000-0000FE070000}"/>
    <cellStyle name="Normal 2 3 2 4 2 2 3" xfId="2039" xr:uid="{00000000-0005-0000-0000-0000FF070000}"/>
    <cellStyle name="Normal 2 3 2 4 2 2 3 2" xfId="2040" xr:uid="{00000000-0005-0000-0000-000000080000}"/>
    <cellStyle name="Normal 2 3 2 4 2 2 4" xfId="2041" xr:uid="{00000000-0005-0000-0000-000001080000}"/>
    <cellStyle name="Normal 2 3 2 4 2 2 4 2" xfId="2042" xr:uid="{00000000-0005-0000-0000-000002080000}"/>
    <cellStyle name="Normal 2 3 2 4 2 2 5" xfId="2043" xr:uid="{00000000-0005-0000-0000-000003080000}"/>
    <cellStyle name="Normal 2 3 2 4 2 3" xfId="2044" xr:uid="{00000000-0005-0000-0000-000004080000}"/>
    <cellStyle name="Normal 2 3 2 4 2 3 2" xfId="2045" xr:uid="{00000000-0005-0000-0000-000005080000}"/>
    <cellStyle name="Normal 2 3 2 4 2 3 2 2" xfId="2046" xr:uid="{00000000-0005-0000-0000-000006080000}"/>
    <cellStyle name="Normal 2 3 2 4 2 3 2 2 2" xfId="2047" xr:uid="{00000000-0005-0000-0000-000007080000}"/>
    <cellStyle name="Normal 2 3 2 4 2 3 2 3" xfId="2048" xr:uid="{00000000-0005-0000-0000-000008080000}"/>
    <cellStyle name="Normal 2 3 2 4 2 3 2 3 2" xfId="2049" xr:uid="{00000000-0005-0000-0000-000009080000}"/>
    <cellStyle name="Normal 2 3 2 4 2 3 2 4" xfId="2050" xr:uid="{00000000-0005-0000-0000-00000A080000}"/>
    <cellStyle name="Normal 2 3 2 4 2 3 3" xfId="2051" xr:uid="{00000000-0005-0000-0000-00000B080000}"/>
    <cellStyle name="Normal 2 3 2 4 2 3 3 2" xfId="2052" xr:uid="{00000000-0005-0000-0000-00000C080000}"/>
    <cellStyle name="Normal 2 3 2 4 2 3 4" xfId="2053" xr:uid="{00000000-0005-0000-0000-00000D080000}"/>
    <cellStyle name="Normal 2 3 2 4 2 3 4 2" xfId="2054" xr:uid="{00000000-0005-0000-0000-00000E080000}"/>
    <cellStyle name="Normal 2 3 2 4 2 3 5" xfId="2055" xr:uid="{00000000-0005-0000-0000-00000F080000}"/>
    <cellStyle name="Normal 2 3 2 4 2 4" xfId="2056" xr:uid="{00000000-0005-0000-0000-000010080000}"/>
    <cellStyle name="Normal 2 3 2 4 2 4 2" xfId="2057" xr:uid="{00000000-0005-0000-0000-000011080000}"/>
    <cellStyle name="Normal 2 3 2 4 2 4 2 2" xfId="2058" xr:uid="{00000000-0005-0000-0000-000012080000}"/>
    <cellStyle name="Normal 2 3 2 4 2 4 3" xfId="2059" xr:uid="{00000000-0005-0000-0000-000013080000}"/>
    <cellStyle name="Normal 2 3 2 4 2 4 3 2" xfId="2060" xr:uid="{00000000-0005-0000-0000-000014080000}"/>
    <cellStyle name="Normal 2 3 2 4 2 4 4" xfId="2061" xr:uid="{00000000-0005-0000-0000-000015080000}"/>
    <cellStyle name="Normal 2 3 2 4 2 5" xfId="2062" xr:uid="{00000000-0005-0000-0000-000016080000}"/>
    <cellStyle name="Normal 2 3 2 4 2 5 2" xfId="2063" xr:uid="{00000000-0005-0000-0000-000017080000}"/>
    <cellStyle name="Normal 2 3 2 4 2 6" xfId="2064" xr:uid="{00000000-0005-0000-0000-000018080000}"/>
    <cellStyle name="Normal 2 3 2 4 2 6 2" xfId="2065" xr:uid="{00000000-0005-0000-0000-000019080000}"/>
    <cellStyle name="Normal 2 3 2 4 2 7" xfId="2066" xr:uid="{00000000-0005-0000-0000-00001A080000}"/>
    <cellStyle name="Normal 2 3 2 4 3" xfId="2067" xr:uid="{00000000-0005-0000-0000-00001B080000}"/>
    <cellStyle name="Normal 2 3 2 4 3 2" xfId="2068" xr:uid="{00000000-0005-0000-0000-00001C080000}"/>
    <cellStyle name="Normal 2 3 2 4 3 2 2" xfId="2069" xr:uid="{00000000-0005-0000-0000-00001D080000}"/>
    <cellStyle name="Normal 2 3 2 4 3 2 2 2" xfId="2070" xr:uid="{00000000-0005-0000-0000-00001E080000}"/>
    <cellStyle name="Normal 2 3 2 4 3 2 3" xfId="2071" xr:uid="{00000000-0005-0000-0000-00001F080000}"/>
    <cellStyle name="Normal 2 3 2 4 3 2 3 2" xfId="2072" xr:uid="{00000000-0005-0000-0000-000020080000}"/>
    <cellStyle name="Normal 2 3 2 4 3 2 4" xfId="2073" xr:uid="{00000000-0005-0000-0000-000021080000}"/>
    <cellStyle name="Normal 2 3 2 4 3 3" xfId="2074" xr:uid="{00000000-0005-0000-0000-000022080000}"/>
    <cellStyle name="Normal 2 3 2 4 3 3 2" xfId="2075" xr:uid="{00000000-0005-0000-0000-000023080000}"/>
    <cellStyle name="Normal 2 3 2 4 3 4" xfId="2076" xr:uid="{00000000-0005-0000-0000-000024080000}"/>
    <cellStyle name="Normal 2 3 2 4 3 4 2" xfId="2077" xr:uid="{00000000-0005-0000-0000-000025080000}"/>
    <cellStyle name="Normal 2 3 2 4 3 5" xfId="2078" xr:uid="{00000000-0005-0000-0000-000026080000}"/>
    <cellStyle name="Normal 2 3 2 4 4" xfId="2079" xr:uid="{00000000-0005-0000-0000-000027080000}"/>
    <cellStyle name="Normal 2 3 2 4 4 2" xfId="2080" xr:uid="{00000000-0005-0000-0000-000028080000}"/>
    <cellStyle name="Normal 2 3 2 4 4 2 2" xfId="2081" xr:uid="{00000000-0005-0000-0000-000029080000}"/>
    <cellStyle name="Normal 2 3 2 4 4 2 2 2" xfId="2082" xr:uid="{00000000-0005-0000-0000-00002A080000}"/>
    <cellStyle name="Normal 2 3 2 4 4 2 3" xfId="2083" xr:uid="{00000000-0005-0000-0000-00002B080000}"/>
    <cellStyle name="Normal 2 3 2 4 4 2 3 2" xfId="2084" xr:uid="{00000000-0005-0000-0000-00002C080000}"/>
    <cellStyle name="Normal 2 3 2 4 4 2 4" xfId="2085" xr:uid="{00000000-0005-0000-0000-00002D080000}"/>
    <cellStyle name="Normal 2 3 2 4 4 3" xfId="2086" xr:uid="{00000000-0005-0000-0000-00002E080000}"/>
    <cellStyle name="Normal 2 3 2 4 4 3 2" xfId="2087" xr:uid="{00000000-0005-0000-0000-00002F080000}"/>
    <cellStyle name="Normal 2 3 2 4 4 4" xfId="2088" xr:uid="{00000000-0005-0000-0000-000030080000}"/>
    <cellStyle name="Normal 2 3 2 4 4 4 2" xfId="2089" xr:uid="{00000000-0005-0000-0000-000031080000}"/>
    <cellStyle name="Normal 2 3 2 4 4 5" xfId="2090" xr:uid="{00000000-0005-0000-0000-000032080000}"/>
    <cellStyle name="Normal 2 3 2 4 5" xfId="2091" xr:uid="{00000000-0005-0000-0000-000033080000}"/>
    <cellStyle name="Normal 2 3 2 4 5 2" xfId="2092" xr:uid="{00000000-0005-0000-0000-000034080000}"/>
    <cellStyle name="Normal 2 3 2 4 5 2 2" xfId="2093" xr:uid="{00000000-0005-0000-0000-000035080000}"/>
    <cellStyle name="Normal 2 3 2 4 5 3" xfId="2094" xr:uid="{00000000-0005-0000-0000-000036080000}"/>
    <cellStyle name="Normal 2 3 2 4 5 3 2" xfId="2095" xr:uid="{00000000-0005-0000-0000-000037080000}"/>
    <cellStyle name="Normal 2 3 2 4 5 4" xfId="2096" xr:uid="{00000000-0005-0000-0000-000038080000}"/>
    <cellStyle name="Normal 2 3 2 4 6" xfId="2097" xr:uid="{00000000-0005-0000-0000-000039080000}"/>
    <cellStyle name="Normal 2 3 2 4 6 2" xfId="2098" xr:uid="{00000000-0005-0000-0000-00003A080000}"/>
    <cellStyle name="Normal 2 3 2 4 7" xfId="2099" xr:uid="{00000000-0005-0000-0000-00003B080000}"/>
    <cellStyle name="Normal 2 3 2 4 7 2" xfId="2100" xr:uid="{00000000-0005-0000-0000-00003C080000}"/>
    <cellStyle name="Normal 2 3 2 4 8" xfId="2101" xr:uid="{00000000-0005-0000-0000-00003D080000}"/>
    <cellStyle name="Normal 2 3 2 5" xfId="2102" xr:uid="{00000000-0005-0000-0000-00003E080000}"/>
    <cellStyle name="Normal 2 3 2 5 2" xfId="2103" xr:uid="{00000000-0005-0000-0000-00003F080000}"/>
    <cellStyle name="Normal 2 3 2 5 2 2" xfId="2104" xr:uid="{00000000-0005-0000-0000-000040080000}"/>
    <cellStyle name="Normal 2 3 2 5 2 2 2" xfId="2105" xr:uid="{00000000-0005-0000-0000-000041080000}"/>
    <cellStyle name="Normal 2 3 2 5 2 2 2 2" xfId="2106" xr:uid="{00000000-0005-0000-0000-000042080000}"/>
    <cellStyle name="Normal 2 3 2 5 2 2 3" xfId="2107" xr:uid="{00000000-0005-0000-0000-000043080000}"/>
    <cellStyle name="Normal 2 3 2 5 2 2 3 2" xfId="2108" xr:uid="{00000000-0005-0000-0000-000044080000}"/>
    <cellStyle name="Normal 2 3 2 5 2 2 4" xfId="2109" xr:uid="{00000000-0005-0000-0000-000045080000}"/>
    <cellStyle name="Normal 2 3 2 5 2 3" xfId="2110" xr:uid="{00000000-0005-0000-0000-000046080000}"/>
    <cellStyle name="Normal 2 3 2 5 2 3 2" xfId="2111" xr:uid="{00000000-0005-0000-0000-000047080000}"/>
    <cellStyle name="Normal 2 3 2 5 2 4" xfId="2112" xr:uid="{00000000-0005-0000-0000-000048080000}"/>
    <cellStyle name="Normal 2 3 2 5 2 4 2" xfId="2113" xr:uid="{00000000-0005-0000-0000-000049080000}"/>
    <cellStyle name="Normal 2 3 2 5 2 5" xfId="2114" xr:uid="{00000000-0005-0000-0000-00004A080000}"/>
    <cellStyle name="Normal 2 3 2 5 3" xfId="2115" xr:uid="{00000000-0005-0000-0000-00004B080000}"/>
    <cellStyle name="Normal 2 3 2 5 3 2" xfId="2116" xr:uid="{00000000-0005-0000-0000-00004C080000}"/>
    <cellStyle name="Normal 2 3 2 5 3 2 2" xfId="2117" xr:uid="{00000000-0005-0000-0000-00004D080000}"/>
    <cellStyle name="Normal 2 3 2 5 3 2 2 2" xfId="2118" xr:uid="{00000000-0005-0000-0000-00004E080000}"/>
    <cellStyle name="Normal 2 3 2 5 3 2 3" xfId="2119" xr:uid="{00000000-0005-0000-0000-00004F080000}"/>
    <cellStyle name="Normal 2 3 2 5 3 2 3 2" xfId="2120" xr:uid="{00000000-0005-0000-0000-000050080000}"/>
    <cellStyle name="Normal 2 3 2 5 3 2 4" xfId="2121" xr:uid="{00000000-0005-0000-0000-000051080000}"/>
    <cellStyle name="Normal 2 3 2 5 3 3" xfId="2122" xr:uid="{00000000-0005-0000-0000-000052080000}"/>
    <cellStyle name="Normal 2 3 2 5 3 3 2" xfId="2123" xr:uid="{00000000-0005-0000-0000-000053080000}"/>
    <cellStyle name="Normal 2 3 2 5 3 4" xfId="2124" xr:uid="{00000000-0005-0000-0000-000054080000}"/>
    <cellStyle name="Normal 2 3 2 5 3 4 2" xfId="2125" xr:uid="{00000000-0005-0000-0000-000055080000}"/>
    <cellStyle name="Normal 2 3 2 5 3 5" xfId="2126" xr:uid="{00000000-0005-0000-0000-000056080000}"/>
    <cellStyle name="Normal 2 3 2 5 4" xfId="2127" xr:uid="{00000000-0005-0000-0000-000057080000}"/>
    <cellStyle name="Normal 2 3 2 5 4 2" xfId="2128" xr:uid="{00000000-0005-0000-0000-000058080000}"/>
    <cellStyle name="Normal 2 3 2 5 4 2 2" xfId="2129" xr:uid="{00000000-0005-0000-0000-000059080000}"/>
    <cellStyle name="Normal 2 3 2 5 4 3" xfId="2130" xr:uid="{00000000-0005-0000-0000-00005A080000}"/>
    <cellStyle name="Normal 2 3 2 5 4 3 2" xfId="2131" xr:uid="{00000000-0005-0000-0000-00005B080000}"/>
    <cellStyle name="Normal 2 3 2 5 4 4" xfId="2132" xr:uid="{00000000-0005-0000-0000-00005C080000}"/>
    <cellStyle name="Normal 2 3 2 5 5" xfId="2133" xr:uid="{00000000-0005-0000-0000-00005D080000}"/>
    <cellStyle name="Normal 2 3 2 5 5 2" xfId="2134" xr:uid="{00000000-0005-0000-0000-00005E080000}"/>
    <cellStyle name="Normal 2 3 2 5 6" xfId="2135" xr:uid="{00000000-0005-0000-0000-00005F080000}"/>
    <cellStyle name="Normal 2 3 2 5 6 2" xfId="2136" xr:uid="{00000000-0005-0000-0000-000060080000}"/>
    <cellStyle name="Normal 2 3 2 5 7" xfId="2137" xr:uid="{00000000-0005-0000-0000-000061080000}"/>
    <cellStyle name="Normal 2 3 2 6" xfId="2138" xr:uid="{00000000-0005-0000-0000-000062080000}"/>
    <cellStyle name="Normal 2 3 2 6 2" xfId="2139" xr:uid="{00000000-0005-0000-0000-000063080000}"/>
    <cellStyle name="Normal 2 3 2 6 2 2" xfId="2140" xr:uid="{00000000-0005-0000-0000-000064080000}"/>
    <cellStyle name="Normal 2 3 2 6 2 2 2" xfId="2141" xr:uid="{00000000-0005-0000-0000-000065080000}"/>
    <cellStyle name="Normal 2 3 2 6 2 2 2 2" xfId="2142" xr:uid="{00000000-0005-0000-0000-000066080000}"/>
    <cellStyle name="Normal 2 3 2 6 2 2 3" xfId="2143" xr:uid="{00000000-0005-0000-0000-000067080000}"/>
    <cellStyle name="Normal 2 3 2 6 2 2 3 2" xfId="2144" xr:uid="{00000000-0005-0000-0000-000068080000}"/>
    <cellStyle name="Normal 2 3 2 6 2 2 4" xfId="2145" xr:uid="{00000000-0005-0000-0000-000069080000}"/>
    <cellStyle name="Normal 2 3 2 6 2 3" xfId="2146" xr:uid="{00000000-0005-0000-0000-00006A080000}"/>
    <cellStyle name="Normal 2 3 2 6 2 3 2" xfId="2147" xr:uid="{00000000-0005-0000-0000-00006B080000}"/>
    <cellStyle name="Normal 2 3 2 6 2 4" xfId="2148" xr:uid="{00000000-0005-0000-0000-00006C080000}"/>
    <cellStyle name="Normal 2 3 2 6 2 4 2" xfId="2149" xr:uid="{00000000-0005-0000-0000-00006D080000}"/>
    <cellStyle name="Normal 2 3 2 6 2 5" xfId="2150" xr:uid="{00000000-0005-0000-0000-00006E080000}"/>
    <cellStyle name="Normal 2 3 2 6 3" xfId="2151" xr:uid="{00000000-0005-0000-0000-00006F080000}"/>
    <cellStyle name="Normal 2 3 2 6 3 2" xfId="2152" xr:uid="{00000000-0005-0000-0000-000070080000}"/>
    <cellStyle name="Normal 2 3 2 6 3 2 2" xfId="2153" xr:uid="{00000000-0005-0000-0000-000071080000}"/>
    <cellStyle name="Normal 2 3 2 6 3 2 2 2" xfId="2154" xr:uid="{00000000-0005-0000-0000-000072080000}"/>
    <cellStyle name="Normal 2 3 2 6 3 2 3" xfId="2155" xr:uid="{00000000-0005-0000-0000-000073080000}"/>
    <cellStyle name="Normal 2 3 2 6 3 2 3 2" xfId="2156" xr:uid="{00000000-0005-0000-0000-000074080000}"/>
    <cellStyle name="Normal 2 3 2 6 3 2 4" xfId="2157" xr:uid="{00000000-0005-0000-0000-000075080000}"/>
    <cellStyle name="Normal 2 3 2 6 3 3" xfId="2158" xr:uid="{00000000-0005-0000-0000-000076080000}"/>
    <cellStyle name="Normal 2 3 2 6 3 3 2" xfId="2159" xr:uid="{00000000-0005-0000-0000-000077080000}"/>
    <cellStyle name="Normal 2 3 2 6 3 4" xfId="2160" xr:uid="{00000000-0005-0000-0000-000078080000}"/>
    <cellStyle name="Normal 2 3 2 6 3 4 2" xfId="2161" xr:uid="{00000000-0005-0000-0000-000079080000}"/>
    <cellStyle name="Normal 2 3 2 6 3 5" xfId="2162" xr:uid="{00000000-0005-0000-0000-00007A080000}"/>
    <cellStyle name="Normal 2 3 2 6 4" xfId="2163" xr:uid="{00000000-0005-0000-0000-00007B080000}"/>
    <cellStyle name="Normal 2 3 2 6 4 2" xfId="2164" xr:uid="{00000000-0005-0000-0000-00007C080000}"/>
    <cellStyle name="Normal 2 3 2 6 4 2 2" xfId="2165" xr:uid="{00000000-0005-0000-0000-00007D080000}"/>
    <cellStyle name="Normal 2 3 2 6 4 3" xfId="2166" xr:uid="{00000000-0005-0000-0000-00007E080000}"/>
    <cellStyle name="Normal 2 3 2 6 4 3 2" xfId="2167" xr:uid="{00000000-0005-0000-0000-00007F080000}"/>
    <cellStyle name="Normal 2 3 2 6 4 4" xfId="2168" xr:uid="{00000000-0005-0000-0000-000080080000}"/>
    <cellStyle name="Normal 2 3 2 6 5" xfId="2169" xr:uid="{00000000-0005-0000-0000-000081080000}"/>
    <cellStyle name="Normal 2 3 2 6 5 2" xfId="2170" xr:uid="{00000000-0005-0000-0000-000082080000}"/>
    <cellStyle name="Normal 2 3 2 6 6" xfId="2171" xr:uid="{00000000-0005-0000-0000-000083080000}"/>
    <cellStyle name="Normal 2 3 2 6 6 2" xfId="2172" xr:uid="{00000000-0005-0000-0000-000084080000}"/>
    <cellStyle name="Normal 2 3 2 6 7" xfId="2173" xr:uid="{00000000-0005-0000-0000-000085080000}"/>
    <cellStyle name="Normal 2 3 2 7" xfId="2174" xr:uid="{00000000-0005-0000-0000-000086080000}"/>
    <cellStyle name="Normal 2 3 2 7 2" xfId="2175" xr:uid="{00000000-0005-0000-0000-000087080000}"/>
    <cellStyle name="Normal 2 3 2 7 2 2" xfId="2176" xr:uid="{00000000-0005-0000-0000-000088080000}"/>
    <cellStyle name="Normal 2 3 2 7 2 2 2" xfId="2177" xr:uid="{00000000-0005-0000-0000-000089080000}"/>
    <cellStyle name="Normal 2 3 2 7 2 2 2 2" xfId="2178" xr:uid="{00000000-0005-0000-0000-00008A080000}"/>
    <cellStyle name="Normal 2 3 2 7 2 2 3" xfId="2179" xr:uid="{00000000-0005-0000-0000-00008B080000}"/>
    <cellStyle name="Normal 2 3 2 7 2 2 3 2" xfId="2180" xr:uid="{00000000-0005-0000-0000-00008C080000}"/>
    <cellStyle name="Normal 2 3 2 7 2 2 4" xfId="2181" xr:uid="{00000000-0005-0000-0000-00008D080000}"/>
    <cellStyle name="Normal 2 3 2 7 2 3" xfId="2182" xr:uid="{00000000-0005-0000-0000-00008E080000}"/>
    <cellStyle name="Normal 2 3 2 7 2 3 2" xfId="2183" xr:uid="{00000000-0005-0000-0000-00008F080000}"/>
    <cellStyle name="Normal 2 3 2 7 2 4" xfId="2184" xr:uid="{00000000-0005-0000-0000-000090080000}"/>
    <cellStyle name="Normal 2 3 2 7 2 4 2" xfId="2185" xr:uid="{00000000-0005-0000-0000-000091080000}"/>
    <cellStyle name="Normal 2 3 2 7 2 5" xfId="2186" xr:uid="{00000000-0005-0000-0000-000092080000}"/>
    <cellStyle name="Normal 2 3 2 7 3" xfId="2187" xr:uid="{00000000-0005-0000-0000-000093080000}"/>
    <cellStyle name="Normal 2 3 2 7 3 2" xfId="2188" xr:uid="{00000000-0005-0000-0000-000094080000}"/>
    <cellStyle name="Normal 2 3 2 7 3 2 2" xfId="2189" xr:uid="{00000000-0005-0000-0000-000095080000}"/>
    <cellStyle name="Normal 2 3 2 7 3 2 2 2" xfId="2190" xr:uid="{00000000-0005-0000-0000-000096080000}"/>
    <cellStyle name="Normal 2 3 2 7 3 2 3" xfId="2191" xr:uid="{00000000-0005-0000-0000-000097080000}"/>
    <cellStyle name="Normal 2 3 2 7 3 2 3 2" xfId="2192" xr:uid="{00000000-0005-0000-0000-000098080000}"/>
    <cellStyle name="Normal 2 3 2 7 3 2 4" xfId="2193" xr:uid="{00000000-0005-0000-0000-000099080000}"/>
    <cellStyle name="Normal 2 3 2 7 3 3" xfId="2194" xr:uid="{00000000-0005-0000-0000-00009A080000}"/>
    <cellStyle name="Normal 2 3 2 7 3 3 2" xfId="2195" xr:uid="{00000000-0005-0000-0000-00009B080000}"/>
    <cellStyle name="Normal 2 3 2 7 3 4" xfId="2196" xr:uid="{00000000-0005-0000-0000-00009C080000}"/>
    <cellStyle name="Normal 2 3 2 7 3 4 2" xfId="2197" xr:uid="{00000000-0005-0000-0000-00009D080000}"/>
    <cellStyle name="Normal 2 3 2 7 3 5" xfId="2198" xr:uid="{00000000-0005-0000-0000-00009E080000}"/>
    <cellStyle name="Normal 2 3 2 7 4" xfId="2199" xr:uid="{00000000-0005-0000-0000-00009F080000}"/>
    <cellStyle name="Normal 2 3 2 7 4 2" xfId="2200" xr:uid="{00000000-0005-0000-0000-0000A0080000}"/>
    <cellStyle name="Normal 2 3 2 7 4 2 2" xfId="2201" xr:uid="{00000000-0005-0000-0000-0000A1080000}"/>
    <cellStyle name="Normal 2 3 2 7 4 3" xfId="2202" xr:uid="{00000000-0005-0000-0000-0000A2080000}"/>
    <cellStyle name="Normal 2 3 2 7 4 3 2" xfId="2203" xr:uid="{00000000-0005-0000-0000-0000A3080000}"/>
    <cellStyle name="Normal 2 3 2 7 4 4" xfId="2204" xr:uid="{00000000-0005-0000-0000-0000A4080000}"/>
    <cellStyle name="Normal 2 3 2 7 5" xfId="2205" xr:uid="{00000000-0005-0000-0000-0000A5080000}"/>
    <cellStyle name="Normal 2 3 2 7 5 2" xfId="2206" xr:uid="{00000000-0005-0000-0000-0000A6080000}"/>
    <cellStyle name="Normal 2 3 2 7 6" xfId="2207" xr:uid="{00000000-0005-0000-0000-0000A7080000}"/>
    <cellStyle name="Normal 2 3 2 7 6 2" xfId="2208" xr:uid="{00000000-0005-0000-0000-0000A8080000}"/>
    <cellStyle name="Normal 2 3 2 7 7" xfId="2209" xr:uid="{00000000-0005-0000-0000-0000A9080000}"/>
    <cellStyle name="Normal 2 3 2 8" xfId="2210" xr:uid="{00000000-0005-0000-0000-0000AA080000}"/>
    <cellStyle name="Normal 2 3 2 8 2" xfId="2211" xr:uid="{00000000-0005-0000-0000-0000AB080000}"/>
    <cellStyle name="Normal 2 3 2 8 2 2" xfId="2212" xr:uid="{00000000-0005-0000-0000-0000AC080000}"/>
    <cellStyle name="Normal 2 3 2 8 2 2 2" xfId="2213" xr:uid="{00000000-0005-0000-0000-0000AD080000}"/>
    <cellStyle name="Normal 2 3 2 8 2 2 2 2" xfId="2214" xr:uid="{00000000-0005-0000-0000-0000AE080000}"/>
    <cellStyle name="Normal 2 3 2 8 2 2 3" xfId="2215" xr:uid="{00000000-0005-0000-0000-0000AF080000}"/>
    <cellStyle name="Normal 2 3 2 8 2 2 3 2" xfId="2216" xr:uid="{00000000-0005-0000-0000-0000B0080000}"/>
    <cellStyle name="Normal 2 3 2 8 2 2 4" xfId="2217" xr:uid="{00000000-0005-0000-0000-0000B1080000}"/>
    <cellStyle name="Normal 2 3 2 8 2 3" xfId="2218" xr:uid="{00000000-0005-0000-0000-0000B2080000}"/>
    <cellStyle name="Normal 2 3 2 8 2 3 2" xfId="2219" xr:uid="{00000000-0005-0000-0000-0000B3080000}"/>
    <cellStyle name="Normal 2 3 2 8 2 4" xfId="2220" xr:uid="{00000000-0005-0000-0000-0000B4080000}"/>
    <cellStyle name="Normal 2 3 2 8 2 4 2" xfId="2221" xr:uid="{00000000-0005-0000-0000-0000B5080000}"/>
    <cellStyle name="Normal 2 3 2 8 2 5" xfId="2222" xr:uid="{00000000-0005-0000-0000-0000B6080000}"/>
    <cellStyle name="Normal 2 3 2 8 3" xfId="2223" xr:uid="{00000000-0005-0000-0000-0000B7080000}"/>
    <cellStyle name="Normal 2 3 2 8 3 2" xfId="2224" xr:uid="{00000000-0005-0000-0000-0000B8080000}"/>
    <cellStyle name="Normal 2 3 2 8 3 2 2" xfId="2225" xr:uid="{00000000-0005-0000-0000-0000B9080000}"/>
    <cellStyle name="Normal 2 3 2 8 3 2 2 2" xfId="2226" xr:uid="{00000000-0005-0000-0000-0000BA080000}"/>
    <cellStyle name="Normal 2 3 2 8 3 2 3" xfId="2227" xr:uid="{00000000-0005-0000-0000-0000BB080000}"/>
    <cellStyle name="Normal 2 3 2 8 3 2 3 2" xfId="2228" xr:uid="{00000000-0005-0000-0000-0000BC080000}"/>
    <cellStyle name="Normal 2 3 2 8 3 2 4" xfId="2229" xr:uid="{00000000-0005-0000-0000-0000BD080000}"/>
    <cellStyle name="Normal 2 3 2 8 3 3" xfId="2230" xr:uid="{00000000-0005-0000-0000-0000BE080000}"/>
    <cellStyle name="Normal 2 3 2 8 3 3 2" xfId="2231" xr:uid="{00000000-0005-0000-0000-0000BF080000}"/>
    <cellStyle name="Normal 2 3 2 8 3 4" xfId="2232" xr:uid="{00000000-0005-0000-0000-0000C0080000}"/>
    <cellStyle name="Normal 2 3 2 8 3 4 2" xfId="2233" xr:uid="{00000000-0005-0000-0000-0000C1080000}"/>
    <cellStyle name="Normal 2 3 2 8 3 5" xfId="2234" xr:uid="{00000000-0005-0000-0000-0000C2080000}"/>
    <cellStyle name="Normal 2 3 2 8 4" xfId="2235" xr:uid="{00000000-0005-0000-0000-0000C3080000}"/>
    <cellStyle name="Normal 2 3 2 8 4 2" xfId="2236" xr:uid="{00000000-0005-0000-0000-0000C4080000}"/>
    <cellStyle name="Normal 2 3 2 8 4 2 2" xfId="2237" xr:uid="{00000000-0005-0000-0000-0000C5080000}"/>
    <cellStyle name="Normal 2 3 2 8 4 3" xfId="2238" xr:uid="{00000000-0005-0000-0000-0000C6080000}"/>
    <cellStyle name="Normal 2 3 2 8 4 3 2" xfId="2239" xr:uid="{00000000-0005-0000-0000-0000C7080000}"/>
    <cellStyle name="Normal 2 3 2 8 4 4" xfId="2240" xr:uid="{00000000-0005-0000-0000-0000C8080000}"/>
    <cellStyle name="Normal 2 3 2 8 5" xfId="2241" xr:uid="{00000000-0005-0000-0000-0000C9080000}"/>
    <cellStyle name="Normal 2 3 2 8 5 2" xfId="2242" xr:uid="{00000000-0005-0000-0000-0000CA080000}"/>
    <cellStyle name="Normal 2 3 2 8 6" xfId="2243" xr:uid="{00000000-0005-0000-0000-0000CB080000}"/>
    <cellStyle name="Normal 2 3 2 8 6 2" xfId="2244" xr:uid="{00000000-0005-0000-0000-0000CC080000}"/>
    <cellStyle name="Normal 2 3 2 8 7" xfId="2245" xr:uid="{00000000-0005-0000-0000-0000CD080000}"/>
    <cellStyle name="Normal 2 3 2 9" xfId="2246" xr:uid="{00000000-0005-0000-0000-0000CE080000}"/>
    <cellStyle name="Normal 2 3 2 9 2" xfId="2247" xr:uid="{00000000-0005-0000-0000-0000CF080000}"/>
    <cellStyle name="Normal 2 3 2 9 2 2" xfId="2248" xr:uid="{00000000-0005-0000-0000-0000D0080000}"/>
    <cellStyle name="Normal 2 3 2 9 2 2 2" xfId="2249" xr:uid="{00000000-0005-0000-0000-0000D1080000}"/>
    <cellStyle name="Normal 2 3 2 9 2 3" xfId="2250" xr:uid="{00000000-0005-0000-0000-0000D2080000}"/>
    <cellStyle name="Normal 2 3 2 9 2 3 2" xfId="2251" xr:uid="{00000000-0005-0000-0000-0000D3080000}"/>
    <cellStyle name="Normal 2 3 2 9 2 4" xfId="2252" xr:uid="{00000000-0005-0000-0000-0000D4080000}"/>
    <cellStyle name="Normal 2 3 2 9 3" xfId="2253" xr:uid="{00000000-0005-0000-0000-0000D5080000}"/>
    <cellStyle name="Normal 2 3 2 9 3 2" xfId="2254" xr:uid="{00000000-0005-0000-0000-0000D6080000}"/>
    <cellStyle name="Normal 2 3 2 9 4" xfId="2255" xr:uid="{00000000-0005-0000-0000-0000D7080000}"/>
    <cellStyle name="Normal 2 3 2 9 4 2" xfId="2256" xr:uid="{00000000-0005-0000-0000-0000D8080000}"/>
    <cellStyle name="Normal 2 3 2 9 5" xfId="2257" xr:uid="{00000000-0005-0000-0000-0000D9080000}"/>
    <cellStyle name="Normal 2 3 3" xfId="2258" xr:uid="{00000000-0005-0000-0000-0000DA080000}"/>
    <cellStyle name="Normal 2 3 3 10" xfId="2259" xr:uid="{00000000-0005-0000-0000-0000DB080000}"/>
    <cellStyle name="Normal 2 3 3 10 2" xfId="2260" xr:uid="{00000000-0005-0000-0000-0000DC080000}"/>
    <cellStyle name="Normal 2 3 3 10 2 2" xfId="2261" xr:uid="{00000000-0005-0000-0000-0000DD080000}"/>
    <cellStyle name="Normal 2 3 3 10 3" xfId="2262" xr:uid="{00000000-0005-0000-0000-0000DE080000}"/>
    <cellStyle name="Normal 2 3 3 10 3 2" xfId="2263" xr:uid="{00000000-0005-0000-0000-0000DF080000}"/>
    <cellStyle name="Normal 2 3 3 10 4" xfId="2264" xr:uid="{00000000-0005-0000-0000-0000E0080000}"/>
    <cellStyle name="Normal 2 3 3 11" xfId="2265" xr:uid="{00000000-0005-0000-0000-0000E1080000}"/>
    <cellStyle name="Normal 2 3 3 11 2" xfId="2266" xr:uid="{00000000-0005-0000-0000-0000E2080000}"/>
    <cellStyle name="Normal 2 3 3 12" xfId="2267" xr:uid="{00000000-0005-0000-0000-0000E3080000}"/>
    <cellStyle name="Normal 2 3 3 12 2" xfId="2268" xr:uid="{00000000-0005-0000-0000-0000E4080000}"/>
    <cellStyle name="Normal 2 3 3 13" xfId="2269" xr:uid="{00000000-0005-0000-0000-0000E5080000}"/>
    <cellStyle name="Normal 2 3 3 2" xfId="2270" xr:uid="{00000000-0005-0000-0000-0000E6080000}"/>
    <cellStyle name="Normal 2 3 3 2 10" xfId="2271" xr:uid="{00000000-0005-0000-0000-0000E7080000}"/>
    <cellStyle name="Normal 2 3 3 2 10 2" xfId="2272" xr:uid="{00000000-0005-0000-0000-0000E8080000}"/>
    <cellStyle name="Normal 2 3 3 2 11" xfId="2273" xr:uid="{00000000-0005-0000-0000-0000E9080000}"/>
    <cellStyle name="Normal 2 3 3 2 2" xfId="2274" xr:uid="{00000000-0005-0000-0000-0000EA080000}"/>
    <cellStyle name="Normal 2 3 3 2 2 2" xfId="2275" xr:uid="{00000000-0005-0000-0000-0000EB080000}"/>
    <cellStyle name="Normal 2 3 3 2 2 2 2" xfId="2276" xr:uid="{00000000-0005-0000-0000-0000EC080000}"/>
    <cellStyle name="Normal 2 3 3 2 2 2 2 2" xfId="2277" xr:uid="{00000000-0005-0000-0000-0000ED080000}"/>
    <cellStyle name="Normal 2 3 3 2 2 2 2 2 2" xfId="2278" xr:uid="{00000000-0005-0000-0000-0000EE080000}"/>
    <cellStyle name="Normal 2 3 3 2 2 2 2 3" xfId="2279" xr:uid="{00000000-0005-0000-0000-0000EF080000}"/>
    <cellStyle name="Normal 2 3 3 2 2 2 2 3 2" xfId="2280" xr:uid="{00000000-0005-0000-0000-0000F0080000}"/>
    <cellStyle name="Normal 2 3 3 2 2 2 2 4" xfId="2281" xr:uid="{00000000-0005-0000-0000-0000F1080000}"/>
    <cellStyle name="Normal 2 3 3 2 2 2 3" xfId="2282" xr:uid="{00000000-0005-0000-0000-0000F2080000}"/>
    <cellStyle name="Normal 2 3 3 2 2 2 3 2" xfId="2283" xr:uid="{00000000-0005-0000-0000-0000F3080000}"/>
    <cellStyle name="Normal 2 3 3 2 2 2 4" xfId="2284" xr:uid="{00000000-0005-0000-0000-0000F4080000}"/>
    <cellStyle name="Normal 2 3 3 2 2 2 4 2" xfId="2285" xr:uid="{00000000-0005-0000-0000-0000F5080000}"/>
    <cellStyle name="Normal 2 3 3 2 2 2 5" xfId="2286" xr:uid="{00000000-0005-0000-0000-0000F6080000}"/>
    <cellStyle name="Normal 2 3 3 2 2 3" xfId="2287" xr:uid="{00000000-0005-0000-0000-0000F7080000}"/>
    <cellStyle name="Normal 2 3 3 2 2 3 2" xfId="2288" xr:uid="{00000000-0005-0000-0000-0000F8080000}"/>
    <cellStyle name="Normal 2 3 3 2 2 3 2 2" xfId="2289" xr:uid="{00000000-0005-0000-0000-0000F9080000}"/>
    <cellStyle name="Normal 2 3 3 2 2 3 2 2 2" xfId="2290" xr:uid="{00000000-0005-0000-0000-0000FA080000}"/>
    <cellStyle name="Normal 2 3 3 2 2 3 2 3" xfId="2291" xr:uid="{00000000-0005-0000-0000-0000FB080000}"/>
    <cellStyle name="Normal 2 3 3 2 2 3 2 3 2" xfId="2292" xr:uid="{00000000-0005-0000-0000-0000FC080000}"/>
    <cellStyle name="Normal 2 3 3 2 2 3 2 4" xfId="2293" xr:uid="{00000000-0005-0000-0000-0000FD080000}"/>
    <cellStyle name="Normal 2 3 3 2 2 3 3" xfId="2294" xr:uid="{00000000-0005-0000-0000-0000FE080000}"/>
    <cellStyle name="Normal 2 3 3 2 2 3 3 2" xfId="2295" xr:uid="{00000000-0005-0000-0000-0000FF080000}"/>
    <cellStyle name="Normal 2 3 3 2 2 3 4" xfId="2296" xr:uid="{00000000-0005-0000-0000-000000090000}"/>
    <cellStyle name="Normal 2 3 3 2 2 3 4 2" xfId="2297" xr:uid="{00000000-0005-0000-0000-000001090000}"/>
    <cellStyle name="Normal 2 3 3 2 2 3 5" xfId="2298" xr:uid="{00000000-0005-0000-0000-000002090000}"/>
    <cellStyle name="Normal 2 3 3 2 2 4" xfId="2299" xr:uid="{00000000-0005-0000-0000-000003090000}"/>
    <cellStyle name="Normal 2 3 3 2 2 4 2" xfId="2300" xr:uid="{00000000-0005-0000-0000-000004090000}"/>
    <cellStyle name="Normal 2 3 3 2 2 4 2 2" xfId="2301" xr:uid="{00000000-0005-0000-0000-000005090000}"/>
    <cellStyle name="Normal 2 3 3 2 2 4 3" xfId="2302" xr:uid="{00000000-0005-0000-0000-000006090000}"/>
    <cellStyle name="Normal 2 3 3 2 2 4 3 2" xfId="2303" xr:uid="{00000000-0005-0000-0000-000007090000}"/>
    <cellStyle name="Normal 2 3 3 2 2 4 4" xfId="2304" xr:uid="{00000000-0005-0000-0000-000008090000}"/>
    <cellStyle name="Normal 2 3 3 2 2 5" xfId="2305" xr:uid="{00000000-0005-0000-0000-000009090000}"/>
    <cellStyle name="Normal 2 3 3 2 2 5 2" xfId="2306" xr:uid="{00000000-0005-0000-0000-00000A090000}"/>
    <cellStyle name="Normal 2 3 3 2 2 6" xfId="2307" xr:uid="{00000000-0005-0000-0000-00000B090000}"/>
    <cellStyle name="Normal 2 3 3 2 2 6 2" xfId="2308" xr:uid="{00000000-0005-0000-0000-00000C090000}"/>
    <cellStyle name="Normal 2 3 3 2 2 7" xfId="2309" xr:uid="{00000000-0005-0000-0000-00000D090000}"/>
    <cellStyle name="Normal 2 3 3 2 3" xfId="2310" xr:uid="{00000000-0005-0000-0000-00000E090000}"/>
    <cellStyle name="Normal 2 3 3 2 3 2" xfId="2311" xr:uid="{00000000-0005-0000-0000-00000F090000}"/>
    <cellStyle name="Normal 2 3 3 2 3 2 2" xfId="2312" xr:uid="{00000000-0005-0000-0000-000010090000}"/>
    <cellStyle name="Normal 2 3 3 2 3 2 2 2" xfId="2313" xr:uid="{00000000-0005-0000-0000-000011090000}"/>
    <cellStyle name="Normal 2 3 3 2 3 2 2 2 2" xfId="2314" xr:uid="{00000000-0005-0000-0000-000012090000}"/>
    <cellStyle name="Normal 2 3 3 2 3 2 2 3" xfId="2315" xr:uid="{00000000-0005-0000-0000-000013090000}"/>
    <cellStyle name="Normal 2 3 3 2 3 2 2 3 2" xfId="2316" xr:uid="{00000000-0005-0000-0000-000014090000}"/>
    <cellStyle name="Normal 2 3 3 2 3 2 2 4" xfId="2317" xr:uid="{00000000-0005-0000-0000-000015090000}"/>
    <cellStyle name="Normal 2 3 3 2 3 2 3" xfId="2318" xr:uid="{00000000-0005-0000-0000-000016090000}"/>
    <cellStyle name="Normal 2 3 3 2 3 2 3 2" xfId="2319" xr:uid="{00000000-0005-0000-0000-000017090000}"/>
    <cellStyle name="Normal 2 3 3 2 3 2 4" xfId="2320" xr:uid="{00000000-0005-0000-0000-000018090000}"/>
    <cellStyle name="Normal 2 3 3 2 3 2 4 2" xfId="2321" xr:uid="{00000000-0005-0000-0000-000019090000}"/>
    <cellStyle name="Normal 2 3 3 2 3 2 5" xfId="2322" xr:uid="{00000000-0005-0000-0000-00001A090000}"/>
    <cellStyle name="Normal 2 3 3 2 3 3" xfId="2323" xr:uid="{00000000-0005-0000-0000-00001B090000}"/>
    <cellStyle name="Normal 2 3 3 2 3 3 2" xfId="2324" xr:uid="{00000000-0005-0000-0000-00001C090000}"/>
    <cellStyle name="Normal 2 3 3 2 3 3 2 2" xfId="2325" xr:uid="{00000000-0005-0000-0000-00001D090000}"/>
    <cellStyle name="Normal 2 3 3 2 3 3 2 2 2" xfId="2326" xr:uid="{00000000-0005-0000-0000-00001E090000}"/>
    <cellStyle name="Normal 2 3 3 2 3 3 2 3" xfId="2327" xr:uid="{00000000-0005-0000-0000-00001F090000}"/>
    <cellStyle name="Normal 2 3 3 2 3 3 2 3 2" xfId="2328" xr:uid="{00000000-0005-0000-0000-000020090000}"/>
    <cellStyle name="Normal 2 3 3 2 3 3 2 4" xfId="2329" xr:uid="{00000000-0005-0000-0000-000021090000}"/>
    <cellStyle name="Normal 2 3 3 2 3 3 3" xfId="2330" xr:uid="{00000000-0005-0000-0000-000022090000}"/>
    <cellStyle name="Normal 2 3 3 2 3 3 3 2" xfId="2331" xr:uid="{00000000-0005-0000-0000-000023090000}"/>
    <cellStyle name="Normal 2 3 3 2 3 3 4" xfId="2332" xr:uid="{00000000-0005-0000-0000-000024090000}"/>
    <cellStyle name="Normal 2 3 3 2 3 3 4 2" xfId="2333" xr:uid="{00000000-0005-0000-0000-000025090000}"/>
    <cellStyle name="Normal 2 3 3 2 3 3 5" xfId="2334" xr:uid="{00000000-0005-0000-0000-000026090000}"/>
    <cellStyle name="Normal 2 3 3 2 3 4" xfId="2335" xr:uid="{00000000-0005-0000-0000-000027090000}"/>
    <cellStyle name="Normal 2 3 3 2 3 4 2" xfId="2336" xr:uid="{00000000-0005-0000-0000-000028090000}"/>
    <cellStyle name="Normal 2 3 3 2 3 4 2 2" xfId="2337" xr:uid="{00000000-0005-0000-0000-000029090000}"/>
    <cellStyle name="Normal 2 3 3 2 3 4 3" xfId="2338" xr:uid="{00000000-0005-0000-0000-00002A090000}"/>
    <cellStyle name="Normal 2 3 3 2 3 4 3 2" xfId="2339" xr:uid="{00000000-0005-0000-0000-00002B090000}"/>
    <cellStyle name="Normal 2 3 3 2 3 4 4" xfId="2340" xr:uid="{00000000-0005-0000-0000-00002C090000}"/>
    <cellStyle name="Normal 2 3 3 2 3 5" xfId="2341" xr:uid="{00000000-0005-0000-0000-00002D090000}"/>
    <cellStyle name="Normal 2 3 3 2 3 5 2" xfId="2342" xr:uid="{00000000-0005-0000-0000-00002E090000}"/>
    <cellStyle name="Normal 2 3 3 2 3 6" xfId="2343" xr:uid="{00000000-0005-0000-0000-00002F090000}"/>
    <cellStyle name="Normal 2 3 3 2 3 6 2" xfId="2344" xr:uid="{00000000-0005-0000-0000-000030090000}"/>
    <cellStyle name="Normal 2 3 3 2 3 7" xfId="2345" xr:uid="{00000000-0005-0000-0000-000031090000}"/>
    <cellStyle name="Normal 2 3 3 2 4" xfId="2346" xr:uid="{00000000-0005-0000-0000-000032090000}"/>
    <cellStyle name="Normal 2 3 3 2 4 2" xfId="2347" xr:uid="{00000000-0005-0000-0000-000033090000}"/>
    <cellStyle name="Normal 2 3 3 2 4 2 2" xfId="2348" xr:uid="{00000000-0005-0000-0000-000034090000}"/>
    <cellStyle name="Normal 2 3 3 2 4 2 2 2" xfId="2349" xr:uid="{00000000-0005-0000-0000-000035090000}"/>
    <cellStyle name="Normal 2 3 3 2 4 2 2 2 2" xfId="2350" xr:uid="{00000000-0005-0000-0000-000036090000}"/>
    <cellStyle name="Normal 2 3 3 2 4 2 2 3" xfId="2351" xr:uid="{00000000-0005-0000-0000-000037090000}"/>
    <cellStyle name="Normal 2 3 3 2 4 2 2 3 2" xfId="2352" xr:uid="{00000000-0005-0000-0000-000038090000}"/>
    <cellStyle name="Normal 2 3 3 2 4 2 2 4" xfId="2353" xr:uid="{00000000-0005-0000-0000-000039090000}"/>
    <cellStyle name="Normal 2 3 3 2 4 2 3" xfId="2354" xr:uid="{00000000-0005-0000-0000-00003A090000}"/>
    <cellStyle name="Normal 2 3 3 2 4 2 3 2" xfId="2355" xr:uid="{00000000-0005-0000-0000-00003B090000}"/>
    <cellStyle name="Normal 2 3 3 2 4 2 4" xfId="2356" xr:uid="{00000000-0005-0000-0000-00003C090000}"/>
    <cellStyle name="Normal 2 3 3 2 4 2 4 2" xfId="2357" xr:uid="{00000000-0005-0000-0000-00003D090000}"/>
    <cellStyle name="Normal 2 3 3 2 4 2 5" xfId="2358" xr:uid="{00000000-0005-0000-0000-00003E090000}"/>
    <cellStyle name="Normal 2 3 3 2 4 3" xfId="2359" xr:uid="{00000000-0005-0000-0000-00003F090000}"/>
    <cellStyle name="Normal 2 3 3 2 4 3 2" xfId="2360" xr:uid="{00000000-0005-0000-0000-000040090000}"/>
    <cellStyle name="Normal 2 3 3 2 4 3 2 2" xfId="2361" xr:uid="{00000000-0005-0000-0000-000041090000}"/>
    <cellStyle name="Normal 2 3 3 2 4 3 2 2 2" xfId="2362" xr:uid="{00000000-0005-0000-0000-000042090000}"/>
    <cellStyle name="Normal 2 3 3 2 4 3 2 3" xfId="2363" xr:uid="{00000000-0005-0000-0000-000043090000}"/>
    <cellStyle name="Normal 2 3 3 2 4 3 2 3 2" xfId="2364" xr:uid="{00000000-0005-0000-0000-000044090000}"/>
    <cellStyle name="Normal 2 3 3 2 4 3 2 4" xfId="2365" xr:uid="{00000000-0005-0000-0000-000045090000}"/>
    <cellStyle name="Normal 2 3 3 2 4 3 3" xfId="2366" xr:uid="{00000000-0005-0000-0000-000046090000}"/>
    <cellStyle name="Normal 2 3 3 2 4 3 3 2" xfId="2367" xr:uid="{00000000-0005-0000-0000-000047090000}"/>
    <cellStyle name="Normal 2 3 3 2 4 3 4" xfId="2368" xr:uid="{00000000-0005-0000-0000-000048090000}"/>
    <cellStyle name="Normal 2 3 3 2 4 3 4 2" xfId="2369" xr:uid="{00000000-0005-0000-0000-000049090000}"/>
    <cellStyle name="Normal 2 3 3 2 4 3 5" xfId="2370" xr:uid="{00000000-0005-0000-0000-00004A090000}"/>
    <cellStyle name="Normal 2 3 3 2 4 4" xfId="2371" xr:uid="{00000000-0005-0000-0000-00004B090000}"/>
    <cellStyle name="Normal 2 3 3 2 4 4 2" xfId="2372" xr:uid="{00000000-0005-0000-0000-00004C090000}"/>
    <cellStyle name="Normal 2 3 3 2 4 4 2 2" xfId="2373" xr:uid="{00000000-0005-0000-0000-00004D090000}"/>
    <cellStyle name="Normal 2 3 3 2 4 4 3" xfId="2374" xr:uid="{00000000-0005-0000-0000-00004E090000}"/>
    <cellStyle name="Normal 2 3 3 2 4 4 3 2" xfId="2375" xr:uid="{00000000-0005-0000-0000-00004F090000}"/>
    <cellStyle name="Normal 2 3 3 2 4 4 4" xfId="2376" xr:uid="{00000000-0005-0000-0000-000050090000}"/>
    <cellStyle name="Normal 2 3 3 2 4 5" xfId="2377" xr:uid="{00000000-0005-0000-0000-000051090000}"/>
    <cellStyle name="Normal 2 3 3 2 4 5 2" xfId="2378" xr:uid="{00000000-0005-0000-0000-000052090000}"/>
    <cellStyle name="Normal 2 3 3 2 4 6" xfId="2379" xr:uid="{00000000-0005-0000-0000-000053090000}"/>
    <cellStyle name="Normal 2 3 3 2 4 6 2" xfId="2380" xr:uid="{00000000-0005-0000-0000-000054090000}"/>
    <cellStyle name="Normal 2 3 3 2 4 7" xfId="2381" xr:uid="{00000000-0005-0000-0000-000055090000}"/>
    <cellStyle name="Normal 2 3 3 2 5" xfId="2382" xr:uid="{00000000-0005-0000-0000-000056090000}"/>
    <cellStyle name="Normal 2 3 3 2 5 2" xfId="2383" xr:uid="{00000000-0005-0000-0000-000057090000}"/>
    <cellStyle name="Normal 2 3 3 2 5 2 2" xfId="2384" xr:uid="{00000000-0005-0000-0000-000058090000}"/>
    <cellStyle name="Normal 2 3 3 2 5 2 2 2" xfId="2385" xr:uid="{00000000-0005-0000-0000-000059090000}"/>
    <cellStyle name="Normal 2 3 3 2 5 2 2 2 2" xfId="2386" xr:uid="{00000000-0005-0000-0000-00005A090000}"/>
    <cellStyle name="Normal 2 3 3 2 5 2 2 3" xfId="2387" xr:uid="{00000000-0005-0000-0000-00005B090000}"/>
    <cellStyle name="Normal 2 3 3 2 5 2 2 3 2" xfId="2388" xr:uid="{00000000-0005-0000-0000-00005C090000}"/>
    <cellStyle name="Normal 2 3 3 2 5 2 2 4" xfId="2389" xr:uid="{00000000-0005-0000-0000-00005D090000}"/>
    <cellStyle name="Normal 2 3 3 2 5 2 3" xfId="2390" xr:uid="{00000000-0005-0000-0000-00005E090000}"/>
    <cellStyle name="Normal 2 3 3 2 5 2 3 2" xfId="2391" xr:uid="{00000000-0005-0000-0000-00005F090000}"/>
    <cellStyle name="Normal 2 3 3 2 5 2 4" xfId="2392" xr:uid="{00000000-0005-0000-0000-000060090000}"/>
    <cellStyle name="Normal 2 3 3 2 5 2 4 2" xfId="2393" xr:uid="{00000000-0005-0000-0000-000061090000}"/>
    <cellStyle name="Normal 2 3 3 2 5 2 5" xfId="2394" xr:uid="{00000000-0005-0000-0000-000062090000}"/>
    <cellStyle name="Normal 2 3 3 2 5 3" xfId="2395" xr:uid="{00000000-0005-0000-0000-000063090000}"/>
    <cellStyle name="Normal 2 3 3 2 5 3 2" xfId="2396" xr:uid="{00000000-0005-0000-0000-000064090000}"/>
    <cellStyle name="Normal 2 3 3 2 5 3 2 2" xfId="2397" xr:uid="{00000000-0005-0000-0000-000065090000}"/>
    <cellStyle name="Normal 2 3 3 2 5 3 2 2 2" xfId="2398" xr:uid="{00000000-0005-0000-0000-000066090000}"/>
    <cellStyle name="Normal 2 3 3 2 5 3 2 3" xfId="2399" xr:uid="{00000000-0005-0000-0000-000067090000}"/>
    <cellStyle name="Normal 2 3 3 2 5 3 2 3 2" xfId="2400" xr:uid="{00000000-0005-0000-0000-000068090000}"/>
    <cellStyle name="Normal 2 3 3 2 5 3 2 4" xfId="2401" xr:uid="{00000000-0005-0000-0000-000069090000}"/>
    <cellStyle name="Normal 2 3 3 2 5 3 3" xfId="2402" xr:uid="{00000000-0005-0000-0000-00006A090000}"/>
    <cellStyle name="Normal 2 3 3 2 5 3 3 2" xfId="2403" xr:uid="{00000000-0005-0000-0000-00006B090000}"/>
    <cellStyle name="Normal 2 3 3 2 5 3 4" xfId="2404" xr:uid="{00000000-0005-0000-0000-00006C090000}"/>
    <cellStyle name="Normal 2 3 3 2 5 3 4 2" xfId="2405" xr:uid="{00000000-0005-0000-0000-00006D090000}"/>
    <cellStyle name="Normal 2 3 3 2 5 3 5" xfId="2406" xr:uid="{00000000-0005-0000-0000-00006E090000}"/>
    <cellStyle name="Normal 2 3 3 2 5 4" xfId="2407" xr:uid="{00000000-0005-0000-0000-00006F090000}"/>
    <cellStyle name="Normal 2 3 3 2 5 4 2" xfId="2408" xr:uid="{00000000-0005-0000-0000-000070090000}"/>
    <cellStyle name="Normal 2 3 3 2 5 4 2 2" xfId="2409" xr:uid="{00000000-0005-0000-0000-000071090000}"/>
    <cellStyle name="Normal 2 3 3 2 5 4 3" xfId="2410" xr:uid="{00000000-0005-0000-0000-000072090000}"/>
    <cellStyle name="Normal 2 3 3 2 5 4 3 2" xfId="2411" xr:uid="{00000000-0005-0000-0000-000073090000}"/>
    <cellStyle name="Normal 2 3 3 2 5 4 4" xfId="2412" xr:uid="{00000000-0005-0000-0000-000074090000}"/>
    <cellStyle name="Normal 2 3 3 2 5 5" xfId="2413" xr:uid="{00000000-0005-0000-0000-000075090000}"/>
    <cellStyle name="Normal 2 3 3 2 5 5 2" xfId="2414" xr:uid="{00000000-0005-0000-0000-000076090000}"/>
    <cellStyle name="Normal 2 3 3 2 5 6" xfId="2415" xr:uid="{00000000-0005-0000-0000-000077090000}"/>
    <cellStyle name="Normal 2 3 3 2 5 6 2" xfId="2416" xr:uid="{00000000-0005-0000-0000-000078090000}"/>
    <cellStyle name="Normal 2 3 3 2 5 7" xfId="2417" xr:uid="{00000000-0005-0000-0000-000079090000}"/>
    <cellStyle name="Normal 2 3 3 2 6" xfId="2418" xr:uid="{00000000-0005-0000-0000-00007A090000}"/>
    <cellStyle name="Normal 2 3 3 2 6 2" xfId="2419" xr:uid="{00000000-0005-0000-0000-00007B090000}"/>
    <cellStyle name="Normal 2 3 3 2 6 2 2" xfId="2420" xr:uid="{00000000-0005-0000-0000-00007C090000}"/>
    <cellStyle name="Normal 2 3 3 2 6 2 2 2" xfId="2421" xr:uid="{00000000-0005-0000-0000-00007D090000}"/>
    <cellStyle name="Normal 2 3 3 2 6 2 3" xfId="2422" xr:uid="{00000000-0005-0000-0000-00007E090000}"/>
    <cellStyle name="Normal 2 3 3 2 6 2 3 2" xfId="2423" xr:uid="{00000000-0005-0000-0000-00007F090000}"/>
    <cellStyle name="Normal 2 3 3 2 6 2 4" xfId="2424" xr:uid="{00000000-0005-0000-0000-000080090000}"/>
    <cellStyle name="Normal 2 3 3 2 6 3" xfId="2425" xr:uid="{00000000-0005-0000-0000-000081090000}"/>
    <cellStyle name="Normal 2 3 3 2 6 3 2" xfId="2426" xr:uid="{00000000-0005-0000-0000-000082090000}"/>
    <cellStyle name="Normal 2 3 3 2 6 4" xfId="2427" xr:uid="{00000000-0005-0000-0000-000083090000}"/>
    <cellStyle name="Normal 2 3 3 2 6 4 2" xfId="2428" xr:uid="{00000000-0005-0000-0000-000084090000}"/>
    <cellStyle name="Normal 2 3 3 2 6 5" xfId="2429" xr:uid="{00000000-0005-0000-0000-000085090000}"/>
    <cellStyle name="Normal 2 3 3 2 7" xfId="2430" xr:uid="{00000000-0005-0000-0000-000086090000}"/>
    <cellStyle name="Normal 2 3 3 2 7 2" xfId="2431" xr:uid="{00000000-0005-0000-0000-000087090000}"/>
    <cellStyle name="Normal 2 3 3 2 7 2 2" xfId="2432" xr:uid="{00000000-0005-0000-0000-000088090000}"/>
    <cellStyle name="Normal 2 3 3 2 7 2 2 2" xfId="2433" xr:uid="{00000000-0005-0000-0000-000089090000}"/>
    <cellStyle name="Normal 2 3 3 2 7 2 3" xfId="2434" xr:uid="{00000000-0005-0000-0000-00008A090000}"/>
    <cellStyle name="Normal 2 3 3 2 7 2 3 2" xfId="2435" xr:uid="{00000000-0005-0000-0000-00008B090000}"/>
    <cellStyle name="Normal 2 3 3 2 7 2 4" xfId="2436" xr:uid="{00000000-0005-0000-0000-00008C090000}"/>
    <cellStyle name="Normal 2 3 3 2 7 3" xfId="2437" xr:uid="{00000000-0005-0000-0000-00008D090000}"/>
    <cellStyle name="Normal 2 3 3 2 7 3 2" xfId="2438" xr:uid="{00000000-0005-0000-0000-00008E090000}"/>
    <cellStyle name="Normal 2 3 3 2 7 4" xfId="2439" xr:uid="{00000000-0005-0000-0000-00008F090000}"/>
    <cellStyle name="Normal 2 3 3 2 7 4 2" xfId="2440" xr:uid="{00000000-0005-0000-0000-000090090000}"/>
    <cellStyle name="Normal 2 3 3 2 7 5" xfId="2441" xr:uid="{00000000-0005-0000-0000-000091090000}"/>
    <cellStyle name="Normal 2 3 3 2 8" xfId="2442" xr:uid="{00000000-0005-0000-0000-000092090000}"/>
    <cellStyle name="Normal 2 3 3 2 8 2" xfId="2443" xr:uid="{00000000-0005-0000-0000-000093090000}"/>
    <cellStyle name="Normal 2 3 3 2 8 2 2" xfId="2444" xr:uid="{00000000-0005-0000-0000-000094090000}"/>
    <cellStyle name="Normal 2 3 3 2 8 3" xfId="2445" xr:uid="{00000000-0005-0000-0000-000095090000}"/>
    <cellStyle name="Normal 2 3 3 2 8 3 2" xfId="2446" xr:uid="{00000000-0005-0000-0000-000096090000}"/>
    <cellStyle name="Normal 2 3 3 2 8 4" xfId="2447" xr:uid="{00000000-0005-0000-0000-000097090000}"/>
    <cellStyle name="Normal 2 3 3 2 9" xfId="2448" xr:uid="{00000000-0005-0000-0000-000098090000}"/>
    <cellStyle name="Normal 2 3 3 2 9 2" xfId="2449" xr:uid="{00000000-0005-0000-0000-000099090000}"/>
    <cellStyle name="Normal 2 3 3 3" xfId="2450" xr:uid="{00000000-0005-0000-0000-00009A090000}"/>
    <cellStyle name="Normal 2 3 3 3 2" xfId="2451" xr:uid="{00000000-0005-0000-0000-00009B090000}"/>
    <cellStyle name="Normal 2 3 3 3 2 2" xfId="2452" xr:uid="{00000000-0005-0000-0000-00009C090000}"/>
    <cellStyle name="Normal 2 3 3 3 2 2 2" xfId="2453" xr:uid="{00000000-0005-0000-0000-00009D090000}"/>
    <cellStyle name="Normal 2 3 3 3 2 2 2 2" xfId="2454" xr:uid="{00000000-0005-0000-0000-00009E090000}"/>
    <cellStyle name="Normal 2 3 3 3 2 2 2 2 2" xfId="2455" xr:uid="{00000000-0005-0000-0000-00009F090000}"/>
    <cellStyle name="Normal 2 3 3 3 2 2 2 3" xfId="2456" xr:uid="{00000000-0005-0000-0000-0000A0090000}"/>
    <cellStyle name="Normal 2 3 3 3 2 2 2 3 2" xfId="2457" xr:uid="{00000000-0005-0000-0000-0000A1090000}"/>
    <cellStyle name="Normal 2 3 3 3 2 2 2 4" xfId="2458" xr:uid="{00000000-0005-0000-0000-0000A2090000}"/>
    <cellStyle name="Normal 2 3 3 3 2 2 3" xfId="2459" xr:uid="{00000000-0005-0000-0000-0000A3090000}"/>
    <cellStyle name="Normal 2 3 3 3 2 2 3 2" xfId="2460" xr:uid="{00000000-0005-0000-0000-0000A4090000}"/>
    <cellStyle name="Normal 2 3 3 3 2 2 4" xfId="2461" xr:uid="{00000000-0005-0000-0000-0000A5090000}"/>
    <cellStyle name="Normal 2 3 3 3 2 2 4 2" xfId="2462" xr:uid="{00000000-0005-0000-0000-0000A6090000}"/>
    <cellStyle name="Normal 2 3 3 3 2 2 5" xfId="2463" xr:uid="{00000000-0005-0000-0000-0000A7090000}"/>
    <cellStyle name="Normal 2 3 3 3 2 3" xfId="2464" xr:uid="{00000000-0005-0000-0000-0000A8090000}"/>
    <cellStyle name="Normal 2 3 3 3 2 3 2" xfId="2465" xr:uid="{00000000-0005-0000-0000-0000A9090000}"/>
    <cellStyle name="Normal 2 3 3 3 2 3 2 2" xfId="2466" xr:uid="{00000000-0005-0000-0000-0000AA090000}"/>
    <cellStyle name="Normal 2 3 3 3 2 3 2 2 2" xfId="2467" xr:uid="{00000000-0005-0000-0000-0000AB090000}"/>
    <cellStyle name="Normal 2 3 3 3 2 3 2 3" xfId="2468" xr:uid="{00000000-0005-0000-0000-0000AC090000}"/>
    <cellStyle name="Normal 2 3 3 3 2 3 2 3 2" xfId="2469" xr:uid="{00000000-0005-0000-0000-0000AD090000}"/>
    <cellStyle name="Normal 2 3 3 3 2 3 2 4" xfId="2470" xr:uid="{00000000-0005-0000-0000-0000AE090000}"/>
    <cellStyle name="Normal 2 3 3 3 2 3 3" xfId="2471" xr:uid="{00000000-0005-0000-0000-0000AF090000}"/>
    <cellStyle name="Normal 2 3 3 3 2 3 3 2" xfId="2472" xr:uid="{00000000-0005-0000-0000-0000B0090000}"/>
    <cellStyle name="Normal 2 3 3 3 2 3 4" xfId="2473" xr:uid="{00000000-0005-0000-0000-0000B1090000}"/>
    <cellStyle name="Normal 2 3 3 3 2 3 4 2" xfId="2474" xr:uid="{00000000-0005-0000-0000-0000B2090000}"/>
    <cellStyle name="Normal 2 3 3 3 2 3 5" xfId="2475" xr:uid="{00000000-0005-0000-0000-0000B3090000}"/>
    <cellStyle name="Normal 2 3 3 3 2 4" xfId="2476" xr:uid="{00000000-0005-0000-0000-0000B4090000}"/>
    <cellStyle name="Normal 2 3 3 3 2 4 2" xfId="2477" xr:uid="{00000000-0005-0000-0000-0000B5090000}"/>
    <cellStyle name="Normal 2 3 3 3 2 4 2 2" xfId="2478" xr:uid="{00000000-0005-0000-0000-0000B6090000}"/>
    <cellStyle name="Normal 2 3 3 3 2 4 3" xfId="2479" xr:uid="{00000000-0005-0000-0000-0000B7090000}"/>
    <cellStyle name="Normal 2 3 3 3 2 4 3 2" xfId="2480" xr:uid="{00000000-0005-0000-0000-0000B8090000}"/>
    <cellStyle name="Normal 2 3 3 3 2 4 4" xfId="2481" xr:uid="{00000000-0005-0000-0000-0000B9090000}"/>
    <cellStyle name="Normal 2 3 3 3 2 5" xfId="2482" xr:uid="{00000000-0005-0000-0000-0000BA090000}"/>
    <cellStyle name="Normal 2 3 3 3 2 5 2" xfId="2483" xr:uid="{00000000-0005-0000-0000-0000BB090000}"/>
    <cellStyle name="Normal 2 3 3 3 2 6" xfId="2484" xr:uid="{00000000-0005-0000-0000-0000BC090000}"/>
    <cellStyle name="Normal 2 3 3 3 2 6 2" xfId="2485" xr:uid="{00000000-0005-0000-0000-0000BD090000}"/>
    <cellStyle name="Normal 2 3 3 3 2 7" xfId="2486" xr:uid="{00000000-0005-0000-0000-0000BE090000}"/>
    <cellStyle name="Normal 2 3 3 3 3" xfId="2487" xr:uid="{00000000-0005-0000-0000-0000BF090000}"/>
    <cellStyle name="Normal 2 3 3 3 3 2" xfId="2488" xr:uid="{00000000-0005-0000-0000-0000C0090000}"/>
    <cellStyle name="Normal 2 3 3 3 3 2 2" xfId="2489" xr:uid="{00000000-0005-0000-0000-0000C1090000}"/>
    <cellStyle name="Normal 2 3 3 3 3 2 2 2" xfId="2490" xr:uid="{00000000-0005-0000-0000-0000C2090000}"/>
    <cellStyle name="Normal 2 3 3 3 3 2 3" xfId="2491" xr:uid="{00000000-0005-0000-0000-0000C3090000}"/>
    <cellStyle name="Normal 2 3 3 3 3 2 3 2" xfId="2492" xr:uid="{00000000-0005-0000-0000-0000C4090000}"/>
    <cellStyle name="Normal 2 3 3 3 3 2 4" xfId="2493" xr:uid="{00000000-0005-0000-0000-0000C5090000}"/>
    <cellStyle name="Normal 2 3 3 3 3 3" xfId="2494" xr:uid="{00000000-0005-0000-0000-0000C6090000}"/>
    <cellStyle name="Normal 2 3 3 3 3 3 2" xfId="2495" xr:uid="{00000000-0005-0000-0000-0000C7090000}"/>
    <cellStyle name="Normal 2 3 3 3 3 4" xfId="2496" xr:uid="{00000000-0005-0000-0000-0000C8090000}"/>
    <cellStyle name="Normal 2 3 3 3 3 4 2" xfId="2497" xr:uid="{00000000-0005-0000-0000-0000C9090000}"/>
    <cellStyle name="Normal 2 3 3 3 3 5" xfId="2498" xr:uid="{00000000-0005-0000-0000-0000CA090000}"/>
    <cellStyle name="Normal 2 3 3 3 4" xfId="2499" xr:uid="{00000000-0005-0000-0000-0000CB090000}"/>
    <cellStyle name="Normal 2 3 3 3 4 2" xfId="2500" xr:uid="{00000000-0005-0000-0000-0000CC090000}"/>
    <cellStyle name="Normal 2 3 3 3 4 2 2" xfId="2501" xr:uid="{00000000-0005-0000-0000-0000CD090000}"/>
    <cellStyle name="Normal 2 3 3 3 4 2 2 2" xfId="2502" xr:uid="{00000000-0005-0000-0000-0000CE090000}"/>
    <cellStyle name="Normal 2 3 3 3 4 2 3" xfId="2503" xr:uid="{00000000-0005-0000-0000-0000CF090000}"/>
    <cellStyle name="Normal 2 3 3 3 4 2 3 2" xfId="2504" xr:uid="{00000000-0005-0000-0000-0000D0090000}"/>
    <cellStyle name="Normal 2 3 3 3 4 2 4" xfId="2505" xr:uid="{00000000-0005-0000-0000-0000D1090000}"/>
    <cellStyle name="Normal 2 3 3 3 4 3" xfId="2506" xr:uid="{00000000-0005-0000-0000-0000D2090000}"/>
    <cellStyle name="Normal 2 3 3 3 4 3 2" xfId="2507" xr:uid="{00000000-0005-0000-0000-0000D3090000}"/>
    <cellStyle name="Normal 2 3 3 3 4 4" xfId="2508" xr:uid="{00000000-0005-0000-0000-0000D4090000}"/>
    <cellStyle name="Normal 2 3 3 3 4 4 2" xfId="2509" xr:uid="{00000000-0005-0000-0000-0000D5090000}"/>
    <cellStyle name="Normal 2 3 3 3 4 5" xfId="2510" xr:uid="{00000000-0005-0000-0000-0000D6090000}"/>
    <cellStyle name="Normal 2 3 3 3 5" xfId="2511" xr:uid="{00000000-0005-0000-0000-0000D7090000}"/>
    <cellStyle name="Normal 2 3 3 3 5 2" xfId="2512" xr:uid="{00000000-0005-0000-0000-0000D8090000}"/>
    <cellStyle name="Normal 2 3 3 3 5 2 2" xfId="2513" xr:uid="{00000000-0005-0000-0000-0000D9090000}"/>
    <cellStyle name="Normal 2 3 3 3 5 3" xfId="2514" xr:uid="{00000000-0005-0000-0000-0000DA090000}"/>
    <cellStyle name="Normal 2 3 3 3 5 3 2" xfId="2515" xr:uid="{00000000-0005-0000-0000-0000DB090000}"/>
    <cellStyle name="Normal 2 3 3 3 5 4" xfId="2516" xr:uid="{00000000-0005-0000-0000-0000DC090000}"/>
    <cellStyle name="Normal 2 3 3 3 6" xfId="2517" xr:uid="{00000000-0005-0000-0000-0000DD090000}"/>
    <cellStyle name="Normal 2 3 3 3 6 2" xfId="2518" xr:uid="{00000000-0005-0000-0000-0000DE090000}"/>
    <cellStyle name="Normal 2 3 3 3 7" xfId="2519" xr:uid="{00000000-0005-0000-0000-0000DF090000}"/>
    <cellStyle name="Normal 2 3 3 3 7 2" xfId="2520" xr:uid="{00000000-0005-0000-0000-0000E0090000}"/>
    <cellStyle name="Normal 2 3 3 3 8" xfId="2521" xr:uid="{00000000-0005-0000-0000-0000E1090000}"/>
    <cellStyle name="Normal 2 3 3 4" xfId="2522" xr:uid="{00000000-0005-0000-0000-0000E2090000}"/>
    <cellStyle name="Normal 2 3 3 4 2" xfId="2523" xr:uid="{00000000-0005-0000-0000-0000E3090000}"/>
    <cellStyle name="Normal 2 3 3 4 2 2" xfId="2524" xr:uid="{00000000-0005-0000-0000-0000E4090000}"/>
    <cellStyle name="Normal 2 3 3 4 2 2 2" xfId="2525" xr:uid="{00000000-0005-0000-0000-0000E5090000}"/>
    <cellStyle name="Normal 2 3 3 4 2 2 2 2" xfId="2526" xr:uid="{00000000-0005-0000-0000-0000E6090000}"/>
    <cellStyle name="Normal 2 3 3 4 2 2 3" xfId="2527" xr:uid="{00000000-0005-0000-0000-0000E7090000}"/>
    <cellStyle name="Normal 2 3 3 4 2 2 3 2" xfId="2528" xr:uid="{00000000-0005-0000-0000-0000E8090000}"/>
    <cellStyle name="Normal 2 3 3 4 2 2 4" xfId="2529" xr:uid="{00000000-0005-0000-0000-0000E9090000}"/>
    <cellStyle name="Normal 2 3 3 4 2 3" xfId="2530" xr:uid="{00000000-0005-0000-0000-0000EA090000}"/>
    <cellStyle name="Normal 2 3 3 4 2 3 2" xfId="2531" xr:uid="{00000000-0005-0000-0000-0000EB090000}"/>
    <cellStyle name="Normal 2 3 3 4 2 4" xfId="2532" xr:uid="{00000000-0005-0000-0000-0000EC090000}"/>
    <cellStyle name="Normal 2 3 3 4 2 4 2" xfId="2533" xr:uid="{00000000-0005-0000-0000-0000ED090000}"/>
    <cellStyle name="Normal 2 3 3 4 2 5" xfId="2534" xr:uid="{00000000-0005-0000-0000-0000EE090000}"/>
    <cellStyle name="Normal 2 3 3 4 3" xfId="2535" xr:uid="{00000000-0005-0000-0000-0000EF090000}"/>
    <cellStyle name="Normal 2 3 3 4 3 2" xfId="2536" xr:uid="{00000000-0005-0000-0000-0000F0090000}"/>
    <cellStyle name="Normal 2 3 3 4 3 2 2" xfId="2537" xr:uid="{00000000-0005-0000-0000-0000F1090000}"/>
    <cellStyle name="Normal 2 3 3 4 3 2 2 2" xfId="2538" xr:uid="{00000000-0005-0000-0000-0000F2090000}"/>
    <cellStyle name="Normal 2 3 3 4 3 2 3" xfId="2539" xr:uid="{00000000-0005-0000-0000-0000F3090000}"/>
    <cellStyle name="Normal 2 3 3 4 3 2 3 2" xfId="2540" xr:uid="{00000000-0005-0000-0000-0000F4090000}"/>
    <cellStyle name="Normal 2 3 3 4 3 2 4" xfId="2541" xr:uid="{00000000-0005-0000-0000-0000F5090000}"/>
    <cellStyle name="Normal 2 3 3 4 3 3" xfId="2542" xr:uid="{00000000-0005-0000-0000-0000F6090000}"/>
    <cellStyle name="Normal 2 3 3 4 3 3 2" xfId="2543" xr:uid="{00000000-0005-0000-0000-0000F7090000}"/>
    <cellStyle name="Normal 2 3 3 4 3 4" xfId="2544" xr:uid="{00000000-0005-0000-0000-0000F8090000}"/>
    <cellStyle name="Normal 2 3 3 4 3 4 2" xfId="2545" xr:uid="{00000000-0005-0000-0000-0000F9090000}"/>
    <cellStyle name="Normal 2 3 3 4 3 5" xfId="2546" xr:uid="{00000000-0005-0000-0000-0000FA090000}"/>
    <cellStyle name="Normal 2 3 3 4 4" xfId="2547" xr:uid="{00000000-0005-0000-0000-0000FB090000}"/>
    <cellStyle name="Normal 2 3 3 4 4 2" xfId="2548" xr:uid="{00000000-0005-0000-0000-0000FC090000}"/>
    <cellStyle name="Normal 2 3 3 4 4 2 2" xfId="2549" xr:uid="{00000000-0005-0000-0000-0000FD090000}"/>
    <cellStyle name="Normal 2 3 3 4 4 3" xfId="2550" xr:uid="{00000000-0005-0000-0000-0000FE090000}"/>
    <cellStyle name="Normal 2 3 3 4 4 3 2" xfId="2551" xr:uid="{00000000-0005-0000-0000-0000FF090000}"/>
    <cellStyle name="Normal 2 3 3 4 4 4" xfId="2552" xr:uid="{00000000-0005-0000-0000-0000000A0000}"/>
    <cellStyle name="Normal 2 3 3 4 5" xfId="2553" xr:uid="{00000000-0005-0000-0000-0000010A0000}"/>
    <cellStyle name="Normal 2 3 3 4 5 2" xfId="2554" xr:uid="{00000000-0005-0000-0000-0000020A0000}"/>
    <cellStyle name="Normal 2 3 3 4 6" xfId="2555" xr:uid="{00000000-0005-0000-0000-0000030A0000}"/>
    <cellStyle name="Normal 2 3 3 4 6 2" xfId="2556" xr:uid="{00000000-0005-0000-0000-0000040A0000}"/>
    <cellStyle name="Normal 2 3 3 4 7" xfId="2557" xr:uid="{00000000-0005-0000-0000-0000050A0000}"/>
    <cellStyle name="Normal 2 3 3 5" xfId="2558" xr:uid="{00000000-0005-0000-0000-0000060A0000}"/>
    <cellStyle name="Normal 2 3 3 5 2" xfId="2559" xr:uid="{00000000-0005-0000-0000-0000070A0000}"/>
    <cellStyle name="Normal 2 3 3 5 2 2" xfId="2560" xr:uid="{00000000-0005-0000-0000-0000080A0000}"/>
    <cellStyle name="Normal 2 3 3 5 2 2 2" xfId="2561" xr:uid="{00000000-0005-0000-0000-0000090A0000}"/>
    <cellStyle name="Normal 2 3 3 5 2 2 2 2" xfId="2562" xr:uid="{00000000-0005-0000-0000-00000A0A0000}"/>
    <cellStyle name="Normal 2 3 3 5 2 2 3" xfId="2563" xr:uid="{00000000-0005-0000-0000-00000B0A0000}"/>
    <cellStyle name="Normal 2 3 3 5 2 2 3 2" xfId="2564" xr:uid="{00000000-0005-0000-0000-00000C0A0000}"/>
    <cellStyle name="Normal 2 3 3 5 2 2 4" xfId="2565" xr:uid="{00000000-0005-0000-0000-00000D0A0000}"/>
    <cellStyle name="Normal 2 3 3 5 2 3" xfId="2566" xr:uid="{00000000-0005-0000-0000-00000E0A0000}"/>
    <cellStyle name="Normal 2 3 3 5 2 3 2" xfId="2567" xr:uid="{00000000-0005-0000-0000-00000F0A0000}"/>
    <cellStyle name="Normal 2 3 3 5 2 4" xfId="2568" xr:uid="{00000000-0005-0000-0000-0000100A0000}"/>
    <cellStyle name="Normal 2 3 3 5 2 4 2" xfId="2569" xr:uid="{00000000-0005-0000-0000-0000110A0000}"/>
    <cellStyle name="Normal 2 3 3 5 2 5" xfId="2570" xr:uid="{00000000-0005-0000-0000-0000120A0000}"/>
    <cellStyle name="Normal 2 3 3 5 3" xfId="2571" xr:uid="{00000000-0005-0000-0000-0000130A0000}"/>
    <cellStyle name="Normal 2 3 3 5 3 2" xfId="2572" xr:uid="{00000000-0005-0000-0000-0000140A0000}"/>
    <cellStyle name="Normal 2 3 3 5 3 2 2" xfId="2573" xr:uid="{00000000-0005-0000-0000-0000150A0000}"/>
    <cellStyle name="Normal 2 3 3 5 3 2 2 2" xfId="2574" xr:uid="{00000000-0005-0000-0000-0000160A0000}"/>
    <cellStyle name="Normal 2 3 3 5 3 2 3" xfId="2575" xr:uid="{00000000-0005-0000-0000-0000170A0000}"/>
    <cellStyle name="Normal 2 3 3 5 3 2 3 2" xfId="2576" xr:uid="{00000000-0005-0000-0000-0000180A0000}"/>
    <cellStyle name="Normal 2 3 3 5 3 2 4" xfId="2577" xr:uid="{00000000-0005-0000-0000-0000190A0000}"/>
    <cellStyle name="Normal 2 3 3 5 3 3" xfId="2578" xr:uid="{00000000-0005-0000-0000-00001A0A0000}"/>
    <cellStyle name="Normal 2 3 3 5 3 3 2" xfId="2579" xr:uid="{00000000-0005-0000-0000-00001B0A0000}"/>
    <cellStyle name="Normal 2 3 3 5 3 4" xfId="2580" xr:uid="{00000000-0005-0000-0000-00001C0A0000}"/>
    <cellStyle name="Normal 2 3 3 5 3 4 2" xfId="2581" xr:uid="{00000000-0005-0000-0000-00001D0A0000}"/>
    <cellStyle name="Normal 2 3 3 5 3 5" xfId="2582" xr:uid="{00000000-0005-0000-0000-00001E0A0000}"/>
    <cellStyle name="Normal 2 3 3 5 4" xfId="2583" xr:uid="{00000000-0005-0000-0000-00001F0A0000}"/>
    <cellStyle name="Normal 2 3 3 5 4 2" xfId="2584" xr:uid="{00000000-0005-0000-0000-0000200A0000}"/>
    <cellStyle name="Normal 2 3 3 5 4 2 2" xfId="2585" xr:uid="{00000000-0005-0000-0000-0000210A0000}"/>
    <cellStyle name="Normal 2 3 3 5 4 3" xfId="2586" xr:uid="{00000000-0005-0000-0000-0000220A0000}"/>
    <cellStyle name="Normal 2 3 3 5 4 3 2" xfId="2587" xr:uid="{00000000-0005-0000-0000-0000230A0000}"/>
    <cellStyle name="Normal 2 3 3 5 4 4" xfId="2588" xr:uid="{00000000-0005-0000-0000-0000240A0000}"/>
    <cellStyle name="Normal 2 3 3 5 5" xfId="2589" xr:uid="{00000000-0005-0000-0000-0000250A0000}"/>
    <cellStyle name="Normal 2 3 3 5 5 2" xfId="2590" xr:uid="{00000000-0005-0000-0000-0000260A0000}"/>
    <cellStyle name="Normal 2 3 3 5 6" xfId="2591" xr:uid="{00000000-0005-0000-0000-0000270A0000}"/>
    <cellStyle name="Normal 2 3 3 5 6 2" xfId="2592" xr:uid="{00000000-0005-0000-0000-0000280A0000}"/>
    <cellStyle name="Normal 2 3 3 5 7" xfId="2593" xr:uid="{00000000-0005-0000-0000-0000290A0000}"/>
    <cellStyle name="Normal 2 3 3 6" xfId="2594" xr:uid="{00000000-0005-0000-0000-00002A0A0000}"/>
    <cellStyle name="Normal 2 3 3 6 2" xfId="2595" xr:uid="{00000000-0005-0000-0000-00002B0A0000}"/>
    <cellStyle name="Normal 2 3 3 6 2 2" xfId="2596" xr:uid="{00000000-0005-0000-0000-00002C0A0000}"/>
    <cellStyle name="Normal 2 3 3 6 2 2 2" xfId="2597" xr:uid="{00000000-0005-0000-0000-00002D0A0000}"/>
    <cellStyle name="Normal 2 3 3 6 2 2 2 2" xfId="2598" xr:uid="{00000000-0005-0000-0000-00002E0A0000}"/>
    <cellStyle name="Normal 2 3 3 6 2 2 3" xfId="2599" xr:uid="{00000000-0005-0000-0000-00002F0A0000}"/>
    <cellStyle name="Normal 2 3 3 6 2 2 3 2" xfId="2600" xr:uid="{00000000-0005-0000-0000-0000300A0000}"/>
    <cellStyle name="Normal 2 3 3 6 2 2 4" xfId="2601" xr:uid="{00000000-0005-0000-0000-0000310A0000}"/>
    <cellStyle name="Normal 2 3 3 6 2 3" xfId="2602" xr:uid="{00000000-0005-0000-0000-0000320A0000}"/>
    <cellStyle name="Normal 2 3 3 6 2 3 2" xfId="2603" xr:uid="{00000000-0005-0000-0000-0000330A0000}"/>
    <cellStyle name="Normal 2 3 3 6 2 4" xfId="2604" xr:uid="{00000000-0005-0000-0000-0000340A0000}"/>
    <cellStyle name="Normal 2 3 3 6 2 4 2" xfId="2605" xr:uid="{00000000-0005-0000-0000-0000350A0000}"/>
    <cellStyle name="Normal 2 3 3 6 2 5" xfId="2606" xr:uid="{00000000-0005-0000-0000-0000360A0000}"/>
    <cellStyle name="Normal 2 3 3 6 3" xfId="2607" xr:uid="{00000000-0005-0000-0000-0000370A0000}"/>
    <cellStyle name="Normal 2 3 3 6 3 2" xfId="2608" xr:uid="{00000000-0005-0000-0000-0000380A0000}"/>
    <cellStyle name="Normal 2 3 3 6 3 2 2" xfId="2609" xr:uid="{00000000-0005-0000-0000-0000390A0000}"/>
    <cellStyle name="Normal 2 3 3 6 3 2 2 2" xfId="2610" xr:uid="{00000000-0005-0000-0000-00003A0A0000}"/>
    <cellStyle name="Normal 2 3 3 6 3 2 3" xfId="2611" xr:uid="{00000000-0005-0000-0000-00003B0A0000}"/>
    <cellStyle name="Normal 2 3 3 6 3 2 3 2" xfId="2612" xr:uid="{00000000-0005-0000-0000-00003C0A0000}"/>
    <cellStyle name="Normal 2 3 3 6 3 2 4" xfId="2613" xr:uid="{00000000-0005-0000-0000-00003D0A0000}"/>
    <cellStyle name="Normal 2 3 3 6 3 3" xfId="2614" xr:uid="{00000000-0005-0000-0000-00003E0A0000}"/>
    <cellStyle name="Normal 2 3 3 6 3 3 2" xfId="2615" xr:uid="{00000000-0005-0000-0000-00003F0A0000}"/>
    <cellStyle name="Normal 2 3 3 6 3 4" xfId="2616" xr:uid="{00000000-0005-0000-0000-0000400A0000}"/>
    <cellStyle name="Normal 2 3 3 6 3 4 2" xfId="2617" xr:uid="{00000000-0005-0000-0000-0000410A0000}"/>
    <cellStyle name="Normal 2 3 3 6 3 5" xfId="2618" xr:uid="{00000000-0005-0000-0000-0000420A0000}"/>
    <cellStyle name="Normal 2 3 3 6 4" xfId="2619" xr:uid="{00000000-0005-0000-0000-0000430A0000}"/>
    <cellStyle name="Normal 2 3 3 6 4 2" xfId="2620" xr:uid="{00000000-0005-0000-0000-0000440A0000}"/>
    <cellStyle name="Normal 2 3 3 6 4 2 2" xfId="2621" xr:uid="{00000000-0005-0000-0000-0000450A0000}"/>
    <cellStyle name="Normal 2 3 3 6 4 3" xfId="2622" xr:uid="{00000000-0005-0000-0000-0000460A0000}"/>
    <cellStyle name="Normal 2 3 3 6 4 3 2" xfId="2623" xr:uid="{00000000-0005-0000-0000-0000470A0000}"/>
    <cellStyle name="Normal 2 3 3 6 4 4" xfId="2624" xr:uid="{00000000-0005-0000-0000-0000480A0000}"/>
    <cellStyle name="Normal 2 3 3 6 5" xfId="2625" xr:uid="{00000000-0005-0000-0000-0000490A0000}"/>
    <cellStyle name="Normal 2 3 3 6 5 2" xfId="2626" xr:uid="{00000000-0005-0000-0000-00004A0A0000}"/>
    <cellStyle name="Normal 2 3 3 6 6" xfId="2627" xr:uid="{00000000-0005-0000-0000-00004B0A0000}"/>
    <cellStyle name="Normal 2 3 3 6 6 2" xfId="2628" xr:uid="{00000000-0005-0000-0000-00004C0A0000}"/>
    <cellStyle name="Normal 2 3 3 6 7" xfId="2629" xr:uid="{00000000-0005-0000-0000-00004D0A0000}"/>
    <cellStyle name="Normal 2 3 3 7" xfId="2630" xr:uid="{00000000-0005-0000-0000-00004E0A0000}"/>
    <cellStyle name="Normal 2 3 3 7 2" xfId="2631" xr:uid="{00000000-0005-0000-0000-00004F0A0000}"/>
    <cellStyle name="Normal 2 3 3 7 2 2" xfId="2632" xr:uid="{00000000-0005-0000-0000-0000500A0000}"/>
    <cellStyle name="Normal 2 3 3 7 2 2 2" xfId="2633" xr:uid="{00000000-0005-0000-0000-0000510A0000}"/>
    <cellStyle name="Normal 2 3 3 7 2 2 2 2" xfId="2634" xr:uid="{00000000-0005-0000-0000-0000520A0000}"/>
    <cellStyle name="Normal 2 3 3 7 2 2 3" xfId="2635" xr:uid="{00000000-0005-0000-0000-0000530A0000}"/>
    <cellStyle name="Normal 2 3 3 7 2 2 3 2" xfId="2636" xr:uid="{00000000-0005-0000-0000-0000540A0000}"/>
    <cellStyle name="Normal 2 3 3 7 2 2 4" xfId="2637" xr:uid="{00000000-0005-0000-0000-0000550A0000}"/>
    <cellStyle name="Normal 2 3 3 7 2 3" xfId="2638" xr:uid="{00000000-0005-0000-0000-0000560A0000}"/>
    <cellStyle name="Normal 2 3 3 7 2 3 2" xfId="2639" xr:uid="{00000000-0005-0000-0000-0000570A0000}"/>
    <cellStyle name="Normal 2 3 3 7 2 4" xfId="2640" xr:uid="{00000000-0005-0000-0000-0000580A0000}"/>
    <cellStyle name="Normal 2 3 3 7 2 4 2" xfId="2641" xr:uid="{00000000-0005-0000-0000-0000590A0000}"/>
    <cellStyle name="Normal 2 3 3 7 2 5" xfId="2642" xr:uid="{00000000-0005-0000-0000-00005A0A0000}"/>
    <cellStyle name="Normal 2 3 3 7 3" xfId="2643" xr:uid="{00000000-0005-0000-0000-00005B0A0000}"/>
    <cellStyle name="Normal 2 3 3 7 3 2" xfId="2644" xr:uid="{00000000-0005-0000-0000-00005C0A0000}"/>
    <cellStyle name="Normal 2 3 3 7 3 2 2" xfId="2645" xr:uid="{00000000-0005-0000-0000-00005D0A0000}"/>
    <cellStyle name="Normal 2 3 3 7 3 2 2 2" xfId="2646" xr:uid="{00000000-0005-0000-0000-00005E0A0000}"/>
    <cellStyle name="Normal 2 3 3 7 3 2 3" xfId="2647" xr:uid="{00000000-0005-0000-0000-00005F0A0000}"/>
    <cellStyle name="Normal 2 3 3 7 3 2 3 2" xfId="2648" xr:uid="{00000000-0005-0000-0000-0000600A0000}"/>
    <cellStyle name="Normal 2 3 3 7 3 2 4" xfId="2649" xr:uid="{00000000-0005-0000-0000-0000610A0000}"/>
    <cellStyle name="Normal 2 3 3 7 3 3" xfId="2650" xr:uid="{00000000-0005-0000-0000-0000620A0000}"/>
    <cellStyle name="Normal 2 3 3 7 3 3 2" xfId="2651" xr:uid="{00000000-0005-0000-0000-0000630A0000}"/>
    <cellStyle name="Normal 2 3 3 7 3 4" xfId="2652" xr:uid="{00000000-0005-0000-0000-0000640A0000}"/>
    <cellStyle name="Normal 2 3 3 7 3 4 2" xfId="2653" xr:uid="{00000000-0005-0000-0000-0000650A0000}"/>
    <cellStyle name="Normal 2 3 3 7 3 5" xfId="2654" xr:uid="{00000000-0005-0000-0000-0000660A0000}"/>
    <cellStyle name="Normal 2 3 3 7 4" xfId="2655" xr:uid="{00000000-0005-0000-0000-0000670A0000}"/>
    <cellStyle name="Normal 2 3 3 7 4 2" xfId="2656" xr:uid="{00000000-0005-0000-0000-0000680A0000}"/>
    <cellStyle name="Normal 2 3 3 7 4 2 2" xfId="2657" xr:uid="{00000000-0005-0000-0000-0000690A0000}"/>
    <cellStyle name="Normal 2 3 3 7 4 3" xfId="2658" xr:uid="{00000000-0005-0000-0000-00006A0A0000}"/>
    <cellStyle name="Normal 2 3 3 7 4 3 2" xfId="2659" xr:uid="{00000000-0005-0000-0000-00006B0A0000}"/>
    <cellStyle name="Normal 2 3 3 7 4 4" xfId="2660" xr:uid="{00000000-0005-0000-0000-00006C0A0000}"/>
    <cellStyle name="Normal 2 3 3 7 5" xfId="2661" xr:uid="{00000000-0005-0000-0000-00006D0A0000}"/>
    <cellStyle name="Normal 2 3 3 7 5 2" xfId="2662" xr:uid="{00000000-0005-0000-0000-00006E0A0000}"/>
    <cellStyle name="Normal 2 3 3 7 6" xfId="2663" xr:uid="{00000000-0005-0000-0000-00006F0A0000}"/>
    <cellStyle name="Normal 2 3 3 7 6 2" xfId="2664" xr:uid="{00000000-0005-0000-0000-0000700A0000}"/>
    <cellStyle name="Normal 2 3 3 7 7" xfId="2665" xr:uid="{00000000-0005-0000-0000-0000710A0000}"/>
    <cellStyle name="Normal 2 3 3 8" xfId="2666" xr:uid="{00000000-0005-0000-0000-0000720A0000}"/>
    <cellStyle name="Normal 2 3 3 8 2" xfId="2667" xr:uid="{00000000-0005-0000-0000-0000730A0000}"/>
    <cellStyle name="Normal 2 3 3 8 2 2" xfId="2668" xr:uid="{00000000-0005-0000-0000-0000740A0000}"/>
    <cellStyle name="Normal 2 3 3 8 2 2 2" xfId="2669" xr:uid="{00000000-0005-0000-0000-0000750A0000}"/>
    <cellStyle name="Normal 2 3 3 8 2 3" xfId="2670" xr:uid="{00000000-0005-0000-0000-0000760A0000}"/>
    <cellStyle name="Normal 2 3 3 8 2 3 2" xfId="2671" xr:uid="{00000000-0005-0000-0000-0000770A0000}"/>
    <cellStyle name="Normal 2 3 3 8 2 4" xfId="2672" xr:uid="{00000000-0005-0000-0000-0000780A0000}"/>
    <cellStyle name="Normal 2 3 3 8 3" xfId="2673" xr:uid="{00000000-0005-0000-0000-0000790A0000}"/>
    <cellStyle name="Normal 2 3 3 8 3 2" xfId="2674" xr:uid="{00000000-0005-0000-0000-00007A0A0000}"/>
    <cellStyle name="Normal 2 3 3 8 4" xfId="2675" xr:uid="{00000000-0005-0000-0000-00007B0A0000}"/>
    <cellStyle name="Normal 2 3 3 8 4 2" xfId="2676" xr:uid="{00000000-0005-0000-0000-00007C0A0000}"/>
    <cellStyle name="Normal 2 3 3 8 5" xfId="2677" xr:uid="{00000000-0005-0000-0000-00007D0A0000}"/>
    <cellStyle name="Normal 2 3 3 9" xfId="2678" xr:uid="{00000000-0005-0000-0000-00007E0A0000}"/>
    <cellStyle name="Normal 2 3 3 9 2" xfId="2679" xr:uid="{00000000-0005-0000-0000-00007F0A0000}"/>
    <cellStyle name="Normal 2 3 3 9 2 2" xfId="2680" xr:uid="{00000000-0005-0000-0000-0000800A0000}"/>
    <cellStyle name="Normal 2 3 3 9 2 2 2" xfId="2681" xr:uid="{00000000-0005-0000-0000-0000810A0000}"/>
    <cellStyle name="Normal 2 3 3 9 2 3" xfId="2682" xr:uid="{00000000-0005-0000-0000-0000820A0000}"/>
    <cellStyle name="Normal 2 3 3 9 2 3 2" xfId="2683" xr:uid="{00000000-0005-0000-0000-0000830A0000}"/>
    <cellStyle name="Normal 2 3 3 9 2 4" xfId="2684" xr:uid="{00000000-0005-0000-0000-0000840A0000}"/>
    <cellStyle name="Normal 2 3 3 9 3" xfId="2685" xr:uid="{00000000-0005-0000-0000-0000850A0000}"/>
    <cellStyle name="Normal 2 3 3 9 3 2" xfId="2686" xr:uid="{00000000-0005-0000-0000-0000860A0000}"/>
    <cellStyle name="Normal 2 3 3 9 4" xfId="2687" xr:uid="{00000000-0005-0000-0000-0000870A0000}"/>
    <cellStyle name="Normal 2 3 3 9 4 2" xfId="2688" xr:uid="{00000000-0005-0000-0000-0000880A0000}"/>
    <cellStyle name="Normal 2 3 3 9 5" xfId="2689" xr:uid="{00000000-0005-0000-0000-0000890A0000}"/>
    <cellStyle name="Normal 2 3 4" xfId="2690" xr:uid="{00000000-0005-0000-0000-00008A0A0000}"/>
    <cellStyle name="Normal 2 3 4 10" xfId="2691" xr:uid="{00000000-0005-0000-0000-00008B0A0000}"/>
    <cellStyle name="Normal 2 3 4 10 2" xfId="2692" xr:uid="{00000000-0005-0000-0000-00008C0A0000}"/>
    <cellStyle name="Normal 2 3 4 11" xfId="2693" xr:uid="{00000000-0005-0000-0000-00008D0A0000}"/>
    <cellStyle name="Normal 2 3 4 2" xfId="2694" xr:uid="{00000000-0005-0000-0000-00008E0A0000}"/>
    <cellStyle name="Normal 2 3 4 2 2" xfId="2695" xr:uid="{00000000-0005-0000-0000-00008F0A0000}"/>
    <cellStyle name="Normal 2 3 4 2 2 2" xfId="2696" xr:uid="{00000000-0005-0000-0000-0000900A0000}"/>
    <cellStyle name="Normal 2 3 4 2 2 2 2" xfId="2697" xr:uid="{00000000-0005-0000-0000-0000910A0000}"/>
    <cellStyle name="Normal 2 3 4 2 2 2 2 2" xfId="2698" xr:uid="{00000000-0005-0000-0000-0000920A0000}"/>
    <cellStyle name="Normal 2 3 4 2 2 2 3" xfId="2699" xr:uid="{00000000-0005-0000-0000-0000930A0000}"/>
    <cellStyle name="Normal 2 3 4 2 2 2 3 2" xfId="2700" xr:uid="{00000000-0005-0000-0000-0000940A0000}"/>
    <cellStyle name="Normal 2 3 4 2 2 2 4" xfId="2701" xr:uid="{00000000-0005-0000-0000-0000950A0000}"/>
    <cellStyle name="Normal 2 3 4 2 2 3" xfId="2702" xr:uid="{00000000-0005-0000-0000-0000960A0000}"/>
    <cellStyle name="Normal 2 3 4 2 2 3 2" xfId="2703" xr:uid="{00000000-0005-0000-0000-0000970A0000}"/>
    <cellStyle name="Normal 2 3 4 2 2 4" xfId="2704" xr:uid="{00000000-0005-0000-0000-0000980A0000}"/>
    <cellStyle name="Normal 2 3 4 2 2 4 2" xfId="2705" xr:uid="{00000000-0005-0000-0000-0000990A0000}"/>
    <cellStyle name="Normal 2 3 4 2 2 5" xfId="2706" xr:uid="{00000000-0005-0000-0000-00009A0A0000}"/>
    <cellStyle name="Normal 2 3 4 2 3" xfId="2707" xr:uid="{00000000-0005-0000-0000-00009B0A0000}"/>
    <cellStyle name="Normal 2 3 4 2 3 2" xfId="2708" xr:uid="{00000000-0005-0000-0000-00009C0A0000}"/>
    <cellStyle name="Normal 2 3 4 2 3 2 2" xfId="2709" xr:uid="{00000000-0005-0000-0000-00009D0A0000}"/>
    <cellStyle name="Normal 2 3 4 2 3 2 2 2" xfId="2710" xr:uid="{00000000-0005-0000-0000-00009E0A0000}"/>
    <cellStyle name="Normal 2 3 4 2 3 2 3" xfId="2711" xr:uid="{00000000-0005-0000-0000-00009F0A0000}"/>
    <cellStyle name="Normal 2 3 4 2 3 2 3 2" xfId="2712" xr:uid="{00000000-0005-0000-0000-0000A00A0000}"/>
    <cellStyle name="Normal 2 3 4 2 3 2 4" xfId="2713" xr:uid="{00000000-0005-0000-0000-0000A10A0000}"/>
    <cellStyle name="Normal 2 3 4 2 3 3" xfId="2714" xr:uid="{00000000-0005-0000-0000-0000A20A0000}"/>
    <cellStyle name="Normal 2 3 4 2 3 3 2" xfId="2715" xr:uid="{00000000-0005-0000-0000-0000A30A0000}"/>
    <cellStyle name="Normal 2 3 4 2 3 4" xfId="2716" xr:uid="{00000000-0005-0000-0000-0000A40A0000}"/>
    <cellStyle name="Normal 2 3 4 2 3 4 2" xfId="2717" xr:uid="{00000000-0005-0000-0000-0000A50A0000}"/>
    <cellStyle name="Normal 2 3 4 2 3 5" xfId="2718" xr:uid="{00000000-0005-0000-0000-0000A60A0000}"/>
    <cellStyle name="Normal 2 3 4 2 4" xfId="2719" xr:uid="{00000000-0005-0000-0000-0000A70A0000}"/>
    <cellStyle name="Normal 2 3 4 2 4 2" xfId="2720" xr:uid="{00000000-0005-0000-0000-0000A80A0000}"/>
    <cellStyle name="Normal 2 3 4 2 4 2 2" xfId="2721" xr:uid="{00000000-0005-0000-0000-0000A90A0000}"/>
    <cellStyle name="Normal 2 3 4 2 4 3" xfId="2722" xr:uid="{00000000-0005-0000-0000-0000AA0A0000}"/>
    <cellStyle name="Normal 2 3 4 2 4 3 2" xfId="2723" xr:uid="{00000000-0005-0000-0000-0000AB0A0000}"/>
    <cellStyle name="Normal 2 3 4 2 4 4" xfId="2724" xr:uid="{00000000-0005-0000-0000-0000AC0A0000}"/>
    <cellStyle name="Normal 2 3 4 2 5" xfId="2725" xr:uid="{00000000-0005-0000-0000-0000AD0A0000}"/>
    <cellStyle name="Normal 2 3 4 2 5 2" xfId="2726" xr:uid="{00000000-0005-0000-0000-0000AE0A0000}"/>
    <cellStyle name="Normal 2 3 4 2 6" xfId="2727" xr:uid="{00000000-0005-0000-0000-0000AF0A0000}"/>
    <cellStyle name="Normal 2 3 4 2 6 2" xfId="2728" xr:uid="{00000000-0005-0000-0000-0000B00A0000}"/>
    <cellStyle name="Normal 2 3 4 2 7" xfId="2729" xr:uid="{00000000-0005-0000-0000-0000B10A0000}"/>
    <cellStyle name="Normal 2 3 4 3" xfId="2730" xr:uid="{00000000-0005-0000-0000-0000B20A0000}"/>
    <cellStyle name="Normal 2 3 4 3 2" xfId="2731" xr:uid="{00000000-0005-0000-0000-0000B30A0000}"/>
    <cellStyle name="Normal 2 3 4 3 2 2" xfId="2732" xr:uid="{00000000-0005-0000-0000-0000B40A0000}"/>
    <cellStyle name="Normal 2 3 4 3 2 2 2" xfId="2733" xr:uid="{00000000-0005-0000-0000-0000B50A0000}"/>
    <cellStyle name="Normal 2 3 4 3 2 2 2 2" xfId="2734" xr:uid="{00000000-0005-0000-0000-0000B60A0000}"/>
    <cellStyle name="Normal 2 3 4 3 2 2 3" xfId="2735" xr:uid="{00000000-0005-0000-0000-0000B70A0000}"/>
    <cellStyle name="Normal 2 3 4 3 2 2 3 2" xfId="2736" xr:uid="{00000000-0005-0000-0000-0000B80A0000}"/>
    <cellStyle name="Normal 2 3 4 3 2 2 4" xfId="2737" xr:uid="{00000000-0005-0000-0000-0000B90A0000}"/>
    <cellStyle name="Normal 2 3 4 3 2 3" xfId="2738" xr:uid="{00000000-0005-0000-0000-0000BA0A0000}"/>
    <cellStyle name="Normal 2 3 4 3 2 3 2" xfId="2739" xr:uid="{00000000-0005-0000-0000-0000BB0A0000}"/>
    <cellStyle name="Normal 2 3 4 3 2 4" xfId="2740" xr:uid="{00000000-0005-0000-0000-0000BC0A0000}"/>
    <cellStyle name="Normal 2 3 4 3 2 4 2" xfId="2741" xr:uid="{00000000-0005-0000-0000-0000BD0A0000}"/>
    <cellStyle name="Normal 2 3 4 3 2 5" xfId="2742" xr:uid="{00000000-0005-0000-0000-0000BE0A0000}"/>
    <cellStyle name="Normal 2 3 4 3 3" xfId="2743" xr:uid="{00000000-0005-0000-0000-0000BF0A0000}"/>
    <cellStyle name="Normal 2 3 4 3 3 2" xfId="2744" xr:uid="{00000000-0005-0000-0000-0000C00A0000}"/>
    <cellStyle name="Normal 2 3 4 3 3 2 2" xfId="2745" xr:uid="{00000000-0005-0000-0000-0000C10A0000}"/>
    <cellStyle name="Normal 2 3 4 3 3 2 2 2" xfId="2746" xr:uid="{00000000-0005-0000-0000-0000C20A0000}"/>
    <cellStyle name="Normal 2 3 4 3 3 2 3" xfId="2747" xr:uid="{00000000-0005-0000-0000-0000C30A0000}"/>
    <cellStyle name="Normal 2 3 4 3 3 2 3 2" xfId="2748" xr:uid="{00000000-0005-0000-0000-0000C40A0000}"/>
    <cellStyle name="Normal 2 3 4 3 3 2 4" xfId="2749" xr:uid="{00000000-0005-0000-0000-0000C50A0000}"/>
    <cellStyle name="Normal 2 3 4 3 3 3" xfId="2750" xr:uid="{00000000-0005-0000-0000-0000C60A0000}"/>
    <cellStyle name="Normal 2 3 4 3 3 3 2" xfId="2751" xr:uid="{00000000-0005-0000-0000-0000C70A0000}"/>
    <cellStyle name="Normal 2 3 4 3 3 4" xfId="2752" xr:uid="{00000000-0005-0000-0000-0000C80A0000}"/>
    <cellStyle name="Normal 2 3 4 3 3 4 2" xfId="2753" xr:uid="{00000000-0005-0000-0000-0000C90A0000}"/>
    <cellStyle name="Normal 2 3 4 3 3 5" xfId="2754" xr:uid="{00000000-0005-0000-0000-0000CA0A0000}"/>
    <cellStyle name="Normal 2 3 4 3 4" xfId="2755" xr:uid="{00000000-0005-0000-0000-0000CB0A0000}"/>
    <cellStyle name="Normal 2 3 4 3 4 2" xfId="2756" xr:uid="{00000000-0005-0000-0000-0000CC0A0000}"/>
    <cellStyle name="Normal 2 3 4 3 4 2 2" xfId="2757" xr:uid="{00000000-0005-0000-0000-0000CD0A0000}"/>
    <cellStyle name="Normal 2 3 4 3 4 3" xfId="2758" xr:uid="{00000000-0005-0000-0000-0000CE0A0000}"/>
    <cellStyle name="Normal 2 3 4 3 4 3 2" xfId="2759" xr:uid="{00000000-0005-0000-0000-0000CF0A0000}"/>
    <cellStyle name="Normal 2 3 4 3 4 4" xfId="2760" xr:uid="{00000000-0005-0000-0000-0000D00A0000}"/>
    <cellStyle name="Normal 2 3 4 3 5" xfId="2761" xr:uid="{00000000-0005-0000-0000-0000D10A0000}"/>
    <cellStyle name="Normal 2 3 4 3 5 2" xfId="2762" xr:uid="{00000000-0005-0000-0000-0000D20A0000}"/>
    <cellStyle name="Normal 2 3 4 3 6" xfId="2763" xr:uid="{00000000-0005-0000-0000-0000D30A0000}"/>
    <cellStyle name="Normal 2 3 4 3 6 2" xfId="2764" xr:uid="{00000000-0005-0000-0000-0000D40A0000}"/>
    <cellStyle name="Normal 2 3 4 3 7" xfId="2765" xr:uid="{00000000-0005-0000-0000-0000D50A0000}"/>
    <cellStyle name="Normal 2 3 4 4" xfId="2766" xr:uid="{00000000-0005-0000-0000-0000D60A0000}"/>
    <cellStyle name="Normal 2 3 4 4 2" xfId="2767" xr:uid="{00000000-0005-0000-0000-0000D70A0000}"/>
    <cellStyle name="Normal 2 3 4 4 2 2" xfId="2768" xr:uid="{00000000-0005-0000-0000-0000D80A0000}"/>
    <cellStyle name="Normal 2 3 4 4 2 2 2" xfId="2769" xr:uid="{00000000-0005-0000-0000-0000D90A0000}"/>
    <cellStyle name="Normal 2 3 4 4 2 2 2 2" xfId="2770" xr:uid="{00000000-0005-0000-0000-0000DA0A0000}"/>
    <cellStyle name="Normal 2 3 4 4 2 2 3" xfId="2771" xr:uid="{00000000-0005-0000-0000-0000DB0A0000}"/>
    <cellStyle name="Normal 2 3 4 4 2 2 3 2" xfId="2772" xr:uid="{00000000-0005-0000-0000-0000DC0A0000}"/>
    <cellStyle name="Normal 2 3 4 4 2 2 4" xfId="2773" xr:uid="{00000000-0005-0000-0000-0000DD0A0000}"/>
    <cellStyle name="Normal 2 3 4 4 2 3" xfId="2774" xr:uid="{00000000-0005-0000-0000-0000DE0A0000}"/>
    <cellStyle name="Normal 2 3 4 4 2 3 2" xfId="2775" xr:uid="{00000000-0005-0000-0000-0000DF0A0000}"/>
    <cellStyle name="Normal 2 3 4 4 2 4" xfId="2776" xr:uid="{00000000-0005-0000-0000-0000E00A0000}"/>
    <cellStyle name="Normal 2 3 4 4 2 4 2" xfId="2777" xr:uid="{00000000-0005-0000-0000-0000E10A0000}"/>
    <cellStyle name="Normal 2 3 4 4 2 5" xfId="2778" xr:uid="{00000000-0005-0000-0000-0000E20A0000}"/>
    <cellStyle name="Normal 2 3 4 4 3" xfId="2779" xr:uid="{00000000-0005-0000-0000-0000E30A0000}"/>
    <cellStyle name="Normal 2 3 4 4 3 2" xfId="2780" xr:uid="{00000000-0005-0000-0000-0000E40A0000}"/>
    <cellStyle name="Normal 2 3 4 4 3 2 2" xfId="2781" xr:uid="{00000000-0005-0000-0000-0000E50A0000}"/>
    <cellStyle name="Normal 2 3 4 4 3 2 2 2" xfId="2782" xr:uid="{00000000-0005-0000-0000-0000E60A0000}"/>
    <cellStyle name="Normal 2 3 4 4 3 2 3" xfId="2783" xr:uid="{00000000-0005-0000-0000-0000E70A0000}"/>
    <cellStyle name="Normal 2 3 4 4 3 2 3 2" xfId="2784" xr:uid="{00000000-0005-0000-0000-0000E80A0000}"/>
    <cellStyle name="Normal 2 3 4 4 3 2 4" xfId="2785" xr:uid="{00000000-0005-0000-0000-0000E90A0000}"/>
    <cellStyle name="Normal 2 3 4 4 3 3" xfId="2786" xr:uid="{00000000-0005-0000-0000-0000EA0A0000}"/>
    <cellStyle name="Normal 2 3 4 4 3 3 2" xfId="2787" xr:uid="{00000000-0005-0000-0000-0000EB0A0000}"/>
    <cellStyle name="Normal 2 3 4 4 3 4" xfId="2788" xr:uid="{00000000-0005-0000-0000-0000EC0A0000}"/>
    <cellStyle name="Normal 2 3 4 4 3 4 2" xfId="2789" xr:uid="{00000000-0005-0000-0000-0000ED0A0000}"/>
    <cellStyle name="Normal 2 3 4 4 3 5" xfId="2790" xr:uid="{00000000-0005-0000-0000-0000EE0A0000}"/>
    <cellStyle name="Normal 2 3 4 4 4" xfId="2791" xr:uid="{00000000-0005-0000-0000-0000EF0A0000}"/>
    <cellStyle name="Normal 2 3 4 4 4 2" xfId="2792" xr:uid="{00000000-0005-0000-0000-0000F00A0000}"/>
    <cellStyle name="Normal 2 3 4 4 4 2 2" xfId="2793" xr:uid="{00000000-0005-0000-0000-0000F10A0000}"/>
    <cellStyle name="Normal 2 3 4 4 4 3" xfId="2794" xr:uid="{00000000-0005-0000-0000-0000F20A0000}"/>
    <cellStyle name="Normal 2 3 4 4 4 3 2" xfId="2795" xr:uid="{00000000-0005-0000-0000-0000F30A0000}"/>
    <cellStyle name="Normal 2 3 4 4 4 4" xfId="2796" xr:uid="{00000000-0005-0000-0000-0000F40A0000}"/>
    <cellStyle name="Normal 2 3 4 4 5" xfId="2797" xr:uid="{00000000-0005-0000-0000-0000F50A0000}"/>
    <cellStyle name="Normal 2 3 4 4 5 2" xfId="2798" xr:uid="{00000000-0005-0000-0000-0000F60A0000}"/>
    <cellStyle name="Normal 2 3 4 4 6" xfId="2799" xr:uid="{00000000-0005-0000-0000-0000F70A0000}"/>
    <cellStyle name="Normal 2 3 4 4 6 2" xfId="2800" xr:uid="{00000000-0005-0000-0000-0000F80A0000}"/>
    <cellStyle name="Normal 2 3 4 4 7" xfId="2801" xr:uid="{00000000-0005-0000-0000-0000F90A0000}"/>
    <cellStyle name="Normal 2 3 4 5" xfId="2802" xr:uid="{00000000-0005-0000-0000-0000FA0A0000}"/>
    <cellStyle name="Normal 2 3 4 5 2" xfId="2803" xr:uid="{00000000-0005-0000-0000-0000FB0A0000}"/>
    <cellStyle name="Normal 2 3 4 5 2 2" xfId="2804" xr:uid="{00000000-0005-0000-0000-0000FC0A0000}"/>
    <cellStyle name="Normal 2 3 4 5 2 2 2" xfId="2805" xr:uid="{00000000-0005-0000-0000-0000FD0A0000}"/>
    <cellStyle name="Normal 2 3 4 5 2 2 2 2" xfId="2806" xr:uid="{00000000-0005-0000-0000-0000FE0A0000}"/>
    <cellStyle name="Normal 2 3 4 5 2 2 3" xfId="2807" xr:uid="{00000000-0005-0000-0000-0000FF0A0000}"/>
    <cellStyle name="Normal 2 3 4 5 2 2 3 2" xfId="2808" xr:uid="{00000000-0005-0000-0000-0000000B0000}"/>
    <cellStyle name="Normal 2 3 4 5 2 2 4" xfId="2809" xr:uid="{00000000-0005-0000-0000-0000010B0000}"/>
    <cellStyle name="Normal 2 3 4 5 2 3" xfId="2810" xr:uid="{00000000-0005-0000-0000-0000020B0000}"/>
    <cellStyle name="Normal 2 3 4 5 2 3 2" xfId="2811" xr:uid="{00000000-0005-0000-0000-0000030B0000}"/>
    <cellStyle name="Normal 2 3 4 5 2 4" xfId="2812" xr:uid="{00000000-0005-0000-0000-0000040B0000}"/>
    <cellStyle name="Normal 2 3 4 5 2 4 2" xfId="2813" xr:uid="{00000000-0005-0000-0000-0000050B0000}"/>
    <cellStyle name="Normal 2 3 4 5 2 5" xfId="2814" xr:uid="{00000000-0005-0000-0000-0000060B0000}"/>
    <cellStyle name="Normal 2 3 4 5 3" xfId="2815" xr:uid="{00000000-0005-0000-0000-0000070B0000}"/>
    <cellStyle name="Normal 2 3 4 5 3 2" xfId="2816" xr:uid="{00000000-0005-0000-0000-0000080B0000}"/>
    <cellStyle name="Normal 2 3 4 5 3 2 2" xfId="2817" xr:uid="{00000000-0005-0000-0000-0000090B0000}"/>
    <cellStyle name="Normal 2 3 4 5 3 2 2 2" xfId="2818" xr:uid="{00000000-0005-0000-0000-00000A0B0000}"/>
    <cellStyle name="Normal 2 3 4 5 3 2 3" xfId="2819" xr:uid="{00000000-0005-0000-0000-00000B0B0000}"/>
    <cellStyle name="Normal 2 3 4 5 3 2 3 2" xfId="2820" xr:uid="{00000000-0005-0000-0000-00000C0B0000}"/>
    <cellStyle name="Normal 2 3 4 5 3 2 4" xfId="2821" xr:uid="{00000000-0005-0000-0000-00000D0B0000}"/>
    <cellStyle name="Normal 2 3 4 5 3 3" xfId="2822" xr:uid="{00000000-0005-0000-0000-00000E0B0000}"/>
    <cellStyle name="Normal 2 3 4 5 3 3 2" xfId="2823" xr:uid="{00000000-0005-0000-0000-00000F0B0000}"/>
    <cellStyle name="Normal 2 3 4 5 3 4" xfId="2824" xr:uid="{00000000-0005-0000-0000-0000100B0000}"/>
    <cellStyle name="Normal 2 3 4 5 3 4 2" xfId="2825" xr:uid="{00000000-0005-0000-0000-0000110B0000}"/>
    <cellStyle name="Normal 2 3 4 5 3 5" xfId="2826" xr:uid="{00000000-0005-0000-0000-0000120B0000}"/>
    <cellStyle name="Normal 2 3 4 5 4" xfId="2827" xr:uid="{00000000-0005-0000-0000-0000130B0000}"/>
    <cellStyle name="Normal 2 3 4 5 4 2" xfId="2828" xr:uid="{00000000-0005-0000-0000-0000140B0000}"/>
    <cellStyle name="Normal 2 3 4 5 4 2 2" xfId="2829" xr:uid="{00000000-0005-0000-0000-0000150B0000}"/>
    <cellStyle name="Normal 2 3 4 5 4 3" xfId="2830" xr:uid="{00000000-0005-0000-0000-0000160B0000}"/>
    <cellStyle name="Normal 2 3 4 5 4 3 2" xfId="2831" xr:uid="{00000000-0005-0000-0000-0000170B0000}"/>
    <cellStyle name="Normal 2 3 4 5 4 4" xfId="2832" xr:uid="{00000000-0005-0000-0000-0000180B0000}"/>
    <cellStyle name="Normal 2 3 4 5 5" xfId="2833" xr:uid="{00000000-0005-0000-0000-0000190B0000}"/>
    <cellStyle name="Normal 2 3 4 5 5 2" xfId="2834" xr:uid="{00000000-0005-0000-0000-00001A0B0000}"/>
    <cellStyle name="Normal 2 3 4 5 6" xfId="2835" xr:uid="{00000000-0005-0000-0000-00001B0B0000}"/>
    <cellStyle name="Normal 2 3 4 5 6 2" xfId="2836" xr:uid="{00000000-0005-0000-0000-00001C0B0000}"/>
    <cellStyle name="Normal 2 3 4 5 7" xfId="2837" xr:uid="{00000000-0005-0000-0000-00001D0B0000}"/>
    <cellStyle name="Normal 2 3 4 6" xfId="2838" xr:uid="{00000000-0005-0000-0000-00001E0B0000}"/>
    <cellStyle name="Normal 2 3 4 6 2" xfId="2839" xr:uid="{00000000-0005-0000-0000-00001F0B0000}"/>
    <cellStyle name="Normal 2 3 4 6 2 2" xfId="2840" xr:uid="{00000000-0005-0000-0000-0000200B0000}"/>
    <cellStyle name="Normal 2 3 4 6 2 2 2" xfId="2841" xr:uid="{00000000-0005-0000-0000-0000210B0000}"/>
    <cellStyle name="Normal 2 3 4 6 2 3" xfId="2842" xr:uid="{00000000-0005-0000-0000-0000220B0000}"/>
    <cellStyle name="Normal 2 3 4 6 2 3 2" xfId="2843" xr:uid="{00000000-0005-0000-0000-0000230B0000}"/>
    <cellStyle name="Normal 2 3 4 6 2 4" xfId="2844" xr:uid="{00000000-0005-0000-0000-0000240B0000}"/>
    <cellStyle name="Normal 2 3 4 6 3" xfId="2845" xr:uid="{00000000-0005-0000-0000-0000250B0000}"/>
    <cellStyle name="Normal 2 3 4 6 3 2" xfId="2846" xr:uid="{00000000-0005-0000-0000-0000260B0000}"/>
    <cellStyle name="Normal 2 3 4 6 4" xfId="2847" xr:uid="{00000000-0005-0000-0000-0000270B0000}"/>
    <cellStyle name="Normal 2 3 4 6 4 2" xfId="2848" xr:uid="{00000000-0005-0000-0000-0000280B0000}"/>
    <cellStyle name="Normal 2 3 4 6 5" xfId="2849" xr:uid="{00000000-0005-0000-0000-0000290B0000}"/>
    <cellStyle name="Normal 2 3 4 7" xfId="2850" xr:uid="{00000000-0005-0000-0000-00002A0B0000}"/>
    <cellStyle name="Normal 2 3 4 7 2" xfId="2851" xr:uid="{00000000-0005-0000-0000-00002B0B0000}"/>
    <cellStyle name="Normal 2 3 4 7 2 2" xfId="2852" xr:uid="{00000000-0005-0000-0000-00002C0B0000}"/>
    <cellStyle name="Normal 2 3 4 7 2 2 2" xfId="2853" xr:uid="{00000000-0005-0000-0000-00002D0B0000}"/>
    <cellStyle name="Normal 2 3 4 7 2 3" xfId="2854" xr:uid="{00000000-0005-0000-0000-00002E0B0000}"/>
    <cellStyle name="Normal 2 3 4 7 2 3 2" xfId="2855" xr:uid="{00000000-0005-0000-0000-00002F0B0000}"/>
    <cellStyle name="Normal 2 3 4 7 2 4" xfId="2856" xr:uid="{00000000-0005-0000-0000-0000300B0000}"/>
    <cellStyle name="Normal 2 3 4 7 3" xfId="2857" xr:uid="{00000000-0005-0000-0000-0000310B0000}"/>
    <cellStyle name="Normal 2 3 4 7 3 2" xfId="2858" xr:uid="{00000000-0005-0000-0000-0000320B0000}"/>
    <cellStyle name="Normal 2 3 4 7 4" xfId="2859" xr:uid="{00000000-0005-0000-0000-0000330B0000}"/>
    <cellStyle name="Normal 2 3 4 7 4 2" xfId="2860" xr:uid="{00000000-0005-0000-0000-0000340B0000}"/>
    <cellStyle name="Normal 2 3 4 7 5" xfId="2861" xr:uid="{00000000-0005-0000-0000-0000350B0000}"/>
    <cellStyle name="Normal 2 3 4 8" xfId="2862" xr:uid="{00000000-0005-0000-0000-0000360B0000}"/>
    <cellStyle name="Normal 2 3 4 8 2" xfId="2863" xr:uid="{00000000-0005-0000-0000-0000370B0000}"/>
    <cellStyle name="Normal 2 3 4 8 2 2" xfId="2864" xr:uid="{00000000-0005-0000-0000-0000380B0000}"/>
    <cellStyle name="Normal 2 3 4 8 3" xfId="2865" xr:uid="{00000000-0005-0000-0000-0000390B0000}"/>
    <cellStyle name="Normal 2 3 4 8 3 2" xfId="2866" xr:uid="{00000000-0005-0000-0000-00003A0B0000}"/>
    <cellStyle name="Normal 2 3 4 8 4" xfId="2867" xr:uid="{00000000-0005-0000-0000-00003B0B0000}"/>
    <cellStyle name="Normal 2 3 4 9" xfId="2868" xr:uid="{00000000-0005-0000-0000-00003C0B0000}"/>
    <cellStyle name="Normal 2 3 4 9 2" xfId="2869" xr:uid="{00000000-0005-0000-0000-00003D0B0000}"/>
    <cellStyle name="Normal 2 3 5" xfId="2870" xr:uid="{00000000-0005-0000-0000-00003E0B0000}"/>
    <cellStyle name="Normal 2 3 5 2" xfId="2871" xr:uid="{00000000-0005-0000-0000-00003F0B0000}"/>
    <cellStyle name="Normal 2 3 5 2 2" xfId="2872" xr:uid="{00000000-0005-0000-0000-0000400B0000}"/>
    <cellStyle name="Normal 2 3 5 2 2 2" xfId="2873" xr:uid="{00000000-0005-0000-0000-0000410B0000}"/>
    <cellStyle name="Normal 2 3 5 2 2 2 2" xfId="2874" xr:uid="{00000000-0005-0000-0000-0000420B0000}"/>
    <cellStyle name="Normal 2 3 5 2 2 2 2 2" xfId="2875" xr:uid="{00000000-0005-0000-0000-0000430B0000}"/>
    <cellStyle name="Normal 2 3 5 2 2 2 3" xfId="2876" xr:uid="{00000000-0005-0000-0000-0000440B0000}"/>
    <cellStyle name="Normal 2 3 5 2 2 2 3 2" xfId="2877" xr:uid="{00000000-0005-0000-0000-0000450B0000}"/>
    <cellStyle name="Normal 2 3 5 2 2 2 4" xfId="2878" xr:uid="{00000000-0005-0000-0000-0000460B0000}"/>
    <cellStyle name="Normal 2 3 5 2 2 3" xfId="2879" xr:uid="{00000000-0005-0000-0000-0000470B0000}"/>
    <cellStyle name="Normal 2 3 5 2 2 3 2" xfId="2880" xr:uid="{00000000-0005-0000-0000-0000480B0000}"/>
    <cellStyle name="Normal 2 3 5 2 2 4" xfId="2881" xr:uid="{00000000-0005-0000-0000-0000490B0000}"/>
    <cellStyle name="Normal 2 3 5 2 2 4 2" xfId="2882" xr:uid="{00000000-0005-0000-0000-00004A0B0000}"/>
    <cellStyle name="Normal 2 3 5 2 2 5" xfId="2883" xr:uid="{00000000-0005-0000-0000-00004B0B0000}"/>
    <cellStyle name="Normal 2 3 5 2 3" xfId="2884" xr:uid="{00000000-0005-0000-0000-00004C0B0000}"/>
    <cellStyle name="Normal 2 3 5 2 3 2" xfId="2885" xr:uid="{00000000-0005-0000-0000-00004D0B0000}"/>
    <cellStyle name="Normal 2 3 5 2 3 2 2" xfId="2886" xr:uid="{00000000-0005-0000-0000-00004E0B0000}"/>
    <cellStyle name="Normal 2 3 5 2 3 2 2 2" xfId="2887" xr:uid="{00000000-0005-0000-0000-00004F0B0000}"/>
    <cellStyle name="Normal 2 3 5 2 3 2 3" xfId="2888" xr:uid="{00000000-0005-0000-0000-0000500B0000}"/>
    <cellStyle name="Normal 2 3 5 2 3 2 3 2" xfId="2889" xr:uid="{00000000-0005-0000-0000-0000510B0000}"/>
    <cellStyle name="Normal 2 3 5 2 3 2 4" xfId="2890" xr:uid="{00000000-0005-0000-0000-0000520B0000}"/>
    <cellStyle name="Normal 2 3 5 2 3 3" xfId="2891" xr:uid="{00000000-0005-0000-0000-0000530B0000}"/>
    <cellStyle name="Normal 2 3 5 2 3 3 2" xfId="2892" xr:uid="{00000000-0005-0000-0000-0000540B0000}"/>
    <cellStyle name="Normal 2 3 5 2 3 4" xfId="2893" xr:uid="{00000000-0005-0000-0000-0000550B0000}"/>
    <cellStyle name="Normal 2 3 5 2 3 4 2" xfId="2894" xr:uid="{00000000-0005-0000-0000-0000560B0000}"/>
    <cellStyle name="Normal 2 3 5 2 3 5" xfId="2895" xr:uid="{00000000-0005-0000-0000-0000570B0000}"/>
    <cellStyle name="Normal 2 3 5 2 4" xfId="2896" xr:uid="{00000000-0005-0000-0000-0000580B0000}"/>
    <cellStyle name="Normal 2 3 5 2 4 2" xfId="2897" xr:uid="{00000000-0005-0000-0000-0000590B0000}"/>
    <cellStyle name="Normal 2 3 5 2 4 2 2" xfId="2898" xr:uid="{00000000-0005-0000-0000-00005A0B0000}"/>
    <cellStyle name="Normal 2 3 5 2 4 3" xfId="2899" xr:uid="{00000000-0005-0000-0000-00005B0B0000}"/>
    <cellStyle name="Normal 2 3 5 2 4 3 2" xfId="2900" xr:uid="{00000000-0005-0000-0000-00005C0B0000}"/>
    <cellStyle name="Normal 2 3 5 2 4 4" xfId="2901" xr:uid="{00000000-0005-0000-0000-00005D0B0000}"/>
    <cellStyle name="Normal 2 3 5 2 5" xfId="2902" xr:uid="{00000000-0005-0000-0000-00005E0B0000}"/>
    <cellStyle name="Normal 2 3 5 2 5 2" xfId="2903" xr:uid="{00000000-0005-0000-0000-00005F0B0000}"/>
    <cellStyle name="Normal 2 3 5 2 6" xfId="2904" xr:uid="{00000000-0005-0000-0000-0000600B0000}"/>
    <cellStyle name="Normal 2 3 5 2 6 2" xfId="2905" xr:uid="{00000000-0005-0000-0000-0000610B0000}"/>
    <cellStyle name="Normal 2 3 5 2 7" xfId="2906" xr:uid="{00000000-0005-0000-0000-0000620B0000}"/>
    <cellStyle name="Normal 2 3 5 3" xfId="2907" xr:uid="{00000000-0005-0000-0000-0000630B0000}"/>
    <cellStyle name="Normal 2 3 5 3 2" xfId="2908" xr:uid="{00000000-0005-0000-0000-0000640B0000}"/>
    <cellStyle name="Normal 2 3 5 3 2 2" xfId="2909" xr:uid="{00000000-0005-0000-0000-0000650B0000}"/>
    <cellStyle name="Normal 2 3 5 3 2 2 2" xfId="2910" xr:uid="{00000000-0005-0000-0000-0000660B0000}"/>
    <cellStyle name="Normal 2 3 5 3 2 3" xfId="2911" xr:uid="{00000000-0005-0000-0000-0000670B0000}"/>
    <cellStyle name="Normal 2 3 5 3 2 3 2" xfId="2912" xr:uid="{00000000-0005-0000-0000-0000680B0000}"/>
    <cellStyle name="Normal 2 3 5 3 2 4" xfId="2913" xr:uid="{00000000-0005-0000-0000-0000690B0000}"/>
    <cellStyle name="Normal 2 3 5 3 3" xfId="2914" xr:uid="{00000000-0005-0000-0000-00006A0B0000}"/>
    <cellStyle name="Normal 2 3 5 3 3 2" xfId="2915" xr:uid="{00000000-0005-0000-0000-00006B0B0000}"/>
    <cellStyle name="Normal 2 3 5 3 4" xfId="2916" xr:uid="{00000000-0005-0000-0000-00006C0B0000}"/>
    <cellStyle name="Normal 2 3 5 3 4 2" xfId="2917" xr:uid="{00000000-0005-0000-0000-00006D0B0000}"/>
    <cellStyle name="Normal 2 3 5 3 5" xfId="2918" xr:uid="{00000000-0005-0000-0000-00006E0B0000}"/>
    <cellStyle name="Normal 2 3 5 4" xfId="2919" xr:uid="{00000000-0005-0000-0000-00006F0B0000}"/>
    <cellStyle name="Normal 2 3 5 4 2" xfId="2920" xr:uid="{00000000-0005-0000-0000-0000700B0000}"/>
    <cellStyle name="Normal 2 3 5 4 2 2" xfId="2921" xr:uid="{00000000-0005-0000-0000-0000710B0000}"/>
    <cellStyle name="Normal 2 3 5 4 2 2 2" xfId="2922" xr:uid="{00000000-0005-0000-0000-0000720B0000}"/>
    <cellStyle name="Normal 2 3 5 4 2 3" xfId="2923" xr:uid="{00000000-0005-0000-0000-0000730B0000}"/>
    <cellStyle name="Normal 2 3 5 4 2 3 2" xfId="2924" xr:uid="{00000000-0005-0000-0000-0000740B0000}"/>
    <cellStyle name="Normal 2 3 5 4 2 4" xfId="2925" xr:uid="{00000000-0005-0000-0000-0000750B0000}"/>
    <cellStyle name="Normal 2 3 5 4 3" xfId="2926" xr:uid="{00000000-0005-0000-0000-0000760B0000}"/>
    <cellStyle name="Normal 2 3 5 4 3 2" xfId="2927" xr:uid="{00000000-0005-0000-0000-0000770B0000}"/>
    <cellStyle name="Normal 2 3 5 4 4" xfId="2928" xr:uid="{00000000-0005-0000-0000-0000780B0000}"/>
    <cellStyle name="Normal 2 3 5 4 4 2" xfId="2929" xr:uid="{00000000-0005-0000-0000-0000790B0000}"/>
    <cellStyle name="Normal 2 3 5 4 5" xfId="2930" xr:uid="{00000000-0005-0000-0000-00007A0B0000}"/>
    <cellStyle name="Normal 2 3 5 5" xfId="2931" xr:uid="{00000000-0005-0000-0000-00007B0B0000}"/>
    <cellStyle name="Normal 2 3 5 5 2" xfId="2932" xr:uid="{00000000-0005-0000-0000-00007C0B0000}"/>
    <cellStyle name="Normal 2 3 5 5 2 2" xfId="2933" xr:uid="{00000000-0005-0000-0000-00007D0B0000}"/>
    <cellStyle name="Normal 2 3 5 5 3" xfId="2934" xr:uid="{00000000-0005-0000-0000-00007E0B0000}"/>
    <cellStyle name="Normal 2 3 5 5 3 2" xfId="2935" xr:uid="{00000000-0005-0000-0000-00007F0B0000}"/>
    <cellStyle name="Normal 2 3 5 5 4" xfId="2936" xr:uid="{00000000-0005-0000-0000-0000800B0000}"/>
    <cellStyle name="Normal 2 3 5 6" xfId="2937" xr:uid="{00000000-0005-0000-0000-0000810B0000}"/>
    <cellStyle name="Normal 2 3 5 6 2" xfId="2938" xr:uid="{00000000-0005-0000-0000-0000820B0000}"/>
    <cellStyle name="Normal 2 3 5 7" xfId="2939" xr:uid="{00000000-0005-0000-0000-0000830B0000}"/>
    <cellStyle name="Normal 2 3 5 7 2" xfId="2940" xr:uid="{00000000-0005-0000-0000-0000840B0000}"/>
    <cellStyle name="Normal 2 3 5 8" xfId="2941" xr:uid="{00000000-0005-0000-0000-0000850B0000}"/>
    <cellStyle name="Normal 2 3 6" xfId="2942" xr:uid="{00000000-0005-0000-0000-0000860B0000}"/>
    <cellStyle name="Normal 2 3 6 2" xfId="2943" xr:uid="{00000000-0005-0000-0000-0000870B0000}"/>
    <cellStyle name="Normal 2 3 6 2 2" xfId="2944" xr:uid="{00000000-0005-0000-0000-0000880B0000}"/>
    <cellStyle name="Normal 2 3 6 2 2 2" xfId="2945" xr:uid="{00000000-0005-0000-0000-0000890B0000}"/>
    <cellStyle name="Normal 2 3 6 2 2 2 2" xfId="2946" xr:uid="{00000000-0005-0000-0000-00008A0B0000}"/>
    <cellStyle name="Normal 2 3 6 2 2 3" xfId="2947" xr:uid="{00000000-0005-0000-0000-00008B0B0000}"/>
    <cellStyle name="Normal 2 3 6 2 2 3 2" xfId="2948" xr:uid="{00000000-0005-0000-0000-00008C0B0000}"/>
    <cellStyle name="Normal 2 3 6 2 2 4" xfId="2949" xr:uid="{00000000-0005-0000-0000-00008D0B0000}"/>
    <cellStyle name="Normal 2 3 6 2 3" xfId="2950" xr:uid="{00000000-0005-0000-0000-00008E0B0000}"/>
    <cellStyle name="Normal 2 3 6 2 3 2" xfId="2951" xr:uid="{00000000-0005-0000-0000-00008F0B0000}"/>
    <cellStyle name="Normal 2 3 6 2 4" xfId="2952" xr:uid="{00000000-0005-0000-0000-0000900B0000}"/>
    <cellStyle name="Normal 2 3 6 2 4 2" xfId="2953" xr:uid="{00000000-0005-0000-0000-0000910B0000}"/>
    <cellStyle name="Normal 2 3 6 2 5" xfId="2954" xr:uid="{00000000-0005-0000-0000-0000920B0000}"/>
    <cellStyle name="Normal 2 3 6 3" xfId="2955" xr:uid="{00000000-0005-0000-0000-0000930B0000}"/>
    <cellStyle name="Normal 2 3 6 3 2" xfId="2956" xr:uid="{00000000-0005-0000-0000-0000940B0000}"/>
    <cellStyle name="Normal 2 3 6 3 2 2" xfId="2957" xr:uid="{00000000-0005-0000-0000-0000950B0000}"/>
    <cellStyle name="Normal 2 3 6 3 2 2 2" xfId="2958" xr:uid="{00000000-0005-0000-0000-0000960B0000}"/>
    <cellStyle name="Normal 2 3 6 3 2 3" xfId="2959" xr:uid="{00000000-0005-0000-0000-0000970B0000}"/>
    <cellStyle name="Normal 2 3 6 3 2 3 2" xfId="2960" xr:uid="{00000000-0005-0000-0000-0000980B0000}"/>
    <cellStyle name="Normal 2 3 6 3 2 4" xfId="2961" xr:uid="{00000000-0005-0000-0000-0000990B0000}"/>
    <cellStyle name="Normal 2 3 6 3 3" xfId="2962" xr:uid="{00000000-0005-0000-0000-00009A0B0000}"/>
    <cellStyle name="Normal 2 3 6 3 3 2" xfId="2963" xr:uid="{00000000-0005-0000-0000-00009B0B0000}"/>
    <cellStyle name="Normal 2 3 6 3 4" xfId="2964" xr:uid="{00000000-0005-0000-0000-00009C0B0000}"/>
    <cellStyle name="Normal 2 3 6 3 4 2" xfId="2965" xr:uid="{00000000-0005-0000-0000-00009D0B0000}"/>
    <cellStyle name="Normal 2 3 6 3 5" xfId="2966" xr:uid="{00000000-0005-0000-0000-00009E0B0000}"/>
    <cellStyle name="Normal 2 3 6 4" xfId="2967" xr:uid="{00000000-0005-0000-0000-00009F0B0000}"/>
    <cellStyle name="Normal 2 3 6 4 2" xfId="2968" xr:uid="{00000000-0005-0000-0000-0000A00B0000}"/>
    <cellStyle name="Normal 2 3 6 4 2 2" xfId="2969" xr:uid="{00000000-0005-0000-0000-0000A10B0000}"/>
    <cellStyle name="Normal 2 3 6 4 3" xfId="2970" xr:uid="{00000000-0005-0000-0000-0000A20B0000}"/>
    <cellStyle name="Normal 2 3 6 4 3 2" xfId="2971" xr:uid="{00000000-0005-0000-0000-0000A30B0000}"/>
    <cellStyle name="Normal 2 3 6 4 4" xfId="2972" xr:uid="{00000000-0005-0000-0000-0000A40B0000}"/>
    <cellStyle name="Normal 2 3 6 5" xfId="2973" xr:uid="{00000000-0005-0000-0000-0000A50B0000}"/>
    <cellStyle name="Normal 2 3 6 5 2" xfId="2974" xr:uid="{00000000-0005-0000-0000-0000A60B0000}"/>
    <cellStyle name="Normal 2 3 6 6" xfId="2975" xr:uid="{00000000-0005-0000-0000-0000A70B0000}"/>
    <cellStyle name="Normal 2 3 6 6 2" xfId="2976" xr:uid="{00000000-0005-0000-0000-0000A80B0000}"/>
    <cellStyle name="Normal 2 3 6 7" xfId="2977" xr:uid="{00000000-0005-0000-0000-0000A90B0000}"/>
    <cellStyle name="Normal 2 3 7" xfId="2978" xr:uid="{00000000-0005-0000-0000-0000AA0B0000}"/>
    <cellStyle name="Normal 2 3 7 2" xfId="2979" xr:uid="{00000000-0005-0000-0000-0000AB0B0000}"/>
    <cellStyle name="Normal 2 3 7 2 2" xfId="2980" xr:uid="{00000000-0005-0000-0000-0000AC0B0000}"/>
    <cellStyle name="Normal 2 3 7 2 2 2" xfId="2981" xr:uid="{00000000-0005-0000-0000-0000AD0B0000}"/>
    <cellStyle name="Normal 2 3 7 2 2 2 2" xfId="2982" xr:uid="{00000000-0005-0000-0000-0000AE0B0000}"/>
    <cellStyle name="Normal 2 3 7 2 2 3" xfId="2983" xr:uid="{00000000-0005-0000-0000-0000AF0B0000}"/>
    <cellStyle name="Normal 2 3 7 2 2 3 2" xfId="2984" xr:uid="{00000000-0005-0000-0000-0000B00B0000}"/>
    <cellStyle name="Normal 2 3 7 2 2 4" xfId="2985" xr:uid="{00000000-0005-0000-0000-0000B10B0000}"/>
    <cellStyle name="Normal 2 3 7 2 3" xfId="2986" xr:uid="{00000000-0005-0000-0000-0000B20B0000}"/>
    <cellStyle name="Normal 2 3 7 2 3 2" xfId="2987" xr:uid="{00000000-0005-0000-0000-0000B30B0000}"/>
    <cellStyle name="Normal 2 3 7 2 4" xfId="2988" xr:uid="{00000000-0005-0000-0000-0000B40B0000}"/>
    <cellStyle name="Normal 2 3 7 2 4 2" xfId="2989" xr:uid="{00000000-0005-0000-0000-0000B50B0000}"/>
    <cellStyle name="Normal 2 3 7 2 5" xfId="2990" xr:uid="{00000000-0005-0000-0000-0000B60B0000}"/>
    <cellStyle name="Normal 2 3 7 3" xfId="2991" xr:uid="{00000000-0005-0000-0000-0000B70B0000}"/>
    <cellStyle name="Normal 2 3 7 3 2" xfId="2992" xr:uid="{00000000-0005-0000-0000-0000B80B0000}"/>
    <cellStyle name="Normal 2 3 7 3 2 2" xfId="2993" xr:uid="{00000000-0005-0000-0000-0000B90B0000}"/>
    <cellStyle name="Normal 2 3 7 3 2 2 2" xfId="2994" xr:uid="{00000000-0005-0000-0000-0000BA0B0000}"/>
    <cellStyle name="Normal 2 3 7 3 2 3" xfId="2995" xr:uid="{00000000-0005-0000-0000-0000BB0B0000}"/>
    <cellStyle name="Normal 2 3 7 3 2 3 2" xfId="2996" xr:uid="{00000000-0005-0000-0000-0000BC0B0000}"/>
    <cellStyle name="Normal 2 3 7 3 2 4" xfId="2997" xr:uid="{00000000-0005-0000-0000-0000BD0B0000}"/>
    <cellStyle name="Normal 2 3 7 3 3" xfId="2998" xr:uid="{00000000-0005-0000-0000-0000BE0B0000}"/>
    <cellStyle name="Normal 2 3 7 3 3 2" xfId="2999" xr:uid="{00000000-0005-0000-0000-0000BF0B0000}"/>
    <cellStyle name="Normal 2 3 7 3 4" xfId="3000" xr:uid="{00000000-0005-0000-0000-0000C00B0000}"/>
    <cellStyle name="Normal 2 3 7 3 4 2" xfId="3001" xr:uid="{00000000-0005-0000-0000-0000C10B0000}"/>
    <cellStyle name="Normal 2 3 7 3 5" xfId="3002" xr:uid="{00000000-0005-0000-0000-0000C20B0000}"/>
    <cellStyle name="Normal 2 3 7 4" xfId="3003" xr:uid="{00000000-0005-0000-0000-0000C30B0000}"/>
    <cellStyle name="Normal 2 3 7 4 2" xfId="3004" xr:uid="{00000000-0005-0000-0000-0000C40B0000}"/>
    <cellStyle name="Normal 2 3 7 4 2 2" xfId="3005" xr:uid="{00000000-0005-0000-0000-0000C50B0000}"/>
    <cellStyle name="Normal 2 3 7 4 3" xfId="3006" xr:uid="{00000000-0005-0000-0000-0000C60B0000}"/>
    <cellStyle name="Normal 2 3 7 4 3 2" xfId="3007" xr:uid="{00000000-0005-0000-0000-0000C70B0000}"/>
    <cellStyle name="Normal 2 3 7 4 4" xfId="3008" xr:uid="{00000000-0005-0000-0000-0000C80B0000}"/>
    <cellStyle name="Normal 2 3 7 5" xfId="3009" xr:uid="{00000000-0005-0000-0000-0000C90B0000}"/>
    <cellStyle name="Normal 2 3 7 5 2" xfId="3010" xr:uid="{00000000-0005-0000-0000-0000CA0B0000}"/>
    <cellStyle name="Normal 2 3 7 6" xfId="3011" xr:uid="{00000000-0005-0000-0000-0000CB0B0000}"/>
    <cellStyle name="Normal 2 3 7 6 2" xfId="3012" xr:uid="{00000000-0005-0000-0000-0000CC0B0000}"/>
    <cellStyle name="Normal 2 3 7 7" xfId="3013" xr:uid="{00000000-0005-0000-0000-0000CD0B0000}"/>
    <cellStyle name="Normal 2 3 8" xfId="3014" xr:uid="{00000000-0005-0000-0000-0000CE0B0000}"/>
    <cellStyle name="Normal 2 3 8 2" xfId="3015" xr:uid="{00000000-0005-0000-0000-0000CF0B0000}"/>
    <cellStyle name="Normal 2 3 8 2 2" xfId="3016" xr:uid="{00000000-0005-0000-0000-0000D00B0000}"/>
    <cellStyle name="Normal 2 3 8 2 2 2" xfId="3017" xr:uid="{00000000-0005-0000-0000-0000D10B0000}"/>
    <cellStyle name="Normal 2 3 8 2 2 2 2" xfId="3018" xr:uid="{00000000-0005-0000-0000-0000D20B0000}"/>
    <cellStyle name="Normal 2 3 8 2 2 3" xfId="3019" xr:uid="{00000000-0005-0000-0000-0000D30B0000}"/>
    <cellStyle name="Normal 2 3 8 2 2 3 2" xfId="3020" xr:uid="{00000000-0005-0000-0000-0000D40B0000}"/>
    <cellStyle name="Normal 2 3 8 2 2 4" xfId="3021" xr:uid="{00000000-0005-0000-0000-0000D50B0000}"/>
    <cellStyle name="Normal 2 3 8 2 3" xfId="3022" xr:uid="{00000000-0005-0000-0000-0000D60B0000}"/>
    <cellStyle name="Normal 2 3 8 2 3 2" xfId="3023" xr:uid="{00000000-0005-0000-0000-0000D70B0000}"/>
    <cellStyle name="Normal 2 3 8 2 4" xfId="3024" xr:uid="{00000000-0005-0000-0000-0000D80B0000}"/>
    <cellStyle name="Normal 2 3 8 2 4 2" xfId="3025" xr:uid="{00000000-0005-0000-0000-0000D90B0000}"/>
    <cellStyle name="Normal 2 3 8 2 5" xfId="3026" xr:uid="{00000000-0005-0000-0000-0000DA0B0000}"/>
    <cellStyle name="Normal 2 3 8 3" xfId="3027" xr:uid="{00000000-0005-0000-0000-0000DB0B0000}"/>
    <cellStyle name="Normal 2 3 8 3 2" xfId="3028" xr:uid="{00000000-0005-0000-0000-0000DC0B0000}"/>
    <cellStyle name="Normal 2 3 8 3 2 2" xfId="3029" xr:uid="{00000000-0005-0000-0000-0000DD0B0000}"/>
    <cellStyle name="Normal 2 3 8 3 2 2 2" xfId="3030" xr:uid="{00000000-0005-0000-0000-0000DE0B0000}"/>
    <cellStyle name="Normal 2 3 8 3 2 3" xfId="3031" xr:uid="{00000000-0005-0000-0000-0000DF0B0000}"/>
    <cellStyle name="Normal 2 3 8 3 2 3 2" xfId="3032" xr:uid="{00000000-0005-0000-0000-0000E00B0000}"/>
    <cellStyle name="Normal 2 3 8 3 2 4" xfId="3033" xr:uid="{00000000-0005-0000-0000-0000E10B0000}"/>
    <cellStyle name="Normal 2 3 8 3 3" xfId="3034" xr:uid="{00000000-0005-0000-0000-0000E20B0000}"/>
    <cellStyle name="Normal 2 3 8 3 3 2" xfId="3035" xr:uid="{00000000-0005-0000-0000-0000E30B0000}"/>
    <cellStyle name="Normal 2 3 8 3 4" xfId="3036" xr:uid="{00000000-0005-0000-0000-0000E40B0000}"/>
    <cellStyle name="Normal 2 3 8 3 4 2" xfId="3037" xr:uid="{00000000-0005-0000-0000-0000E50B0000}"/>
    <cellStyle name="Normal 2 3 8 3 5" xfId="3038" xr:uid="{00000000-0005-0000-0000-0000E60B0000}"/>
    <cellStyle name="Normal 2 3 8 4" xfId="3039" xr:uid="{00000000-0005-0000-0000-0000E70B0000}"/>
    <cellStyle name="Normal 2 3 8 4 2" xfId="3040" xr:uid="{00000000-0005-0000-0000-0000E80B0000}"/>
    <cellStyle name="Normal 2 3 8 4 2 2" xfId="3041" xr:uid="{00000000-0005-0000-0000-0000E90B0000}"/>
    <cellStyle name="Normal 2 3 8 4 3" xfId="3042" xr:uid="{00000000-0005-0000-0000-0000EA0B0000}"/>
    <cellStyle name="Normal 2 3 8 4 3 2" xfId="3043" xr:uid="{00000000-0005-0000-0000-0000EB0B0000}"/>
    <cellStyle name="Normal 2 3 8 4 4" xfId="3044" xr:uid="{00000000-0005-0000-0000-0000EC0B0000}"/>
    <cellStyle name="Normal 2 3 8 5" xfId="3045" xr:uid="{00000000-0005-0000-0000-0000ED0B0000}"/>
    <cellStyle name="Normal 2 3 8 5 2" xfId="3046" xr:uid="{00000000-0005-0000-0000-0000EE0B0000}"/>
    <cellStyle name="Normal 2 3 8 6" xfId="3047" xr:uid="{00000000-0005-0000-0000-0000EF0B0000}"/>
    <cellStyle name="Normal 2 3 8 6 2" xfId="3048" xr:uid="{00000000-0005-0000-0000-0000F00B0000}"/>
    <cellStyle name="Normal 2 3 8 7" xfId="3049" xr:uid="{00000000-0005-0000-0000-0000F10B0000}"/>
    <cellStyle name="Normal 2 3 9" xfId="3050" xr:uid="{00000000-0005-0000-0000-0000F20B0000}"/>
    <cellStyle name="Normal 2 3 9 2" xfId="3051" xr:uid="{00000000-0005-0000-0000-0000F30B0000}"/>
    <cellStyle name="Normal 2 3 9 2 2" xfId="3052" xr:uid="{00000000-0005-0000-0000-0000F40B0000}"/>
    <cellStyle name="Normal 2 3 9 2 2 2" xfId="3053" xr:uid="{00000000-0005-0000-0000-0000F50B0000}"/>
    <cellStyle name="Normal 2 3 9 2 2 2 2" xfId="3054" xr:uid="{00000000-0005-0000-0000-0000F60B0000}"/>
    <cellStyle name="Normal 2 3 9 2 2 3" xfId="3055" xr:uid="{00000000-0005-0000-0000-0000F70B0000}"/>
    <cellStyle name="Normal 2 3 9 2 2 3 2" xfId="3056" xr:uid="{00000000-0005-0000-0000-0000F80B0000}"/>
    <cellStyle name="Normal 2 3 9 2 2 4" xfId="3057" xr:uid="{00000000-0005-0000-0000-0000F90B0000}"/>
    <cellStyle name="Normal 2 3 9 2 3" xfId="3058" xr:uid="{00000000-0005-0000-0000-0000FA0B0000}"/>
    <cellStyle name="Normal 2 3 9 2 3 2" xfId="3059" xr:uid="{00000000-0005-0000-0000-0000FB0B0000}"/>
    <cellStyle name="Normal 2 3 9 2 4" xfId="3060" xr:uid="{00000000-0005-0000-0000-0000FC0B0000}"/>
    <cellStyle name="Normal 2 3 9 2 4 2" xfId="3061" xr:uid="{00000000-0005-0000-0000-0000FD0B0000}"/>
    <cellStyle name="Normal 2 3 9 2 5" xfId="3062" xr:uid="{00000000-0005-0000-0000-0000FE0B0000}"/>
    <cellStyle name="Normal 2 3 9 3" xfId="3063" xr:uid="{00000000-0005-0000-0000-0000FF0B0000}"/>
    <cellStyle name="Normal 2 3 9 3 2" xfId="3064" xr:uid="{00000000-0005-0000-0000-0000000C0000}"/>
    <cellStyle name="Normal 2 3 9 3 2 2" xfId="3065" xr:uid="{00000000-0005-0000-0000-0000010C0000}"/>
    <cellStyle name="Normal 2 3 9 3 2 2 2" xfId="3066" xr:uid="{00000000-0005-0000-0000-0000020C0000}"/>
    <cellStyle name="Normal 2 3 9 3 2 3" xfId="3067" xr:uid="{00000000-0005-0000-0000-0000030C0000}"/>
    <cellStyle name="Normal 2 3 9 3 2 3 2" xfId="3068" xr:uid="{00000000-0005-0000-0000-0000040C0000}"/>
    <cellStyle name="Normal 2 3 9 3 2 4" xfId="3069" xr:uid="{00000000-0005-0000-0000-0000050C0000}"/>
    <cellStyle name="Normal 2 3 9 3 3" xfId="3070" xr:uid="{00000000-0005-0000-0000-0000060C0000}"/>
    <cellStyle name="Normal 2 3 9 3 3 2" xfId="3071" xr:uid="{00000000-0005-0000-0000-0000070C0000}"/>
    <cellStyle name="Normal 2 3 9 3 4" xfId="3072" xr:uid="{00000000-0005-0000-0000-0000080C0000}"/>
    <cellStyle name="Normal 2 3 9 3 4 2" xfId="3073" xr:uid="{00000000-0005-0000-0000-0000090C0000}"/>
    <cellStyle name="Normal 2 3 9 3 5" xfId="3074" xr:uid="{00000000-0005-0000-0000-00000A0C0000}"/>
    <cellStyle name="Normal 2 3 9 4" xfId="3075" xr:uid="{00000000-0005-0000-0000-00000B0C0000}"/>
    <cellStyle name="Normal 2 3 9 4 2" xfId="3076" xr:uid="{00000000-0005-0000-0000-00000C0C0000}"/>
    <cellStyle name="Normal 2 3 9 4 2 2" xfId="3077" xr:uid="{00000000-0005-0000-0000-00000D0C0000}"/>
    <cellStyle name="Normal 2 3 9 4 3" xfId="3078" xr:uid="{00000000-0005-0000-0000-00000E0C0000}"/>
    <cellStyle name="Normal 2 3 9 4 3 2" xfId="3079" xr:uid="{00000000-0005-0000-0000-00000F0C0000}"/>
    <cellStyle name="Normal 2 3 9 4 4" xfId="3080" xr:uid="{00000000-0005-0000-0000-0000100C0000}"/>
    <cellStyle name="Normal 2 3 9 5" xfId="3081" xr:uid="{00000000-0005-0000-0000-0000110C0000}"/>
    <cellStyle name="Normal 2 3 9 5 2" xfId="3082" xr:uid="{00000000-0005-0000-0000-0000120C0000}"/>
    <cellStyle name="Normal 2 3 9 6" xfId="3083" xr:uid="{00000000-0005-0000-0000-0000130C0000}"/>
    <cellStyle name="Normal 2 3 9 6 2" xfId="3084" xr:uid="{00000000-0005-0000-0000-0000140C0000}"/>
    <cellStyle name="Normal 2 3 9 7" xfId="3085" xr:uid="{00000000-0005-0000-0000-0000150C0000}"/>
    <cellStyle name="Normal 2 4" xfId="3086" xr:uid="{00000000-0005-0000-0000-0000160C0000}"/>
    <cellStyle name="Normal 2 4 10" xfId="3087" xr:uid="{00000000-0005-0000-0000-0000170C0000}"/>
    <cellStyle name="Normal 2 4 10 2" xfId="3088" xr:uid="{00000000-0005-0000-0000-0000180C0000}"/>
    <cellStyle name="Normal 2 4 10 2 2" xfId="3089" xr:uid="{00000000-0005-0000-0000-0000190C0000}"/>
    <cellStyle name="Normal 2 4 10 2 2 2" xfId="3090" xr:uid="{00000000-0005-0000-0000-00001A0C0000}"/>
    <cellStyle name="Normal 2 4 10 2 3" xfId="3091" xr:uid="{00000000-0005-0000-0000-00001B0C0000}"/>
    <cellStyle name="Normal 2 4 10 2 3 2" xfId="3092" xr:uid="{00000000-0005-0000-0000-00001C0C0000}"/>
    <cellStyle name="Normal 2 4 10 2 4" xfId="3093" xr:uid="{00000000-0005-0000-0000-00001D0C0000}"/>
    <cellStyle name="Normal 2 4 10 3" xfId="3094" xr:uid="{00000000-0005-0000-0000-00001E0C0000}"/>
    <cellStyle name="Normal 2 4 10 3 2" xfId="3095" xr:uid="{00000000-0005-0000-0000-00001F0C0000}"/>
    <cellStyle name="Normal 2 4 10 4" xfId="3096" xr:uid="{00000000-0005-0000-0000-0000200C0000}"/>
    <cellStyle name="Normal 2 4 10 4 2" xfId="3097" xr:uid="{00000000-0005-0000-0000-0000210C0000}"/>
    <cellStyle name="Normal 2 4 10 5" xfId="3098" xr:uid="{00000000-0005-0000-0000-0000220C0000}"/>
    <cellStyle name="Normal 2 4 11" xfId="3099" xr:uid="{00000000-0005-0000-0000-0000230C0000}"/>
    <cellStyle name="Normal 2 4 11 2" xfId="3100" xr:uid="{00000000-0005-0000-0000-0000240C0000}"/>
    <cellStyle name="Normal 2 4 11 2 2" xfId="3101" xr:uid="{00000000-0005-0000-0000-0000250C0000}"/>
    <cellStyle name="Normal 2 4 11 3" xfId="3102" xr:uid="{00000000-0005-0000-0000-0000260C0000}"/>
    <cellStyle name="Normal 2 4 11 3 2" xfId="3103" xr:uid="{00000000-0005-0000-0000-0000270C0000}"/>
    <cellStyle name="Normal 2 4 11 4" xfId="3104" xr:uid="{00000000-0005-0000-0000-0000280C0000}"/>
    <cellStyle name="Normal 2 4 12" xfId="3105" xr:uid="{00000000-0005-0000-0000-0000290C0000}"/>
    <cellStyle name="Normal 2 4 12 2" xfId="3106" xr:uid="{00000000-0005-0000-0000-00002A0C0000}"/>
    <cellStyle name="Normal 2 4 13" xfId="3107" xr:uid="{00000000-0005-0000-0000-00002B0C0000}"/>
    <cellStyle name="Normal 2 4 13 2" xfId="3108" xr:uid="{00000000-0005-0000-0000-00002C0C0000}"/>
    <cellStyle name="Normal 2 4 14" xfId="3109" xr:uid="{00000000-0005-0000-0000-00002D0C0000}"/>
    <cellStyle name="Normal 2 4 2" xfId="3110" xr:uid="{00000000-0005-0000-0000-00002E0C0000}"/>
    <cellStyle name="Normal 2 4 2 10" xfId="3111" xr:uid="{00000000-0005-0000-0000-00002F0C0000}"/>
    <cellStyle name="Normal 2 4 2 10 2" xfId="3112" xr:uid="{00000000-0005-0000-0000-0000300C0000}"/>
    <cellStyle name="Normal 2 4 2 11" xfId="3113" xr:uid="{00000000-0005-0000-0000-0000310C0000}"/>
    <cellStyle name="Normal 2 4 2 11 2" xfId="3114" xr:uid="{00000000-0005-0000-0000-0000320C0000}"/>
    <cellStyle name="Normal 2 4 2 12" xfId="3115" xr:uid="{00000000-0005-0000-0000-0000330C0000}"/>
    <cellStyle name="Normal 2 4 2 2" xfId="3116" xr:uid="{00000000-0005-0000-0000-0000340C0000}"/>
    <cellStyle name="Normal 2 4 2 2 2" xfId="3117" xr:uid="{00000000-0005-0000-0000-0000350C0000}"/>
    <cellStyle name="Normal 2 4 2 2 2 2" xfId="3118" xr:uid="{00000000-0005-0000-0000-0000360C0000}"/>
    <cellStyle name="Normal 2 4 2 2 2 2 2" xfId="3119" xr:uid="{00000000-0005-0000-0000-0000370C0000}"/>
    <cellStyle name="Normal 2 4 2 2 2 2 2 2" xfId="3120" xr:uid="{00000000-0005-0000-0000-0000380C0000}"/>
    <cellStyle name="Normal 2 4 2 2 2 2 2 2 2" xfId="3121" xr:uid="{00000000-0005-0000-0000-0000390C0000}"/>
    <cellStyle name="Normal 2 4 2 2 2 2 2 3" xfId="3122" xr:uid="{00000000-0005-0000-0000-00003A0C0000}"/>
    <cellStyle name="Normal 2 4 2 2 2 2 2 3 2" xfId="3123" xr:uid="{00000000-0005-0000-0000-00003B0C0000}"/>
    <cellStyle name="Normal 2 4 2 2 2 2 2 4" xfId="3124" xr:uid="{00000000-0005-0000-0000-00003C0C0000}"/>
    <cellStyle name="Normal 2 4 2 2 2 2 3" xfId="3125" xr:uid="{00000000-0005-0000-0000-00003D0C0000}"/>
    <cellStyle name="Normal 2 4 2 2 2 2 3 2" xfId="3126" xr:uid="{00000000-0005-0000-0000-00003E0C0000}"/>
    <cellStyle name="Normal 2 4 2 2 2 2 4" xfId="3127" xr:uid="{00000000-0005-0000-0000-00003F0C0000}"/>
    <cellStyle name="Normal 2 4 2 2 2 2 4 2" xfId="3128" xr:uid="{00000000-0005-0000-0000-0000400C0000}"/>
    <cellStyle name="Normal 2 4 2 2 2 2 5" xfId="3129" xr:uid="{00000000-0005-0000-0000-0000410C0000}"/>
    <cellStyle name="Normal 2 4 2 2 2 3" xfId="3130" xr:uid="{00000000-0005-0000-0000-0000420C0000}"/>
    <cellStyle name="Normal 2 4 2 2 2 3 2" xfId="3131" xr:uid="{00000000-0005-0000-0000-0000430C0000}"/>
    <cellStyle name="Normal 2 4 2 2 2 3 2 2" xfId="3132" xr:uid="{00000000-0005-0000-0000-0000440C0000}"/>
    <cellStyle name="Normal 2 4 2 2 2 3 2 2 2" xfId="3133" xr:uid="{00000000-0005-0000-0000-0000450C0000}"/>
    <cellStyle name="Normal 2 4 2 2 2 3 2 3" xfId="3134" xr:uid="{00000000-0005-0000-0000-0000460C0000}"/>
    <cellStyle name="Normal 2 4 2 2 2 3 2 3 2" xfId="3135" xr:uid="{00000000-0005-0000-0000-0000470C0000}"/>
    <cellStyle name="Normal 2 4 2 2 2 3 2 4" xfId="3136" xr:uid="{00000000-0005-0000-0000-0000480C0000}"/>
    <cellStyle name="Normal 2 4 2 2 2 3 3" xfId="3137" xr:uid="{00000000-0005-0000-0000-0000490C0000}"/>
    <cellStyle name="Normal 2 4 2 2 2 3 3 2" xfId="3138" xr:uid="{00000000-0005-0000-0000-00004A0C0000}"/>
    <cellStyle name="Normal 2 4 2 2 2 3 4" xfId="3139" xr:uid="{00000000-0005-0000-0000-00004B0C0000}"/>
    <cellStyle name="Normal 2 4 2 2 2 3 4 2" xfId="3140" xr:uid="{00000000-0005-0000-0000-00004C0C0000}"/>
    <cellStyle name="Normal 2 4 2 2 2 3 5" xfId="3141" xr:uid="{00000000-0005-0000-0000-00004D0C0000}"/>
    <cellStyle name="Normal 2 4 2 2 2 4" xfId="3142" xr:uid="{00000000-0005-0000-0000-00004E0C0000}"/>
    <cellStyle name="Normal 2 4 2 2 2 4 2" xfId="3143" xr:uid="{00000000-0005-0000-0000-00004F0C0000}"/>
    <cellStyle name="Normal 2 4 2 2 2 4 2 2" xfId="3144" xr:uid="{00000000-0005-0000-0000-0000500C0000}"/>
    <cellStyle name="Normal 2 4 2 2 2 4 3" xfId="3145" xr:uid="{00000000-0005-0000-0000-0000510C0000}"/>
    <cellStyle name="Normal 2 4 2 2 2 4 3 2" xfId="3146" xr:uid="{00000000-0005-0000-0000-0000520C0000}"/>
    <cellStyle name="Normal 2 4 2 2 2 4 4" xfId="3147" xr:uid="{00000000-0005-0000-0000-0000530C0000}"/>
    <cellStyle name="Normal 2 4 2 2 2 5" xfId="3148" xr:uid="{00000000-0005-0000-0000-0000540C0000}"/>
    <cellStyle name="Normal 2 4 2 2 2 5 2" xfId="3149" xr:uid="{00000000-0005-0000-0000-0000550C0000}"/>
    <cellStyle name="Normal 2 4 2 2 2 6" xfId="3150" xr:uid="{00000000-0005-0000-0000-0000560C0000}"/>
    <cellStyle name="Normal 2 4 2 2 2 6 2" xfId="3151" xr:uid="{00000000-0005-0000-0000-0000570C0000}"/>
    <cellStyle name="Normal 2 4 2 2 2 7" xfId="3152" xr:uid="{00000000-0005-0000-0000-0000580C0000}"/>
    <cellStyle name="Normal 2 4 2 2 3" xfId="3153" xr:uid="{00000000-0005-0000-0000-0000590C0000}"/>
    <cellStyle name="Normal 2 4 2 2 3 2" xfId="3154" xr:uid="{00000000-0005-0000-0000-00005A0C0000}"/>
    <cellStyle name="Normal 2 4 2 2 3 2 2" xfId="3155" xr:uid="{00000000-0005-0000-0000-00005B0C0000}"/>
    <cellStyle name="Normal 2 4 2 2 3 2 2 2" xfId="3156" xr:uid="{00000000-0005-0000-0000-00005C0C0000}"/>
    <cellStyle name="Normal 2 4 2 2 3 2 3" xfId="3157" xr:uid="{00000000-0005-0000-0000-00005D0C0000}"/>
    <cellStyle name="Normal 2 4 2 2 3 2 3 2" xfId="3158" xr:uid="{00000000-0005-0000-0000-00005E0C0000}"/>
    <cellStyle name="Normal 2 4 2 2 3 2 4" xfId="3159" xr:uid="{00000000-0005-0000-0000-00005F0C0000}"/>
    <cellStyle name="Normal 2 4 2 2 3 3" xfId="3160" xr:uid="{00000000-0005-0000-0000-0000600C0000}"/>
    <cellStyle name="Normal 2 4 2 2 3 3 2" xfId="3161" xr:uid="{00000000-0005-0000-0000-0000610C0000}"/>
    <cellStyle name="Normal 2 4 2 2 3 4" xfId="3162" xr:uid="{00000000-0005-0000-0000-0000620C0000}"/>
    <cellStyle name="Normal 2 4 2 2 3 4 2" xfId="3163" xr:uid="{00000000-0005-0000-0000-0000630C0000}"/>
    <cellStyle name="Normal 2 4 2 2 3 5" xfId="3164" xr:uid="{00000000-0005-0000-0000-0000640C0000}"/>
    <cellStyle name="Normal 2 4 2 2 4" xfId="3165" xr:uid="{00000000-0005-0000-0000-0000650C0000}"/>
    <cellStyle name="Normal 2 4 2 2 4 2" xfId="3166" xr:uid="{00000000-0005-0000-0000-0000660C0000}"/>
    <cellStyle name="Normal 2 4 2 2 4 2 2" xfId="3167" xr:uid="{00000000-0005-0000-0000-0000670C0000}"/>
    <cellStyle name="Normal 2 4 2 2 4 2 2 2" xfId="3168" xr:uid="{00000000-0005-0000-0000-0000680C0000}"/>
    <cellStyle name="Normal 2 4 2 2 4 2 3" xfId="3169" xr:uid="{00000000-0005-0000-0000-0000690C0000}"/>
    <cellStyle name="Normal 2 4 2 2 4 2 3 2" xfId="3170" xr:uid="{00000000-0005-0000-0000-00006A0C0000}"/>
    <cellStyle name="Normal 2 4 2 2 4 2 4" xfId="3171" xr:uid="{00000000-0005-0000-0000-00006B0C0000}"/>
    <cellStyle name="Normal 2 4 2 2 4 3" xfId="3172" xr:uid="{00000000-0005-0000-0000-00006C0C0000}"/>
    <cellStyle name="Normal 2 4 2 2 4 3 2" xfId="3173" xr:uid="{00000000-0005-0000-0000-00006D0C0000}"/>
    <cellStyle name="Normal 2 4 2 2 4 4" xfId="3174" xr:uid="{00000000-0005-0000-0000-00006E0C0000}"/>
    <cellStyle name="Normal 2 4 2 2 4 4 2" xfId="3175" xr:uid="{00000000-0005-0000-0000-00006F0C0000}"/>
    <cellStyle name="Normal 2 4 2 2 4 5" xfId="3176" xr:uid="{00000000-0005-0000-0000-0000700C0000}"/>
    <cellStyle name="Normal 2 4 2 2 5" xfId="3177" xr:uid="{00000000-0005-0000-0000-0000710C0000}"/>
    <cellStyle name="Normal 2 4 2 2 5 2" xfId="3178" xr:uid="{00000000-0005-0000-0000-0000720C0000}"/>
    <cellStyle name="Normal 2 4 2 2 5 2 2" xfId="3179" xr:uid="{00000000-0005-0000-0000-0000730C0000}"/>
    <cellStyle name="Normal 2 4 2 2 5 3" xfId="3180" xr:uid="{00000000-0005-0000-0000-0000740C0000}"/>
    <cellStyle name="Normal 2 4 2 2 5 3 2" xfId="3181" xr:uid="{00000000-0005-0000-0000-0000750C0000}"/>
    <cellStyle name="Normal 2 4 2 2 5 4" xfId="3182" xr:uid="{00000000-0005-0000-0000-0000760C0000}"/>
    <cellStyle name="Normal 2 4 2 2 6" xfId="3183" xr:uid="{00000000-0005-0000-0000-0000770C0000}"/>
    <cellStyle name="Normal 2 4 2 2 6 2" xfId="3184" xr:uid="{00000000-0005-0000-0000-0000780C0000}"/>
    <cellStyle name="Normal 2 4 2 2 7" xfId="3185" xr:uid="{00000000-0005-0000-0000-0000790C0000}"/>
    <cellStyle name="Normal 2 4 2 2 7 2" xfId="3186" xr:uid="{00000000-0005-0000-0000-00007A0C0000}"/>
    <cellStyle name="Normal 2 4 2 2 8" xfId="3187" xr:uid="{00000000-0005-0000-0000-00007B0C0000}"/>
    <cellStyle name="Normal 2 4 2 3" xfId="3188" xr:uid="{00000000-0005-0000-0000-00007C0C0000}"/>
    <cellStyle name="Normal 2 4 2 3 2" xfId="3189" xr:uid="{00000000-0005-0000-0000-00007D0C0000}"/>
    <cellStyle name="Normal 2 4 2 3 2 2" xfId="3190" xr:uid="{00000000-0005-0000-0000-00007E0C0000}"/>
    <cellStyle name="Normal 2 4 2 3 2 2 2" xfId="3191" xr:uid="{00000000-0005-0000-0000-00007F0C0000}"/>
    <cellStyle name="Normal 2 4 2 3 2 2 2 2" xfId="3192" xr:uid="{00000000-0005-0000-0000-0000800C0000}"/>
    <cellStyle name="Normal 2 4 2 3 2 2 3" xfId="3193" xr:uid="{00000000-0005-0000-0000-0000810C0000}"/>
    <cellStyle name="Normal 2 4 2 3 2 2 3 2" xfId="3194" xr:uid="{00000000-0005-0000-0000-0000820C0000}"/>
    <cellStyle name="Normal 2 4 2 3 2 2 4" xfId="3195" xr:uid="{00000000-0005-0000-0000-0000830C0000}"/>
    <cellStyle name="Normal 2 4 2 3 2 3" xfId="3196" xr:uid="{00000000-0005-0000-0000-0000840C0000}"/>
    <cellStyle name="Normal 2 4 2 3 2 3 2" xfId="3197" xr:uid="{00000000-0005-0000-0000-0000850C0000}"/>
    <cellStyle name="Normal 2 4 2 3 2 4" xfId="3198" xr:uid="{00000000-0005-0000-0000-0000860C0000}"/>
    <cellStyle name="Normal 2 4 2 3 2 4 2" xfId="3199" xr:uid="{00000000-0005-0000-0000-0000870C0000}"/>
    <cellStyle name="Normal 2 4 2 3 2 5" xfId="3200" xr:uid="{00000000-0005-0000-0000-0000880C0000}"/>
    <cellStyle name="Normal 2 4 2 3 3" xfId="3201" xr:uid="{00000000-0005-0000-0000-0000890C0000}"/>
    <cellStyle name="Normal 2 4 2 3 3 2" xfId="3202" xr:uid="{00000000-0005-0000-0000-00008A0C0000}"/>
    <cellStyle name="Normal 2 4 2 3 3 2 2" xfId="3203" xr:uid="{00000000-0005-0000-0000-00008B0C0000}"/>
    <cellStyle name="Normal 2 4 2 3 3 2 2 2" xfId="3204" xr:uid="{00000000-0005-0000-0000-00008C0C0000}"/>
    <cellStyle name="Normal 2 4 2 3 3 2 3" xfId="3205" xr:uid="{00000000-0005-0000-0000-00008D0C0000}"/>
    <cellStyle name="Normal 2 4 2 3 3 2 3 2" xfId="3206" xr:uid="{00000000-0005-0000-0000-00008E0C0000}"/>
    <cellStyle name="Normal 2 4 2 3 3 2 4" xfId="3207" xr:uid="{00000000-0005-0000-0000-00008F0C0000}"/>
    <cellStyle name="Normal 2 4 2 3 3 3" xfId="3208" xr:uid="{00000000-0005-0000-0000-0000900C0000}"/>
    <cellStyle name="Normal 2 4 2 3 3 3 2" xfId="3209" xr:uid="{00000000-0005-0000-0000-0000910C0000}"/>
    <cellStyle name="Normal 2 4 2 3 3 4" xfId="3210" xr:uid="{00000000-0005-0000-0000-0000920C0000}"/>
    <cellStyle name="Normal 2 4 2 3 3 4 2" xfId="3211" xr:uid="{00000000-0005-0000-0000-0000930C0000}"/>
    <cellStyle name="Normal 2 4 2 3 3 5" xfId="3212" xr:uid="{00000000-0005-0000-0000-0000940C0000}"/>
    <cellStyle name="Normal 2 4 2 3 4" xfId="3213" xr:uid="{00000000-0005-0000-0000-0000950C0000}"/>
    <cellStyle name="Normal 2 4 2 3 4 2" xfId="3214" xr:uid="{00000000-0005-0000-0000-0000960C0000}"/>
    <cellStyle name="Normal 2 4 2 3 4 2 2" xfId="3215" xr:uid="{00000000-0005-0000-0000-0000970C0000}"/>
    <cellStyle name="Normal 2 4 2 3 4 3" xfId="3216" xr:uid="{00000000-0005-0000-0000-0000980C0000}"/>
    <cellStyle name="Normal 2 4 2 3 4 3 2" xfId="3217" xr:uid="{00000000-0005-0000-0000-0000990C0000}"/>
    <cellStyle name="Normal 2 4 2 3 4 4" xfId="3218" xr:uid="{00000000-0005-0000-0000-00009A0C0000}"/>
    <cellStyle name="Normal 2 4 2 3 5" xfId="3219" xr:uid="{00000000-0005-0000-0000-00009B0C0000}"/>
    <cellStyle name="Normal 2 4 2 3 5 2" xfId="3220" xr:uid="{00000000-0005-0000-0000-00009C0C0000}"/>
    <cellStyle name="Normal 2 4 2 3 6" xfId="3221" xr:uid="{00000000-0005-0000-0000-00009D0C0000}"/>
    <cellStyle name="Normal 2 4 2 3 6 2" xfId="3222" xr:uid="{00000000-0005-0000-0000-00009E0C0000}"/>
    <cellStyle name="Normal 2 4 2 3 7" xfId="3223" xr:uid="{00000000-0005-0000-0000-00009F0C0000}"/>
    <cellStyle name="Normal 2 4 2 4" xfId="3224" xr:uid="{00000000-0005-0000-0000-0000A00C0000}"/>
    <cellStyle name="Normal 2 4 2 4 2" xfId="3225" xr:uid="{00000000-0005-0000-0000-0000A10C0000}"/>
    <cellStyle name="Normal 2 4 2 4 2 2" xfId="3226" xr:uid="{00000000-0005-0000-0000-0000A20C0000}"/>
    <cellStyle name="Normal 2 4 2 4 2 2 2" xfId="3227" xr:uid="{00000000-0005-0000-0000-0000A30C0000}"/>
    <cellStyle name="Normal 2 4 2 4 2 2 2 2" xfId="3228" xr:uid="{00000000-0005-0000-0000-0000A40C0000}"/>
    <cellStyle name="Normal 2 4 2 4 2 2 3" xfId="3229" xr:uid="{00000000-0005-0000-0000-0000A50C0000}"/>
    <cellStyle name="Normal 2 4 2 4 2 2 3 2" xfId="3230" xr:uid="{00000000-0005-0000-0000-0000A60C0000}"/>
    <cellStyle name="Normal 2 4 2 4 2 2 4" xfId="3231" xr:uid="{00000000-0005-0000-0000-0000A70C0000}"/>
    <cellStyle name="Normal 2 4 2 4 2 3" xfId="3232" xr:uid="{00000000-0005-0000-0000-0000A80C0000}"/>
    <cellStyle name="Normal 2 4 2 4 2 3 2" xfId="3233" xr:uid="{00000000-0005-0000-0000-0000A90C0000}"/>
    <cellStyle name="Normal 2 4 2 4 2 4" xfId="3234" xr:uid="{00000000-0005-0000-0000-0000AA0C0000}"/>
    <cellStyle name="Normal 2 4 2 4 2 4 2" xfId="3235" xr:uid="{00000000-0005-0000-0000-0000AB0C0000}"/>
    <cellStyle name="Normal 2 4 2 4 2 5" xfId="3236" xr:uid="{00000000-0005-0000-0000-0000AC0C0000}"/>
    <cellStyle name="Normal 2 4 2 4 3" xfId="3237" xr:uid="{00000000-0005-0000-0000-0000AD0C0000}"/>
    <cellStyle name="Normal 2 4 2 4 3 2" xfId="3238" xr:uid="{00000000-0005-0000-0000-0000AE0C0000}"/>
    <cellStyle name="Normal 2 4 2 4 3 2 2" xfId="3239" xr:uid="{00000000-0005-0000-0000-0000AF0C0000}"/>
    <cellStyle name="Normal 2 4 2 4 3 2 2 2" xfId="3240" xr:uid="{00000000-0005-0000-0000-0000B00C0000}"/>
    <cellStyle name="Normal 2 4 2 4 3 2 3" xfId="3241" xr:uid="{00000000-0005-0000-0000-0000B10C0000}"/>
    <cellStyle name="Normal 2 4 2 4 3 2 3 2" xfId="3242" xr:uid="{00000000-0005-0000-0000-0000B20C0000}"/>
    <cellStyle name="Normal 2 4 2 4 3 2 4" xfId="3243" xr:uid="{00000000-0005-0000-0000-0000B30C0000}"/>
    <cellStyle name="Normal 2 4 2 4 3 3" xfId="3244" xr:uid="{00000000-0005-0000-0000-0000B40C0000}"/>
    <cellStyle name="Normal 2 4 2 4 3 3 2" xfId="3245" xr:uid="{00000000-0005-0000-0000-0000B50C0000}"/>
    <cellStyle name="Normal 2 4 2 4 3 4" xfId="3246" xr:uid="{00000000-0005-0000-0000-0000B60C0000}"/>
    <cellStyle name="Normal 2 4 2 4 3 4 2" xfId="3247" xr:uid="{00000000-0005-0000-0000-0000B70C0000}"/>
    <cellStyle name="Normal 2 4 2 4 3 5" xfId="3248" xr:uid="{00000000-0005-0000-0000-0000B80C0000}"/>
    <cellStyle name="Normal 2 4 2 4 4" xfId="3249" xr:uid="{00000000-0005-0000-0000-0000B90C0000}"/>
    <cellStyle name="Normal 2 4 2 4 4 2" xfId="3250" xr:uid="{00000000-0005-0000-0000-0000BA0C0000}"/>
    <cellStyle name="Normal 2 4 2 4 4 2 2" xfId="3251" xr:uid="{00000000-0005-0000-0000-0000BB0C0000}"/>
    <cellStyle name="Normal 2 4 2 4 4 3" xfId="3252" xr:uid="{00000000-0005-0000-0000-0000BC0C0000}"/>
    <cellStyle name="Normal 2 4 2 4 4 3 2" xfId="3253" xr:uid="{00000000-0005-0000-0000-0000BD0C0000}"/>
    <cellStyle name="Normal 2 4 2 4 4 4" xfId="3254" xr:uid="{00000000-0005-0000-0000-0000BE0C0000}"/>
    <cellStyle name="Normal 2 4 2 4 5" xfId="3255" xr:uid="{00000000-0005-0000-0000-0000BF0C0000}"/>
    <cellStyle name="Normal 2 4 2 4 5 2" xfId="3256" xr:uid="{00000000-0005-0000-0000-0000C00C0000}"/>
    <cellStyle name="Normal 2 4 2 4 6" xfId="3257" xr:uid="{00000000-0005-0000-0000-0000C10C0000}"/>
    <cellStyle name="Normal 2 4 2 4 6 2" xfId="3258" xr:uid="{00000000-0005-0000-0000-0000C20C0000}"/>
    <cellStyle name="Normal 2 4 2 4 7" xfId="3259" xr:uid="{00000000-0005-0000-0000-0000C30C0000}"/>
    <cellStyle name="Normal 2 4 2 5" xfId="3260" xr:uid="{00000000-0005-0000-0000-0000C40C0000}"/>
    <cellStyle name="Normal 2 4 2 5 2" xfId="3261" xr:uid="{00000000-0005-0000-0000-0000C50C0000}"/>
    <cellStyle name="Normal 2 4 2 5 2 2" xfId="3262" xr:uid="{00000000-0005-0000-0000-0000C60C0000}"/>
    <cellStyle name="Normal 2 4 2 5 2 2 2" xfId="3263" xr:uid="{00000000-0005-0000-0000-0000C70C0000}"/>
    <cellStyle name="Normal 2 4 2 5 2 2 2 2" xfId="3264" xr:uid="{00000000-0005-0000-0000-0000C80C0000}"/>
    <cellStyle name="Normal 2 4 2 5 2 2 3" xfId="3265" xr:uid="{00000000-0005-0000-0000-0000C90C0000}"/>
    <cellStyle name="Normal 2 4 2 5 2 2 3 2" xfId="3266" xr:uid="{00000000-0005-0000-0000-0000CA0C0000}"/>
    <cellStyle name="Normal 2 4 2 5 2 2 4" xfId="3267" xr:uid="{00000000-0005-0000-0000-0000CB0C0000}"/>
    <cellStyle name="Normal 2 4 2 5 2 3" xfId="3268" xr:uid="{00000000-0005-0000-0000-0000CC0C0000}"/>
    <cellStyle name="Normal 2 4 2 5 2 3 2" xfId="3269" xr:uid="{00000000-0005-0000-0000-0000CD0C0000}"/>
    <cellStyle name="Normal 2 4 2 5 2 4" xfId="3270" xr:uid="{00000000-0005-0000-0000-0000CE0C0000}"/>
    <cellStyle name="Normal 2 4 2 5 2 4 2" xfId="3271" xr:uid="{00000000-0005-0000-0000-0000CF0C0000}"/>
    <cellStyle name="Normal 2 4 2 5 2 5" xfId="3272" xr:uid="{00000000-0005-0000-0000-0000D00C0000}"/>
    <cellStyle name="Normal 2 4 2 5 3" xfId="3273" xr:uid="{00000000-0005-0000-0000-0000D10C0000}"/>
    <cellStyle name="Normal 2 4 2 5 3 2" xfId="3274" xr:uid="{00000000-0005-0000-0000-0000D20C0000}"/>
    <cellStyle name="Normal 2 4 2 5 3 2 2" xfId="3275" xr:uid="{00000000-0005-0000-0000-0000D30C0000}"/>
    <cellStyle name="Normal 2 4 2 5 3 2 2 2" xfId="3276" xr:uid="{00000000-0005-0000-0000-0000D40C0000}"/>
    <cellStyle name="Normal 2 4 2 5 3 2 3" xfId="3277" xr:uid="{00000000-0005-0000-0000-0000D50C0000}"/>
    <cellStyle name="Normal 2 4 2 5 3 2 3 2" xfId="3278" xr:uid="{00000000-0005-0000-0000-0000D60C0000}"/>
    <cellStyle name="Normal 2 4 2 5 3 2 4" xfId="3279" xr:uid="{00000000-0005-0000-0000-0000D70C0000}"/>
    <cellStyle name="Normal 2 4 2 5 3 3" xfId="3280" xr:uid="{00000000-0005-0000-0000-0000D80C0000}"/>
    <cellStyle name="Normal 2 4 2 5 3 3 2" xfId="3281" xr:uid="{00000000-0005-0000-0000-0000D90C0000}"/>
    <cellStyle name="Normal 2 4 2 5 3 4" xfId="3282" xr:uid="{00000000-0005-0000-0000-0000DA0C0000}"/>
    <cellStyle name="Normal 2 4 2 5 3 4 2" xfId="3283" xr:uid="{00000000-0005-0000-0000-0000DB0C0000}"/>
    <cellStyle name="Normal 2 4 2 5 3 5" xfId="3284" xr:uid="{00000000-0005-0000-0000-0000DC0C0000}"/>
    <cellStyle name="Normal 2 4 2 5 4" xfId="3285" xr:uid="{00000000-0005-0000-0000-0000DD0C0000}"/>
    <cellStyle name="Normal 2 4 2 5 4 2" xfId="3286" xr:uid="{00000000-0005-0000-0000-0000DE0C0000}"/>
    <cellStyle name="Normal 2 4 2 5 4 2 2" xfId="3287" xr:uid="{00000000-0005-0000-0000-0000DF0C0000}"/>
    <cellStyle name="Normal 2 4 2 5 4 3" xfId="3288" xr:uid="{00000000-0005-0000-0000-0000E00C0000}"/>
    <cellStyle name="Normal 2 4 2 5 4 3 2" xfId="3289" xr:uid="{00000000-0005-0000-0000-0000E10C0000}"/>
    <cellStyle name="Normal 2 4 2 5 4 4" xfId="3290" xr:uid="{00000000-0005-0000-0000-0000E20C0000}"/>
    <cellStyle name="Normal 2 4 2 5 5" xfId="3291" xr:uid="{00000000-0005-0000-0000-0000E30C0000}"/>
    <cellStyle name="Normal 2 4 2 5 5 2" xfId="3292" xr:uid="{00000000-0005-0000-0000-0000E40C0000}"/>
    <cellStyle name="Normal 2 4 2 5 6" xfId="3293" xr:uid="{00000000-0005-0000-0000-0000E50C0000}"/>
    <cellStyle name="Normal 2 4 2 5 6 2" xfId="3294" xr:uid="{00000000-0005-0000-0000-0000E60C0000}"/>
    <cellStyle name="Normal 2 4 2 5 7" xfId="3295" xr:uid="{00000000-0005-0000-0000-0000E70C0000}"/>
    <cellStyle name="Normal 2 4 2 6" xfId="3296" xr:uid="{00000000-0005-0000-0000-0000E80C0000}"/>
    <cellStyle name="Normal 2 4 2 6 2" xfId="3297" xr:uid="{00000000-0005-0000-0000-0000E90C0000}"/>
    <cellStyle name="Normal 2 4 2 6 2 2" xfId="3298" xr:uid="{00000000-0005-0000-0000-0000EA0C0000}"/>
    <cellStyle name="Normal 2 4 2 6 2 2 2" xfId="3299" xr:uid="{00000000-0005-0000-0000-0000EB0C0000}"/>
    <cellStyle name="Normal 2 4 2 6 2 2 2 2" xfId="3300" xr:uid="{00000000-0005-0000-0000-0000EC0C0000}"/>
    <cellStyle name="Normal 2 4 2 6 2 2 3" xfId="3301" xr:uid="{00000000-0005-0000-0000-0000ED0C0000}"/>
    <cellStyle name="Normal 2 4 2 6 2 2 3 2" xfId="3302" xr:uid="{00000000-0005-0000-0000-0000EE0C0000}"/>
    <cellStyle name="Normal 2 4 2 6 2 2 4" xfId="3303" xr:uid="{00000000-0005-0000-0000-0000EF0C0000}"/>
    <cellStyle name="Normal 2 4 2 6 2 3" xfId="3304" xr:uid="{00000000-0005-0000-0000-0000F00C0000}"/>
    <cellStyle name="Normal 2 4 2 6 2 3 2" xfId="3305" xr:uid="{00000000-0005-0000-0000-0000F10C0000}"/>
    <cellStyle name="Normal 2 4 2 6 2 4" xfId="3306" xr:uid="{00000000-0005-0000-0000-0000F20C0000}"/>
    <cellStyle name="Normal 2 4 2 6 2 4 2" xfId="3307" xr:uid="{00000000-0005-0000-0000-0000F30C0000}"/>
    <cellStyle name="Normal 2 4 2 6 2 5" xfId="3308" xr:uid="{00000000-0005-0000-0000-0000F40C0000}"/>
    <cellStyle name="Normal 2 4 2 6 3" xfId="3309" xr:uid="{00000000-0005-0000-0000-0000F50C0000}"/>
    <cellStyle name="Normal 2 4 2 6 3 2" xfId="3310" xr:uid="{00000000-0005-0000-0000-0000F60C0000}"/>
    <cellStyle name="Normal 2 4 2 6 3 2 2" xfId="3311" xr:uid="{00000000-0005-0000-0000-0000F70C0000}"/>
    <cellStyle name="Normal 2 4 2 6 3 2 2 2" xfId="3312" xr:uid="{00000000-0005-0000-0000-0000F80C0000}"/>
    <cellStyle name="Normal 2 4 2 6 3 2 3" xfId="3313" xr:uid="{00000000-0005-0000-0000-0000F90C0000}"/>
    <cellStyle name="Normal 2 4 2 6 3 2 3 2" xfId="3314" xr:uid="{00000000-0005-0000-0000-0000FA0C0000}"/>
    <cellStyle name="Normal 2 4 2 6 3 2 4" xfId="3315" xr:uid="{00000000-0005-0000-0000-0000FB0C0000}"/>
    <cellStyle name="Normal 2 4 2 6 3 3" xfId="3316" xr:uid="{00000000-0005-0000-0000-0000FC0C0000}"/>
    <cellStyle name="Normal 2 4 2 6 3 3 2" xfId="3317" xr:uid="{00000000-0005-0000-0000-0000FD0C0000}"/>
    <cellStyle name="Normal 2 4 2 6 3 4" xfId="3318" xr:uid="{00000000-0005-0000-0000-0000FE0C0000}"/>
    <cellStyle name="Normal 2 4 2 6 3 4 2" xfId="3319" xr:uid="{00000000-0005-0000-0000-0000FF0C0000}"/>
    <cellStyle name="Normal 2 4 2 6 3 5" xfId="3320" xr:uid="{00000000-0005-0000-0000-0000000D0000}"/>
    <cellStyle name="Normal 2 4 2 6 4" xfId="3321" xr:uid="{00000000-0005-0000-0000-0000010D0000}"/>
    <cellStyle name="Normal 2 4 2 6 4 2" xfId="3322" xr:uid="{00000000-0005-0000-0000-0000020D0000}"/>
    <cellStyle name="Normal 2 4 2 6 4 2 2" xfId="3323" xr:uid="{00000000-0005-0000-0000-0000030D0000}"/>
    <cellStyle name="Normal 2 4 2 6 4 3" xfId="3324" xr:uid="{00000000-0005-0000-0000-0000040D0000}"/>
    <cellStyle name="Normal 2 4 2 6 4 3 2" xfId="3325" xr:uid="{00000000-0005-0000-0000-0000050D0000}"/>
    <cellStyle name="Normal 2 4 2 6 4 4" xfId="3326" xr:uid="{00000000-0005-0000-0000-0000060D0000}"/>
    <cellStyle name="Normal 2 4 2 6 5" xfId="3327" xr:uid="{00000000-0005-0000-0000-0000070D0000}"/>
    <cellStyle name="Normal 2 4 2 6 5 2" xfId="3328" xr:uid="{00000000-0005-0000-0000-0000080D0000}"/>
    <cellStyle name="Normal 2 4 2 6 6" xfId="3329" xr:uid="{00000000-0005-0000-0000-0000090D0000}"/>
    <cellStyle name="Normal 2 4 2 6 6 2" xfId="3330" xr:uid="{00000000-0005-0000-0000-00000A0D0000}"/>
    <cellStyle name="Normal 2 4 2 6 7" xfId="3331" xr:uid="{00000000-0005-0000-0000-00000B0D0000}"/>
    <cellStyle name="Normal 2 4 2 7" xfId="3332" xr:uid="{00000000-0005-0000-0000-00000C0D0000}"/>
    <cellStyle name="Normal 2 4 2 7 2" xfId="3333" xr:uid="{00000000-0005-0000-0000-00000D0D0000}"/>
    <cellStyle name="Normal 2 4 2 7 2 2" xfId="3334" xr:uid="{00000000-0005-0000-0000-00000E0D0000}"/>
    <cellStyle name="Normal 2 4 2 7 2 2 2" xfId="3335" xr:uid="{00000000-0005-0000-0000-00000F0D0000}"/>
    <cellStyle name="Normal 2 4 2 7 2 3" xfId="3336" xr:uid="{00000000-0005-0000-0000-0000100D0000}"/>
    <cellStyle name="Normal 2 4 2 7 2 3 2" xfId="3337" xr:uid="{00000000-0005-0000-0000-0000110D0000}"/>
    <cellStyle name="Normal 2 4 2 7 2 4" xfId="3338" xr:uid="{00000000-0005-0000-0000-0000120D0000}"/>
    <cellStyle name="Normal 2 4 2 7 3" xfId="3339" xr:uid="{00000000-0005-0000-0000-0000130D0000}"/>
    <cellStyle name="Normal 2 4 2 7 3 2" xfId="3340" xr:uid="{00000000-0005-0000-0000-0000140D0000}"/>
    <cellStyle name="Normal 2 4 2 7 4" xfId="3341" xr:uid="{00000000-0005-0000-0000-0000150D0000}"/>
    <cellStyle name="Normal 2 4 2 7 4 2" xfId="3342" xr:uid="{00000000-0005-0000-0000-0000160D0000}"/>
    <cellStyle name="Normal 2 4 2 7 5" xfId="3343" xr:uid="{00000000-0005-0000-0000-0000170D0000}"/>
    <cellStyle name="Normal 2 4 2 8" xfId="3344" xr:uid="{00000000-0005-0000-0000-0000180D0000}"/>
    <cellStyle name="Normal 2 4 2 8 2" xfId="3345" xr:uid="{00000000-0005-0000-0000-0000190D0000}"/>
    <cellStyle name="Normal 2 4 2 8 2 2" xfId="3346" xr:uid="{00000000-0005-0000-0000-00001A0D0000}"/>
    <cellStyle name="Normal 2 4 2 8 2 2 2" xfId="3347" xr:uid="{00000000-0005-0000-0000-00001B0D0000}"/>
    <cellStyle name="Normal 2 4 2 8 2 3" xfId="3348" xr:uid="{00000000-0005-0000-0000-00001C0D0000}"/>
    <cellStyle name="Normal 2 4 2 8 2 3 2" xfId="3349" xr:uid="{00000000-0005-0000-0000-00001D0D0000}"/>
    <cellStyle name="Normal 2 4 2 8 2 4" xfId="3350" xr:uid="{00000000-0005-0000-0000-00001E0D0000}"/>
    <cellStyle name="Normal 2 4 2 8 3" xfId="3351" xr:uid="{00000000-0005-0000-0000-00001F0D0000}"/>
    <cellStyle name="Normal 2 4 2 8 3 2" xfId="3352" xr:uid="{00000000-0005-0000-0000-0000200D0000}"/>
    <cellStyle name="Normal 2 4 2 8 4" xfId="3353" xr:uid="{00000000-0005-0000-0000-0000210D0000}"/>
    <cellStyle name="Normal 2 4 2 8 4 2" xfId="3354" xr:uid="{00000000-0005-0000-0000-0000220D0000}"/>
    <cellStyle name="Normal 2 4 2 8 5" xfId="3355" xr:uid="{00000000-0005-0000-0000-0000230D0000}"/>
    <cellStyle name="Normal 2 4 2 9" xfId="3356" xr:uid="{00000000-0005-0000-0000-0000240D0000}"/>
    <cellStyle name="Normal 2 4 2 9 2" xfId="3357" xr:uid="{00000000-0005-0000-0000-0000250D0000}"/>
    <cellStyle name="Normal 2 4 2 9 2 2" xfId="3358" xr:uid="{00000000-0005-0000-0000-0000260D0000}"/>
    <cellStyle name="Normal 2 4 2 9 3" xfId="3359" xr:uid="{00000000-0005-0000-0000-0000270D0000}"/>
    <cellStyle name="Normal 2 4 2 9 3 2" xfId="3360" xr:uid="{00000000-0005-0000-0000-0000280D0000}"/>
    <cellStyle name="Normal 2 4 2 9 4" xfId="3361" xr:uid="{00000000-0005-0000-0000-0000290D0000}"/>
    <cellStyle name="Normal 2 4 3" xfId="3362" xr:uid="{00000000-0005-0000-0000-00002A0D0000}"/>
    <cellStyle name="Normal 2 4 3 2" xfId="3363" xr:uid="{00000000-0005-0000-0000-00002B0D0000}"/>
    <cellStyle name="Normal 2 4 3 2 2" xfId="3364" xr:uid="{00000000-0005-0000-0000-00002C0D0000}"/>
    <cellStyle name="Normal 2 4 3 2 2 2" xfId="3365" xr:uid="{00000000-0005-0000-0000-00002D0D0000}"/>
    <cellStyle name="Normal 2 4 3 2 2 2 2" xfId="3366" xr:uid="{00000000-0005-0000-0000-00002E0D0000}"/>
    <cellStyle name="Normal 2 4 3 2 2 2 2 2" xfId="3367" xr:uid="{00000000-0005-0000-0000-00002F0D0000}"/>
    <cellStyle name="Normal 2 4 3 2 2 2 3" xfId="3368" xr:uid="{00000000-0005-0000-0000-0000300D0000}"/>
    <cellStyle name="Normal 2 4 3 2 2 2 3 2" xfId="3369" xr:uid="{00000000-0005-0000-0000-0000310D0000}"/>
    <cellStyle name="Normal 2 4 3 2 2 2 4" xfId="3370" xr:uid="{00000000-0005-0000-0000-0000320D0000}"/>
    <cellStyle name="Normal 2 4 3 2 2 3" xfId="3371" xr:uid="{00000000-0005-0000-0000-0000330D0000}"/>
    <cellStyle name="Normal 2 4 3 2 2 3 2" xfId="3372" xr:uid="{00000000-0005-0000-0000-0000340D0000}"/>
    <cellStyle name="Normal 2 4 3 2 2 4" xfId="3373" xr:uid="{00000000-0005-0000-0000-0000350D0000}"/>
    <cellStyle name="Normal 2 4 3 2 2 4 2" xfId="3374" xr:uid="{00000000-0005-0000-0000-0000360D0000}"/>
    <cellStyle name="Normal 2 4 3 2 2 5" xfId="3375" xr:uid="{00000000-0005-0000-0000-0000370D0000}"/>
    <cellStyle name="Normal 2 4 3 2 3" xfId="3376" xr:uid="{00000000-0005-0000-0000-0000380D0000}"/>
    <cellStyle name="Normal 2 4 3 2 3 2" xfId="3377" xr:uid="{00000000-0005-0000-0000-0000390D0000}"/>
    <cellStyle name="Normal 2 4 3 2 3 2 2" xfId="3378" xr:uid="{00000000-0005-0000-0000-00003A0D0000}"/>
    <cellStyle name="Normal 2 4 3 2 3 2 2 2" xfId="3379" xr:uid="{00000000-0005-0000-0000-00003B0D0000}"/>
    <cellStyle name="Normal 2 4 3 2 3 2 3" xfId="3380" xr:uid="{00000000-0005-0000-0000-00003C0D0000}"/>
    <cellStyle name="Normal 2 4 3 2 3 2 3 2" xfId="3381" xr:uid="{00000000-0005-0000-0000-00003D0D0000}"/>
    <cellStyle name="Normal 2 4 3 2 3 2 4" xfId="3382" xr:uid="{00000000-0005-0000-0000-00003E0D0000}"/>
    <cellStyle name="Normal 2 4 3 2 3 3" xfId="3383" xr:uid="{00000000-0005-0000-0000-00003F0D0000}"/>
    <cellStyle name="Normal 2 4 3 2 3 3 2" xfId="3384" xr:uid="{00000000-0005-0000-0000-0000400D0000}"/>
    <cellStyle name="Normal 2 4 3 2 3 4" xfId="3385" xr:uid="{00000000-0005-0000-0000-0000410D0000}"/>
    <cellStyle name="Normal 2 4 3 2 3 4 2" xfId="3386" xr:uid="{00000000-0005-0000-0000-0000420D0000}"/>
    <cellStyle name="Normal 2 4 3 2 3 5" xfId="3387" xr:uid="{00000000-0005-0000-0000-0000430D0000}"/>
    <cellStyle name="Normal 2 4 3 2 4" xfId="3388" xr:uid="{00000000-0005-0000-0000-0000440D0000}"/>
    <cellStyle name="Normal 2 4 3 2 4 2" xfId="3389" xr:uid="{00000000-0005-0000-0000-0000450D0000}"/>
    <cellStyle name="Normal 2 4 3 2 4 2 2" xfId="3390" xr:uid="{00000000-0005-0000-0000-0000460D0000}"/>
    <cellStyle name="Normal 2 4 3 2 4 3" xfId="3391" xr:uid="{00000000-0005-0000-0000-0000470D0000}"/>
    <cellStyle name="Normal 2 4 3 2 4 3 2" xfId="3392" xr:uid="{00000000-0005-0000-0000-0000480D0000}"/>
    <cellStyle name="Normal 2 4 3 2 4 4" xfId="3393" xr:uid="{00000000-0005-0000-0000-0000490D0000}"/>
    <cellStyle name="Normal 2 4 3 2 5" xfId="3394" xr:uid="{00000000-0005-0000-0000-00004A0D0000}"/>
    <cellStyle name="Normal 2 4 3 2 5 2" xfId="3395" xr:uid="{00000000-0005-0000-0000-00004B0D0000}"/>
    <cellStyle name="Normal 2 4 3 2 6" xfId="3396" xr:uid="{00000000-0005-0000-0000-00004C0D0000}"/>
    <cellStyle name="Normal 2 4 3 2 6 2" xfId="3397" xr:uid="{00000000-0005-0000-0000-00004D0D0000}"/>
    <cellStyle name="Normal 2 4 3 2 7" xfId="3398" xr:uid="{00000000-0005-0000-0000-00004E0D0000}"/>
    <cellStyle name="Normal 2 4 3 3" xfId="3399" xr:uid="{00000000-0005-0000-0000-00004F0D0000}"/>
    <cellStyle name="Normal 2 4 3 3 2" xfId="3400" xr:uid="{00000000-0005-0000-0000-0000500D0000}"/>
    <cellStyle name="Normal 2 4 3 3 2 2" xfId="3401" xr:uid="{00000000-0005-0000-0000-0000510D0000}"/>
    <cellStyle name="Normal 2 4 3 3 2 2 2" xfId="3402" xr:uid="{00000000-0005-0000-0000-0000520D0000}"/>
    <cellStyle name="Normal 2 4 3 3 2 3" xfId="3403" xr:uid="{00000000-0005-0000-0000-0000530D0000}"/>
    <cellStyle name="Normal 2 4 3 3 2 3 2" xfId="3404" xr:uid="{00000000-0005-0000-0000-0000540D0000}"/>
    <cellStyle name="Normal 2 4 3 3 2 4" xfId="3405" xr:uid="{00000000-0005-0000-0000-0000550D0000}"/>
    <cellStyle name="Normal 2 4 3 3 3" xfId="3406" xr:uid="{00000000-0005-0000-0000-0000560D0000}"/>
    <cellStyle name="Normal 2 4 3 3 3 2" xfId="3407" xr:uid="{00000000-0005-0000-0000-0000570D0000}"/>
    <cellStyle name="Normal 2 4 3 3 4" xfId="3408" xr:uid="{00000000-0005-0000-0000-0000580D0000}"/>
    <cellStyle name="Normal 2 4 3 3 4 2" xfId="3409" xr:uid="{00000000-0005-0000-0000-0000590D0000}"/>
    <cellStyle name="Normal 2 4 3 3 5" xfId="3410" xr:uid="{00000000-0005-0000-0000-00005A0D0000}"/>
    <cellStyle name="Normal 2 4 3 4" xfId="3411" xr:uid="{00000000-0005-0000-0000-00005B0D0000}"/>
    <cellStyle name="Normal 2 4 3 4 2" xfId="3412" xr:uid="{00000000-0005-0000-0000-00005C0D0000}"/>
    <cellStyle name="Normal 2 4 3 4 2 2" xfId="3413" xr:uid="{00000000-0005-0000-0000-00005D0D0000}"/>
    <cellStyle name="Normal 2 4 3 4 2 2 2" xfId="3414" xr:uid="{00000000-0005-0000-0000-00005E0D0000}"/>
    <cellStyle name="Normal 2 4 3 4 2 3" xfId="3415" xr:uid="{00000000-0005-0000-0000-00005F0D0000}"/>
    <cellStyle name="Normal 2 4 3 4 2 3 2" xfId="3416" xr:uid="{00000000-0005-0000-0000-0000600D0000}"/>
    <cellStyle name="Normal 2 4 3 4 2 4" xfId="3417" xr:uid="{00000000-0005-0000-0000-0000610D0000}"/>
    <cellStyle name="Normal 2 4 3 4 3" xfId="3418" xr:uid="{00000000-0005-0000-0000-0000620D0000}"/>
    <cellStyle name="Normal 2 4 3 4 3 2" xfId="3419" xr:uid="{00000000-0005-0000-0000-0000630D0000}"/>
    <cellStyle name="Normal 2 4 3 4 4" xfId="3420" xr:uid="{00000000-0005-0000-0000-0000640D0000}"/>
    <cellStyle name="Normal 2 4 3 4 4 2" xfId="3421" xr:uid="{00000000-0005-0000-0000-0000650D0000}"/>
    <cellStyle name="Normal 2 4 3 4 5" xfId="3422" xr:uid="{00000000-0005-0000-0000-0000660D0000}"/>
    <cellStyle name="Normal 2 4 3 5" xfId="3423" xr:uid="{00000000-0005-0000-0000-0000670D0000}"/>
    <cellStyle name="Normal 2 4 3 5 2" xfId="3424" xr:uid="{00000000-0005-0000-0000-0000680D0000}"/>
    <cellStyle name="Normal 2 4 3 5 2 2" xfId="3425" xr:uid="{00000000-0005-0000-0000-0000690D0000}"/>
    <cellStyle name="Normal 2 4 3 5 3" xfId="3426" xr:uid="{00000000-0005-0000-0000-00006A0D0000}"/>
    <cellStyle name="Normal 2 4 3 5 3 2" xfId="3427" xr:uid="{00000000-0005-0000-0000-00006B0D0000}"/>
    <cellStyle name="Normal 2 4 3 5 4" xfId="3428" xr:uid="{00000000-0005-0000-0000-00006C0D0000}"/>
    <cellStyle name="Normal 2 4 3 6" xfId="3429" xr:uid="{00000000-0005-0000-0000-00006D0D0000}"/>
    <cellStyle name="Normal 2 4 3 6 2" xfId="3430" xr:uid="{00000000-0005-0000-0000-00006E0D0000}"/>
    <cellStyle name="Normal 2 4 3 7" xfId="3431" xr:uid="{00000000-0005-0000-0000-00006F0D0000}"/>
    <cellStyle name="Normal 2 4 3 7 2" xfId="3432" xr:uid="{00000000-0005-0000-0000-0000700D0000}"/>
    <cellStyle name="Normal 2 4 3 8" xfId="3433" xr:uid="{00000000-0005-0000-0000-0000710D0000}"/>
    <cellStyle name="Normal 2 4 4" xfId="3434" xr:uid="{00000000-0005-0000-0000-0000720D0000}"/>
    <cellStyle name="Normal 2 4 4 2" xfId="3435" xr:uid="{00000000-0005-0000-0000-0000730D0000}"/>
    <cellStyle name="Normal 2 4 4 2 2" xfId="3436" xr:uid="{00000000-0005-0000-0000-0000740D0000}"/>
    <cellStyle name="Normal 2 4 4 2 2 2" xfId="3437" xr:uid="{00000000-0005-0000-0000-0000750D0000}"/>
    <cellStyle name="Normal 2 4 4 2 2 2 2" xfId="3438" xr:uid="{00000000-0005-0000-0000-0000760D0000}"/>
    <cellStyle name="Normal 2 4 4 2 2 2 2 2" xfId="3439" xr:uid="{00000000-0005-0000-0000-0000770D0000}"/>
    <cellStyle name="Normal 2 4 4 2 2 2 3" xfId="3440" xr:uid="{00000000-0005-0000-0000-0000780D0000}"/>
    <cellStyle name="Normal 2 4 4 2 2 2 3 2" xfId="3441" xr:uid="{00000000-0005-0000-0000-0000790D0000}"/>
    <cellStyle name="Normal 2 4 4 2 2 2 4" xfId="3442" xr:uid="{00000000-0005-0000-0000-00007A0D0000}"/>
    <cellStyle name="Normal 2 4 4 2 2 3" xfId="3443" xr:uid="{00000000-0005-0000-0000-00007B0D0000}"/>
    <cellStyle name="Normal 2 4 4 2 2 3 2" xfId="3444" xr:uid="{00000000-0005-0000-0000-00007C0D0000}"/>
    <cellStyle name="Normal 2 4 4 2 2 4" xfId="3445" xr:uid="{00000000-0005-0000-0000-00007D0D0000}"/>
    <cellStyle name="Normal 2 4 4 2 2 4 2" xfId="3446" xr:uid="{00000000-0005-0000-0000-00007E0D0000}"/>
    <cellStyle name="Normal 2 4 4 2 2 5" xfId="3447" xr:uid="{00000000-0005-0000-0000-00007F0D0000}"/>
    <cellStyle name="Normal 2 4 4 2 3" xfId="3448" xr:uid="{00000000-0005-0000-0000-0000800D0000}"/>
    <cellStyle name="Normal 2 4 4 2 3 2" xfId="3449" xr:uid="{00000000-0005-0000-0000-0000810D0000}"/>
    <cellStyle name="Normal 2 4 4 2 3 2 2" xfId="3450" xr:uid="{00000000-0005-0000-0000-0000820D0000}"/>
    <cellStyle name="Normal 2 4 4 2 3 2 2 2" xfId="3451" xr:uid="{00000000-0005-0000-0000-0000830D0000}"/>
    <cellStyle name="Normal 2 4 4 2 3 2 3" xfId="3452" xr:uid="{00000000-0005-0000-0000-0000840D0000}"/>
    <cellStyle name="Normal 2 4 4 2 3 2 3 2" xfId="3453" xr:uid="{00000000-0005-0000-0000-0000850D0000}"/>
    <cellStyle name="Normal 2 4 4 2 3 2 4" xfId="3454" xr:uid="{00000000-0005-0000-0000-0000860D0000}"/>
    <cellStyle name="Normal 2 4 4 2 3 3" xfId="3455" xr:uid="{00000000-0005-0000-0000-0000870D0000}"/>
    <cellStyle name="Normal 2 4 4 2 3 3 2" xfId="3456" xr:uid="{00000000-0005-0000-0000-0000880D0000}"/>
    <cellStyle name="Normal 2 4 4 2 3 4" xfId="3457" xr:uid="{00000000-0005-0000-0000-0000890D0000}"/>
    <cellStyle name="Normal 2 4 4 2 3 4 2" xfId="3458" xr:uid="{00000000-0005-0000-0000-00008A0D0000}"/>
    <cellStyle name="Normal 2 4 4 2 3 5" xfId="3459" xr:uid="{00000000-0005-0000-0000-00008B0D0000}"/>
    <cellStyle name="Normal 2 4 4 2 4" xfId="3460" xr:uid="{00000000-0005-0000-0000-00008C0D0000}"/>
    <cellStyle name="Normal 2 4 4 2 4 2" xfId="3461" xr:uid="{00000000-0005-0000-0000-00008D0D0000}"/>
    <cellStyle name="Normal 2 4 4 2 4 2 2" xfId="3462" xr:uid="{00000000-0005-0000-0000-00008E0D0000}"/>
    <cellStyle name="Normal 2 4 4 2 4 3" xfId="3463" xr:uid="{00000000-0005-0000-0000-00008F0D0000}"/>
    <cellStyle name="Normal 2 4 4 2 4 3 2" xfId="3464" xr:uid="{00000000-0005-0000-0000-0000900D0000}"/>
    <cellStyle name="Normal 2 4 4 2 4 4" xfId="3465" xr:uid="{00000000-0005-0000-0000-0000910D0000}"/>
    <cellStyle name="Normal 2 4 4 2 5" xfId="3466" xr:uid="{00000000-0005-0000-0000-0000920D0000}"/>
    <cellStyle name="Normal 2 4 4 2 5 2" xfId="3467" xr:uid="{00000000-0005-0000-0000-0000930D0000}"/>
    <cellStyle name="Normal 2 4 4 2 6" xfId="3468" xr:uid="{00000000-0005-0000-0000-0000940D0000}"/>
    <cellStyle name="Normal 2 4 4 2 6 2" xfId="3469" xr:uid="{00000000-0005-0000-0000-0000950D0000}"/>
    <cellStyle name="Normal 2 4 4 2 7" xfId="3470" xr:uid="{00000000-0005-0000-0000-0000960D0000}"/>
    <cellStyle name="Normal 2 4 4 3" xfId="3471" xr:uid="{00000000-0005-0000-0000-0000970D0000}"/>
    <cellStyle name="Normal 2 4 4 3 2" xfId="3472" xr:uid="{00000000-0005-0000-0000-0000980D0000}"/>
    <cellStyle name="Normal 2 4 4 3 2 2" xfId="3473" xr:uid="{00000000-0005-0000-0000-0000990D0000}"/>
    <cellStyle name="Normal 2 4 4 3 2 2 2" xfId="3474" xr:uid="{00000000-0005-0000-0000-00009A0D0000}"/>
    <cellStyle name="Normal 2 4 4 3 2 3" xfId="3475" xr:uid="{00000000-0005-0000-0000-00009B0D0000}"/>
    <cellStyle name="Normal 2 4 4 3 2 3 2" xfId="3476" xr:uid="{00000000-0005-0000-0000-00009C0D0000}"/>
    <cellStyle name="Normal 2 4 4 3 2 4" xfId="3477" xr:uid="{00000000-0005-0000-0000-00009D0D0000}"/>
    <cellStyle name="Normal 2 4 4 3 3" xfId="3478" xr:uid="{00000000-0005-0000-0000-00009E0D0000}"/>
    <cellStyle name="Normal 2 4 4 3 3 2" xfId="3479" xr:uid="{00000000-0005-0000-0000-00009F0D0000}"/>
    <cellStyle name="Normal 2 4 4 3 4" xfId="3480" xr:uid="{00000000-0005-0000-0000-0000A00D0000}"/>
    <cellStyle name="Normal 2 4 4 3 4 2" xfId="3481" xr:uid="{00000000-0005-0000-0000-0000A10D0000}"/>
    <cellStyle name="Normal 2 4 4 3 5" xfId="3482" xr:uid="{00000000-0005-0000-0000-0000A20D0000}"/>
    <cellStyle name="Normal 2 4 4 4" xfId="3483" xr:uid="{00000000-0005-0000-0000-0000A30D0000}"/>
    <cellStyle name="Normal 2 4 4 4 2" xfId="3484" xr:uid="{00000000-0005-0000-0000-0000A40D0000}"/>
    <cellStyle name="Normal 2 4 4 4 2 2" xfId="3485" xr:uid="{00000000-0005-0000-0000-0000A50D0000}"/>
    <cellStyle name="Normal 2 4 4 4 2 2 2" xfId="3486" xr:uid="{00000000-0005-0000-0000-0000A60D0000}"/>
    <cellStyle name="Normal 2 4 4 4 2 3" xfId="3487" xr:uid="{00000000-0005-0000-0000-0000A70D0000}"/>
    <cellStyle name="Normal 2 4 4 4 2 3 2" xfId="3488" xr:uid="{00000000-0005-0000-0000-0000A80D0000}"/>
    <cellStyle name="Normal 2 4 4 4 2 4" xfId="3489" xr:uid="{00000000-0005-0000-0000-0000A90D0000}"/>
    <cellStyle name="Normal 2 4 4 4 3" xfId="3490" xr:uid="{00000000-0005-0000-0000-0000AA0D0000}"/>
    <cellStyle name="Normal 2 4 4 4 3 2" xfId="3491" xr:uid="{00000000-0005-0000-0000-0000AB0D0000}"/>
    <cellStyle name="Normal 2 4 4 4 4" xfId="3492" xr:uid="{00000000-0005-0000-0000-0000AC0D0000}"/>
    <cellStyle name="Normal 2 4 4 4 4 2" xfId="3493" xr:uid="{00000000-0005-0000-0000-0000AD0D0000}"/>
    <cellStyle name="Normal 2 4 4 4 5" xfId="3494" xr:uid="{00000000-0005-0000-0000-0000AE0D0000}"/>
    <cellStyle name="Normal 2 4 4 5" xfId="3495" xr:uid="{00000000-0005-0000-0000-0000AF0D0000}"/>
    <cellStyle name="Normal 2 4 4 5 2" xfId="3496" xr:uid="{00000000-0005-0000-0000-0000B00D0000}"/>
    <cellStyle name="Normal 2 4 4 5 2 2" xfId="3497" xr:uid="{00000000-0005-0000-0000-0000B10D0000}"/>
    <cellStyle name="Normal 2 4 4 5 3" xfId="3498" xr:uid="{00000000-0005-0000-0000-0000B20D0000}"/>
    <cellStyle name="Normal 2 4 4 5 3 2" xfId="3499" xr:uid="{00000000-0005-0000-0000-0000B30D0000}"/>
    <cellStyle name="Normal 2 4 4 5 4" xfId="3500" xr:uid="{00000000-0005-0000-0000-0000B40D0000}"/>
    <cellStyle name="Normal 2 4 4 6" xfId="3501" xr:uid="{00000000-0005-0000-0000-0000B50D0000}"/>
    <cellStyle name="Normal 2 4 4 6 2" xfId="3502" xr:uid="{00000000-0005-0000-0000-0000B60D0000}"/>
    <cellStyle name="Normal 2 4 4 7" xfId="3503" xr:uid="{00000000-0005-0000-0000-0000B70D0000}"/>
    <cellStyle name="Normal 2 4 4 7 2" xfId="3504" xr:uid="{00000000-0005-0000-0000-0000B80D0000}"/>
    <cellStyle name="Normal 2 4 4 8" xfId="3505" xr:uid="{00000000-0005-0000-0000-0000B90D0000}"/>
    <cellStyle name="Normal 2 4 5" xfId="3506" xr:uid="{00000000-0005-0000-0000-0000BA0D0000}"/>
    <cellStyle name="Normal 2 4 5 2" xfId="3507" xr:uid="{00000000-0005-0000-0000-0000BB0D0000}"/>
    <cellStyle name="Normal 2 4 5 2 2" xfId="3508" xr:uid="{00000000-0005-0000-0000-0000BC0D0000}"/>
    <cellStyle name="Normal 2 4 5 2 2 2" xfId="3509" xr:uid="{00000000-0005-0000-0000-0000BD0D0000}"/>
    <cellStyle name="Normal 2 4 5 2 2 2 2" xfId="3510" xr:uid="{00000000-0005-0000-0000-0000BE0D0000}"/>
    <cellStyle name="Normal 2 4 5 2 2 3" xfId="3511" xr:uid="{00000000-0005-0000-0000-0000BF0D0000}"/>
    <cellStyle name="Normal 2 4 5 2 2 3 2" xfId="3512" xr:uid="{00000000-0005-0000-0000-0000C00D0000}"/>
    <cellStyle name="Normal 2 4 5 2 2 4" xfId="3513" xr:uid="{00000000-0005-0000-0000-0000C10D0000}"/>
    <cellStyle name="Normal 2 4 5 2 3" xfId="3514" xr:uid="{00000000-0005-0000-0000-0000C20D0000}"/>
    <cellStyle name="Normal 2 4 5 2 3 2" xfId="3515" xr:uid="{00000000-0005-0000-0000-0000C30D0000}"/>
    <cellStyle name="Normal 2 4 5 2 4" xfId="3516" xr:uid="{00000000-0005-0000-0000-0000C40D0000}"/>
    <cellStyle name="Normal 2 4 5 2 4 2" xfId="3517" xr:uid="{00000000-0005-0000-0000-0000C50D0000}"/>
    <cellStyle name="Normal 2 4 5 2 5" xfId="3518" xr:uid="{00000000-0005-0000-0000-0000C60D0000}"/>
    <cellStyle name="Normal 2 4 5 3" xfId="3519" xr:uid="{00000000-0005-0000-0000-0000C70D0000}"/>
    <cellStyle name="Normal 2 4 5 3 2" xfId="3520" xr:uid="{00000000-0005-0000-0000-0000C80D0000}"/>
    <cellStyle name="Normal 2 4 5 3 2 2" xfId="3521" xr:uid="{00000000-0005-0000-0000-0000C90D0000}"/>
    <cellStyle name="Normal 2 4 5 3 2 2 2" xfId="3522" xr:uid="{00000000-0005-0000-0000-0000CA0D0000}"/>
    <cellStyle name="Normal 2 4 5 3 2 3" xfId="3523" xr:uid="{00000000-0005-0000-0000-0000CB0D0000}"/>
    <cellStyle name="Normal 2 4 5 3 2 3 2" xfId="3524" xr:uid="{00000000-0005-0000-0000-0000CC0D0000}"/>
    <cellStyle name="Normal 2 4 5 3 2 4" xfId="3525" xr:uid="{00000000-0005-0000-0000-0000CD0D0000}"/>
    <cellStyle name="Normal 2 4 5 3 3" xfId="3526" xr:uid="{00000000-0005-0000-0000-0000CE0D0000}"/>
    <cellStyle name="Normal 2 4 5 3 3 2" xfId="3527" xr:uid="{00000000-0005-0000-0000-0000CF0D0000}"/>
    <cellStyle name="Normal 2 4 5 3 4" xfId="3528" xr:uid="{00000000-0005-0000-0000-0000D00D0000}"/>
    <cellStyle name="Normal 2 4 5 3 4 2" xfId="3529" xr:uid="{00000000-0005-0000-0000-0000D10D0000}"/>
    <cellStyle name="Normal 2 4 5 3 5" xfId="3530" xr:uid="{00000000-0005-0000-0000-0000D20D0000}"/>
    <cellStyle name="Normal 2 4 5 4" xfId="3531" xr:uid="{00000000-0005-0000-0000-0000D30D0000}"/>
    <cellStyle name="Normal 2 4 5 4 2" xfId="3532" xr:uid="{00000000-0005-0000-0000-0000D40D0000}"/>
    <cellStyle name="Normal 2 4 5 4 2 2" xfId="3533" xr:uid="{00000000-0005-0000-0000-0000D50D0000}"/>
    <cellStyle name="Normal 2 4 5 4 3" xfId="3534" xr:uid="{00000000-0005-0000-0000-0000D60D0000}"/>
    <cellStyle name="Normal 2 4 5 4 3 2" xfId="3535" xr:uid="{00000000-0005-0000-0000-0000D70D0000}"/>
    <cellStyle name="Normal 2 4 5 4 4" xfId="3536" xr:uid="{00000000-0005-0000-0000-0000D80D0000}"/>
    <cellStyle name="Normal 2 4 5 5" xfId="3537" xr:uid="{00000000-0005-0000-0000-0000D90D0000}"/>
    <cellStyle name="Normal 2 4 5 5 2" xfId="3538" xr:uid="{00000000-0005-0000-0000-0000DA0D0000}"/>
    <cellStyle name="Normal 2 4 5 6" xfId="3539" xr:uid="{00000000-0005-0000-0000-0000DB0D0000}"/>
    <cellStyle name="Normal 2 4 5 6 2" xfId="3540" xr:uid="{00000000-0005-0000-0000-0000DC0D0000}"/>
    <cellStyle name="Normal 2 4 5 7" xfId="3541" xr:uid="{00000000-0005-0000-0000-0000DD0D0000}"/>
    <cellStyle name="Normal 2 4 6" xfId="3542" xr:uid="{00000000-0005-0000-0000-0000DE0D0000}"/>
    <cellStyle name="Normal 2 4 6 2" xfId="3543" xr:uid="{00000000-0005-0000-0000-0000DF0D0000}"/>
    <cellStyle name="Normal 2 4 6 2 2" xfId="3544" xr:uid="{00000000-0005-0000-0000-0000E00D0000}"/>
    <cellStyle name="Normal 2 4 6 2 2 2" xfId="3545" xr:uid="{00000000-0005-0000-0000-0000E10D0000}"/>
    <cellStyle name="Normal 2 4 6 2 2 2 2" xfId="3546" xr:uid="{00000000-0005-0000-0000-0000E20D0000}"/>
    <cellStyle name="Normal 2 4 6 2 2 3" xfId="3547" xr:uid="{00000000-0005-0000-0000-0000E30D0000}"/>
    <cellStyle name="Normal 2 4 6 2 2 3 2" xfId="3548" xr:uid="{00000000-0005-0000-0000-0000E40D0000}"/>
    <cellStyle name="Normal 2 4 6 2 2 4" xfId="3549" xr:uid="{00000000-0005-0000-0000-0000E50D0000}"/>
    <cellStyle name="Normal 2 4 6 2 3" xfId="3550" xr:uid="{00000000-0005-0000-0000-0000E60D0000}"/>
    <cellStyle name="Normal 2 4 6 2 3 2" xfId="3551" xr:uid="{00000000-0005-0000-0000-0000E70D0000}"/>
    <cellStyle name="Normal 2 4 6 2 4" xfId="3552" xr:uid="{00000000-0005-0000-0000-0000E80D0000}"/>
    <cellStyle name="Normal 2 4 6 2 4 2" xfId="3553" xr:uid="{00000000-0005-0000-0000-0000E90D0000}"/>
    <cellStyle name="Normal 2 4 6 2 5" xfId="3554" xr:uid="{00000000-0005-0000-0000-0000EA0D0000}"/>
    <cellStyle name="Normal 2 4 6 3" xfId="3555" xr:uid="{00000000-0005-0000-0000-0000EB0D0000}"/>
    <cellStyle name="Normal 2 4 6 3 2" xfId="3556" xr:uid="{00000000-0005-0000-0000-0000EC0D0000}"/>
    <cellStyle name="Normal 2 4 6 3 2 2" xfId="3557" xr:uid="{00000000-0005-0000-0000-0000ED0D0000}"/>
    <cellStyle name="Normal 2 4 6 3 2 2 2" xfId="3558" xr:uid="{00000000-0005-0000-0000-0000EE0D0000}"/>
    <cellStyle name="Normal 2 4 6 3 2 3" xfId="3559" xr:uid="{00000000-0005-0000-0000-0000EF0D0000}"/>
    <cellStyle name="Normal 2 4 6 3 2 3 2" xfId="3560" xr:uid="{00000000-0005-0000-0000-0000F00D0000}"/>
    <cellStyle name="Normal 2 4 6 3 2 4" xfId="3561" xr:uid="{00000000-0005-0000-0000-0000F10D0000}"/>
    <cellStyle name="Normal 2 4 6 3 3" xfId="3562" xr:uid="{00000000-0005-0000-0000-0000F20D0000}"/>
    <cellStyle name="Normal 2 4 6 3 3 2" xfId="3563" xr:uid="{00000000-0005-0000-0000-0000F30D0000}"/>
    <cellStyle name="Normal 2 4 6 3 4" xfId="3564" xr:uid="{00000000-0005-0000-0000-0000F40D0000}"/>
    <cellStyle name="Normal 2 4 6 3 4 2" xfId="3565" xr:uid="{00000000-0005-0000-0000-0000F50D0000}"/>
    <cellStyle name="Normal 2 4 6 3 5" xfId="3566" xr:uid="{00000000-0005-0000-0000-0000F60D0000}"/>
    <cellStyle name="Normal 2 4 6 4" xfId="3567" xr:uid="{00000000-0005-0000-0000-0000F70D0000}"/>
    <cellStyle name="Normal 2 4 6 4 2" xfId="3568" xr:uid="{00000000-0005-0000-0000-0000F80D0000}"/>
    <cellStyle name="Normal 2 4 6 4 2 2" xfId="3569" xr:uid="{00000000-0005-0000-0000-0000F90D0000}"/>
    <cellStyle name="Normal 2 4 6 4 3" xfId="3570" xr:uid="{00000000-0005-0000-0000-0000FA0D0000}"/>
    <cellStyle name="Normal 2 4 6 4 3 2" xfId="3571" xr:uid="{00000000-0005-0000-0000-0000FB0D0000}"/>
    <cellStyle name="Normal 2 4 6 4 4" xfId="3572" xr:uid="{00000000-0005-0000-0000-0000FC0D0000}"/>
    <cellStyle name="Normal 2 4 6 5" xfId="3573" xr:uid="{00000000-0005-0000-0000-0000FD0D0000}"/>
    <cellStyle name="Normal 2 4 6 5 2" xfId="3574" xr:uid="{00000000-0005-0000-0000-0000FE0D0000}"/>
    <cellStyle name="Normal 2 4 6 6" xfId="3575" xr:uid="{00000000-0005-0000-0000-0000FF0D0000}"/>
    <cellStyle name="Normal 2 4 6 6 2" xfId="3576" xr:uid="{00000000-0005-0000-0000-0000000E0000}"/>
    <cellStyle name="Normal 2 4 6 7" xfId="3577" xr:uid="{00000000-0005-0000-0000-0000010E0000}"/>
    <cellStyle name="Normal 2 4 7" xfId="3578" xr:uid="{00000000-0005-0000-0000-0000020E0000}"/>
    <cellStyle name="Normal 2 4 7 2" xfId="3579" xr:uid="{00000000-0005-0000-0000-0000030E0000}"/>
    <cellStyle name="Normal 2 4 7 2 2" xfId="3580" xr:uid="{00000000-0005-0000-0000-0000040E0000}"/>
    <cellStyle name="Normal 2 4 7 2 2 2" xfId="3581" xr:uid="{00000000-0005-0000-0000-0000050E0000}"/>
    <cellStyle name="Normal 2 4 7 2 2 2 2" xfId="3582" xr:uid="{00000000-0005-0000-0000-0000060E0000}"/>
    <cellStyle name="Normal 2 4 7 2 2 3" xfId="3583" xr:uid="{00000000-0005-0000-0000-0000070E0000}"/>
    <cellStyle name="Normal 2 4 7 2 2 3 2" xfId="3584" xr:uid="{00000000-0005-0000-0000-0000080E0000}"/>
    <cellStyle name="Normal 2 4 7 2 2 4" xfId="3585" xr:uid="{00000000-0005-0000-0000-0000090E0000}"/>
    <cellStyle name="Normal 2 4 7 2 3" xfId="3586" xr:uid="{00000000-0005-0000-0000-00000A0E0000}"/>
    <cellStyle name="Normal 2 4 7 2 3 2" xfId="3587" xr:uid="{00000000-0005-0000-0000-00000B0E0000}"/>
    <cellStyle name="Normal 2 4 7 2 4" xfId="3588" xr:uid="{00000000-0005-0000-0000-00000C0E0000}"/>
    <cellStyle name="Normal 2 4 7 2 4 2" xfId="3589" xr:uid="{00000000-0005-0000-0000-00000D0E0000}"/>
    <cellStyle name="Normal 2 4 7 2 5" xfId="3590" xr:uid="{00000000-0005-0000-0000-00000E0E0000}"/>
    <cellStyle name="Normal 2 4 7 3" xfId="3591" xr:uid="{00000000-0005-0000-0000-00000F0E0000}"/>
    <cellStyle name="Normal 2 4 7 3 2" xfId="3592" xr:uid="{00000000-0005-0000-0000-0000100E0000}"/>
    <cellStyle name="Normal 2 4 7 3 2 2" xfId="3593" xr:uid="{00000000-0005-0000-0000-0000110E0000}"/>
    <cellStyle name="Normal 2 4 7 3 2 2 2" xfId="3594" xr:uid="{00000000-0005-0000-0000-0000120E0000}"/>
    <cellStyle name="Normal 2 4 7 3 2 3" xfId="3595" xr:uid="{00000000-0005-0000-0000-0000130E0000}"/>
    <cellStyle name="Normal 2 4 7 3 2 3 2" xfId="3596" xr:uid="{00000000-0005-0000-0000-0000140E0000}"/>
    <cellStyle name="Normal 2 4 7 3 2 4" xfId="3597" xr:uid="{00000000-0005-0000-0000-0000150E0000}"/>
    <cellStyle name="Normal 2 4 7 3 3" xfId="3598" xr:uid="{00000000-0005-0000-0000-0000160E0000}"/>
    <cellStyle name="Normal 2 4 7 3 3 2" xfId="3599" xr:uid="{00000000-0005-0000-0000-0000170E0000}"/>
    <cellStyle name="Normal 2 4 7 3 4" xfId="3600" xr:uid="{00000000-0005-0000-0000-0000180E0000}"/>
    <cellStyle name="Normal 2 4 7 3 4 2" xfId="3601" xr:uid="{00000000-0005-0000-0000-0000190E0000}"/>
    <cellStyle name="Normal 2 4 7 3 5" xfId="3602" xr:uid="{00000000-0005-0000-0000-00001A0E0000}"/>
    <cellStyle name="Normal 2 4 7 4" xfId="3603" xr:uid="{00000000-0005-0000-0000-00001B0E0000}"/>
    <cellStyle name="Normal 2 4 7 4 2" xfId="3604" xr:uid="{00000000-0005-0000-0000-00001C0E0000}"/>
    <cellStyle name="Normal 2 4 7 4 2 2" xfId="3605" xr:uid="{00000000-0005-0000-0000-00001D0E0000}"/>
    <cellStyle name="Normal 2 4 7 4 3" xfId="3606" xr:uid="{00000000-0005-0000-0000-00001E0E0000}"/>
    <cellStyle name="Normal 2 4 7 4 3 2" xfId="3607" xr:uid="{00000000-0005-0000-0000-00001F0E0000}"/>
    <cellStyle name="Normal 2 4 7 4 4" xfId="3608" xr:uid="{00000000-0005-0000-0000-0000200E0000}"/>
    <cellStyle name="Normal 2 4 7 5" xfId="3609" xr:uid="{00000000-0005-0000-0000-0000210E0000}"/>
    <cellStyle name="Normal 2 4 7 5 2" xfId="3610" xr:uid="{00000000-0005-0000-0000-0000220E0000}"/>
    <cellStyle name="Normal 2 4 7 6" xfId="3611" xr:uid="{00000000-0005-0000-0000-0000230E0000}"/>
    <cellStyle name="Normal 2 4 7 6 2" xfId="3612" xr:uid="{00000000-0005-0000-0000-0000240E0000}"/>
    <cellStyle name="Normal 2 4 7 7" xfId="3613" xr:uid="{00000000-0005-0000-0000-0000250E0000}"/>
    <cellStyle name="Normal 2 4 8" xfId="3614" xr:uid="{00000000-0005-0000-0000-0000260E0000}"/>
    <cellStyle name="Normal 2 4 8 2" xfId="3615" xr:uid="{00000000-0005-0000-0000-0000270E0000}"/>
    <cellStyle name="Normal 2 4 8 2 2" xfId="3616" xr:uid="{00000000-0005-0000-0000-0000280E0000}"/>
    <cellStyle name="Normal 2 4 8 2 2 2" xfId="3617" xr:uid="{00000000-0005-0000-0000-0000290E0000}"/>
    <cellStyle name="Normal 2 4 8 2 2 2 2" xfId="3618" xr:uid="{00000000-0005-0000-0000-00002A0E0000}"/>
    <cellStyle name="Normal 2 4 8 2 2 3" xfId="3619" xr:uid="{00000000-0005-0000-0000-00002B0E0000}"/>
    <cellStyle name="Normal 2 4 8 2 2 3 2" xfId="3620" xr:uid="{00000000-0005-0000-0000-00002C0E0000}"/>
    <cellStyle name="Normal 2 4 8 2 2 4" xfId="3621" xr:uid="{00000000-0005-0000-0000-00002D0E0000}"/>
    <cellStyle name="Normal 2 4 8 2 3" xfId="3622" xr:uid="{00000000-0005-0000-0000-00002E0E0000}"/>
    <cellStyle name="Normal 2 4 8 2 3 2" xfId="3623" xr:uid="{00000000-0005-0000-0000-00002F0E0000}"/>
    <cellStyle name="Normal 2 4 8 2 4" xfId="3624" xr:uid="{00000000-0005-0000-0000-0000300E0000}"/>
    <cellStyle name="Normal 2 4 8 2 4 2" xfId="3625" xr:uid="{00000000-0005-0000-0000-0000310E0000}"/>
    <cellStyle name="Normal 2 4 8 2 5" xfId="3626" xr:uid="{00000000-0005-0000-0000-0000320E0000}"/>
    <cellStyle name="Normal 2 4 8 3" xfId="3627" xr:uid="{00000000-0005-0000-0000-0000330E0000}"/>
    <cellStyle name="Normal 2 4 8 3 2" xfId="3628" xr:uid="{00000000-0005-0000-0000-0000340E0000}"/>
    <cellStyle name="Normal 2 4 8 3 2 2" xfId="3629" xr:uid="{00000000-0005-0000-0000-0000350E0000}"/>
    <cellStyle name="Normal 2 4 8 3 2 2 2" xfId="3630" xr:uid="{00000000-0005-0000-0000-0000360E0000}"/>
    <cellStyle name="Normal 2 4 8 3 2 3" xfId="3631" xr:uid="{00000000-0005-0000-0000-0000370E0000}"/>
    <cellStyle name="Normal 2 4 8 3 2 3 2" xfId="3632" xr:uid="{00000000-0005-0000-0000-0000380E0000}"/>
    <cellStyle name="Normal 2 4 8 3 2 4" xfId="3633" xr:uid="{00000000-0005-0000-0000-0000390E0000}"/>
    <cellStyle name="Normal 2 4 8 3 3" xfId="3634" xr:uid="{00000000-0005-0000-0000-00003A0E0000}"/>
    <cellStyle name="Normal 2 4 8 3 3 2" xfId="3635" xr:uid="{00000000-0005-0000-0000-00003B0E0000}"/>
    <cellStyle name="Normal 2 4 8 3 4" xfId="3636" xr:uid="{00000000-0005-0000-0000-00003C0E0000}"/>
    <cellStyle name="Normal 2 4 8 3 4 2" xfId="3637" xr:uid="{00000000-0005-0000-0000-00003D0E0000}"/>
    <cellStyle name="Normal 2 4 8 3 5" xfId="3638" xr:uid="{00000000-0005-0000-0000-00003E0E0000}"/>
    <cellStyle name="Normal 2 4 8 4" xfId="3639" xr:uid="{00000000-0005-0000-0000-00003F0E0000}"/>
    <cellStyle name="Normal 2 4 8 4 2" xfId="3640" xr:uid="{00000000-0005-0000-0000-0000400E0000}"/>
    <cellStyle name="Normal 2 4 8 4 2 2" xfId="3641" xr:uid="{00000000-0005-0000-0000-0000410E0000}"/>
    <cellStyle name="Normal 2 4 8 4 3" xfId="3642" xr:uid="{00000000-0005-0000-0000-0000420E0000}"/>
    <cellStyle name="Normal 2 4 8 4 3 2" xfId="3643" xr:uid="{00000000-0005-0000-0000-0000430E0000}"/>
    <cellStyle name="Normal 2 4 8 4 4" xfId="3644" xr:uid="{00000000-0005-0000-0000-0000440E0000}"/>
    <cellStyle name="Normal 2 4 8 5" xfId="3645" xr:uid="{00000000-0005-0000-0000-0000450E0000}"/>
    <cellStyle name="Normal 2 4 8 5 2" xfId="3646" xr:uid="{00000000-0005-0000-0000-0000460E0000}"/>
    <cellStyle name="Normal 2 4 8 6" xfId="3647" xr:uid="{00000000-0005-0000-0000-0000470E0000}"/>
    <cellStyle name="Normal 2 4 8 6 2" xfId="3648" xr:uid="{00000000-0005-0000-0000-0000480E0000}"/>
    <cellStyle name="Normal 2 4 8 7" xfId="3649" xr:uid="{00000000-0005-0000-0000-0000490E0000}"/>
    <cellStyle name="Normal 2 4 9" xfId="3650" xr:uid="{00000000-0005-0000-0000-00004A0E0000}"/>
    <cellStyle name="Normal 2 4 9 2" xfId="3651" xr:uid="{00000000-0005-0000-0000-00004B0E0000}"/>
    <cellStyle name="Normal 2 4 9 2 2" xfId="3652" xr:uid="{00000000-0005-0000-0000-00004C0E0000}"/>
    <cellStyle name="Normal 2 4 9 2 2 2" xfId="3653" xr:uid="{00000000-0005-0000-0000-00004D0E0000}"/>
    <cellStyle name="Normal 2 4 9 2 3" xfId="3654" xr:uid="{00000000-0005-0000-0000-00004E0E0000}"/>
    <cellStyle name="Normal 2 4 9 2 3 2" xfId="3655" xr:uid="{00000000-0005-0000-0000-00004F0E0000}"/>
    <cellStyle name="Normal 2 4 9 2 4" xfId="3656" xr:uid="{00000000-0005-0000-0000-0000500E0000}"/>
    <cellStyle name="Normal 2 4 9 3" xfId="3657" xr:uid="{00000000-0005-0000-0000-0000510E0000}"/>
    <cellStyle name="Normal 2 4 9 3 2" xfId="3658" xr:uid="{00000000-0005-0000-0000-0000520E0000}"/>
    <cellStyle name="Normal 2 4 9 4" xfId="3659" xr:uid="{00000000-0005-0000-0000-0000530E0000}"/>
    <cellStyle name="Normal 2 4 9 4 2" xfId="3660" xr:uid="{00000000-0005-0000-0000-0000540E0000}"/>
    <cellStyle name="Normal 2 4 9 5" xfId="3661" xr:uid="{00000000-0005-0000-0000-0000550E0000}"/>
    <cellStyle name="Normal 2 5" xfId="3662" xr:uid="{00000000-0005-0000-0000-0000560E0000}"/>
    <cellStyle name="Normal 2 5 10" xfId="3663" xr:uid="{00000000-0005-0000-0000-0000570E0000}"/>
    <cellStyle name="Normal 2 5 10 2" xfId="3664" xr:uid="{00000000-0005-0000-0000-0000580E0000}"/>
    <cellStyle name="Normal 2 5 10 2 2" xfId="3665" xr:uid="{00000000-0005-0000-0000-0000590E0000}"/>
    <cellStyle name="Normal 2 5 10 2 2 2" xfId="3666" xr:uid="{00000000-0005-0000-0000-00005A0E0000}"/>
    <cellStyle name="Normal 2 5 10 2 3" xfId="3667" xr:uid="{00000000-0005-0000-0000-00005B0E0000}"/>
    <cellStyle name="Normal 2 5 10 2 3 2" xfId="3668" xr:uid="{00000000-0005-0000-0000-00005C0E0000}"/>
    <cellStyle name="Normal 2 5 10 2 4" xfId="3669" xr:uid="{00000000-0005-0000-0000-00005D0E0000}"/>
    <cellStyle name="Normal 2 5 10 3" xfId="3670" xr:uid="{00000000-0005-0000-0000-00005E0E0000}"/>
    <cellStyle name="Normal 2 5 10 3 2" xfId="3671" xr:uid="{00000000-0005-0000-0000-00005F0E0000}"/>
    <cellStyle name="Normal 2 5 10 4" xfId="3672" xr:uid="{00000000-0005-0000-0000-0000600E0000}"/>
    <cellStyle name="Normal 2 5 10 4 2" xfId="3673" xr:uid="{00000000-0005-0000-0000-0000610E0000}"/>
    <cellStyle name="Normal 2 5 10 5" xfId="3674" xr:uid="{00000000-0005-0000-0000-0000620E0000}"/>
    <cellStyle name="Normal 2 5 11" xfId="3675" xr:uid="{00000000-0005-0000-0000-0000630E0000}"/>
    <cellStyle name="Normal 2 5 11 2" xfId="3676" xr:uid="{00000000-0005-0000-0000-0000640E0000}"/>
    <cellStyle name="Normal 2 5 11 2 2" xfId="3677" xr:uid="{00000000-0005-0000-0000-0000650E0000}"/>
    <cellStyle name="Normal 2 5 11 3" xfId="3678" xr:uid="{00000000-0005-0000-0000-0000660E0000}"/>
    <cellStyle name="Normal 2 5 11 3 2" xfId="3679" xr:uid="{00000000-0005-0000-0000-0000670E0000}"/>
    <cellStyle name="Normal 2 5 11 4" xfId="3680" xr:uid="{00000000-0005-0000-0000-0000680E0000}"/>
    <cellStyle name="Normal 2 5 12" xfId="3681" xr:uid="{00000000-0005-0000-0000-0000690E0000}"/>
    <cellStyle name="Normal 2 5 12 2" xfId="3682" xr:uid="{00000000-0005-0000-0000-00006A0E0000}"/>
    <cellStyle name="Normal 2 5 13" xfId="3683" xr:uid="{00000000-0005-0000-0000-00006B0E0000}"/>
    <cellStyle name="Normal 2 5 13 2" xfId="3684" xr:uid="{00000000-0005-0000-0000-00006C0E0000}"/>
    <cellStyle name="Normal 2 5 14" xfId="3685" xr:uid="{00000000-0005-0000-0000-00006D0E0000}"/>
    <cellStyle name="Normal 2 5 2" xfId="3686" xr:uid="{00000000-0005-0000-0000-00006E0E0000}"/>
    <cellStyle name="Normal 2 5 2 10" xfId="3687" xr:uid="{00000000-0005-0000-0000-00006F0E0000}"/>
    <cellStyle name="Normal 2 5 2 10 2" xfId="3688" xr:uid="{00000000-0005-0000-0000-0000700E0000}"/>
    <cellStyle name="Normal 2 5 2 11" xfId="3689" xr:uid="{00000000-0005-0000-0000-0000710E0000}"/>
    <cellStyle name="Normal 2 5 2 11 2" xfId="3690" xr:uid="{00000000-0005-0000-0000-0000720E0000}"/>
    <cellStyle name="Normal 2 5 2 12" xfId="3691" xr:uid="{00000000-0005-0000-0000-0000730E0000}"/>
    <cellStyle name="Normal 2 5 2 2" xfId="3692" xr:uid="{00000000-0005-0000-0000-0000740E0000}"/>
    <cellStyle name="Normal 2 5 2 2 2" xfId="3693" xr:uid="{00000000-0005-0000-0000-0000750E0000}"/>
    <cellStyle name="Normal 2 5 2 2 2 2" xfId="3694" xr:uid="{00000000-0005-0000-0000-0000760E0000}"/>
    <cellStyle name="Normal 2 5 2 2 2 2 2" xfId="3695" xr:uid="{00000000-0005-0000-0000-0000770E0000}"/>
    <cellStyle name="Normal 2 5 2 2 2 2 2 2" xfId="3696" xr:uid="{00000000-0005-0000-0000-0000780E0000}"/>
    <cellStyle name="Normal 2 5 2 2 2 2 2 2 2" xfId="3697" xr:uid="{00000000-0005-0000-0000-0000790E0000}"/>
    <cellStyle name="Normal 2 5 2 2 2 2 2 3" xfId="3698" xr:uid="{00000000-0005-0000-0000-00007A0E0000}"/>
    <cellStyle name="Normal 2 5 2 2 2 2 2 3 2" xfId="3699" xr:uid="{00000000-0005-0000-0000-00007B0E0000}"/>
    <cellStyle name="Normal 2 5 2 2 2 2 2 4" xfId="3700" xr:uid="{00000000-0005-0000-0000-00007C0E0000}"/>
    <cellStyle name="Normal 2 5 2 2 2 2 3" xfId="3701" xr:uid="{00000000-0005-0000-0000-00007D0E0000}"/>
    <cellStyle name="Normal 2 5 2 2 2 2 3 2" xfId="3702" xr:uid="{00000000-0005-0000-0000-00007E0E0000}"/>
    <cellStyle name="Normal 2 5 2 2 2 2 4" xfId="3703" xr:uid="{00000000-0005-0000-0000-00007F0E0000}"/>
    <cellStyle name="Normal 2 5 2 2 2 2 4 2" xfId="3704" xr:uid="{00000000-0005-0000-0000-0000800E0000}"/>
    <cellStyle name="Normal 2 5 2 2 2 2 5" xfId="3705" xr:uid="{00000000-0005-0000-0000-0000810E0000}"/>
    <cellStyle name="Normal 2 5 2 2 2 3" xfId="3706" xr:uid="{00000000-0005-0000-0000-0000820E0000}"/>
    <cellStyle name="Normal 2 5 2 2 2 3 2" xfId="3707" xr:uid="{00000000-0005-0000-0000-0000830E0000}"/>
    <cellStyle name="Normal 2 5 2 2 2 3 2 2" xfId="3708" xr:uid="{00000000-0005-0000-0000-0000840E0000}"/>
    <cellStyle name="Normal 2 5 2 2 2 3 2 2 2" xfId="3709" xr:uid="{00000000-0005-0000-0000-0000850E0000}"/>
    <cellStyle name="Normal 2 5 2 2 2 3 2 3" xfId="3710" xr:uid="{00000000-0005-0000-0000-0000860E0000}"/>
    <cellStyle name="Normal 2 5 2 2 2 3 2 3 2" xfId="3711" xr:uid="{00000000-0005-0000-0000-0000870E0000}"/>
    <cellStyle name="Normal 2 5 2 2 2 3 2 4" xfId="3712" xr:uid="{00000000-0005-0000-0000-0000880E0000}"/>
    <cellStyle name="Normal 2 5 2 2 2 3 3" xfId="3713" xr:uid="{00000000-0005-0000-0000-0000890E0000}"/>
    <cellStyle name="Normal 2 5 2 2 2 3 3 2" xfId="3714" xr:uid="{00000000-0005-0000-0000-00008A0E0000}"/>
    <cellStyle name="Normal 2 5 2 2 2 3 4" xfId="3715" xr:uid="{00000000-0005-0000-0000-00008B0E0000}"/>
    <cellStyle name="Normal 2 5 2 2 2 3 4 2" xfId="3716" xr:uid="{00000000-0005-0000-0000-00008C0E0000}"/>
    <cellStyle name="Normal 2 5 2 2 2 3 5" xfId="3717" xr:uid="{00000000-0005-0000-0000-00008D0E0000}"/>
    <cellStyle name="Normal 2 5 2 2 2 4" xfId="3718" xr:uid="{00000000-0005-0000-0000-00008E0E0000}"/>
    <cellStyle name="Normal 2 5 2 2 2 4 2" xfId="3719" xr:uid="{00000000-0005-0000-0000-00008F0E0000}"/>
    <cellStyle name="Normal 2 5 2 2 2 4 2 2" xfId="3720" xr:uid="{00000000-0005-0000-0000-0000900E0000}"/>
    <cellStyle name="Normal 2 5 2 2 2 4 3" xfId="3721" xr:uid="{00000000-0005-0000-0000-0000910E0000}"/>
    <cellStyle name="Normal 2 5 2 2 2 4 3 2" xfId="3722" xr:uid="{00000000-0005-0000-0000-0000920E0000}"/>
    <cellStyle name="Normal 2 5 2 2 2 4 4" xfId="3723" xr:uid="{00000000-0005-0000-0000-0000930E0000}"/>
    <cellStyle name="Normal 2 5 2 2 2 5" xfId="3724" xr:uid="{00000000-0005-0000-0000-0000940E0000}"/>
    <cellStyle name="Normal 2 5 2 2 2 5 2" xfId="3725" xr:uid="{00000000-0005-0000-0000-0000950E0000}"/>
    <cellStyle name="Normal 2 5 2 2 2 6" xfId="3726" xr:uid="{00000000-0005-0000-0000-0000960E0000}"/>
    <cellStyle name="Normal 2 5 2 2 2 6 2" xfId="3727" xr:uid="{00000000-0005-0000-0000-0000970E0000}"/>
    <cellStyle name="Normal 2 5 2 2 2 7" xfId="3728" xr:uid="{00000000-0005-0000-0000-0000980E0000}"/>
    <cellStyle name="Normal 2 5 2 2 3" xfId="3729" xr:uid="{00000000-0005-0000-0000-0000990E0000}"/>
    <cellStyle name="Normal 2 5 2 2 3 2" xfId="3730" xr:uid="{00000000-0005-0000-0000-00009A0E0000}"/>
    <cellStyle name="Normal 2 5 2 2 3 2 2" xfId="3731" xr:uid="{00000000-0005-0000-0000-00009B0E0000}"/>
    <cellStyle name="Normal 2 5 2 2 3 2 2 2" xfId="3732" xr:uid="{00000000-0005-0000-0000-00009C0E0000}"/>
    <cellStyle name="Normal 2 5 2 2 3 2 3" xfId="3733" xr:uid="{00000000-0005-0000-0000-00009D0E0000}"/>
    <cellStyle name="Normal 2 5 2 2 3 2 3 2" xfId="3734" xr:uid="{00000000-0005-0000-0000-00009E0E0000}"/>
    <cellStyle name="Normal 2 5 2 2 3 2 4" xfId="3735" xr:uid="{00000000-0005-0000-0000-00009F0E0000}"/>
    <cellStyle name="Normal 2 5 2 2 3 3" xfId="3736" xr:uid="{00000000-0005-0000-0000-0000A00E0000}"/>
    <cellStyle name="Normal 2 5 2 2 3 3 2" xfId="3737" xr:uid="{00000000-0005-0000-0000-0000A10E0000}"/>
    <cellStyle name="Normal 2 5 2 2 3 4" xfId="3738" xr:uid="{00000000-0005-0000-0000-0000A20E0000}"/>
    <cellStyle name="Normal 2 5 2 2 3 4 2" xfId="3739" xr:uid="{00000000-0005-0000-0000-0000A30E0000}"/>
    <cellStyle name="Normal 2 5 2 2 3 5" xfId="3740" xr:uid="{00000000-0005-0000-0000-0000A40E0000}"/>
    <cellStyle name="Normal 2 5 2 2 4" xfId="3741" xr:uid="{00000000-0005-0000-0000-0000A50E0000}"/>
    <cellStyle name="Normal 2 5 2 2 4 2" xfId="3742" xr:uid="{00000000-0005-0000-0000-0000A60E0000}"/>
    <cellStyle name="Normal 2 5 2 2 4 2 2" xfId="3743" xr:uid="{00000000-0005-0000-0000-0000A70E0000}"/>
    <cellStyle name="Normal 2 5 2 2 4 2 2 2" xfId="3744" xr:uid="{00000000-0005-0000-0000-0000A80E0000}"/>
    <cellStyle name="Normal 2 5 2 2 4 2 3" xfId="3745" xr:uid="{00000000-0005-0000-0000-0000A90E0000}"/>
    <cellStyle name="Normal 2 5 2 2 4 2 3 2" xfId="3746" xr:uid="{00000000-0005-0000-0000-0000AA0E0000}"/>
    <cellStyle name="Normal 2 5 2 2 4 2 4" xfId="3747" xr:uid="{00000000-0005-0000-0000-0000AB0E0000}"/>
    <cellStyle name="Normal 2 5 2 2 4 3" xfId="3748" xr:uid="{00000000-0005-0000-0000-0000AC0E0000}"/>
    <cellStyle name="Normal 2 5 2 2 4 3 2" xfId="3749" xr:uid="{00000000-0005-0000-0000-0000AD0E0000}"/>
    <cellStyle name="Normal 2 5 2 2 4 4" xfId="3750" xr:uid="{00000000-0005-0000-0000-0000AE0E0000}"/>
    <cellStyle name="Normal 2 5 2 2 4 4 2" xfId="3751" xr:uid="{00000000-0005-0000-0000-0000AF0E0000}"/>
    <cellStyle name="Normal 2 5 2 2 4 5" xfId="3752" xr:uid="{00000000-0005-0000-0000-0000B00E0000}"/>
    <cellStyle name="Normal 2 5 2 2 5" xfId="3753" xr:uid="{00000000-0005-0000-0000-0000B10E0000}"/>
    <cellStyle name="Normal 2 5 2 2 5 2" xfId="3754" xr:uid="{00000000-0005-0000-0000-0000B20E0000}"/>
    <cellStyle name="Normal 2 5 2 2 5 2 2" xfId="3755" xr:uid="{00000000-0005-0000-0000-0000B30E0000}"/>
    <cellStyle name="Normal 2 5 2 2 5 3" xfId="3756" xr:uid="{00000000-0005-0000-0000-0000B40E0000}"/>
    <cellStyle name="Normal 2 5 2 2 5 3 2" xfId="3757" xr:uid="{00000000-0005-0000-0000-0000B50E0000}"/>
    <cellStyle name="Normal 2 5 2 2 5 4" xfId="3758" xr:uid="{00000000-0005-0000-0000-0000B60E0000}"/>
    <cellStyle name="Normal 2 5 2 2 6" xfId="3759" xr:uid="{00000000-0005-0000-0000-0000B70E0000}"/>
    <cellStyle name="Normal 2 5 2 2 6 2" xfId="3760" xr:uid="{00000000-0005-0000-0000-0000B80E0000}"/>
    <cellStyle name="Normal 2 5 2 2 7" xfId="3761" xr:uid="{00000000-0005-0000-0000-0000B90E0000}"/>
    <cellStyle name="Normal 2 5 2 2 7 2" xfId="3762" xr:uid="{00000000-0005-0000-0000-0000BA0E0000}"/>
    <cellStyle name="Normal 2 5 2 2 8" xfId="3763" xr:uid="{00000000-0005-0000-0000-0000BB0E0000}"/>
    <cellStyle name="Normal 2 5 2 3" xfId="3764" xr:uid="{00000000-0005-0000-0000-0000BC0E0000}"/>
    <cellStyle name="Normal 2 5 2 3 2" xfId="3765" xr:uid="{00000000-0005-0000-0000-0000BD0E0000}"/>
    <cellStyle name="Normal 2 5 2 3 2 2" xfId="3766" xr:uid="{00000000-0005-0000-0000-0000BE0E0000}"/>
    <cellStyle name="Normal 2 5 2 3 2 2 2" xfId="3767" xr:uid="{00000000-0005-0000-0000-0000BF0E0000}"/>
    <cellStyle name="Normal 2 5 2 3 2 2 2 2" xfId="3768" xr:uid="{00000000-0005-0000-0000-0000C00E0000}"/>
    <cellStyle name="Normal 2 5 2 3 2 2 3" xfId="3769" xr:uid="{00000000-0005-0000-0000-0000C10E0000}"/>
    <cellStyle name="Normal 2 5 2 3 2 2 3 2" xfId="3770" xr:uid="{00000000-0005-0000-0000-0000C20E0000}"/>
    <cellStyle name="Normal 2 5 2 3 2 2 4" xfId="3771" xr:uid="{00000000-0005-0000-0000-0000C30E0000}"/>
    <cellStyle name="Normal 2 5 2 3 2 3" xfId="3772" xr:uid="{00000000-0005-0000-0000-0000C40E0000}"/>
    <cellStyle name="Normal 2 5 2 3 2 3 2" xfId="3773" xr:uid="{00000000-0005-0000-0000-0000C50E0000}"/>
    <cellStyle name="Normal 2 5 2 3 2 4" xfId="3774" xr:uid="{00000000-0005-0000-0000-0000C60E0000}"/>
    <cellStyle name="Normal 2 5 2 3 2 4 2" xfId="3775" xr:uid="{00000000-0005-0000-0000-0000C70E0000}"/>
    <cellStyle name="Normal 2 5 2 3 2 5" xfId="3776" xr:uid="{00000000-0005-0000-0000-0000C80E0000}"/>
    <cellStyle name="Normal 2 5 2 3 3" xfId="3777" xr:uid="{00000000-0005-0000-0000-0000C90E0000}"/>
    <cellStyle name="Normal 2 5 2 3 3 2" xfId="3778" xr:uid="{00000000-0005-0000-0000-0000CA0E0000}"/>
    <cellStyle name="Normal 2 5 2 3 3 2 2" xfId="3779" xr:uid="{00000000-0005-0000-0000-0000CB0E0000}"/>
    <cellStyle name="Normal 2 5 2 3 3 2 2 2" xfId="3780" xr:uid="{00000000-0005-0000-0000-0000CC0E0000}"/>
    <cellStyle name="Normal 2 5 2 3 3 2 3" xfId="3781" xr:uid="{00000000-0005-0000-0000-0000CD0E0000}"/>
    <cellStyle name="Normal 2 5 2 3 3 2 3 2" xfId="3782" xr:uid="{00000000-0005-0000-0000-0000CE0E0000}"/>
    <cellStyle name="Normal 2 5 2 3 3 2 4" xfId="3783" xr:uid="{00000000-0005-0000-0000-0000CF0E0000}"/>
    <cellStyle name="Normal 2 5 2 3 3 3" xfId="3784" xr:uid="{00000000-0005-0000-0000-0000D00E0000}"/>
    <cellStyle name="Normal 2 5 2 3 3 3 2" xfId="3785" xr:uid="{00000000-0005-0000-0000-0000D10E0000}"/>
    <cellStyle name="Normal 2 5 2 3 3 4" xfId="3786" xr:uid="{00000000-0005-0000-0000-0000D20E0000}"/>
    <cellStyle name="Normal 2 5 2 3 3 4 2" xfId="3787" xr:uid="{00000000-0005-0000-0000-0000D30E0000}"/>
    <cellStyle name="Normal 2 5 2 3 3 5" xfId="3788" xr:uid="{00000000-0005-0000-0000-0000D40E0000}"/>
    <cellStyle name="Normal 2 5 2 3 4" xfId="3789" xr:uid="{00000000-0005-0000-0000-0000D50E0000}"/>
    <cellStyle name="Normal 2 5 2 3 4 2" xfId="3790" xr:uid="{00000000-0005-0000-0000-0000D60E0000}"/>
    <cellStyle name="Normal 2 5 2 3 4 2 2" xfId="3791" xr:uid="{00000000-0005-0000-0000-0000D70E0000}"/>
    <cellStyle name="Normal 2 5 2 3 4 3" xfId="3792" xr:uid="{00000000-0005-0000-0000-0000D80E0000}"/>
    <cellStyle name="Normal 2 5 2 3 4 3 2" xfId="3793" xr:uid="{00000000-0005-0000-0000-0000D90E0000}"/>
    <cellStyle name="Normal 2 5 2 3 4 4" xfId="3794" xr:uid="{00000000-0005-0000-0000-0000DA0E0000}"/>
    <cellStyle name="Normal 2 5 2 3 5" xfId="3795" xr:uid="{00000000-0005-0000-0000-0000DB0E0000}"/>
    <cellStyle name="Normal 2 5 2 3 5 2" xfId="3796" xr:uid="{00000000-0005-0000-0000-0000DC0E0000}"/>
    <cellStyle name="Normal 2 5 2 3 6" xfId="3797" xr:uid="{00000000-0005-0000-0000-0000DD0E0000}"/>
    <cellStyle name="Normal 2 5 2 3 6 2" xfId="3798" xr:uid="{00000000-0005-0000-0000-0000DE0E0000}"/>
    <cellStyle name="Normal 2 5 2 3 7" xfId="3799" xr:uid="{00000000-0005-0000-0000-0000DF0E0000}"/>
    <cellStyle name="Normal 2 5 2 4" xfId="3800" xr:uid="{00000000-0005-0000-0000-0000E00E0000}"/>
    <cellStyle name="Normal 2 5 2 4 2" xfId="3801" xr:uid="{00000000-0005-0000-0000-0000E10E0000}"/>
    <cellStyle name="Normal 2 5 2 4 2 2" xfId="3802" xr:uid="{00000000-0005-0000-0000-0000E20E0000}"/>
    <cellStyle name="Normal 2 5 2 4 2 2 2" xfId="3803" xr:uid="{00000000-0005-0000-0000-0000E30E0000}"/>
    <cellStyle name="Normal 2 5 2 4 2 2 2 2" xfId="3804" xr:uid="{00000000-0005-0000-0000-0000E40E0000}"/>
    <cellStyle name="Normal 2 5 2 4 2 2 3" xfId="3805" xr:uid="{00000000-0005-0000-0000-0000E50E0000}"/>
    <cellStyle name="Normal 2 5 2 4 2 2 3 2" xfId="3806" xr:uid="{00000000-0005-0000-0000-0000E60E0000}"/>
    <cellStyle name="Normal 2 5 2 4 2 2 4" xfId="3807" xr:uid="{00000000-0005-0000-0000-0000E70E0000}"/>
    <cellStyle name="Normal 2 5 2 4 2 3" xfId="3808" xr:uid="{00000000-0005-0000-0000-0000E80E0000}"/>
    <cellStyle name="Normal 2 5 2 4 2 3 2" xfId="3809" xr:uid="{00000000-0005-0000-0000-0000E90E0000}"/>
    <cellStyle name="Normal 2 5 2 4 2 4" xfId="3810" xr:uid="{00000000-0005-0000-0000-0000EA0E0000}"/>
    <cellStyle name="Normal 2 5 2 4 2 4 2" xfId="3811" xr:uid="{00000000-0005-0000-0000-0000EB0E0000}"/>
    <cellStyle name="Normal 2 5 2 4 2 5" xfId="3812" xr:uid="{00000000-0005-0000-0000-0000EC0E0000}"/>
    <cellStyle name="Normal 2 5 2 4 3" xfId="3813" xr:uid="{00000000-0005-0000-0000-0000ED0E0000}"/>
    <cellStyle name="Normal 2 5 2 4 3 2" xfId="3814" xr:uid="{00000000-0005-0000-0000-0000EE0E0000}"/>
    <cellStyle name="Normal 2 5 2 4 3 2 2" xfId="3815" xr:uid="{00000000-0005-0000-0000-0000EF0E0000}"/>
    <cellStyle name="Normal 2 5 2 4 3 2 2 2" xfId="3816" xr:uid="{00000000-0005-0000-0000-0000F00E0000}"/>
    <cellStyle name="Normal 2 5 2 4 3 2 3" xfId="3817" xr:uid="{00000000-0005-0000-0000-0000F10E0000}"/>
    <cellStyle name="Normal 2 5 2 4 3 2 3 2" xfId="3818" xr:uid="{00000000-0005-0000-0000-0000F20E0000}"/>
    <cellStyle name="Normal 2 5 2 4 3 2 4" xfId="3819" xr:uid="{00000000-0005-0000-0000-0000F30E0000}"/>
    <cellStyle name="Normal 2 5 2 4 3 3" xfId="3820" xr:uid="{00000000-0005-0000-0000-0000F40E0000}"/>
    <cellStyle name="Normal 2 5 2 4 3 3 2" xfId="3821" xr:uid="{00000000-0005-0000-0000-0000F50E0000}"/>
    <cellStyle name="Normal 2 5 2 4 3 4" xfId="3822" xr:uid="{00000000-0005-0000-0000-0000F60E0000}"/>
    <cellStyle name="Normal 2 5 2 4 3 4 2" xfId="3823" xr:uid="{00000000-0005-0000-0000-0000F70E0000}"/>
    <cellStyle name="Normal 2 5 2 4 3 5" xfId="3824" xr:uid="{00000000-0005-0000-0000-0000F80E0000}"/>
    <cellStyle name="Normal 2 5 2 4 4" xfId="3825" xr:uid="{00000000-0005-0000-0000-0000F90E0000}"/>
    <cellStyle name="Normal 2 5 2 4 4 2" xfId="3826" xr:uid="{00000000-0005-0000-0000-0000FA0E0000}"/>
    <cellStyle name="Normal 2 5 2 4 4 2 2" xfId="3827" xr:uid="{00000000-0005-0000-0000-0000FB0E0000}"/>
    <cellStyle name="Normal 2 5 2 4 4 3" xfId="3828" xr:uid="{00000000-0005-0000-0000-0000FC0E0000}"/>
    <cellStyle name="Normal 2 5 2 4 4 3 2" xfId="3829" xr:uid="{00000000-0005-0000-0000-0000FD0E0000}"/>
    <cellStyle name="Normal 2 5 2 4 4 4" xfId="3830" xr:uid="{00000000-0005-0000-0000-0000FE0E0000}"/>
    <cellStyle name="Normal 2 5 2 4 5" xfId="3831" xr:uid="{00000000-0005-0000-0000-0000FF0E0000}"/>
    <cellStyle name="Normal 2 5 2 4 5 2" xfId="3832" xr:uid="{00000000-0005-0000-0000-0000000F0000}"/>
    <cellStyle name="Normal 2 5 2 4 6" xfId="3833" xr:uid="{00000000-0005-0000-0000-0000010F0000}"/>
    <cellStyle name="Normal 2 5 2 4 6 2" xfId="3834" xr:uid="{00000000-0005-0000-0000-0000020F0000}"/>
    <cellStyle name="Normal 2 5 2 4 7" xfId="3835" xr:uid="{00000000-0005-0000-0000-0000030F0000}"/>
    <cellStyle name="Normal 2 5 2 5" xfId="3836" xr:uid="{00000000-0005-0000-0000-0000040F0000}"/>
    <cellStyle name="Normal 2 5 2 5 2" xfId="3837" xr:uid="{00000000-0005-0000-0000-0000050F0000}"/>
    <cellStyle name="Normal 2 5 2 5 2 2" xfId="3838" xr:uid="{00000000-0005-0000-0000-0000060F0000}"/>
    <cellStyle name="Normal 2 5 2 5 2 2 2" xfId="3839" xr:uid="{00000000-0005-0000-0000-0000070F0000}"/>
    <cellStyle name="Normal 2 5 2 5 2 2 2 2" xfId="3840" xr:uid="{00000000-0005-0000-0000-0000080F0000}"/>
    <cellStyle name="Normal 2 5 2 5 2 2 3" xfId="3841" xr:uid="{00000000-0005-0000-0000-0000090F0000}"/>
    <cellStyle name="Normal 2 5 2 5 2 2 3 2" xfId="3842" xr:uid="{00000000-0005-0000-0000-00000A0F0000}"/>
    <cellStyle name="Normal 2 5 2 5 2 2 4" xfId="3843" xr:uid="{00000000-0005-0000-0000-00000B0F0000}"/>
    <cellStyle name="Normal 2 5 2 5 2 3" xfId="3844" xr:uid="{00000000-0005-0000-0000-00000C0F0000}"/>
    <cellStyle name="Normal 2 5 2 5 2 3 2" xfId="3845" xr:uid="{00000000-0005-0000-0000-00000D0F0000}"/>
    <cellStyle name="Normal 2 5 2 5 2 4" xfId="3846" xr:uid="{00000000-0005-0000-0000-00000E0F0000}"/>
    <cellStyle name="Normal 2 5 2 5 2 4 2" xfId="3847" xr:uid="{00000000-0005-0000-0000-00000F0F0000}"/>
    <cellStyle name="Normal 2 5 2 5 2 5" xfId="3848" xr:uid="{00000000-0005-0000-0000-0000100F0000}"/>
    <cellStyle name="Normal 2 5 2 5 3" xfId="3849" xr:uid="{00000000-0005-0000-0000-0000110F0000}"/>
    <cellStyle name="Normal 2 5 2 5 3 2" xfId="3850" xr:uid="{00000000-0005-0000-0000-0000120F0000}"/>
    <cellStyle name="Normal 2 5 2 5 3 2 2" xfId="3851" xr:uid="{00000000-0005-0000-0000-0000130F0000}"/>
    <cellStyle name="Normal 2 5 2 5 3 2 2 2" xfId="3852" xr:uid="{00000000-0005-0000-0000-0000140F0000}"/>
    <cellStyle name="Normal 2 5 2 5 3 2 3" xfId="3853" xr:uid="{00000000-0005-0000-0000-0000150F0000}"/>
    <cellStyle name="Normal 2 5 2 5 3 2 3 2" xfId="3854" xr:uid="{00000000-0005-0000-0000-0000160F0000}"/>
    <cellStyle name="Normal 2 5 2 5 3 2 4" xfId="3855" xr:uid="{00000000-0005-0000-0000-0000170F0000}"/>
    <cellStyle name="Normal 2 5 2 5 3 3" xfId="3856" xr:uid="{00000000-0005-0000-0000-0000180F0000}"/>
    <cellStyle name="Normal 2 5 2 5 3 3 2" xfId="3857" xr:uid="{00000000-0005-0000-0000-0000190F0000}"/>
    <cellStyle name="Normal 2 5 2 5 3 4" xfId="3858" xr:uid="{00000000-0005-0000-0000-00001A0F0000}"/>
    <cellStyle name="Normal 2 5 2 5 3 4 2" xfId="3859" xr:uid="{00000000-0005-0000-0000-00001B0F0000}"/>
    <cellStyle name="Normal 2 5 2 5 3 5" xfId="3860" xr:uid="{00000000-0005-0000-0000-00001C0F0000}"/>
    <cellStyle name="Normal 2 5 2 5 4" xfId="3861" xr:uid="{00000000-0005-0000-0000-00001D0F0000}"/>
    <cellStyle name="Normal 2 5 2 5 4 2" xfId="3862" xr:uid="{00000000-0005-0000-0000-00001E0F0000}"/>
    <cellStyle name="Normal 2 5 2 5 4 2 2" xfId="3863" xr:uid="{00000000-0005-0000-0000-00001F0F0000}"/>
    <cellStyle name="Normal 2 5 2 5 4 3" xfId="3864" xr:uid="{00000000-0005-0000-0000-0000200F0000}"/>
    <cellStyle name="Normal 2 5 2 5 4 3 2" xfId="3865" xr:uid="{00000000-0005-0000-0000-0000210F0000}"/>
    <cellStyle name="Normal 2 5 2 5 4 4" xfId="3866" xr:uid="{00000000-0005-0000-0000-0000220F0000}"/>
    <cellStyle name="Normal 2 5 2 5 5" xfId="3867" xr:uid="{00000000-0005-0000-0000-0000230F0000}"/>
    <cellStyle name="Normal 2 5 2 5 5 2" xfId="3868" xr:uid="{00000000-0005-0000-0000-0000240F0000}"/>
    <cellStyle name="Normal 2 5 2 5 6" xfId="3869" xr:uid="{00000000-0005-0000-0000-0000250F0000}"/>
    <cellStyle name="Normal 2 5 2 5 6 2" xfId="3870" xr:uid="{00000000-0005-0000-0000-0000260F0000}"/>
    <cellStyle name="Normal 2 5 2 5 7" xfId="3871" xr:uid="{00000000-0005-0000-0000-0000270F0000}"/>
    <cellStyle name="Normal 2 5 2 6" xfId="3872" xr:uid="{00000000-0005-0000-0000-0000280F0000}"/>
    <cellStyle name="Normal 2 5 2 6 2" xfId="3873" xr:uid="{00000000-0005-0000-0000-0000290F0000}"/>
    <cellStyle name="Normal 2 5 2 6 2 2" xfId="3874" xr:uid="{00000000-0005-0000-0000-00002A0F0000}"/>
    <cellStyle name="Normal 2 5 2 6 2 2 2" xfId="3875" xr:uid="{00000000-0005-0000-0000-00002B0F0000}"/>
    <cellStyle name="Normal 2 5 2 6 2 2 2 2" xfId="3876" xr:uid="{00000000-0005-0000-0000-00002C0F0000}"/>
    <cellStyle name="Normal 2 5 2 6 2 2 3" xfId="3877" xr:uid="{00000000-0005-0000-0000-00002D0F0000}"/>
    <cellStyle name="Normal 2 5 2 6 2 2 3 2" xfId="3878" xr:uid="{00000000-0005-0000-0000-00002E0F0000}"/>
    <cellStyle name="Normal 2 5 2 6 2 2 4" xfId="3879" xr:uid="{00000000-0005-0000-0000-00002F0F0000}"/>
    <cellStyle name="Normal 2 5 2 6 2 3" xfId="3880" xr:uid="{00000000-0005-0000-0000-0000300F0000}"/>
    <cellStyle name="Normal 2 5 2 6 2 3 2" xfId="3881" xr:uid="{00000000-0005-0000-0000-0000310F0000}"/>
    <cellStyle name="Normal 2 5 2 6 2 4" xfId="3882" xr:uid="{00000000-0005-0000-0000-0000320F0000}"/>
    <cellStyle name="Normal 2 5 2 6 2 4 2" xfId="3883" xr:uid="{00000000-0005-0000-0000-0000330F0000}"/>
    <cellStyle name="Normal 2 5 2 6 2 5" xfId="3884" xr:uid="{00000000-0005-0000-0000-0000340F0000}"/>
    <cellStyle name="Normal 2 5 2 6 3" xfId="3885" xr:uid="{00000000-0005-0000-0000-0000350F0000}"/>
    <cellStyle name="Normal 2 5 2 6 3 2" xfId="3886" xr:uid="{00000000-0005-0000-0000-0000360F0000}"/>
    <cellStyle name="Normal 2 5 2 6 3 2 2" xfId="3887" xr:uid="{00000000-0005-0000-0000-0000370F0000}"/>
    <cellStyle name="Normal 2 5 2 6 3 2 2 2" xfId="3888" xr:uid="{00000000-0005-0000-0000-0000380F0000}"/>
    <cellStyle name="Normal 2 5 2 6 3 2 3" xfId="3889" xr:uid="{00000000-0005-0000-0000-0000390F0000}"/>
    <cellStyle name="Normal 2 5 2 6 3 2 3 2" xfId="3890" xr:uid="{00000000-0005-0000-0000-00003A0F0000}"/>
    <cellStyle name="Normal 2 5 2 6 3 2 4" xfId="3891" xr:uid="{00000000-0005-0000-0000-00003B0F0000}"/>
    <cellStyle name="Normal 2 5 2 6 3 3" xfId="3892" xr:uid="{00000000-0005-0000-0000-00003C0F0000}"/>
    <cellStyle name="Normal 2 5 2 6 3 3 2" xfId="3893" xr:uid="{00000000-0005-0000-0000-00003D0F0000}"/>
    <cellStyle name="Normal 2 5 2 6 3 4" xfId="3894" xr:uid="{00000000-0005-0000-0000-00003E0F0000}"/>
    <cellStyle name="Normal 2 5 2 6 3 4 2" xfId="3895" xr:uid="{00000000-0005-0000-0000-00003F0F0000}"/>
    <cellStyle name="Normal 2 5 2 6 3 5" xfId="3896" xr:uid="{00000000-0005-0000-0000-0000400F0000}"/>
    <cellStyle name="Normal 2 5 2 6 4" xfId="3897" xr:uid="{00000000-0005-0000-0000-0000410F0000}"/>
    <cellStyle name="Normal 2 5 2 6 4 2" xfId="3898" xr:uid="{00000000-0005-0000-0000-0000420F0000}"/>
    <cellStyle name="Normal 2 5 2 6 4 2 2" xfId="3899" xr:uid="{00000000-0005-0000-0000-0000430F0000}"/>
    <cellStyle name="Normal 2 5 2 6 4 3" xfId="3900" xr:uid="{00000000-0005-0000-0000-0000440F0000}"/>
    <cellStyle name="Normal 2 5 2 6 4 3 2" xfId="3901" xr:uid="{00000000-0005-0000-0000-0000450F0000}"/>
    <cellStyle name="Normal 2 5 2 6 4 4" xfId="3902" xr:uid="{00000000-0005-0000-0000-0000460F0000}"/>
    <cellStyle name="Normal 2 5 2 6 5" xfId="3903" xr:uid="{00000000-0005-0000-0000-0000470F0000}"/>
    <cellStyle name="Normal 2 5 2 6 5 2" xfId="3904" xr:uid="{00000000-0005-0000-0000-0000480F0000}"/>
    <cellStyle name="Normal 2 5 2 6 6" xfId="3905" xr:uid="{00000000-0005-0000-0000-0000490F0000}"/>
    <cellStyle name="Normal 2 5 2 6 6 2" xfId="3906" xr:uid="{00000000-0005-0000-0000-00004A0F0000}"/>
    <cellStyle name="Normal 2 5 2 6 7" xfId="3907" xr:uid="{00000000-0005-0000-0000-00004B0F0000}"/>
    <cellStyle name="Normal 2 5 2 7" xfId="3908" xr:uid="{00000000-0005-0000-0000-00004C0F0000}"/>
    <cellStyle name="Normal 2 5 2 7 2" xfId="3909" xr:uid="{00000000-0005-0000-0000-00004D0F0000}"/>
    <cellStyle name="Normal 2 5 2 7 2 2" xfId="3910" xr:uid="{00000000-0005-0000-0000-00004E0F0000}"/>
    <cellStyle name="Normal 2 5 2 7 2 2 2" xfId="3911" xr:uid="{00000000-0005-0000-0000-00004F0F0000}"/>
    <cellStyle name="Normal 2 5 2 7 2 3" xfId="3912" xr:uid="{00000000-0005-0000-0000-0000500F0000}"/>
    <cellStyle name="Normal 2 5 2 7 2 3 2" xfId="3913" xr:uid="{00000000-0005-0000-0000-0000510F0000}"/>
    <cellStyle name="Normal 2 5 2 7 2 4" xfId="3914" xr:uid="{00000000-0005-0000-0000-0000520F0000}"/>
    <cellStyle name="Normal 2 5 2 7 3" xfId="3915" xr:uid="{00000000-0005-0000-0000-0000530F0000}"/>
    <cellStyle name="Normal 2 5 2 7 3 2" xfId="3916" xr:uid="{00000000-0005-0000-0000-0000540F0000}"/>
    <cellStyle name="Normal 2 5 2 7 4" xfId="3917" xr:uid="{00000000-0005-0000-0000-0000550F0000}"/>
    <cellStyle name="Normal 2 5 2 7 4 2" xfId="3918" xr:uid="{00000000-0005-0000-0000-0000560F0000}"/>
    <cellStyle name="Normal 2 5 2 7 5" xfId="3919" xr:uid="{00000000-0005-0000-0000-0000570F0000}"/>
    <cellStyle name="Normal 2 5 2 8" xfId="3920" xr:uid="{00000000-0005-0000-0000-0000580F0000}"/>
    <cellStyle name="Normal 2 5 2 8 2" xfId="3921" xr:uid="{00000000-0005-0000-0000-0000590F0000}"/>
    <cellStyle name="Normal 2 5 2 8 2 2" xfId="3922" xr:uid="{00000000-0005-0000-0000-00005A0F0000}"/>
    <cellStyle name="Normal 2 5 2 8 2 2 2" xfId="3923" xr:uid="{00000000-0005-0000-0000-00005B0F0000}"/>
    <cellStyle name="Normal 2 5 2 8 2 3" xfId="3924" xr:uid="{00000000-0005-0000-0000-00005C0F0000}"/>
    <cellStyle name="Normal 2 5 2 8 2 3 2" xfId="3925" xr:uid="{00000000-0005-0000-0000-00005D0F0000}"/>
    <cellStyle name="Normal 2 5 2 8 2 4" xfId="3926" xr:uid="{00000000-0005-0000-0000-00005E0F0000}"/>
    <cellStyle name="Normal 2 5 2 8 3" xfId="3927" xr:uid="{00000000-0005-0000-0000-00005F0F0000}"/>
    <cellStyle name="Normal 2 5 2 8 3 2" xfId="3928" xr:uid="{00000000-0005-0000-0000-0000600F0000}"/>
    <cellStyle name="Normal 2 5 2 8 4" xfId="3929" xr:uid="{00000000-0005-0000-0000-0000610F0000}"/>
    <cellStyle name="Normal 2 5 2 8 4 2" xfId="3930" xr:uid="{00000000-0005-0000-0000-0000620F0000}"/>
    <cellStyle name="Normal 2 5 2 8 5" xfId="3931" xr:uid="{00000000-0005-0000-0000-0000630F0000}"/>
    <cellStyle name="Normal 2 5 2 9" xfId="3932" xr:uid="{00000000-0005-0000-0000-0000640F0000}"/>
    <cellStyle name="Normal 2 5 2 9 2" xfId="3933" xr:uid="{00000000-0005-0000-0000-0000650F0000}"/>
    <cellStyle name="Normal 2 5 2 9 2 2" xfId="3934" xr:uid="{00000000-0005-0000-0000-0000660F0000}"/>
    <cellStyle name="Normal 2 5 2 9 3" xfId="3935" xr:uid="{00000000-0005-0000-0000-0000670F0000}"/>
    <cellStyle name="Normal 2 5 2 9 3 2" xfId="3936" xr:uid="{00000000-0005-0000-0000-0000680F0000}"/>
    <cellStyle name="Normal 2 5 2 9 4" xfId="3937" xr:uid="{00000000-0005-0000-0000-0000690F0000}"/>
    <cellStyle name="Normal 2 5 3" xfId="3938" xr:uid="{00000000-0005-0000-0000-00006A0F0000}"/>
    <cellStyle name="Normal 2 5 3 2" xfId="3939" xr:uid="{00000000-0005-0000-0000-00006B0F0000}"/>
    <cellStyle name="Normal 2 5 3 2 2" xfId="3940" xr:uid="{00000000-0005-0000-0000-00006C0F0000}"/>
    <cellStyle name="Normal 2 5 3 2 2 2" xfId="3941" xr:uid="{00000000-0005-0000-0000-00006D0F0000}"/>
    <cellStyle name="Normal 2 5 3 2 2 2 2" xfId="3942" xr:uid="{00000000-0005-0000-0000-00006E0F0000}"/>
    <cellStyle name="Normal 2 5 3 2 2 2 2 2" xfId="3943" xr:uid="{00000000-0005-0000-0000-00006F0F0000}"/>
    <cellStyle name="Normal 2 5 3 2 2 2 3" xfId="3944" xr:uid="{00000000-0005-0000-0000-0000700F0000}"/>
    <cellStyle name="Normal 2 5 3 2 2 2 3 2" xfId="3945" xr:uid="{00000000-0005-0000-0000-0000710F0000}"/>
    <cellStyle name="Normal 2 5 3 2 2 2 4" xfId="3946" xr:uid="{00000000-0005-0000-0000-0000720F0000}"/>
    <cellStyle name="Normal 2 5 3 2 2 3" xfId="3947" xr:uid="{00000000-0005-0000-0000-0000730F0000}"/>
    <cellStyle name="Normal 2 5 3 2 2 3 2" xfId="3948" xr:uid="{00000000-0005-0000-0000-0000740F0000}"/>
    <cellStyle name="Normal 2 5 3 2 2 4" xfId="3949" xr:uid="{00000000-0005-0000-0000-0000750F0000}"/>
    <cellStyle name="Normal 2 5 3 2 2 4 2" xfId="3950" xr:uid="{00000000-0005-0000-0000-0000760F0000}"/>
    <cellStyle name="Normal 2 5 3 2 2 5" xfId="3951" xr:uid="{00000000-0005-0000-0000-0000770F0000}"/>
    <cellStyle name="Normal 2 5 3 2 3" xfId="3952" xr:uid="{00000000-0005-0000-0000-0000780F0000}"/>
    <cellStyle name="Normal 2 5 3 2 3 2" xfId="3953" xr:uid="{00000000-0005-0000-0000-0000790F0000}"/>
    <cellStyle name="Normal 2 5 3 2 3 2 2" xfId="3954" xr:uid="{00000000-0005-0000-0000-00007A0F0000}"/>
    <cellStyle name="Normal 2 5 3 2 3 2 2 2" xfId="3955" xr:uid="{00000000-0005-0000-0000-00007B0F0000}"/>
    <cellStyle name="Normal 2 5 3 2 3 2 3" xfId="3956" xr:uid="{00000000-0005-0000-0000-00007C0F0000}"/>
    <cellStyle name="Normal 2 5 3 2 3 2 3 2" xfId="3957" xr:uid="{00000000-0005-0000-0000-00007D0F0000}"/>
    <cellStyle name="Normal 2 5 3 2 3 2 4" xfId="3958" xr:uid="{00000000-0005-0000-0000-00007E0F0000}"/>
    <cellStyle name="Normal 2 5 3 2 3 3" xfId="3959" xr:uid="{00000000-0005-0000-0000-00007F0F0000}"/>
    <cellStyle name="Normal 2 5 3 2 3 3 2" xfId="3960" xr:uid="{00000000-0005-0000-0000-0000800F0000}"/>
    <cellStyle name="Normal 2 5 3 2 3 4" xfId="3961" xr:uid="{00000000-0005-0000-0000-0000810F0000}"/>
    <cellStyle name="Normal 2 5 3 2 3 4 2" xfId="3962" xr:uid="{00000000-0005-0000-0000-0000820F0000}"/>
    <cellStyle name="Normal 2 5 3 2 3 5" xfId="3963" xr:uid="{00000000-0005-0000-0000-0000830F0000}"/>
    <cellStyle name="Normal 2 5 3 2 4" xfId="3964" xr:uid="{00000000-0005-0000-0000-0000840F0000}"/>
    <cellStyle name="Normal 2 5 3 2 4 2" xfId="3965" xr:uid="{00000000-0005-0000-0000-0000850F0000}"/>
    <cellStyle name="Normal 2 5 3 2 4 2 2" xfId="3966" xr:uid="{00000000-0005-0000-0000-0000860F0000}"/>
    <cellStyle name="Normal 2 5 3 2 4 3" xfId="3967" xr:uid="{00000000-0005-0000-0000-0000870F0000}"/>
    <cellStyle name="Normal 2 5 3 2 4 3 2" xfId="3968" xr:uid="{00000000-0005-0000-0000-0000880F0000}"/>
    <cellStyle name="Normal 2 5 3 2 4 4" xfId="3969" xr:uid="{00000000-0005-0000-0000-0000890F0000}"/>
    <cellStyle name="Normal 2 5 3 2 5" xfId="3970" xr:uid="{00000000-0005-0000-0000-00008A0F0000}"/>
    <cellStyle name="Normal 2 5 3 2 5 2" xfId="3971" xr:uid="{00000000-0005-0000-0000-00008B0F0000}"/>
    <cellStyle name="Normal 2 5 3 2 6" xfId="3972" xr:uid="{00000000-0005-0000-0000-00008C0F0000}"/>
    <cellStyle name="Normal 2 5 3 2 6 2" xfId="3973" xr:uid="{00000000-0005-0000-0000-00008D0F0000}"/>
    <cellStyle name="Normal 2 5 3 2 7" xfId="3974" xr:uid="{00000000-0005-0000-0000-00008E0F0000}"/>
    <cellStyle name="Normal 2 5 3 3" xfId="3975" xr:uid="{00000000-0005-0000-0000-00008F0F0000}"/>
    <cellStyle name="Normal 2 5 3 3 2" xfId="3976" xr:uid="{00000000-0005-0000-0000-0000900F0000}"/>
    <cellStyle name="Normal 2 5 3 3 2 2" xfId="3977" xr:uid="{00000000-0005-0000-0000-0000910F0000}"/>
    <cellStyle name="Normal 2 5 3 3 2 2 2" xfId="3978" xr:uid="{00000000-0005-0000-0000-0000920F0000}"/>
    <cellStyle name="Normal 2 5 3 3 2 3" xfId="3979" xr:uid="{00000000-0005-0000-0000-0000930F0000}"/>
    <cellStyle name="Normal 2 5 3 3 2 3 2" xfId="3980" xr:uid="{00000000-0005-0000-0000-0000940F0000}"/>
    <cellStyle name="Normal 2 5 3 3 2 4" xfId="3981" xr:uid="{00000000-0005-0000-0000-0000950F0000}"/>
    <cellStyle name="Normal 2 5 3 3 3" xfId="3982" xr:uid="{00000000-0005-0000-0000-0000960F0000}"/>
    <cellStyle name="Normal 2 5 3 3 3 2" xfId="3983" xr:uid="{00000000-0005-0000-0000-0000970F0000}"/>
    <cellStyle name="Normal 2 5 3 3 4" xfId="3984" xr:uid="{00000000-0005-0000-0000-0000980F0000}"/>
    <cellStyle name="Normal 2 5 3 3 4 2" xfId="3985" xr:uid="{00000000-0005-0000-0000-0000990F0000}"/>
    <cellStyle name="Normal 2 5 3 3 5" xfId="3986" xr:uid="{00000000-0005-0000-0000-00009A0F0000}"/>
    <cellStyle name="Normal 2 5 3 4" xfId="3987" xr:uid="{00000000-0005-0000-0000-00009B0F0000}"/>
    <cellStyle name="Normal 2 5 3 4 2" xfId="3988" xr:uid="{00000000-0005-0000-0000-00009C0F0000}"/>
    <cellStyle name="Normal 2 5 3 4 2 2" xfId="3989" xr:uid="{00000000-0005-0000-0000-00009D0F0000}"/>
    <cellStyle name="Normal 2 5 3 4 2 2 2" xfId="3990" xr:uid="{00000000-0005-0000-0000-00009E0F0000}"/>
    <cellStyle name="Normal 2 5 3 4 2 3" xfId="3991" xr:uid="{00000000-0005-0000-0000-00009F0F0000}"/>
    <cellStyle name="Normal 2 5 3 4 2 3 2" xfId="3992" xr:uid="{00000000-0005-0000-0000-0000A00F0000}"/>
    <cellStyle name="Normal 2 5 3 4 2 4" xfId="3993" xr:uid="{00000000-0005-0000-0000-0000A10F0000}"/>
    <cellStyle name="Normal 2 5 3 4 3" xfId="3994" xr:uid="{00000000-0005-0000-0000-0000A20F0000}"/>
    <cellStyle name="Normal 2 5 3 4 3 2" xfId="3995" xr:uid="{00000000-0005-0000-0000-0000A30F0000}"/>
    <cellStyle name="Normal 2 5 3 4 4" xfId="3996" xr:uid="{00000000-0005-0000-0000-0000A40F0000}"/>
    <cellStyle name="Normal 2 5 3 4 4 2" xfId="3997" xr:uid="{00000000-0005-0000-0000-0000A50F0000}"/>
    <cellStyle name="Normal 2 5 3 4 5" xfId="3998" xr:uid="{00000000-0005-0000-0000-0000A60F0000}"/>
    <cellStyle name="Normal 2 5 3 5" xfId="3999" xr:uid="{00000000-0005-0000-0000-0000A70F0000}"/>
    <cellStyle name="Normal 2 5 3 5 2" xfId="4000" xr:uid="{00000000-0005-0000-0000-0000A80F0000}"/>
    <cellStyle name="Normal 2 5 3 5 2 2" xfId="4001" xr:uid="{00000000-0005-0000-0000-0000A90F0000}"/>
    <cellStyle name="Normal 2 5 3 5 3" xfId="4002" xr:uid="{00000000-0005-0000-0000-0000AA0F0000}"/>
    <cellStyle name="Normal 2 5 3 5 3 2" xfId="4003" xr:uid="{00000000-0005-0000-0000-0000AB0F0000}"/>
    <cellStyle name="Normal 2 5 3 5 4" xfId="4004" xr:uid="{00000000-0005-0000-0000-0000AC0F0000}"/>
    <cellStyle name="Normal 2 5 3 6" xfId="4005" xr:uid="{00000000-0005-0000-0000-0000AD0F0000}"/>
    <cellStyle name="Normal 2 5 3 6 2" xfId="4006" xr:uid="{00000000-0005-0000-0000-0000AE0F0000}"/>
    <cellStyle name="Normal 2 5 3 7" xfId="4007" xr:uid="{00000000-0005-0000-0000-0000AF0F0000}"/>
    <cellStyle name="Normal 2 5 3 7 2" xfId="4008" xr:uid="{00000000-0005-0000-0000-0000B00F0000}"/>
    <cellStyle name="Normal 2 5 3 8" xfId="4009" xr:uid="{00000000-0005-0000-0000-0000B10F0000}"/>
    <cellStyle name="Normal 2 5 4" xfId="4010" xr:uid="{00000000-0005-0000-0000-0000B20F0000}"/>
    <cellStyle name="Normal 2 5 4 2" xfId="4011" xr:uid="{00000000-0005-0000-0000-0000B30F0000}"/>
    <cellStyle name="Normal 2 5 4 2 2" xfId="4012" xr:uid="{00000000-0005-0000-0000-0000B40F0000}"/>
    <cellStyle name="Normal 2 5 4 2 2 2" xfId="4013" xr:uid="{00000000-0005-0000-0000-0000B50F0000}"/>
    <cellStyle name="Normal 2 5 4 2 2 2 2" xfId="4014" xr:uid="{00000000-0005-0000-0000-0000B60F0000}"/>
    <cellStyle name="Normal 2 5 4 2 2 2 2 2" xfId="4015" xr:uid="{00000000-0005-0000-0000-0000B70F0000}"/>
    <cellStyle name="Normal 2 5 4 2 2 2 3" xfId="4016" xr:uid="{00000000-0005-0000-0000-0000B80F0000}"/>
    <cellStyle name="Normal 2 5 4 2 2 2 3 2" xfId="4017" xr:uid="{00000000-0005-0000-0000-0000B90F0000}"/>
    <cellStyle name="Normal 2 5 4 2 2 2 4" xfId="4018" xr:uid="{00000000-0005-0000-0000-0000BA0F0000}"/>
    <cellStyle name="Normal 2 5 4 2 2 3" xfId="4019" xr:uid="{00000000-0005-0000-0000-0000BB0F0000}"/>
    <cellStyle name="Normal 2 5 4 2 2 3 2" xfId="4020" xr:uid="{00000000-0005-0000-0000-0000BC0F0000}"/>
    <cellStyle name="Normal 2 5 4 2 2 4" xfId="4021" xr:uid="{00000000-0005-0000-0000-0000BD0F0000}"/>
    <cellStyle name="Normal 2 5 4 2 2 4 2" xfId="4022" xr:uid="{00000000-0005-0000-0000-0000BE0F0000}"/>
    <cellStyle name="Normal 2 5 4 2 2 5" xfId="4023" xr:uid="{00000000-0005-0000-0000-0000BF0F0000}"/>
    <cellStyle name="Normal 2 5 4 2 3" xfId="4024" xr:uid="{00000000-0005-0000-0000-0000C00F0000}"/>
    <cellStyle name="Normal 2 5 4 2 3 2" xfId="4025" xr:uid="{00000000-0005-0000-0000-0000C10F0000}"/>
    <cellStyle name="Normal 2 5 4 2 3 2 2" xfId="4026" xr:uid="{00000000-0005-0000-0000-0000C20F0000}"/>
    <cellStyle name="Normal 2 5 4 2 3 2 2 2" xfId="4027" xr:uid="{00000000-0005-0000-0000-0000C30F0000}"/>
    <cellStyle name="Normal 2 5 4 2 3 2 3" xfId="4028" xr:uid="{00000000-0005-0000-0000-0000C40F0000}"/>
    <cellStyle name="Normal 2 5 4 2 3 2 3 2" xfId="4029" xr:uid="{00000000-0005-0000-0000-0000C50F0000}"/>
    <cellStyle name="Normal 2 5 4 2 3 2 4" xfId="4030" xr:uid="{00000000-0005-0000-0000-0000C60F0000}"/>
    <cellStyle name="Normal 2 5 4 2 3 3" xfId="4031" xr:uid="{00000000-0005-0000-0000-0000C70F0000}"/>
    <cellStyle name="Normal 2 5 4 2 3 3 2" xfId="4032" xr:uid="{00000000-0005-0000-0000-0000C80F0000}"/>
    <cellStyle name="Normal 2 5 4 2 3 4" xfId="4033" xr:uid="{00000000-0005-0000-0000-0000C90F0000}"/>
    <cellStyle name="Normal 2 5 4 2 3 4 2" xfId="4034" xr:uid="{00000000-0005-0000-0000-0000CA0F0000}"/>
    <cellStyle name="Normal 2 5 4 2 3 5" xfId="4035" xr:uid="{00000000-0005-0000-0000-0000CB0F0000}"/>
    <cellStyle name="Normal 2 5 4 2 4" xfId="4036" xr:uid="{00000000-0005-0000-0000-0000CC0F0000}"/>
    <cellStyle name="Normal 2 5 4 2 4 2" xfId="4037" xr:uid="{00000000-0005-0000-0000-0000CD0F0000}"/>
    <cellStyle name="Normal 2 5 4 2 4 2 2" xfId="4038" xr:uid="{00000000-0005-0000-0000-0000CE0F0000}"/>
    <cellStyle name="Normal 2 5 4 2 4 3" xfId="4039" xr:uid="{00000000-0005-0000-0000-0000CF0F0000}"/>
    <cellStyle name="Normal 2 5 4 2 4 3 2" xfId="4040" xr:uid="{00000000-0005-0000-0000-0000D00F0000}"/>
    <cellStyle name="Normal 2 5 4 2 4 4" xfId="4041" xr:uid="{00000000-0005-0000-0000-0000D10F0000}"/>
    <cellStyle name="Normal 2 5 4 2 5" xfId="4042" xr:uid="{00000000-0005-0000-0000-0000D20F0000}"/>
    <cellStyle name="Normal 2 5 4 2 5 2" xfId="4043" xr:uid="{00000000-0005-0000-0000-0000D30F0000}"/>
    <cellStyle name="Normal 2 5 4 2 6" xfId="4044" xr:uid="{00000000-0005-0000-0000-0000D40F0000}"/>
    <cellStyle name="Normal 2 5 4 2 6 2" xfId="4045" xr:uid="{00000000-0005-0000-0000-0000D50F0000}"/>
    <cellStyle name="Normal 2 5 4 2 7" xfId="4046" xr:uid="{00000000-0005-0000-0000-0000D60F0000}"/>
    <cellStyle name="Normal 2 5 4 3" xfId="4047" xr:uid="{00000000-0005-0000-0000-0000D70F0000}"/>
    <cellStyle name="Normal 2 5 4 3 2" xfId="4048" xr:uid="{00000000-0005-0000-0000-0000D80F0000}"/>
    <cellStyle name="Normal 2 5 4 3 2 2" xfId="4049" xr:uid="{00000000-0005-0000-0000-0000D90F0000}"/>
    <cellStyle name="Normal 2 5 4 3 2 2 2" xfId="4050" xr:uid="{00000000-0005-0000-0000-0000DA0F0000}"/>
    <cellStyle name="Normal 2 5 4 3 2 3" xfId="4051" xr:uid="{00000000-0005-0000-0000-0000DB0F0000}"/>
    <cellStyle name="Normal 2 5 4 3 2 3 2" xfId="4052" xr:uid="{00000000-0005-0000-0000-0000DC0F0000}"/>
    <cellStyle name="Normal 2 5 4 3 2 4" xfId="4053" xr:uid="{00000000-0005-0000-0000-0000DD0F0000}"/>
    <cellStyle name="Normal 2 5 4 3 3" xfId="4054" xr:uid="{00000000-0005-0000-0000-0000DE0F0000}"/>
    <cellStyle name="Normal 2 5 4 3 3 2" xfId="4055" xr:uid="{00000000-0005-0000-0000-0000DF0F0000}"/>
    <cellStyle name="Normal 2 5 4 3 4" xfId="4056" xr:uid="{00000000-0005-0000-0000-0000E00F0000}"/>
    <cellStyle name="Normal 2 5 4 3 4 2" xfId="4057" xr:uid="{00000000-0005-0000-0000-0000E10F0000}"/>
    <cellStyle name="Normal 2 5 4 3 5" xfId="4058" xr:uid="{00000000-0005-0000-0000-0000E20F0000}"/>
    <cellStyle name="Normal 2 5 4 4" xfId="4059" xr:uid="{00000000-0005-0000-0000-0000E30F0000}"/>
    <cellStyle name="Normal 2 5 4 4 2" xfId="4060" xr:uid="{00000000-0005-0000-0000-0000E40F0000}"/>
    <cellStyle name="Normal 2 5 4 4 2 2" xfId="4061" xr:uid="{00000000-0005-0000-0000-0000E50F0000}"/>
    <cellStyle name="Normal 2 5 4 4 2 2 2" xfId="4062" xr:uid="{00000000-0005-0000-0000-0000E60F0000}"/>
    <cellStyle name="Normal 2 5 4 4 2 3" xfId="4063" xr:uid="{00000000-0005-0000-0000-0000E70F0000}"/>
    <cellStyle name="Normal 2 5 4 4 2 3 2" xfId="4064" xr:uid="{00000000-0005-0000-0000-0000E80F0000}"/>
    <cellStyle name="Normal 2 5 4 4 2 4" xfId="4065" xr:uid="{00000000-0005-0000-0000-0000E90F0000}"/>
    <cellStyle name="Normal 2 5 4 4 3" xfId="4066" xr:uid="{00000000-0005-0000-0000-0000EA0F0000}"/>
    <cellStyle name="Normal 2 5 4 4 3 2" xfId="4067" xr:uid="{00000000-0005-0000-0000-0000EB0F0000}"/>
    <cellStyle name="Normal 2 5 4 4 4" xfId="4068" xr:uid="{00000000-0005-0000-0000-0000EC0F0000}"/>
    <cellStyle name="Normal 2 5 4 4 4 2" xfId="4069" xr:uid="{00000000-0005-0000-0000-0000ED0F0000}"/>
    <cellStyle name="Normal 2 5 4 4 5" xfId="4070" xr:uid="{00000000-0005-0000-0000-0000EE0F0000}"/>
    <cellStyle name="Normal 2 5 4 5" xfId="4071" xr:uid="{00000000-0005-0000-0000-0000EF0F0000}"/>
    <cellStyle name="Normal 2 5 4 5 2" xfId="4072" xr:uid="{00000000-0005-0000-0000-0000F00F0000}"/>
    <cellStyle name="Normal 2 5 4 5 2 2" xfId="4073" xr:uid="{00000000-0005-0000-0000-0000F10F0000}"/>
    <cellStyle name="Normal 2 5 4 5 3" xfId="4074" xr:uid="{00000000-0005-0000-0000-0000F20F0000}"/>
    <cellStyle name="Normal 2 5 4 5 3 2" xfId="4075" xr:uid="{00000000-0005-0000-0000-0000F30F0000}"/>
    <cellStyle name="Normal 2 5 4 5 4" xfId="4076" xr:uid="{00000000-0005-0000-0000-0000F40F0000}"/>
    <cellStyle name="Normal 2 5 4 6" xfId="4077" xr:uid="{00000000-0005-0000-0000-0000F50F0000}"/>
    <cellStyle name="Normal 2 5 4 6 2" xfId="4078" xr:uid="{00000000-0005-0000-0000-0000F60F0000}"/>
    <cellStyle name="Normal 2 5 4 7" xfId="4079" xr:uid="{00000000-0005-0000-0000-0000F70F0000}"/>
    <cellStyle name="Normal 2 5 4 7 2" xfId="4080" xr:uid="{00000000-0005-0000-0000-0000F80F0000}"/>
    <cellStyle name="Normal 2 5 4 8" xfId="4081" xr:uid="{00000000-0005-0000-0000-0000F90F0000}"/>
    <cellStyle name="Normal 2 5 5" xfId="4082" xr:uid="{00000000-0005-0000-0000-0000FA0F0000}"/>
    <cellStyle name="Normal 2 5 5 2" xfId="4083" xr:uid="{00000000-0005-0000-0000-0000FB0F0000}"/>
    <cellStyle name="Normal 2 5 5 2 2" xfId="4084" xr:uid="{00000000-0005-0000-0000-0000FC0F0000}"/>
    <cellStyle name="Normal 2 5 5 2 2 2" xfId="4085" xr:uid="{00000000-0005-0000-0000-0000FD0F0000}"/>
    <cellStyle name="Normal 2 5 5 2 2 2 2" xfId="4086" xr:uid="{00000000-0005-0000-0000-0000FE0F0000}"/>
    <cellStyle name="Normal 2 5 5 2 2 3" xfId="4087" xr:uid="{00000000-0005-0000-0000-0000FF0F0000}"/>
    <cellStyle name="Normal 2 5 5 2 2 3 2" xfId="4088" xr:uid="{00000000-0005-0000-0000-000000100000}"/>
    <cellStyle name="Normal 2 5 5 2 2 4" xfId="4089" xr:uid="{00000000-0005-0000-0000-000001100000}"/>
    <cellStyle name="Normal 2 5 5 2 3" xfId="4090" xr:uid="{00000000-0005-0000-0000-000002100000}"/>
    <cellStyle name="Normal 2 5 5 2 3 2" xfId="4091" xr:uid="{00000000-0005-0000-0000-000003100000}"/>
    <cellStyle name="Normal 2 5 5 2 4" xfId="4092" xr:uid="{00000000-0005-0000-0000-000004100000}"/>
    <cellStyle name="Normal 2 5 5 2 4 2" xfId="4093" xr:uid="{00000000-0005-0000-0000-000005100000}"/>
    <cellStyle name="Normal 2 5 5 2 5" xfId="4094" xr:uid="{00000000-0005-0000-0000-000006100000}"/>
    <cellStyle name="Normal 2 5 5 3" xfId="4095" xr:uid="{00000000-0005-0000-0000-000007100000}"/>
    <cellStyle name="Normal 2 5 5 3 2" xfId="4096" xr:uid="{00000000-0005-0000-0000-000008100000}"/>
    <cellStyle name="Normal 2 5 5 3 2 2" xfId="4097" xr:uid="{00000000-0005-0000-0000-000009100000}"/>
    <cellStyle name="Normal 2 5 5 3 2 2 2" xfId="4098" xr:uid="{00000000-0005-0000-0000-00000A100000}"/>
    <cellStyle name="Normal 2 5 5 3 2 3" xfId="4099" xr:uid="{00000000-0005-0000-0000-00000B100000}"/>
    <cellStyle name="Normal 2 5 5 3 2 3 2" xfId="4100" xr:uid="{00000000-0005-0000-0000-00000C100000}"/>
    <cellStyle name="Normal 2 5 5 3 2 4" xfId="4101" xr:uid="{00000000-0005-0000-0000-00000D100000}"/>
    <cellStyle name="Normal 2 5 5 3 3" xfId="4102" xr:uid="{00000000-0005-0000-0000-00000E100000}"/>
    <cellStyle name="Normal 2 5 5 3 3 2" xfId="4103" xr:uid="{00000000-0005-0000-0000-00000F100000}"/>
    <cellStyle name="Normal 2 5 5 3 4" xfId="4104" xr:uid="{00000000-0005-0000-0000-000010100000}"/>
    <cellStyle name="Normal 2 5 5 3 4 2" xfId="4105" xr:uid="{00000000-0005-0000-0000-000011100000}"/>
    <cellStyle name="Normal 2 5 5 3 5" xfId="4106" xr:uid="{00000000-0005-0000-0000-000012100000}"/>
    <cellStyle name="Normal 2 5 5 4" xfId="4107" xr:uid="{00000000-0005-0000-0000-000013100000}"/>
    <cellStyle name="Normal 2 5 5 4 2" xfId="4108" xr:uid="{00000000-0005-0000-0000-000014100000}"/>
    <cellStyle name="Normal 2 5 5 4 2 2" xfId="4109" xr:uid="{00000000-0005-0000-0000-000015100000}"/>
    <cellStyle name="Normal 2 5 5 4 3" xfId="4110" xr:uid="{00000000-0005-0000-0000-000016100000}"/>
    <cellStyle name="Normal 2 5 5 4 3 2" xfId="4111" xr:uid="{00000000-0005-0000-0000-000017100000}"/>
    <cellStyle name="Normal 2 5 5 4 4" xfId="4112" xr:uid="{00000000-0005-0000-0000-000018100000}"/>
    <cellStyle name="Normal 2 5 5 5" xfId="4113" xr:uid="{00000000-0005-0000-0000-000019100000}"/>
    <cellStyle name="Normal 2 5 5 5 2" xfId="4114" xr:uid="{00000000-0005-0000-0000-00001A100000}"/>
    <cellStyle name="Normal 2 5 5 6" xfId="4115" xr:uid="{00000000-0005-0000-0000-00001B100000}"/>
    <cellStyle name="Normal 2 5 5 6 2" xfId="4116" xr:uid="{00000000-0005-0000-0000-00001C100000}"/>
    <cellStyle name="Normal 2 5 5 7" xfId="4117" xr:uid="{00000000-0005-0000-0000-00001D100000}"/>
    <cellStyle name="Normal 2 5 6" xfId="4118" xr:uid="{00000000-0005-0000-0000-00001E100000}"/>
    <cellStyle name="Normal 2 5 6 2" xfId="4119" xr:uid="{00000000-0005-0000-0000-00001F100000}"/>
    <cellStyle name="Normal 2 5 6 2 2" xfId="4120" xr:uid="{00000000-0005-0000-0000-000020100000}"/>
    <cellStyle name="Normal 2 5 6 2 2 2" xfId="4121" xr:uid="{00000000-0005-0000-0000-000021100000}"/>
    <cellStyle name="Normal 2 5 6 2 2 2 2" xfId="4122" xr:uid="{00000000-0005-0000-0000-000022100000}"/>
    <cellStyle name="Normal 2 5 6 2 2 3" xfId="4123" xr:uid="{00000000-0005-0000-0000-000023100000}"/>
    <cellStyle name="Normal 2 5 6 2 2 3 2" xfId="4124" xr:uid="{00000000-0005-0000-0000-000024100000}"/>
    <cellStyle name="Normal 2 5 6 2 2 4" xfId="4125" xr:uid="{00000000-0005-0000-0000-000025100000}"/>
    <cellStyle name="Normal 2 5 6 2 3" xfId="4126" xr:uid="{00000000-0005-0000-0000-000026100000}"/>
    <cellStyle name="Normal 2 5 6 2 3 2" xfId="4127" xr:uid="{00000000-0005-0000-0000-000027100000}"/>
    <cellStyle name="Normal 2 5 6 2 4" xfId="4128" xr:uid="{00000000-0005-0000-0000-000028100000}"/>
    <cellStyle name="Normal 2 5 6 2 4 2" xfId="4129" xr:uid="{00000000-0005-0000-0000-000029100000}"/>
    <cellStyle name="Normal 2 5 6 2 5" xfId="4130" xr:uid="{00000000-0005-0000-0000-00002A100000}"/>
    <cellStyle name="Normal 2 5 6 3" xfId="4131" xr:uid="{00000000-0005-0000-0000-00002B100000}"/>
    <cellStyle name="Normal 2 5 6 3 2" xfId="4132" xr:uid="{00000000-0005-0000-0000-00002C100000}"/>
    <cellStyle name="Normal 2 5 6 3 2 2" xfId="4133" xr:uid="{00000000-0005-0000-0000-00002D100000}"/>
    <cellStyle name="Normal 2 5 6 3 2 2 2" xfId="4134" xr:uid="{00000000-0005-0000-0000-00002E100000}"/>
    <cellStyle name="Normal 2 5 6 3 2 3" xfId="4135" xr:uid="{00000000-0005-0000-0000-00002F100000}"/>
    <cellStyle name="Normal 2 5 6 3 2 3 2" xfId="4136" xr:uid="{00000000-0005-0000-0000-000030100000}"/>
    <cellStyle name="Normal 2 5 6 3 2 4" xfId="4137" xr:uid="{00000000-0005-0000-0000-000031100000}"/>
    <cellStyle name="Normal 2 5 6 3 3" xfId="4138" xr:uid="{00000000-0005-0000-0000-000032100000}"/>
    <cellStyle name="Normal 2 5 6 3 3 2" xfId="4139" xr:uid="{00000000-0005-0000-0000-000033100000}"/>
    <cellStyle name="Normal 2 5 6 3 4" xfId="4140" xr:uid="{00000000-0005-0000-0000-000034100000}"/>
    <cellStyle name="Normal 2 5 6 3 4 2" xfId="4141" xr:uid="{00000000-0005-0000-0000-000035100000}"/>
    <cellStyle name="Normal 2 5 6 3 5" xfId="4142" xr:uid="{00000000-0005-0000-0000-000036100000}"/>
    <cellStyle name="Normal 2 5 6 4" xfId="4143" xr:uid="{00000000-0005-0000-0000-000037100000}"/>
    <cellStyle name="Normal 2 5 6 4 2" xfId="4144" xr:uid="{00000000-0005-0000-0000-000038100000}"/>
    <cellStyle name="Normal 2 5 6 4 2 2" xfId="4145" xr:uid="{00000000-0005-0000-0000-000039100000}"/>
    <cellStyle name="Normal 2 5 6 4 3" xfId="4146" xr:uid="{00000000-0005-0000-0000-00003A100000}"/>
    <cellStyle name="Normal 2 5 6 4 3 2" xfId="4147" xr:uid="{00000000-0005-0000-0000-00003B100000}"/>
    <cellStyle name="Normal 2 5 6 4 4" xfId="4148" xr:uid="{00000000-0005-0000-0000-00003C100000}"/>
    <cellStyle name="Normal 2 5 6 5" xfId="4149" xr:uid="{00000000-0005-0000-0000-00003D100000}"/>
    <cellStyle name="Normal 2 5 6 5 2" xfId="4150" xr:uid="{00000000-0005-0000-0000-00003E100000}"/>
    <cellStyle name="Normal 2 5 6 6" xfId="4151" xr:uid="{00000000-0005-0000-0000-00003F100000}"/>
    <cellStyle name="Normal 2 5 6 6 2" xfId="4152" xr:uid="{00000000-0005-0000-0000-000040100000}"/>
    <cellStyle name="Normal 2 5 6 7" xfId="4153" xr:uid="{00000000-0005-0000-0000-000041100000}"/>
    <cellStyle name="Normal 2 5 7" xfId="4154" xr:uid="{00000000-0005-0000-0000-000042100000}"/>
    <cellStyle name="Normal 2 5 7 2" xfId="4155" xr:uid="{00000000-0005-0000-0000-000043100000}"/>
    <cellStyle name="Normal 2 5 7 2 2" xfId="4156" xr:uid="{00000000-0005-0000-0000-000044100000}"/>
    <cellStyle name="Normal 2 5 7 2 2 2" xfId="4157" xr:uid="{00000000-0005-0000-0000-000045100000}"/>
    <cellStyle name="Normal 2 5 7 2 2 2 2" xfId="4158" xr:uid="{00000000-0005-0000-0000-000046100000}"/>
    <cellStyle name="Normal 2 5 7 2 2 3" xfId="4159" xr:uid="{00000000-0005-0000-0000-000047100000}"/>
    <cellStyle name="Normal 2 5 7 2 2 3 2" xfId="4160" xr:uid="{00000000-0005-0000-0000-000048100000}"/>
    <cellStyle name="Normal 2 5 7 2 2 4" xfId="4161" xr:uid="{00000000-0005-0000-0000-000049100000}"/>
    <cellStyle name="Normal 2 5 7 2 3" xfId="4162" xr:uid="{00000000-0005-0000-0000-00004A100000}"/>
    <cellStyle name="Normal 2 5 7 2 3 2" xfId="4163" xr:uid="{00000000-0005-0000-0000-00004B100000}"/>
    <cellStyle name="Normal 2 5 7 2 4" xfId="4164" xr:uid="{00000000-0005-0000-0000-00004C100000}"/>
    <cellStyle name="Normal 2 5 7 2 4 2" xfId="4165" xr:uid="{00000000-0005-0000-0000-00004D100000}"/>
    <cellStyle name="Normal 2 5 7 2 5" xfId="4166" xr:uid="{00000000-0005-0000-0000-00004E100000}"/>
    <cellStyle name="Normal 2 5 7 3" xfId="4167" xr:uid="{00000000-0005-0000-0000-00004F100000}"/>
    <cellStyle name="Normal 2 5 7 3 2" xfId="4168" xr:uid="{00000000-0005-0000-0000-000050100000}"/>
    <cellStyle name="Normal 2 5 7 3 2 2" xfId="4169" xr:uid="{00000000-0005-0000-0000-000051100000}"/>
    <cellStyle name="Normal 2 5 7 3 2 2 2" xfId="4170" xr:uid="{00000000-0005-0000-0000-000052100000}"/>
    <cellStyle name="Normal 2 5 7 3 2 3" xfId="4171" xr:uid="{00000000-0005-0000-0000-000053100000}"/>
    <cellStyle name="Normal 2 5 7 3 2 3 2" xfId="4172" xr:uid="{00000000-0005-0000-0000-000054100000}"/>
    <cellStyle name="Normal 2 5 7 3 2 4" xfId="4173" xr:uid="{00000000-0005-0000-0000-000055100000}"/>
    <cellStyle name="Normal 2 5 7 3 3" xfId="4174" xr:uid="{00000000-0005-0000-0000-000056100000}"/>
    <cellStyle name="Normal 2 5 7 3 3 2" xfId="4175" xr:uid="{00000000-0005-0000-0000-000057100000}"/>
    <cellStyle name="Normal 2 5 7 3 4" xfId="4176" xr:uid="{00000000-0005-0000-0000-000058100000}"/>
    <cellStyle name="Normal 2 5 7 3 4 2" xfId="4177" xr:uid="{00000000-0005-0000-0000-000059100000}"/>
    <cellStyle name="Normal 2 5 7 3 5" xfId="4178" xr:uid="{00000000-0005-0000-0000-00005A100000}"/>
    <cellStyle name="Normal 2 5 7 4" xfId="4179" xr:uid="{00000000-0005-0000-0000-00005B100000}"/>
    <cellStyle name="Normal 2 5 7 4 2" xfId="4180" xr:uid="{00000000-0005-0000-0000-00005C100000}"/>
    <cellStyle name="Normal 2 5 7 4 2 2" xfId="4181" xr:uid="{00000000-0005-0000-0000-00005D100000}"/>
    <cellStyle name="Normal 2 5 7 4 3" xfId="4182" xr:uid="{00000000-0005-0000-0000-00005E100000}"/>
    <cellStyle name="Normal 2 5 7 4 3 2" xfId="4183" xr:uid="{00000000-0005-0000-0000-00005F100000}"/>
    <cellStyle name="Normal 2 5 7 4 4" xfId="4184" xr:uid="{00000000-0005-0000-0000-000060100000}"/>
    <cellStyle name="Normal 2 5 7 5" xfId="4185" xr:uid="{00000000-0005-0000-0000-000061100000}"/>
    <cellStyle name="Normal 2 5 7 5 2" xfId="4186" xr:uid="{00000000-0005-0000-0000-000062100000}"/>
    <cellStyle name="Normal 2 5 7 6" xfId="4187" xr:uid="{00000000-0005-0000-0000-000063100000}"/>
    <cellStyle name="Normal 2 5 7 6 2" xfId="4188" xr:uid="{00000000-0005-0000-0000-000064100000}"/>
    <cellStyle name="Normal 2 5 7 7" xfId="4189" xr:uid="{00000000-0005-0000-0000-000065100000}"/>
    <cellStyle name="Normal 2 5 8" xfId="4190" xr:uid="{00000000-0005-0000-0000-000066100000}"/>
    <cellStyle name="Normal 2 5 8 2" xfId="4191" xr:uid="{00000000-0005-0000-0000-000067100000}"/>
    <cellStyle name="Normal 2 5 8 2 2" xfId="4192" xr:uid="{00000000-0005-0000-0000-000068100000}"/>
    <cellStyle name="Normal 2 5 8 2 2 2" xfId="4193" xr:uid="{00000000-0005-0000-0000-000069100000}"/>
    <cellStyle name="Normal 2 5 8 2 2 2 2" xfId="4194" xr:uid="{00000000-0005-0000-0000-00006A100000}"/>
    <cellStyle name="Normal 2 5 8 2 2 3" xfId="4195" xr:uid="{00000000-0005-0000-0000-00006B100000}"/>
    <cellStyle name="Normal 2 5 8 2 2 3 2" xfId="4196" xr:uid="{00000000-0005-0000-0000-00006C100000}"/>
    <cellStyle name="Normal 2 5 8 2 2 4" xfId="4197" xr:uid="{00000000-0005-0000-0000-00006D100000}"/>
    <cellStyle name="Normal 2 5 8 2 3" xfId="4198" xr:uid="{00000000-0005-0000-0000-00006E100000}"/>
    <cellStyle name="Normal 2 5 8 2 3 2" xfId="4199" xr:uid="{00000000-0005-0000-0000-00006F100000}"/>
    <cellStyle name="Normal 2 5 8 2 4" xfId="4200" xr:uid="{00000000-0005-0000-0000-000070100000}"/>
    <cellStyle name="Normal 2 5 8 2 4 2" xfId="4201" xr:uid="{00000000-0005-0000-0000-000071100000}"/>
    <cellStyle name="Normal 2 5 8 2 5" xfId="4202" xr:uid="{00000000-0005-0000-0000-000072100000}"/>
    <cellStyle name="Normal 2 5 8 3" xfId="4203" xr:uid="{00000000-0005-0000-0000-000073100000}"/>
    <cellStyle name="Normal 2 5 8 3 2" xfId="4204" xr:uid="{00000000-0005-0000-0000-000074100000}"/>
    <cellStyle name="Normal 2 5 8 3 2 2" xfId="4205" xr:uid="{00000000-0005-0000-0000-000075100000}"/>
    <cellStyle name="Normal 2 5 8 3 2 2 2" xfId="4206" xr:uid="{00000000-0005-0000-0000-000076100000}"/>
    <cellStyle name="Normal 2 5 8 3 2 3" xfId="4207" xr:uid="{00000000-0005-0000-0000-000077100000}"/>
    <cellStyle name="Normal 2 5 8 3 2 3 2" xfId="4208" xr:uid="{00000000-0005-0000-0000-000078100000}"/>
    <cellStyle name="Normal 2 5 8 3 2 4" xfId="4209" xr:uid="{00000000-0005-0000-0000-000079100000}"/>
    <cellStyle name="Normal 2 5 8 3 3" xfId="4210" xr:uid="{00000000-0005-0000-0000-00007A100000}"/>
    <cellStyle name="Normal 2 5 8 3 3 2" xfId="4211" xr:uid="{00000000-0005-0000-0000-00007B100000}"/>
    <cellStyle name="Normal 2 5 8 3 4" xfId="4212" xr:uid="{00000000-0005-0000-0000-00007C100000}"/>
    <cellStyle name="Normal 2 5 8 3 4 2" xfId="4213" xr:uid="{00000000-0005-0000-0000-00007D100000}"/>
    <cellStyle name="Normal 2 5 8 3 5" xfId="4214" xr:uid="{00000000-0005-0000-0000-00007E100000}"/>
    <cellStyle name="Normal 2 5 8 4" xfId="4215" xr:uid="{00000000-0005-0000-0000-00007F100000}"/>
    <cellStyle name="Normal 2 5 8 4 2" xfId="4216" xr:uid="{00000000-0005-0000-0000-000080100000}"/>
    <cellStyle name="Normal 2 5 8 4 2 2" xfId="4217" xr:uid="{00000000-0005-0000-0000-000081100000}"/>
    <cellStyle name="Normal 2 5 8 4 3" xfId="4218" xr:uid="{00000000-0005-0000-0000-000082100000}"/>
    <cellStyle name="Normal 2 5 8 4 3 2" xfId="4219" xr:uid="{00000000-0005-0000-0000-000083100000}"/>
    <cellStyle name="Normal 2 5 8 4 4" xfId="4220" xr:uid="{00000000-0005-0000-0000-000084100000}"/>
    <cellStyle name="Normal 2 5 8 5" xfId="4221" xr:uid="{00000000-0005-0000-0000-000085100000}"/>
    <cellStyle name="Normal 2 5 8 5 2" xfId="4222" xr:uid="{00000000-0005-0000-0000-000086100000}"/>
    <cellStyle name="Normal 2 5 8 6" xfId="4223" xr:uid="{00000000-0005-0000-0000-000087100000}"/>
    <cellStyle name="Normal 2 5 8 6 2" xfId="4224" xr:uid="{00000000-0005-0000-0000-000088100000}"/>
    <cellStyle name="Normal 2 5 8 7" xfId="4225" xr:uid="{00000000-0005-0000-0000-000089100000}"/>
    <cellStyle name="Normal 2 5 9" xfId="4226" xr:uid="{00000000-0005-0000-0000-00008A100000}"/>
    <cellStyle name="Normal 2 5 9 2" xfId="4227" xr:uid="{00000000-0005-0000-0000-00008B100000}"/>
    <cellStyle name="Normal 2 5 9 2 2" xfId="4228" xr:uid="{00000000-0005-0000-0000-00008C100000}"/>
    <cellStyle name="Normal 2 5 9 2 2 2" xfId="4229" xr:uid="{00000000-0005-0000-0000-00008D100000}"/>
    <cellStyle name="Normal 2 5 9 2 3" xfId="4230" xr:uid="{00000000-0005-0000-0000-00008E100000}"/>
    <cellStyle name="Normal 2 5 9 2 3 2" xfId="4231" xr:uid="{00000000-0005-0000-0000-00008F100000}"/>
    <cellStyle name="Normal 2 5 9 2 4" xfId="4232" xr:uid="{00000000-0005-0000-0000-000090100000}"/>
    <cellStyle name="Normal 2 5 9 3" xfId="4233" xr:uid="{00000000-0005-0000-0000-000091100000}"/>
    <cellStyle name="Normal 2 5 9 3 2" xfId="4234" xr:uid="{00000000-0005-0000-0000-000092100000}"/>
    <cellStyle name="Normal 2 5 9 4" xfId="4235" xr:uid="{00000000-0005-0000-0000-000093100000}"/>
    <cellStyle name="Normal 2 5 9 4 2" xfId="4236" xr:uid="{00000000-0005-0000-0000-000094100000}"/>
    <cellStyle name="Normal 2 5 9 5" xfId="4237" xr:uid="{00000000-0005-0000-0000-000095100000}"/>
    <cellStyle name="Normal 2 6" xfId="4238" xr:uid="{00000000-0005-0000-0000-000096100000}"/>
    <cellStyle name="Normal 2 6 10" xfId="4239" xr:uid="{00000000-0005-0000-0000-000097100000}"/>
    <cellStyle name="Normal 2 6 10 2" xfId="4240" xr:uid="{00000000-0005-0000-0000-000098100000}"/>
    <cellStyle name="Normal 2 6 10 2 2" xfId="4241" xr:uid="{00000000-0005-0000-0000-000099100000}"/>
    <cellStyle name="Normal 2 6 10 3" xfId="4242" xr:uid="{00000000-0005-0000-0000-00009A100000}"/>
    <cellStyle name="Normal 2 6 10 3 2" xfId="4243" xr:uid="{00000000-0005-0000-0000-00009B100000}"/>
    <cellStyle name="Normal 2 6 10 4" xfId="4244" xr:uid="{00000000-0005-0000-0000-00009C100000}"/>
    <cellStyle name="Normal 2 6 11" xfId="4245" xr:uid="{00000000-0005-0000-0000-00009D100000}"/>
    <cellStyle name="Normal 2 6 11 2" xfId="4246" xr:uid="{00000000-0005-0000-0000-00009E100000}"/>
    <cellStyle name="Normal 2 6 12" xfId="4247" xr:uid="{00000000-0005-0000-0000-00009F100000}"/>
    <cellStyle name="Normal 2 6 12 2" xfId="4248" xr:uid="{00000000-0005-0000-0000-0000A0100000}"/>
    <cellStyle name="Normal 2 6 13" xfId="4249" xr:uid="{00000000-0005-0000-0000-0000A1100000}"/>
    <cellStyle name="Normal 2 6 2" xfId="4250" xr:uid="{00000000-0005-0000-0000-0000A2100000}"/>
    <cellStyle name="Normal 2 6 2 10" xfId="4251" xr:uid="{00000000-0005-0000-0000-0000A3100000}"/>
    <cellStyle name="Normal 2 6 2 10 2" xfId="4252" xr:uid="{00000000-0005-0000-0000-0000A4100000}"/>
    <cellStyle name="Normal 2 6 2 11" xfId="4253" xr:uid="{00000000-0005-0000-0000-0000A5100000}"/>
    <cellStyle name="Normal 2 6 2 2" xfId="4254" xr:uid="{00000000-0005-0000-0000-0000A6100000}"/>
    <cellStyle name="Normal 2 6 2 2 2" xfId="4255" xr:uid="{00000000-0005-0000-0000-0000A7100000}"/>
    <cellStyle name="Normal 2 6 2 2 2 2" xfId="4256" xr:uid="{00000000-0005-0000-0000-0000A8100000}"/>
    <cellStyle name="Normal 2 6 2 2 2 2 2" xfId="4257" xr:uid="{00000000-0005-0000-0000-0000A9100000}"/>
    <cellStyle name="Normal 2 6 2 2 2 2 2 2" xfId="4258" xr:uid="{00000000-0005-0000-0000-0000AA100000}"/>
    <cellStyle name="Normal 2 6 2 2 2 2 3" xfId="4259" xr:uid="{00000000-0005-0000-0000-0000AB100000}"/>
    <cellStyle name="Normal 2 6 2 2 2 2 3 2" xfId="4260" xr:uid="{00000000-0005-0000-0000-0000AC100000}"/>
    <cellStyle name="Normal 2 6 2 2 2 2 4" xfId="4261" xr:uid="{00000000-0005-0000-0000-0000AD100000}"/>
    <cellStyle name="Normal 2 6 2 2 2 3" xfId="4262" xr:uid="{00000000-0005-0000-0000-0000AE100000}"/>
    <cellStyle name="Normal 2 6 2 2 2 3 2" xfId="4263" xr:uid="{00000000-0005-0000-0000-0000AF100000}"/>
    <cellStyle name="Normal 2 6 2 2 2 4" xfId="4264" xr:uid="{00000000-0005-0000-0000-0000B0100000}"/>
    <cellStyle name="Normal 2 6 2 2 2 4 2" xfId="4265" xr:uid="{00000000-0005-0000-0000-0000B1100000}"/>
    <cellStyle name="Normal 2 6 2 2 2 5" xfId="4266" xr:uid="{00000000-0005-0000-0000-0000B2100000}"/>
    <cellStyle name="Normal 2 6 2 2 3" xfId="4267" xr:uid="{00000000-0005-0000-0000-0000B3100000}"/>
    <cellStyle name="Normal 2 6 2 2 3 2" xfId="4268" xr:uid="{00000000-0005-0000-0000-0000B4100000}"/>
    <cellStyle name="Normal 2 6 2 2 3 2 2" xfId="4269" xr:uid="{00000000-0005-0000-0000-0000B5100000}"/>
    <cellStyle name="Normal 2 6 2 2 3 2 2 2" xfId="4270" xr:uid="{00000000-0005-0000-0000-0000B6100000}"/>
    <cellStyle name="Normal 2 6 2 2 3 2 3" xfId="4271" xr:uid="{00000000-0005-0000-0000-0000B7100000}"/>
    <cellStyle name="Normal 2 6 2 2 3 2 3 2" xfId="4272" xr:uid="{00000000-0005-0000-0000-0000B8100000}"/>
    <cellStyle name="Normal 2 6 2 2 3 2 4" xfId="4273" xr:uid="{00000000-0005-0000-0000-0000B9100000}"/>
    <cellStyle name="Normal 2 6 2 2 3 3" xfId="4274" xr:uid="{00000000-0005-0000-0000-0000BA100000}"/>
    <cellStyle name="Normal 2 6 2 2 3 3 2" xfId="4275" xr:uid="{00000000-0005-0000-0000-0000BB100000}"/>
    <cellStyle name="Normal 2 6 2 2 3 4" xfId="4276" xr:uid="{00000000-0005-0000-0000-0000BC100000}"/>
    <cellStyle name="Normal 2 6 2 2 3 4 2" xfId="4277" xr:uid="{00000000-0005-0000-0000-0000BD100000}"/>
    <cellStyle name="Normal 2 6 2 2 3 5" xfId="4278" xr:uid="{00000000-0005-0000-0000-0000BE100000}"/>
    <cellStyle name="Normal 2 6 2 2 4" xfId="4279" xr:uid="{00000000-0005-0000-0000-0000BF100000}"/>
    <cellStyle name="Normal 2 6 2 2 4 2" xfId="4280" xr:uid="{00000000-0005-0000-0000-0000C0100000}"/>
    <cellStyle name="Normal 2 6 2 2 4 2 2" xfId="4281" xr:uid="{00000000-0005-0000-0000-0000C1100000}"/>
    <cellStyle name="Normal 2 6 2 2 4 3" xfId="4282" xr:uid="{00000000-0005-0000-0000-0000C2100000}"/>
    <cellStyle name="Normal 2 6 2 2 4 3 2" xfId="4283" xr:uid="{00000000-0005-0000-0000-0000C3100000}"/>
    <cellStyle name="Normal 2 6 2 2 4 4" xfId="4284" xr:uid="{00000000-0005-0000-0000-0000C4100000}"/>
    <cellStyle name="Normal 2 6 2 2 5" xfId="4285" xr:uid="{00000000-0005-0000-0000-0000C5100000}"/>
    <cellStyle name="Normal 2 6 2 2 5 2" xfId="4286" xr:uid="{00000000-0005-0000-0000-0000C6100000}"/>
    <cellStyle name="Normal 2 6 2 2 6" xfId="4287" xr:uid="{00000000-0005-0000-0000-0000C7100000}"/>
    <cellStyle name="Normal 2 6 2 2 6 2" xfId="4288" xr:uid="{00000000-0005-0000-0000-0000C8100000}"/>
    <cellStyle name="Normal 2 6 2 2 7" xfId="4289" xr:uid="{00000000-0005-0000-0000-0000C9100000}"/>
    <cellStyle name="Normal 2 6 2 3" xfId="4290" xr:uid="{00000000-0005-0000-0000-0000CA100000}"/>
    <cellStyle name="Normal 2 6 2 3 2" xfId="4291" xr:uid="{00000000-0005-0000-0000-0000CB100000}"/>
    <cellStyle name="Normal 2 6 2 3 2 2" xfId="4292" xr:uid="{00000000-0005-0000-0000-0000CC100000}"/>
    <cellStyle name="Normal 2 6 2 3 2 2 2" xfId="4293" xr:uid="{00000000-0005-0000-0000-0000CD100000}"/>
    <cellStyle name="Normal 2 6 2 3 2 2 2 2" xfId="4294" xr:uid="{00000000-0005-0000-0000-0000CE100000}"/>
    <cellStyle name="Normal 2 6 2 3 2 2 3" xfId="4295" xr:uid="{00000000-0005-0000-0000-0000CF100000}"/>
    <cellStyle name="Normal 2 6 2 3 2 2 3 2" xfId="4296" xr:uid="{00000000-0005-0000-0000-0000D0100000}"/>
    <cellStyle name="Normal 2 6 2 3 2 2 4" xfId="4297" xr:uid="{00000000-0005-0000-0000-0000D1100000}"/>
    <cellStyle name="Normal 2 6 2 3 2 3" xfId="4298" xr:uid="{00000000-0005-0000-0000-0000D2100000}"/>
    <cellStyle name="Normal 2 6 2 3 2 3 2" xfId="4299" xr:uid="{00000000-0005-0000-0000-0000D3100000}"/>
    <cellStyle name="Normal 2 6 2 3 2 4" xfId="4300" xr:uid="{00000000-0005-0000-0000-0000D4100000}"/>
    <cellStyle name="Normal 2 6 2 3 2 4 2" xfId="4301" xr:uid="{00000000-0005-0000-0000-0000D5100000}"/>
    <cellStyle name="Normal 2 6 2 3 2 5" xfId="4302" xr:uid="{00000000-0005-0000-0000-0000D6100000}"/>
    <cellStyle name="Normal 2 6 2 3 3" xfId="4303" xr:uid="{00000000-0005-0000-0000-0000D7100000}"/>
    <cellStyle name="Normal 2 6 2 3 3 2" xfId="4304" xr:uid="{00000000-0005-0000-0000-0000D8100000}"/>
    <cellStyle name="Normal 2 6 2 3 3 2 2" xfId="4305" xr:uid="{00000000-0005-0000-0000-0000D9100000}"/>
    <cellStyle name="Normal 2 6 2 3 3 2 2 2" xfId="4306" xr:uid="{00000000-0005-0000-0000-0000DA100000}"/>
    <cellStyle name="Normal 2 6 2 3 3 2 3" xfId="4307" xr:uid="{00000000-0005-0000-0000-0000DB100000}"/>
    <cellStyle name="Normal 2 6 2 3 3 2 3 2" xfId="4308" xr:uid="{00000000-0005-0000-0000-0000DC100000}"/>
    <cellStyle name="Normal 2 6 2 3 3 2 4" xfId="4309" xr:uid="{00000000-0005-0000-0000-0000DD100000}"/>
    <cellStyle name="Normal 2 6 2 3 3 3" xfId="4310" xr:uid="{00000000-0005-0000-0000-0000DE100000}"/>
    <cellStyle name="Normal 2 6 2 3 3 3 2" xfId="4311" xr:uid="{00000000-0005-0000-0000-0000DF100000}"/>
    <cellStyle name="Normal 2 6 2 3 3 4" xfId="4312" xr:uid="{00000000-0005-0000-0000-0000E0100000}"/>
    <cellStyle name="Normal 2 6 2 3 3 4 2" xfId="4313" xr:uid="{00000000-0005-0000-0000-0000E1100000}"/>
    <cellStyle name="Normal 2 6 2 3 3 5" xfId="4314" xr:uid="{00000000-0005-0000-0000-0000E2100000}"/>
    <cellStyle name="Normal 2 6 2 3 4" xfId="4315" xr:uid="{00000000-0005-0000-0000-0000E3100000}"/>
    <cellStyle name="Normal 2 6 2 3 4 2" xfId="4316" xr:uid="{00000000-0005-0000-0000-0000E4100000}"/>
    <cellStyle name="Normal 2 6 2 3 4 2 2" xfId="4317" xr:uid="{00000000-0005-0000-0000-0000E5100000}"/>
    <cellStyle name="Normal 2 6 2 3 4 3" xfId="4318" xr:uid="{00000000-0005-0000-0000-0000E6100000}"/>
    <cellStyle name="Normal 2 6 2 3 4 3 2" xfId="4319" xr:uid="{00000000-0005-0000-0000-0000E7100000}"/>
    <cellStyle name="Normal 2 6 2 3 4 4" xfId="4320" xr:uid="{00000000-0005-0000-0000-0000E8100000}"/>
    <cellStyle name="Normal 2 6 2 3 5" xfId="4321" xr:uid="{00000000-0005-0000-0000-0000E9100000}"/>
    <cellStyle name="Normal 2 6 2 3 5 2" xfId="4322" xr:uid="{00000000-0005-0000-0000-0000EA100000}"/>
    <cellStyle name="Normal 2 6 2 3 6" xfId="4323" xr:uid="{00000000-0005-0000-0000-0000EB100000}"/>
    <cellStyle name="Normal 2 6 2 3 6 2" xfId="4324" xr:uid="{00000000-0005-0000-0000-0000EC100000}"/>
    <cellStyle name="Normal 2 6 2 3 7" xfId="4325" xr:uid="{00000000-0005-0000-0000-0000ED100000}"/>
    <cellStyle name="Normal 2 6 2 4" xfId="4326" xr:uid="{00000000-0005-0000-0000-0000EE100000}"/>
    <cellStyle name="Normal 2 6 2 4 2" xfId="4327" xr:uid="{00000000-0005-0000-0000-0000EF100000}"/>
    <cellStyle name="Normal 2 6 2 4 2 2" xfId="4328" xr:uid="{00000000-0005-0000-0000-0000F0100000}"/>
    <cellStyle name="Normal 2 6 2 4 2 2 2" xfId="4329" xr:uid="{00000000-0005-0000-0000-0000F1100000}"/>
    <cellStyle name="Normal 2 6 2 4 2 2 2 2" xfId="4330" xr:uid="{00000000-0005-0000-0000-0000F2100000}"/>
    <cellStyle name="Normal 2 6 2 4 2 2 3" xfId="4331" xr:uid="{00000000-0005-0000-0000-0000F3100000}"/>
    <cellStyle name="Normal 2 6 2 4 2 2 3 2" xfId="4332" xr:uid="{00000000-0005-0000-0000-0000F4100000}"/>
    <cellStyle name="Normal 2 6 2 4 2 2 4" xfId="4333" xr:uid="{00000000-0005-0000-0000-0000F5100000}"/>
    <cellStyle name="Normal 2 6 2 4 2 3" xfId="4334" xr:uid="{00000000-0005-0000-0000-0000F6100000}"/>
    <cellStyle name="Normal 2 6 2 4 2 3 2" xfId="4335" xr:uid="{00000000-0005-0000-0000-0000F7100000}"/>
    <cellStyle name="Normal 2 6 2 4 2 4" xfId="4336" xr:uid="{00000000-0005-0000-0000-0000F8100000}"/>
    <cellStyle name="Normal 2 6 2 4 2 4 2" xfId="4337" xr:uid="{00000000-0005-0000-0000-0000F9100000}"/>
    <cellStyle name="Normal 2 6 2 4 2 5" xfId="4338" xr:uid="{00000000-0005-0000-0000-0000FA100000}"/>
    <cellStyle name="Normal 2 6 2 4 3" xfId="4339" xr:uid="{00000000-0005-0000-0000-0000FB100000}"/>
    <cellStyle name="Normal 2 6 2 4 3 2" xfId="4340" xr:uid="{00000000-0005-0000-0000-0000FC100000}"/>
    <cellStyle name="Normal 2 6 2 4 3 2 2" xfId="4341" xr:uid="{00000000-0005-0000-0000-0000FD100000}"/>
    <cellStyle name="Normal 2 6 2 4 3 2 2 2" xfId="4342" xr:uid="{00000000-0005-0000-0000-0000FE100000}"/>
    <cellStyle name="Normal 2 6 2 4 3 2 3" xfId="4343" xr:uid="{00000000-0005-0000-0000-0000FF100000}"/>
    <cellStyle name="Normal 2 6 2 4 3 2 3 2" xfId="4344" xr:uid="{00000000-0005-0000-0000-000000110000}"/>
    <cellStyle name="Normal 2 6 2 4 3 2 4" xfId="4345" xr:uid="{00000000-0005-0000-0000-000001110000}"/>
    <cellStyle name="Normal 2 6 2 4 3 3" xfId="4346" xr:uid="{00000000-0005-0000-0000-000002110000}"/>
    <cellStyle name="Normal 2 6 2 4 3 3 2" xfId="4347" xr:uid="{00000000-0005-0000-0000-000003110000}"/>
    <cellStyle name="Normal 2 6 2 4 3 4" xfId="4348" xr:uid="{00000000-0005-0000-0000-000004110000}"/>
    <cellStyle name="Normal 2 6 2 4 3 4 2" xfId="4349" xr:uid="{00000000-0005-0000-0000-000005110000}"/>
    <cellStyle name="Normal 2 6 2 4 3 5" xfId="4350" xr:uid="{00000000-0005-0000-0000-000006110000}"/>
    <cellStyle name="Normal 2 6 2 4 4" xfId="4351" xr:uid="{00000000-0005-0000-0000-000007110000}"/>
    <cellStyle name="Normal 2 6 2 4 4 2" xfId="4352" xr:uid="{00000000-0005-0000-0000-000008110000}"/>
    <cellStyle name="Normal 2 6 2 4 4 2 2" xfId="4353" xr:uid="{00000000-0005-0000-0000-000009110000}"/>
    <cellStyle name="Normal 2 6 2 4 4 3" xfId="4354" xr:uid="{00000000-0005-0000-0000-00000A110000}"/>
    <cellStyle name="Normal 2 6 2 4 4 3 2" xfId="4355" xr:uid="{00000000-0005-0000-0000-00000B110000}"/>
    <cellStyle name="Normal 2 6 2 4 4 4" xfId="4356" xr:uid="{00000000-0005-0000-0000-00000C110000}"/>
    <cellStyle name="Normal 2 6 2 4 5" xfId="4357" xr:uid="{00000000-0005-0000-0000-00000D110000}"/>
    <cellStyle name="Normal 2 6 2 4 5 2" xfId="4358" xr:uid="{00000000-0005-0000-0000-00000E110000}"/>
    <cellStyle name="Normal 2 6 2 4 6" xfId="4359" xr:uid="{00000000-0005-0000-0000-00000F110000}"/>
    <cellStyle name="Normal 2 6 2 4 6 2" xfId="4360" xr:uid="{00000000-0005-0000-0000-000010110000}"/>
    <cellStyle name="Normal 2 6 2 4 7" xfId="4361" xr:uid="{00000000-0005-0000-0000-000011110000}"/>
    <cellStyle name="Normal 2 6 2 5" xfId="4362" xr:uid="{00000000-0005-0000-0000-000012110000}"/>
    <cellStyle name="Normal 2 6 2 5 2" xfId="4363" xr:uid="{00000000-0005-0000-0000-000013110000}"/>
    <cellStyle name="Normal 2 6 2 5 2 2" xfId="4364" xr:uid="{00000000-0005-0000-0000-000014110000}"/>
    <cellStyle name="Normal 2 6 2 5 2 2 2" xfId="4365" xr:uid="{00000000-0005-0000-0000-000015110000}"/>
    <cellStyle name="Normal 2 6 2 5 2 2 2 2" xfId="4366" xr:uid="{00000000-0005-0000-0000-000016110000}"/>
    <cellStyle name="Normal 2 6 2 5 2 2 3" xfId="4367" xr:uid="{00000000-0005-0000-0000-000017110000}"/>
    <cellStyle name="Normal 2 6 2 5 2 2 3 2" xfId="4368" xr:uid="{00000000-0005-0000-0000-000018110000}"/>
    <cellStyle name="Normal 2 6 2 5 2 2 4" xfId="4369" xr:uid="{00000000-0005-0000-0000-000019110000}"/>
    <cellStyle name="Normal 2 6 2 5 2 3" xfId="4370" xr:uid="{00000000-0005-0000-0000-00001A110000}"/>
    <cellStyle name="Normal 2 6 2 5 2 3 2" xfId="4371" xr:uid="{00000000-0005-0000-0000-00001B110000}"/>
    <cellStyle name="Normal 2 6 2 5 2 4" xfId="4372" xr:uid="{00000000-0005-0000-0000-00001C110000}"/>
    <cellStyle name="Normal 2 6 2 5 2 4 2" xfId="4373" xr:uid="{00000000-0005-0000-0000-00001D110000}"/>
    <cellStyle name="Normal 2 6 2 5 2 5" xfId="4374" xr:uid="{00000000-0005-0000-0000-00001E110000}"/>
    <cellStyle name="Normal 2 6 2 5 3" xfId="4375" xr:uid="{00000000-0005-0000-0000-00001F110000}"/>
    <cellStyle name="Normal 2 6 2 5 3 2" xfId="4376" xr:uid="{00000000-0005-0000-0000-000020110000}"/>
    <cellStyle name="Normal 2 6 2 5 3 2 2" xfId="4377" xr:uid="{00000000-0005-0000-0000-000021110000}"/>
    <cellStyle name="Normal 2 6 2 5 3 2 2 2" xfId="4378" xr:uid="{00000000-0005-0000-0000-000022110000}"/>
    <cellStyle name="Normal 2 6 2 5 3 2 3" xfId="4379" xr:uid="{00000000-0005-0000-0000-000023110000}"/>
    <cellStyle name="Normal 2 6 2 5 3 2 3 2" xfId="4380" xr:uid="{00000000-0005-0000-0000-000024110000}"/>
    <cellStyle name="Normal 2 6 2 5 3 2 4" xfId="4381" xr:uid="{00000000-0005-0000-0000-000025110000}"/>
    <cellStyle name="Normal 2 6 2 5 3 3" xfId="4382" xr:uid="{00000000-0005-0000-0000-000026110000}"/>
    <cellStyle name="Normal 2 6 2 5 3 3 2" xfId="4383" xr:uid="{00000000-0005-0000-0000-000027110000}"/>
    <cellStyle name="Normal 2 6 2 5 3 4" xfId="4384" xr:uid="{00000000-0005-0000-0000-000028110000}"/>
    <cellStyle name="Normal 2 6 2 5 3 4 2" xfId="4385" xr:uid="{00000000-0005-0000-0000-000029110000}"/>
    <cellStyle name="Normal 2 6 2 5 3 5" xfId="4386" xr:uid="{00000000-0005-0000-0000-00002A110000}"/>
    <cellStyle name="Normal 2 6 2 5 4" xfId="4387" xr:uid="{00000000-0005-0000-0000-00002B110000}"/>
    <cellStyle name="Normal 2 6 2 5 4 2" xfId="4388" xr:uid="{00000000-0005-0000-0000-00002C110000}"/>
    <cellStyle name="Normal 2 6 2 5 4 2 2" xfId="4389" xr:uid="{00000000-0005-0000-0000-00002D110000}"/>
    <cellStyle name="Normal 2 6 2 5 4 3" xfId="4390" xr:uid="{00000000-0005-0000-0000-00002E110000}"/>
    <cellStyle name="Normal 2 6 2 5 4 3 2" xfId="4391" xr:uid="{00000000-0005-0000-0000-00002F110000}"/>
    <cellStyle name="Normal 2 6 2 5 4 4" xfId="4392" xr:uid="{00000000-0005-0000-0000-000030110000}"/>
    <cellStyle name="Normal 2 6 2 5 5" xfId="4393" xr:uid="{00000000-0005-0000-0000-000031110000}"/>
    <cellStyle name="Normal 2 6 2 5 5 2" xfId="4394" xr:uid="{00000000-0005-0000-0000-000032110000}"/>
    <cellStyle name="Normal 2 6 2 5 6" xfId="4395" xr:uid="{00000000-0005-0000-0000-000033110000}"/>
    <cellStyle name="Normal 2 6 2 5 6 2" xfId="4396" xr:uid="{00000000-0005-0000-0000-000034110000}"/>
    <cellStyle name="Normal 2 6 2 5 7" xfId="4397" xr:uid="{00000000-0005-0000-0000-000035110000}"/>
    <cellStyle name="Normal 2 6 2 6" xfId="4398" xr:uid="{00000000-0005-0000-0000-000036110000}"/>
    <cellStyle name="Normal 2 6 2 6 2" xfId="4399" xr:uid="{00000000-0005-0000-0000-000037110000}"/>
    <cellStyle name="Normal 2 6 2 6 2 2" xfId="4400" xr:uid="{00000000-0005-0000-0000-000038110000}"/>
    <cellStyle name="Normal 2 6 2 6 2 2 2" xfId="4401" xr:uid="{00000000-0005-0000-0000-000039110000}"/>
    <cellStyle name="Normal 2 6 2 6 2 3" xfId="4402" xr:uid="{00000000-0005-0000-0000-00003A110000}"/>
    <cellStyle name="Normal 2 6 2 6 2 3 2" xfId="4403" xr:uid="{00000000-0005-0000-0000-00003B110000}"/>
    <cellStyle name="Normal 2 6 2 6 2 4" xfId="4404" xr:uid="{00000000-0005-0000-0000-00003C110000}"/>
    <cellStyle name="Normal 2 6 2 6 3" xfId="4405" xr:uid="{00000000-0005-0000-0000-00003D110000}"/>
    <cellStyle name="Normal 2 6 2 6 3 2" xfId="4406" xr:uid="{00000000-0005-0000-0000-00003E110000}"/>
    <cellStyle name="Normal 2 6 2 6 4" xfId="4407" xr:uid="{00000000-0005-0000-0000-00003F110000}"/>
    <cellStyle name="Normal 2 6 2 6 4 2" xfId="4408" xr:uid="{00000000-0005-0000-0000-000040110000}"/>
    <cellStyle name="Normal 2 6 2 6 5" xfId="4409" xr:uid="{00000000-0005-0000-0000-000041110000}"/>
    <cellStyle name="Normal 2 6 2 7" xfId="4410" xr:uid="{00000000-0005-0000-0000-000042110000}"/>
    <cellStyle name="Normal 2 6 2 7 2" xfId="4411" xr:uid="{00000000-0005-0000-0000-000043110000}"/>
    <cellStyle name="Normal 2 6 2 7 2 2" xfId="4412" xr:uid="{00000000-0005-0000-0000-000044110000}"/>
    <cellStyle name="Normal 2 6 2 7 2 2 2" xfId="4413" xr:uid="{00000000-0005-0000-0000-000045110000}"/>
    <cellStyle name="Normal 2 6 2 7 2 3" xfId="4414" xr:uid="{00000000-0005-0000-0000-000046110000}"/>
    <cellStyle name="Normal 2 6 2 7 2 3 2" xfId="4415" xr:uid="{00000000-0005-0000-0000-000047110000}"/>
    <cellStyle name="Normal 2 6 2 7 2 4" xfId="4416" xr:uid="{00000000-0005-0000-0000-000048110000}"/>
    <cellStyle name="Normal 2 6 2 7 3" xfId="4417" xr:uid="{00000000-0005-0000-0000-000049110000}"/>
    <cellStyle name="Normal 2 6 2 7 3 2" xfId="4418" xr:uid="{00000000-0005-0000-0000-00004A110000}"/>
    <cellStyle name="Normal 2 6 2 7 4" xfId="4419" xr:uid="{00000000-0005-0000-0000-00004B110000}"/>
    <cellStyle name="Normal 2 6 2 7 4 2" xfId="4420" xr:uid="{00000000-0005-0000-0000-00004C110000}"/>
    <cellStyle name="Normal 2 6 2 7 5" xfId="4421" xr:uid="{00000000-0005-0000-0000-00004D110000}"/>
    <cellStyle name="Normal 2 6 2 8" xfId="4422" xr:uid="{00000000-0005-0000-0000-00004E110000}"/>
    <cellStyle name="Normal 2 6 2 8 2" xfId="4423" xr:uid="{00000000-0005-0000-0000-00004F110000}"/>
    <cellStyle name="Normal 2 6 2 8 2 2" xfId="4424" xr:uid="{00000000-0005-0000-0000-000050110000}"/>
    <cellStyle name="Normal 2 6 2 8 3" xfId="4425" xr:uid="{00000000-0005-0000-0000-000051110000}"/>
    <cellStyle name="Normal 2 6 2 8 3 2" xfId="4426" xr:uid="{00000000-0005-0000-0000-000052110000}"/>
    <cellStyle name="Normal 2 6 2 8 4" xfId="4427" xr:uid="{00000000-0005-0000-0000-000053110000}"/>
    <cellStyle name="Normal 2 6 2 9" xfId="4428" xr:uid="{00000000-0005-0000-0000-000054110000}"/>
    <cellStyle name="Normal 2 6 2 9 2" xfId="4429" xr:uid="{00000000-0005-0000-0000-000055110000}"/>
    <cellStyle name="Normal 2 6 3" xfId="4430" xr:uid="{00000000-0005-0000-0000-000056110000}"/>
    <cellStyle name="Normal 2 6 3 2" xfId="4431" xr:uid="{00000000-0005-0000-0000-000057110000}"/>
    <cellStyle name="Normal 2 6 3 2 2" xfId="4432" xr:uid="{00000000-0005-0000-0000-000058110000}"/>
    <cellStyle name="Normal 2 6 3 2 2 2" xfId="4433" xr:uid="{00000000-0005-0000-0000-000059110000}"/>
    <cellStyle name="Normal 2 6 3 2 2 2 2" xfId="4434" xr:uid="{00000000-0005-0000-0000-00005A110000}"/>
    <cellStyle name="Normal 2 6 3 2 2 2 2 2" xfId="4435" xr:uid="{00000000-0005-0000-0000-00005B110000}"/>
    <cellStyle name="Normal 2 6 3 2 2 2 3" xfId="4436" xr:uid="{00000000-0005-0000-0000-00005C110000}"/>
    <cellStyle name="Normal 2 6 3 2 2 2 3 2" xfId="4437" xr:uid="{00000000-0005-0000-0000-00005D110000}"/>
    <cellStyle name="Normal 2 6 3 2 2 2 4" xfId="4438" xr:uid="{00000000-0005-0000-0000-00005E110000}"/>
    <cellStyle name="Normal 2 6 3 2 2 3" xfId="4439" xr:uid="{00000000-0005-0000-0000-00005F110000}"/>
    <cellStyle name="Normal 2 6 3 2 2 3 2" xfId="4440" xr:uid="{00000000-0005-0000-0000-000060110000}"/>
    <cellStyle name="Normal 2 6 3 2 2 4" xfId="4441" xr:uid="{00000000-0005-0000-0000-000061110000}"/>
    <cellStyle name="Normal 2 6 3 2 2 4 2" xfId="4442" xr:uid="{00000000-0005-0000-0000-000062110000}"/>
    <cellStyle name="Normal 2 6 3 2 2 5" xfId="4443" xr:uid="{00000000-0005-0000-0000-000063110000}"/>
    <cellStyle name="Normal 2 6 3 2 3" xfId="4444" xr:uid="{00000000-0005-0000-0000-000064110000}"/>
    <cellStyle name="Normal 2 6 3 2 3 2" xfId="4445" xr:uid="{00000000-0005-0000-0000-000065110000}"/>
    <cellStyle name="Normal 2 6 3 2 3 2 2" xfId="4446" xr:uid="{00000000-0005-0000-0000-000066110000}"/>
    <cellStyle name="Normal 2 6 3 2 3 2 2 2" xfId="4447" xr:uid="{00000000-0005-0000-0000-000067110000}"/>
    <cellStyle name="Normal 2 6 3 2 3 2 3" xfId="4448" xr:uid="{00000000-0005-0000-0000-000068110000}"/>
    <cellStyle name="Normal 2 6 3 2 3 2 3 2" xfId="4449" xr:uid="{00000000-0005-0000-0000-000069110000}"/>
    <cellStyle name="Normal 2 6 3 2 3 2 4" xfId="4450" xr:uid="{00000000-0005-0000-0000-00006A110000}"/>
    <cellStyle name="Normal 2 6 3 2 3 3" xfId="4451" xr:uid="{00000000-0005-0000-0000-00006B110000}"/>
    <cellStyle name="Normal 2 6 3 2 3 3 2" xfId="4452" xr:uid="{00000000-0005-0000-0000-00006C110000}"/>
    <cellStyle name="Normal 2 6 3 2 3 4" xfId="4453" xr:uid="{00000000-0005-0000-0000-00006D110000}"/>
    <cellStyle name="Normal 2 6 3 2 3 4 2" xfId="4454" xr:uid="{00000000-0005-0000-0000-00006E110000}"/>
    <cellStyle name="Normal 2 6 3 2 3 5" xfId="4455" xr:uid="{00000000-0005-0000-0000-00006F110000}"/>
    <cellStyle name="Normal 2 6 3 2 4" xfId="4456" xr:uid="{00000000-0005-0000-0000-000070110000}"/>
    <cellStyle name="Normal 2 6 3 2 4 2" xfId="4457" xr:uid="{00000000-0005-0000-0000-000071110000}"/>
    <cellStyle name="Normal 2 6 3 2 4 2 2" xfId="4458" xr:uid="{00000000-0005-0000-0000-000072110000}"/>
    <cellStyle name="Normal 2 6 3 2 4 3" xfId="4459" xr:uid="{00000000-0005-0000-0000-000073110000}"/>
    <cellStyle name="Normal 2 6 3 2 4 3 2" xfId="4460" xr:uid="{00000000-0005-0000-0000-000074110000}"/>
    <cellStyle name="Normal 2 6 3 2 4 4" xfId="4461" xr:uid="{00000000-0005-0000-0000-000075110000}"/>
    <cellStyle name="Normal 2 6 3 2 5" xfId="4462" xr:uid="{00000000-0005-0000-0000-000076110000}"/>
    <cellStyle name="Normal 2 6 3 2 5 2" xfId="4463" xr:uid="{00000000-0005-0000-0000-000077110000}"/>
    <cellStyle name="Normal 2 6 3 2 6" xfId="4464" xr:uid="{00000000-0005-0000-0000-000078110000}"/>
    <cellStyle name="Normal 2 6 3 2 6 2" xfId="4465" xr:uid="{00000000-0005-0000-0000-000079110000}"/>
    <cellStyle name="Normal 2 6 3 2 7" xfId="4466" xr:uid="{00000000-0005-0000-0000-00007A110000}"/>
    <cellStyle name="Normal 2 6 3 3" xfId="4467" xr:uid="{00000000-0005-0000-0000-00007B110000}"/>
    <cellStyle name="Normal 2 6 3 3 2" xfId="4468" xr:uid="{00000000-0005-0000-0000-00007C110000}"/>
    <cellStyle name="Normal 2 6 3 3 2 2" xfId="4469" xr:uid="{00000000-0005-0000-0000-00007D110000}"/>
    <cellStyle name="Normal 2 6 3 3 2 2 2" xfId="4470" xr:uid="{00000000-0005-0000-0000-00007E110000}"/>
    <cellStyle name="Normal 2 6 3 3 2 3" xfId="4471" xr:uid="{00000000-0005-0000-0000-00007F110000}"/>
    <cellStyle name="Normal 2 6 3 3 2 3 2" xfId="4472" xr:uid="{00000000-0005-0000-0000-000080110000}"/>
    <cellStyle name="Normal 2 6 3 3 2 4" xfId="4473" xr:uid="{00000000-0005-0000-0000-000081110000}"/>
    <cellStyle name="Normal 2 6 3 3 3" xfId="4474" xr:uid="{00000000-0005-0000-0000-000082110000}"/>
    <cellStyle name="Normal 2 6 3 3 3 2" xfId="4475" xr:uid="{00000000-0005-0000-0000-000083110000}"/>
    <cellStyle name="Normal 2 6 3 3 4" xfId="4476" xr:uid="{00000000-0005-0000-0000-000084110000}"/>
    <cellStyle name="Normal 2 6 3 3 4 2" xfId="4477" xr:uid="{00000000-0005-0000-0000-000085110000}"/>
    <cellStyle name="Normal 2 6 3 3 5" xfId="4478" xr:uid="{00000000-0005-0000-0000-000086110000}"/>
    <cellStyle name="Normal 2 6 3 4" xfId="4479" xr:uid="{00000000-0005-0000-0000-000087110000}"/>
    <cellStyle name="Normal 2 6 3 4 2" xfId="4480" xr:uid="{00000000-0005-0000-0000-000088110000}"/>
    <cellStyle name="Normal 2 6 3 4 2 2" xfId="4481" xr:uid="{00000000-0005-0000-0000-000089110000}"/>
    <cellStyle name="Normal 2 6 3 4 2 2 2" xfId="4482" xr:uid="{00000000-0005-0000-0000-00008A110000}"/>
    <cellStyle name="Normal 2 6 3 4 2 3" xfId="4483" xr:uid="{00000000-0005-0000-0000-00008B110000}"/>
    <cellStyle name="Normal 2 6 3 4 2 3 2" xfId="4484" xr:uid="{00000000-0005-0000-0000-00008C110000}"/>
    <cellStyle name="Normal 2 6 3 4 2 4" xfId="4485" xr:uid="{00000000-0005-0000-0000-00008D110000}"/>
    <cellStyle name="Normal 2 6 3 4 3" xfId="4486" xr:uid="{00000000-0005-0000-0000-00008E110000}"/>
    <cellStyle name="Normal 2 6 3 4 3 2" xfId="4487" xr:uid="{00000000-0005-0000-0000-00008F110000}"/>
    <cellStyle name="Normal 2 6 3 4 4" xfId="4488" xr:uid="{00000000-0005-0000-0000-000090110000}"/>
    <cellStyle name="Normal 2 6 3 4 4 2" xfId="4489" xr:uid="{00000000-0005-0000-0000-000091110000}"/>
    <cellStyle name="Normal 2 6 3 4 5" xfId="4490" xr:uid="{00000000-0005-0000-0000-000092110000}"/>
    <cellStyle name="Normal 2 6 3 5" xfId="4491" xr:uid="{00000000-0005-0000-0000-000093110000}"/>
    <cellStyle name="Normal 2 6 3 5 2" xfId="4492" xr:uid="{00000000-0005-0000-0000-000094110000}"/>
    <cellStyle name="Normal 2 6 3 5 2 2" xfId="4493" xr:uid="{00000000-0005-0000-0000-000095110000}"/>
    <cellStyle name="Normal 2 6 3 5 3" xfId="4494" xr:uid="{00000000-0005-0000-0000-000096110000}"/>
    <cellStyle name="Normal 2 6 3 5 3 2" xfId="4495" xr:uid="{00000000-0005-0000-0000-000097110000}"/>
    <cellStyle name="Normal 2 6 3 5 4" xfId="4496" xr:uid="{00000000-0005-0000-0000-000098110000}"/>
    <cellStyle name="Normal 2 6 3 6" xfId="4497" xr:uid="{00000000-0005-0000-0000-000099110000}"/>
    <cellStyle name="Normal 2 6 3 6 2" xfId="4498" xr:uid="{00000000-0005-0000-0000-00009A110000}"/>
    <cellStyle name="Normal 2 6 3 7" xfId="4499" xr:uid="{00000000-0005-0000-0000-00009B110000}"/>
    <cellStyle name="Normal 2 6 3 7 2" xfId="4500" xr:uid="{00000000-0005-0000-0000-00009C110000}"/>
    <cellStyle name="Normal 2 6 3 8" xfId="4501" xr:uid="{00000000-0005-0000-0000-00009D110000}"/>
    <cellStyle name="Normal 2 6 4" xfId="4502" xr:uid="{00000000-0005-0000-0000-00009E110000}"/>
    <cellStyle name="Normal 2 6 4 2" xfId="4503" xr:uid="{00000000-0005-0000-0000-00009F110000}"/>
    <cellStyle name="Normal 2 6 4 2 2" xfId="4504" xr:uid="{00000000-0005-0000-0000-0000A0110000}"/>
    <cellStyle name="Normal 2 6 4 2 2 2" xfId="4505" xr:uid="{00000000-0005-0000-0000-0000A1110000}"/>
    <cellStyle name="Normal 2 6 4 2 2 2 2" xfId="4506" xr:uid="{00000000-0005-0000-0000-0000A2110000}"/>
    <cellStyle name="Normal 2 6 4 2 2 3" xfId="4507" xr:uid="{00000000-0005-0000-0000-0000A3110000}"/>
    <cellStyle name="Normal 2 6 4 2 2 3 2" xfId="4508" xr:uid="{00000000-0005-0000-0000-0000A4110000}"/>
    <cellStyle name="Normal 2 6 4 2 2 4" xfId="4509" xr:uid="{00000000-0005-0000-0000-0000A5110000}"/>
    <cellStyle name="Normal 2 6 4 2 3" xfId="4510" xr:uid="{00000000-0005-0000-0000-0000A6110000}"/>
    <cellStyle name="Normal 2 6 4 2 3 2" xfId="4511" xr:uid="{00000000-0005-0000-0000-0000A7110000}"/>
    <cellStyle name="Normal 2 6 4 2 4" xfId="4512" xr:uid="{00000000-0005-0000-0000-0000A8110000}"/>
    <cellStyle name="Normal 2 6 4 2 4 2" xfId="4513" xr:uid="{00000000-0005-0000-0000-0000A9110000}"/>
    <cellStyle name="Normal 2 6 4 2 5" xfId="4514" xr:uid="{00000000-0005-0000-0000-0000AA110000}"/>
    <cellStyle name="Normal 2 6 4 3" xfId="4515" xr:uid="{00000000-0005-0000-0000-0000AB110000}"/>
    <cellStyle name="Normal 2 6 4 3 2" xfId="4516" xr:uid="{00000000-0005-0000-0000-0000AC110000}"/>
    <cellStyle name="Normal 2 6 4 3 2 2" xfId="4517" xr:uid="{00000000-0005-0000-0000-0000AD110000}"/>
    <cellStyle name="Normal 2 6 4 3 2 2 2" xfId="4518" xr:uid="{00000000-0005-0000-0000-0000AE110000}"/>
    <cellStyle name="Normal 2 6 4 3 2 3" xfId="4519" xr:uid="{00000000-0005-0000-0000-0000AF110000}"/>
    <cellStyle name="Normal 2 6 4 3 2 3 2" xfId="4520" xr:uid="{00000000-0005-0000-0000-0000B0110000}"/>
    <cellStyle name="Normal 2 6 4 3 2 4" xfId="4521" xr:uid="{00000000-0005-0000-0000-0000B1110000}"/>
    <cellStyle name="Normal 2 6 4 3 3" xfId="4522" xr:uid="{00000000-0005-0000-0000-0000B2110000}"/>
    <cellStyle name="Normal 2 6 4 3 3 2" xfId="4523" xr:uid="{00000000-0005-0000-0000-0000B3110000}"/>
    <cellStyle name="Normal 2 6 4 3 4" xfId="4524" xr:uid="{00000000-0005-0000-0000-0000B4110000}"/>
    <cellStyle name="Normal 2 6 4 3 4 2" xfId="4525" xr:uid="{00000000-0005-0000-0000-0000B5110000}"/>
    <cellStyle name="Normal 2 6 4 3 5" xfId="4526" xr:uid="{00000000-0005-0000-0000-0000B6110000}"/>
    <cellStyle name="Normal 2 6 4 4" xfId="4527" xr:uid="{00000000-0005-0000-0000-0000B7110000}"/>
    <cellStyle name="Normal 2 6 4 4 2" xfId="4528" xr:uid="{00000000-0005-0000-0000-0000B8110000}"/>
    <cellStyle name="Normal 2 6 4 4 2 2" xfId="4529" xr:uid="{00000000-0005-0000-0000-0000B9110000}"/>
    <cellStyle name="Normal 2 6 4 4 3" xfId="4530" xr:uid="{00000000-0005-0000-0000-0000BA110000}"/>
    <cellStyle name="Normal 2 6 4 4 3 2" xfId="4531" xr:uid="{00000000-0005-0000-0000-0000BB110000}"/>
    <cellStyle name="Normal 2 6 4 4 4" xfId="4532" xr:uid="{00000000-0005-0000-0000-0000BC110000}"/>
    <cellStyle name="Normal 2 6 4 5" xfId="4533" xr:uid="{00000000-0005-0000-0000-0000BD110000}"/>
    <cellStyle name="Normal 2 6 4 5 2" xfId="4534" xr:uid="{00000000-0005-0000-0000-0000BE110000}"/>
    <cellStyle name="Normal 2 6 4 6" xfId="4535" xr:uid="{00000000-0005-0000-0000-0000BF110000}"/>
    <cellStyle name="Normal 2 6 4 6 2" xfId="4536" xr:uid="{00000000-0005-0000-0000-0000C0110000}"/>
    <cellStyle name="Normal 2 6 4 7" xfId="4537" xr:uid="{00000000-0005-0000-0000-0000C1110000}"/>
    <cellStyle name="Normal 2 6 5" xfId="4538" xr:uid="{00000000-0005-0000-0000-0000C2110000}"/>
    <cellStyle name="Normal 2 6 5 2" xfId="4539" xr:uid="{00000000-0005-0000-0000-0000C3110000}"/>
    <cellStyle name="Normal 2 6 5 2 2" xfId="4540" xr:uid="{00000000-0005-0000-0000-0000C4110000}"/>
    <cellStyle name="Normal 2 6 5 2 2 2" xfId="4541" xr:uid="{00000000-0005-0000-0000-0000C5110000}"/>
    <cellStyle name="Normal 2 6 5 2 2 2 2" xfId="4542" xr:uid="{00000000-0005-0000-0000-0000C6110000}"/>
    <cellStyle name="Normal 2 6 5 2 2 3" xfId="4543" xr:uid="{00000000-0005-0000-0000-0000C7110000}"/>
    <cellStyle name="Normal 2 6 5 2 2 3 2" xfId="4544" xr:uid="{00000000-0005-0000-0000-0000C8110000}"/>
    <cellStyle name="Normal 2 6 5 2 2 4" xfId="4545" xr:uid="{00000000-0005-0000-0000-0000C9110000}"/>
    <cellStyle name="Normal 2 6 5 2 3" xfId="4546" xr:uid="{00000000-0005-0000-0000-0000CA110000}"/>
    <cellStyle name="Normal 2 6 5 2 3 2" xfId="4547" xr:uid="{00000000-0005-0000-0000-0000CB110000}"/>
    <cellStyle name="Normal 2 6 5 2 4" xfId="4548" xr:uid="{00000000-0005-0000-0000-0000CC110000}"/>
    <cellStyle name="Normal 2 6 5 2 4 2" xfId="4549" xr:uid="{00000000-0005-0000-0000-0000CD110000}"/>
    <cellStyle name="Normal 2 6 5 2 5" xfId="4550" xr:uid="{00000000-0005-0000-0000-0000CE110000}"/>
    <cellStyle name="Normal 2 6 5 3" xfId="4551" xr:uid="{00000000-0005-0000-0000-0000CF110000}"/>
    <cellStyle name="Normal 2 6 5 3 2" xfId="4552" xr:uid="{00000000-0005-0000-0000-0000D0110000}"/>
    <cellStyle name="Normal 2 6 5 3 2 2" xfId="4553" xr:uid="{00000000-0005-0000-0000-0000D1110000}"/>
    <cellStyle name="Normal 2 6 5 3 2 2 2" xfId="4554" xr:uid="{00000000-0005-0000-0000-0000D2110000}"/>
    <cellStyle name="Normal 2 6 5 3 2 3" xfId="4555" xr:uid="{00000000-0005-0000-0000-0000D3110000}"/>
    <cellStyle name="Normal 2 6 5 3 2 3 2" xfId="4556" xr:uid="{00000000-0005-0000-0000-0000D4110000}"/>
    <cellStyle name="Normal 2 6 5 3 2 4" xfId="4557" xr:uid="{00000000-0005-0000-0000-0000D5110000}"/>
    <cellStyle name="Normal 2 6 5 3 3" xfId="4558" xr:uid="{00000000-0005-0000-0000-0000D6110000}"/>
    <cellStyle name="Normal 2 6 5 3 3 2" xfId="4559" xr:uid="{00000000-0005-0000-0000-0000D7110000}"/>
    <cellStyle name="Normal 2 6 5 3 4" xfId="4560" xr:uid="{00000000-0005-0000-0000-0000D8110000}"/>
    <cellStyle name="Normal 2 6 5 3 4 2" xfId="4561" xr:uid="{00000000-0005-0000-0000-0000D9110000}"/>
    <cellStyle name="Normal 2 6 5 3 5" xfId="4562" xr:uid="{00000000-0005-0000-0000-0000DA110000}"/>
    <cellStyle name="Normal 2 6 5 4" xfId="4563" xr:uid="{00000000-0005-0000-0000-0000DB110000}"/>
    <cellStyle name="Normal 2 6 5 4 2" xfId="4564" xr:uid="{00000000-0005-0000-0000-0000DC110000}"/>
    <cellStyle name="Normal 2 6 5 4 2 2" xfId="4565" xr:uid="{00000000-0005-0000-0000-0000DD110000}"/>
    <cellStyle name="Normal 2 6 5 4 3" xfId="4566" xr:uid="{00000000-0005-0000-0000-0000DE110000}"/>
    <cellStyle name="Normal 2 6 5 4 3 2" xfId="4567" xr:uid="{00000000-0005-0000-0000-0000DF110000}"/>
    <cellStyle name="Normal 2 6 5 4 4" xfId="4568" xr:uid="{00000000-0005-0000-0000-0000E0110000}"/>
    <cellStyle name="Normal 2 6 5 5" xfId="4569" xr:uid="{00000000-0005-0000-0000-0000E1110000}"/>
    <cellStyle name="Normal 2 6 5 5 2" xfId="4570" xr:uid="{00000000-0005-0000-0000-0000E2110000}"/>
    <cellStyle name="Normal 2 6 5 6" xfId="4571" xr:uid="{00000000-0005-0000-0000-0000E3110000}"/>
    <cellStyle name="Normal 2 6 5 6 2" xfId="4572" xr:uid="{00000000-0005-0000-0000-0000E4110000}"/>
    <cellStyle name="Normal 2 6 5 7" xfId="4573" xr:uid="{00000000-0005-0000-0000-0000E5110000}"/>
    <cellStyle name="Normal 2 6 6" xfId="4574" xr:uid="{00000000-0005-0000-0000-0000E6110000}"/>
    <cellStyle name="Normal 2 6 6 2" xfId="4575" xr:uid="{00000000-0005-0000-0000-0000E7110000}"/>
    <cellStyle name="Normal 2 6 6 2 2" xfId="4576" xr:uid="{00000000-0005-0000-0000-0000E8110000}"/>
    <cellStyle name="Normal 2 6 6 2 2 2" xfId="4577" xr:uid="{00000000-0005-0000-0000-0000E9110000}"/>
    <cellStyle name="Normal 2 6 6 2 2 2 2" xfId="4578" xr:uid="{00000000-0005-0000-0000-0000EA110000}"/>
    <cellStyle name="Normal 2 6 6 2 2 3" xfId="4579" xr:uid="{00000000-0005-0000-0000-0000EB110000}"/>
    <cellStyle name="Normal 2 6 6 2 2 3 2" xfId="4580" xr:uid="{00000000-0005-0000-0000-0000EC110000}"/>
    <cellStyle name="Normal 2 6 6 2 2 4" xfId="4581" xr:uid="{00000000-0005-0000-0000-0000ED110000}"/>
    <cellStyle name="Normal 2 6 6 2 3" xfId="4582" xr:uid="{00000000-0005-0000-0000-0000EE110000}"/>
    <cellStyle name="Normal 2 6 6 2 3 2" xfId="4583" xr:uid="{00000000-0005-0000-0000-0000EF110000}"/>
    <cellStyle name="Normal 2 6 6 2 4" xfId="4584" xr:uid="{00000000-0005-0000-0000-0000F0110000}"/>
    <cellStyle name="Normal 2 6 6 2 4 2" xfId="4585" xr:uid="{00000000-0005-0000-0000-0000F1110000}"/>
    <cellStyle name="Normal 2 6 6 2 5" xfId="4586" xr:uid="{00000000-0005-0000-0000-0000F2110000}"/>
    <cellStyle name="Normal 2 6 6 3" xfId="4587" xr:uid="{00000000-0005-0000-0000-0000F3110000}"/>
    <cellStyle name="Normal 2 6 6 3 2" xfId="4588" xr:uid="{00000000-0005-0000-0000-0000F4110000}"/>
    <cellStyle name="Normal 2 6 6 3 2 2" xfId="4589" xr:uid="{00000000-0005-0000-0000-0000F5110000}"/>
    <cellStyle name="Normal 2 6 6 3 2 2 2" xfId="4590" xr:uid="{00000000-0005-0000-0000-0000F6110000}"/>
    <cellStyle name="Normal 2 6 6 3 2 3" xfId="4591" xr:uid="{00000000-0005-0000-0000-0000F7110000}"/>
    <cellStyle name="Normal 2 6 6 3 2 3 2" xfId="4592" xr:uid="{00000000-0005-0000-0000-0000F8110000}"/>
    <cellStyle name="Normal 2 6 6 3 2 4" xfId="4593" xr:uid="{00000000-0005-0000-0000-0000F9110000}"/>
    <cellStyle name="Normal 2 6 6 3 3" xfId="4594" xr:uid="{00000000-0005-0000-0000-0000FA110000}"/>
    <cellStyle name="Normal 2 6 6 3 3 2" xfId="4595" xr:uid="{00000000-0005-0000-0000-0000FB110000}"/>
    <cellStyle name="Normal 2 6 6 3 4" xfId="4596" xr:uid="{00000000-0005-0000-0000-0000FC110000}"/>
    <cellStyle name="Normal 2 6 6 3 4 2" xfId="4597" xr:uid="{00000000-0005-0000-0000-0000FD110000}"/>
    <cellStyle name="Normal 2 6 6 3 5" xfId="4598" xr:uid="{00000000-0005-0000-0000-0000FE110000}"/>
    <cellStyle name="Normal 2 6 6 4" xfId="4599" xr:uid="{00000000-0005-0000-0000-0000FF110000}"/>
    <cellStyle name="Normal 2 6 6 4 2" xfId="4600" xr:uid="{00000000-0005-0000-0000-000000120000}"/>
    <cellStyle name="Normal 2 6 6 4 2 2" xfId="4601" xr:uid="{00000000-0005-0000-0000-000001120000}"/>
    <cellStyle name="Normal 2 6 6 4 3" xfId="4602" xr:uid="{00000000-0005-0000-0000-000002120000}"/>
    <cellStyle name="Normal 2 6 6 4 3 2" xfId="4603" xr:uid="{00000000-0005-0000-0000-000003120000}"/>
    <cellStyle name="Normal 2 6 6 4 4" xfId="4604" xr:uid="{00000000-0005-0000-0000-000004120000}"/>
    <cellStyle name="Normal 2 6 6 5" xfId="4605" xr:uid="{00000000-0005-0000-0000-000005120000}"/>
    <cellStyle name="Normal 2 6 6 5 2" xfId="4606" xr:uid="{00000000-0005-0000-0000-000006120000}"/>
    <cellStyle name="Normal 2 6 6 6" xfId="4607" xr:uid="{00000000-0005-0000-0000-000007120000}"/>
    <cellStyle name="Normal 2 6 6 6 2" xfId="4608" xr:uid="{00000000-0005-0000-0000-000008120000}"/>
    <cellStyle name="Normal 2 6 6 7" xfId="4609" xr:uid="{00000000-0005-0000-0000-000009120000}"/>
    <cellStyle name="Normal 2 6 7" xfId="4610" xr:uid="{00000000-0005-0000-0000-00000A120000}"/>
    <cellStyle name="Normal 2 6 7 2" xfId="4611" xr:uid="{00000000-0005-0000-0000-00000B120000}"/>
    <cellStyle name="Normal 2 6 7 2 2" xfId="4612" xr:uid="{00000000-0005-0000-0000-00000C120000}"/>
    <cellStyle name="Normal 2 6 7 2 2 2" xfId="4613" xr:uid="{00000000-0005-0000-0000-00000D120000}"/>
    <cellStyle name="Normal 2 6 7 2 2 2 2" xfId="4614" xr:uid="{00000000-0005-0000-0000-00000E120000}"/>
    <cellStyle name="Normal 2 6 7 2 2 3" xfId="4615" xr:uid="{00000000-0005-0000-0000-00000F120000}"/>
    <cellStyle name="Normal 2 6 7 2 2 3 2" xfId="4616" xr:uid="{00000000-0005-0000-0000-000010120000}"/>
    <cellStyle name="Normal 2 6 7 2 2 4" xfId="4617" xr:uid="{00000000-0005-0000-0000-000011120000}"/>
    <cellStyle name="Normal 2 6 7 2 3" xfId="4618" xr:uid="{00000000-0005-0000-0000-000012120000}"/>
    <cellStyle name="Normal 2 6 7 2 3 2" xfId="4619" xr:uid="{00000000-0005-0000-0000-000013120000}"/>
    <cellStyle name="Normal 2 6 7 2 4" xfId="4620" xr:uid="{00000000-0005-0000-0000-000014120000}"/>
    <cellStyle name="Normal 2 6 7 2 4 2" xfId="4621" xr:uid="{00000000-0005-0000-0000-000015120000}"/>
    <cellStyle name="Normal 2 6 7 2 5" xfId="4622" xr:uid="{00000000-0005-0000-0000-000016120000}"/>
    <cellStyle name="Normal 2 6 7 3" xfId="4623" xr:uid="{00000000-0005-0000-0000-000017120000}"/>
    <cellStyle name="Normal 2 6 7 3 2" xfId="4624" xr:uid="{00000000-0005-0000-0000-000018120000}"/>
    <cellStyle name="Normal 2 6 7 3 2 2" xfId="4625" xr:uid="{00000000-0005-0000-0000-000019120000}"/>
    <cellStyle name="Normal 2 6 7 3 2 2 2" xfId="4626" xr:uid="{00000000-0005-0000-0000-00001A120000}"/>
    <cellStyle name="Normal 2 6 7 3 2 3" xfId="4627" xr:uid="{00000000-0005-0000-0000-00001B120000}"/>
    <cellStyle name="Normal 2 6 7 3 2 3 2" xfId="4628" xr:uid="{00000000-0005-0000-0000-00001C120000}"/>
    <cellStyle name="Normal 2 6 7 3 2 4" xfId="4629" xr:uid="{00000000-0005-0000-0000-00001D120000}"/>
    <cellStyle name="Normal 2 6 7 3 3" xfId="4630" xr:uid="{00000000-0005-0000-0000-00001E120000}"/>
    <cellStyle name="Normal 2 6 7 3 3 2" xfId="4631" xr:uid="{00000000-0005-0000-0000-00001F120000}"/>
    <cellStyle name="Normal 2 6 7 3 4" xfId="4632" xr:uid="{00000000-0005-0000-0000-000020120000}"/>
    <cellStyle name="Normal 2 6 7 3 4 2" xfId="4633" xr:uid="{00000000-0005-0000-0000-000021120000}"/>
    <cellStyle name="Normal 2 6 7 3 5" xfId="4634" xr:uid="{00000000-0005-0000-0000-000022120000}"/>
    <cellStyle name="Normal 2 6 7 4" xfId="4635" xr:uid="{00000000-0005-0000-0000-000023120000}"/>
    <cellStyle name="Normal 2 6 7 4 2" xfId="4636" xr:uid="{00000000-0005-0000-0000-000024120000}"/>
    <cellStyle name="Normal 2 6 7 4 2 2" xfId="4637" xr:uid="{00000000-0005-0000-0000-000025120000}"/>
    <cellStyle name="Normal 2 6 7 4 3" xfId="4638" xr:uid="{00000000-0005-0000-0000-000026120000}"/>
    <cellStyle name="Normal 2 6 7 4 3 2" xfId="4639" xr:uid="{00000000-0005-0000-0000-000027120000}"/>
    <cellStyle name="Normal 2 6 7 4 4" xfId="4640" xr:uid="{00000000-0005-0000-0000-000028120000}"/>
    <cellStyle name="Normal 2 6 7 5" xfId="4641" xr:uid="{00000000-0005-0000-0000-000029120000}"/>
    <cellStyle name="Normal 2 6 7 5 2" xfId="4642" xr:uid="{00000000-0005-0000-0000-00002A120000}"/>
    <cellStyle name="Normal 2 6 7 6" xfId="4643" xr:uid="{00000000-0005-0000-0000-00002B120000}"/>
    <cellStyle name="Normal 2 6 7 6 2" xfId="4644" xr:uid="{00000000-0005-0000-0000-00002C120000}"/>
    <cellStyle name="Normal 2 6 7 7" xfId="4645" xr:uid="{00000000-0005-0000-0000-00002D120000}"/>
    <cellStyle name="Normal 2 6 8" xfId="4646" xr:uid="{00000000-0005-0000-0000-00002E120000}"/>
    <cellStyle name="Normal 2 6 8 2" xfId="4647" xr:uid="{00000000-0005-0000-0000-00002F120000}"/>
    <cellStyle name="Normal 2 6 8 2 2" xfId="4648" xr:uid="{00000000-0005-0000-0000-000030120000}"/>
    <cellStyle name="Normal 2 6 8 2 2 2" xfId="4649" xr:uid="{00000000-0005-0000-0000-000031120000}"/>
    <cellStyle name="Normal 2 6 8 2 3" xfId="4650" xr:uid="{00000000-0005-0000-0000-000032120000}"/>
    <cellStyle name="Normal 2 6 8 2 3 2" xfId="4651" xr:uid="{00000000-0005-0000-0000-000033120000}"/>
    <cellStyle name="Normal 2 6 8 2 4" xfId="4652" xr:uid="{00000000-0005-0000-0000-000034120000}"/>
    <cellStyle name="Normal 2 6 8 3" xfId="4653" xr:uid="{00000000-0005-0000-0000-000035120000}"/>
    <cellStyle name="Normal 2 6 8 3 2" xfId="4654" xr:uid="{00000000-0005-0000-0000-000036120000}"/>
    <cellStyle name="Normal 2 6 8 4" xfId="4655" xr:uid="{00000000-0005-0000-0000-000037120000}"/>
    <cellStyle name="Normal 2 6 8 4 2" xfId="4656" xr:uid="{00000000-0005-0000-0000-000038120000}"/>
    <cellStyle name="Normal 2 6 8 5" xfId="4657" xr:uid="{00000000-0005-0000-0000-000039120000}"/>
    <cellStyle name="Normal 2 6 9" xfId="4658" xr:uid="{00000000-0005-0000-0000-00003A120000}"/>
    <cellStyle name="Normal 2 6 9 2" xfId="4659" xr:uid="{00000000-0005-0000-0000-00003B120000}"/>
    <cellStyle name="Normal 2 6 9 2 2" xfId="4660" xr:uid="{00000000-0005-0000-0000-00003C120000}"/>
    <cellStyle name="Normal 2 6 9 2 2 2" xfId="4661" xr:uid="{00000000-0005-0000-0000-00003D120000}"/>
    <cellStyle name="Normal 2 6 9 2 3" xfId="4662" xr:uid="{00000000-0005-0000-0000-00003E120000}"/>
    <cellStyle name="Normal 2 6 9 2 3 2" xfId="4663" xr:uid="{00000000-0005-0000-0000-00003F120000}"/>
    <cellStyle name="Normal 2 6 9 2 4" xfId="4664" xr:uid="{00000000-0005-0000-0000-000040120000}"/>
    <cellStyle name="Normal 2 6 9 3" xfId="4665" xr:uid="{00000000-0005-0000-0000-000041120000}"/>
    <cellStyle name="Normal 2 6 9 3 2" xfId="4666" xr:uid="{00000000-0005-0000-0000-000042120000}"/>
    <cellStyle name="Normal 2 6 9 4" xfId="4667" xr:uid="{00000000-0005-0000-0000-000043120000}"/>
    <cellStyle name="Normal 2 6 9 4 2" xfId="4668" xr:uid="{00000000-0005-0000-0000-000044120000}"/>
    <cellStyle name="Normal 2 6 9 5" xfId="4669" xr:uid="{00000000-0005-0000-0000-000045120000}"/>
    <cellStyle name="Normal 2 7" xfId="4670" xr:uid="{00000000-0005-0000-0000-000046120000}"/>
    <cellStyle name="Normal 2 7 10" xfId="4671" xr:uid="{00000000-0005-0000-0000-000047120000}"/>
    <cellStyle name="Normal 2 7 10 2" xfId="4672" xr:uid="{00000000-0005-0000-0000-000048120000}"/>
    <cellStyle name="Normal 2 7 11" xfId="4673" xr:uid="{00000000-0005-0000-0000-000049120000}"/>
    <cellStyle name="Normal 2 7 2" xfId="4674" xr:uid="{00000000-0005-0000-0000-00004A120000}"/>
    <cellStyle name="Normal 2 7 2 2" xfId="4675" xr:uid="{00000000-0005-0000-0000-00004B120000}"/>
    <cellStyle name="Normal 2 7 2 2 2" xfId="4676" xr:uid="{00000000-0005-0000-0000-00004C120000}"/>
    <cellStyle name="Normal 2 7 2 2 2 2" xfId="4677" xr:uid="{00000000-0005-0000-0000-00004D120000}"/>
    <cellStyle name="Normal 2 7 2 2 2 2 2" xfId="4678" xr:uid="{00000000-0005-0000-0000-00004E120000}"/>
    <cellStyle name="Normal 2 7 2 2 2 3" xfId="4679" xr:uid="{00000000-0005-0000-0000-00004F120000}"/>
    <cellStyle name="Normal 2 7 2 2 2 3 2" xfId="4680" xr:uid="{00000000-0005-0000-0000-000050120000}"/>
    <cellStyle name="Normal 2 7 2 2 2 4" xfId="4681" xr:uid="{00000000-0005-0000-0000-000051120000}"/>
    <cellStyle name="Normal 2 7 2 2 3" xfId="4682" xr:uid="{00000000-0005-0000-0000-000052120000}"/>
    <cellStyle name="Normal 2 7 2 2 3 2" xfId="4683" xr:uid="{00000000-0005-0000-0000-000053120000}"/>
    <cellStyle name="Normal 2 7 2 2 4" xfId="4684" xr:uid="{00000000-0005-0000-0000-000054120000}"/>
    <cellStyle name="Normal 2 7 2 2 4 2" xfId="4685" xr:uid="{00000000-0005-0000-0000-000055120000}"/>
    <cellStyle name="Normal 2 7 2 2 5" xfId="4686" xr:uid="{00000000-0005-0000-0000-000056120000}"/>
    <cellStyle name="Normal 2 7 2 3" xfId="4687" xr:uid="{00000000-0005-0000-0000-000057120000}"/>
    <cellStyle name="Normal 2 7 2 3 2" xfId="4688" xr:uid="{00000000-0005-0000-0000-000058120000}"/>
    <cellStyle name="Normal 2 7 2 3 2 2" xfId="4689" xr:uid="{00000000-0005-0000-0000-000059120000}"/>
    <cellStyle name="Normal 2 7 2 3 2 2 2" xfId="4690" xr:uid="{00000000-0005-0000-0000-00005A120000}"/>
    <cellStyle name="Normal 2 7 2 3 2 3" xfId="4691" xr:uid="{00000000-0005-0000-0000-00005B120000}"/>
    <cellStyle name="Normal 2 7 2 3 2 3 2" xfId="4692" xr:uid="{00000000-0005-0000-0000-00005C120000}"/>
    <cellStyle name="Normal 2 7 2 3 2 4" xfId="4693" xr:uid="{00000000-0005-0000-0000-00005D120000}"/>
    <cellStyle name="Normal 2 7 2 3 3" xfId="4694" xr:uid="{00000000-0005-0000-0000-00005E120000}"/>
    <cellStyle name="Normal 2 7 2 3 3 2" xfId="4695" xr:uid="{00000000-0005-0000-0000-00005F120000}"/>
    <cellStyle name="Normal 2 7 2 3 4" xfId="4696" xr:uid="{00000000-0005-0000-0000-000060120000}"/>
    <cellStyle name="Normal 2 7 2 3 4 2" xfId="4697" xr:uid="{00000000-0005-0000-0000-000061120000}"/>
    <cellStyle name="Normal 2 7 2 3 5" xfId="4698" xr:uid="{00000000-0005-0000-0000-000062120000}"/>
    <cellStyle name="Normal 2 7 2 4" xfId="4699" xr:uid="{00000000-0005-0000-0000-000063120000}"/>
    <cellStyle name="Normal 2 7 2 4 2" xfId="4700" xr:uid="{00000000-0005-0000-0000-000064120000}"/>
    <cellStyle name="Normal 2 7 2 4 2 2" xfId="4701" xr:uid="{00000000-0005-0000-0000-000065120000}"/>
    <cellStyle name="Normal 2 7 2 4 3" xfId="4702" xr:uid="{00000000-0005-0000-0000-000066120000}"/>
    <cellStyle name="Normal 2 7 2 4 3 2" xfId="4703" xr:uid="{00000000-0005-0000-0000-000067120000}"/>
    <cellStyle name="Normal 2 7 2 4 4" xfId="4704" xr:uid="{00000000-0005-0000-0000-000068120000}"/>
    <cellStyle name="Normal 2 7 2 5" xfId="4705" xr:uid="{00000000-0005-0000-0000-000069120000}"/>
    <cellStyle name="Normal 2 7 2 5 2" xfId="4706" xr:uid="{00000000-0005-0000-0000-00006A120000}"/>
    <cellStyle name="Normal 2 7 2 6" xfId="4707" xr:uid="{00000000-0005-0000-0000-00006B120000}"/>
    <cellStyle name="Normal 2 7 2 6 2" xfId="4708" xr:uid="{00000000-0005-0000-0000-00006C120000}"/>
    <cellStyle name="Normal 2 7 2 7" xfId="4709" xr:uid="{00000000-0005-0000-0000-00006D120000}"/>
    <cellStyle name="Normal 2 7 3" xfId="4710" xr:uid="{00000000-0005-0000-0000-00006E120000}"/>
    <cellStyle name="Normal 2 7 3 2" xfId="4711" xr:uid="{00000000-0005-0000-0000-00006F120000}"/>
    <cellStyle name="Normal 2 7 3 2 2" xfId="4712" xr:uid="{00000000-0005-0000-0000-000070120000}"/>
    <cellStyle name="Normal 2 7 3 2 2 2" xfId="4713" xr:uid="{00000000-0005-0000-0000-000071120000}"/>
    <cellStyle name="Normal 2 7 3 2 2 2 2" xfId="4714" xr:uid="{00000000-0005-0000-0000-000072120000}"/>
    <cellStyle name="Normal 2 7 3 2 2 3" xfId="4715" xr:uid="{00000000-0005-0000-0000-000073120000}"/>
    <cellStyle name="Normal 2 7 3 2 2 3 2" xfId="4716" xr:uid="{00000000-0005-0000-0000-000074120000}"/>
    <cellStyle name="Normal 2 7 3 2 2 4" xfId="4717" xr:uid="{00000000-0005-0000-0000-000075120000}"/>
    <cellStyle name="Normal 2 7 3 2 3" xfId="4718" xr:uid="{00000000-0005-0000-0000-000076120000}"/>
    <cellStyle name="Normal 2 7 3 2 3 2" xfId="4719" xr:uid="{00000000-0005-0000-0000-000077120000}"/>
    <cellStyle name="Normal 2 7 3 2 4" xfId="4720" xr:uid="{00000000-0005-0000-0000-000078120000}"/>
    <cellStyle name="Normal 2 7 3 2 4 2" xfId="4721" xr:uid="{00000000-0005-0000-0000-000079120000}"/>
    <cellStyle name="Normal 2 7 3 2 5" xfId="4722" xr:uid="{00000000-0005-0000-0000-00007A120000}"/>
    <cellStyle name="Normal 2 7 3 3" xfId="4723" xr:uid="{00000000-0005-0000-0000-00007B120000}"/>
    <cellStyle name="Normal 2 7 3 3 2" xfId="4724" xr:uid="{00000000-0005-0000-0000-00007C120000}"/>
    <cellStyle name="Normal 2 7 3 3 2 2" xfId="4725" xr:uid="{00000000-0005-0000-0000-00007D120000}"/>
    <cellStyle name="Normal 2 7 3 3 2 2 2" xfId="4726" xr:uid="{00000000-0005-0000-0000-00007E120000}"/>
    <cellStyle name="Normal 2 7 3 3 2 3" xfId="4727" xr:uid="{00000000-0005-0000-0000-00007F120000}"/>
    <cellStyle name="Normal 2 7 3 3 2 3 2" xfId="4728" xr:uid="{00000000-0005-0000-0000-000080120000}"/>
    <cellStyle name="Normal 2 7 3 3 2 4" xfId="4729" xr:uid="{00000000-0005-0000-0000-000081120000}"/>
    <cellStyle name="Normal 2 7 3 3 3" xfId="4730" xr:uid="{00000000-0005-0000-0000-000082120000}"/>
    <cellStyle name="Normal 2 7 3 3 3 2" xfId="4731" xr:uid="{00000000-0005-0000-0000-000083120000}"/>
    <cellStyle name="Normal 2 7 3 3 4" xfId="4732" xr:uid="{00000000-0005-0000-0000-000084120000}"/>
    <cellStyle name="Normal 2 7 3 3 4 2" xfId="4733" xr:uid="{00000000-0005-0000-0000-000085120000}"/>
    <cellStyle name="Normal 2 7 3 3 5" xfId="4734" xr:uid="{00000000-0005-0000-0000-000086120000}"/>
    <cellStyle name="Normal 2 7 3 4" xfId="4735" xr:uid="{00000000-0005-0000-0000-000087120000}"/>
    <cellStyle name="Normal 2 7 3 4 2" xfId="4736" xr:uid="{00000000-0005-0000-0000-000088120000}"/>
    <cellStyle name="Normal 2 7 3 4 2 2" xfId="4737" xr:uid="{00000000-0005-0000-0000-000089120000}"/>
    <cellStyle name="Normal 2 7 3 4 3" xfId="4738" xr:uid="{00000000-0005-0000-0000-00008A120000}"/>
    <cellStyle name="Normal 2 7 3 4 3 2" xfId="4739" xr:uid="{00000000-0005-0000-0000-00008B120000}"/>
    <cellStyle name="Normal 2 7 3 4 4" xfId="4740" xr:uid="{00000000-0005-0000-0000-00008C120000}"/>
    <cellStyle name="Normal 2 7 3 5" xfId="4741" xr:uid="{00000000-0005-0000-0000-00008D120000}"/>
    <cellStyle name="Normal 2 7 3 5 2" xfId="4742" xr:uid="{00000000-0005-0000-0000-00008E120000}"/>
    <cellStyle name="Normal 2 7 3 6" xfId="4743" xr:uid="{00000000-0005-0000-0000-00008F120000}"/>
    <cellStyle name="Normal 2 7 3 6 2" xfId="4744" xr:uid="{00000000-0005-0000-0000-000090120000}"/>
    <cellStyle name="Normal 2 7 3 7" xfId="4745" xr:uid="{00000000-0005-0000-0000-000091120000}"/>
    <cellStyle name="Normal 2 7 4" xfId="4746" xr:uid="{00000000-0005-0000-0000-000092120000}"/>
    <cellStyle name="Normal 2 7 4 2" xfId="4747" xr:uid="{00000000-0005-0000-0000-000093120000}"/>
    <cellStyle name="Normal 2 7 4 2 2" xfId="4748" xr:uid="{00000000-0005-0000-0000-000094120000}"/>
    <cellStyle name="Normal 2 7 4 2 2 2" xfId="4749" xr:uid="{00000000-0005-0000-0000-000095120000}"/>
    <cellStyle name="Normal 2 7 4 2 2 2 2" xfId="4750" xr:uid="{00000000-0005-0000-0000-000096120000}"/>
    <cellStyle name="Normal 2 7 4 2 2 3" xfId="4751" xr:uid="{00000000-0005-0000-0000-000097120000}"/>
    <cellStyle name="Normal 2 7 4 2 2 3 2" xfId="4752" xr:uid="{00000000-0005-0000-0000-000098120000}"/>
    <cellStyle name="Normal 2 7 4 2 2 4" xfId="4753" xr:uid="{00000000-0005-0000-0000-000099120000}"/>
    <cellStyle name="Normal 2 7 4 2 3" xfId="4754" xr:uid="{00000000-0005-0000-0000-00009A120000}"/>
    <cellStyle name="Normal 2 7 4 2 3 2" xfId="4755" xr:uid="{00000000-0005-0000-0000-00009B120000}"/>
    <cellStyle name="Normal 2 7 4 2 4" xfId="4756" xr:uid="{00000000-0005-0000-0000-00009C120000}"/>
    <cellStyle name="Normal 2 7 4 2 4 2" xfId="4757" xr:uid="{00000000-0005-0000-0000-00009D120000}"/>
    <cellStyle name="Normal 2 7 4 2 5" xfId="4758" xr:uid="{00000000-0005-0000-0000-00009E120000}"/>
    <cellStyle name="Normal 2 7 4 3" xfId="4759" xr:uid="{00000000-0005-0000-0000-00009F120000}"/>
    <cellStyle name="Normal 2 7 4 3 2" xfId="4760" xr:uid="{00000000-0005-0000-0000-0000A0120000}"/>
    <cellStyle name="Normal 2 7 4 3 2 2" xfId="4761" xr:uid="{00000000-0005-0000-0000-0000A1120000}"/>
    <cellStyle name="Normal 2 7 4 3 2 2 2" xfId="4762" xr:uid="{00000000-0005-0000-0000-0000A2120000}"/>
    <cellStyle name="Normal 2 7 4 3 2 3" xfId="4763" xr:uid="{00000000-0005-0000-0000-0000A3120000}"/>
    <cellStyle name="Normal 2 7 4 3 2 3 2" xfId="4764" xr:uid="{00000000-0005-0000-0000-0000A4120000}"/>
    <cellStyle name="Normal 2 7 4 3 2 4" xfId="4765" xr:uid="{00000000-0005-0000-0000-0000A5120000}"/>
    <cellStyle name="Normal 2 7 4 3 3" xfId="4766" xr:uid="{00000000-0005-0000-0000-0000A6120000}"/>
    <cellStyle name="Normal 2 7 4 3 3 2" xfId="4767" xr:uid="{00000000-0005-0000-0000-0000A7120000}"/>
    <cellStyle name="Normal 2 7 4 3 4" xfId="4768" xr:uid="{00000000-0005-0000-0000-0000A8120000}"/>
    <cellStyle name="Normal 2 7 4 3 4 2" xfId="4769" xr:uid="{00000000-0005-0000-0000-0000A9120000}"/>
    <cellStyle name="Normal 2 7 4 3 5" xfId="4770" xr:uid="{00000000-0005-0000-0000-0000AA120000}"/>
    <cellStyle name="Normal 2 7 4 4" xfId="4771" xr:uid="{00000000-0005-0000-0000-0000AB120000}"/>
    <cellStyle name="Normal 2 7 4 4 2" xfId="4772" xr:uid="{00000000-0005-0000-0000-0000AC120000}"/>
    <cellStyle name="Normal 2 7 4 4 2 2" xfId="4773" xr:uid="{00000000-0005-0000-0000-0000AD120000}"/>
    <cellStyle name="Normal 2 7 4 4 3" xfId="4774" xr:uid="{00000000-0005-0000-0000-0000AE120000}"/>
    <cellStyle name="Normal 2 7 4 4 3 2" xfId="4775" xr:uid="{00000000-0005-0000-0000-0000AF120000}"/>
    <cellStyle name="Normal 2 7 4 4 4" xfId="4776" xr:uid="{00000000-0005-0000-0000-0000B0120000}"/>
    <cellStyle name="Normal 2 7 4 5" xfId="4777" xr:uid="{00000000-0005-0000-0000-0000B1120000}"/>
    <cellStyle name="Normal 2 7 4 5 2" xfId="4778" xr:uid="{00000000-0005-0000-0000-0000B2120000}"/>
    <cellStyle name="Normal 2 7 4 6" xfId="4779" xr:uid="{00000000-0005-0000-0000-0000B3120000}"/>
    <cellStyle name="Normal 2 7 4 6 2" xfId="4780" xr:uid="{00000000-0005-0000-0000-0000B4120000}"/>
    <cellStyle name="Normal 2 7 4 7" xfId="4781" xr:uid="{00000000-0005-0000-0000-0000B5120000}"/>
    <cellStyle name="Normal 2 7 5" xfId="4782" xr:uid="{00000000-0005-0000-0000-0000B6120000}"/>
    <cellStyle name="Normal 2 7 5 2" xfId="4783" xr:uid="{00000000-0005-0000-0000-0000B7120000}"/>
    <cellStyle name="Normal 2 7 5 2 2" xfId="4784" xr:uid="{00000000-0005-0000-0000-0000B8120000}"/>
    <cellStyle name="Normal 2 7 5 2 2 2" xfId="4785" xr:uid="{00000000-0005-0000-0000-0000B9120000}"/>
    <cellStyle name="Normal 2 7 5 2 2 2 2" xfId="4786" xr:uid="{00000000-0005-0000-0000-0000BA120000}"/>
    <cellStyle name="Normal 2 7 5 2 2 3" xfId="4787" xr:uid="{00000000-0005-0000-0000-0000BB120000}"/>
    <cellStyle name="Normal 2 7 5 2 2 3 2" xfId="4788" xr:uid="{00000000-0005-0000-0000-0000BC120000}"/>
    <cellStyle name="Normal 2 7 5 2 2 4" xfId="4789" xr:uid="{00000000-0005-0000-0000-0000BD120000}"/>
    <cellStyle name="Normal 2 7 5 2 3" xfId="4790" xr:uid="{00000000-0005-0000-0000-0000BE120000}"/>
    <cellStyle name="Normal 2 7 5 2 3 2" xfId="4791" xr:uid="{00000000-0005-0000-0000-0000BF120000}"/>
    <cellStyle name="Normal 2 7 5 2 4" xfId="4792" xr:uid="{00000000-0005-0000-0000-0000C0120000}"/>
    <cellStyle name="Normal 2 7 5 2 4 2" xfId="4793" xr:uid="{00000000-0005-0000-0000-0000C1120000}"/>
    <cellStyle name="Normal 2 7 5 2 5" xfId="4794" xr:uid="{00000000-0005-0000-0000-0000C2120000}"/>
    <cellStyle name="Normal 2 7 5 3" xfId="4795" xr:uid="{00000000-0005-0000-0000-0000C3120000}"/>
    <cellStyle name="Normal 2 7 5 3 2" xfId="4796" xr:uid="{00000000-0005-0000-0000-0000C4120000}"/>
    <cellStyle name="Normal 2 7 5 3 2 2" xfId="4797" xr:uid="{00000000-0005-0000-0000-0000C5120000}"/>
    <cellStyle name="Normal 2 7 5 3 2 2 2" xfId="4798" xr:uid="{00000000-0005-0000-0000-0000C6120000}"/>
    <cellStyle name="Normal 2 7 5 3 2 3" xfId="4799" xr:uid="{00000000-0005-0000-0000-0000C7120000}"/>
    <cellStyle name="Normal 2 7 5 3 2 3 2" xfId="4800" xr:uid="{00000000-0005-0000-0000-0000C8120000}"/>
    <cellStyle name="Normal 2 7 5 3 2 4" xfId="4801" xr:uid="{00000000-0005-0000-0000-0000C9120000}"/>
    <cellStyle name="Normal 2 7 5 3 3" xfId="4802" xr:uid="{00000000-0005-0000-0000-0000CA120000}"/>
    <cellStyle name="Normal 2 7 5 3 3 2" xfId="4803" xr:uid="{00000000-0005-0000-0000-0000CB120000}"/>
    <cellStyle name="Normal 2 7 5 3 4" xfId="4804" xr:uid="{00000000-0005-0000-0000-0000CC120000}"/>
    <cellStyle name="Normal 2 7 5 3 4 2" xfId="4805" xr:uid="{00000000-0005-0000-0000-0000CD120000}"/>
    <cellStyle name="Normal 2 7 5 3 5" xfId="4806" xr:uid="{00000000-0005-0000-0000-0000CE120000}"/>
    <cellStyle name="Normal 2 7 5 4" xfId="4807" xr:uid="{00000000-0005-0000-0000-0000CF120000}"/>
    <cellStyle name="Normal 2 7 5 4 2" xfId="4808" xr:uid="{00000000-0005-0000-0000-0000D0120000}"/>
    <cellStyle name="Normal 2 7 5 4 2 2" xfId="4809" xr:uid="{00000000-0005-0000-0000-0000D1120000}"/>
    <cellStyle name="Normal 2 7 5 4 3" xfId="4810" xr:uid="{00000000-0005-0000-0000-0000D2120000}"/>
    <cellStyle name="Normal 2 7 5 4 3 2" xfId="4811" xr:uid="{00000000-0005-0000-0000-0000D3120000}"/>
    <cellStyle name="Normal 2 7 5 4 4" xfId="4812" xr:uid="{00000000-0005-0000-0000-0000D4120000}"/>
    <cellStyle name="Normal 2 7 5 5" xfId="4813" xr:uid="{00000000-0005-0000-0000-0000D5120000}"/>
    <cellStyle name="Normal 2 7 5 5 2" xfId="4814" xr:uid="{00000000-0005-0000-0000-0000D6120000}"/>
    <cellStyle name="Normal 2 7 5 6" xfId="4815" xr:uid="{00000000-0005-0000-0000-0000D7120000}"/>
    <cellStyle name="Normal 2 7 5 6 2" xfId="4816" xr:uid="{00000000-0005-0000-0000-0000D8120000}"/>
    <cellStyle name="Normal 2 7 5 7" xfId="4817" xr:uid="{00000000-0005-0000-0000-0000D9120000}"/>
    <cellStyle name="Normal 2 7 6" xfId="4818" xr:uid="{00000000-0005-0000-0000-0000DA120000}"/>
    <cellStyle name="Normal 2 7 6 2" xfId="4819" xr:uid="{00000000-0005-0000-0000-0000DB120000}"/>
    <cellStyle name="Normal 2 7 6 2 2" xfId="4820" xr:uid="{00000000-0005-0000-0000-0000DC120000}"/>
    <cellStyle name="Normal 2 7 6 2 2 2" xfId="4821" xr:uid="{00000000-0005-0000-0000-0000DD120000}"/>
    <cellStyle name="Normal 2 7 6 2 3" xfId="4822" xr:uid="{00000000-0005-0000-0000-0000DE120000}"/>
    <cellStyle name="Normal 2 7 6 2 3 2" xfId="4823" xr:uid="{00000000-0005-0000-0000-0000DF120000}"/>
    <cellStyle name="Normal 2 7 6 2 4" xfId="4824" xr:uid="{00000000-0005-0000-0000-0000E0120000}"/>
    <cellStyle name="Normal 2 7 6 3" xfId="4825" xr:uid="{00000000-0005-0000-0000-0000E1120000}"/>
    <cellStyle name="Normal 2 7 6 3 2" xfId="4826" xr:uid="{00000000-0005-0000-0000-0000E2120000}"/>
    <cellStyle name="Normal 2 7 6 4" xfId="4827" xr:uid="{00000000-0005-0000-0000-0000E3120000}"/>
    <cellStyle name="Normal 2 7 6 4 2" xfId="4828" xr:uid="{00000000-0005-0000-0000-0000E4120000}"/>
    <cellStyle name="Normal 2 7 6 5" xfId="4829" xr:uid="{00000000-0005-0000-0000-0000E5120000}"/>
    <cellStyle name="Normal 2 7 7" xfId="4830" xr:uid="{00000000-0005-0000-0000-0000E6120000}"/>
    <cellStyle name="Normal 2 7 7 2" xfId="4831" xr:uid="{00000000-0005-0000-0000-0000E7120000}"/>
    <cellStyle name="Normal 2 7 7 2 2" xfId="4832" xr:uid="{00000000-0005-0000-0000-0000E8120000}"/>
    <cellStyle name="Normal 2 7 7 2 2 2" xfId="4833" xr:uid="{00000000-0005-0000-0000-0000E9120000}"/>
    <cellStyle name="Normal 2 7 7 2 3" xfId="4834" xr:uid="{00000000-0005-0000-0000-0000EA120000}"/>
    <cellStyle name="Normal 2 7 7 2 3 2" xfId="4835" xr:uid="{00000000-0005-0000-0000-0000EB120000}"/>
    <cellStyle name="Normal 2 7 7 2 4" xfId="4836" xr:uid="{00000000-0005-0000-0000-0000EC120000}"/>
    <cellStyle name="Normal 2 7 7 3" xfId="4837" xr:uid="{00000000-0005-0000-0000-0000ED120000}"/>
    <cellStyle name="Normal 2 7 7 3 2" xfId="4838" xr:uid="{00000000-0005-0000-0000-0000EE120000}"/>
    <cellStyle name="Normal 2 7 7 4" xfId="4839" xr:uid="{00000000-0005-0000-0000-0000EF120000}"/>
    <cellStyle name="Normal 2 7 7 4 2" xfId="4840" xr:uid="{00000000-0005-0000-0000-0000F0120000}"/>
    <cellStyle name="Normal 2 7 7 5" xfId="4841" xr:uid="{00000000-0005-0000-0000-0000F1120000}"/>
    <cellStyle name="Normal 2 7 8" xfId="4842" xr:uid="{00000000-0005-0000-0000-0000F2120000}"/>
    <cellStyle name="Normal 2 7 8 2" xfId="4843" xr:uid="{00000000-0005-0000-0000-0000F3120000}"/>
    <cellStyle name="Normal 2 7 8 2 2" xfId="4844" xr:uid="{00000000-0005-0000-0000-0000F4120000}"/>
    <cellStyle name="Normal 2 7 8 3" xfId="4845" xr:uid="{00000000-0005-0000-0000-0000F5120000}"/>
    <cellStyle name="Normal 2 7 8 3 2" xfId="4846" xr:uid="{00000000-0005-0000-0000-0000F6120000}"/>
    <cellStyle name="Normal 2 7 8 4" xfId="4847" xr:uid="{00000000-0005-0000-0000-0000F7120000}"/>
    <cellStyle name="Normal 2 7 9" xfId="4848" xr:uid="{00000000-0005-0000-0000-0000F8120000}"/>
    <cellStyle name="Normal 2 7 9 2" xfId="4849" xr:uid="{00000000-0005-0000-0000-0000F9120000}"/>
    <cellStyle name="Normal 2 8" xfId="4850" xr:uid="{00000000-0005-0000-0000-0000FA120000}"/>
    <cellStyle name="Normal 2 8 2" xfId="4851" xr:uid="{00000000-0005-0000-0000-0000FB120000}"/>
    <cellStyle name="Normal 2 8 2 2" xfId="4852" xr:uid="{00000000-0005-0000-0000-0000FC120000}"/>
    <cellStyle name="Normal 2 8 2 2 2" xfId="4853" xr:uid="{00000000-0005-0000-0000-0000FD120000}"/>
    <cellStyle name="Normal 2 8 2 2 2 2" xfId="4854" xr:uid="{00000000-0005-0000-0000-0000FE120000}"/>
    <cellStyle name="Normal 2 8 2 2 2 2 2" xfId="4855" xr:uid="{00000000-0005-0000-0000-0000FF120000}"/>
    <cellStyle name="Normal 2 8 2 2 2 3" xfId="4856" xr:uid="{00000000-0005-0000-0000-000000130000}"/>
    <cellStyle name="Normal 2 8 2 2 2 3 2" xfId="4857" xr:uid="{00000000-0005-0000-0000-000001130000}"/>
    <cellStyle name="Normal 2 8 2 2 2 4" xfId="4858" xr:uid="{00000000-0005-0000-0000-000002130000}"/>
    <cellStyle name="Normal 2 8 2 2 3" xfId="4859" xr:uid="{00000000-0005-0000-0000-000003130000}"/>
    <cellStyle name="Normal 2 8 2 2 3 2" xfId="4860" xr:uid="{00000000-0005-0000-0000-000004130000}"/>
    <cellStyle name="Normal 2 8 2 2 4" xfId="4861" xr:uid="{00000000-0005-0000-0000-000005130000}"/>
    <cellStyle name="Normal 2 8 2 2 4 2" xfId="4862" xr:uid="{00000000-0005-0000-0000-000006130000}"/>
    <cellStyle name="Normal 2 8 2 2 5" xfId="4863" xr:uid="{00000000-0005-0000-0000-000007130000}"/>
    <cellStyle name="Normal 2 8 2 3" xfId="4864" xr:uid="{00000000-0005-0000-0000-000008130000}"/>
    <cellStyle name="Normal 2 8 2 3 2" xfId="4865" xr:uid="{00000000-0005-0000-0000-000009130000}"/>
    <cellStyle name="Normal 2 8 2 3 2 2" xfId="4866" xr:uid="{00000000-0005-0000-0000-00000A130000}"/>
    <cellStyle name="Normal 2 8 2 3 2 2 2" xfId="4867" xr:uid="{00000000-0005-0000-0000-00000B130000}"/>
    <cellStyle name="Normal 2 8 2 3 2 3" xfId="4868" xr:uid="{00000000-0005-0000-0000-00000C130000}"/>
    <cellStyle name="Normal 2 8 2 3 2 3 2" xfId="4869" xr:uid="{00000000-0005-0000-0000-00000D130000}"/>
    <cellStyle name="Normal 2 8 2 3 2 4" xfId="4870" xr:uid="{00000000-0005-0000-0000-00000E130000}"/>
    <cellStyle name="Normal 2 8 2 3 3" xfId="4871" xr:uid="{00000000-0005-0000-0000-00000F130000}"/>
    <cellStyle name="Normal 2 8 2 3 3 2" xfId="4872" xr:uid="{00000000-0005-0000-0000-000010130000}"/>
    <cellStyle name="Normal 2 8 2 3 4" xfId="4873" xr:uid="{00000000-0005-0000-0000-000011130000}"/>
    <cellStyle name="Normal 2 8 2 3 4 2" xfId="4874" xr:uid="{00000000-0005-0000-0000-000012130000}"/>
    <cellStyle name="Normal 2 8 2 3 5" xfId="4875" xr:uid="{00000000-0005-0000-0000-000013130000}"/>
    <cellStyle name="Normal 2 8 2 4" xfId="4876" xr:uid="{00000000-0005-0000-0000-000014130000}"/>
    <cellStyle name="Normal 2 8 2 4 2" xfId="4877" xr:uid="{00000000-0005-0000-0000-000015130000}"/>
    <cellStyle name="Normal 2 8 2 4 2 2" xfId="4878" xr:uid="{00000000-0005-0000-0000-000016130000}"/>
    <cellStyle name="Normal 2 8 2 4 3" xfId="4879" xr:uid="{00000000-0005-0000-0000-000017130000}"/>
    <cellStyle name="Normal 2 8 2 4 3 2" xfId="4880" xr:uid="{00000000-0005-0000-0000-000018130000}"/>
    <cellStyle name="Normal 2 8 2 4 4" xfId="4881" xr:uid="{00000000-0005-0000-0000-000019130000}"/>
    <cellStyle name="Normal 2 8 2 5" xfId="4882" xr:uid="{00000000-0005-0000-0000-00001A130000}"/>
    <cellStyle name="Normal 2 8 2 5 2" xfId="4883" xr:uid="{00000000-0005-0000-0000-00001B130000}"/>
    <cellStyle name="Normal 2 8 2 6" xfId="4884" xr:uid="{00000000-0005-0000-0000-00001C130000}"/>
    <cellStyle name="Normal 2 8 2 6 2" xfId="4885" xr:uid="{00000000-0005-0000-0000-00001D130000}"/>
    <cellStyle name="Normal 2 8 2 7" xfId="4886" xr:uid="{00000000-0005-0000-0000-00001E130000}"/>
    <cellStyle name="Normal 2 8 3" xfId="4887" xr:uid="{00000000-0005-0000-0000-00001F130000}"/>
    <cellStyle name="Normal 2 8 3 2" xfId="4888" xr:uid="{00000000-0005-0000-0000-000020130000}"/>
    <cellStyle name="Normal 2 8 3 2 2" xfId="4889" xr:uid="{00000000-0005-0000-0000-000021130000}"/>
    <cellStyle name="Normal 2 8 3 2 2 2" xfId="4890" xr:uid="{00000000-0005-0000-0000-000022130000}"/>
    <cellStyle name="Normal 2 8 3 2 3" xfId="4891" xr:uid="{00000000-0005-0000-0000-000023130000}"/>
    <cellStyle name="Normal 2 8 3 2 3 2" xfId="4892" xr:uid="{00000000-0005-0000-0000-000024130000}"/>
    <cellStyle name="Normal 2 8 3 2 4" xfId="4893" xr:uid="{00000000-0005-0000-0000-000025130000}"/>
    <cellStyle name="Normal 2 8 3 3" xfId="4894" xr:uid="{00000000-0005-0000-0000-000026130000}"/>
    <cellStyle name="Normal 2 8 3 3 2" xfId="4895" xr:uid="{00000000-0005-0000-0000-000027130000}"/>
    <cellStyle name="Normal 2 8 3 4" xfId="4896" xr:uid="{00000000-0005-0000-0000-000028130000}"/>
    <cellStyle name="Normal 2 8 3 4 2" xfId="4897" xr:uid="{00000000-0005-0000-0000-000029130000}"/>
    <cellStyle name="Normal 2 8 3 5" xfId="4898" xr:uid="{00000000-0005-0000-0000-00002A130000}"/>
    <cellStyle name="Normal 2 8 4" xfId="4899" xr:uid="{00000000-0005-0000-0000-00002B130000}"/>
    <cellStyle name="Normal 2 8 4 2" xfId="4900" xr:uid="{00000000-0005-0000-0000-00002C130000}"/>
    <cellStyle name="Normal 2 8 4 2 2" xfId="4901" xr:uid="{00000000-0005-0000-0000-00002D130000}"/>
    <cellStyle name="Normal 2 8 4 2 2 2" xfId="4902" xr:uid="{00000000-0005-0000-0000-00002E130000}"/>
    <cellStyle name="Normal 2 8 4 2 3" xfId="4903" xr:uid="{00000000-0005-0000-0000-00002F130000}"/>
    <cellStyle name="Normal 2 8 4 2 3 2" xfId="4904" xr:uid="{00000000-0005-0000-0000-000030130000}"/>
    <cellStyle name="Normal 2 8 4 2 4" xfId="4905" xr:uid="{00000000-0005-0000-0000-000031130000}"/>
    <cellStyle name="Normal 2 8 4 3" xfId="4906" xr:uid="{00000000-0005-0000-0000-000032130000}"/>
    <cellStyle name="Normal 2 8 4 3 2" xfId="4907" xr:uid="{00000000-0005-0000-0000-000033130000}"/>
    <cellStyle name="Normal 2 8 4 4" xfId="4908" xr:uid="{00000000-0005-0000-0000-000034130000}"/>
    <cellStyle name="Normal 2 8 4 4 2" xfId="4909" xr:uid="{00000000-0005-0000-0000-000035130000}"/>
    <cellStyle name="Normal 2 8 4 5" xfId="4910" xr:uid="{00000000-0005-0000-0000-000036130000}"/>
    <cellStyle name="Normal 2 8 5" xfId="4911" xr:uid="{00000000-0005-0000-0000-000037130000}"/>
    <cellStyle name="Normal 2 8 5 2" xfId="4912" xr:uid="{00000000-0005-0000-0000-000038130000}"/>
    <cellStyle name="Normal 2 8 5 2 2" xfId="4913" xr:uid="{00000000-0005-0000-0000-000039130000}"/>
    <cellStyle name="Normal 2 8 5 3" xfId="4914" xr:uid="{00000000-0005-0000-0000-00003A130000}"/>
    <cellStyle name="Normal 2 8 5 3 2" xfId="4915" xr:uid="{00000000-0005-0000-0000-00003B130000}"/>
    <cellStyle name="Normal 2 8 5 4" xfId="4916" xr:uid="{00000000-0005-0000-0000-00003C130000}"/>
    <cellStyle name="Normal 2 8 6" xfId="4917" xr:uid="{00000000-0005-0000-0000-00003D130000}"/>
    <cellStyle name="Normal 2 8 6 2" xfId="4918" xr:uid="{00000000-0005-0000-0000-00003E130000}"/>
    <cellStyle name="Normal 2 8 7" xfId="4919" xr:uid="{00000000-0005-0000-0000-00003F130000}"/>
    <cellStyle name="Normal 2 8 7 2" xfId="4920" xr:uid="{00000000-0005-0000-0000-000040130000}"/>
    <cellStyle name="Normal 2 8 8" xfId="4921" xr:uid="{00000000-0005-0000-0000-000041130000}"/>
    <cellStyle name="Normal 2 9" xfId="4922" xr:uid="{00000000-0005-0000-0000-000042130000}"/>
    <cellStyle name="Normal 2 9 2" xfId="4923" xr:uid="{00000000-0005-0000-0000-000043130000}"/>
    <cellStyle name="Normal 2 9 2 2" xfId="4924" xr:uid="{00000000-0005-0000-0000-000044130000}"/>
    <cellStyle name="Normal 2 9 2 2 2" xfId="4925" xr:uid="{00000000-0005-0000-0000-000045130000}"/>
    <cellStyle name="Normal 2 9 2 2 2 2" xfId="4926" xr:uid="{00000000-0005-0000-0000-000046130000}"/>
    <cellStyle name="Normal 2 9 2 2 3" xfId="4927" xr:uid="{00000000-0005-0000-0000-000047130000}"/>
    <cellStyle name="Normal 2 9 2 2 3 2" xfId="4928" xr:uid="{00000000-0005-0000-0000-000048130000}"/>
    <cellStyle name="Normal 2 9 2 2 4" xfId="4929" xr:uid="{00000000-0005-0000-0000-000049130000}"/>
    <cellStyle name="Normal 2 9 2 3" xfId="4930" xr:uid="{00000000-0005-0000-0000-00004A130000}"/>
    <cellStyle name="Normal 2 9 2 3 2" xfId="4931" xr:uid="{00000000-0005-0000-0000-00004B130000}"/>
    <cellStyle name="Normal 2 9 2 4" xfId="4932" xr:uid="{00000000-0005-0000-0000-00004C130000}"/>
    <cellStyle name="Normal 2 9 2 4 2" xfId="4933" xr:uid="{00000000-0005-0000-0000-00004D130000}"/>
    <cellStyle name="Normal 2 9 2 5" xfId="4934" xr:uid="{00000000-0005-0000-0000-00004E130000}"/>
    <cellStyle name="Normal 2 9 3" xfId="4935" xr:uid="{00000000-0005-0000-0000-00004F130000}"/>
    <cellStyle name="Normal 2 9 3 2" xfId="4936" xr:uid="{00000000-0005-0000-0000-000050130000}"/>
    <cellStyle name="Normal 2 9 3 2 2" xfId="4937" xr:uid="{00000000-0005-0000-0000-000051130000}"/>
    <cellStyle name="Normal 2 9 3 2 2 2" xfId="4938" xr:uid="{00000000-0005-0000-0000-000052130000}"/>
    <cellStyle name="Normal 2 9 3 2 3" xfId="4939" xr:uid="{00000000-0005-0000-0000-000053130000}"/>
    <cellStyle name="Normal 2 9 3 2 3 2" xfId="4940" xr:uid="{00000000-0005-0000-0000-000054130000}"/>
    <cellStyle name="Normal 2 9 3 2 4" xfId="4941" xr:uid="{00000000-0005-0000-0000-000055130000}"/>
    <cellStyle name="Normal 2 9 3 3" xfId="4942" xr:uid="{00000000-0005-0000-0000-000056130000}"/>
    <cellStyle name="Normal 2 9 3 3 2" xfId="4943" xr:uid="{00000000-0005-0000-0000-000057130000}"/>
    <cellStyle name="Normal 2 9 3 4" xfId="4944" xr:uid="{00000000-0005-0000-0000-000058130000}"/>
    <cellStyle name="Normal 2 9 3 4 2" xfId="4945" xr:uid="{00000000-0005-0000-0000-000059130000}"/>
    <cellStyle name="Normal 2 9 3 5" xfId="4946" xr:uid="{00000000-0005-0000-0000-00005A130000}"/>
    <cellStyle name="Normal 2 9 4" xfId="4947" xr:uid="{00000000-0005-0000-0000-00005B130000}"/>
    <cellStyle name="Normal 2 9 4 2" xfId="4948" xr:uid="{00000000-0005-0000-0000-00005C130000}"/>
    <cellStyle name="Normal 2 9 4 2 2" xfId="4949" xr:uid="{00000000-0005-0000-0000-00005D130000}"/>
    <cellStyle name="Normal 2 9 4 3" xfId="4950" xr:uid="{00000000-0005-0000-0000-00005E130000}"/>
    <cellStyle name="Normal 2 9 4 3 2" xfId="4951" xr:uid="{00000000-0005-0000-0000-00005F130000}"/>
    <cellStyle name="Normal 2 9 4 4" xfId="4952" xr:uid="{00000000-0005-0000-0000-000060130000}"/>
    <cellStyle name="Normal 2 9 5" xfId="4953" xr:uid="{00000000-0005-0000-0000-000061130000}"/>
    <cellStyle name="Normal 2 9 5 2" xfId="4954" xr:uid="{00000000-0005-0000-0000-000062130000}"/>
    <cellStyle name="Normal 2 9 6" xfId="4955" xr:uid="{00000000-0005-0000-0000-000063130000}"/>
    <cellStyle name="Normal 2 9 6 2" xfId="4956" xr:uid="{00000000-0005-0000-0000-000064130000}"/>
    <cellStyle name="Normal 2 9 7" xfId="4957" xr:uid="{00000000-0005-0000-0000-000065130000}"/>
    <cellStyle name="Normal 3" xfId="15" xr:uid="{00000000-0005-0000-0000-000066130000}"/>
    <cellStyle name="Normal 4" xfId="4958" xr:uid="{00000000-0005-0000-0000-000067130000}"/>
    <cellStyle name="Normal 4 10" xfId="4959" xr:uid="{00000000-0005-0000-0000-000068130000}"/>
    <cellStyle name="Normal 4 10 2" xfId="4960" xr:uid="{00000000-0005-0000-0000-000069130000}"/>
    <cellStyle name="Normal 4 10 2 2" xfId="4961" xr:uid="{00000000-0005-0000-0000-00006A130000}"/>
    <cellStyle name="Normal 4 10 2 2 2" xfId="4962" xr:uid="{00000000-0005-0000-0000-00006B130000}"/>
    <cellStyle name="Normal 4 10 2 3" xfId="4963" xr:uid="{00000000-0005-0000-0000-00006C130000}"/>
    <cellStyle name="Normal 4 10 2 3 2" xfId="4964" xr:uid="{00000000-0005-0000-0000-00006D130000}"/>
    <cellStyle name="Normal 4 10 2 4" xfId="4965" xr:uid="{00000000-0005-0000-0000-00006E130000}"/>
    <cellStyle name="Normal 4 10 3" xfId="4966" xr:uid="{00000000-0005-0000-0000-00006F130000}"/>
    <cellStyle name="Normal 4 10 3 2" xfId="4967" xr:uid="{00000000-0005-0000-0000-000070130000}"/>
    <cellStyle name="Normal 4 10 4" xfId="4968" xr:uid="{00000000-0005-0000-0000-000071130000}"/>
    <cellStyle name="Normal 4 10 4 2" xfId="4969" xr:uid="{00000000-0005-0000-0000-000072130000}"/>
    <cellStyle name="Normal 4 10 5" xfId="4970" xr:uid="{00000000-0005-0000-0000-000073130000}"/>
    <cellStyle name="Normal 4 11" xfId="4971" xr:uid="{00000000-0005-0000-0000-000074130000}"/>
    <cellStyle name="Normal 4 11 2" xfId="4972" xr:uid="{00000000-0005-0000-0000-000075130000}"/>
    <cellStyle name="Normal 4 11 2 2" xfId="4973" xr:uid="{00000000-0005-0000-0000-000076130000}"/>
    <cellStyle name="Normal 4 11 2 2 2" xfId="4974" xr:uid="{00000000-0005-0000-0000-000077130000}"/>
    <cellStyle name="Normal 4 11 2 3" xfId="4975" xr:uid="{00000000-0005-0000-0000-000078130000}"/>
    <cellStyle name="Normal 4 11 2 3 2" xfId="4976" xr:uid="{00000000-0005-0000-0000-000079130000}"/>
    <cellStyle name="Normal 4 11 2 4" xfId="4977" xr:uid="{00000000-0005-0000-0000-00007A130000}"/>
    <cellStyle name="Normal 4 11 3" xfId="4978" xr:uid="{00000000-0005-0000-0000-00007B130000}"/>
    <cellStyle name="Normal 4 11 3 2" xfId="4979" xr:uid="{00000000-0005-0000-0000-00007C130000}"/>
    <cellStyle name="Normal 4 11 4" xfId="4980" xr:uid="{00000000-0005-0000-0000-00007D130000}"/>
    <cellStyle name="Normal 4 11 4 2" xfId="4981" xr:uid="{00000000-0005-0000-0000-00007E130000}"/>
    <cellStyle name="Normal 4 11 5" xfId="4982" xr:uid="{00000000-0005-0000-0000-00007F130000}"/>
    <cellStyle name="Normal 4 12" xfId="4983" xr:uid="{00000000-0005-0000-0000-000080130000}"/>
    <cellStyle name="Normal 4 12 2" xfId="4984" xr:uid="{00000000-0005-0000-0000-000081130000}"/>
    <cellStyle name="Normal 4 12 2 2" xfId="4985" xr:uid="{00000000-0005-0000-0000-000082130000}"/>
    <cellStyle name="Normal 4 12 3" xfId="4986" xr:uid="{00000000-0005-0000-0000-000083130000}"/>
    <cellStyle name="Normal 4 12 3 2" xfId="4987" xr:uid="{00000000-0005-0000-0000-000084130000}"/>
    <cellStyle name="Normal 4 12 4" xfId="4988" xr:uid="{00000000-0005-0000-0000-000085130000}"/>
    <cellStyle name="Normal 4 13" xfId="4989" xr:uid="{00000000-0005-0000-0000-000086130000}"/>
    <cellStyle name="Normal 4 13 2" xfId="4990" xr:uid="{00000000-0005-0000-0000-000087130000}"/>
    <cellStyle name="Normal 4 14" xfId="4991" xr:uid="{00000000-0005-0000-0000-000088130000}"/>
    <cellStyle name="Normal 4 14 2" xfId="4992" xr:uid="{00000000-0005-0000-0000-000089130000}"/>
    <cellStyle name="Normal 4 15" xfId="4993" xr:uid="{00000000-0005-0000-0000-00008A130000}"/>
    <cellStyle name="Normal 4 2" xfId="4994" xr:uid="{00000000-0005-0000-0000-00008B130000}"/>
    <cellStyle name="Normal 4 2 10" xfId="4995" xr:uid="{00000000-0005-0000-0000-00008C130000}"/>
    <cellStyle name="Normal 4 2 10 2" xfId="4996" xr:uid="{00000000-0005-0000-0000-00008D130000}"/>
    <cellStyle name="Normal 4 2 10 2 2" xfId="4997" xr:uid="{00000000-0005-0000-0000-00008E130000}"/>
    <cellStyle name="Normal 4 2 10 2 2 2" xfId="4998" xr:uid="{00000000-0005-0000-0000-00008F130000}"/>
    <cellStyle name="Normal 4 2 10 2 3" xfId="4999" xr:uid="{00000000-0005-0000-0000-000090130000}"/>
    <cellStyle name="Normal 4 2 10 2 3 2" xfId="5000" xr:uid="{00000000-0005-0000-0000-000091130000}"/>
    <cellStyle name="Normal 4 2 10 2 4" xfId="5001" xr:uid="{00000000-0005-0000-0000-000092130000}"/>
    <cellStyle name="Normal 4 2 10 3" xfId="5002" xr:uid="{00000000-0005-0000-0000-000093130000}"/>
    <cellStyle name="Normal 4 2 10 3 2" xfId="5003" xr:uid="{00000000-0005-0000-0000-000094130000}"/>
    <cellStyle name="Normal 4 2 10 4" xfId="5004" xr:uid="{00000000-0005-0000-0000-000095130000}"/>
    <cellStyle name="Normal 4 2 10 4 2" xfId="5005" xr:uid="{00000000-0005-0000-0000-000096130000}"/>
    <cellStyle name="Normal 4 2 10 5" xfId="5006" xr:uid="{00000000-0005-0000-0000-000097130000}"/>
    <cellStyle name="Normal 4 2 11" xfId="5007" xr:uid="{00000000-0005-0000-0000-000098130000}"/>
    <cellStyle name="Normal 4 2 11 2" xfId="5008" xr:uid="{00000000-0005-0000-0000-000099130000}"/>
    <cellStyle name="Normal 4 2 11 2 2" xfId="5009" xr:uid="{00000000-0005-0000-0000-00009A130000}"/>
    <cellStyle name="Normal 4 2 11 3" xfId="5010" xr:uid="{00000000-0005-0000-0000-00009B130000}"/>
    <cellStyle name="Normal 4 2 11 3 2" xfId="5011" xr:uid="{00000000-0005-0000-0000-00009C130000}"/>
    <cellStyle name="Normal 4 2 11 4" xfId="5012" xr:uid="{00000000-0005-0000-0000-00009D130000}"/>
    <cellStyle name="Normal 4 2 12" xfId="5013" xr:uid="{00000000-0005-0000-0000-00009E130000}"/>
    <cellStyle name="Normal 4 2 12 2" xfId="5014" xr:uid="{00000000-0005-0000-0000-00009F130000}"/>
    <cellStyle name="Normal 4 2 13" xfId="5015" xr:uid="{00000000-0005-0000-0000-0000A0130000}"/>
    <cellStyle name="Normal 4 2 13 2" xfId="5016" xr:uid="{00000000-0005-0000-0000-0000A1130000}"/>
    <cellStyle name="Normal 4 2 14" xfId="5017" xr:uid="{00000000-0005-0000-0000-0000A2130000}"/>
    <cellStyle name="Normal 4 2 2" xfId="5018" xr:uid="{00000000-0005-0000-0000-0000A3130000}"/>
    <cellStyle name="Normal 4 2 2 10" xfId="5019" xr:uid="{00000000-0005-0000-0000-0000A4130000}"/>
    <cellStyle name="Normal 4 2 2 10 2" xfId="5020" xr:uid="{00000000-0005-0000-0000-0000A5130000}"/>
    <cellStyle name="Normal 4 2 2 11" xfId="5021" xr:uid="{00000000-0005-0000-0000-0000A6130000}"/>
    <cellStyle name="Normal 4 2 2 11 2" xfId="5022" xr:uid="{00000000-0005-0000-0000-0000A7130000}"/>
    <cellStyle name="Normal 4 2 2 12" xfId="5023" xr:uid="{00000000-0005-0000-0000-0000A8130000}"/>
    <cellStyle name="Normal 4 2 2 2" xfId="5024" xr:uid="{00000000-0005-0000-0000-0000A9130000}"/>
    <cellStyle name="Normal 4 2 2 2 2" xfId="5025" xr:uid="{00000000-0005-0000-0000-0000AA130000}"/>
    <cellStyle name="Normal 4 2 2 2 2 2" xfId="5026" xr:uid="{00000000-0005-0000-0000-0000AB130000}"/>
    <cellStyle name="Normal 4 2 2 2 2 2 2" xfId="5027" xr:uid="{00000000-0005-0000-0000-0000AC130000}"/>
    <cellStyle name="Normal 4 2 2 2 2 2 2 2" xfId="5028" xr:uid="{00000000-0005-0000-0000-0000AD130000}"/>
    <cellStyle name="Normal 4 2 2 2 2 2 2 2 2" xfId="5029" xr:uid="{00000000-0005-0000-0000-0000AE130000}"/>
    <cellStyle name="Normal 4 2 2 2 2 2 2 3" xfId="5030" xr:uid="{00000000-0005-0000-0000-0000AF130000}"/>
    <cellStyle name="Normal 4 2 2 2 2 2 2 3 2" xfId="5031" xr:uid="{00000000-0005-0000-0000-0000B0130000}"/>
    <cellStyle name="Normal 4 2 2 2 2 2 2 4" xfId="5032" xr:uid="{00000000-0005-0000-0000-0000B1130000}"/>
    <cellStyle name="Normal 4 2 2 2 2 2 3" xfId="5033" xr:uid="{00000000-0005-0000-0000-0000B2130000}"/>
    <cellStyle name="Normal 4 2 2 2 2 2 3 2" xfId="5034" xr:uid="{00000000-0005-0000-0000-0000B3130000}"/>
    <cellStyle name="Normal 4 2 2 2 2 2 4" xfId="5035" xr:uid="{00000000-0005-0000-0000-0000B4130000}"/>
    <cellStyle name="Normal 4 2 2 2 2 2 4 2" xfId="5036" xr:uid="{00000000-0005-0000-0000-0000B5130000}"/>
    <cellStyle name="Normal 4 2 2 2 2 2 5" xfId="5037" xr:uid="{00000000-0005-0000-0000-0000B6130000}"/>
    <cellStyle name="Normal 4 2 2 2 2 3" xfId="5038" xr:uid="{00000000-0005-0000-0000-0000B7130000}"/>
    <cellStyle name="Normal 4 2 2 2 2 3 2" xfId="5039" xr:uid="{00000000-0005-0000-0000-0000B8130000}"/>
    <cellStyle name="Normal 4 2 2 2 2 3 2 2" xfId="5040" xr:uid="{00000000-0005-0000-0000-0000B9130000}"/>
    <cellStyle name="Normal 4 2 2 2 2 3 2 2 2" xfId="5041" xr:uid="{00000000-0005-0000-0000-0000BA130000}"/>
    <cellStyle name="Normal 4 2 2 2 2 3 2 3" xfId="5042" xr:uid="{00000000-0005-0000-0000-0000BB130000}"/>
    <cellStyle name="Normal 4 2 2 2 2 3 2 3 2" xfId="5043" xr:uid="{00000000-0005-0000-0000-0000BC130000}"/>
    <cellStyle name="Normal 4 2 2 2 2 3 2 4" xfId="5044" xr:uid="{00000000-0005-0000-0000-0000BD130000}"/>
    <cellStyle name="Normal 4 2 2 2 2 3 3" xfId="5045" xr:uid="{00000000-0005-0000-0000-0000BE130000}"/>
    <cellStyle name="Normal 4 2 2 2 2 3 3 2" xfId="5046" xr:uid="{00000000-0005-0000-0000-0000BF130000}"/>
    <cellStyle name="Normal 4 2 2 2 2 3 4" xfId="5047" xr:uid="{00000000-0005-0000-0000-0000C0130000}"/>
    <cellStyle name="Normal 4 2 2 2 2 3 4 2" xfId="5048" xr:uid="{00000000-0005-0000-0000-0000C1130000}"/>
    <cellStyle name="Normal 4 2 2 2 2 3 5" xfId="5049" xr:uid="{00000000-0005-0000-0000-0000C2130000}"/>
    <cellStyle name="Normal 4 2 2 2 2 4" xfId="5050" xr:uid="{00000000-0005-0000-0000-0000C3130000}"/>
    <cellStyle name="Normal 4 2 2 2 2 4 2" xfId="5051" xr:uid="{00000000-0005-0000-0000-0000C4130000}"/>
    <cellStyle name="Normal 4 2 2 2 2 4 2 2" xfId="5052" xr:uid="{00000000-0005-0000-0000-0000C5130000}"/>
    <cellStyle name="Normal 4 2 2 2 2 4 3" xfId="5053" xr:uid="{00000000-0005-0000-0000-0000C6130000}"/>
    <cellStyle name="Normal 4 2 2 2 2 4 3 2" xfId="5054" xr:uid="{00000000-0005-0000-0000-0000C7130000}"/>
    <cellStyle name="Normal 4 2 2 2 2 4 4" xfId="5055" xr:uid="{00000000-0005-0000-0000-0000C8130000}"/>
    <cellStyle name="Normal 4 2 2 2 2 5" xfId="5056" xr:uid="{00000000-0005-0000-0000-0000C9130000}"/>
    <cellStyle name="Normal 4 2 2 2 2 5 2" xfId="5057" xr:uid="{00000000-0005-0000-0000-0000CA130000}"/>
    <cellStyle name="Normal 4 2 2 2 2 6" xfId="5058" xr:uid="{00000000-0005-0000-0000-0000CB130000}"/>
    <cellStyle name="Normal 4 2 2 2 2 6 2" xfId="5059" xr:uid="{00000000-0005-0000-0000-0000CC130000}"/>
    <cellStyle name="Normal 4 2 2 2 2 7" xfId="5060" xr:uid="{00000000-0005-0000-0000-0000CD130000}"/>
    <cellStyle name="Normal 4 2 2 2 3" xfId="5061" xr:uid="{00000000-0005-0000-0000-0000CE130000}"/>
    <cellStyle name="Normal 4 2 2 2 3 2" xfId="5062" xr:uid="{00000000-0005-0000-0000-0000CF130000}"/>
    <cellStyle name="Normal 4 2 2 2 3 2 2" xfId="5063" xr:uid="{00000000-0005-0000-0000-0000D0130000}"/>
    <cellStyle name="Normal 4 2 2 2 3 2 2 2" xfId="5064" xr:uid="{00000000-0005-0000-0000-0000D1130000}"/>
    <cellStyle name="Normal 4 2 2 2 3 2 3" xfId="5065" xr:uid="{00000000-0005-0000-0000-0000D2130000}"/>
    <cellStyle name="Normal 4 2 2 2 3 2 3 2" xfId="5066" xr:uid="{00000000-0005-0000-0000-0000D3130000}"/>
    <cellStyle name="Normal 4 2 2 2 3 2 4" xfId="5067" xr:uid="{00000000-0005-0000-0000-0000D4130000}"/>
    <cellStyle name="Normal 4 2 2 2 3 3" xfId="5068" xr:uid="{00000000-0005-0000-0000-0000D5130000}"/>
    <cellStyle name="Normal 4 2 2 2 3 3 2" xfId="5069" xr:uid="{00000000-0005-0000-0000-0000D6130000}"/>
    <cellStyle name="Normal 4 2 2 2 3 4" xfId="5070" xr:uid="{00000000-0005-0000-0000-0000D7130000}"/>
    <cellStyle name="Normal 4 2 2 2 3 4 2" xfId="5071" xr:uid="{00000000-0005-0000-0000-0000D8130000}"/>
    <cellStyle name="Normal 4 2 2 2 3 5" xfId="5072" xr:uid="{00000000-0005-0000-0000-0000D9130000}"/>
    <cellStyle name="Normal 4 2 2 2 4" xfId="5073" xr:uid="{00000000-0005-0000-0000-0000DA130000}"/>
    <cellStyle name="Normal 4 2 2 2 4 2" xfId="5074" xr:uid="{00000000-0005-0000-0000-0000DB130000}"/>
    <cellStyle name="Normal 4 2 2 2 4 2 2" xfId="5075" xr:uid="{00000000-0005-0000-0000-0000DC130000}"/>
    <cellStyle name="Normal 4 2 2 2 4 2 2 2" xfId="5076" xr:uid="{00000000-0005-0000-0000-0000DD130000}"/>
    <cellStyle name="Normal 4 2 2 2 4 2 3" xfId="5077" xr:uid="{00000000-0005-0000-0000-0000DE130000}"/>
    <cellStyle name="Normal 4 2 2 2 4 2 3 2" xfId="5078" xr:uid="{00000000-0005-0000-0000-0000DF130000}"/>
    <cellStyle name="Normal 4 2 2 2 4 2 4" xfId="5079" xr:uid="{00000000-0005-0000-0000-0000E0130000}"/>
    <cellStyle name="Normal 4 2 2 2 4 3" xfId="5080" xr:uid="{00000000-0005-0000-0000-0000E1130000}"/>
    <cellStyle name="Normal 4 2 2 2 4 3 2" xfId="5081" xr:uid="{00000000-0005-0000-0000-0000E2130000}"/>
    <cellStyle name="Normal 4 2 2 2 4 4" xfId="5082" xr:uid="{00000000-0005-0000-0000-0000E3130000}"/>
    <cellStyle name="Normal 4 2 2 2 4 4 2" xfId="5083" xr:uid="{00000000-0005-0000-0000-0000E4130000}"/>
    <cellStyle name="Normal 4 2 2 2 4 5" xfId="5084" xr:uid="{00000000-0005-0000-0000-0000E5130000}"/>
    <cellStyle name="Normal 4 2 2 2 5" xfId="5085" xr:uid="{00000000-0005-0000-0000-0000E6130000}"/>
    <cellStyle name="Normal 4 2 2 2 5 2" xfId="5086" xr:uid="{00000000-0005-0000-0000-0000E7130000}"/>
    <cellStyle name="Normal 4 2 2 2 5 2 2" xfId="5087" xr:uid="{00000000-0005-0000-0000-0000E8130000}"/>
    <cellStyle name="Normal 4 2 2 2 5 3" xfId="5088" xr:uid="{00000000-0005-0000-0000-0000E9130000}"/>
    <cellStyle name="Normal 4 2 2 2 5 3 2" xfId="5089" xr:uid="{00000000-0005-0000-0000-0000EA130000}"/>
    <cellStyle name="Normal 4 2 2 2 5 4" xfId="5090" xr:uid="{00000000-0005-0000-0000-0000EB130000}"/>
    <cellStyle name="Normal 4 2 2 2 6" xfId="5091" xr:uid="{00000000-0005-0000-0000-0000EC130000}"/>
    <cellStyle name="Normal 4 2 2 2 6 2" xfId="5092" xr:uid="{00000000-0005-0000-0000-0000ED130000}"/>
    <cellStyle name="Normal 4 2 2 2 7" xfId="5093" xr:uid="{00000000-0005-0000-0000-0000EE130000}"/>
    <cellStyle name="Normal 4 2 2 2 7 2" xfId="5094" xr:uid="{00000000-0005-0000-0000-0000EF130000}"/>
    <cellStyle name="Normal 4 2 2 2 8" xfId="5095" xr:uid="{00000000-0005-0000-0000-0000F0130000}"/>
    <cellStyle name="Normal 4 2 2 3" xfId="5096" xr:uid="{00000000-0005-0000-0000-0000F1130000}"/>
    <cellStyle name="Normal 4 2 2 3 2" xfId="5097" xr:uid="{00000000-0005-0000-0000-0000F2130000}"/>
    <cellStyle name="Normal 4 2 2 3 2 2" xfId="5098" xr:uid="{00000000-0005-0000-0000-0000F3130000}"/>
    <cellStyle name="Normal 4 2 2 3 2 2 2" xfId="5099" xr:uid="{00000000-0005-0000-0000-0000F4130000}"/>
    <cellStyle name="Normal 4 2 2 3 2 2 2 2" xfId="5100" xr:uid="{00000000-0005-0000-0000-0000F5130000}"/>
    <cellStyle name="Normal 4 2 2 3 2 2 3" xfId="5101" xr:uid="{00000000-0005-0000-0000-0000F6130000}"/>
    <cellStyle name="Normal 4 2 2 3 2 2 3 2" xfId="5102" xr:uid="{00000000-0005-0000-0000-0000F7130000}"/>
    <cellStyle name="Normal 4 2 2 3 2 2 4" xfId="5103" xr:uid="{00000000-0005-0000-0000-0000F8130000}"/>
    <cellStyle name="Normal 4 2 2 3 2 3" xfId="5104" xr:uid="{00000000-0005-0000-0000-0000F9130000}"/>
    <cellStyle name="Normal 4 2 2 3 2 3 2" xfId="5105" xr:uid="{00000000-0005-0000-0000-0000FA130000}"/>
    <cellStyle name="Normal 4 2 2 3 2 4" xfId="5106" xr:uid="{00000000-0005-0000-0000-0000FB130000}"/>
    <cellStyle name="Normal 4 2 2 3 2 4 2" xfId="5107" xr:uid="{00000000-0005-0000-0000-0000FC130000}"/>
    <cellStyle name="Normal 4 2 2 3 2 5" xfId="5108" xr:uid="{00000000-0005-0000-0000-0000FD130000}"/>
    <cellStyle name="Normal 4 2 2 3 3" xfId="5109" xr:uid="{00000000-0005-0000-0000-0000FE130000}"/>
    <cellStyle name="Normal 4 2 2 3 3 2" xfId="5110" xr:uid="{00000000-0005-0000-0000-0000FF130000}"/>
    <cellStyle name="Normal 4 2 2 3 3 2 2" xfId="5111" xr:uid="{00000000-0005-0000-0000-000000140000}"/>
    <cellStyle name="Normal 4 2 2 3 3 2 2 2" xfId="5112" xr:uid="{00000000-0005-0000-0000-000001140000}"/>
    <cellStyle name="Normal 4 2 2 3 3 2 3" xfId="5113" xr:uid="{00000000-0005-0000-0000-000002140000}"/>
    <cellStyle name="Normal 4 2 2 3 3 2 3 2" xfId="5114" xr:uid="{00000000-0005-0000-0000-000003140000}"/>
    <cellStyle name="Normal 4 2 2 3 3 2 4" xfId="5115" xr:uid="{00000000-0005-0000-0000-000004140000}"/>
    <cellStyle name="Normal 4 2 2 3 3 3" xfId="5116" xr:uid="{00000000-0005-0000-0000-000005140000}"/>
    <cellStyle name="Normal 4 2 2 3 3 3 2" xfId="5117" xr:uid="{00000000-0005-0000-0000-000006140000}"/>
    <cellStyle name="Normal 4 2 2 3 3 4" xfId="5118" xr:uid="{00000000-0005-0000-0000-000007140000}"/>
    <cellStyle name="Normal 4 2 2 3 3 4 2" xfId="5119" xr:uid="{00000000-0005-0000-0000-000008140000}"/>
    <cellStyle name="Normal 4 2 2 3 3 5" xfId="5120" xr:uid="{00000000-0005-0000-0000-000009140000}"/>
    <cellStyle name="Normal 4 2 2 3 4" xfId="5121" xr:uid="{00000000-0005-0000-0000-00000A140000}"/>
    <cellStyle name="Normal 4 2 2 3 4 2" xfId="5122" xr:uid="{00000000-0005-0000-0000-00000B140000}"/>
    <cellStyle name="Normal 4 2 2 3 4 2 2" xfId="5123" xr:uid="{00000000-0005-0000-0000-00000C140000}"/>
    <cellStyle name="Normal 4 2 2 3 4 3" xfId="5124" xr:uid="{00000000-0005-0000-0000-00000D140000}"/>
    <cellStyle name="Normal 4 2 2 3 4 3 2" xfId="5125" xr:uid="{00000000-0005-0000-0000-00000E140000}"/>
    <cellStyle name="Normal 4 2 2 3 4 4" xfId="5126" xr:uid="{00000000-0005-0000-0000-00000F140000}"/>
    <cellStyle name="Normal 4 2 2 3 5" xfId="5127" xr:uid="{00000000-0005-0000-0000-000010140000}"/>
    <cellStyle name="Normal 4 2 2 3 5 2" xfId="5128" xr:uid="{00000000-0005-0000-0000-000011140000}"/>
    <cellStyle name="Normal 4 2 2 3 6" xfId="5129" xr:uid="{00000000-0005-0000-0000-000012140000}"/>
    <cellStyle name="Normal 4 2 2 3 6 2" xfId="5130" xr:uid="{00000000-0005-0000-0000-000013140000}"/>
    <cellStyle name="Normal 4 2 2 3 7" xfId="5131" xr:uid="{00000000-0005-0000-0000-000014140000}"/>
    <cellStyle name="Normal 4 2 2 4" xfId="5132" xr:uid="{00000000-0005-0000-0000-000015140000}"/>
    <cellStyle name="Normal 4 2 2 4 2" xfId="5133" xr:uid="{00000000-0005-0000-0000-000016140000}"/>
    <cellStyle name="Normal 4 2 2 4 2 2" xfId="5134" xr:uid="{00000000-0005-0000-0000-000017140000}"/>
    <cellStyle name="Normal 4 2 2 4 2 2 2" xfId="5135" xr:uid="{00000000-0005-0000-0000-000018140000}"/>
    <cellStyle name="Normal 4 2 2 4 2 2 2 2" xfId="5136" xr:uid="{00000000-0005-0000-0000-000019140000}"/>
    <cellStyle name="Normal 4 2 2 4 2 2 3" xfId="5137" xr:uid="{00000000-0005-0000-0000-00001A140000}"/>
    <cellStyle name="Normal 4 2 2 4 2 2 3 2" xfId="5138" xr:uid="{00000000-0005-0000-0000-00001B140000}"/>
    <cellStyle name="Normal 4 2 2 4 2 2 4" xfId="5139" xr:uid="{00000000-0005-0000-0000-00001C140000}"/>
    <cellStyle name="Normal 4 2 2 4 2 3" xfId="5140" xr:uid="{00000000-0005-0000-0000-00001D140000}"/>
    <cellStyle name="Normal 4 2 2 4 2 3 2" xfId="5141" xr:uid="{00000000-0005-0000-0000-00001E140000}"/>
    <cellStyle name="Normal 4 2 2 4 2 4" xfId="5142" xr:uid="{00000000-0005-0000-0000-00001F140000}"/>
    <cellStyle name="Normal 4 2 2 4 2 4 2" xfId="5143" xr:uid="{00000000-0005-0000-0000-000020140000}"/>
    <cellStyle name="Normal 4 2 2 4 2 5" xfId="5144" xr:uid="{00000000-0005-0000-0000-000021140000}"/>
    <cellStyle name="Normal 4 2 2 4 3" xfId="5145" xr:uid="{00000000-0005-0000-0000-000022140000}"/>
    <cellStyle name="Normal 4 2 2 4 3 2" xfId="5146" xr:uid="{00000000-0005-0000-0000-000023140000}"/>
    <cellStyle name="Normal 4 2 2 4 3 2 2" xfId="5147" xr:uid="{00000000-0005-0000-0000-000024140000}"/>
    <cellStyle name="Normal 4 2 2 4 3 2 2 2" xfId="5148" xr:uid="{00000000-0005-0000-0000-000025140000}"/>
    <cellStyle name="Normal 4 2 2 4 3 2 3" xfId="5149" xr:uid="{00000000-0005-0000-0000-000026140000}"/>
    <cellStyle name="Normal 4 2 2 4 3 2 3 2" xfId="5150" xr:uid="{00000000-0005-0000-0000-000027140000}"/>
    <cellStyle name="Normal 4 2 2 4 3 2 4" xfId="5151" xr:uid="{00000000-0005-0000-0000-000028140000}"/>
    <cellStyle name="Normal 4 2 2 4 3 3" xfId="5152" xr:uid="{00000000-0005-0000-0000-000029140000}"/>
    <cellStyle name="Normal 4 2 2 4 3 3 2" xfId="5153" xr:uid="{00000000-0005-0000-0000-00002A140000}"/>
    <cellStyle name="Normal 4 2 2 4 3 4" xfId="5154" xr:uid="{00000000-0005-0000-0000-00002B140000}"/>
    <cellStyle name="Normal 4 2 2 4 3 4 2" xfId="5155" xr:uid="{00000000-0005-0000-0000-00002C140000}"/>
    <cellStyle name="Normal 4 2 2 4 3 5" xfId="5156" xr:uid="{00000000-0005-0000-0000-00002D140000}"/>
    <cellStyle name="Normal 4 2 2 4 4" xfId="5157" xr:uid="{00000000-0005-0000-0000-00002E140000}"/>
    <cellStyle name="Normal 4 2 2 4 4 2" xfId="5158" xr:uid="{00000000-0005-0000-0000-00002F140000}"/>
    <cellStyle name="Normal 4 2 2 4 4 2 2" xfId="5159" xr:uid="{00000000-0005-0000-0000-000030140000}"/>
    <cellStyle name="Normal 4 2 2 4 4 3" xfId="5160" xr:uid="{00000000-0005-0000-0000-000031140000}"/>
    <cellStyle name="Normal 4 2 2 4 4 3 2" xfId="5161" xr:uid="{00000000-0005-0000-0000-000032140000}"/>
    <cellStyle name="Normal 4 2 2 4 4 4" xfId="5162" xr:uid="{00000000-0005-0000-0000-000033140000}"/>
    <cellStyle name="Normal 4 2 2 4 5" xfId="5163" xr:uid="{00000000-0005-0000-0000-000034140000}"/>
    <cellStyle name="Normal 4 2 2 4 5 2" xfId="5164" xr:uid="{00000000-0005-0000-0000-000035140000}"/>
    <cellStyle name="Normal 4 2 2 4 6" xfId="5165" xr:uid="{00000000-0005-0000-0000-000036140000}"/>
    <cellStyle name="Normal 4 2 2 4 6 2" xfId="5166" xr:uid="{00000000-0005-0000-0000-000037140000}"/>
    <cellStyle name="Normal 4 2 2 4 7" xfId="5167" xr:uid="{00000000-0005-0000-0000-000038140000}"/>
    <cellStyle name="Normal 4 2 2 5" xfId="5168" xr:uid="{00000000-0005-0000-0000-000039140000}"/>
    <cellStyle name="Normal 4 2 2 5 2" xfId="5169" xr:uid="{00000000-0005-0000-0000-00003A140000}"/>
    <cellStyle name="Normal 4 2 2 5 2 2" xfId="5170" xr:uid="{00000000-0005-0000-0000-00003B140000}"/>
    <cellStyle name="Normal 4 2 2 5 2 2 2" xfId="5171" xr:uid="{00000000-0005-0000-0000-00003C140000}"/>
    <cellStyle name="Normal 4 2 2 5 2 2 2 2" xfId="5172" xr:uid="{00000000-0005-0000-0000-00003D140000}"/>
    <cellStyle name="Normal 4 2 2 5 2 2 3" xfId="5173" xr:uid="{00000000-0005-0000-0000-00003E140000}"/>
    <cellStyle name="Normal 4 2 2 5 2 2 3 2" xfId="5174" xr:uid="{00000000-0005-0000-0000-00003F140000}"/>
    <cellStyle name="Normal 4 2 2 5 2 2 4" xfId="5175" xr:uid="{00000000-0005-0000-0000-000040140000}"/>
    <cellStyle name="Normal 4 2 2 5 2 3" xfId="5176" xr:uid="{00000000-0005-0000-0000-000041140000}"/>
    <cellStyle name="Normal 4 2 2 5 2 3 2" xfId="5177" xr:uid="{00000000-0005-0000-0000-000042140000}"/>
    <cellStyle name="Normal 4 2 2 5 2 4" xfId="5178" xr:uid="{00000000-0005-0000-0000-000043140000}"/>
    <cellStyle name="Normal 4 2 2 5 2 4 2" xfId="5179" xr:uid="{00000000-0005-0000-0000-000044140000}"/>
    <cellStyle name="Normal 4 2 2 5 2 5" xfId="5180" xr:uid="{00000000-0005-0000-0000-000045140000}"/>
    <cellStyle name="Normal 4 2 2 5 3" xfId="5181" xr:uid="{00000000-0005-0000-0000-000046140000}"/>
    <cellStyle name="Normal 4 2 2 5 3 2" xfId="5182" xr:uid="{00000000-0005-0000-0000-000047140000}"/>
    <cellStyle name="Normal 4 2 2 5 3 2 2" xfId="5183" xr:uid="{00000000-0005-0000-0000-000048140000}"/>
    <cellStyle name="Normal 4 2 2 5 3 2 2 2" xfId="5184" xr:uid="{00000000-0005-0000-0000-000049140000}"/>
    <cellStyle name="Normal 4 2 2 5 3 2 3" xfId="5185" xr:uid="{00000000-0005-0000-0000-00004A140000}"/>
    <cellStyle name="Normal 4 2 2 5 3 2 3 2" xfId="5186" xr:uid="{00000000-0005-0000-0000-00004B140000}"/>
    <cellStyle name="Normal 4 2 2 5 3 2 4" xfId="5187" xr:uid="{00000000-0005-0000-0000-00004C140000}"/>
    <cellStyle name="Normal 4 2 2 5 3 3" xfId="5188" xr:uid="{00000000-0005-0000-0000-00004D140000}"/>
    <cellStyle name="Normal 4 2 2 5 3 3 2" xfId="5189" xr:uid="{00000000-0005-0000-0000-00004E140000}"/>
    <cellStyle name="Normal 4 2 2 5 3 4" xfId="5190" xr:uid="{00000000-0005-0000-0000-00004F140000}"/>
    <cellStyle name="Normal 4 2 2 5 3 4 2" xfId="5191" xr:uid="{00000000-0005-0000-0000-000050140000}"/>
    <cellStyle name="Normal 4 2 2 5 3 5" xfId="5192" xr:uid="{00000000-0005-0000-0000-000051140000}"/>
    <cellStyle name="Normal 4 2 2 5 4" xfId="5193" xr:uid="{00000000-0005-0000-0000-000052140000}"/>
    <cellStyle name="Normal 4 2 2 5 4 2" xfId="5194" xr:uid="{00000000-0005-0000-0000-000053140000}"/>
    <cellStyle name="Normal 4 2 2 5 4 2 2" xfId="5195" xr:uid="{00000000-0005-0000-0000-000054140000}"/>
    <cellStyle name="Normal 4 2 2 5 4 3" xfId="5196" xr:uid="{00000000-0005-0000-0000-000055140000}"/>
    <cellStyle name="Normal 4 2 2 5 4 3 2" xfId="5197" xr:uid="{00000000-0005-0000-0000-000056140000}"/>
    <cellStyle name="Normal 4 2 2 5 4 4" xfId="5198" xr:uid="{00000000-0005-0000-0000-000057140000}"/>
    <cellStyle name="Normal 4 2 2 5 5" xfId="5199" xr:uid="{00000000-0005-0000-0000-000058140000}"/>
    <cellStyle name="Normal 4 2 2 5 5 2" xfId="5200" xr:uid="{00000000-0005-0000-0000-000059140000}"/>
    <cellStyle name="Normal 4 2 2 5 6" xfId="5201" xr:uid="{00000000-0005-0000-0000-00005A140000}"/>
    <cellStyle name="Normal 4 2 2 5 6 2" xfId="5202" xr:uid="{00000000-0005-0000-0000-00005B140000}"/>
    <cellStyle name="Normal 4 2 2 5 7" xfId="5203" xr:uid="{00000000-0005-0000-0000-00005C140000}"/>
    <cellStyle name="Normal 4 2 2 6" xfId="5204" xr:uid="{00000000-0005-0000-0000-00005D140000}"/>
    <cellStyle name="Normal 4 2 2 6 2" xfId="5205" xr:uid="{00000000-0005-0000-0000-00005E140000}"/>
    <cellStyle name="Normal 4 2 2 6 2 2" xfId="5206" xr:uid="{00000000-0005-0000-0000-00005F140000}"/>
    <cellStyle name="Normal 4 2 2 6 2 2 2" xfId="5207" xr:uid="{00000000-0005-0000-0000-000060140000}"/>
    <cellStyle name="Normal 4 2 2 6 2 2 2 2" xfId="5208" xr:uid="{00000000-0005-0000-0000-000061140000}"/>
    <cellStyle name="Normal 4 2 2 6 2 2 3" xfId="5209" xr:uid="{00000000-0005-0000-0000-000062140000}"/>
    <cellStyle name="Normal 4 2 2 6 2 2 3 2" xfId="5210" xr:uid="{00000000-0005-0000-0000-000063140000}"/>
    <cellStyle name="Normal 4 2 2 6 2 2 4" xfId="5211" xr:uid="{00000000-0005-0000-0000-000064140000}"/>
    <cellStyle name="Normal 4 2 2 6 2 3" xfId="5212" xr:uid="{00000000-0005-0000-0000-000065140000}"/>
    <cellStyle name="Normal 4 2 2 6 2 3 2" xfId="5213" xr:uid="{00000000-0005-0000-0000-000066140000}"/>
    <cellStyle name="Normal 4 2 2 6 2 4" xfId="5214" xr:uid="{00000000-0005-0000-0000-000067140000}"/>
    <cellStyle name="Normal 4 2 2 6 2 4 2" xfId="5215" xr:uid="{00000000-0005-0000-0000-000068140000}"/>
    <cellStyle name="Normal 4 2 2 6 2 5" xfId="5216" xr:uid="{00000000-0005-0000-0000-000069140000}"/>
    <cellStyle name="Normal 4 2 2 6 3" xfId="5217" xr:uid="{00000000-0005-0000-0000-00006A140000}"/>
    <cellStyle name="Normal 4 2 2 6 3 2" xfId="5218" xr:uid="{00000000-0005-0000-0000-00006B140000}"/>
    <cellStyle name="Normal 4 2 2 6 3 2 2" xfId="5219" xr:uid="{00000000-0005-0000-0000-00006C140000}"/>
    <cellStyle name="Normal 4 2 2 6 3 2 2 2" xfId="5220" xr:uid="{00000000-0005-0000-0000-00006D140000}"/>
    <cellStyle name="Normal 4 2 2 6 3 2 3" xfId="5221" xr:uid="{00000000-0005-0000-0000-00006E140000}"/>
    <cellStyle name="Normal 4 2 2 6 3 2 3 2" xfId="5222" xr:uid="{00000000-0005-0000-0000-00006F140000}"/>
    <cellStyle name="Normal 4 2 2 6 3 2 4" xfId="5223" xr:uid="{00000000-0005-0000-0000-000070140000}"/>
    <cellStyle name="Normal 4 2 2 6 3 3" xfId="5224" xr:uid="{00000000-0005-0000-0000-000071140000}"/>
    <cellStyle name="Normal 4 2 2 6 3 3 2" xfId="5225" xr:uid="{00000000-0005-0000-0000-000072140000}"/>
    <cellStyle name="Normal 4 2 2 6 3 4" xfId="5226" xr:uid="{00000000-0005-0000-0000-000073140000}"/>
    <cellStyle name="Normal 4 2 2 6 3 4 2" xfId="5227" xr:uid="{00000000-0005-0000-0000-000074140000}"/>
    <cellStyle name="Normal 4 2 2 6 3 5" xfId="5228" xr:uid="{00000000-0005-0000-0000-000075140000}"/>
    <cellStyle name="Normal 4 2 2 6 4" xfId="5229" xr:uid="{00000000-0005-0000-0000-000076140000}"/>
    <cellStyle name="Normal 4 2 2 6 4 2" xfId="5230" xr:uid="{00000000-0005-0000-0000-000077140000}"/>
    <cellStyle name="Normal 4 2 2 6 4 2 2" xfId="5231" xr:uid="{00000000-0005-0000-0000-000078140000}"/>
    <cellStyle name="Normal 4 2 2 6 4 3" xfId="5232" xr:uid="{00000000-0005-0000-0000-000079140000}"/>
    <cellStyle name="Normal 4 2 2 6 4 3 2" xfId="5233" xr:uid="{00000000-0005-0000-0000-00007A140000}"/>
    <cellStyle name="Normal 4 2 2 6 4 4" xfId="5234" xr:uid="{00000000-0005-0000-0000-00007B140000}"/>
    <cellStyle name="Normal 4 2 2 6 5" xfId="5235" xr:uid="{00000000-0005-0000-0000-00007C140000}"/>
    <cellStyle name="Normal 4 2 2 6 5 2" xfId="5236" xr:uid="{00000000-0005-0000-0000-00007D140000}"/>
    <cellStyle name="Normal 4 2 2 6 6" xfId="5237" xr:uid="{00000000-0005-0000-0000-00007E140000}"/>
    <cellStyle name="Normal 4 2 2 6 6 2" xfId="5238" xr:uid="{00000000-0005-0000-0000-00007F140000}"/>
    <cellStyle name="Normal 4 2 2 6 7" xfId="5239" xr:uid="{00000000-0005-0000-0000-000080140000}"/>
    <cellStyle name="Normal 4 2 2 7" xfId="5240" xr:uid="{00000000-0005-0000-0000-000081140000}"/>
    <cellStyle name="Normal 4 2 2 7 2" xfId="5241" xr:uid="{00000000-0005-0000-0000-000082140000}"/>
    <cellStyle name="Normal 4 2 2 7 2 2" xfId="5242" xr:uid="{00000000-0005-0000-0000-000083140000}"/>
    <cellStyle name="Normal 4 2 2 7 2 2 2" xfId="5243" xr:uid="{00000000-0005-0000-0000-000084140000}"/>
    <cellStyle name="Normal 4 2 2 7 2 3" xfId="5244" xr:uid="{00000000-0005-0000-0000-000085140000}"/>
    <cellStyle name="Normal 4 2 2 7 2 3 2" xfId="5245" xr:uid="{00000000-0005-0000-0000-000086140000}"/>
    <cellStyle name="Normal 4 2 2 7 2 4" xfId="5246" xr:uid="{00000000-0005-0000-0000-000087140000}"/>
    <cellStyle name="Normal 4 2 2 7 3" xfId="5247" xr:uid="{00000000-0005-0000-0000-000088140000}"/>
    <cellStyle name="Normal 4 2 2 7 3 2" xfId="5248" xr:uid="{00000000-0005-0000-0000-000089140000}"/>
    <cellStyle name="Normal 4 2 2 7 4" xfId="5249" xr:uid="{00000000-0005-0000-0000-00008A140000}"/>
    <cellStyle name="Normal 4 2 2 7 4 2" xfId="5250" xr:uid="{00000000-0005-0000-0000-00008B140000}"/>
    <cellStyle name="Normal 4 2 2 7 5" xfId="5251" xr:uid="{00000000-0005-0000-0000-00008C140000}"/>
    <cellStyle name="Normal 4 2 2 8" xfId="5252" xr:uid="{00000000-0005-0000-0000-00008D140000}"/>
    <cellStyle name="Normal 4 2 2 8 2" xfId="5253" xr:uid="{00000000-0005-0000-0000-00008E140000}"/>
    <cellStyle name="Normal 4 2 2 8 2 2" xfId="5254" xr:uid="{00000000-0005-0000-0000-00008F140000}"/>
    <cellStyle name="Normal 4 2 2 8 2 2 2" xfId="5255" xr:uid="{00000000-0005-0000-0000-000090140000}"/>
    <cellStyle name="Normal 4 2 2 8 2 3" xfId="5256" xr:uid="{00000000-0005-0000-0000-000091140000}"/>
    <cellStyle name="Normal 4 2 2 8 2 3 2" xfId="5257" xr:uid="{00000000-0005-0000-0000-000092140000}"/>
    <cellStyle name="Normal 4 2 2 8 2 4" xfId="5258" xr:uid="{00000000-0005-0000-0000-000093140000}"/>
    <cellStyle name="Normal 4 2 2 8 3" xfId="5259" xr:uid="{00000000-0005-0000-0000-000094140000}"/>
    <cellStyle name="Normal 4 2 2 8 3 2" xfId="5260" xr:uid="{00000000-0005-0000-0000-000095140000}"/>
    <cellStyle name="Normal 4 2 2 8 4" xfId="5261" xr:uid="{00000000-0005-0000-0000-000096140000}"/>
    <cellStyle name="Normal 4 2 2 8 4 2" xfId="5262" xr:uid="{00000000-0005-0000-0000-000097140000}"/>
    <cellStyle name="Normal 4 2 2 8 5" xfId="5263" xr:uid="{00000000-0005-0000-0000-000098140000}"/>
    <cellStyle name="Normal 4 2 2 9" xfId="5264" xr:uid="{00000000-0005-0000-0000-000099140000}"/>
    <cellStyle name="Normal 4 2 2 9 2" xfId="5265" xr:uid="{00000000-0005-0000-0000-00009A140000}"/>
    <cellStyle name="Normal 4 2 2 9 2 2" xfId="5266" xr:uid="{00000000-0005-0000-0000-00009B140000}"/>
    <cellStyle name="Normal 4 2 2 9 3" xfId="5267" xr:uid="{00000000-0005-0000-0000-00009C140000}"/>
    <cellStyle name="Normal 4 2 2 9 3 2" xfId="5268" xr:uid="{00000000-0005-0000-0000-00009D140000}"/>
    <cellStyle name="Normal 4 2 2 9 4" xfId="5269" xr:uid="{00000000-0005-0000-0000-00009E140000}"/>
    <cellStyle name="Normal 4 2 3" xfId="5270" xr:uid="{00000000-0005-0000-0000-00009F140000}"/>
    <cellStyle name="Normal 4 2 3 2" xfId="5271" xr:uid="{00000000-0005-0000-0000-0000A0140000}"/>
    <cellStyle name="Normal 4 2 3 2 2" xfId="5272" xr:uid="{00000000-0005-0000-0000-0000A1140000}"/>
    <cellStyle name="Normal 4 2 3 2 2 2" xfId="5273" xr:uid="{00000000-0005-0000-0000-0000A2140000}"/>
    <cellStyle name="Normal 4 2 3 2 2 2 2" xfId="5274" xr:uid="{00000000-0005-0000-0000-0000A3140000}"/>
    <cellStyle name="Normal 4 2 3 2 2 2 2 2" xfId="5275" xr:uid="{00000000-0005-0000-0000-0000A4140000}"/>
    <cellStyle name="Normal 4 2 3 2 2 2 3" xfId="5276" xr:uid="{00000000-0005-0000-0000-0000A5140000}"/>
    <cellStyle name="Normal 4 2 3 2 2 2 3 2" xfId="5277" xr:uid="{00000000-0005-0000-0000-0000A6140000}"/>
    <cellStyle name="Normal 4 2 3 2 2 2 4" xfId="5278" xr:uid="{00000000-0005-0000-0000-0000A7140000}"/>
    <cellStyle name="Normal 4 2 3 2 2 3" xfId="5279" xr:uid="{00000000-0005-0000-0000-0000A8140000}"/>
    <cellStyle name="Normal 4 2 3 2 2 3 2" xfId="5280" xr:uid="{00000000-0005-0000-0000-0000A9140000}"/>
    <cellStyle name="Normal 4 2 3 2 2 4" xfId="5281" xr:uid="{00000000-0005-0000-0000-0000AA140000}"/>
    <cellStyle name="Normal 4 2 3 2 2 4 2" xfId="5282" xr:uid="{00000000-0005-0000-0000-0000AB140000}"/>
    <cellStyle name="Normal 4 2 3 2 2 5" xfId="5283" xr:uid="{00000000-0005-0000-0000-0000AC140000}"/>
    <cellStyle name="Normal 4 2 3 2 3" xfId="5284" xr:uid="{00000000-0005-0000-0000-0000AD140000}"/>
    <cellStyle name="Normal 4 2 3 2 3 2" xfId="5285" xr:uid="{00000000-0005-0000-0000-0000AE140000}"/>
    <cellStyle name="Normal 4 2 3 2 3 2 2" xfId="5286" xr:uid="{00000000-0005-0000-0000-0000AF140000}"/>
    <cellStyle name="Normal 4 2 3 2 3 2 2 2" xfId="5287" xr:uid="{00000000-0005-0000-0000-0000B0140000}"/>
    <cellStyle name="Normal 4 2 3 2 3 2 3" xfId="5288" xr:uid="{00000000-0005-0000-0000-0000B1140000}"/>
    <cellStyle name="Normal 4 2 3 2 3 2 3 2" xfId="5289" xr:uid="{00000000-0005-0000-0000-0000B2140000}"/>
    <cellStyle name="Normal 4 2 3 2 3 2 4" xfId="5290" xr:uid="{00000000-0005-0000-0000-0000B3140000}"/>
    <cellStyle name="Normal 4 2 3 2 3 3" xfId="5291" xr:uid="{00000000-0005-0000-0000-0000B4140000}"/>
    <cellStyle name="Normal 4 2 3 2 3 3 2" xfId="5292" xr:uid="{00000000-0005-0000-0000-0000B5140000}"/>
    <cellStyle name="Normal 4 2 3 2 3 4" xfId="5293" xr:uid="{00000000-0005-0000-0000-0000B6140000}"/>
    <cellStyle name="Normal 4 2 3 2 3 4 2" xfId="5294" xr:uid="{00000000-0005-0000-0000-0000B7140000}"/>
    <cellStyle name="Normal 4 2 3 2 3 5" xfId="5295" xr:uid="{00000000-0005-0000-0000-0000B8140000}"/>
    <cellStyle name="Normal 4 2 3 2 4" xfId="5296" xr:uid="{00000000-0005-0000-0000-0000B9140000}"/>
    <cellStyle name="Normal 4 2 3 2 4 2" xfId="5297" xr:uid="{00000000-0005-0000-0000-0000BA140000}"/>
    <cellStyle name="Normal 4 2 3 2 4 2 2" xfId="5298" xr:uid="{00000000-0005-0000-0000-0000BB140000}"/>
    <cellStyle name="Normal 4 2 3 2 4 3" xfId="5299" xr:uid="{00000000-0005-0000-0000-0000BC140000}"/>
    <cellStyle name="Normal 4 2 3 2 4 3 2" xfId="5300" xr:uid="{00000000-0005-0000-0000-0000BD140000}"/>
    <cellStyle name="Normal 4 2 3 2 4 4" xfId="5301" xr:uid="{00000000-0005-0000-0000-0000BE140000}"/>
    <cellStyle name="Normal 4 2 3 2 5" xfId="5302" xr:uid="{00000000-0005-0000-0000-0000BF140000}"/>
    <cellStyle name="Normal 4 2 3 2 5 2" xfId="5303" xr:uid="{00000000-0005-0000-0000-0000C0140000}"/>
    <cellStyle name="Normal 4 2 3 2 6" xfId="5304" xr:uid="{00000000-0005-0000-0000-0000C1140000}"/>
    <cellStyle name="Normal 4 2 3 2 6 2" xfId="5305" xr:uid="{00000000-0005-0000-0000-0000C2140000}"/>
    <cellStyle name="Normal 4 2 3 2 7" xfId="5306" xr:uid="{00000000-0005-0000-0000-0000C3140000}"/>
    <cellStyle name="Normal 4 2 3 3" xfId="5307" xr:uid="{00000000-0005-0000-0000-0000C4140000}"/>
    <cellStyle name="Normal 4 2 3 3 2" xfId="5308" xr:uid="{00000000-0005-0000-0000-0000C5140000}"/>
    <cellStyle name="Normal 4 2 3 3 2 2" xfId="5309" xr:uid="{00000000-0005-0000-0000-0000C6140000}"/>
    <cellStyle name="Normal 4 2 3 3 2 2 2" xfId="5310" xr:uid="{00000000-0005-0000-0000-0000C7140000}"/>
    <cellStyle name="Normal 4 2 3 3 2 3" xfId="5311" xr:uid="{00000000-0005-0000-0000-0000C8140000}"/>
    <cellStyle name="Normal 4 2 3 3 2 3 2" xfId="5312" xr:uid="{00000000-0005-0000-0000-0000C9140000}"/>
    <cellStyle name="Normal 4 2 3 3 2 4" xfId="5313" xr:uid="{00000000-0005-0000-0000-0000CA140000}"/>
    <cellStyle name="Normal 4 2 3 3 3" xfId="5314" xr:uid="{00000000-0005-0000-0000-0000CB140000}"/>
    <cellStyle name="Normal 4 2 3 3 3 2" xfId="5315" xr:uid="{00000000-0005-0000-0000-0000CC140000}"/>
    <cellStyle name="Normal 4 2 3 3 4" xfId="5316" xr:uid="{00000000-0005-0000-0000-0000CD140000}"/>
    <cellStyle name="Normal 4 2 3 3 4 2" xfId="5317" xr:uid="{00000000-0005-0000-0000-0000CE140000}"/>
    <cellStyle name="Normal 4 2 3 3 5" xfId="5318" xr:uid="{00000000-0005-0000-0000-0000CF140000}"/>
    <cellStyle name="Normal 4 2 3 4" xfId="5319" xr:uid="{00000000-0005-0000-0000-0000D0140000}"/>
    <cellStyle name="Normal 4 2 3 4 2" xfId="5320" xr:uid="{00000000-0005-0000-0000-0000D1140000}"/>
    <cellStyle name="Normal 4 2 3 4 2 2" xfId="5321" xr:uid="{00000000-0005-0000-0000-0000D2140000}"/>
    <cellStyle name="Normal 4 2 3 4 2 2 2" xfId="5322" xr:uid="{00000000-0005-0000-0000-0000D3140000}"/>
    <cellStyle name="Normal 4 2 3 4 2 3" xfId="5323" xr:uid="{00000000-0005-0000-0000-0000D4140000}"/>
    <cellStyle name="Normal 4 2 3 4 2 3 2" xfId="5324" xr:uid="{00000000-0005-0000-0000-0000D5140000}"/>
    <cellStyle name="Normal 4 2 3 4 2 4" xfId="5325" xr:uid="{00000000-0005-0000-0000-0000D6140000}"/>
    <cellStyle name="Normal 4 2 3 4 3" xfId="5326" xr:uid="{00000000-0005-0000-0000-0000D7140000}"/>
    <cellStyle name="Normal 4 2 3 4 3 2" xfId="5327" xr:uid="{00000000-0005-0000-0000-0000D8140000}"/>
    <cellStyle name="Normal 4 2 3 4 4" xfId="5328" xr:uid="{00000000-0005-0000-0000-0000D9140000}"/>
    <cellStyle name="Normal 4 2 3 4 4 2" xfId="5329" xr:uid="{00000000-0005-0000-0000-0000DA140000}"/>
    <cellStyle name="Normal 4 2 3 4 5" xfId="5330" xr:uid="{00000000-0005-0000-0000-0000DB140000}"/>
    <cellStyle name="Normal 4 2 3 5" xfId="5331" xr:uid="{00000000-0005-0000-0000-0000DC140000}"/>
    <cellStyle name="Normal 4 2 3 5 2" xfId="5332" xr:uid="{00000000-0005-0000-0000-0000DD140000}"/>
    <cellStyle name="Normal 4 2 3 5 2 2" xfId="5333" xr:uid="{00000000-0005-0000-0000-0000DE140000}"/>
    <cellStyle name="Normal 4 2 3 5 3" xfId="5334" xr:uid="{00000000-0005-0000-0000-0000DF140000}"/>
    <cellStyle name="Normal 4 2 3 5 3 2" xfId="5335" xr:uid="{00000000-0005-0000-0000-0000E0140000}"/>
    <cellStyle name="Normal 4 2 3 5 4" xfId="5336" xr:uid="{00000000-0005-0000-0000-0000E1140000}"/>
    <cellStyle name="Normal 4 2 3 6" xfId="5337" xr:uid="{00000000-0005-0000-0000-0000E2140000}"/>
    <cellStyle name="Normal 4 2 3 6 2" xfId="5338" xr:uid="{00000000-0005-0000-0000-0000E3140000}"/>
    <cellStyle name="Normal 4 2 3 7" xfId="5339" xr:uid="{00000000-0005-0000-0000-0000E4140000}"/>
    <cellStyle name="Normal 4 2 3 7 2" xfId="5340" xr:uid="{00000000-0005-0000-0000-0000E5140000}"/>
    <cellStyle name="Normal 4 2 3 8" xfId="5341" xr:uid="{00000000-0005-0000-0000-0000E6140000}"/>
    <cellStyle name="Normal 4 2 4" xfId="5342" xr:uid="{00000000-0005-0000-0000-0000E7140000}"/>
    <cellStyle name="Normal 4 2 4 2" xfId="5343" xr:uid="{00000000-0005-0000-0000-0000E8140000}"/>
    <cellStyle name="Normal 4 2 4 2 2" xfId="5344" xr:uid="{00000000-0005-0000-0000-0000E9140000}"/>
    <cellStyle name="Normal 4 2 4 2 2 2" xfId="5345" xr:uid="{00000000-0005-0000-0000-0000EA140000}"/>
    <cellStyle name="Normal 4 2 4 2 2 2 2" xfId="5346" xr:uid="{00000000-0005-0000-0000-0000EB140000}"/>
    <cellStyle name="Normal 4 2 4 2 2 2 2 2" xfId="5347" xr:uid="{00000000-0005-0000-0000-0000EC140000}"/>
    <cellStyle name="Normal 4 2 4 2 2 2 3" xfId="5348" xr:uid="{00000000-0005-0000-0000-0000ED140000}"/>
    <cellStyle name="Normal 4 2 4 2 2 2 3 2" xfId="5349" xr:uid="{00000000-0005-0000-0000-0000EE140000}"/>
    <cellStyle name="Normal 4 2 4 2 2 2 4" xfId="5350" xr:uid="{00000000-0005-0000-0000-0000EF140000}"/>
    <cellStyle name="Normal 4 2 4 2 2 3" xfId="5351" xr:uid="{00000000-0005-0000-0000-0000F0140000}"/>
    <cellStyle name="Normal 4 2 4 2 2 3 2" xfId="5352" xr:uid="{00000000-0005-0000-0000-0000F1140000}"/>
    <cellStyle name="Normal 4 2 4 2 2 4" xfId="5353" xr:uid="{00000000-0005-0000-0000-0000F2140000}"/>
    <cellStyle name="Normal 4 2 4 2 2 4 2" xfId="5354" xr:uid="{00000000-0005-0000-0000-0000F3140000}"/>
    <cellStyle name="Normal 4 2 4 2 2 5" xfId="5355" xr:uid="{00000000-0005-0000-0000-0000F4140000}"/>
    <cellStyle name="Normal 4 2 4 2 3" xfId="5356" xr:uid="{00000000-0005-0000-0000-0000F5140000}"/>
    <cellStyle name="Normal 4 2 4 2 3 2" xfId="5357" xr:uid="{00000000-0005-0000-0000-0000F6140000}"/>
    <cellStyle name="Normal 4 2 4 2 3 2 2" xfId="5358" xr:uid="{00000000-0005-0000-0000-0000F7140000}"/>
    <cellStyle name="Normal 4 2 4 2 3 2 2 2" xfId="5359" xr:uid="{00000000-0005-0000-0000-0000F8140000}"/>
    <cellStyle name="Normal 4 2 4 2 3 2 3" xfId="5360" xr:uid="{00000000-0005-0000-0000-0000F9140000}"/>
    <cellStyle name="Normal 4 2 4 2 3 2 3 2" xfId="5361" xr:uid="{00000000-0005-0000-0000-0000FA140000}"/>
    <cellStyle name="Normal 4 2 4 2 3 2 4" xfId="5362" xr:uid="{00000000-0005-0000-0000-0000FB140000}"/>
    <cellStyle name="Normal 4 2 4 2 3 3" xfId="5363" xr:uid="{00000000-0005-0000-0000-0000FC140000}"/>
    <cellStyle name="Normal 4 2 4 2 3 3 2" xfId="5364" xr:uid="{00000000-0005-0000-0000-0000FD140000}"/>
    <cellStyle name="Normal 4 2 4 2 3 4" xfId="5365" xr:uid="{00000000-0005-0000-0000-0000FE140000}"/>
    <cellStyle name="Normal 4 2 4 2 3 4 2" xfId="5366" xr:uid="{00000000-0005-0000-0000-0000FF140000}"/>
    <cellStyle name="Normal 4 2 4 2 3 5" xfId="5367" xr:uid="{00000000-0005-0000-0000-000000150000}"/>
    <cellStyle name="Normal 4 2 4 2 4" xfId="5368" xr:uid="{00000000-0005-0000-0000-000001150000}"/>
    <cellStyle name="Normal 4 2 4 2 4 2" xfId="5369" xr:uid="{00000000-0005-0000-0000-000002150000}"/>
    <cellStyle name="Normal 4 2 4 2 4 2 2" xfId="5370" xr:uid="{00000000-0005-0000-0000-000003150000}"/>
    <cellStyle name="Normal 4 2 4 2 4 3" xfId="5371" xr:uid="{00000000-0005-0000-0000-000004150000}"/>
    <cellStyle name="Normal 4 2 4 2 4 3 2" xfId="5372" xr:uid="{00000000-0005-0000-0000-000005150000}"/>
    <cellStyle name="Normal 4 2 4 2 4 4" xfId="5373" xr:uid="{00000000-0005-0000-0000-000006150000}"/>
    <cellStyle name="Normal 4 2 4 2 5" xfId="5374" xr:uid="{00000000-0005-0000-0000-000007150000}"/>
    <cellStyle name="Normal 4 2 4 2 5 2" xfId="5375" xr:uid="{00000000-0005-0000-0000-000008150000}"/>
    <cellStyle name="Normal 4 2 4 2 6" xfId="5376" xr:uid="{00000000-0005-0000-0000-000009150000}"/>
    <cellStyle name="Normal 4 2 4 2 6 2" xfId="5377" xr:uid="{00000000-0005-0000-0000-00000A150000}"/>
    <cellStyle name="Normal 4 2 4 2 7" xfId="5378" xr:uid="{00000000-0005-0000-0000-00000B150000}"/>
    <cellStyle name="Normal 4 2 4 3" xfId="5379" xr:uid="{00000000-0005-0000-0000-00000C150000}"/>
    <cellStyle name="Normal 4 2 4 3 2" xfId="5380" xr:uid="{00000000-0005-0000-0000-00000D150000}"/>
    <cellStyle name="Normal 4 2 4 3 2 2" xfId="5381" xr:uid="{00000000-0005-0000-0000-00000E150000}"/>
    <cellStyle name="Normal 4 2 4 3 2 2 2" xfId="5382" xr:uid="{00000000-0005-0000-0000-00000F150000}"/>
    <cellStyle name="Normal 4 2 4 3 2 3" xfId="5383" xr:uid="{00000000-0005-0000-0000-000010150000}"/>
    <cellStyle name="Normal 4 2 4 3 2 3 2" xfId="5384" xr:uid="{00000000-0005-0000-0000-000011150000}"/>
    <cellStyle name="Normal 4 2 4 3 2 4" xfId="5385" xr:uid="{00000000-0005-0000-0000-000012150000}"/>
    <cellStyle name="Normal 4 2 4 3 3" xfId="5386" xr:uid="{00000000-0005-0000-0000-000013150000}"/>
    <cellStyle name="Normal 4 2 4 3 3 2" xfId="5387" xr:uid="{00000000-0005-0000-0000-000014150000}"/>
    <cellStyle name="Normal 4 2 4 3 4" xfId="5388" xr:uid="{00000000-0005-0000-0000-000015150000}"/>
    <cellStyle name="Normal 4 2 4 3 4 2" xfId="5389" xr:uid="{00000000-0005-0000-0000-000016150000}"/>
    <cellStyle name="Normal 4 2 4 3 5" xfId="5390" xr:uid="{00000000-0005-0000-0000-000017150000}"/>
    <cellStyle name="Normal 4 2 4 4" xfId="5391" xr:uid="{00000000-0005-0000-0000-000018150000}"/>
    <cellStyle name="Normal 4 2 4 4 2" xfId="5392" xr:uid="{00000000-0005-0000-0000-000019150000}"/>
    <cellStyle name="Normal 4 2 4 4 2 2" xfId="5393" xr:uid="{00000000-0005-0000-0000-00001A150000}"/>
    <cellStyle name="Normal 4 2 4 4 2 2 2" xfId="5394" xr:uid="{00000000-0005-0000-0000-00001B150000}"/>
    <cellStyle name="Normal 4 2 4 4 2 3" xfId="5395" xr:uid="{00000000-0005-0000-0000-00001C150000}"/>
    <cellStyle name="Normal 4 2 4 4 2 3 2" xfId="5396" xr:uid="{00000000-0005-0000-0000-00001D150000}"/>
    <cellStyle name="Normal 4 2 4 4 2 4" xfId="5397" xr:uid="{00000000-0005-0000-0000-00001E150000}"/>
    <cellStyle name="Normal 4 2 4 4 3" xfId="5398" xr:uid="{00000000-0005-0000-0000-00001F150000}"/>
    <cellStyle name="Normal 4 2 4 4 3 2" xfId="5399" xr:uid="{00000000-0005-0000-0000-000020150000}"/>
    <cellStyle name="Normal 4 2 4 4 4" xfId="5400" xr:uid="{00000000-0005-0000-0000-000021150000}"/>
    <cellStyle name="Normal 4 2 4 4 4 2" xfId="5401" xr:uid="{00000000-0005-0000-0000-000022150000}"/>
    <cellStyle name="Normal 4 2 4 4 5" xfId="5402" xr:uid="{00000000-0005-0000-0000-000023150000}"/>
    <cellStyle name="Normal 4 2 4 5" xfId="5403" xr:uid="{00000000-0005-0000-0000-000024150000}"/>
    <cellStyle name="Normal 4 2 4 5 2" xfId="5404" xr:uid="{00000000-0005-0000-0000-000025150000}"/>
    <cellStyle name="Normal 4 2 4 5 2 2" xfId="5405" xr:uid="{00000000-0005-0000-0000-000026150000}"/>
    <cellStyle name="Normal 4 2 4 5 3" xfId="5406" xr:uid="{00000000-0005-0000-0000-000027150000}"/>
    <cellStyle name="Normal 4 2 4 5 3 2" xfId="5407" xr:uid="{00000000-0005-0000-0000-000028150000}"/>
    <cellStyle name="Normal 4 2 4 5 4" xfId="5408" xr:uid="{00000000-0005-0000-0000-000029150000}"/>
    <cellStyle name="Normal 4 2 4 6" xfId="5409" xr:uid="{00000000-0005-0000-0000-00002A150000}"/>
    <cellStyle name="Normal 4 2 4 6 2" xfId="5410" xr:uid="{00000000-0005-0000-0000-00002B150000}"/>
    <cellStyle name="Normal 4 2 4 7" xfId="5411" xr:uid="{00000000-0005-0000-0000-00002C150000}"/>
    <cellStyle name="Normal 4 2 4 7 2" xfId="5412" xr:uid="{00000000-0005-0000-0000-00002D150000}"/>
    <cellStyle name="Normal 4 2 4 8" xfId="5413" xr:uid="{00000000-0005-0000-0000-00002E150000}"/>
    <cellStyle name="Normal 4 2 5" xfId="5414" xr:uid="{00000000-0005-0000-0000-00002F150000}"/>
    <cellStyle name="Normal 4 2 5 2" xfId="5415" xr:uid="{00000000-0005-0000-0000-000030150000}"/>
    <cellStyle name="Normal 4 2 5 2 2" xfId="5416" xr:uid="{00000000-0005-0000-0000-000031150000}"/>
    <cellStyle name="Normal 4 2 5 2 2 2" xfId="5417" xr:uid="{00000000-0005-0000-0000-000032150000}"/>
    <cellStyle name="Normal 4 2 5 2 2 2 2" xfId="5418" xr:uid="{00000000-0005-0000-0000-000033150000}"/>
    <cellStyle name="Normal 4 2 5 2 2 3" xfId="5419" xr:uid="{00000000-0005-0000-0000-000034150000}"/>
    <cellStyle name="Normal 4 2 5 2 2 3 2" xfId="5420" xr:uid="{00000000-0005-0000-0000-000035150000}"/>
    <cellStyle name="Normal 4 2 5 2 2 4" xfId="5421" xr:uid="{00000000-0005-0000-0000-000036150000}"/>
    <cellStyle name="Normal 4 2 5 2 3" xfId="5422" xr:uid="{00000000-0005-0000-0000-000037150000}"/>
    <cellStyle name="Normal 4 2 5 2 3 2" xfId="5423" xr:uid="{00000000-0005-0000-0000-000038150000}"/>
    <cellStyle name="Normal 4 2 5 2 4" xfId="5424" xr:uid="{00000000-0005-0000-0000-000039150000}"/>
    <cellStyle name="Normal 4 2 5 2 4 2" xfId="5425" xr:uid="{00000000-0005-0000-0000-00003A150000}"/>
    <cellStyle name="Normal 4 2 5 2 5" xfId="5426" xr:uid="{00000000-0005-0000-0000-00003B150000}"/>
    <cellStyle name="Normal 4 2 5 3" xfId="5427" xr:uid="{00000000-0005-0000-0000-00003C150000}"/>
    <cellStyle name="Normal 4 2 5 3 2" xfId="5428" xr:uid="{00000000-0005-0000-0000-00003D150000}"/>
    <cellStyle name="Normal 4 2 5 3 2 2" xfId="5429" xr:uid="{00000000-0005-0000-0000-00003E150000}"/>
    <cellStyle name="Normal 4 2 5 3 2 2 2" xfId="5430" xr:uid="{00000000-0005-0000-0000-00003F150000}"/>
    <cellStyle name="Normal 4 2 5 3 2 3" xfId="5431" xr:uid="{00000000-0005-0000-0000-000040150000}"/>
    <cellStyle name="Normal 4 2 5 3 2 3 2" xfId="5432" xr:uid="{00000000-0005-0000-0000-000041150000}"/>
    <cellStyle name="Normal 4 2 5 3 2 4" xfId="5433" xr:uid="{00000000-0005-0000-0000-000042150000}"/>
    <cellStyle name="Normal 4 2 5 3 3" xfId="5434" xr:uid="{00000000-0005-0000-0000-000043150000}"/>
    <cellStyle name="Normal 4 2 5 3 3 2" xfId="5435" xr:uid="{00000000-0005-0000-0000-000044150000}"/>
    <cellStyle name="Normal 4 2 5 3 4" xfId="5436" xr:uid="{00000000-0005-0000-0000-000045150000}"/>
    <cellStyle name="Normal 4 2 5 3 4 2" xfId="5437" xr:uid="{00000000-0005-0000-0000-000046150000}"/>
    <cellStyle name="Normal 4 2 5 3 5" xfId="5438" xr:uid="{00000000-0005-0000-0000-000047150000}"/>
    <cellStyle name="Normal 4 2 5 4" xfId="5439" xr:uid="{00000000-0005-0000-0000-000048150000}"/>
    <cellStyle name="Normal 4 2 5 4 2" xfId="5440" xr:uid="{00000000-0005-0000-0000-000049150000}"/>
    <cellStyle name="Normal 4 2 5 4 2 2" xfId="5441" xr:uid="{00000000-0005-0000-0000-00004A150000}"/>
    <cellStyle name="Normal 4 2 5 4 3" xfId="5442" xr:uid="{00000000-0005-0000-0000-00004B150000}"/>
    <cellStyle name="Normal 4 2 5 4 3 2" xfId="5443" xr:uid="{00000000-0005-0000-0000-00004C150000}"/>
    <cellStyle name="Normal 4 2 5 4 4" xfId="5444" xr:uid="{00000000-0005-0000-0000-00004D150000}"/>
    <cellStyle name="Normal 4 2 5 5" xfId="5445" xr:uid="{00000000-0005-0000-0000-00004E150000}"/>
    <cellStyle name="Normal 4 2 5 5 2" xfId="5446" xr:uid="{00000000-0005-0000-0000-00004F150000}"/>
    <cellStyle name="Normal 4 2 5 6" xfId="5447" xr:uid="{00000000-0005-0000-0000-000050150000}"/>
    <cellStyle name="Normal 4 2 5 6 2" xfId="5448" xr:uid="{00000000-0005-0000-0000-000051150000}"/>
    <cellStyle name="Normal 4 2 5 7" xfId="5449" xr:uid="{00000000-0005-0000-0000-000052150000}"/>
    <cellStyle name="Normal 4 2 6" xfId="5450" xr:uid="{00000000-0005-0000-0000-000053150000}"/>
    <cellStyle name="Normal 4 2 6 2" xfId="5451" xr:uid="{00000000-0005-0000-0000-000054150000}"/>
    <cellStyle name="Normal 4 2 6 2 2" xfId="5452" xr:uid="{00000000-0005-0000-0000-000055150000}"/>
    <cellStyle name="Normal 4 2 6 2 2 2" xfId="5453" xr:uid="{00000000-0005-0000-0000-000056150000}"/>
    <cellStyle name="Normal 4 2 6 2 2 2 2" xfId="5454" xr:uid="{00000000-0005-0000-0000-000057150000}"/>
    <cellStyle name="Normal 4 2 6 2 2 3" xfId="5455" xr:uid="{00000000-0005-0000-0000-000058150000}"/>
    <cellStyle name="Normal 4 2 6 2 2 3 2" xfId="5456" xr:uid="{00000000-0005-0000-0000-000059150000}"/>
    <cellStyle name="Normal 4 2 6 2 2 4" xfId="5457" xr:uid="{00000000-0005-0000-0000-00005A150000}"/>
    <cellStyle name="Normal 4 2 6 2 3" xfId="5458" xr:uid="{00000000-0005-0000-0000-00005B150000}"/>
    <cellStyle name="Normal 4 2 6 2 3 2" xfId="5459" xr:uid="{00000000-0005-0000-0000-00005C150000}"/>
    <cellStyle name="Normal 4 2 6 2 4" xfId="5460" xr:uid="{00000000-0005-0000-0000-00005D150000}"/>
    <cellStyle name="Normal 4 2 6 2 4 2" xfId="5461" xr:uid="{00000000-0005-0000-0000-00005E150000}"/>
    <cellStyle name="Normal 4 2 6 2 5" xfId="5462" xr:uid="{00000000-0005-0000-0000-00005F150000}"/>
    <cellStyle name="Normal 4 2 6 3" xfId="5463" xr:uid="{00000000-0005-0000-0000-000060150000}"/>
    <cellStyle name="Normal 4 2 6 3 2" xfId="5464" xr:uid="{00000000-0005-0000-0000-000061150000}"/>
    <cellStyle name="Normal 4 2 6 3 2 2" xfId="5465" xr:uid="{00000000-0005-0000-0000-000062150000}"/>
    <cellStyle name="Normal 4 2 6 3 2 2 2" xfId="5466" xr:uid="{00000000-0005-0000-0000-000063150000}"/>
    <cellStyle name="Normal 4 2 6 3 2 3" xfId="5467" xr:uid="{00000000-0005-0000-0000-000064150000}"/>
    <cellStyle name="Normal 4 2 6 3 2 3 2" xfId="5468" xr:uid="{00000000-0005-0000-0000-000065150000}"/>
    <cellStyle name="Normal 4 2 6 3 2 4" xfId="5469" xr:uid="{00000000-0005-0000-0000-000066150000}"/>
    <cellStyle name="Normal 4 2 6 3 3" xfId="5470" xr:uid="{00000000-0005-0000-0000-000067150000}"/>
    <cellStyle name="Normal 4 2 6 3 3 2" xfId="5471" xr:uid="{00000000-0005-0000-0000-000068150000}"/>
    <cellStyle name="Normal 4 2 6 3 4" xfId="5472" xr:uid="{00000000-0005-0000-0000-000069150000}"/>
    <cellStyle name="Normal 4 2 6 3 4 2" xfId="5473" xr:uid="{00000000-0005-0000-0000-00006A150000}"/>
    <cellStyle name="Normal 4 2 6 3 5" xfId="5474" xr:uid="{00000000-0005-0000-0000-00006B150000}"/>
    <cellStyle name="Normal 4 2 6 4" xfId="5475" xr:uid="{00000000-0005-0000-0000-00006C150000}"/>
    <cellStyle name="Normal 4 2 6 4 2" xfId="5476" xr:uid="{00000000-0005-0000-0000-00006D150000}"/>
    <cellStyle name="Normal 4 2 6 4 2 2" xfId="5477" xr:uid="{00000000-0005-0000-0000-00006E150000}"/>
    <cellStyle name="Normal 4 2 6 4 3" xfId="5478" xr:uid="{00000000-0005-0000-0000-00006F150000}"/>
    <cellStyle name="Normal 4 2 6 4 3 2" xfId="5479" xr:uid="{00000000-0005-0000-0000-000070150000}"/>
    <cellStyle name="Normal 4 2 6 4 4" xfId="5480" xr:uid="{00000000-0005-0000-0000-000071150000}"/>
    <cellStyle name="Normal 4 2 6 5" xfId="5481" xr:uid="{00000000-0005-0000-0000-000072150000}"/>
    <cellStyle name="Normal 4 2 6 5 2" xfId="5482" xr:uid="{00000000-0005-0000-0000-000073150000}"/>
    <cellStyle name="Normal 4 2 6 6" xfId="5483" xr:uid="{00000000-0005-0000-0000-000074150000}"/>
    <cellStyle name="Normal 4 2 6 6 2" xfId="5484" xr:uid="{00000000-0005-0000-0000-000075150000}"/>
    <cellStyle name="Normal 4 2 6 7" xfId="5485" xr:uid="{00000000-0005-0000-0000-000076150000}"/>
    <cellStyle name="Normal 4 2 7" xfId="5486" xr:uid="{00000000-0005-0000-0000-000077150000}"/>
    <cellStyle name="Normal 4 2 7 2" xfId="5487" xr:uid="{00000000-0005-0000-0000-000078150000}"/>
    <cellStyle name="Normal 4 2 7 2 2" xfId="5488" xr:uid="{00000000-0005-0000-0000-000079150000}"/>
    <cellStyle name="Normal 4 2 7 2 2 2" xfId="5489" xr:uid="{00000000-0005-0000-0000-00007A150000}"/>
    <cellStyle name="Normal 4 2 7 2 2 2 2" xfId="5490" xr:uid="{00000000-0005-0000-0000-00007B150000}"/>
    <cellStyle name="Normal 4 2 7 2 2 3" xfId="5491" xr:uid="{00000000-0005-0000-0000-00007C150000}"/>
    <cellStyle name="Normal 4 2 7 2 2 3 2" xfId="5492" xr:uid="{00000000-0005-0000-0000-00007D150000}"/>
    <cellStyle name="Normal 4 2 7 2 2 4" xfId="5493" xr:uid="{00000000-0005-0000-0000-00007E150000}"/>
    <cellStyle name="Normal 4 2 7 2 3" xfId="5494" xr:uid="{00000000-0005-0000-0000-00007F150000}"/>
    <cellStyle name="Normal 4 2 7 2 3 2" xfId="5495" xr:uid="{00000000-0005-0000-0000-000080150000}"/>
    <cellStyle name="Normal 4 2 7 2 4" xfId="5496" xr:uid="{00000000-0005-0000-0000-000081150000}"/>
    <cellStyle name="Normal 4 2 7 2 4 2" xfId="5497" xr:uid="{00000000-0005-0000-0000-000082150000}"/>
    <cellStyle name="Normal 4 2 7 2 5" xfId="5498" xr:uid="{00000000-0005-0000-0000-000083150000}"/>
    <cellStyle name="Normal 4 2 7 3" xfId="5499" xr:uid="{00000000-0005-0000-0000-000084150000}"/>
    <cellStyle name="Normal 4 2 7 3 2" xfId="5500" xr:uid="{00000000-0005-0000-0000-000085150000}"/>
    <cellStyle name="Normal 4 2 7 3 2 2" xfId="5501" xr:uid="{00000000-0005-0000-0000-000086150000}"/>
    <cellStyle name="Normal 4 2 7 3 2 2 2" xfId="5502" xr:uid="{00000000-0005-0000-0000-000087150000}"/>
    <cellStyle name="Normal 4 2 7 3 2 3" xfId="5503" xr:uid="{00000000-0005-0000-0000-000088150000}"/>
    <cellStyle name="Normal 4 2 7 3 2 3 2" xfId="5504" xr:uid="{00000000-0005-0000-0000-000089150000}"/>
    <cellStyle name="Normal 4 2 7 3 2 4" xfId="5505" xr:uid="{00000000-0005-0000-0000-00008A150000}"/>
    <cellStyle name="Normal 4 2 7 3 3" xfId="5506" xr:uid="{00000000-0005-0000-0000-00008B150000}"/>
    <cellStyle name="Normal 4 2 7 3 3 2" xfId="5507" xr:uid="{00000000-0005-0000-0000-00008C150000}"/>
    <cellStyle name="Normal 4 2 7 3 4" xfId="5508" xr:uid="{00000000-0005-0000-0000-00008D150000}"/>
    <cellStyle name="Normal 4 2 7 3 4 2" xfId="5509" xr:uid="{00000000-0005-0000-0000-00008E150000}"/>
    <cellStyle name="Normal 4 2 7 3 5" xfId="5510" xr:uid="{00000000-0005-0000-0000-00008F150000}"/>
    <cellStyle name="Normal 4 2 7 4" xfId="5511" xr:uid="{00000000-0005-0000-0000-000090150000}"/>
    <cellStyle name="Normal 4 2 7 4 2" xfId="5512" xr:uid="{00000000-0005-0000-0000-000091150000}"/>
    <cellStyle name="Normal 4 2 7 4 2 2" xfId="5513" xr:uid="{00000000-0005-0000-0000-000092150000}"/>
    <cellStyle name="Normal 4 2 7 4 3" xfId="5514" xr:uid="{00000000-0005-0000-0000-000093150000}"/>
    <cellStyle name="Normal 4 2 7 4 3 2" xfId="5515" xr:uid="{00000000-0005-0000-0000-000094150000}"/>
    <cellStyle name="Normal 4 2 7 4 4" xfId="5516" xr:uid="{00000000-0005-0000-0000-000095150000}"/>
    <cellStyle name="Normal 4 2 7 5" xfId="5517" xr:uid="{00000000-0005-0000-0000-000096150000}"/>
    <cellStyle name="Normal 4 2 7 5 2" xfId="5518" xr:uid="{00000000-0005-0000-0000-000097150000}"/>
    <cellStyle name="Normal 4 2 7 6" xfId="5519" xr:uid="{00000000-0005-0000-0000-000098150000}"/>
    <cellStyle name="Normal 4 2 7 6 2" xfId="5520" xr:uid="{00000000-0005-0000-0000-000099150000}"/>
    <cellStyle name="Normal 4 2 7 7" xfId="5521" xr:uid="{00000000-0005-0000-0000-00009A150000}"/>
    <cellStyle name="Normal 4 2 8" xfId="5522" xr:uid="{00000000-0005-0000-0000-00009B150000}"/>
    <cellStyle name="Normal 4 2 8 2" xfId="5523" xr:uid="{00000000-0005-0000-0000-00009C150000}"/>
    <cellStyle name="Normal 4 2 8 2 2" xfId="5524" xr:uid="{00000000-0005-0000-0000-00009D150000}"/>
    <cellStyle name="Normal 4 2 8 2 2 2" xfId="5525" xr:uid="{00000000-0005-0000-0000-00009E150000}"/>
    <cellStyle name="Normal 4 2 8 2 2 2 2" xfId="5526" xr:uid="{00000000-0005-0000-0000-00009F150000}"/>
    <cellStyle name="Normal 4 2 8 2 2 3" xfId="5527" xr:uid="{00000000-0005-0000-0000-0000A0150000}"/>
    <cellStyle name="Normal 4 2 8 2 2 3 2" xfId="5528" xr:uid="{00000000-0005-0000-0000-0000A1150000}"/>
    <cellStyle name="Normal 4 2 8 2 2 4" xfId="5529" xr:uid="{00000000-0005-0000-0000-0000A2150000}"/>
    <cellStyle name="Normal 4 2 8 2 3" xfId="5530" xr:uid="{00000000-0005-0000-0000-0000A3150000}"/>
    <cellStyle name="Normal 4 2 8 2 3 2" xfId="5531" xr:uid="{00000000-0005-0000-0000-0000A4150000}"/>
    <cellStyle name="Normal 4 2 8 2 4" xfId="5532" xr:uid="{00000000-0005-0000-0000-0000A5150000}"/>
    <cellStyle name="Normal 4 2 8 2 4 2" xfId="5533" xr:uid="{00000000-0005-0000-0000-0000A6150000}"/>
    <cellStyle name="Normal 4 2 8 2 5" xfId="5534" xr:uid="{00000000-0005-0000-0000-0000A7150000}"/>
    <cellStyle name="Normal 4 2 8 3" xfId="5535" xr:uid="{00000000-0005-0000-0000-0000A8150000}"/>
    <cellStyle name="Normal 4 2 8 3 2" xfId="5536" xr:uid="{00000000-0005-0000-0000-0000A9150000}"/>
    <cellStyle name="Normal 4 2 8 3 2 2" xfId="5537" xr:uid="{00000000-0005-0000-0000-0000AA150000}"/>
    <cellStyle name="Normal 4 2 8 3 2 2 2" xfId="5538" xr:uid="{00000000-0005-0000-0000-0000AB150000}"/>
    <cellStyle name="Normal 4 2 8 3 2 3" xfId="5539" xr:uid="{00000000-0005-0000-0000-0000AC150000}"/>
    <cellStyle name="Normal 4 2 8 3 2 3 2" xfId="5540" xr:uid="{00000000-0005-0000-0000-0000AD150000}"/>
    <cellStyle name="Normal 4 2 8 3 2 4" xfId="5541" xr:uid="{00000000-0005-0000-0000-0000AE150000}"/>
    <cellStyle name="Normal 4 2 8 3 3" xfId="5542" xr:uid="{00000000-0005-0000-0000-0000AF150000}"/>
    <cellStyle name="Normal 4 2 8 3 3 2" xfId="5543" xr:uid="{00000000-0005-0000-0000-0000B0150000}"/>
    <cellStyle name="Normal 4 2 8 3 4" xfId="5544" xr:uid="{00000000-0005-0000-0000-0000B1150000}"/>
    <cellStyle name="Normal 4 2 8 3 4 2" xfId="5545" xr:uid="{00000000-0005-0000-0000-0000B2150000}"/>
    <cellStyle name="Normal 4 2 8 3 5" xfId="5546" xr:uid="{00000000-0005-0000-0000-0000B3150000}"/>
    <cellStyle name="Normal 4 2 8 4" xfId="5547" xr:uid="{00000000-0005-0000-0000-0000B4150000}"/>
    <cellStyle name="Normal 4 2 8 4 2" xfId="5548" xr:uid="{00000000-0005-0000-0000-0000B5150000}"/>
    <cellStyle name="Normal 4 2 8 4 2 2" xfId="5549" xr:uid="{00000000-0005-0000-0000-0000B6150000}"/>
    <cellStyle name="Normal 4 2 8 4 3" xfId="5550" xr:uid="{00000000-0005-0000-0000-0000B7150000}"/>
    <cellStyle name="Normal 4 2 8 4 3 2" xfId="5551" xr:uid="{00000000-0005-0000-0000-0000B8150000}"/>
    <cellStyle name="Normal 4 2 8 4 4" xfId="5552" xr:uid="{00000000-0005-0000-0000-0000B9150000}"/>
    <cellStyle name="Normal 4 2 8 5" xfId="5553" xr:uid="{00000000-0005-0000-0000-0000BA150000}"/>
    <cellStyle name="Normal 4 2 8 5 2" xfId="5554" xr:uid="{00000000-0005-0000-0000-0000BB150000}"/>
    <cellStyle name="Normal 4 2 8 6" xfId="5555" xr:uid="{00000000-0005-0000-0000-0000BC150000}"/>
    <cellStyle name="Normal 4 2 8 6 2" xfId="5556" xr:uid="{00000000-0005-0000-0000-0000BD150000}"/>
    <cellStyle name="Normal 4 2 8 7" xfId="5557" xr:uid="{00000000-0005-0000-0000-0000BE150000}"/>
    <cellStyle name="Normal 4 2 9" xfId="5558" xr:uid="{00000000-0005-0000-0000-0000BF150000}"/>
    <cellStyle name="Normal 4 2 9 2" xfId="5559" xr:uid="{00000000-0005-0000-0000-0000C0150000}"/>
    <cellStyle name="Normal 4 2 9 2 2" xfId="5560" xr:uid="{00000000-0005-0000-0000-0000C1150000}"/>
    <cellStyle name="Normal 4 2 9 2 2 2" xfId="5561" xr:uid="{00000000-0005-0000-0000-0000C2150000}"/>
    <cellStyle name="Normal 4 2 9 2 3" xfId="5562" xr:uid="{00000000-0005-0000-0000-0000C3150000}"/>
    <cellStyle name="Normal 4 2 9 2 3 2" xfId="5563" xr:uid="{00000000-0005-0000-0000-0000C4150000}"/>
    <cellStyle name="Normal 4 2 9 2 4" xfId="5564" xr:uid="{00000000-0005-0000-0000-0000C5150000}"/>
    <cellStyle name="Normal 4 2 9 3" xfId="5565" xr:uid="{00000000-0005-0000-0000-0000C6150000}"/>
    <cellStyle name="Normal 4 2 9 3 2" xfId="5566" xr:uid="{00000000-0005-0000-0000-0000C7150000}"/>
    <cellStyle name="Normal 4 2 9 4" xfId="5567" xr:uid="{00000000-0005-0000-0000-0000C8150000}"/>
    <cellStyle name="Normal 4 2 9 4 2" xfId="5568" xr:uid="{00000000-0005-0000-0000-0000C9150000}"/>
    <cellStyle name="Normal 4 2 9 5" xfId="5569" xr:uid="{00000000-0005-0000-0000-0000CA150000}"/>
    <cellStyle name="Normal 4 3" xfId="5570" xr:uid="{00000000-0005-0000-0000-0000CB150000}"/>
    <cellStyle name="Normal 4 3 10" xfId="5571" xr:uid="{00000000-0005-0000-0000-0000CC150000}"/>
    <cellStyle name="Normal 4 3 10 2" xfId="5572" xr:uid="{00000000-0005-0000-0000-0000CD150000}"/>
    <cellStyle name="Normal 4 3 10 2 2" xfId="5573" xr:uid="{00000000-0005-0000-0000-0000CE150000}"/>
    <cellStyle name="Normal 4 3 10 3" xfId="5574" xr:uid="{00000000-0005-0000-0000-0000CF150000}"/>
    <cellStyle name="Normal 4 3 10 3 2" xfId="5575" xr:uid="{00000000-0005-0000-0000-0000D0150000}"/>
    <cellStyle name="Normal 4 3 10 4" xfId="5576" xr:uid="{00000000-0005-0000-0000-0000D1150000}"/>
    <cellStyle name="Normal 4 3 11" xfId="5577" xr:uid="{00000000-0005-0000-0000-0000D2150000}"/>
    <cellStyle name="Normal 4 3 11 2" xfId="5578" xr:uid="{00000000-0005-0000-0000-0000D3150000}"/>
    <cellStyle name="Normal 4 3 12" xfId="5579" xr:uid="{00000000-0005-0000-0000-0000D4150000}"/>
    <cellStyle name="Normal 4 3 12 2" xfId="5580" xr:uid="{00000000-0005-0000-0000-0000D5150000}"/>
    <cellStyle name="Normal 4 3 13" xfId="5581" xr:uid="{00000000-0005-0000-0000-0000D6150000}"/>
    <cellStyle name="Normal 4 3 2" xfId="5582" xr:uid="{00000000-0005-0000-0000-0000D7150000}"/>
    <cellStyle name="Normal 4 3 2 10" xfId="5583" xr:uid="{00000000-0005-0000-0000-0000D8150000}"/>
    <cellStyle name="Normal 4 3 2 10 2" xfId="5584" xr:uid="{00000000-0005-0000-0000-0000D9150000}"/>
    <cellStyle name="Normal 4 3 2 11" xfId="5585" xr:uid="{00000000-0005-0000-0000-0000DA150000}"/>
    <cellStyle name="Normal 4 3 2 2" xfId="5586" xr:uid="{00000000-0005-0000-0000-0000DB150000}"/>
    <cellStyle name="Normal 4 3 2 2 2" xfId="5587" xr:uid="{00000000-0005-0000-0000-0000DC150000}"/>
    <cellStyle name="Normal 4 3 2 2 2 2" xfId="5588" xr:uid="{00000000-0005-0000-0000-0000DD150000}"/>
    <cellStyle name="Normal 4 3 2 2 2 2 2" xfId="5589" xr:uid="{00000000-0005-0000-0000-0000DE150000}"/>
    <cellStyle name="Normal 4 3 2 2 2 2 2 2" xfId="5590" xr:uid="{00000000-0005-0000-0000-0000DF150000}"/>
    <cellStyle name="Normal 4 3 2 2 2 2 3" xfId="5591" xr:uid="{00000000-0005-0000-0000-0000E0150000}"/>
    <cellStyle name="Normal 4 3 2 2 2 2 3 2" xfId="5592" xr:uid="{00000000-0005-0000-0000-0000E1150000}"/>
    <cellStyle name="Normal 4 3 2 2 2 2 4" xfId="5593" xr:uid="{00000000-0005-0000-0000-0000E2150000}"/>
    <cellStyle name="Normal 4 3 2 2 2 3" xfId="5594" xr:uid="{00000000-0005-0000-0000-0000E3150000}"/>
    <cellStyle name="Normal 4 3 2 2 2 3 2" xfId="5595" xr:uid="{00000000-0005-0000-0000-0000E4150000}"/>
    <cellStyle name="Normal 4 3 2 2 2 4" xfId="5596" xr:uid="{00000000-0005-0000-0000-0000E5150000}"/>
    <cellStyle name="Normal 4 3 2 2 2 4 2" xfId="5597" xr:uid="{00000000-0005-0000-0000-0000E6150000}"/>
    <cellStyle name="Normal 4 3 2 2 2 5" xfId="5598" xr:uid="{00000000-0005-0000-0000-0000E7150000}"/>
    <cellStyle name="Normal 4 3 2 2 3" xfId="5599" xr:uid="{00000000-0005-0000-0000-0000E8150000}"/>
    <cellStyle name="Normal 4 3 2 2 3 2" xfId="5600" xr:uid="{00000000-0005-0000-0000-0000E9150000}"/>
    <cellStyle name="Normal 4 3 2 2 3 2 2" xfId="5601" xr:uid="{00000000-0005-0000-0000-0000EA150000}"/>
    <cellStyle name="Normal 4 3 2 2 3 2 2 2" xfId="5602" xr:uid="{00000000-0005-0000-0000-0000EB150000}"/>
    <cellStyle name="Normal 4 3 2 2 3 2 3" xfId="5603" xr:uid="{00000000-0005-0000-0000-0000EC150000}"/>
    <cellStyle name="Normal 4 3 2 2 3 2 3 2" xfId="5604" xr:uid="{00000000-0005-0000-0000-0000ED150000}"/>
    <cellStyle name="Normal 4 3 2 2 3 2 4" xfId="5605" xr:uid="{00000000-0005-0000-0000-0000EE150000}"/>
    <cellStyle name="Normal 4 3 2 2 3 3" xfId="5606" xr:uid="{00000000-0005-0000-0000-0000EF150000}"/>
    <cellStyle name="Normal 4 3 2 2 3 3 2" xfId="5607" xr:uid="{00000000-0005-0000-0000-0000F0150000}"/>
    <cellStyle name="Normal 4 3 2 2 3 4" xfId="5608" xr:uid="{00000000-0005-0000-0000-0000F1150000}"/>
    <cellStyle name="Normal 4 3 2 2 3 4 2" xfId="5609" xr:uid="{00000000-0005-0000-0000-0000F2150000}"/>
    <cellStyle name="Normal 4 3 2 2 3 5" xfId="5610" xr:uid="{00000000-0005-0000-0000-0000F3150000}"/>
    <cellStyle name="Normal 4 3 2 2 4" xfId="5611" xr:uid="{00000000-0005-0000-0000-0000F4150000}"/>
    <cellStyle name="Normal 4 3 2 2 4 2" xfId="5612" xr:uid="{00000000-0005-0000-0000-0000F5150000}"/>
    <cellStyle name="Normal 4 3 2 2 4 2 2" xfId="5613" xr:uid="{00000000-0005-0000-0000-0000F6150000}"/>
    <cellStyle name="Normal 4 3 2 2 4 3" xfId="5614" xr:uid="{00000000-0005-0000-0000-0000F7150000}"/>
    <cellStyle name="Normal 4 3 2 2 4 3 2" xfId="5615" xr:uid="{00000000-0005-0000-0000-0000F8150000}"/>
    <cellStyle name="Normal 4 3 2 2 4 4" xfId="5616" xr:uid="{00000000-0005-0000-0000-0000F9150000}"/>
    <cellStyle name="Normal 4 3 2 2 5" xfId="5617" xr:uid="{00000000-0005-0000-0000-0000FA150000}"/>
    <cellStyle name="Normal 4 3 2 2 5 2" xfId="5618" xr:uid="{00000000-0005-0000-0000-0000FB150000}"/>
    <cellStyle name="Normal 4 3 2 2 6" xfId="5619" xr:uid="{00000000-0005-0000-0000-0000FC150000}"/>
    <cellStyle name="Normal 4 3 2 2 6 2" xfId="5620" xr:uid="{00000000-0005-0000-0000-0000FD150000}"/>
    <cellStyle name="Normal 4 3 2 2 7" xfId="5621" xr:uid="{00000000-0005-0000-0000-0000FE150000}"/>
    <cellStyle name="Normal 4 3 2 3" xfId="5622" xr:uid="{00000000-0005-0000-0000-0000FF150000}"/>
    <cellStyle name="Normal 4 3 2 3 2" xfId="5623" xr:uid="{00000000-0005-0000-0000-000000160000}"/>
    <cellStyle name="Normal 4 3 2 3 2 2" xfId="5624" xr:uid="{00000000-0005-0000-0000-000001160000}"/>
    <cellStyle name="Normal 4 3 2 3 2 2 2" xfId="5625" xr:uid="{00000000-0005-0000-0000-000002160000}"/>
    <cellStyle name="Normal 4 3 2 3 2 2 2 2" xfId="5626" xr:uid="{00000000-0005-0000-0000-000003160000}"/>
    <cellStyle name="Normal 4 3 2 3 2 2 3" xfId="5627" xr:uid="{00000000-0005-0000-0000-000004160000}"/>
    <cellStyle name="Normal 4 3 2 3 2 2 3 2" xfId="5628" xr:uid="{00000000-0005-0000-0000-000005160000}"/>
    <cellStyle name="Normal 4 3 2 3 2 2 4" xfId="5629" xr:uid="{00000000-0005-0000-0000-000006160000}"/>
    <cellStyle name="Normal 4 3 2 3 2 3" xfId="5630" xr:uid="{00000000-0005-0000-0000-000007160000}"/>
    <cellStyle name="Normal 4 3 2 3 2 3 2" xfId="5631" xr:uid="{00000000-0005-0000-0000-000008160000}"/>
    <cellStyle name="Normal 4 3 2 3 2 4" xfId="5632" xr:uid="{00000000-0005-0000-0000-000009160000}"/>
    <cellStyle name="Normal 4 3 2 3 2 4 2" xfId="5633" xr:uid="{00000000-0005-0000-0000-00000A160000}"/>
    <cellStyle name="Normal 4 3 2 3 2 5" xfId="5634" xr:uid="{00000000-0005-0000-0000-00000B160000}"/>
    <cellStyle name="Normal 4 3 2 3 3" xfId="5635" xr:uid="{00000000-0005-0000-0000-00000C160000}"/>
    <cellStyle name="Normal 4 3 2 3 3 2" xfId="5636" xr:uid="{00000000-0005-0000-0000-00000D160000}"/>
    <cellStyle name="Normal 4 3 2 3 3 2 2" xfId="5637" xr:uid="{00000000-0005-0000-0000-00000E160000}"/>
    <cellStyle name="Normal 4 3 2 3 3 2 2 2" xfId="5638" xr:uid="{00000000-0005-0000-0000-00000F160000}"/>
    <cellStyle name="Normal 4 3 2 3 3 2 3" xfId="5639" xr:uid="{00000000-0005-0000-0000-000010160000}"/>
    <cellStyle name="Normal 4 3 2 3 3 2 3 2" xfId="5640" xr:uid="{00000000-0005-0000-0000-000011160000}"/>
    <cellStyle name="Normal 4 3 2 3 3 2 4" xfId="5641" xr:uid="{00000000-0005-0000-0000-000012160000}"/>
    <cellStyle name="Normal 4 3 2 3 3 3" xfId="5642" xr:uid="{00000000-0005-0000-0000-000013160000}"/>
    <cellStyle name="Normal 4 3 2 3 3 3 2" xfId="5643" xr:uid="{00000000-0005-0000-0000-000014160000}"/>
    <cellStyle name="Normal 4 3 2 3 3 4" xfId="5644" xr:uid="{00000000-0005-0000-0000-000015160000}"/>
    <cellStyle name="Normal 4 3 2 3 3 4 2" xfId="5645" xr:uid="{00000000-0005-0000-0000-000016160000}"/>
    <cellStyle name="Normal 4 3 2 3 3 5" xfId="5646" xr:uid="{00000000-0005-0000-0000-000017160000}"/>
    <cellStyle name="Normal 4 3 2 3 4" xfId="5647" xr:uid="{00000000-0005-0000-0000-000018160000}"/>
    <cellStyle name="Normal 4 3 2 3 4 2" xfId="5648" xr:uid="{00000000-0005-0000-0000-000019160000}"/>
    <cellStyle name="Normal 4 3 2 3 4 2 2" xfId="5649" xr:uid="{00000000-0005-0000-0000-00001A160000}"/>
    <cellStyle name="Normal 4 3 2 3 4 3" xfId="5650" xr:uid="{00000000-0005-0000-0000-00001B160000}"/>
    <cellStyle name="Normal 4 3 2 3 4 3 2" xfId="5651" xr:uid="{00000000-0005-0000-0000-00001C160000}"/>
    <cellStyle name="Normal 4 3 2 3 4 4" xfId="5652" xr:uid="{00000000-0005-0000-0000-00001D160000}"/>
    <cellStyle name="Normal 4 3 2 3 5" xfId="5653" xr:uid="{00000000-0005-0000-0000-00001E160000}"/>
    <cellStyle name="Normal 4 3 2 3 5 2" xfId="5654" xr:uid="{00000000-0005-0000-0000-00001F160000}"/>
    <cellStyle name="Normal 4 3 2 3 6" xfId="5655" xr:uid="{00000000-0005-0000-0000-000020160000}"/>
    <cellStyle name="Normal 4 3 2 3 6 2" xfId="5656" xr:uid="{00000000-0005-0000-0000-000021160000}"/>
    <cellStyle name="Normal 4 3 2 3 7" xfId="5657" xr:uid="{00000000-0005-0000-0000-000022160000}"/>
    <cellStyle name="Normal 4 3 2 4" xfId="5658" xr:uid="{00000000-0005-0000-0000-000023160000}"/>
    <cellStyle name="Normal 4 3 2 4 2" xfId="5659" xr:uid="{00000000-0005-0000-0000-000024160000}"/>
    <cellStyle name="Normal 4 3 2 4 2 2" xfId="5660" xr:uid="{00000000-0005-0000-0000-000025160000}"/>
    <cellStyle name="Normal 4 3 2 4 2 2 2" xfId="5661" xr:uid="{00000000-0005-0000-0000-000026160000}"/>
    <cellStyle name="Normal 4 3 2 4 2 2 2 2" xfId="5662" xr:uid="{00000000-0005-0000-0000-000027160000}"/>
    <cellStyle name="Normal 4 3 2 4 2 2 3" xfId="5663" xr:uid="{00000000-0005-0000-0000-000028160000}"/>
    <cellStyle name="Normal 4 3 2 4 2 2 3 2" xfId="5664" xr:uid="{00000000-0005-0000-0000-000029160000}"/>
    <cellStyle name="Normal 4 3 2 4 2 2 4" xfId="5665" xr:uid="{00000000-0005-0000-0000-00002A160000}"/>
    <cellStyle name="Normal 4 3 2 4 2 3" xfId="5666" xr:uid="{00000000-0005-0000-0000-00002B160000}"/>
    <cellStyle name="Normal 4 3 2 4 2 3 2" xfId="5667" xr:uid="{00000000-0005-0000-0000-00002C160000}"/>
    <cellStyle name="Normal 4 3 2 4 2 4" xfId="5668" xr:uid="{00000000-0005-0000-0000-00002D160000}"/>
    <cellStyle name="Normal 4 3 2 4 2 4 2" xfId="5669" xr:uid="{00000000-0005-0000-0000-00002E160000}"/>
    <cellStyle name="Normal 4 3 2 4 2 5" xfId="5670" xr:uid="{00000000-0005-0000-0000-00002F160000}"/>
    <cellStyle name="Normal 4 3 2 4 3" xfId="5671" xr:uid="{00000000-0005-0000-0000-000030160000}"/>
    <cellStyle name="Normal 4 3 2 4 3 2" xfId="5672" xr:uid="{00000000-0005-0000-0000-000031160000}"/>
    <cellStyle name="Normal 4 3 2 4 3 2 2" xfId="5673" xr:uid="{00000000-0005-0000-0000-000032160000}"/>
    <cellStyle name="Normal 4 3 2 4 3 2 2 2" xfId="5674" xr:uid="{00000000-0005-0000-0000-000033160000}"/>
    <cellStyle name="Normal 4 3 2 4 3 2 3" xfId="5675" xr:uid="{00000000-0005-0000-0000-000034160000}"/>
    <cellStyle name="Normal 4 3 2 4 3 2 3 2" xfId="5676" xr:uid="{00000000-0005-0000-0000-000035160000}"/>
    <cellStyle name="Normal 4 3 2 4 3 2 4" xfId="5677" xr:uid="{00000000-0005-0000-0000-000036160000}"/>
    <cellStyle name="Normal 4 3 2 4 3 3" xfId="5678" xr:uid="{00000000-0005-0000-0000-000037160000}"/>
    <cellStyle name="Normal 4 3 2 4 3 3 2" xfId="5679" xr:uid="{00000000-0005-0000-0000-000038160000}"/>
    <cellStyle name="Normal 4 3 2 4 3 4" xfId="5680" xr:uid="{00000000-0005-0000-0000-000039160000}"/>
    <cellStyle name="Normal 4 3 2 4 3 4 2" xfId="5681" xr:uid="{00000000-0005-0000-0000-00003A160000}"/>
    <cellStyle name="Normal 4 3 2 4 3 5" xfId="5682" xr:uid="{00000000-0005-0000-0000-00003B160000}"/>
    <cellStyle name="Normal 4 3 2 4 4" xfId="5683" xr:uid="{00000000-0005-0000-0000-00003C160000}"/>
    <cellStyle name="Normal 4 3 2 4 4 2" xfId="5684" xr:uid="{00000000-0005-0000-0000-00003D160000}"/>
    <cellStyle name="Normal 4 3 2 4 4 2 2" xfId="5685" xr:uid="{00000000-0005-0000-0000-00003E160000}"/>
    <cellStyle name="Normal 4 3 2 4 4 3" xfId="5686" xr:uid="{00000000-0005-0000-0000-00003F160000}"/>
    <cellStyle name="Normal 4 3 2 4 4 3 2" xfId="5687" xr:uid="{00000000-0005-0000-0000-000040160000}"/>
    <cellStyle name="Normal 4 3 2 4 4 4" xfId="5688" xr:uid="{00000000-0005-0000-0000-000041160000}"/>
    <cellStyle name="Normal 4 3 2 4 5" xfId="5689" xr:uid="{00000000-0005-0000-0000-000042160000}"/>
    <cellStyle name="Normal 4 3 2 4 5 2" xfId="5690" xr:uid="{00000000-0005-0000-0000-000043160000}"/>
    <cellStyle name="Normal 4 3 2 4 6" xfId="5691" xr:uid="{00000000-0005-0000-0000-000044160000}"/>
    <cellStyle name="Normal 4 3 2 4 6 2" xfId="5692" xr:uid="{00000000-0005-0000-0000-000045160000}"/>
    <cellStyle name="Normal 4 3 2 4 7" xfId="5693" xr:uid="{00000000-0005-0000-0000-000046160000}"/>
    <cellStyle name="Normal 4 3 2 5" xfId="5694" xr:uid="{00000000-0005-0000-0000-000047160000}"/>
    <cellStyle name="Normal 4 3 2 5 2" xfId="5695" xr:uid="{00000000-0005-0000-0000-000048160000}"/>
    <cellStyle name="Normal 4 3 2 5 2 2" xfId="5696" xr:uid="{00000000-0005-0000-0000-000049160000}"/>
    <cellStyle name="Normal 4 3 2 5 2 2 2" xfId="5697" xr:uid="{00000000-0005-0000-0000-00004A160000}"/>
    <cellStyle name="Normal 4 3 2 5 2 2 2 2" xfId="5698" xr:uid="{00000000-0005-0000-0000-00004B160000}"/>
    <cellStyle name="Normal 4 3 2 5 2 2 3" xfId="5699" xr:uid="{00000000-0005-0000-0000-00004C160000}"/>
    <cellStyle name="Normal 4 3 2 5 2 2 3 2" xfId="5700" xr:uid="{00000000-0005-0000-0000-00004D160000}"/>
    <cellStyle name="Normal 4 3 2 5 2 2 4" xfId="5701" xr:uid="{00000000-0005-0000-0000-00004E160000}"/>
    <cellStyle name="Normal 4 3 2 5 2 3" xfId="5702" xr:uid="{00000000-0005-0000-0000-00004F160000}"/>
    <cellStyle name="Normal 4 3 2 5 2 3 2" xfId="5703" xr:uid="{00000000-0005-0000-0000-000050160000}"/>
    <cellStyle name="Normal 4 3 2 5 2 4" xfId="5704" xr:uid="{00000000-0005-0000-0000-000051160000}"/>
    <cellStyle name="Normal 4 3 2 5 2 4 2" xfId="5705" xr:uid="{00000000-0005-0000-0000-000052160000}"/>
    <cellStyle name="Normal 4 3 2 5 2 5" xfId="5706" xr:uid="{00000000-0005-0000-0000-000053160000}"/>
    <cellStyle name="Normal 4 3 2 5 3" xfId="5707" xr:uid="{00000000-0005-0000-0000-000054160000}"/>
    <cellStyle name="Normal 4 3 2 5 3 2" xfId="5708" xr:uid="{00000000-0005-0000-0000-000055160000}"/>
    <cellStyle name="Normal 4 3 2 5 3 2 2" xfId="5709" xr:uid="{00000000-0005-0000-0000-000056160000}"/>
    <cellStyle name="Normal 4 3 2 5 3 2 2 2" xfId="5710" xr:uid="{00000000-0005-0000-0000-000057160000}"/>
    <cellStyle name="Normal 4 3 2 5 3 2 3" xfId="5711" xr:uid="{00000000-0005-0000-0000-000058160000}"/>
    <cellStyle name="Normal 4 3 2 5 3 2 3 2" xfId="5712" xr:uid="{00000000-0005-0000-0000-000059160000}"/>
    <cellStyle name="Normal 4 3 2 5 3 2 4" xfId="5713" xr:uid="{00000000-0005-0000-0000-00005A160000}"/>
    <cellStyle name="Normal 4 3 2 5 3 3" xfId="5714" xr:uid="{00000000-0005-0000-0000-00005B160000}"/>
    <cellStyle name="Normal 4 3 2 5 3 3 2" xfId="5715" xr:uid="{00000000-0005-0000-0000-00005C160000}"/>
    <cellStyle name="Normal 4 3 2 5 3 4" xfId="5716" xr:uid="{00000000-0005-0000-0000-00005D160000}"/>
    <cellStyle name="Normal 4 3 2 5 3 4 2" xfId="5717" xr:uid="{00000000-0005-0000-0000-00005E160000}"/>
    <cellStyle name="Normal 4 3 2 5 3 5" xfId="5718" xr:uid="{00000000-0005-0000-0000-00005F160000}"/>
    <cellStyle name="Normal 4 3 2 5 4" xfId="5719" xr:uid="{00000000-0005-0000-0000-000060160000}"/>
    <cellStyle name="Normal 4 3 2 5 4 2" xfId="5720" xr:uid="{00000000-0005-0000-0000-000061160000}"/>
    <cellStyle name="Normal 4 3 2 5 4 2 2" xfId="5721" xr:uid="{00000000-0005-0000-0000-000062160000}"/>
    <cellStyle name="Normal 4 3 2 5 4 3" xfId="5722" xr:uid="{00000000-0005-0000-0000-000063160000}"/>
    <cellStyle name="Normal 4 3 2 5 4 3 2" xfId="5723" xr:uid="{00000000-0005-0000-0000-000064160000}"/>
    <cellStyle name="Normal 4 3 2 5 4 4" xfId="5724" xr:uid="{00000000-0005-0000-0000-000065160000}"/>
    <cellStyle name="Normal 4 3 2 5 5" xfId="5725" xr:uid="{00000000-0005-0000-0000-000066160000}"/>
    <cellStyle name="Normal 4 3 2 5 5 2" xfId="5726" xr:uid="{00000000-0005-0000-0000-000067160000}"/>
    <cellStyle name="Normal 4 3 2 5 6" xfId="5727" xr:uid="{00000000-0005-0000-0000-000068160000}"/>
    <cellStyle name="Normal 4 3 2 5 6 2" xfId="5728" xr:uid="{00000000-0005-0000-0000-000069160000}"/>
    <cellStyle name="Normal 4 3 2 5 7" xfId="5729" xr:uid="{00000000-0005-0000-0000-00006A160000}"/>
    <cellStyle name="Normal 4 3 2 6" xfId="5730" xr:uid="{00000000-0005-0000-0000-00006B160000}"/>
    <cellStyle name="Normal 4 3 2 6 2" xfId="5731" xr:uid="{00000000-0005-0000-0000-00006C160000}"/>
    <cellStyle name="Normal 4 3 2 6 2 2" xfId="5732" xr:uid="{00000000-0005-0000-0000-00006D160000}"/>
    <cellStyle name="Normal 4 3 2 6 2 2 2" xfId="5733" xr:uid="{00000000-0005-0000-0000-00006E160000}"/>
    <cellStyle name="Normal 4 3 2 6 2 3" xfId="5734" xr:uid="{00000000-0005-0000-0000-00006F160000}"/>
    <cellStyle name="Normal 4 3 2 6 2 3 2" xfId="5735" xr:uid="{00000000-0005-0000-0000-000070160000}"/>
    <cellStyle name="Normal 4 3 2 6 2 4" xfId="5736" xr:uid="{00000000-0005-0000-0000-000071160000}"/>
    <cellStyle name="Normal 4 3 2 6 3" xfId="5737" xr:uid="{00000000-0005-0000-0000-000072160000}"/>
    <cellStyle name="Normal 4 3 2 6 3 2" xfId="5738" xr:uid="{00000000-0005-0000-0000-000073160000}"/>
    <cellStyle name="Normal 4 3 2 6 4" xfId="5739" xr:uid="{00000000-0005-0000-0000-000074160000}"/>
    <cellStyle name="Normal 4 3 2 6 4 2" xfId="5740" xr:uid="{00000000-0005-0000-0000-000075160000}"/>
    <cellStyle name="Normal 4 3 2 6 5" xfId="5741" xr:uid="{00000000-0005-0000-0000-000076160000}"/>
    <cellStyle name="Normal 4 3 2 7" xfId="5742" xr:uid="{00000000-0005-0000-0000-000077160000}"/>
    <cellStyle name="Normal 4 3 2 7 2" xfId="5743" xr:uid="{00000000-0005-0000-0000-000078160000}"/>
    <cellStyle name="Normal 4 3 2 7 2 2" xfId="5744" xr:uid="{00000000-0005-0000-0000-000079160000}"/>
    <cellStyle name="Normal 4 3 2 7 2 2 2" xfId="5745" xr:uid="{00000000-0005-0000-0000-00007A160000}"/>
    <cellStyle name="Normal 4 3 2 7 2 3" xfId="5746" xr:uid="{00000000-0005-0000-0000-00007B160000}"/>
    <cellStyle name="Normal 4 3 2 7 2 3 2" xfId="5747" xr:uid="{00000000-0005-0000-0000-00007C160000}"/>
    <cellStyle name="Normal 4 3 2 7 2 4" xfId="5748" xr:uid="{00000000-0005-0000-0000-00007D160000}"/>
    <cellStyle name="Normal 4 3 2 7 3" xfId="5749" xr:uid="{00000000-0005-0000-0000-00007E160000}"/>
    <cellStyle name="Normal 4 3 2 7 3 2" xfId="5750" xr:uid="{00000000-0005-0000-0000-00007F160000}"/>
    <cellStyle name="Normal 4 3 2 7 4" xfId="5751" xr:uid="{00000000-0005-0000-0000-000080160000}"/>
    <cellStyle name="Normal 4 3 2 7 4 2" xfId="5752" xr:uid="{00000000-0005-0000-0000-000081160000}"/>
    <cellStyle name="Normal 4 3 2 7 5" xfId="5753" xr:uid="{00000000-0005-0000-0000-000082160000}"/>
    <cellStyle name="Normal 4 3 2 8" xfId="5754" xr:uid="{00000000-0005-0000-0000-000083160000}"/>
    <cellStyle name="Normal 4 3 2 8 2" xfId="5755" xr:uid="{00000000-0005-0000-0000-000084160000}"/>
    <cellStyle name="Normal 4 3 2 8 2 2" xfId="5756" xr:uid="{00000000-0005-0000-0000-000085160000}"/>
    <cellStyle name="Normal 4 3 2 8 3" xfId="5757" xr:uid="{00000000-0005-0000-0000-000086160000}"/>
    <cellStyle name="Normal 4 3 2 8 3 2" xfId="5758" xr:uid="{00000000-0005-0000-0000-000087160000}"/>
    <cellStyle name="Normal 4 3 2 8 4" xfId="5759" xr:uid="{00000000-0005-0000-0000-000088160000}"/>
    <cellStyle name="Normal 4 3 2 9" xfId="5760" xr:uid="{00000000-0005-0000-0000-000089160000}"/>
    <cellStyle name="Normal 4 3 2 9 2" xfId="5761" xr:uid="{00000000-0005-0000-0000-00008A160000}"/>
    <cellStyle name="Normal 4 3 3" xfId="5762" xr:uid="{00000000-0005-0000-0000-00008B160000}"/>
    <cellStyle name="Normal 4 3 3 2" xfId="5763" xr:uid="{00000000-0005-0000-0000-00008C160000}"/>
    <cellStyle name="Normal 4 3 3 2 2" xfId="5764" xr:uid="{00000000-0005-0000-0000-00008D160000}"/>
    <cellStyle name="Normal 4 3 3 2 2 2" xfId="5765" xr:uid="{00000000-0005-0000-0000-00008E160000}"/>
    <cellStyle name="Normal 4 3 3 2 2 2 2" xfId="5766" xr:uid="{00000000-0005-0000-0000-00008F160000}"/>
    <cellStyle name="Normal 4 3 3 2 2 2 2 2" xfId="5767" xr:uid="{00000000-0005-0000-0000-000090160000}"/>
    <cellStyle name="Normal 4 3 3 2 2 2 3" xfId="5768" xr:uid="{00000000-0005-0000-0000-000091160000}"/>
    <cellStyle name="Normal 4 3 3 2 2 2 3 2" xfId="5769" xr:uid="{00000000-0005-0000-0000-000092160000}"/>
    <cellStyle name="Normal 4 3 3 2 2 2 4" xfId="5770" xr:uid="{00000000-0005-0000-0000-000093160000}"/>
    <cellStyle name="Normal 4 3 3 2 2 3" xfId="5771" xr:uid="{00000000-0005-0000-0000-000094160000}"/>
    <cellStyle name="Normal 4 3 3 2 2 3 2" xfId="5772" xr:uid="{00000000-0005-0000-0000-000095160000}"/>
    <cellStyle name="Normal 4 3 3 2 2 4" xfId="5773" xr:uid="{00000000-0005-0000-0000-000096160000}"/>
    <cellStyle name="Normal 4 3 3 2 2 4 2" xfId="5774" xr:uid="{00000000-0005-0000-0000-000097160000}"/>
    <cellStyle name="Normal 4 3 3 2 2 5" xfId="5775" xr:uid="{00000000-0005-0000-0000-000098160000}"/>
    <cellStyle name="Normal 4 3 3 2 3" xfId="5776" xr:uid="{00000000-0005-0000-0000-000099160000}"/>
    <cellStyle name="Normal 4 3 3 2 3 2" xfId="5777" xr:uid="{00000000-0005-0000-0000-00009A160000}"/>
    <cellStyle name="Normal 4 3 3 2 3 2 2" xfId="5778" xr:uid="{00000000-0005-0000-0000-00009B160000}"/>
    <cellStyle name="Normal 4 3 3 2 3 2 2 2" xfId="5779" xr:uid="{00000000-0005-0000-0000-00009C160000}"/>
    <cellStyle name="Normal 4 3 3 2 3 2 3" xfId="5780" xr:uid="{00000000-0005-0000-0000-00009D160000}"/>
    <cellStyle name="Normal 4 3 3 2 3 2 3 2" xfId="5781" xr:uid="{00000000-0005-0000-0000-00009E160000}"/>
    <cellStyle name="Normal 4 3 3 2 3 2 4" xfId="5782" xr:uid="{00000000-0005-0000-0000-00009F160000}"/>
    <cellStyle name="Normal 4 3 3 2 3 3" xfId="5783" xr:uid="{00000000-0005-0000-0000-0000A0160000}"/>
    <cellStyle name="Normal 4 3 3 2 3 3 2" xfId="5784" xr:uid="{00000000-0005-0000-0000-0000A1160000}"/>
    <cellStyle name="Normal 4 3 3 2 3 4" xfId="5785" xr:uid="{00000000-0005-0000-0000-0000A2160000}"/>
    <cellStyle name="Normal 4 3 3 2 3 4 2" xfId="5786" xr:uid="{00000000-0005-0000-0000-0000A3160000}"/>
    <cellStyle name="Normal 4 3 3 2 3 5" xfId="5787" xr:uid="{00000000-0005-0000-0000-0000A4160000}"/>
    <cellStyle name="Normal 4 3 3 2 4" xfId="5788" xr:uid="{00000000-0005-0000-0000-0000A5160000}"/>
    <cellStyle name="Normal 4 3 3 2 4 2" xfId="5789" xr:uid="{00000000-0005-0000-0000-0000A6160000}"/>
    <cellStyle name="Normal 4 3 3 2 4 2 2" xfId="5790" xr:uid="{00000000-0005-0000-0000-0000A7160000}"/>
    <cellStyle name="Normal 4 3 3 2 4 3" xfId="5791" xr:uid="{00000000-0005-0000-0000-0000A8160000}"/>
    <cellStyle name="Normal 4 3 3 2 4 3 2" xfId="5792" xr:uid="{00000000-0005-0000-0000-0000A9160000}"/>
    <cellStyle name="Normal 4 3 3 2 4 4" xfId="5793" xr:uid="{00000000-0005-0000-0000-0000AA160000}"/>
    <cellStyle name="Normal 4 3 3 2 5" xfId="5794" xr:uid="{00000000-0005-0000-0000-0000AB160000}"/>
    <cellStyle name="Normal 4 3 3 2 5 2" xfId="5795" xr:uid="{00000000-0005-0000-0000-0000AC160000}"/>
    <cellStyle name="Normal 4 3 3 2 6" xfId="5796" xr:uid="{00000000-0005-0000-0000-0000AD160000}"/>
    <cellStyle name="Normal 4 3 3 2 6 2" xfId="5797" xr:uid="{00000000-0005-0000-0000-0000AE160000}"/>
    <cellStyle name="Normal 4 3 3 2 7" xfId="5798" xr:uid="{00000000-0005-0000-0000-0000AF160000}"/>
    <cellStyle name="Normal 4 3 3 3" xfId="5799" xr:uid="{00000000-0005-0000-0000-0000B0160000}"/>
    <cellStyle name="Normal 4 3 3 3 2" xfId="5800" xr:uid="{00000000-0005-0000-0000-0000B1160000}"/>
    <cellStyle name="Normal 4 3 3 3 2 2" xfId="5801" xr:uid="{00000000-0005-0000-0000-0000B2160000}"/>
    <cellStyle name="Normal 4 3 3 3 2 2 2" xfId="5802" xr:uid="{00000000-0005-0000-0000-0000B3160000}"/>
    <cellStyle name="Normal 4 3 3 3 2 3" xfId="5803" xr:uid="{00000000-0005-0000-0000-0000B4160000}"/>
    <cellStyle name="Normal 4 3 3 3 2 3 2" xfId="5804" xr:uid="{00000000-0005-0000-0000-0000B5160000}"/>
    <cellStyle name="Normal 4 3 3 3 2 4" xfId="5805" xr:uid="{00000000-0005-0000-0000-0000B6160000}"/>
    <cellStyle name="Normal 4 3 3 3 3" xfId="5806" xr:uid="{00000000-0005-0000-0000-0000B7160000}"/>
    <cellStyle name="Normal 4 3 3 3 3 2" xfId="5807" xr:uid="{00000000-0005-0000-0000-0000B8160000}"/>
    <cellStyle name="Normal 4 3 3 3 4" xfId="5808" xr:uid="{00000000-0005-0000-0000-0000B9160000}"/>
    <cellStyle name="Normal 4 3 3 3 4 2" xfId="5809" xr:uid="{00000000-0005-0000-0000-0000BA160000}"/>
    <cellStyle name="Normal 4 3 3 3 5" xfId="5810" xr:uid="{00000000-0005-0000-0000-0000BB160000}"/>
    <cellStyle name="Normal 4 3 3 4" xfId="5811" xr:uid="{00000000-0005-0000-0000-0000BC160000}"/>
    <cellStyle name="Normal 4 3 3 4 2" xfId="5812" xr:uid="{00000000-0005-0000-0000-0000BD160000}"/>
    <cellStyle name="Normal 4 3 3 4 2 2" xfId="5813" xr:uid="{00000000-0005-0000-0000-0000BE160000}"/>
    <cellStyle name="Normal 4 3 3 4 2 2 2" xfId="5814" xr:uid="{00000000-0005-0000-0000-0000BF160000}"/>
    <cellStyle name="Normal 4 3 3 4 2 3" xfId="5815" xr:uid="{00000000-0005-0000-0000-0000C0160000}"/>
    <cellStyle name="Normal 4 3 3 4 2 3 2" xfId="5816" xr:uid="{00000000-0005-0000-0000-0000C1160000}"/>
    <cellStyle name="Normal 4 3 3 4 2 4" xfId="5817" xr:uid="{00000000-0005-0000-0000-0000C2160000}"/>
    <cellStyle name="Normal 4 3 3 4 3" xfId="5818" xr:uid="{00000000-0005-0000-0000-0000C3160000}"/>
    <cellStyle name="Normal 4 3 3 4 3 2" xfId="5819" xr:uid="{00000000-0005-0000-0000-0000C4160000}"/>
    <cellStyle name="Normal 4 3 3 4 4" xfId="5820" xr:uid="{00000000-0005-0000-0000-0000C5160000}"/>
    <cellStyle name="Normal 4 3 3 4 4 2" xfId="5821" xr:uid="{00000000-0005-0000-0000-0000C6160000}"/>
    <cellStyle name="Normal 4 3 3 4 5" xfId="5822" xr:uid="{00000000-0005-0000-0000-0000C7160000}"/>
    <cellStyle name="Normal 4 3 3 5" xfId="5823" xr:uid="{00000000-0005-0000-0000-0000C8160000}"/>
    <cellStyle name="Normal 4 3 3 5 2" xfId="5824" xr:uid="{00000000-0005-0000-0000-0000C9160000}"/>
    <cellStyle name="Normal 4 3 3 5 2 2" xfId="5825" xr:uid="{00000000-0005-0000-0000-0000CA160000}"/>
    <cellStyle name="Normal 4 3 3 5 3" xfId="5826" xr:uid="{00000000-0005-0000-0000-0000CB160000}"/>
    <cellStyle name="Normal 4 3 3 5 3 2" xfId="5827" xr:uid="{00000000-0005-0000-0000-0000CC160000}"/>
    <cellStyle name="Normal 4 3 3 5 4" xfId="5828" xr:uid="{00000000-0005-0000-0000-0000CD160000}"/>
    <cellStyle name="Normal 4 3 3 6" xfId="5829" xr:uid="{00000000-0005-0000-0000-0000CE160000}"/>
    <cellStyle name="Normal 4 3 3 6 2" xfId="5830" xr:uid="{00000000-0005-0000-0000-0000CF160000}"/>
    <cellStyle name="Normal 4 3 3 7" xfId="5831" xr:uid="{00000000-0005-0000-0000-0000D0160000}"/>
    <cellStyle name="Normal 4 3 3 7 2" xfId="5832" xr:uid="{00000000-0005-0000-0000-0000D1160000}"/>
    <cellStyle name="Normal 4 3 3 8" xfId="5833" xr:uid="{00000000-0005-0000-0000-0000D2160000}"/>
    <cellStyle name="Normal 4 3 4" xfId="5834" xr:uid="{00000000-0005-0000-0000-0000D3160000}"/>
    <cellStyle name="Normal 4 3 4 2" xfId="5835" xr:uid="{00000000-0005-0000-0000-0000D4160000}"/>
    <cellStyle name="Normal 4 3 4 2 2" xfId="5836" xr:uid="{00000000-0005-0000-0000-0000D5160000}"/>
    <cellStyle name="Normal 4 3 4 2 2 2" xfId="5837" xr:uid="{00000000-0005-0000-0000-0000D6160000}"/>
    <cellStyle name="Normal 4 3 4 2 2 2 2" xfId="5838" xr:uid="{00000000-0005-0000-0000-0000D7160000}"/>
    <cellStyle name="Normal 4 3 4 2 2 3" xfId="5839" xr:uid="{00000000-0005-0000-0000-0000D8160000}"/>
    <cellStyle name="Normal 4 3 4 2 2 3 2" xfId="5840" xr:uid="{00000000-0005-0000-0000-0000D9160000}"/>
    <cellStyle name="Normal 4 3 4 2 2 4" xfId="5841" xr:uid="{00000000-0005-0000-0000-0000DA160000}"/>
    <cellStyle name="Normal 4 3 4 2 3" xfId="5842" xr:uid="{00000000-0005-0000-0000-0000DB160000}"/>
    <cellStyle name="Normal 4 3 4 2 3 2" xfId="5843" xr:uid="{00000000-0005-0000-0000-0000DC160000}"/>
    <cellStyle name="Normal 4 3 4 2 4" xfId="5844" xr:uid="{00000000-0005-0000-0000-0000DD160000}"/>
    <cellStyle name="Normal 4 3 4 2 4 2" xfId="5845" xr:uid="{00000000-0005-0000-0000-0000DE160000}"/>
    <cellStyle name="Normal 4 3 4 2 5" xfId="5846" xr:uid="{00000000-0005-0000-0000-0000DF160000}"/>
    <cellStyle name="Normal 4 3 4 3" xfId="5847" xr:uid="{00000000-0005-0000-0000-0000E0160000}"/>
    <cellStyle name="Normal 4 3 4 3 2" xfId="5848" xr:uid="{00000000-0005-0000-0000-0000E1160000}"/>
    <cellStyle name="Normal 4 3 4 3 2 2" xfId="5849" xr:uid="{00000000-0005-0000-0000-0000E2160000}"/>
    <cellStyle name="Normal 4 3 4 3 2 2 2" xfId="5850" xr:uid="{00000000-0005-0000-0000-0000E3160000}"/>
    <cellStyle name="Normal 4 3 4 3 2 3" xfId="5851" xr:uid="{00000000-0005-0000-0000-0000E4160000}"/>
    <cellStyle name="Normal 4 3 4 3 2 3 2" xfId="5852" xr:uid="{00000000-0005-0000-0000-0000E5160000}"/>
    <cellStyle name="Normal 4 3 4 3 2 4" xfId="5853" xr:uid="{00000000-0005-0000-0000-0000E6160000}"/>
    <cellStyle name="Normal 4 3 4 3 3" xfId="5854" xr:uid="{00000000-0005-0000-0000-0000E7160000}"/>
    <cellStyle name="Normal 4 3 4 3 3 2" xfId="5855" xr:uid="{00000000-0005-0000-0000-0000E8160000}"/>
    <cellStyle name="Normal 4 3 4 3 4" xfId="5856" xr:uid="{00000000-0005-0000-0000-0000E9160000}"/>
    <cellStyle name="Normal 4 3 4 3 4 2" xfId="5857" xr:uid="{00000000-0005-0000-0000-0000EA160000}"/>
    <cellStyle name="Normal 4 3 4 3 5" xfId="5858" xr:uid="{00000000-0005-0000-0000-0000EB160000}"/>
    <cellStyle name="Normal 4 3 4 4" xfId="5859" xr:uid="{00000000-0005-0000-0000-0000EC160000}"/>
    <cellStyle name="Normal 4 3 4 4 2" xfId="5860" xr:uid="{00000000-0005-0000-0000-0000ED160000}"/>
    <cellStyle name="Normal 4 3 4 4 2 2" xfId="5861" xr:uid="{00000000-0005-0000-0000-0000EE160000}"/>
    <cellStyle name="Normal 4 3 4 4 3" xfId="5862" xr:uid="{00000000-0005-0000-0000-0000EF160000}"/>
    <cellStyle name="Normal 4 3 4 4 3 2" xfId="5863" xr:uid="{00000000-0005-0000-0000-0000F0160000}"/>
    <cellStyle name="Normal 4 3 4 4 4" xfId="5864" xr:uid="{00000000-0005-0000-0000-0000F1160000}"/>
    <cellStyle name="Normal 4 3 4 5" xfId="5865" xr:uid="{00000000-0005-0000-0000-0000F2160000}"/>
    <cellStyle name="Normal 4 3 4 5 2" xfId="5866" xr:uid="{00000000-0005-0000-0000-0000F3160000}"/>
    <cellStyle name="Normal 4 3 4 6" xfId="5867" xr:uid="{00000000-0005-0000-0000-0000F4160000}"/>
    <cellStyle name="Normal 4 3 4 6 2" xfId="5868" xr:uid="{00000000-0005-0000-0000-0000F5160000}"/>
    <cellStyle name="Normal 4 3 4 7" xfId="5869" xr:uid="{00000000-0005-0000-0000-0000F6160000}"/>
    <cellStyle name="Normal 4 3 5" xfId="5870" xr:uid="{00000000-0005-0000-0000-0000F7160000}"/>
    <cellStyle name="Normal 4 3 5 2" xfId="5871" xr:uid="{00000000-0005-0000-0000-0000F8160000}"/>
    <cellStyle name="Normal 4 3 5 2 2" xfId="5872" xr:uid="{00000000-0005-0000-0000-0000F9160000}"/>
    <cellStyle name="Normal 4 3 5 2 2 2" xfId="5873" xr:uid="{00000000-0005-0000-0000-0000FA160000}"/>
    <cellStyle name="Normal 4 3 5 2 2 2 2" xfId="5874" xr:uid="{00000000-0005-0000-0000-0000FB160000}"/>
    <cellStyle name="Normal 4 3 5 2 2 3" xfId="5875" xr:uid="{00000000-0005-0000-0000-0000FC160000}"/>
    <cellStyle name="Normal 4 3 5 2 2 3 2" xfId="5876" xr:uid="{00000000-0005-0000-0000-0000FD160000}"/>
    <cellStyle name="Normal 4 3 5 2 2 4" xfId="5877" xr:uid="{00000000-0005-0000-0000-0000FE160000}"/>
    <cellStyle name="Normal 4 3 5 2 3" xfId="5878" xr:uid="{00000000-0005-0000-0000-0000FF160000}"/>
    <cellStyle name="Normal 4 3 5 2 3 2" xfId="5879" xr:uid="{00000000-0005-0000-0000-000000170000}"/>
    <cellStyle name="Normal 4 3 5 2 4" xfId="5880" xr:uid="{00000000-0005-0000-0000-000001170000}"/>
    <cellStyle name="Normal 4 3 5 2 4 2" xfId="5881" xr:uid="{00000000-0005-0000-0000-000002170000}"/>
    <cellStyle name="Normal 4 3 5 2 5" xfId="5882" xr:uid="{00000000-0005-0000-0000-000003170000}"/>
    <cellStyle name="Normal 4 3 5 3" xfId="5883" xr:uid="{00000000-0005-0000-0000-000004170000}"/>
    <cellStyle name="Normal 4 3 5 3 2" xfId="5884" xr:uid="{00000000-0005-0000-0000-000005170000}"/>
    <cellStyle name="Normal 4 3 5 3 2 2" xfId="5885" xr:uid="{00000000-0005-0000-0000-000006170000}"/>
    <cellStyle name="Normal 4 3 5 3 2 2 2" xfId="5886" xr:uid="{00000000-0005-0000-0000-000007170000}"/>
    <cellStyle name="Normal 4 3 5 3 2 3" xfId="5887" xr:uid="{00000000-0005-0000-0000-000008170000}"/>
    <cellStyle name="Normal 4 3 5 3 2 3 2" xfId="5888" xr:uid="{00000000-0005-0000-0000-000009170000}"/>
    <cellStyle name="Normal 4 3 5 3 2 4" xfId="5889" xr:uid="{00000000-0005-0000-0000-00000A170000}"/>
    <cellStyle name="Normal 4 3 5 3 3" xfId="5890" xr:uid="{00000000-0005-0000-0000-00000B170000}"/>
    <cellStyle name="Normal 4 3 5 3 3 2" xfId="5891" xr:uid="{00000000-0005-0000-0000-00000C170000}"/>
    <cellStyle name="Normal 4 3 5 3 4" xfId="5892" xr:uid="{00000000-0005-0000-0000-00000D170000}"/>
    <cellStyle name="Normal 4 3 5 3 4 2" xfId="5893" xr:uid="{00000000-0005-0000-0000-00000E170000}"/>
    <cellStyle name="Normal 4 3 5 3 5" xfId="5894" xr:uid="{00000000-0005-0000-0000-00000F170000}"/>
    <cellStyle name="Normal 4 3 5 4" xfId="5895" xr:uid="{00000000-0005-0000-0000-000010170000}"/>
    <cellStyle name="Normal 4 3 5 4 2" xfId="5896" xr:uid="{00000000-0005-0000-0000-000011170000}"/>
    <cellStyle name="Normal 4 3 5 4 2 2" xfId="5897" xr:uid="{00000000-0005-0000-0000-000012170000}"/>
    <cellStyle name="Normal 4 3 5 4 3" xfId="5898" xr:uid="{00000000-0005-0000-0000-000013170000}"/>
    <cellStyle name="Normal 4 3 5 4 3 2" xfId="5899" xr:uid="{00000000-0005-0000-0000-000014170000}"/>
    <cellStyle name="Normal 4 3 5 4 4" xfId="5900" xr:uid="{00000000-0005-0000-0000-000015170000}"/>
    <cellStyle name="Normal 4 3 5 5" xfId="5901" xr:uid="{00000000-0005-0000-0000-000016170000}"/>
    <cellStyle name="Normal 4 3 5 5 2" xfId="5902" xr:uid="{00000000-0005-0000-0000-000017170000}"/>
    <cellStyle name="Normal 4 3 5 6" xfId="5903" xr:uid="{00000000-0005-0000-0000-000018170000}"/>
    <cellStyle name="Normal 4 3 5 6 2" xfId="5904" xr:uid="{00000000-0005-0000-0000-000019170000}"/>
    <cellStyle name="Normal 4 3 5 7" xfId="5905" xr:uid="{00000000-0005-0000-0000-00001A170000}"/>
    <cellStyle name="Normal 4 3 6" xfId="5906" xr:uid="{00000000-0005-0000-0000-00001B170000}"/>
    <cellStyle name="Normal 4 3 6 2" xfId="5907" xr:uid="{00000000-0005-0000-0000-00001C170000}"/>
    <cellStyle name="Normal 4 3 6 2 2" xfId="5908" xr:uid="{00000000-0005-0000-0000-00001D170000}"/>
    <cellStyle name="Normal 4 3 6 2 2 2" xfId="5909" xr:uid="{00000000-0005-0000-0000-00001E170000}"/>
    <cellStyle name="Normal 4 3 6 2 2 2 2" xfId="5910" xr:uid="{00000000-0005-0000-0000-00001F170000}"/>
    <cellStyle name="Normal 4 3 6 2 2 3" xfId="5911" xr:uid="{00000000-0005-0000-0000-000020170000}"/>
    <cellStyle name="Normal 4 3 6 2 2 3 2" xfId="5912" xr:uid="{00000000-0005-0000-0000-000021170000}"/>
    <cellStyle name="Normal 4 3 6 2 2 4" xfId="5913" xr:uid="{00000000-0005-0000-0000-000022170000}"/>
    <cellStyle name="Normal 4 3 6 2 3" xfId="5914" xr:uid="{00000000-0005-0000-0000-000023170000}"/>
    <cellStyle name="Normal 4 3 6 2 3 2" xfId="5915" xr:uid="{00000000-0005-0000-0000-000024170000}"/>
    <cellStyle name="Normal 4 3 6 2 4" xfId="5916" xr:uid="{00000000-0005-0000-0000-000025170000}"/>
    <cellStyle name="Normal 4 3 6 2 4 2" xfId="5917" xr:uid="{00000000-0005-0000-0000-000026170000}"/>
    <cellStyle name="Normal 4 3 6 2 5" xfId="5918" xr:uid="{00000000-0005-0000-0000-000027170000}"/>
    <cellStyle name="Normal 4 3 6 3" xfId="5919" xr:uid="{00000000-0005-0000-0000-000028170000}"/>
    <cellStyle name="Normal 4 3 6 3 2" xfId="5920" xr:uid="{00000000-0005-0000-0000-000029170000}"/>
    <cellStyle name="Normal 4 3 6 3 2 2" xfId="5921" xr:uid="{00000000-0005-0000-0000-00002A170000}"/>
    <cellStyle name="Normal 4 3 6 3 2 2 2" xfId="5922" xr:uid="{00000000-0005-0000-0000-00002B170000}"/>
    <cellStyle name="Normal 4 3 6 3 2 3" xfId="5923" xr:uid="{00000000-0005-0000-0000-00002C170000}"/>
    <cellStyle name="Normal 4 3 6 3 2 3 2" xfId="5924" xr:uid="{00000000-0005-0000-0000-00002D170000}"/>
    <cellStyle name="Normal 4 3 6 3 2 4" xfId="5925" xr:uid="{00000000-0005-0000-0000-00002E170000}"/>
    <cellStyle name="Normal 4 3 6 3 3" xfId="5926" xr:uid="{00000000-0005-0000-0000-00002F170000}"/>
    <cellStyle name="Normal 4 3 6 3 3 2" xfId="5927" xr:uid="{00000000-0005-0000-0000-000030170000}"/>
    <cellStyle name="Normal 4 3 6 3 4" xfId="5928" xr:uid="{00000000-0005-0000-0000-000031170000}"/>
    <cellStyle name="Normal 4 3 6 3 4 2" xfId="5929" xr:uid="{00000000-0005-0000-0000-000032170000}"/>
    <cellStyle name="Normal 4 3 6 3 5" xfId="5930" xr:uid="{00000000-0005-0000-0000-000033170000}"/>
    <cellStyle name="Normal 4 3 6 4" xfId="5931" xr:uid="{00000000-0005-0000-0000-000034170000}"/>
    <cellStyle name="Normal 4 3 6 4 2" xfId="5932" xr:uid="{00000000-0005-0000-0000-000035170000}"/>
    <cellStyle name="Normal 4 3 6 4 2 2" xfId="5933" xr:uid="{00000000-0005-0000-0000-000036170000}"/>
    <cellStyle name="Normal 4 3 6 4 3" xfId="5934" xr:uid="{00000000-0005-0000-0000-000037170000}"/>
    <cellStyle name="Normal 4 3 6 4 3 2" xfId="5935" xr:uid="{00000000-0005-0000-0000-000038170000}"/>
    <cellStyle name="Normal 4 3 6 4 4" xfId="5936" xr:uid="{00000000-0005-0000-0000-000039170000}"/>
    <cellStyle name="Normal 4 3 6 5" xfId="5937" xr:uid="{00000000-0005-0000-0000-00003A170000}"/>
    <cellStyle name="Normal 4 3 6 5 2" xfId="5938" xr:uid="{00000000-0005-0000-0000-00003B170000}"/>
    <cellStyle name="Normal 4 3 6 6" xfId="5939" xr:uid="{00000000-0005-0000-0000-00003C170000}"/>
    <cellStyle name="Normal 4 3 6 6 2" xfId="5940" xr:uid="{00000000-0005-0000-0000-00003D170000}"/>
    <cellStyle name="Normal 4 3 6 7" xfId="5941" xr:uid="{00000000-0005-0000-0000-00003E170000}"/>
    <cellStyle name="Normal 4 3 7" xfId="5942" xr:uid="{00000000-0005-0000-0000-00003F170000}"/>
    <cellStyle name="Normal 4 3 7 2" xfId="5943" xr:uid="{00000000-0005-0000-0000-000040170000}"/>
    <cellStyle name="Normal 4 3 7 2 2" xfId="5944" xr:uid="{00000000-0005-0000-0000-000041170000}"/>
    <cellStyle name="Normal 4 3 7 2 2 2" xfId="5945" xr:uid="{00000000-0005-0000-0000-000042170000}"/>
    <cellStyle name="Normal 4 3 7 2 2 2 2" xfId="5946" xr:uid="{00000000-0005-0000-0000-000043170000}"/>
    <cellStyle name="Normal 4 3 7 2 2 3" xfId="5947" xr:uid="{00000000-0005-0000-0000-000044170000}"/>
    <cellStyle name="Normal 4 3 7 2 2 3 2" xfId="5948" xr:uid="{00000000-0005-0000-0000-000045170000}"/>
    <cellStyle name="Normal 4 3 7 2 2 4" xfId="5949" xr:uid="{00000000-0005-0000-0000-000046170000}"/>
    <cellStyle name="Normal 4 3 7 2 3" xfId="5950" xr:uid="{00000000-0005-0000-0000-000047170000}"/>
    <cellStyle name="Normal 4 3 7 2 3 2" xfId="5951" xr:uid="{00000000-0005-0000-0000-000048170000}"/>
    <cellStyle name="Normal 4 3 7 2 4" xfId="5952" xr:uid="{00000000-0005-0000-0000-000049170000}"/>
    <cellStyle name="Normal 4 3 7 2 4 2" xfId="5953" xr:uid="{00000000-0005-0000-0000-00004A170000}"/>
    <cellStyle name="Normal 4 3 7 2 5" xfId="5954" xr:uid="{00000000-0005-0000-0000-00004B170000}"/>
    <cellStyle name="Normal 4 3 7 3" xfId="5955" xr:uid="{00000000-0005-0000-0000-00004C170000}"/>
    <cellStyle name="Normal 4 3 7 3 2" xfId="5956" xr:uid="{00000000-0005-0000-0000-00004D170000}"/>
    <cellStyle name="Normal 4 3 7 3 2 2" xfId="5957" xr:uid="{00000000-0005-0000-0000-00004E170000}"/>
    <cellStyle name="Normal 4 3 7 3 2 2 2" xfId="5958" xr:uid="{00000000-0005-0000-0000-00004F170000}"/>
    <cellStyle name="Normal 4 3 7 3 2 3" xfId="5959" xr:uid="{00000000-0005-0000-0000-000050170000}"/>
    <cellStyle name="Normal 4 3 7 3 2 3 2" xfId="5960" xr:uid="{00000000-0005-0000-0000-000051170000}"/>
    <cellStyle name="Normal 4 3 7 3 2 4" xfId="5961" xr:uid="{00000000-0005-0000-0000-000052170000}"/>
    <cellStyle name="Normal 4 3 7 3 3" xfId="5962" xr:uid="{00000000-0005-0000-0000-000053170000}"/>
    <cellStyle name="Normal 4 3 7 3 3 2" xfId="5963" xr:uid="{00000000-0005-0000-0000-000054170000}"/>
    <cellStyle name="Normal 4 3 7 3 4" xfId="5964" xr:uid="{00000000-0005-0000-0000-000055170000}"/>
    <cellStyle name="Normal 4 3 7 3 4 2" xfId="5965" xr:uid="{00000000-0005-0000-0000-000056170000}"/>
    <cellStyle name="Normal 4 3 7 3 5" xfId="5966" xr:uid="{00000000-0005-0000-0000-000057170000}"/>
    <cellStyle name="Normal 4 3 7 4" xfId="5967" xr:uid="{00000000-0005-0000-0000-000058170000}"/>
    <cellStyle name="Normal 4 3 7 4 2" xfId="5968" xr:uid="{00000000-0005-0000-0000-000059170000}"/>
    <cellStyle name="Normal 4 3 7 4 2 2" xfId="5969" xr:uid="{00000000-0005-0000-0000-00005A170000}"/>
    <cellStyle name="Normal 4 3 7 4 3" xfId="5970" xr:uid="{00000000-0005-0000-0000-00005B170000}"/>
    <cellStyle name="Normal 4 3 7 4 3 2" xfId="5971" xr:uid="{00000000-0005-0000-0000-00005C170000}"/>
    <cellStyle name="Normal 4 3 7 4 4" xfId="5972" xr:uid="{00000000-0005-0000-0000-00005D170000}"/>
    <cellStyle name="Normal 4 3 7 5" xfId="5973" xr:uid="{00000000-0005-0000-0000-00005E170000}"/>
    <cellStyle name="Normal 4 3 7 5 2" xfId="5974" xr:uid="{00000000-0005-0000-0000-00005F170000}"/>
    <cellStyle name="Normal 4 3 7 6" xfId="5975" xr:uid="{00000000-0005-0000-0000-000060170000}"/>
    <cellStyle name="Normal 4 3 7 6 2" xfId="5976" xr:uid="{00000000-0005-0000-0000-000061170000}"/>
    <cellStyle name="Normal 4 3 7 7" xfId="5977" xr:uid="{00000000-0005-0000-0000-000062170000}"/>
    <cellStyle name="Normal 4 3 8" xfId="5978" xr:uid="{00000000-0005-0000-0000-000063170000}"/>
    <cellStyle name="Normal 4 3 8 2" xfId="5979" xr:uid="{00000000-0005-0000-0000-000064170000}"/>
    <cellStyle name="Normal 4 3 8 2 2" xfId="5980" xr:uid="{00000000-0005-0000-0000-000065170000}"/>
    <cellStyle name="Normal 4 3 8 2 2 2" xfId="5981" xr:uid="{00000000-0005-0000-0000-000066170000}"/>
    <cellStyle name="Normal 4 3 8 2 3" xfId="5982" xr:uid="{00000000-0005-0000-0000-000067170000}"/>
    <cellStyle name="Normal 4 3 8 2 3 2" xfId="5983" xr:uid="{00000000-0005-0000-0000-000068170000}"/>
    <cellStyle name="Normal 4 3 8 2 4" xfId="5984" xr:uid="{00000000-0005-0000-0000-000069170000}"/>
    <cellStyle name="Normal 4 3 8 3" xfId="5985" xr:uid="{00000000-0005-0000-0000-00006A170000}"/>
    <cellStyle name="Normal 4 3 8 3 2" xfId="5986" xr:uid="{00000000-0005-0000-0000-00006B170000}"/>
    <cellStyle name="Normal 4 3 8 4" xfId="5987" xr:uid="{00000000-0005-0000-0000-00006C170000}"/>
    <cellStyle name="Normal 4 3 8 4 2" xfId="5988" xr:uid="{00000000-0005-0000-0000-00006D170000}"/>
    <cellStyle name="Normal 4 3 8 5" xfId="5989" xr:uid="{00000000-0005-0000-0000-00006E170000}"/>
    <cellStyle name="Normal 4 3 9" xfId="5990" xr:uid="{00000000-0005-0000-0000-00006F170000}"/>
    <cellStyle name="Normal 4 3 9 2" xfId="5991" xr:uid="{00000000-0005-0000-0000-000070170000}"/>
    <cellStyle name="Normal 4 3 9 2 2" xfId="5992" xr:uid="{00000000-0005-0000-0000-000071170000}"/>
    <cellStyle name="Normal 4 3 9 2 2 2" xfId="5993" xr:uid="{00000000-0005-0000-0000-000072170000}"/>
    <cellStyle name="Normal 4 3 9 2 3" xfId="5994" xr:uid="{00000000-0005-0000-0000-000073170000}"/>
    <cellStyle name="Normal 4 3 9 2 3 2" xfId="5995" xr:uid="{00000000-0005-0000-0000-000074170000}"/>
    <cellStyle name="Normal 4 3 9 2 4" xfId="5996" xr:uid="{00000000-0005-0000-0000-000075170000}"/>
    <cellStyle name="Normal 4 3 9 3" xfId="5997" xr:uid="{00000000-0005-0000-0000-000076170000}"/>
    <cellStyle name="Normal 4 3 9 3 2" xfId="5998" xr:uid="{00000000-0005-0000-0000-000077170000}"/>
    <cellStyle name="Normal 4 3 9 4" xfId="5999" xr:uid="{00000000-0005-0000-0000-000078170000}"/>
    <cellStyle name="Normal 4 3 9 4 2" xfId="6000" xr:uid="{00000000-0005-0000-0000-000079170000}"/>
    <cellStyle name="Normal 4 3 9 5" xfId="6001" xr:uid="{00000000-0005-0000-0000-00007A170000}"/>
    <cellStyle name="Normal 4 4" xfId="6002" xr:uid="{00000000-0005-0000-0000-00007B170000}"/>
    <cellStyle name="Normal 4 4 10" xfId="6003" xr:uid="{00000000-0005-0000-0000-00007C170000}"/>
    <cellStyle name="Normal 4 4 10 2" xfId="6004" xr:uid="{00000000-0005-0000-0000-00007D170000}"/>
    <cellStyle name="Normal 4 4 11" xfId="6005" xr:uid="{00000000-0005-0000-0000-00007E170000}"/>
    <cellStyle name="Normal 4 4 2" xfId="6006" xr:uid="{00000000-0005-0000-0000-00007F170000}"/>
    <cellStyle name="Normal 4 4 2 2" xfId="6007" xr:uid="{00000000-0005-0000-0000-000080170000}"/>
    <cellStyle name="Normal 4 4 2 2 2" xfId="6008" xr:uid="{00000000-0005-0000-0000-000081170000}"/>
    <cellStyle name="Normal 4 4 2 2 2 2" xfId="6009" xr:uid="{00000000-0005-0000-0000-000082170000}"/>
    <cellStyle name="Normal 4 4 2 2 2 2 2" xfId="6010" xr:uid="{00000000-0005-0000-0000-000083170000}"/>
    <cellStyle name="Normal 4 4 2 2 2 3" xfId="6011" xr:uid="{00000000-0005-0000-0000-000084170000}"/>
    <cellStyle name="Normal 4 4 2 2 2 3 2" xfId="6012" xr:uid="{00000000-0005-0000-0000-000085170000}"/>
    <cellStyle name="Normal 4 4 2 2 2 4" xfId="6013" xr:uid="{00000000-0005-0000-0000-000086170000}"/>
    <cellStyle name="Normal 4 4 2 2 3" xfId="6014" xr:uid="{00000000-0005-0000-0000-000087170000}"/>
    <cellStyle name="Normal 4 4 2 2 3 2" xfId="6015" xr:uid="{00000000-0005-0000-0000-000088170000}"/>
    <cellStyle name="Normal 4 4 2 2 4" xfId="6016" xr:uid="{00000000-0005-0000-0000-000089170000}"/>
    <cellStyle name="Normal 4 4 2 2 4 2" xfId="6017" xr:uid="{00000000-0005-0000-0000-00008A170000}"/>
    <cellStyle name="Normal 4 4 2 2 5" xfId="6018" xr:uid="{00000000-0005-0000-0000-00008B170000}"/>
    <cellStyle name="Normal 4 4 2 3" xfId="6019" xr:uid="{00000000-0005-0000-0000-00008C170000}"/>
    <cellStyle name="Normal 4 4 2 3 2" xfId="6020" xr:uid="{00000000-0005-0000-0000-00008D170000}"/>
    <cellStyle name="Normal 4 4 2 3 2 2" xfId="6021" xr:uid="{00000000-0005-0000-0000-00008E170000}"/>
    <cellStyle name="Normal 4 4 2 3 2 2 2" xfId="6022" xr:uid="{00000000-0005-0000-0000-00008F170000}"/>
    <cellStyle name="Normal 4 4 2 3 2 3" xfId="6023" xr:uid="{00000000-0005-0000-0000-000090170000}"/>
    <cellStyle name="Normal 4 4 2 3 2 3 2" xfId="6024" xr:uid="{00000000-0005-0000-0000-000091170000}"/>
    <cellStyle name="Normal 4 4 2 3 2 4" xfId="6025" xr:uid="{00000000-0005-0000-0000-000092170000}"/>
    <cellStyle name="Normal 4 4 2 3 3" xfId="6026" xr:uid="{00000000-0005-0000-0000-000093170000}"/>
    <cellStyle name="Normal 4 4 2 3 3 2" xfId="6027" xr:uid="{00000000-0005-0000-0000-000094170000}"/>
    <cellStyle name="Normal 4 4 2 3 4" xfId="6028" xr:uid="{00000000-0005-0000-0000-000095170000}"/>
    <cellStyle name="Normal 4 4 2 3 4 2" xfId="6029" xr:uid="{00000000-0005-0000-0000-000096170000}"/>
    <cellStyle name="Normal 4 4 2 3 5" xfId="6030" xr:uid="{00000000-0005-0000-0000-000097170000}"/>
    <cellStyle name="Normal 4 4 2 4" xfId="6031" xr:uid="{00000000-0005-0000-0000-000098170000}"/>
    <cellStyle name="Normal 4 4 2 4 2" xfId="6032" xr:uid="{00000000-0005-0000-0000-000099170000}"/>
    <cellStyle name="Normal 4 4 2 4 2 2" xfId="6033" xr:uid="{00000000-0005-0000-0000-00009A170000}"/>
    <cellStyle name="Normal 4 4 2 4 3" xfId="6034" xr:uid="{00000000-0005-0000-0000-00009B170000}"/>
    <cellStyle name="Normal 4 4 2 4 3 2" xfId="6035" xr:uid="{00000000-0005-0000-0000-00009C170000}"/>
    <cellStyle name="Normal 4 4 2 4 4" xfId="6036" xr:uid="{00000000-0005-0000-0000-00009D170000}"/>
    <cellStyle name="Normal 4 4 2 5" xfId="6037" xr:uid="{00000000-0005-0000-0000-00009E170000}"/>
    <cellStyle name="Normal 4 4 2 5 2" xfId="6038" xr:uid="{00000000-0005-0000-0000-00009F170000}"/>
    <cellStyle name="Normal 4 4 2 6" xfId="6039" xr:uid="{00000000-0005-0000-0000-0000A0170000}"/>
    <cellStyle name="Normal 4 4 2 6 2" xfId="6040" xr:uid="{00000000-0005-0000-0000-0000A1170000}"/>
    <cellStyle name="Normal 4 4 2 7" xfId="6041" xr:uid="{00000000-0005-0000-0000-0000A2170000}"/>
    <cellStyle name="Normal 4 4 3" xfId="6042" xr:uid="{00000000-0005-0000-0000-0000A3170000}"/>
    <cellStyle name="Normal 4 4 3 2" xfId="6043" xr:uid="{00000000-0005-0000-0000-0000A4170000}"/>
    <cellStyle name="Normal 4 4 3 2 2" xfId="6044" xr:uid="{00000000-0005-0000-0000-0000A5170000}"/>
    <cellStyle name="Normal 4 4 3 2 2 2" xfId="6045" xr:uid="{00000000-0005-0000-0000-0000A6170000}"/>
    <cellStyle name="Normal 4 4 3 2 2 2 2" xfId="6046" xr:uid="{00000000-0005-0000-0000-0000A7170000}"/>
    <cellStyle name="Normal 4 4 3 2 2 3" xfId="6047" xr:uid="{00000000-0005-0000-0000-0000A8170000}"/>
    <cellStyle name="Normal 4 4 3 2 2 3 2" xfId="6048" xr:uid="{00000000-0005-0000-0000-0000A9170000}"/>
    <cellStyle name="Normal 4 4 3 2 2 4" xfId="6049" xr:uid="{00000000-0005-0000-0000-0000AA170000}"/>
    <cellStyle name="Normal 4 4 3 2 3" xfId="6050" xr:uid="{00000000-0005-0000-0000-0000AB170000}"/>
    <cellStyle name="Normal 4 4 3 2 3 2" xfId="6051" xr:uid="{00000000-0005-0000-0000-0000AC170000}"/>
    <cellStyle name="Normal 4 4 3 2 4" xfId="6052" xr:uid="{00000000-0005-0000-0000-0000AD170000}"/>
    <cellStyle name="Normal 4 4 3 2 4 2" xfId="6053" xr:uid="{00000000-0005-0000-0000-0000AE170000}"/>
    <cellStyle name="Normal 4 4 3 2 5" xfId="6054" xr:uid="{00000000-0005-0000-0000-0000AF170000}"/>
    <cellStyle name="Normal 4 4 3 3" xfId="6055" xr:uid="{00000000-0005-0000-0000-0000B0170000}"/>
    <cellStyle name="Normal 4 4 3 3 2" xfId="6056" xr:uid="{00000000-0005-0000-0000-0000B1170000}"/>
    <cellStyle name="Normal 4 4 3 3 2 2" xfId="6057" xr:uid="{00000000-0005-0000-0000-0000B2170000}"/>
    <cellStyle name="Normal 4 4 3 3 2 2 2" xfId="6058" xr:uid="{00000000-0005-0000-0000-0000B3170000}"/>
    <cellStyle name="Normal 4 4 3 3 2 3" xfId="6059" xr:uid="{00000000-0005-0000-0000-0000B4170000}"/>
    <cellStyle name="Normal 4 4 3 3 2 3 2" xfId="6060" xr:uid="{00000000-0005-0000-0000-0000B5170000}"/>
    <cellStyle name="Normal 4 4 3 3 2 4" xfId="6061" xr:uid="{00000000-0005-0000-0000-0000B6170000}"/>
    <cellStyle name="Normal 4 4 3 3 3" xfId="6062" xr:uid="{00000000-0005-0000-0000-0000B7170000}"/>
    <cellStyle name="Normal 4 4 3 3 3 2" xfId="6063" xr:uid="{00000000-0005-0000-0000-0000B8170000}"/>
    <cellStyle name="Normal 4 4 3 3 4" xfId="6064" xr:uid="{00000000-0005-0000-0000-0000B9170000}"/>
    <cellStyle name="Normal 4 4 3 3 4 2" xfId="6065" xr:uid="{00000000-0005-0000-0000-0000BA170000}"/>
    <cellStyle name="Normal 4 4 3 3 5" xfId="6066" xr:uid="{00000000-0005-0000-0000-0000BB170000}"/>
    <cellStyle name="Normal 4 4 3 4" xfId="6067" xr:uid="{00000000-0005-0000-0000-0000BC170000}"/>
    <cellStyle name="Normal 4 4 3 4 2" xfId="6068" xr:uid="{00000000-0005-0000-0000-0000BD170000}"/>
    <cellStyle name="Normal 4 4 3 4 2 2" xfId="6069" xr:uid="{00000000-0005-0000-0000-0000BE170000}"/>
    <cellStyle name="Normal 4 4 3 4 3" xfId="6070" xr:uid="{00000000-0005-0000-0000-0000BF170000}"/>
    <cellStyle name="Normal 4 4 3 4 3 2" xfId="6071" xr:uid="{00000000-0005-0000-0000-0000C0170000}"/>
    <cellStyle name="Normal 4 4 3 4 4" xfId="6072" xr:uid="{00000000-0005-0000-0000-0000C1170000}"/>
    <cellStyle name="Normal 4 4 3 5" xfId="6073" xr:uid="{00000000-0005-0000-0000-0000C2170000}"/>
    <cellStyle name="Normal 4 4 3 5 2" xfId="6074" xr:uid="{00000000-0005-0000-0000-0000C3170000}"/>
    <cellStyle name="Normal 4 4 3 6" xfId="6075" xr:uid="{00000000-0005-0000-0000-0000C4170000}"/>
    <cellStyle name="Normal 4 4 3 6 2" xfId="6076" xr:uid="{00000000-0005-0000-0000-0000C5170000}"/>
    <cellStyle name="Normal 4 4 3 7" xfId="6077" xr:uid="{00000000-0005-0000-0000-0000C6170000}"/>
    <cellStyle name="Normal 4 4 4" xfId="6078" xr:uid="{00000000-0005-0000-0000-0000C7170000}"/>
    <cellStyle name="Normal 4 4 4 2" xfId="6079" xr:uid="{00000000-0005-0000-0000-0000C8170000}"/>
    <cellStyle name="Normal 4 4 4 2 2" xfId="6080" xr:uid="{00000000-0005-0000-0000-0000C9170000}"/>
    <cellStyle name="Normal 4 4 4 2 2 2" xfId="6081" xr:uid="{00000000-0005-0000-0000-0000CA170000}"/>
    <cellStyle name="Normal 4 4 4 2 2 2 2" xfId="6082" xr:uid="{00000000-0005-0000-0000-0000CB170000}"/>
    <cellStyle name="Normal 4 4 4 2 2 3" xfId="6083" xr:uid="{00000000-0005-0000-0000-0000CC170000}"/>
    <cellStyle name="Normal 4 4 4 2 2 3 2" xfId="6084" xr:uid="{00000000-0005-0000-0000-0000CD170000}"/>
    <cellStyle name="Normal 4 4 4 2 2 4" xfId="6085" xr:uid="{00000000-0005-0000-0000-0000CE170000}"/>
    <cellStyle name="Normal 4 4 4 2 3" xfId="6086" xr:uid="{00000000-0005-0000-0000-0000CF170000}"/>
    <cellStyle name="Normal 4 4 4 2 3 2" xfId="6087" xr:uid="{00000000-0005-0000-0000-0000D0170000}"/>
    <cellStyle name="Normal 4 4 4 2 4" xfId="6088" xr:uid="{00000000-0005-0000-0000-0000D1170000}"/>
    <cellStyle name="Normal 4 4 4 2 4 2" xfId="6089" xr:uid="{00000000-0005-0000-0000-0000D2170000}"/>
    <cellStyle name="Normal 4 4 4 2 5" xfId="6090" xr:uid="{00000000-0005-0000-0000-0000D3170000}"/>
    <cellStyle name="Normal 4 4 4 3" xfId="6091" xr:uid="{00000000-0005-0000-0000-0000D4170000}"/>
    <cellStyle name="Normal 4 4 4 3 2" xfId="6092" xr:uid="{00000000-0005-0000-0000-0000D5170000}"/>
    <cellStyle name="Normal 4 4 4 3 2 2" xfId="6093" xr:uid="{00000000-0005-0000-0000-0000D6170000}"/>
    <cellStyle name="Normal 4 4 4 3 2 2 2" xfId="6094" xr:uid="{00000000-0005-0000-0000-0000D7170000}"/>
    <cellStyle name="Normal 4 4 4 3 2 3" xfId="6095" xr:uid="{00000000-0005-0000-0000-0000D8170000}"/>
    <cellStyle name="Normal 4 4 4 3 2 3 2" xfId="6096" xr:uid="{00000000-0005-0000-0000-0000D9170000}"/>
    <cellStyle name="Normal 4 4 4 3 2 4" xfId="6097" xr:uid="{00000000-0005-0000-0000-0000DA170000}"/>
    <cellStyle name="Normal 4 4 4 3 3" xfId="6098" xr:uid="{00000000-0005-0000-0000-0000DB170000}"/>
    <cellStyle name="Normal 4 4 4 3 3 2" xfId="6099" xr:uid="{00000000-0005-0000-0000-0000DC170000}"/>
    <cellStyle name="Normal 4 4 4 3 4" xfId="6100" xr:uid="{00000000-0005-0000-0000-0000DD170000}"/>
    <cellStyle name="Normal 4 4 4 3 4 2" xfId="6101" xr:uid="{00000000-0005-0000-0000-0000DE170000}"/>
    <cellStyle name="Normal 4 4 4 3 5" xfId="6102" xr:uid="{00000000-0005-0000-0000-0000DF170000}"/>
    <cellStyle name="Normal 4 4 4 4" xfId="6103" xr:uid="{00000000-0005-0000-0000-0000E0170000}"/>
    <cellStyle name="Normal 4 4 4 4 2" xfId="6104" xr:uid="{00000000-0005-0000-0000-0000E1170000}"/>
    <cellStyle name="Normal 4 4 4 4 2 2" xfId="6105" xr:uid="{00000000-0005-0000-0000-0000E2170000}"/>
    <cellStyle name="Normal 4 4 4 4 3" xfId="6106" xr:uid="{00000000-0005-0000-0000-0000E3170000}"/>
    <cellStyle name="Normal 4 4 4 4 3 2" xfId="6107" xr:uid="{00000000-0005-0000-0000-0000E4170000}"/>
    <cellStyle name="Normal 4 4 4 4 4" xfId="6108" xr:uid="{00000000-0005-0000-0000-0000E5170000}"/>
    <cellStyle name="Normal 4 4 4 5" xfId="6109" xr:uid="{00000000-0005-0000-0000-0000E6170000}"/>
    <cellStyle name="Normal 4 4 4 5 2" xfId="6110" xr:uid="{00000000-0005-0000-0000-0000E7170000}"/>
    <cellStyle name="Normal 4 4 4 6" xfId="6111" xr:uid="{00000000-0005-0000-0000-0000E8170000}"/>
    <cellStyle name="Normal 4 4 4 6 2" xfId="6112" xr:uid="{00000000-0005-0000-0000-0000E9170000}"/>
    <cellStyle name="Normal 4 4 4 7" xfId="6113" xr:uid="{00000000-0005-0000-0000-0000EA170000}"/>
    <cellStyle name="Normal 4 4 5" xfId="6114" xr:uid="{00000000-0005-0000-0000-0000EB170000}"/>
    <cellStyle name="Normal 4 4 5 2" xfId="6115" xr:uid="{00000000-0005-0000-0000-0000EC170000}"/>
    <cellStyle name="Normal 4 4 5 2 2" xfId="6116" xr:uid="{00000000-0005-0000-0000-0000ED170000}"/>
    <cellStyle name="Normal 4 4 5 2 2 2" xfId="6117" xr:uid="{00000000-0005-0000-0000-0000EE170000}"/>
    <cellStyle name="Normal 4 4 5 2 2 2 2" xfId="6118" xr:uid="{00000000-0005-0000-0000-0000EF170000}"/>
    <cellStyle name="Normal 4 4 5 2 2 3" xfId="6119" xr:uid="{00000000-0005-0000-0000-0000F0170000}"/>
    <cellStyle name="Normal 4 4 5 2 2 3 2" xfId="6120" xr:uid="{00000000-0005-0000-0000-0000F1170000}"/>
    <cellStyle name="Normal 4 4 5 2 2 4" xfId="6121" xr:uid="{00000000-0005-0000-0000-0000F2170000}"/>
    <cellStyle name="Normal 4 4 5 2 3" xfId="6122" xr:uid="{00000000-0005-0000-0000-0000F3170000}"/>
    <cellStyle name="Normal 4 4 5 2 3 2" xfId="6123" xr:uid="{00000000-0005-0000-0000-0000F4170000}"/>
    <cellStyle name="Normal 4 4 5 2 4" xfId="6124" xr:uid="{00000000-0005-0000-0000-0000F5170000}"/>
    <cellStyle name="Normal 4 4 5 2 4 2" xfId="6125" xr:uid="{00000000-0005-0000-0000-0000F6170000}"/>
    <cellStyle name="Normal 4 4 5 2 5" xfId="6126" xr:uid="{00000000-0005-0000-0000-0000F7170000}"/>
    <cellStyle name="Normal 4 4 5 3" xfId="6127" xr:uid="{00000000-0005-0000-0000-0000F8170000}"/>
    <cellStyle name="Normal 4 4 5 3 2" xfId="6128" xr:uid="{00000000-0005-0000-0000-0000F9170000}"/>
    <cellStyle name="Normal 4 4 5 3 2 2" xfId="6129" xr:uid="{00000000-0005-0000-0000-0000FA170000}"/>
    <cellStyle name="Normal 4 4 5 3 2 2 2" xfId="6130" xr:uid="{00000000-0005-0000-0000-0000FB170000}"/>
    <cellStyle name="Normal 4 4 5 3 2 3" xfId="6131" xr:uid="{00000000-0005-0000-0000-0000FC170000}"/>
    <cellStyle name="Normal 4 4 5 3 2 3 2" xfId="6132" xr:uid="{00000000-0005-0000-0000-0000FD170000}"/>
    <cellStyle name="Normal 4 4 5 3 2 4" xfId="6133" xr:uid="{00000000-0005-0000-0000-0000FE170000}"/>
    <cellStyle name="Normal 4 4 5 3 3" xfId="6134" xr:uid="{00000000-0005-0000-0000-0000FF170000}"/>
    <cellStyle name="Normal 4 4 5 3 3 2" xfId="6135" xr:uid="{00000000-0005-0000-0000-000000180000}"/>
    <cellStyle name="Normal 4 4 5 3 4" xfId="6136" xr:uid="{00000000-0005-0000-0000-000001180000}"/>
    <cellStyle name="Normal 4 4 5 3 4 2" xfId="6137" xr:uid="{00000000-0005-0000-0000-000002180000}"/>
    <cellStyle name="Normal 4 4 5 3 5" xfId="6138" xr:uid="{00000000-0005-0000-0000-000003180000}"/>
    <cellStyle name="Normal 4 4 5 4" xfId="6139" xr:uid="{00000000-0005-0000-0000-000004180000}"/>
    <cellStyle name="Normal 4 4 5 4 2" xfId="6140" xr:uid="{00000000-0005-0000-0000-000005180000}"/>
    <cellStyle name="Normal 4 4 5 4 2 2" xfId="6141" xr:uid="{00000000-0005-0000-0000-000006180000}"/>
    <cellStyle name="Normal 4 4 5 4 3" xfId="6142" xr:uid="{00000000-0005-0000-0000-000007180000}"/>
    <cellStyle name="Normal 4 4 5 4 3 2" xfId="6143" xr:uid="{00000000-0005-0000-0000-000008180000}"/>
    <cellStyle name="Normal 4 4 5 4 4" xfId="6144" xr:uid="{00000000-0005-0000-0000-000009180000}"/>
    <cellStyle name="Normal 4 4 5 5" xfId="6145" xr:uid="{00000000-0005-0000-0000-00000A180000}"/>
    <cellStyle name="Normal 4 4 5 5 2" xfId="6146" xr:uid="{00000000-0005-0000-0000-00000B180000}"/>
    <cellStyle name="Normal 4 4 5 6" xfId="6147" xr:uid="{00000000-0005-0000-0000-00000C180000}"/>
    <cellStyle name="Normal 4 4 5 6 2" xfId="6148" xr:uid="{00000000-0005-0000-0000-00000D180000}"/>
    <cellStyle name="Normal 4 4 5 7" xfId="6149" xr:uid="{00000000-0005-0000-0000-00000E180000}"/>
    <cellStyle name="Normal 4 4 6" xfId="6150" xr:uid="{00000000-0005-0000-0000-00000F180000}"/>
    <cellStyle name="Normal 4 4 6 2" xfId="6151" xr:uid="{00000000-0005-0000-0000-000010180000}"/>
    <cellStyle name="Normal 4 4 6 2 2" xfId="6152" xr:uid="{00000000-0005-0000-0000-000011180000}"/>
    <cellStyle name="Normal 4 4 6 2 2 2" xfId="6153" xr:uid="{00000000-0005-0000-0000-000012180000}"/>
    <cellStyle name="Normal 4 4 6 2 3" xfId="6154" xr:uid="{00000000-0005-0000-0000-000013180000}"/>
    <cellStyle name="Normal 4 4 6 2 3 2" xfId="6155" xr:uid="{00000000-0005-0000-0000-000014180000}"/>
    <cellStyle name="Normal 4 4 6 2 4" xfId="6156" xr:uid="{00000000-0005-0000-0000-000015180000}"/>
    <cellStyle name="Normal 4 4 6 3" xfId="6157" xr:uid="{00000000-0005-0000-0000-000016180000}"/>
    <cellStyle name="Normal 4 4 6 3 2" xfId="6158" xr:uid="{00000000-0005-0000-0000-000017180000}"/>
    <cellStyle name="Normal 4 4 6 4" xfId="6159" xr:uid="{00000000-0005-0000-0000-000018180000}"/>
    <cellStyle name="Normal 4 4 6 4 2" xfId="6160" xr:uid="{00000000-0005-0000-0000-000019180000}"/>
    <cellStyle name="Normal 4 4 6 5" xfId="6161" xr:uid="{00000000-0005-0000-0000-00001A180000}"/>
    <cellStyle name="Normal 4 4 7" xfId="6162" xr:uid="{00000000-0005-0000-0000-00001B180000}"/>
    <cellStyle name="Normal 4 4 7 2" xfId="6163" xr:uid="{00000000-0005-0000-0000-00001C180000}"/>
    <cellStyle name="Normal 4 4 7 2 2" xfId="6164" xr:uid="{00000000-0005-0000-0000-00001D180000}"/>
    <cellStyle name="Normal 4 4 7 2 2 2" xfId="6165" xr:uid="{00000000-0005-0000-0000-00001E180000}"/>
    <cellStyle name="Normal 4 4 7 2 3" xfId="6166" xr:uid="{00000000-0005-0000-0000-00001F180000}"/>
    <cellStyle name="Normal 4 4 7 2 3 2" xfId="6167" xr:uid="{00000000-0005-0000-0000-000020180000}"/>
    <cellStyle name="Normal 4 4 7 2 4" xfId="6168" xr:uid="{00000000-0005-0000-0000-000021180000}"/>
    <cellStyle name="Normal 4 4 7 3" xfId="6169" xr:uid="{00000000-0005-0000-0000-000022180000}"/>
    <cellStyle name="Normal 4 4 7 3 2" xfId="6170" xr:uid="{00000000-0005-0000-0000-000023180000}"/>
    <cellStyle name="Normal 4 4 7 4" xfId="6171" xr:uid="{00000000-0005-0000-0000-000024180000}"/>
    <cellStyle name="Normal 4 4 7 4 2" xfId="6172" xr:uid="{00000000-0005-0000-0000-000025180000}"/>
    <cellStyle name="Normal 4 4 7 5" xfId="6173" xr:uid="{00000000-0005-0000-0000-000026180000}"/>
    <cellStyle name="Normal 4 4 8" xfId="6174" xr:uid="{00000000-0005-0000-0000-000027180000}"/>
    <cellStyle name="Normal 4 4 8 2" xfId="6175" xr:uid="{00000000-0005-0000-0000-000028180000}"/>
    <cellStyle name="Normal 4 4 8 2 2" xfId="6176" xr:uid="{00000000-0005-0000-0000-000029180000}"/>
    <cellStyle name="Normal 4 4 8 3" xfId="6177" xr:uid="{00000000-0005-0000-0000-00002A180000}"/>
    <cellStyle name="Normal 4 4 8 3 2" xfId="6178" xr:uid="{00000000-0005-0000-0000-00002B180000}"/>
    <cellStyle name="Normal 4 4 8 4" xfId="6179" xr:uid="{00000000-0005-0000-0000-00002C180000}"/>
    <cellStyle name="Normal 4 4 9" xfId="6180" xr:uid="{00000000-0005-0000-0000-00002D180000}"/>
    <cellStyle name="Normal 4 4 9 2" xfId="6181" xr:uid="{00000000-0005-0000-0000-00002E180000}"/>
    <cellStyle name="Normal 4 5" xfId="6182" xr:uid="{00000000-0005-0000-0000-00002F180000}"/>
    <cellStyle name="Normal 4 5 2" xfId="6183" xr:uid="{00000000-0005-0000-0000-000030180000}"/>
    <cellStyle name="Normal 4 5 2 2" xfId="6184" xr:uid="{00000000-0005-0000-0000-000031180000}"/>
    <cellStyle name="Normal 4 5 2 2 2" xfId="6185" xr:uid="{00000000-0005-0000-0000-000032180000}"/>
    <cellStyle name="Normal 4 5 2 2 2 2" xfId="6186" xr:uid="{00000000-0005-0000-0000-000033180000}"/>
    <cellStyle name="Normal 4 5 2 2 2 2 2" xfId="6187" xr:uid="{00000000-0005-0000-0000-000034180000}"/>
    <cellStyle name="Normal 4 5 2 2 2 3" xfId="6188" xr:uid="{00000000-0005-0000-0000-000035180000}"/>
    <cellStyle name="Normal 4 5 2 2 2 3 2" xfId="6189" xr:uid="{00000000-0005-0000-0000-000036180000}"/>
    <cellStyle name="Normal 4 5 2 2 2 4" xfId="6190" xr:uid="{00000000-0005-0000-0000-000037180000}"/>
    <cellStyle name="Normal 4 5 2 2 3" xfId="6191" xr:uid="{00000000-0005-0000-0000-000038180000}"/>
    <cellStyle name="Normal 4 5 2 2 3 2" xfId="6192" xr:uid="{00000000-0005-0000-0000-000039180000}"/>
    <cellStyle name="Normal 4 5 2 2 4" xfId="6193" xr:uid="{00000000-0005-0000-0000-00003A180000}"/>
    <cellStyle name="Normal 4 5 2 2 4 2" xfId="6194" xr:uid="{00000000-0005-0000-0000-00003B180000}"/>
    <cellStyle name="Normal 4 5 2 2 5" xfId="6195" xr:uid="{00000000-0005-0000-0000-00003C180000}"/>
    <cellStyle name="Normal 4 5 2 3" xfId="6196" xr:uid="{00000000-0005-0000-0000-00003D180000}"/>
    <cellStyle name="Normal 4 5 2 3 2" xfId="6197" xr:uid="{00000000-0005-0000-0000-00003E180000}"/>
    <cellStyle name="Normal 4 5 2 3 2 2" xfId="6198" xr:uid="{00000000-0005-0000-0000-00003F180000}"/>
    <cellStyle name="Normal 4 5 2 3 2 2 2" xfId="6199" xr:uid="{00000000-0005-0000-0000-000040180000}"/>
    <cellStyle name="Normal 4 5 2 3 2 3" xfId="6200" xr:uid="{00000000-0005-0000-0000-000041180000}"/>
    <cellStyle name="Normal 4 5 2 3 2 3 2" xfId="6201" xr:uid="{00000000-0005-0000-0000-000042180000}"/>
    <cellStyle name="Normal 4 5 2 3 2 4" xfId="6202" xr:uid="{00000000-0005-0000-0000-000043180000}"/>
    <cellStyle name="Normal 4 5 2 3 3" xfId="6203" xr:uid="{00000000-0005-0000-0000-000044180000}"/>
    <cellStyle name="Normal 4 5 2 3 3 2" xfId="6204" xr:uid="{00000000-0005-0000-0000-000045180000}"/>
    <cellStyle name="Normal 4 5 2 3 4" xfId="6205" xr:uid="{00000000-0005-0000-0000-000046180000}"/>
    <cellStyle name="Normal 4 5 2 3 4 2" xfId="6206" xr:uid="{00000000-0005-0000-0000-000047180000}"/>
    <cellStyle name="Normal 4 5 2 3 5" xfId="6207" xr:uid="{00000000-0005-0000-0000-000048180000}"/>
    <cellStyle name="Normal 4 5 2 4" xfId="6208" xr:uid="{00000000-0005-0000-0000-000049180000}"/>
    <cellStyle name="Normal 4 5 2 4 2" xfId="6209" xr:uid="{00000000-0005-0000-0000-00004A180000}"/>
    <cellStyle name="Normal 4 5 2 4 2 2" xfId="6210" xr:uid="{00000000-0005-0000-0000-00004B180000}"/>
    <cellStyle name="Normal 4 5 2 4 3" xfId="6211" xr:uid="{00000000-0005-0000-0000-00004C180000}"/>
    <cellStyle name="Normal 4 5 2 4 3 2" xfId="6212" xr:uid="{00000000-0005-0000-0000-00004D180000}"/>
    <cellStyle name="Normal 4 5 2 4 4" xfId="6213" xr:uid="{00000000-0005-0000-0000-00004E180000}"/>
    <cellStyle name="Normal 4 5 2 5" xfId="6214" xr:uid="{00000000-0005-0000-0000-00004F180000}"/>
    <cellStyle name="Normal 4 5 2 5 2" xfId="6215" xr:uid="{00000000-0005-0000-0000-000050180000}"/>
    <cellStyle name="Normal 4 5 2 6" xfId="6216" xr:uid="{00000000-0005-0000-0000-000051180000}"/>
    <cellStyle name="Normal 4 5 2 6 2" xfId="6217" xr:uid="{00000000-0005-0000-0000-000052180000}"/>
    <cellStyle name="Normal 4 5 2 7" xfId="6218" xr:uid="{00000000-0005-0000-0000-000053180000}"/>
    <cellStyle name="Normal 4 5 3" xfId="6219" xr:uid="{00000000-0005-0000-0000-000054180000}"/>
    <cellStyle name="Normal 4 5 3 2" xfId="6220" xr:uid="{00000000-0005-0000-0000-000055180000}"/>
    <cellStyle name="Normal 4 5 3 2 2" xfId="6221" xr:uid="{00000000-0005-0000-0000-000056180000}"/>
    <cellStyle name="Normal 4 5 3 2 2 2" xfId="6222" xr:uid="{00000000-0005-0000-0000-000057180000}"/>
    <cellStyle name="Normal 4 5 3 2 3" xfId="6223" xr:uid="{00000000-0005-0000-0000-000058180000}"/>
    <cellStyle name="Normal 4 5 3 2 3 2" xfId="6224" xr:uid="{00000000-0005-0000-0000-000059180000}"/>
    <cellStyle name="Normal 4 5 3 2 4" xfId="6225" xr:uid="{00000000-0005-0000-0000-00005A180000}"/>
    <cellStyle name="Normal 4 5 3 3" xfId="6226" xr:uid="{00000000-0005-0000-0000-00005B180000}"/>
    <cellStyle name="Normal 4 5 3 3 2" xfId="6227" xr:uid="{00000000-0005-0000-0000-00005C180000}"/>
    <cellStyle name="Normal 4 5 3 4" xfId="6228" xr:uid="{00000000-0005-0000-0000-00005D180000}"/>
    <cellStyle name="Normal 4 5 3 4 2" xfId="6229" xr:uid="{00000000-0005-0000-0000-00005E180000}"/>
    <cellStyle name="Normal 4 5 3 5" xfId="6230" xr:uid="{00000000-0005-0000-0000-00005F180000}"/>
    <cellStyle name="Normal 4 5 4" xfId="6231" xr:uid="{00000000-0005-0000-0000-000060180000}"/>
    <cellStyle name="Normal 4 5 4 2" xfId="6232" xr:uid="{00000000-0005-0000-0000-000061180000}"/>
    <cellStyle name="Normal 4 5 4 2 2" xfId="6233" xr:uid="{00000000-0005-0000-0000-000062180000}"/>
    <cellStyle name="Normal 4 5 4 2 2 2" xfId="6234" xr:uid="{00000000-0005-0000-0000-000063180000}"/>
    <cellStyle name="Normal 4 5 4 2 3" xfId="6235" xr:uid="{00000000-0005-0000-0000-000064180000}"/>
    <cellStyle name="Normal 4 5 4 2 3 2" xfId="6236" xr:uid="{00000000-0005-0000-0000-000065180000}"/>
    <cellStyle name="Normal 4 5 4 2 4" xfId="6237" xr:uid="{00000000-0005-0000-0000-000066180000}"/>
    <cellStyle name="Normal 4 5 4 3" xfId="6238" xr:uid="{00000000-0005-0000-0000-000067180000}"/>
    <cellStyle name="Normal 4 5 4 3 2" xfId="6239" xr:uid="{00000000-0005-0000-0000-000068180000}"/>
    <cellStyle name="Normal 4 5 4 4" xfId="6240" xr:uid="{00000000-0005-0000-0000-000069180000}"/>
    <cellStyle name="Normal 4 5 4 4 2" xfId="6241" xr:uid="{00000000-0005-0000-0000-00006A180000}"/>
    <cellStyle name="Normal 4 5 4 5" xfId="6242" xr:uid="{00000000-0005-0000-0000-00006B180000}"/>
    <cellStyle name="Normal 4 5 5" xfId="6243" xr:uid="{00000000-0005-0000-0000-00006C180000}"/>
    <cellStyle name="Normal 4 5 5 2" xfId="6244" xr:uid="{00000000-0005-0000-0000-00006D180000}"/>
    <cellStyle name="Normal 4 5 5 2 2" xfId="6245" xr:uid="{00000000-0005-0000-0000-00006E180000}"/>
    <cellStyle name="Normal 4 5 5 3" xfId="6246" xr:uid="{00000000-0005-0000-0000-00006F180000}"/>
    <cellStyle name="Normal 4 5 5 3 2" xfId="6247" xr:uid="{00000000-0005-0000-0000-000070180000}"/>
    <cellStyle name="Normal 4 5 5 4" xfId="6248" xr:uid="{00000000-0005-0000-0000-000071180000}"/>
    <cellStyle name="Normal 4 5 6" xfId="6249" xr:uid="{00000000-0005-0000-0000-000072180000}"/>
    <cellStyle name="Normal 4 5 6 2" xfId="6250" xr:uid="{00000000-0005-0000-0000-000073180000}"/>
    <cellStyle name="Normal 4 5 7" xfId="6251" xr:uid="{00000000-0005-0000-0000-000074180000}"/>
    <cellStyle name="Normal 4 5 7 2" xfId="6252" xr:uid="{00000000-0005-0000-0000-000075180000}"/>
    <cellStyle name="Normal 4 5 8" xfId="6253" xr:uid="{00000000-0005-0000-0000-000076180000}"/>
    <cellStyle name="Normal 4 6" xfId="6254" xr:uid="{00000000-0005-0000-0000-000077180000}"/>
    <cellStyle name="Normal 4 6 2" xfId="6255" xr:uid="{00000000-0005-0000-0000-000078180000}"/>
    <cellStyle name="Normal 4 6 2 2" xfId="6256" xr:uid="{00000000-0005-0000-0000-000079180000}"/>
    <cellStyle name="Normal 4 6 2 2 2" xfId="6257" xr:uid="{00000000-0005-0000-0000-00007A180000}"/>
    <cellStyle name="Normal 4 6 2 2 2 2" xfId="6258" xr:uid="{00000000-0005-0000-0000-00007B180000}"/>
    <cellStyle name="Normal 4 6 2 2 3" xfId="6259" xr:uid="{00000000-0005-0000-0000-00007C180000}"/>
    <cellStyle name="Normal 4 6 2 2 3 2" xfId="6260" xr:uid="{00000000-0005-0000-0000-00007D180000}"/>
    <cellStyle name="Normal 4 6 2 2 4" xfId="6261" xr:uid="{00000000-0005-0000-0000-00007E180000}"/>
    <cellStyle name="Normal 4 6 2 3" xfId="6262" xr:uid="{00000000-0005-0000-0000-00007F180000}"/>
    <cellStyle name="Normal 4 6 2 3 2" xfId="6263" xr:uid="{00000000-0005-0000-0000-000080180000}"/>
    <cellStyle name="Normal 4 6 2 4" xfId="6264" xr:uid="{00000000-0005-0000-0000-000081180000}"/>
    <cellStyle name="Normal 4 6 2 4 2" xfId="6265" xr:uid="{00000000-0005-0000-0000-000082180000}"/>
    <cellStyle name="Normal 4 6 2 5" xfId="6266" xr:uid="{00000000-0005-0000-0000-000083180000}"/>
    <cellStyle name="Normal 4 6 3" xfId="6267" xr:uid="{00000000-0005-0000-0000-000084180000}"/>
    <cellStyle name="Normal 4 6 3 2" xfId="6268" xr:uid="{00000000-0005-0000-0000-000085180000}"/>
    <cellStyle name="Normal 4 6 3 2 2" xfId="6269" xr:uid="{00000000-0005-0000-0000-000086180000}"/>
    <cellStyle name="Normal 4 6 3 2 2 2" xfId="6270" xr:uid="{00000000-0005-0000-0000-000087180000}"/>
    <cellStyle name="Normal 4 6 3 2 3" xfId="6271" xr:uid="{00000000-0005-0000-0000-000088180000}"/>
    <cellStyle name="Normal 4 6 3 2 3 2" xfId="6272" xr:uid="{00000000-0005-0000-0000-000089180000}"/>
    <cellStyle name="Normal 4 6 3 2 4" xfId="6273" xr:uid="{00000000-0005-0000-0000-00008A180000}"/>
    <cellStyle name="Normal 4 6 3 3" xfId="6274" xr:uid="{00000000-0005-0000-0000-00008B180000}"/>
    <cellStyle name="Normal 4 6 3 3 2" xfId="6275" xr:uid="{00000000-0005-0000-0000-00008C180000}"/>
    <cellStyle name="Normal 4 6 3 4" xfId="6276" xr:uid="{00000000-0005-0000-0000-00008D180000}"/>
    <cellStyle name="Normal 4 6 3 4 2" xfId="6277" xr:uid="{00000000-0005-0000-0000-00008E180000}"/>
    <cellStyle name="Normal 4 6 3 5" xfId="6278" xr:uid="{00000000-0005-0000-0000-00008F180000}"/>
    <cellStyle name="Normal 4 6 4" xfId="6279" xr:uid="{00000000-0005-0000-0000-000090180000}"/>
    <cellStyle name="Normal 4 6 4 2" xfId="6280" xr:uid="{00000000-0005-0000-0000-000091180000}"/>
    <cellStyle name="Normal 4 6 4 2 2" xfId="6281" xr:uid="{00000000-0005-0000-0000-000092180000}"/>
    <cellStyle name="Normal 4 6 4 3" xfId="6282" xr:uid="{00000000-0005-0000-0000-000093180000}"/>
    <cellStyle name="Normal 4 6 4 3 2" xfId="6283" xr:uid="{00000000-0005-0000-0000-000094180000}"/>
    <cellStyle name="Normal 4 6 4 4" xfId="6284" xr:uid="{00000000-0005-0000-0000-000095180000}"/>
    <cellStyle name="Normal 4 6 5" xfId="6285" xr:uid="{00000000-0005-0000-0000-000096180000}"/>
    <cellStyle name="Normal 4 6 5 2" xfId="6286" xr:uid="{00000000-0005-0000-0000-000097180000}"/>
    <cellStyle name="Normal 4 6 6" xfId="6287" xr:uid="{00000000-0005-0000-0000-000098180000}"/>
    <cellStyle name="Normal 4 6 6 2" xfId="6288" xr:uid="{00000000-0005-0000-0000-000099180000}"/>
    <cellStyle name="Normal 4 6 7" xfId="6289" xr:uid="{00000000-0005-0000-0000-00009A180000}"/>
    <cellStyle name="Normal 4 7" xfId="6290" xr:uid="{00000000-0005-0000-0000-00009B180000}"/>
    <cellStyle name="Normal 4 7 2" xfId="6291" xr:uid="{00000000-0005-0000-0000-00009C180000}"/>
    <cellStyle name="Normal 4 7 2 2" xfId="6292" xr:uid="{00000000-0005-0000-0000-00009D180000}"/>
    <cellStyle name="Normal 4 7 2 2 2" xfId="6293" xr:uid="{00000000-0005-0000-0000-00009E180000}"/>
    <cellStyle name="Normal 4 7 2 2 2 2" xfId="6294" xr:uid="{00000000-0005-0000-0000-00009F180000}"/>
    <cellStyle name="Normal 4 7 2 2 3" xfId="6295" xr:uid="{00000000-0005-0000-0000-0000A0180000}"/>
    <cellStyle name="Normal 4 7 2 2 3 2" xfId="6296" xr:uid="{00000000-0005-0000-0000-0000A1180000}"/>
    <cellStyle name="Normal 4 7 2 2 4" xfId="6297" xr:uid="{00000000-0005-0000-0000-0000A2180000}"/>
    <cellStyle name="Normal 4 7 2 3" xfId="6298" xr:uid="{00000000-0005-0000-0000-0000A3180000}"/>
    <cellStyle name="Normal 4 7 2 3 2" xfId="6299" xr:uid="{00000000-0005-0000-0000-0000A4180000}"/>
    <cellStyle name="Normal 4 7 2 4" xfId="6300" xr:uid="{00000000-0005-0000-0000-0000A5180000}"/>
    <cellStyle name="Normal 4 7 2 4 2" xfId="6301" xr:uid="{00000000-0005-0000-0000-0000A6180000}"/>
    <cellStyle name="Normal 4 7 2 5" xfId="6302" xr:uid="{00000000-0005-0000-0000-0000A7180000}"/>
    <cellStyle name="Normal 4 7 3" xfId="6303" xr:uid="{00000000-0005-0000-0000-0000A8180000}"/>
    <cellStyle name="Normal 4 7 3 2" xfId="6304" xr:uid="{00000000-0005-0000-0000-0000A9180000}"/>
    <cellStyle name="Normal 4 7 3 2 2" xfId="6305" xr:uid="{00000000-0005-0000-0000-0000AA180000}"/>
    <cellStyle name="Normal 4 7 3 2 2 2" xfId="6306" xr:uid="{00000000-0005-0000-0000-0000AB180000}"/>
    <cellStyle name="Normal 4 7 3 2 3" xfId="6307" xr:uid="{00000000-0005-0000-0000-0000AC180000}"/>
    <cellStyle name="Normal 4 7 3 2 3 2" xfId="6308" xr:uid="{00000000-0005-0000-0000-0000AD180000}"/>
    <cellStyle name="Normal 4 7 3 2 4" xfId="6309" xr:uid="{00000000-0005-0000-0000-0000AE180000}"/>
    <cellStyle name="Normal 4 7 3 3" xfId="6310" xr:uid="{00000000-0005-0000-0000-0000AF180000}"/>
    <cellStyle name="Normal 4 7 3 3 2" xfId="6311" xr:uid="{00000000-0005-0000-0000-0000B0180000}"/>
    <cellStyle name="Normal 4 7 3 4" xfId="6312" xr:uid="{00000000-0005-0000-0000-0000B1180000}"/>
    <cellStyle name="Normal 4 7 3 4 2" xfId="6313" xr:uid="{00000000-0005-0000-0000-0000B2180000}"/>
    <cellStyle name="Normal 4 7 3 5" xfId="6314" xr:uid="{00000000-0005-0000-0000-0000B3180000}"/>
    <cellStyle name="Normal 4 7 4" xfId="6315" xr:uid="{00000000-0005-0000-0000-0000B4180000}"/>
    <cellStyle name="Normal 4 7 4 2" xfId="6316" xr:uid="{00000000-0005-0000-0000-0000B5180000}"/>
    <cellStyle name="Normal 4 7 4 2 2" xfId="6317" xr:uid="{00000000-0005-0000-0000-0000B6180000}"/>
    <cellStyle name="Normal 4 7 4 3" xfId="6318" xr:uid="{00000000-0005-0000-0000-0000B7180000}"/>
    <cellStyle name="Normal 4 7 4 3 2" xfId="6319" xr:uid="{00000000-0005-0000-0000-0000B8180000}"/>
    <cellStyle name="Normal 4 7 4 4" xfId="6320" xr:uid="{00000000-0005-0000-0000-0000B9180000}"/>
    <cellStyle name="Normal 4 7 5" xfId="6321" xr:uid="{00000000-0005-0000-0000-0000BA180000}"/>
    <cellStyle name="Normal 4 7 5 2" xfId="6322" xr:uid="{00000000-0005-0000-0000-0000BB180000}"/>
    <cellStyle name="Normal 4 7 6" xfId="6323" xr:uid="{00000000-0005-0000-0000-0000BC180000}"/>
    <cellStyle name="Normal 4 7 6 2" xfId="6324" xr:uid="{00000000-0005-0000-0000-0000BD180000}"/>
    <cellStyle name="Normal 4 7 7" xfId="6325" xr:uid="{00000000-0005-0000-0000-0000BE180000}"/>
    <cellStyle name="Normal 4 8" xfId="6326" xr:uid="{00000000-0005-0000-0000-0000BF180000}"/>
    <cellStyle name="Normal 4 8 2" xfId="6327" xr:uid="{00000000-0005-0000-0000-0000C0180000}"/>
    <cellStyle name="Normal 4 8 2 2" xfId="6328" xr:uid="{00000000-0005-0000-0000-0000C1180000}"/>
    <cellStyle name="Normal 4 8 2 2 2" xfId="6329" xr:uid="{00000000-0005-0000-0000-0000C2180000}"/>
    <cellStyle name="Normal 4 8 2 2 2 2" xfId="6330" xr:uid="{00000000-0005-0000-0000-0000C3180000}"/>
    <cellStyle name="Normal 4 8 2 2 3" xfId="6331" xr:uid="{00000000-0005-0000-0000-0000C4180000}"/>
    <cellStyle name="Normal 4 8 2 2 3 2" xfId="6332" xr:uid="{00000000-0005-0000-0000-0000C5180000}"/>
    <cellStyle name="Normal 4 8 2 2 4" xfId="6333" xr:uid="{00000000-0005-0000-0000-0000C6180000}"/>
    <cellStyle name="Normal 4 8 2 3" xfId="6334" xr:uid="{00000000-0005-0000-0000-0000C7180000}"/>
    <cellStyle name="Normal 4 8 2 3 2" xfId="6335" xr:uid="{00000000-0005-0000-0000-0000C8180000}"/>
    <cellStyle name="Normal 4 8 2 4" xfId="6336" xr:uid="{00000000-0005-0000-0000-0000C9180000}"/>
    <cellStyle name="Normal 4 8 2 4 2" xfId="6337" xr:uid="{00000000-0005-0000-0000-0000CA180000}"/>
    <cellStyle name="Normal 4 8 2 5" xfId="6338" xr:uid="{00000000-0005-0000-0000-0000CB180000}"/>
    <cellStyle name="Normal 4 8 3" xfId="6339" xr:uid="{00000000-0005-0000-0000-0000CC180000}"/>
    <cellStyle name="Normal 4 8 3 2" xfId="6340" xr:uid="{00000000-0005-0000-0000-0000CD180000}"/>
    <cellStyle name="Normal 4 8 3 2 2" xfId="6341" xr:uid="{00000000-0005-0000-0000-0000CE180000}"/>
    <cellStyle name="Normal 4 8 3 2 2 2" xfId="6342" xr:uid="{00000000-0005-0000-0000-0000CF180000}"/>
    <cellStyle name="Normal 4 8 3 2 3" xfId="6343" xr:uid="{00000000-0005-0000-0000-0000D0180000}"/>
    <cellStyle name="Normal 4 8 3 2 3 2" xfId="6344" xr:uid="{00000000-0005-0000-0000-0000D1180000}"/>
    <cellStyle name="Normal 4 8 3 2 4" xfId="6345" xr:uid="{00000000-0005-0000-0000-0000D2180000}"/>
    <cellStyle name="Normal 4 8 3 3" xfId="6346" xr:uid="{00000000-0005-0000-0000-0000D3180000}"/>
    <cellStyle name="Normal 4 8 3 3 2" xfId="6347" xr:uid="{00000000-0005-0000-0000-0000D4180000}"/>
    <cellStyle name="Normal 4 8 3 4" xfId="6348" xr:uid="{00000000-0005-0000-0000-0000D5180000}"/>
    <cellStyle name="Normal 4 8 3 4 2" xfId="6349" xr:uid="{00000000-0005-0000-0000-0000D6180000}"/>
    <cellStyle name="Normal 4 8 3 5" xfId="6350" xr:uid="{00000000-0005-0000-0000-0000D7180000}"/>
    <cellStyle name="Normal 4 8 4" xfId="6351" xr:uid="{00000000-0005-0000-0000-0000D8180000}"/>
    <cellStyle name="Normal 4 8 4 2" xfId="6352" xr:uid="{00000000-0005-0000-0000-0000D9180000}"/>
    <cellStyle name="Normal 4 8 4 2 2" xfId="6353" xr:uid="{00000000-0005-0000-0000-0000DA180000}"/>
    <cellStyle name="Normal 4 8 4 3" xfId="6354" xr:uid="{00000000-0005-0000-0000-0000DB180000}"/>
    <cellStyle name="Normal 4 8 4 3 2" xfId="6355" xr:uid="{00000000-0005-0000-0000-0000DC180000}"/>
    <cellStyle name="Normal 4 8 4 4" xfId="6356" xr:uid="{00000000-0005-0000-0000-0000DD180000}"/>
    <cellStyle name="Normal 4 8 5" xfId="6357" xr:uid="{00000000-0005-0000-0000-0000DE180000}"/>
    <cellStyle name="Normal 4 8 5 2" xfId="6358" xr:uid="{00000000-0005-0000-0000-0000DF180000}"/>
    <cellStyle name="Normal 4 8 6" xfId="6359" xr:uid="{00000000-0005-0000-0000-0000E0180000}"/>
    <cellStyle name="Normal 4 8 6 2" xfId="6360" xr:uid="{00000000-0005-0000-0000-0000E1180000}"/>
    <cellStyle name="Normal 4 8 7" xfId="6361" xr:uid="{00000000-0005-0000-0000-0000E2180000}"/>
    <cellStyle name="Normal 4 9" xfId="6362" xr:uid="{00000000-0005-0000-0000-0000E3180000}"/>
    <cellStyle name="Normal 4 9 2" xfId="6363" xr:uid="{00000000-0005-0000-0000-0000E4180000}"/>
    <cellStyle name="Normal 4 9 2 2" xfId="6364" xr:uid="{00000000-0005-0000-0000-0000E5180000}"/>
    <cellStyle name="Normal 4 9 2 2 2" xfId="6365" xr:uid="{00000000-0005-0000-0000-0000E6180000}"/>
    <cellStyle name="Normal 4 9 2 2 2 2" xfId="6366" xr:uid="{00000000-0005-0000-0000-0000E7180000}"/>
    <cellStyle name="Normal 4 9 2 2 3" xfId="6367" xr:uid="{00000000-0005-0000-0000-0000E8180000}"/>
    <cellStyle name="Normal 4 9 2 2 3 2" xfId="6368" xr:uid="{00000000-0005-0000-0000-0000E9180000}"/>
    <cellStyle name="Normal 4 9 2 2 4" xfId="6369" xr:uid="{00000000-0005-0000-0000-0000EA180000}"/>
    <cellStyle name="Normal 4 9 2 3" xfId="6370" xr:uid="{00000000-0005-0000-0000-0000EB180000}"/>
    <cellStyle name="Normal 4 9 2 3 2" xfId="6371" xr:uid="{00000000-0005-0000-0000-0000EC180000}"/>
    <cellStyle name="Normal 4 9 2 4" xfId="6372" xr:uid="{00000000-0005-0000-0000-0000ED180000}"/>
    <cellStyle name="Normal 4 9 2 4 2" xfId="6373" xr:uid="{00000000-0005-0000-0000-0000EE180000}"/>
    <cellStyle name="Normal 4 9 2 5" xfId="6374" xr:uid="{00000000-0005-0000-0000-0000EF180000}"/>
    <cellStyle name="Normal 4 9 3" xfId="6375" xr:uid="{00000000-0005-0000-0000-0000F0180000}"/>
    <cellStyle name="Normal 4 9 3 2" xfId="6376" xr:uid="{00000000-0005-0000-0000-0000F1180000}"/>
    <cellStyle name="Normal 4 9 3 2 2" xfId="6377" xr:uid="{00000000-0005-0000-0000-0000F2180000}"/>
    <cellStyle name="Normal 4 9 3 2 2 2" xfId="6378" xr:uid="{00000000-0005-0000-0000-0000F3180000}"/>
    <cellStyle name="Normal 4 9 3 2 3" xfId="6379" xr:uid="{00000000-0005-0000-0000-0000F4180000}"/>
    <cellStyle name="Normal 4 9 3 2 3 2" xfId="6380" xr:uid="{00000000-0005-0000-0000-0000F5180000}"/>
    <cellStyle name="Normal 4 9 3 2 4" xfId="6381" xr:uid="{00000000-0005-0000-0000-0000F6180000}"/>
    <cellStyle name="Normal 4 9 3 3" xfId="6382" xr:uid="{00000000-0005-0000-0000-0000F7180000}"/>
    <cellStyle name="Normal 4 9 3 3 2" xfId="6383" xr:uid="{00000000-0005-0000-0000-0000F8180000}"/>
    <cellStyle name="Normal 4 9 3 4" xfId="6384" xr:uid="{00000000-0005-0000-0000-0000F9180000}"/>
    <cellStyle name="Normal 4 9 3 4 2" xfId="6385" xr:uid="{00000000-0005-0000-0000-0000FA180000}"/>
    <cellStyle name="Normal 4 9 3 5" xfId="6386" xr:uid="{00000000-0005-0000-0000-0000FB180000}"/>
    <cellStyle name="Normal 4 9 4" xfId="6387" xr:uid="{00000000-0005-0000-0000-0000FC180000}"/>
    <cellStyle name="Normal 4 9 4 2" xfId="6388" xr:uid="{00000000-0005-0000-0000-0000FD180000}"/>
    <cellStyle name="Normal 4 9 4 2 2" xfId="6389" xr:uid="{00000000-0005-0000-0000-0000FE180000}"/>
    <cellStyle name="Normal 4 9 4 3" xfId="6390" xr:uid="{00000000-0005-0000-0000-0000FF180000}"/>
    <cellStyle name="Normal 4 9 4 3 2" xfId="6391" xr:uid="{00000000-0005-0000-0000-000000190000}"/>
    <cellStyle name="Normal 4 9 4 4" xfId="6392" xr:uid="{00000000-0005-0000-0000-000001190000}"/>
    <cellStyle name="Normal 4 9 5" xfId="6393" xr:uid="{00000000-0005-0000-0000-000002190000}"/>
    <cellStyle name="Normal 4 9 5 2" xfId="6394" xr:uid="{00000000-0005-0000-0000-000003190000}"/>
    <cellStyle name="Normal 4 9 6" xfId="6395" xr:uid="{00000000-0005-0000-0000-000004190000}"/>
    <cellStyle name="Normal 4 9 6 2" xfId="6396" xr:uid="{00000000-0005-0000-0000-000005190000}"/>
    <cellStyle name="Normal 4 9 7" xfId="6397" xr:uid="{00000000-0005-0000-0000-000006190000}"/>
    <cellStyle name="Normal 5" xfId="6398" xr:uid="{00000000-0005-0000-0000-000007190000}"/>
    <cellStyle name="Normal 5 2" xfId="6399" xr:uid="{00000000-0005-0000-0000-000008190000}"/>
    <cellStyle name="Normal 5 2 2" xfId="6400" xr:uid="{00000000-0005-0000-0000-000009190000}"/>
    <cellStyle name="Normal 5 2 2 2" xfId="6401" xr:uid="{00000000-0005-0000-0000-00000A190000}"/>
    <cellStyle name="Normal 5 2 3" xfId="6402" xr:uid="{00000000-0005-0000-0000-00000B190000}"/>
    <cellStyle name="Normal 5 3" xfId="6403" xr:uid="{00000000-0005-0000-0000-00000C190000}"/>
    <cellStyle name="Normal 5 3 2" xfId="6404" xr:uid="{00000000-0005-0000-0000-00000D190000}"/>
    <cellStyle name="Normal 5 4" xfId="6405" xr:uid="{00000000-0005-0000-0000-00000E190000}"/>
    <cellStyle name="Normal 5 4 2" xfId="6406" xr:uid="{00000000-0005-0000-0000-00000F190000}"/>
    <cellStyle name="Normal 5 5" xfId="6407" xr:uid="{00000000-0005-0000-0000-000010190000}"/>
    <cellStyle name="Normal 6" xfId="6408" xr:uid="{00000000-0005-0000-0000-000011190000}"/>
    <cellStyle name="Normal 6 2" xfId="6409" xr:uid="{00000000-0005-0000-0000-000012190000}"/>
    <cellStyle name="Normal 6 3" xfId="44732" xr:uid="{00000000-0005-0000-0000-000013190000}"/>
    <cellStyle name="Normal 7" xfId="44718" xr:uid="{00000000-0005-0000-0000-000014190000}"/>
    <cellStyle name="Normal 7 2" xfId="44736" xr:uid="{B6EDB3F4-9C39-400F-8668-F05448F19896}"/>
    <cellStyle name="Normal 8" xfId="44730" xr:uid="{00000000-0005-0000-0000-000015190000}"/>
    <cellStyle name="Normal 9" xfId="44735" xr:uid="{078B3919-4B94-40E2-B319-16830EB37003}"/>
    <cellStyle name="Percent" xfId="44717" builtinId="5"/>
    <cellStyle name="Percent 2" xfId="6410" xr:uid="{00000000-0005-0000-0000-000017190000}"/>
    <cellStyle name="Percent 2 2" xfId="6411" xr:uid="{00000000-0005-0000-0000-000018190000}"/>
    <cellStyle name="Percent 3" xfId="6412" xr:uid="{00000000-0005-0000-0000-000019190000}"/>
    <cellStyle name="Percent 4" xfId="44743" xr:uid="{E75B4195-2A78-4676-A842-5B9B32EF2623}"/>
    <cellStyle name="Percent 5" xfId="44746" xr:uid="{62BF4AE0-8D62-4976-A076-3DCF9AC4765F}"/>
    <cellStyle name="Percent 5 2" xfId="44751" xr:uid="{1BBB7194-060E-49AA-8DDC-7EEF53F4D13B}"/>
    <cellStyle name="Positive" xfId="6413" xr:uid="{00000000-0005-0000-0000-00001A190000}"/>
    <cellStyle name="Positive 2" xfId="6414" xr:uid="{00000000-0005-0000-0000-00001B190000}"/>
    <cellStyle name="Positive 2 10" xfId="6415" xr:uid="{00000000-0005-0000-0000-00001C190000}"/>
    <cellStyle name="Positive 2 10 10" xfId="6416" xr:uid="{00000000-0005-0000-0000-00001D190000}"/>
    <cellStyle name="Positive 2 10 10 2" xfId="6417" xr:uid="{00000000-0005-0000-0000-00001E190000}"/>
    <cellStyle name="Positive 2 10 11" xfId="6418" xr:uid="{00000000-0005-0000-0000-00001F190000}"/>
    <cellStyle name="Positive 2 10 11 2" xfId="6419" xr:uid="{00000000-0005-0000-0000-000020190000}"/>
    <cellStyle name="Positive 2 10 12" xfId="6420" xr:uid="{00000000-0005-0000-0000-000021190000}"/>
    <cellStyle name="Positive 2 10 12 2" xfId="6421" xr:uid="{00000000-0005-0000-0000-000022190000}"/>
    <cellStyle name="Positive 2 10 13" xfId="6422" xr:uid="{00000000-0005-0000-0000-000023190000}"/>
    <cellStyle name="Positive 2 10 13 2" xfId="6423" xr:uid="{00000000-0005-0000-0000-000024190000}"/>
    <cellStyle name="Positive 2 10 14" xfId="6424" xr:uid="{00000000-0005-0000-0000-000025190000}"/>
    <cellStyle name="Positive 2 10 14 2" xfId="6425" xr:uid="{00000000-0005-0000-0000-000026190000}"/>
    <cellStyle name="Positive 2 10 15" xfId="6426" xr:uid="{00000000-0005-0000-0000-000027190000}"/>
    <cellStyle name="Positive 2 10 15 2" xfId="6427" xr:uid="{00000000-0005-0000-0000-000028190000}"/>
    <cellStyle name="Positive 2 10 16" xfId="6428" xr:uid="{00000000-0005-0000-0000-000029190000}"/>
    <cellStyle name="Positive 2 10 16 2" xfId="6429" xr:uid="{00000000-0005-0000-0000-00002A190000}"/>
    <cellStyle name="Positive 2 10 17" xfId="6430" xr:uid="{00000000-0005-0000-0000-00002B190000}"/>
    <cellStyle name="Positive 2 10 17 2" xfId="6431" xr:uid="{00000000-0005-0000-0000-00002C190000}"/>
    <cellStyle name="Positive 2 10 18" xfId="6432" xr:uid="{00000000-0005-0000-0000-00002D190000}"/>
    <cellStyle name="Positive 2 10 18 2" xfId="6433" xr:uid="{00000000-0005-0000-0000-00002E190000}"/>
    <cellStyle name="Positive 2 10 19" xfId="6434" xr:uid="{00000000-0005-0000-0000-00002F190000}"/>
    <cellStyle name="Positive 2 10 19 2" xfId="6435" xr:uid="{00000000-0005-0000-0000-000030190000}"/>
    <cellStyle name="Positive 2 10 2" xfId="6436" xr:uid="{00000000-0005-0000-0000-000031190000}"/>
    <cellStyle name="Positive 2 10 2 10" xfId="6437" xr:uid="{00000000-0005-0000-0000-000032190000}"/>
    <cellStyle name="Positive 2 10 2 10 2" xfId="6438" xr:uid="{00000000-0005-0000-0000-000033190000}"/>
    <cellStyle name="Positive 2 10 2 11" xfId="6439" xr:uid="{00000000-0005-0000-0000-000034190000}"/>
    <cellStyle name="Positive 2 10 2 11 2" xfId="6440" xr:uid="{00000000-0005-0000-0000-000035190000}"/>
    <cellStyle name="Positive 2 10 2 12" xfId="6441" xr:uid="{00000000-0005-0000-0000-000036190000}"/>
    <cellStyle name="Positive 2 10 2 12 2" xfId="6442" xr:uid="{00000000-0005-0000-0000-000037190000}"/>
    <cellStyle name="Positive 2 10 2 13" xfId="6443" xr:uid="{00000000-0005-0000-0000-000038190000}"/>
    <cellStyle name="Positive 2 10 2 13 2" xfId="6444" xr:uid="{00000000-0005-0000-0000-000039190000}"/>
    <cellStyle name="Positive 2 10 2 14" xfId="6445" xr:uid="{00000000-0005-0000-0000-00003A190000}"/>
    <cellStyle name="Positive 2 10 2 14 2" xfId="6446" xr:uid="{00000000-0005-0000-0000-00003B190000}"/>
    <cellStyle name="Positive 2 10 2 15" xfId="6447" xr:uid="{00000000-0005-0000-0000-00003C190000}"/>
    <cellStyle name="Positive 2 10 2 15 2" xfId="6448" xr:uid="{00000000-0005-0000-0000-00003D190000}"/>
    <cellStyle name="Positive 2 10 2 16" xfId="6449" xr:uid="{00000000-0005-0000-0000-00003E190000}"/>
    <cellStyle name="Positive 2 10 2 16 2" xfId="6450" xr:uid="{00000000-0005-0000-0000-00003F190000}"/>
    <cellStyle name="Positive 2 10 2 17" xfId="6451" xr:uid="{00000000-0005-0000-0000-000040190000}"/>
    <cellStyle name="Positive 2 10 2 17 2" xfId="6452" xr:uid="{00000000-0005-0000-0000-000041190000}"/>
    <cellStyle name="Positive 2 10 2 18" xfId="6453" xr:uid="{00000000-0005-0000-0000-000042190000}"/>
    <cellStyle name="Positive 2 10 2 18 2" xfId="6454" xr:uid="{00000000-0005-0000-0000-000043190000}"/>
    <cellStyle name="Positive 2 10 2 19" xfId="6455" xr:uid="{00000000-0005-0000-0000-000044190000}"/>
    <cellStyle name="Positive 2 10 2 19 2" xfId="6456" xr:uid="{00000000-0005-0000-0000-000045190000}"/>
    <cellStyle name="Positive 2 10 2 2" xfId="6457" xr:uid="{00000000-0005-0000-0000-000046190000}"/>
    <cellStyle name="Positive 2 10 2 2 10" xfId="6458" xr:uid="{00000000-0005-0000-0000-000047190000}"/>
    <cellStyle name="Positive 2 10 2 2 10 2" xfId="6459" xr:uid="{00000000-0005-0000-0000-000048190000}"/>
    <cellStyle name="Positive 2 10 2 2 11" xfId="6460" xr:uid="{00000000-0005-0000-0000-000049190000}"/>
    <cellStyle name="Positive 2 10 2 2 11 2" xfId="6461" xr:uid="{00000000-0005-0000-0000-00004A190000}"/>
    <cellStyle name="Positive 2 10 2 2 12" xfId="6462" xr:uid="{00000000-0005-0000-0000-00004B190000}"/>
    <cellStyle name="Positive 2 10 2 2 12 2" xfId="6463" xr:uid="{00000000-0005-0000-0000-00004C190000}"/>
    <cellStyle name="Positive 2 10 2 2 13" xfId="6464" xr:uid="{00000000-0005-0000-0000-00004D190000}"/>
    <cellStyle name="Positive 2 10 2 2 13 2" xfId="6465" xr:uid="{00000000-0005-0000-0000-00004E190000}"/>
    <cellStyle name="Positive 2 10 2 2 14" xfId="6466" xr:uid="{00000000-0005-0000-0000-00004F190000}"/>
    <cellStyle name="Positive 2 10 2 2 14 2" xfId="6467" xr:uid="{00000000-0005-0000-0000-000050190000}"/>
    <cellStyle name="Positive 2 10 2 2 15" xfId="6468" xr:uid="{00000000-0005-0000-0000-000051190000}"/>
    <cellStyle name="Positive 2 10 2 2 15 2" xfId="6469" xr:uid="{00000000-0005-0000-0000-000052190000}"/>
    <cellStyle name="Positive 2 10 2 2 16" xfId="6470" xr:uid="{00000000-0005-0000-0000-000053190000}"/>
    <cellStyle name="Positive 2 10 2 2 16 2" xfId="6471" xr:uid="{00000000-0005-0000-0000-000054190000}"/>
    <cellStyle name="Positive 2 10 2 2 17" xfId="6472" xr:uid="{00000000-0005-0000-0000-000055190000}"/>
    <cellStyle name="Positive 2 10 2 2 2" xfId="6473" xr:uid="{00000000-0005-0000-0000-000056190000}"/>
    <cellStyle name="Positive 2 10 2 2 2 2" xfId="6474" xr:uid="{00000000-0005-0000-0000-000057190000}"/>
    <cellStyle name="Positive 2 10 2 2 3" xfId="6475" xr:uid="{00000000-0005-0000-0000-000058190000}"/>
    <cellStyle name="Positive 2 10 2 2 3 2" xfId="6476" xr:uid="{00000000-0005-0000-0000-000059190000}"/>
    <cellStyle name="Positive 2 10 2 2 4" xfId="6477" xr:uid="{00000000-0005-0000-0000-00005A190000}"/>
    <cellStyle name="Positive 2 10 2 2 4 2" xfId="6478" xr:uid="{00000000-0005-0000-0000-00005B190000}"/>
    <cellStyle name="Positive 2 10 2 2 5" xfId="6479" xr:uid="{00000000-0005-0000-0000-00005C190000}"/>
    <cellStyle name="Positive 2 10 2 2 5 2" xfId="6480" xr:uid="{00000000-0005-0000-0000-00005D190000}"/>
    <cellStyle name="Positive 2 10 2 2 6" xfId="6481" xr:uid="{00000000-0005-0000-0000-00005E190000}"/>
    <cellStyle name="Positive 2 10 2 2 6 2" xfId="6482" xr:uid="{00000000-0005-0000-0000-00005F190000}"/>
    <cellStyle name="Positive 2 10 2 2 7" xfId="6483" xr:uid="{00000000-0005-0000-0000-000060190000}"/>
    <cellStyle name="Positive 2 10 2 2 7 2" xfId="6484" xr:uid="{00000000-0005-0000-0000-000061190000}"/>
    <cellStyle name="Positive 2 10 2 2 8" xfId="6485" xr:uid="{00000000-0005-0000-0000-000062190000}"/>
    <cellStyle name="Positive 2 10 2 2 8 2" xfId="6486" xr:uid="{00000000-0005-0000-0000-000063190000}"/>
    <cellStyle name="Positive 2 10 2 2 9" xfId="6487" xr:uid="{00000000-0005-0000-0000-000064190000}"/>
    <cellStyle name="Positive 2 10 2 2 9 2" xfId="6488" xr:uid="{00000000-0005-0000-0000-000065190000}"/>
    <cellStyle name="Positive 2 10 2 20" xfId="6489" xr:uid="{00000000-0005-0000-0000-000066190000}"/>
    <cellStyle name="Positive 2 10 2 3" xfId="6490" xr:uid="{00000000-0005-0000-0000-000067190000}"/>
    <cellStyle name="Positive 2 10 2 3 2" xfId="6491" xr:uid="{00000000-0005-0000-0000-000068190000}"/>
    <cellStyle name="Positive 2 10 2 3 2 2" xfId="6492" xr:uid="{00000000-0005-0000-0000-000069190000}"/>
    <cellStyle name="Positive 2 10 2 3 3" xfId="6493" xr:uid="{00000000-0005-0000-0000-00006A190000}"/>
    <cellStyle name="Positive 2 10 2 4" xfId="6494" xr:uid="{00000000-0005-0000-0000-00006B190000}"/>
    <cellStyle name="Positive 2 10 2 4 2" xfId="6495" xr:uid="{00000000-0005-0000-0000-00006C190000}"/>
    <cellStyle name="Positive 2 10 2 4 2 2" xfId="6496" xr:uid="{00000000-0005-0000-0000-00006D190000}"/>
    <cellStyle name="Positive 2 10 2 4 3" xfId="6497" xr:uid="{00000000-0005-0000-0000-00006E190000}"/>
    <cellStyle name="Positive 2 10 2 5" xfId="6498" xr:uid="{00000000-0005-0000-0000-00006F190000}"/>
    <cellStyle name="Positive 2 10 2 5 2" xfId="6499" xr:uid="{00000000-0005-0000-0000-000070190000}"/>
    <cellStyle name="Positive 2 10 2 6" xfId="6500" xr:uid="{00000000-0005-0000-0000-000071190000}"/>
    <cellStyle name="Positive 2 10 2 6 2" xfId="6501" xr:uid="{00000000-0005-0000-0000-000072190000}"/>
    <cellStyle name="Positive 2 10 2 7" xfId="6502" xr:uid="{00000000-0005-0000-0000-000073190000}"/>
    <cellStyle name="Positive 2 10 2 7 2" xfId="6503" xr:uid="{00000000-0005-0000-0000-000074190000}"/>
    <cellStyle name="Positive 2 10 2 8" xfId="6504" xr:uid="{00000000-0005-0000-0000-000075190000}"/>
    <cellStyle name="Positive 2 10 2 8 2" xfId="6505" xr:uid="{00000000-0005-0000-0000-000076190000}"/>
    <cellStyle name="Positive 2 10 2 9" xfId="6506" xr:uid="{00000000-0005-0000-0000-000077190000}"/>
    <cellStyle name="Positive 2 10 2 9 2" xfId="6507" xr:uid="{00000000-0005-0000-0000-000078190000}"/>
    <cellStyle name="Positive 2 10 20" xfId="6508" xr:uid="{00000000-0005-0000-0000-000079190000}"/>
    <cellStyle name="Positive 2 10 20 2" xfId="6509" xr:uid="{00000000-0005-0000-0000-00007A190000}"/>
    <cellStyle name="Positive 2 10 21" xfId="6510" xr:uid="{00000000-0005-0000-0000-00007B190000}"/>
    <cellStyle name="Positive 2 10 21 2" xfId="6511" xr:uid="{00000000-0005-0000-0000-00007C190000}"/>
    <cellStyle name="Positive 2 10 22" xfId="6512" xr:uid="{00000000-0005-0000-0000-00007D190000}"/>
    <cellStyle name="Positive 2 10 22 2" xfId="6513" xr:uid="{00000000-0005-0000-0000-00007E190000}"/>
    <cellStyle name="Positive 2 10 23" xfId="6514" xr:uid="{00000000-0005-0000-0000-00007F190000}"/>
    <cellStyle name="Positive 2 10 3" xfId="6515" xr:uid="{00000000-0005-0000-0000-000080190000}"/>
    <cellStyle name="Positive 2 10 3 10" xfId="6516" xr:uid="{00000000-0005-0000-0000-000081190000}"/>
    <cellStyle name="Positive 2 10 3 10 2" xfId="6517" xr:uid="{00000000-0005-0000-0000-000082190000}"/>
    <cellStyle name="Positive 2 10 3 11" xfId="6518" xr:uid="{00000000-0005-0000-0000-000083190000}"/>
    <cellStyle name="Positive 2 10 3 11 2" xfId="6519" xr:uid="{00000000-0005-0000-0000-000084190000}"/>
    <cellStyle name="Positive 2 10 3 12" xfId="6520" xr:uid="{00000000-0005-0000-0000-000085190000}"/>
    <cellStyle name="Positive 2 10 3 12 2" xfId="6521" xr:uid="{00000000-0005-0000-0000-000086190000}"/>
    <cellStyle name="Positive 2 10 3 13" xfId="6522" xr:uid="{00000000-0005-0000-0000-000087190000}"/>
    <cellStyle name="Positive 2 10 3 13 2" xfId="6523" xr:uid="{00000000-0005-0000-0000-000088190000}"/>
    <cellStyle name="Positive 2 10 3 14" xfId="6524" xr:uid="{00000000-0005-0000-0000-000089190000}"/>
    <cellStyle name="Positive 2 10 3 14 2" xfId="6525" xr:uid="{00000000-0005-0000-0000-00008A190000}"/>
    <cellStyle name="Positive 2 10 3 15" xfId="6526" xr:uid="{00000000-0005-0000-0000-00008B190000}"/>
    <cellStyle name="Positive 2 10 3 15 2" xfId="6527" xr:uid="{00000000-0005-0000-0000-00008C190000}"/>
    <cellStyle name="Positive 2 10 3 16" xfId="6528" xr:uid="{00000000-0005-0000-0000-00008D190000}"/>
    <cellStyle name="Positive 2 10 3 16 2" xfId="6529" xr:uid="{00000000-0005-0000-0000-00008E190000}"/>
    <cellStyle name="Positive 2 10 3 17" xfId="6530" xr:uid="{00000000-0005-0000-0000-00008F190000}"/>
    <cellStyle name="Positive 2 10 3 17 2" xfId="6531" xr:uid="{00000000-0005-0000-0000-000090190000}"/>
    <cellStyle name="Positive 2 10 3 18" xfId="6532" xr:uid="{00000000-0005-0000-0000-000091190000}"/>
    <cellStyle name="Positive 2 10 3 18 2" xfId="6533" xr:uid="{00000000-0005-0000-0000-000092190000}"/>
    <cellStyle name="Positive 2 10 3 19" xfId="6534" xr:uid="{00000000-0005-0000-0000-000093190000}"/>
    <cellStyle name="Positive 2 10 3 19 2" xfId="6535" xr:uid="{00000000-0005-0000-0000-000094190000}"/>
    <cellStyle name="Positive 2 10 3 2" xfId="6536" xr:uid="{00000000-0005-0000-0000-000095190000}"/>
    <cellStyle name="Positive 2 10 3 2 10" xfId="6537" xr:uid="{00000000-0005-0000-0000-000096190000}"/>
    <cellStyle name="Positive 2 10 3 2 10 2" xfId="6538" xr:uid="{00000000-0005-0000-0000-000097190000}"/>
    <cellStyle name="Positive 2 10 3 2 11" xfId="6539" xr:uid="{00000000-0005-0000-0000-000098190000}"/>
    <cellStyle name="Positive 2 10 3 2 11 2" xfId="6540" xr:uid="{00000000-0005-0000-0000-000099190000}"/>
    <cellStyle name="Positive 2 10 3 2 12" xfId="6541" xr:uid="{00000000-0005-0000-0000-00009A190000}"/>
    <cellStyle name="Positive 2 10 3 2 12 2" xfId="6542" xr:uid="{00000000-0005-0000-0000-00009B190000}"/>
    <cellStyle name="Positive 2 10 3 2 13" xfId="6543" xr:uid="{00000000-0005-0000-0000-00009C190000}"/>
    <cellStyle name="Positive 2 10 3 2 13 2" xfId="6544" xr:uid="{00000000-0005-0000-0000-00009D190000}"/>
    <cellStyle name="Positive 2 10 3 2 14" xfId="6545" xr:uid="{00000000-0005-0000-0000-00009E190000}"/>
    <cellStyle name="Positive 2 10 3 2 14 2" xfId="6546" xr:uid="{00000000-0005-0000-0000-00009F190000}"/>
    <cellStyle name="Positive 2 10 3 2 15" xfId="6547" xr:uid="{00000000-0005-0000-0000-0000A0190000}"/>
    <cellStyle name="Positive 2 10 3 2 15 2" xfId="6548" xr:uid="{00000000-0005-0000-0000-0000A1190000}"/>
    <cellStyle name="Positive 2 10 3 2 16" xfId="6549" xr:uid="{00000000-0005-0000-0000-0000A2190000}"/>
    <cellStyle name="Positive 2 10 3 2 16 2" xfId="6550" xr:uid="{00000000-0005-0000-0000-0000A3190000}"/>
    <cellStyle name="Positive 2 10 3 2 17" xfId="6551" xr:uid="{00000000-0005-0000-0000-0000A4190000}"/>
    <cellStyle name="Positive 2 10 3 2 2" xfId="6552" xr:uid="{00000000-0005-0000-0000-0000A5190000}"/>
    <cellStyle name="Positive 2 10 3 2 2 2" xfId="6553" xr:uid="{00000000-0005-0000-0000-0000A6190000}"/>
    <cellStyle name="Positive 2 10 3 2 3" xfId="6554" xr:uid="{00000000-0005-0000-0000-0000A7190000}"/>
    <cellStyle name="Positive 2 10 3 2 3 2" xfId="6555" xr:uid="{00000000-0005-0000-0000-0000A8190000}"/>
    <cellStyle name="Positive 2 10 3 2 4" xfId="6556" xr:uid="{00000000-0005-0000-0000-0000A9190000}"/>
    <cellStyle name="Positive 2 10 3 2 4 2" xfId="6557" xr:uid="{00000000-0005-0000-0000-0000AA190000}"/>
    <cellStyle name="Positive 2 10 3 2 5" xfId="6558" xr:uid="{00000000-0005-0000-0000-0000AB190000}"/>
    <cellStyle name="Positive 2 10 3 2 5 2" xfId="6559" xr:uid="{00000000-0005-0000-0000-0000AC190000}"/>
    <cellStyle name="Positive 2 10 3 2 6" xfId="6560" xr:uid="{00000000-0005-0000-0000-0000AD190000}"/>
    <cellStyle name="Positive 2 10 3 2 6 2" xfId="6561" xr:uid="{00000000-0005-0000-0000-0000AE190000}"/>
    <cellStyle name="Positive 2 10 3 2 7" xfId="6562" xr:uid="{00000000-0005-0000-0000-0000AF190000}"/>
    <cellStyle name="Positive 2 10 3 2 7 2" xfId="6563" xr:uid="{00000000-0005-0000-0000-0000B0190000}"/>
    <cellStyle name="Positive 2 10 3 2 8" xfId="6564" xr:uid="{00000000-0005-0000-0000-0000B1190000}"/>
    <cellStyle name="Positive 2 10 3 2 8 2" xfId="6565" xr:uid="{00000000-0005-0000-0000-0000B2190000}"/>
    <cellStyle name="Positive 2 10 3 2 9" xfId="6566" xr:uid="{00000000-0005-0000-0000-0000B3190000}"/>
    <cellStyle name="Positive 2 10 3 2 9 2" xfId="6567" xr:uid="{00000000-0005-0000-0000-0000B4190000}"/>
    <cellStyle name="Positive 2 10 3 20" xfId="6568" xr:uid="{00000000-0005-0000-0000-0000B5190000}"/>
    <cellStyle name="Positive 2 10 3 3" xfId="6569" xr:uid="{00000000-0005-0000-0000-0000B6190000}"/>
    <cellStyle name="Positive 2 10 3 3 2" xfId="6570" xr:uid="{00000000-0005-0000-0000-0000B7190000}"/>
    <cellStyle name="Positive 2 10 3 3 2 2" xfId="6571" xr:uid="{00000000-0005-0000-0000-0000B8190000}"/>
    <cellStyle name="Positive 2 10 3 3 3" xfId="6572" xr:uid="{00000000-0005-0000-0000-0000B9190000}"/>
    <cellStyle name="Positive 2 10 3 4" xfId="6573" xr:uid="{00000000-0005-0000-0000-0000BA190000}"/>
    <cellStyle name="Positive 2 10 3 4 2" xfId="6574" xr:uid="{00000000-0005-0000-0000-0000BB190000}"/>
    <cellStyle name="Positive 2 10 3 4 2 2" xfId="6575" xr:uid="{00000000-0005-0000-0000-0000BC190000}"/>
    <cellStyle name="Positive 2 10 3 4 3" xfId="6576" xr:uid="{00000000-0005-0000-0000-0000BD190000}"/>
    <cellStyle name="Positive 2 10 3 5" xfId="6577" xr:uid="{00000000-0005-0000-0000-0000BE190000}"/>
    <cellStyle name="Positive 2 10 3 5 2" xfId="6578" xr:uid="{00000000-0005-0000-0000-0000BF190000}"/>
    <cellStyle name="Positive 2 10 3 6" xfId="6579" xr:uid="{00000000-0005-0000-0000-0000C0190000}"/>
    <cellStyle name="Positive 2 10 3 6 2" xfId="6580" xr:uid="{00000000-0005-0000-0000-0000C1190000}"/>
    <cellStyle name="Positive 2 10 3 7" xfId="6581" xr:uid="{00000000-0005-0000-0000-0000C2190000}"/>
    <cellStyle name="Positive 2 10 3 7 2" xfId="6582" xr:uid="{00000000-0005-0000-0000-0000C3190000}"/>
    <cellStyle name="Positive 2 10 3 8" xfId="6583" xr:uid="{00000000-0005-0000-0000-0000C4190000}"/>
    <cellStyle name="Positive 2 10 3 8 2" xfId="6584" xr:uid="{00000000-0005-0000-0000-0000C5190000}"/>
    <cellStyle name="Positive 2 10 3 9" xfId="6585" xr:uid="{00000000-0005-0000-0000-0000C6190000}"/>
    <cellStyle name="Positive 2 10 3 9 2" xfId="6586" xr:uid="{00000000-0005-0000-0000-0000C7190000}"/>
    <cellStyle name="Positive 2 10 4" xfId="6587" xr:uid="{00000000-0005-0000-0000-0000C8190000}"/>
    <cellStyle name="Positive 2 10 4 10" xfId="6588" xr:uid="{00000000-0005-0000-0000-0000C9190000}"/>
    <cellStyle name="Positive 2 10 4 10 2" xfId="6589" xr:uid="{00000000-0005-0000-0000-0000CA190000}"/>
    <cellStyle name="Positive 2 10 4 11" xfId="6590" xr:uid="{00000000-0005-0000-0000-0000CB190000}"/>
    <cellStyle name="Positive 2 10 4 11 2" xfId="6591" xr:uid="{00000000-0005-0000-0000-0000CC190000}"/>
    <cellStyle name="Positive 2 10 4 12" xfId="6592" xr:uid="{00000000-0005-0000-0000-0000CD190000}"/>
    <cellStyle name="Positive 2 10 4 12 2" xfId="6593" xr:uid="{00000000-0005-0000-0000-0000CE190000}"/>
    <cellStyle name="Positive 2 10 4 13" xfId="6594" xr:uid="{00000000-0005-0000-0000-0000CF190000}"/>
    <cellStyle name="Positive 2 10 4 13 2" xfId="6595" xr:uid="{00000000-0005-0000-0000-0000D0190000}"/>
    <cellStyle name="Positive 2 10 4 14" xfId="6596" xr:uid="{00000000-0005-0000-0000-0000D1190000}"/>
    <cellStyle name="Positive 2 10 4 14 2" xfId="6597" xr:uid="{00000000-0005-0000-0000-0000D2190000}"/>
    <cellStyle name="Positive 2 10 4 15" xfId="6598" xr:uid="{00000000-0005-0000-0000-0000D3190000}"/>
    <cellStyle name="Positive 2 10 4 15 2" xfId="6599" xr:uid="{00000000-0005-0000-0000-0000D4190000}"/>
    <cellStyle name="Positive 2 10 4 16" xfId="6600" xr:uid="{00000000-0005-0000-0000-0000D5190000}"/>
    <cellStyle name="Positive 2 10 4 16 2" xfId="6601" xr:uid="{00000000-0005-0000-0000-0000D6190000}"/>
    <cellStyle name="Positive 2 10 4 17" xfId="6602" xr:uid="{00000000-0005-0000-0000-0000D7190000}"/>
    <cellStyle name="Positive 2 10 4 17 2" xfId="6603" xr:uid="{00000000-0005-0000-0000-0000D8190000}"/>
    <cellStyle name="Positive 2 10 4 18" xfId="6604" xr:uid="{00000000-0005-0000-0000-0000D9190000}"/>
    <cellStyle name="Positive 2 10 4 18 2" xfId="6605" xr:uid="{00000000-0005-0000-0000-0000DA190000}"/>
    <cellStyle name="Positive 2 10 4 19" xfId="6606" xr:uid="{00000000-0005-0000-0000-0000DB190000}"/>
    <cellStyle name="Positive 2 10 4 19 2" xfId="6607" xr:uid="{00000000-0005-0000-0000-0000DC190000}"/>
    <cellStyle name="Positive 2 10 4 2" xfId="6608" xr:uid="{00000000-0005-0000-0000-0000DD190000}"/>
    <cellStyle name="Positive 2 10 4 2 10" xfId="6609" xr:uid="{00000000-0005-0000-0000-0000DE190000}"/>
    <cellStyle name="Positive 2 10 4 2 10 2" xfId="6610" xr:uid="{00000000-0005-0000-0000-0000DF190000}"/>
    <cellStyle name="Positive 2 10 4 2 11" xfId="6611" xr:uid="{00000000-0005-0000-0000-0000E0190000}"/>
    <cellStyle name="Positive 2 10 4 2 11 2" xfId="6612" xr:uid="{00000000-0005-0000-0000-0000E1190000}"/>
    <cellStyle name="Positive 2 10 4 2 12" xfId="6613" xr:uid="{00000000-0005-0000-0000-0000E2190000}"/>
    <cellStyle name="Positive 2 10 4 2 12 2" xfId="6614" xr:uid="{00000000-0005-0000-0000-0000E3190000}"/>
    <cellStyle name="Positive 2 10 4 2 13" xfId="6615" xr:uid="{00000000-0005-0000-0000-0000E4190000}"/>
    <cellStyle name="Positive 2 10 4 2 13 2" xfId="6616" xr:uid="{00000000-0005-0000-0000-0000E5190000}"/>
    <cellStyle name="Positive 2 10 4 2 14" xfId="6617" xr:uid="{00000000-0005-0000-0000-0000E6190000}"/>
    <cellStyle name="Positive 2 10 4 2 14 2" xfId="6618" xr:uid="{00000000-0005-0000-0000-0000E7190000}"/>
    <cellStyle name="Positive 2 10 4 2 15" xfId="6619" xr:uid="{00000000-0005-0000-0000-0000E8190000}"/>
    <cellStyle name="Positive 2 10 4 2 15 2" xfId="6620" xr:uid="{00000000-0005-0000-0000-0000E9190000}"/>
    <cellStyle name="Positive 2 10 4 2 16" xfId="6621" xr:uid="{00000000-0005-0000-0000-0000EA190000}"/>
    <cellStyle name="Positive 2 10 4 2 16 2" xfId="6622" xr:uid="{00000000-0005-0000-0000-0000EB190000}"/>
    <cellStyle name="Positive 2 10 4 2 17" xfId="6623" xr:uid="{00000000-0005-0000-0000-0000EC190000}"/>
    <cellStyle name="Positive 2 10 4 2 2" xfId="6624" xr:uid="{00000000-0005-0000-0000-0000ED190000}"/>
    <cellStyle name="Positive 2 10 4 2 2 2" xfId="6625" xr:uid="{00000000-0005-0000-0000-0000EE190000}"/>
    <cellStyle name="Positive 2 10 4 2 3" xfId="6626" xr:uid="{00000000-0005-0000-0000-0000EF190000}"/>
    <cellStyle name="Positive 2 10 4 2 3 2" xfId="6627" xr:uid="{00000000-0005-0000-0000-0000F0190000}"/>
    <cellStyle name="Positive 2 10 4 2 4" xfId="6628" xr:uid="{00000000-0005-0000-0000-0000F1190000}"/>
    <cellStyle name="Positive 2 10 4 2 4 2" xfId="6629" xr:uid="{00000000-0005-0000-0000-0000F2190000}"/>
    <cellStyle name="Positive 2 10 4 2 5" xfId="6630" xr:uid="{00000000-0005-0000-0000-0000F3190000}"/>
    <cellStyle name="Positive 2 10 4 2 5 2" xfId="6631" xr:uid="{00000000-0005-0000-0000-0000F4190000}"/>
    <cellStyle name="Positive 2 10 4 2 6" xfId="6632" xr:uid="{00000000-0005-0000-0000-0000F5190000}"/>
    <cellStyle name="Positive 2 10 4 2 6 2" xfId="6633" xr:uid="{00000000-0005-0000-0000-0000F6190000}"/>
    <cellStyle name="Positive 2 10 4 2 7" xfId="6634" xr:uid="{00000000-0005-0000-0000-0000F7190000}"/>
    <cellStyle name="Positive 2 10 4 2 7 2" xfId="6635" xr:uid="{00000000-0005-0000-0000-0000F8190000}"/>
    <cellStyle name="Positive 2 10 4 2 8" xfId="6636" xr:uid="{00000000-0005-0000-0000-0000F9190000}"/>
    <cellStyle name="Positive 2 10 4 2 8 2" xfId="6637" xr:uid="{00000000-0005-0000-0000-0000FA190000}"/>
    <cellStyle name="Positive 2 10 4 2 9" xfId="6638" xr:uid="{00000000-0005-0000-0000-0000FB190000}"/>
    <cellStyle name="Positive 2 10 4 2 9 2" xfId="6639" xr:uid="{00000000-0005-0000-0000-0000FC190000}"/>
    <cellStyle name="Positive 2 10 4 20" xfId="6640" xr:uid="{00000000-0005-0000-0000-0000FD190000}"/>
    <cellStyle name="Positive 2 10 4 3" xfId="6641" xr:uid="{00000000-0005-0000-0000-0000FE190000}"/>
    <cellStyle name="Positive 2 10 4 3 2" xfId="6642" xr:uid="{00000000-0005-0000-0000-0000FF190000}"/>
    <cellStyle name="Positive 2 10 4 3 2 2" xfId="6643" xr:uid="{00000000-0005-0000-0000-0000001A0000}"/>
    <cellStyle name="Positive 2 10 4 3 3" xfId="6644" xr:uid="{00000000-0005-0000-0000-0000011A0000}"/>
    <cellStyle name="Positive 2 10 4 4" xfId="6645" xr:uid="{00000000-0005-0000-0000-0000021A0000}"/>
    <cellStyle name="Positive 2 10 4 4 2" xfId="6646" xr:uid="{00000000-0005-0000-0000-0000031A0000}"/>
    <cellStyle name="Positive 2 10 4 4 2 2" xfId="6647" xr:uid="{00000000-0005-0000-0000-0000041A0000}"/>
    <cellStyle name="Positive 2 10 4 4 3" xfId="6648" xr:uid="{00000000-0005-0000-0000-0000051A0000}"/>
    <cellStyle name="Positive 2 10 4 5" xfId="6649" xr:uid="{00000000-0005-0000-0000-0000061A0000}"/>
    <cellStyle name="Positive 2 10 4 5 2" xfId="6650" xr:uid="{00000000-0005-0000-0000-0000071A0000}"/>
    <cellStyle name="Positive 2 10 4 6" xfId="6651" xr:uid="{00000000-0005-0000-0000-0000081A0000}"/>
    <cellStyle name="Positive 2 10 4 6 2" xfId="6652" xr:uid="{00000000-0005-0000-0000-0000091A0000}"/>
    <cellStyle name="Positive 2 10 4 7" xfId="6653" xr:uid="{00000000-0005-0000-0000-00000A1A0000}"/>
    <cellStyle name="Positive 2 10 4 7 2" xfId="6654" xr:uid="{00000000-0005-0000-0000-00000B1A0000}"/>
    <cellStyle name="Positive 2 10 4 8" xfId="6655" xr:uid="{00000000-0005-0000-0000-00000C1A0000}"/>
    <cellStyle name="Positive 2 10 4 8 2" xfId="6656" xr:uid="{00000000-0005-0000-0000-00000D1A0000}"/>
    <cellStyle name="Positive 2 10 4 9" xfId="6657" xr:uid="{00000000-0005-0000-0000-00000E1A0000}"/>
    <cellStyle name="Positive 2 10 4 9 2" xfId="6658" xr:uid="{00000000-0005-0000-0000-00000F1A0000}"/>
    <cellStyle name="Positive 2 10 5" xfId="6659" xr:uid="{00000000-0005-0000-0000-0000101A0000}"/>
    <cellStyle name="Positive 2 10 5 10" xfId="6660" xr:uid="{00000000-0005-0000-0000-0000111A0000}"/>
    <cellStyle name="Positive 2 10 5 10 2" xfId="6661" xr:uid="{00000000-0005-0000-0000-0000121A0000}"/>
    <cellStyle name="Positive 2 10 5 11" xfId="6662" xr:uid="{00000000-0005-0000-0000-0000131A0000}"/>
    <cellStyle name="Positive 2 10 5 11 2" xfId="6663" xr:uid="{00000000-0005-0000-0000-0000141A0000}"/>
    <cellStyle name="Positive 2 10 5 12" xfId="6664" xr:uid="{00000000-0005-0000-0000-0000151A0000}"/>
    <cellStyle name="Positive 2 10 5 12 2" xfId="6665" xr:uid="{00000000-0005-0000-0000-0000161A0000}"/>
    <cellStyle name="Positive 2 10 5 13" xfId="6666" xr:uid="{00000000-0005-0000-0000-0000171A0000}"/>
    <cellStyle name="Positive 2 10 5 13 2" xfId="6667" xr:uid="{00000000-0005-0000-0000-0000181A0000}"/>
    <cellStyle name="Positive 2 10 5 14" xfId="6668" xr:uid="{00000000-0005-0000-0000-0000191A0000}"/>
    <cellStyle name="Positive 2 10 5 14 2" xfId="6669" xr:uid="{00000000-0005-0000-0000-00001A1A0000}"/>
    <cellStyle name="Positive 2 10 5 15" xfId="6670" xr:uid="{00000000-0005-0000-0000-00001B1A0000}"/>
    <cellStyle name="Positive 2 10 5 15 2" xfId="6671" xr:uid="{00000000-0005-0000-0000-00001C1A0000}"/>
    <cellStyle name="Positive 2 10 5 16" xfId="6672" xr:uid="{00000000-0005-0000-0000-00001D1A0000}"/>
    <cellStyle name="Positive 2 10 5 16 2" xfId="6673" xr:uid="{00000000-0005-0000-0000-00001E1A0000}"/>
    <cellStyle name="Positive 2 10 5 17" xfId="6674" xr:uid="{00000000-0005-0000-0000-00001F1A0000}"/>
    <cellStyle name="Positive 2 10 5 2" xfId="6675" xr:uid="{00000000-0005-0000-0000-0000201A0000}"/>
    <cellStyle name="Positive 2 10 5 2 2" xfId="6676" xr:uid="{00000000-0005-0000-0000-0000211A0000}"/>
    <cellStyle name="Positive 2 10 5 3" xfId="6677" xr:uid="{00000000-0005-0000-0000-0000221A0000}"/>
    <cellStyle name="Positive 2 10 5 3 2" xfId="6678" xr:uid="{00000000-0005-0000-0000-0000231A0000}"/>
    <cellStyle name="Positive 2 10 5 4" xfId="6679" xr:uid="{00000000-0005-0000-0000-0000241A0000}"/>
    <cellStyle name="Positive 2 10 5 4 2" xfId="6680" xr:uid="{00000000-0005-0000-0000-0000251A0000}"/>
    <cellStyle name="Positive 2 10 5 5" xfId="6681" xr:uid="{00000000-0005-0000-0000-0000261A0000}"/>
    <cellStyle name="Positive 2 10 5 5 2" xfId="6682" xr:uid="{00000000-0005-0000-0000-0000271A0000}"/>
    <cellStyle name="Positive 2 10 5 6" xfId="6683" xr:uid="{00000000-0005-0000-0000-0000281A0000}"/>
    <cellStyle name="Positive 2 10 5 6 2" xfId="6684" xr:uid="{00000000-0005-0000-0000-0000291A0000}"/>
    <cellStyle name="Positive 2 10 5 7" xfId="6685" xr:uid="{00000000-0005-0000-0000-00002A1A0000}"/>
    <cellStyle name="Positive 2 10 5 7 2" xfId="6686" xr:uid="{00000000-0005-0000-0000-00002B1A0000}"/>
    <cellStyle name="Positive 2 10 5 8" xfId="6687" xr:uid="{00000000-0005-0000-0000-00002C1A0000}"/>
    <cellStyle name="Positive 2 10 5 8 2" xfId="6688" xr:uid="{00000000-0005-0000-0000-00002D1A0000}"/>
    <cellStyle name="Positive 2 10 5 9" xfId="6689" xr:uid="{00000000-0005-0000-0000-00002E1A0000}"/>
    <cellStyle name="Positive 2 10 5 9 2" xfId="6690" xr:uid="{00000000-0005-0000-0000-00002F1A0000}"/>
    <cellStyle name="Positive 2 10 6" xfId="6691" xr:uid="{00000000-0005-0000-0000-0000301A0000}"/>
    <cellStyle name="Positive 2 10 6 2" xfId="6692" xr:uid="{00000000-0005-0000-0000-0000311A0000}"/>
    <cellStyle name="Positive 2 10 6 2 2" xfId="6693" xr:uid="{00000000-0005-0000-0000-0000321A0000}"/>
    <cellStyle name="Positive 2 10 6 3" xfId="6694" xr:uid="{00000000-0005-0000-0000-0000331A0000}"/>
    <cellStyle name="Positive 2 10 7" xfId="6695" xr:uid="{00000000-0005-0000-0000-0000341A0000}"/>
    <cellStyle name="Positive 2 10 7 2" xfId="6696" xr:uid="{00000000-0005-0000-0000-0000351A0000}"/>
    <cellStyle name="Positive 2 10 7 2 2" xfId="6697" xr:uid="{00000000-0005-0000-0000-0000361A0000}"/>
    <cellStyle name="Positive 2 10 7 3" xfId="6698" xr:uid="{00000000-0005-0000-0000-0000371A0000}"/>
    <cellStyle name="Positive 2 10 8" xfId="6699" xr:uid="{00000000-0005-0000-0000-0000381A0000}"/>
    <cellStyle name="Positive 2 10 8 2" xfId="6700" xr:uid="{00000000-0005-0000-0000-0000391A0000}"/>
    <cellStyle name="Positive 2 10 9" xfId="6701" xr:uid="{00000000-0005-0000-0000-00003A1A0000}"/>
    <cellStyle name="Positive 2 10 9 2" xfId="6702" xr:uid="{00000000-0005-0000-0000-00003B1A0000}"/>
    <cellStyle name="Positive 2 11" xfId="6703" xr:uid="{00000000-0005-0000-0000-00003C1A0000}"/>
    <cellStyle name="Positive 2 11 10" xfId="6704" xr:uid="{00000000-0005-0000-0000-00003D1A0000}"/>
    <cellStyle name="Positive 2 11 10 2" xfId="6705" xr:uid="{00000000-0005-0000-0000-00003E1A0000}"/>
    <cellStyle name="Positive 2 11 11" xfId="6706" xr:uid="{00000000-0005-0000-0000-00003F1A0000}"/>
    <cellStyle name="Positive 2 11 11 2" xfId="6707" xr:uid="{00000000-0005-0000-0000-0000401A0000}"/>
    <cellStyle name="Positive 2 11 12" xfId="6708" xr:uid="{00000000-0005-0000-0000-0000411A0000}"/>
    <cellStyle name="Positive 2 11 12 2" xfId="6709" xr:uid="{00000000-0005-0000-0000-0000421A0000}"/>
    <cellStyle name="Positive 2 11 13" xfId="6710" xr:uid="{00000000-0005-0000-0000-0000431A0000}"/>
    <cellStyle name="Positive 2 11 13 2" xfId="6711" xr:uid="{00000000-0005-0000-0000-0000441A0000}"/>
    <cellStyle name="Positive 2 11 14" xfId="6712" xr:uid="{00000000-0005-0000-0000-0000451A0000}"/>
    <cellStyle name="Positive 2 11 14 2" xfId="6713" xr:uid="{00000000-0005-0000-0000-0000461A0000}"/>
    <cellStyle name="Positive 2 11 15" xfId="6714" xr:uid="{00000000-0005-0000-0000-0000471A0000}"/>
    <cellStyle name="Positive 2 11 15 2" xfId="6715" xr:uid="{00000000-0005-0000-0000-0000481A0000}"/>
    <cellStyle name="Positive 2 11 16" xfId="6716" xr:uid="{00000000-0005-0000-0000-0000491A0000}"/>
    <cellStyle name="Positive 2 11 16 2" xfId="6717" xr:uid="{00000000-0005-0000-0000-00004A1A0000}"/>
    <cellStyle name="Positive 2 11 17" xfId="6718" xr:uid="{00000000-0005-0000-0000-00004B1A0000}"/>
    <cellStyle name="Positive 2 11 17 2" xfId="6719" xr:uid="{00000000-0005-0000-0000-00004C1A0000}"/>
    <cellStyle name="Positive 2 11 18" xfId="6720" xr:uid="{00000000-0005-0000-0000-00004D1A0000}"/>
    <cellStyle name="Positive 2 11 18 2" xfId="6721" xr:uid="{00000000-0005-0000-0000-00004E1A0000}"/>
    <cellStyle name="Positive 2 11 19" xfId="6722" xr:uid="{00000000-0005-0000-0000-00004F1A0000}"/>
    <cellStyle name="Positive 2 11 19 2" xfId="6723" xr:uid="{00000000-0005-0000-0000-0000501A0000}"/>
    <cellStyle name="Positive 2 11 2" xfId="6724" xr:uid="{00000000-0005-0000-0000-0000511A0000}"/>
    <cellStyle name="Positive 2 11 2 10" xfId="6725" xr:uid="{00000000-0005-0000-0000-0000521A0000}"/>
    <cellStyle name="Positive 2 11 2 10 2" xfId="6726" xr:uid="{00000000-0005-0000-0000-0000531A0000}"/>
    <cellStyle name="Positive 2 11 2 11" xfId="6727" xr:uid="{00000000-0005-0000-0000-0000541A0000}"/>
    <cellStyle name="Positive 2 11 2 11 2" xfId="6728" xr:uid="{00000000-0005-0000-0000-0000551A0000}"/>
    <cellStyle name="Positive 2 11 2 12" xfId="6729" xr:uid="{00000000-0005-0000-0000-0000561A0000}"/>
    <cellStyle name="Positive 2 11 2 12 2" xfId="6730" xr:uid="{00000000-0005-0000-0000-0000571A0000}"/>
    <cellStyle name="Positive 2 11 2 13" xfId="6731" xr:uid="{00000000-0005-0000-0000-0000581A0000}"/>
    <cellStyle name="Positive 2 11 2 13 2" xfId="6732" xr:uid="{00000000-0005-0000-0000-0000591A0000}"/>
    <cellStyle name="Positive 2 11 2 14" xfId="6733" xr:uid="{00000000-0005-0000-0000-00005A1A0000}"/>
    <cellStyle name="Positive 2 11 2 14 2" xfId="6734" xr:uid="{00000000-0005-0000-0000-00005B1A0000}"/>
    <cellStyle name="Positive 2 11 2 15" xfId="6735" xr:uid="{00000000-0005-0000-0000-00005C1A0000}"/>
    <cellStyle name="Positive 2 11 2 15 2" xfId="6736" xr:uid="{00000000-0005-0000-0000-00005D1A0000}"/>
    <cellStyle name="Positive 2 11 2 16" xfId="6737" xr:uid="{00000000-0005-0000-0000-00005E1A0000}"/>
    <cellStyle name="Positive 2 11 2 16 2" xfId="6738" xr:uid="{00000000-0005-0000-0000-00005F1A0000}"/>
    <cellStyle name="Positive 2 11 2 17" xfId="6739" xr:uid="{00000000-0005-0000-0000-0000601A0000}"/>
    <cellStyle name="Positive 2 11 2 17 2" xfId="6740" xr:uid="{00000000-0005-0000-0000-0000611A0000}"/>
    <cellStyle name="Positive 2 11 2 18" xfId="6741" xr:uid="{00000000-0005-0000-0000-0000621A0000}"/>
    <cellStyle name="Positive 2 11 2 18 2" xfId="6742" xr:uid="{00000000-0005-0000-0000-0000631A0000}"/>
    <cellStyle name="Positive 2 11 2 19" xfId="6743" xr:uid="{00000000-0005-0000-0000-0000641A0000}"/>
    <cellStyle name="Positive 2 11 2 19 2" xfId="6744" xr:uid="{00000000-0005-0000-0000-0000651A0000}"/>
    <cellStyle name="Positive 2 11 2 2" xfId="6745" xr:uid="{00000000-0005-0000-0000-0000661A0000}"/>
    <cellStyle name="Positive 2 11 2 2 10" xfId="6746" xr:uid="{00000000-0005-0000-0000-0000671A0000}"/>
    <cellStyle name="Positive 2 11 2 2 10 2" xfId="6747" xr:uid="{00000000-0005-0000-0000-0000681A0000}"/>
    <cellStyle name="Positive 2 11 2 2 11" xfId="6748" xr:uid="{00000000-0005-0000-0000-0000691A0000}"/>
    <cellStyle name="Positive 2 11 2 2 11 2" xfId="6749" xr:uid="{00000000-0005-0000-0000-00006A1A0000}"/>
    <cellStyle name="Positive 2 11 2 2 12" xfId="6750" xr:uid="{00000000-0005-0000-0000-00006B1A0000}"/>
    <cellStyle name="Positive 2 11 2 2 12 2" xfId="6751" xr:uid="{00000000-0005-0000-0000-00006C1A0000}"/>
    <cellStyle name="Positive 2 11 2 2 13" xfId="6752" xr:uid="{00000000-0005-0000-0000-00006D1A0000}"/>
    <cellStyle name="Positive 2 11 2 2 13 2" xfId="6753" xr:uid="{00000000-0005-0000-0000-00006E1A0000}"/>
    <cellStyle name="Positive 2 11 2 2 14" xfId="6754" xr:uid="{00000000-0005-0000-0000-00006F1A0000}"/>
    <cellStyle name="Positive 2 11 2 2 14 2" xfId="6755" xr:uid="{00000000-0005-0000-0000-0000701A0000}"/>
    <cellStyle name="Positive 2 11 2 2 15" xfId="6756" xr:uid="{00000000-0005-0000-0000-0000711A0000}"/>
    <cellStyle name="Positive 2 11 2 2 15 2" xfId="6757" xr:uid="{00000000-0005-0000-0000-0000721A0000}"/>
    <cellStyle name="Positive 2 11 2 2 16" xfId="6758" xr:uid="{00000000-0005-0000-0000-0000731A0000}"/>
    <cellStyle name="Positive 2 11 2 2 16 2" xfId="6759" xr:uid="{00000000-0005-0000-0000-0000741A0000}"/>
    <cellStyle name="Positive 2 11 2 2 17" xfId="6760" xr:uid="{00000000-0005-0000-0000-0000751A0000}"/>
    <cellStyle name="Positive 2 11 2 2 2" xfId="6761" xr:uid="{00000000-0005-0000-0000-0000761A0000}"/>
    <cellStyle name="Positive 2 11 2 2 2 2" xfId="6762" xr:uid="{00000000-0005-0000-0000-0000771A0000}"/>
    <cellStyle name="Positive 2 11 2 2 3" xfId="6763" xr:uid="{00000000-0005-0000-0000-0000781A0000}"/>
    <cellStyle name="Positive 2 11 2 2 3 2" xfId="6764" xr:uid="{00000000-0005-0000-0000-0000791A0000}"/>
    <cellStyle name="Positive 2 11 2 2 4" xfId="6765" xr:uid="{00000000-0005-0000-0000-00007A1A0000}"/>
    <cellStyle name="Positive 2 11 2 2 4 2" xfId="6766" xr:uid="{00000000-0005-0000-0000-00007B1A0000}"/>
    <cellStyle name="Positive 2 11 2 2 5" xfId="6767" xr:uid="{00000000-0005-0000-0000-00007C1A0000}"/>
    <cellStyle name="Positive 2 11 2 2 5 2" xfId="6768" xr:uid="{00000000-0005-0000-0000-00007D1A0000}"/>
    <cellStyle name="Positive 2 11 2 2 6" xfId="6769" xr:uid="{00000000-0005-0000-0000-00007E1A0000}"/>
    <cellStyle name="Positive 2 11 2 2 6 2" xfId="6770" xr:uid="{00000000-0005-0000-0000-00007F1A0000}"/>
    <cellStyle name="Positive 2 11 2 2 7" xfId="6771" xr:uid="{00000000-0005-0000-0000-0000801A0000}"/>
    <cellStyle name="Positive 2 11 2 2 7 2" xfId="6772" xr:uid="{00000000-0005-0000-0000-0000811A0000}"/>
    <cellStyle name="Positive 2 11 2 2 8" xfId="6773" xr:uid="{00000000-0005-0000-0000-0000821A0000}"/>
    <cellStyle name="Positive 2 11 2 2 8 2" xfId="6774" xr:uid="{00000000-0005-0000-0000-0000831A0000}"/>
    <cellStyle name="Positive 2 11 2 2 9" xfId="6775" xr:uid="{00000000-0005-0000-0000-0000841A0000}"/>
    <cellStyle name="Positive 2 11 2 2 9 2" xfId="6776" xr:uid="{00000000-0005-0000-0000-0000851A0000}"/>
    <cellStyle name="Positive 2 11 2 20" xfId="6777" xr:uid="{00000000-0005-0000-0000-0000861A0000}"/>
    <cellStyle name="Positive 2 11 2 3" xfId="6778" xr:uid="{00000000-0005-0000-0000-0000871A0000}"/>
    <cellStyle name="Positive 2 11 2 3 2" xfId="6779" xr:uid="{00000000-0005-0000-0000-0000881A0000}"/>
    <cellStyle name="Positive 2 11 2 3 2 2" xfId="6780" xr:uid="{00000000-0005-0000-0000-0000891A0000}"/>
    <cellStyle name="Positive 2 11 2 3 3" xfId="6781" xr:uid="{00000000-0005-0000-0000-00008A1A0000}"/>
    <cellStyle name="Positive 2 11 2 4" xfId="6782" xr:uid="{00000000-0005-0000-0000-00008B1A0000}"/>
    <cellStyle name="Positive 2 11 2 4 2" xfId="6783" xr:uid="{00000000-0005-0000-0000-00008C1A0000}"/>
    <cellStyle name="Positive 2 11 2 4 2 2" xfId="6784" xr:uid="{00000000-0005-0000-0000-00008D1A0000}"/>
    <cellStyle name="Positive 2 11 2 4 3" xfId="6785" xr:uid="{00000000-0005-0000-0000-00008E1A0000}"/>
    <cellStyle name="Positive 2 11 2 5" xfId="6786" xr:uid="{00000000-0005-0000-0000-00008F1A0000}"/>
    <cellStyle name="Positive 2 11 2 5 2" xfId="6787" xr:uid="{00000000-0005-0000-0000-0000901A0000}"/>
    <cellStyle name="Positive 2 11 2 6" xfId="6788" xr:uid="{00000000-0005-0000-0000-0000911A0000}"/>
    <cellStyle name="Positive 2 11 2 6 2" xfId="6789" xr:uid="{00000000-0005-0000-0000-0000921A0000}"/>
    <cellStyle name="Positive 2 11 2 7" xfId="6790" xr:uid="{00000000-0005-0000-0000-0000931A0000}"/>
    <cellStyle name="Positive 2 11 2 7 2" xfId="6791" xr:uid="{00000000-0005-0000-0000-0000941A0000}"/>
    <cellStyle name="Positive 2 11 2 8" xfId="6792" xr:uid="{00000000-0005-0000-0000-0000951A0000}"/>
    <cellStyle name="Positive 2 11 2 8 2" xfId="6793" xr:uid="{00000000-0005-0000-0000-0000961A0000}"/>
    <cellStyle name="Positive 2 11 2 9" xfId="6794" xr:uid="{00000000-0005-0000-0000-0000971A0000}"/>
    <cellStyle name="Positive 2 11 2 9 2" xfId="6795" xr:uid="{00000000-0005-0000-0000-0000981A0000}"/>
    <cellStyle name="Positive 2 11 20" xfId="6796" xr:uid="{00000000-0005-0000-0000-0000991A0000}"/>
    <cellStyle name="Positive 2 11 20 2" xfId="6797" xr:uid="{00000000-0005-0000-0000-00009A1A0000}"/>
    <cellStyle name="Positive 2 11 21" xfId="6798" xr:uid="{00000000-0005-0000-0000-00009B1A0000}"/>
    <cellStyle name="Positive 2 11 21 2" xfId="6799" xr:uid="{00000000-0005-0000-0000-00009C1A0000}"/>
    <cellStyle name="Positive 2 11 22" xfId="6800" xr:uid="{00000000-0005-0000-0000-00009D1A0000}"/>
    <cellStyle name="Positive 2 11 22 2" xfId="6801" xr:uid="{00000000-0005-0000-0000-00009E1A0000}"/>
    <cellStyle name="Positive 2 11 23" xfId="6802" xr:uid="{00000000-0005-0000-0000-00009F1A0000}"/>
    <cellStyle name="Positive 2 11 3" xfId="6803" xr:uid="{00000000-0005-0000-0000-0000A01A0000}"/>
    <cellStyle name="Positive 2 11 3 10" xfId="6804" xr:uid="{00000000-0005-0000-0000-0000A11A0000}"/>
    <cellStyle name="Positive 2 11 3 10 2" xfId="6805" xr:uid="{00000000-0005-0000-0000-0000A21A0000}"/>
    <cellStyle name="Positive 2 11 3 11" xfId="6806" xr:uid="{00000000-0005-0000-0000-0000A31A0000}"/>
    <cellStyle name="Positive 2 11 3 11 2" xfId="6807" xr:uid="{00000000-0005-0000-0000-0000A41A0000}"/>
    <cellStyle name="Positive 2 11 3 12" xfId="6808" xr:uid="{00000000-0005-0000-0000-0000A51A0000}"/>
    <cellStyle name="Positive 2 11 3 12 2" xfId="6809" xr:uid="{00000000-0005-0000-0000-0000A61A0000}"/>
    <cellStyle name="Positive 2 11 3 13" xfId="6810" xr:uid="{00000000-0005-0000-0000-0000A71A0000}"/>
    <cellStyle name="Positive 2 11 3 13 2" xfId="6811" xr:uid="{00000000-0005-0000-0000-0000A81A0000}"/>
    <cellStyle name="Positive 2 11 3 14" xfId="6812" xr:uid="{00000000-0005-0000-0000-0000A91A0000}"/>
    <cellStyle name="Positive 2 11 3 14 2" xfId="6813" xr:uid="{00000000-0005-0000-0000-0000AA1A0000}"/>
    <cellStyle name="Positive 2 11 3 15" xfId="6814" xr:uid="{00000000-0005-0000-0000-0000AB1A0000}"/>
    <cellStyle name="Positive 2 11 3 15 2" xfId="6815" xr:uid="{00000000-0005-0000-0000-0000AC1A0000}"/>
    <cellStyle name="Positive 2 11 3 16" xfId="6816" xr:uid="{00000000-0005-0000-0000-0000AD1A0000}"/>
    <cellStyle name="Positive 2 11 3 16 2" xfId="6817" xr:uid="{00000000-0005-0000-0000-0000AE1A0000}"/>
    <cellStyle name="Positive 2 11 3 17" xfId="6818" xr:uid="{00000000-0005-0000-0000-0000AF1A0000}"/>
    <cellStyle name="Positive 2 11 3 17 2" xfId="6819" xr:uid="{00000000-0005-0000-0000-0000B01A0000}"/>
    <cellStyle name="Positive 2 11 3 18" xfId="6820" xr:uid="{00000000-0005-0000-0000-0000B11A0000}"/>
    <cellStyle name="Positive 2 11 3 18 2" xfId="6821" xr:uid="{00000000-0005-0000-0000-0000B21A0000}"/>
    <cellStyle name="Positive 2 11 3 19" xfId="6822" xr:uid="{00000000-0005-0000-0000-0000B31A0000}"/>
    <cellStyle name="Positive 2 11 3 19 2" xfId="6823" xr:uid="{00000000-0005-0000-0000-0000B41A0000}"/>
    <cellStyle name="Positive 2 11 3 2" xfId="6824" xr:uid="{00000000-0005-0000-0000-0000B51A0000}"/>
    <cellStyle name="Positive 2 11 3 2 10" xfId="6825" xr:uid="{00000000-0005-0000-0000-0000B61A0000}"/>
    <cellStyle name="Positive 2 11 3 2 10 2" xfId="6826" xr:uid="{00000000-0005-0000-0000-0000B71A0000}"/>
    <cellStyle name="Positive 2 11 3 2 11" xfId="6827" xr:uid="{00000000-0005-0000-0000-0000B81A0000}"/>
    <cellStyle name="Positive 2 11 3 2 11 2" xfId="6828" xr:uid="{00000000-0005-0000-0000-0000B91A0000}"/>
    <cellStyle name="Positive 2 11 3 2 12" xfId="6829" xr:uid="{00000000-0005-0000-0000-0000BA1A0000}"/>
    <cellStyle name="Positive 2 11 3 2 12 2" xfId="6830" xr:uid="{00000000-0005-0000-0000-0000BB1A0000}"/>
    <cellStyle name="Positive 2 11 3 2 13" xfId="6831" xr:uid="{00000000-0005-0000-0000-0000BC1A0000}"/>
    <cellStyle name="Positive 2 11 3 2 13 2" xfId="6832" xr:uid="{00000000-0005-0000-0000-0000BD1A0000}"/>
    <cellStyle name="Positive 2 11 3 2 14" xfId="6833" xr:uid="{00000000-0005-0000-0000-0000BE1A0000}"/>
    <cellStyle name="Positive 2 11 3 2 14 2" xfId="6834" xr:uid="{00000000-0005-0000-0000-0000BF1A0000}"/>
    <cellStyle name="Positive 2 11 3 2 15" xfId="6835" xr:uid="{00000000-0005-0000-0000-0000C01A0000}"/>
    <cellStyle name="Positive 2 11 3 2 15 2" xfId="6836" xr:uid="{00000000-0005-0000-0000-0000C11A0000}"/>
    <cellStyle name="Positive 2 11 3 2 16" xfId="6837" xr:uid="{00000000-0005-0000-0000-0000C21A0000}"/>
    <cellStyle name="Positive 2 11 3 2 16 2" xfId="6838" xr:uid="{00000000-0005-0000-0000-0000C31A0000}"/>
    <cellStyle name="Positive 2 11 3 2 17" xfId="6839" xr:uid="{00000000-0005-0000-0000-0000C41A0000}"/>
    <cellStyle name="Positive 2 11 3 2 2" xfId="6840" xr:uid="{00000000-0005-0000-0000-0000C51A0000}"/>
    <cellStyle name="Positive 2 11 3 2 2 2" xfId="6841" xr:uid="{00000000-0005-0000-0000-0000C61A0000}"/>
    <cellStyle name="Positive 2 11 3 2 3" xfId="6842" xr:uid="{00000000-0005-0000-0000-0000C71A0000}"/>
    <cellStyle name="Positive 2 11 3 2 3 2" xfId="6843" xr:uid="{00000000-0005-0000-0000-0000C81A0000}"/>
    <cellStyle name="Positive 2 11 3 2 4" xfId="6844" xr:uid="{00000000-0005-0000-0000-0000C91A0000}"/>
    <cellStyle name="Positive 2 11 3 2 4 2" xfId="6845" xr:uid="{00000000-0005-0000-0000-0000CA1A0000}"/>
    <cellStyle name="Positive 2 11 3 2 5" xfId="6846" xr:uid="{00000000-0005-0000-0000-0000CB1A0000}"/>
    <cellStyle name="Positive 2 11 3 2 5 2" xfId="6847" xr:uid="{00000000-0005-0000-0000-0000CC1A0000}"/>
    <cellStyle name="Positive 2 11 3 2 6" xfId="6848" xr:uid="{00000000-0005-0000-0000-0000CD1A0000}"/>
    <cellStyle name="Positive 2 11 3 2 6 2" xfId="6849" xr:uid="{00000000-0005-0000-0000-0000CE1A0000}"/>
    <cellStyle name="Positive 2 11 3 2 7" xfId="6850" xr:uid="{00000000-0005-0000-0000-0000CF1A0000}"/>
    <cellStyle name="Positive 2 11 3 2 7 2" xfId="6851" xr:uid="{00000000-0005-0000-0000-0000D01A0000}"/>
    <cellStyle name="Positive 2 11 3 2 8" xfId="6852" xr:uid="{00000000-0005-0000-0000-0000D11A0000}"/>
    <cellStyle name="Positive 2 11 3 2 8 2" xfId="6853" xr:uid="{00000000-0005-0000-0000-0000D21A0000}"/>
    <cellStyle name="Positive 2 11 3 2 9" xfId="6854" xr:uid="{00000000-0005-0000-0000-0000D31A0000}"/>
    <cellStyle name="Positive 2 11 3 2 9 2" xfId="6855" xr:uid="{00000000-0005-0000-0000-0000D41A0000}"/>
    <cellStyle name="Positive 2 11 3 20" xfId="6856" xr:uid="{00000000-0005-0000-0000-0000D51A0000}"/>
    <cellStyle name="Positive 2 11 3 3" xfId="6857" xr:uid="{00000000-0005-0000-0000-0000D61A0000}"/>
    <cellStyle name="Positive 2 11 3 3 2" xfId="6858" xr:uid="{00000000-0005-0000-0000-0000D71A0000}"/>
    <cellStyle name="Positive 2 11 3 3 2 2" xfId="6859" xr:uid="{00000000-0005-0000-0000-0000D81A0000}"/>
    <cellStyle name="Positive 2 11 3 3 3" xfId="6860" xr:uid="{00000000-0005-0000-0000-0000D91A0000}"/>
    <cellStyle name="Positive 2 11 3 4" xfId="6861" xr:uid="{00000000-0005-0000-0000-0000DA1A0000}"/>
    <cellStyle name="Positive 2 11 3 4 2" xfId="6862" xr:uid="{00000000-0005-0000-0000-0000DB1A0000}"/>
    <cellStyle name="Positive 2 11 3 4 2 2" xfId="6863" xr:uid="{00000000-0005-0000-0000-0000DC1A0000}"/>
    <cellStyle name="Positive 2 11 3 4 3" xfId="6864" xr:uid="{00000000-0005-0000-0000-0000DD1A0000}"/>
    <cellStyle name="Positive 2 11 3 5" xfId="6865" xr:uid="{00000000-0005-0000-0000-0000DE1A0000}"/>
    <cellStyle name="Positive 2 11 3 5 2" xfId="6866" xr:uid="{00000000-0005-0000-0000-0000DF1A0000}"/>
    <cellStyle name="Positive 2 11 3 6" xfId="6867" xr:uid="{00000000-0005-0000-0000-0000E01A0000}"/>
    <cellStyle name="Positive 2 11 3 6 2" xfId="6868" xr:uid="{00000000-0005-0000-0000-0000E11A0000}"/>
    <cellStyle name="Positive 2 11 3 7" xfId="6869" xr:uid="{00000000-0005-0000-0000-0000E21A0000}"/>
    <cellStyle name="Positive 2 11 3 7 2" xfId="6870" xr:uid="{00000000-0005-0000-0000-0000E31A0000}"/>
    <cellStyle name="Positive 2 11 3 8" xfId="6871" xr:uid="{00000000-0005-0000-0000-0000E41A0000}"/>
    <cellStyle name="Positive 2 11 3 8 2" xfId="6872" xr:uid="{00000000-0005-0000-0000-0000E51A0000}"/>
    <cellStyle name="Positive 2 11 3 9" xfId="6873" xr:uid="{00000000-0005-0000-0000-0000E61A0000}"/>
    <cellStyle name="Positive 2 11 3 9 2" xfId="6874" xr:uid="{00000000-0005-0000-0000-0000E71A0000}"/>
    <cellStyle name="Positive 2 11 4" xfId="6875" xr:uid="{00000000-0005-0000-0000-0000E81A0000}"/>
    <cellStyle name="Positive 2 11 4 10" xfId="6876" xr:uid="{00000000-0005-0000-0000-0000E91A0000}"/>
    <cellStyle name="Positive 2 11 4 10 2" xfId="6877" xr:uid="{00000000-0005-0000-0000-0000EA1A0000}"/>
    <cellStyle name="Positive 2 11 4 11" xfId="6878" xr:uid="{00000000-0005-0000-0000-0000EB1A0000}"/>
    <cellStyle name="Positive 2 11 4 11 2" xfId="6879" xr:uid="{00000000-0005-0000-0000-0000EC1A0000}"/>
    <cellStyle name="Positive 2 11 4 12" xfId="6880" xr:uid="{00000000-0005-0000-0000-0000ED1A0000}"/>
    <cellStyle name="Positive 2 11 4 12 2" xfId="6881" xr:uid="{00000000-0005-0000-0000-0000EE1A0000}"/>
    <cellStyle name="Positive 2 11 4 13" xfId="6882" xr:uid="{00000000-0005-0000-0000-0000EF1A0000}"/>
    <cellStyle name="Positive 2 11 4 13 2" xfId="6883" xr:uid="{00000000-0005-0000-0000-0000F01A0000}"/>
    <cellStyle name="Positive 2 11 4 14" xfId="6884" xr:uid="{00000000-0005-0000-0000-0000F11A0000}"/>
    <cellStyle name="Positive 2 11 4 14 2" xfId="6885" xr:uid="{00000000-0005-0000-0000-0000F21A0000}"/>
    <cellStyle name="Positive 2 11 4 15" xfId="6886" xr:uid="{00000000-0005-0000-0000-0000F31A0000}"/>
    <cellStyle name="Positive 2 11 4 15 2" xfId="6887" xr:uid="{00000000-0005-0000-0000-0000F41A0000}"/>
    <cellStyle name="Positive 2 11 4 16" xfId="6888" xr:uid="{00000000-0005-0000-0000-0000F51A0000}"/>
    <cellStyle name="Positive 2 11 4 16 2" xfId="6889" xr:uid="{00000000-0005-0000-0000-0000F61A0000}"/>
    <cellStyle name="Positive 2 11 4 17" xfId="6890" xr:uid="{00000000-0005-0000-0000-0000F71A0000}"/>
    <cellStyle name="Positive 2 11 4 17 2" xfId="6891" xr:uid="{00000000-0005-0000-0000-0000F81A0000}"/>
    <cellStyle name="Positive 2 11 4 18" xfId="6892" xr:uid="{00000000-0005-0000-0000-0000F91A0000}"/>
    <cellStyle name="Positive 2 11 4 18 2" xfId="6893" xr:uid="{00000000-0005-0000-0000-0000FA1A0000}"/>
    <cellStyle name="Positive 2 11 4 19" xfId="6894" xr:uid="{00000000-0005-0000-0000-0000FB1A0000}"/>
    <cellStyle name="Positive 2 11 4 19 2" xfId="6895" xr:uid="{00000000-0005-0000-0000-0000FC1A0000}"/>
    <cellStyle name="Positive 2 11 4 2" xfId="6896" xr:uid="{00000000-0005-0000-0000-0000FD1A0000}"/>
    <cellStyle name="Positive 2 11 4 2 10" xfId="6897" xr:uid="{00000000-0005-0000-0000-0000FE1A0000}"/>
    <cellStyle name="Positive 2 11 4 2 10 2" xfId="6898" xr:uid="{00000000-0005-0000-0000-0000FF1A0000}"/>
    <cellStyle name="Positive 2 11 4 2 11" xfId="6899" xr:uid="{00000000-0005-0000-0000-0000001B0000}"/>
    <cellStyle name="Positive 2 11 4 2 11 2" xfId="6900" xr:uid="{00000000-0005-0000-0000-0000011B0000}"/>
    <cellStyle name="Positive 2 11 4 2 12" xfId="6901" xr:uid="{00000000-0005-0000-0000-0000021B0000}"/>
    <cellStyle name="Positive 2 11 4 2 12 2" xfId="6902" xr:uid="{00000000-0005-0000-0000-0000031B0000}"/>
    <cellStyle name="Positive 2 11 4 2 13" xfId="6903" xr:uid="{00000000-0005-0000-0000-0000041B0000}"/>
    <cellStyle name="Positive 2 11 4 2 13 2" xfId="6904" xr:uid="{00000000-0005-0000-0000-0000051B0000}"/>
    <cellStyle name="Positive 2 11 4 2 14" xfId="6905" xr:uid="{00000000-0005-0000-0000-0000061B0000}"/>
    <cellStyle name="Positive 2 11 4 2 14 2" xfId="6906" xr:uid="{00000000-0005-0000-0000-0000071B0000}"/>
    <cellStyle name="Positive 2 11 4 2 15" xfId="6907" xr:uid="{00000000-0005-0000-0000-0000081B0000}"/>
    <cellStyle name="Positive 2 11 4 2 15 2" xfId="6908" xr:uid="{00000000-0005-0000-0000-0000091B0000}"/>
    <cellStyle name="Positive 2 11 4 2 16" xfId="6909" xr:uid="{00000000-0005-0000-0000-00000A1B0000}"/>
    <cellStyle name="Positive 2 11 4 2 16 2" xfId="6910" xr:uid="{00000000-0005-0000-0000-00000B1B0000}"/>
    <cellStyle name="Positive 2 11 4 2 17" xfId="6911" xr:uid="{00000000-0005-0000-0000-00000C1B0000}"/>
    <cellStyle name="Positive 2 11 4 2 2" xfId="6912" xr:uid="{00000000-0005-0000-0000-00000D1B0000}"/>
    <cellStyle name="Positive 2 11 4 2 2 2" xfId="6913" xr:uid="{00000000-0005-0000-0000-00000E1B0000}"/>
    <cellStyle name="Positive 2 11 4 2 3" xfId="6914" xr:uid="{00000000-0005-0000-0000-00000F1B0000}"/>
    <cellStyle name="Positive 2 11 4 2 3 2" xfId="6915" xr:uid="{00000000-0005-0000-0000-0000101B0000}"/>
    <cellStyle name="Positive 2 11 4 2 4" xfId="6916" xr:uid="{00000000-0005-0000-0000-0000111B0000}"/>
    <cellStyle name="Positive 2 11 4 2 4 2" xfId="6917" xr:uid="{00000000-0005-0000-0000-0000121B0000}"/>
    <cellStyle name="Positive 2 11 4 2 5" xfId="6918" xr:uid="{00000000-0005-0000-0000-0000131B0000}"/>
    <cellStyle name="Positive 2 11 4 2 5 2" xfId="6919" xr:uid="{00000000-0005-0000-0000-0000141B0000}"/>
    <cellStyle name="Positive 2 11 4 2 6" xfId="6920" xr:uid="{00000000-0005-0000-0000-0000151B0000}"/>
    <cellStyle name="Positive 2 11 4 2 6 2" xfId="6921" xr:uid="{00000000-0005-0000-0000-0000161B0000}"/>
    <cellStyle name="Positive 2 11 4 2 7" xfId="6922" xr:uid="{00000000-0005-0000-0000-0000171B0000}"/>
    <cellStyle name="Positive 2 11 4 2 7 2" xfId="6923" xr:uid="{00000000-0005-0000-0000-0000181B0000}"/>
    <cellStyle name="Positive 2 11 4 2 8" xfId="6924" xr:uid="{00000000-0005-0000-0000-0000191B0000}"/>
    <cellStyle name="Positive 2 11 4 2 8 2" xfId="6925" xr:uid="{00000000-0005-0000-0000-00001A1B0000}"/>
    <cellStyle name="Positive 2 11 4 2 9" xfId="6926" xr:uid="{00000000-0005-0000-0000-00001B1B0000}"/>
    <cellStyle name="Positive 2 11 4 2 9 2" xfId="6927" xr:uid="{00000000-0005-0000-0000-00001C1B0000}"/>
    <cellStyle name="Positive 2 11 4 20" xfId="6928" xr:uid="{00000000-0005-0000-0000-00001D1B0000}"/>
    <cellStyle name="Positive 2 11 4 3" xfId="6929" xr:uid="{00000000-0005-0000-0000-00001E1B0000}"/>
    <cellStyle name="Positive 2 11 4 3 2" xfId="6930" xr:uid="{00000000-0005-0000-0000-00001F1B0000}"/>
    <cellStyle name="Positive 2 11 4 3 2 2" xfId="6931" xr:uid="{00000000-0005-0000-0000-0000201B0000}"/>
    <cellStyle name="Positive 2 11 4 3 3" xfId="6932" xr:uid="{00000000-0005-0000-0000-0000211B0000}"/>
    <cellStyle name="Positive 2 11 4 4" xfId="6933" xr:uid="{00000000-0005-0000-0000-0000221B0000}"/>
    <cellStyle name="Positive 2 11 4 4 2" xfId="6934" xr:uid="{00000000-0005-0000-0000-0000231B0000}"/>
    <cellStyle name="Positive 2 11 4 4 2 2" xfId="6935" xr:uid="{00000000-0005-0000-0000-0000241B0000}"/>
    <cellStyle name="Positive 2 11 4 4 3" xfId="6936" xr:uid="{00000000-0005-0000-0000-0000251B0000}"/>
    <cellStyle name="Positive 2 11 4 5" xfId="6937" xr:uid="{00000000-0005-0000-0000-0000261B0000}"/>
    <cellStyle name="Positive 2 11 4 5 2" xfId="6938" xr:uid="{00000000-0005-0000-0000-0000271B0000}"/>
    <cellStyle name="Positive 2 11 4 6" xfId="6939" xr:uid="{00000000-0005-0000-0000-0000281B0000}"/>
    <cellStyle name="Positive 2 11 4 6 2" xfId="6940" xr:uid="{00000000-0005-0000-0000-0000291B0000}"/>
    <cellStyle name="Positive 2 11 4 7" xfId="6941" xr:uid="{00000000-0005-0000-0000-00002A1B0000}"/>
    <cellStyle name="Positive 2 11 4 7 2" xfId="6942" xr:uid="{00000000-0005-0000-0000-00002B1B0000}"/>
    <cellStyle name="Positive 2 11 4 8" xfId="6943" xr:uid="{00000000-0005-0000-0000-00002C1B0000}"/>
    <cellStyle name="Positive 2 11 4 8 2" xfId="6944" xr:uid="{00000000-0005-0000-0000-00002D1B0000}"/>
    <cellStyle name="Positive 2 11 4 9" xfId="6945" xr:uid="{00000000-0005-0000-0000-00002E1B0000}"/>
    <cellStyle name="Positive 2 11 4 9 2" xfId="6946" xr:uid="{00000000-0005-0000-0000-00002F1B0000}"/>
    <cellStyle name="Positive 2 11 5" xfId="6947" xr:uid="{00000000-0005-0000-0000-0000301B0000}"/>
    <cellStyle name="Positive 2 11 5 10" xfId="6948" xr:uid="{00000000-0005-0000-0000-0000311B0000}"/>
    <cellStyle name="Positive 2 11 5 10 2" xfId="6949" xr:uid="{00000000-0005-0000-0000-0000321B0000}"/>
    <cellStyle name="Positive 2 11 5 11" xfId="6950" xr:uid="{00000000-0005-0000-0000-0000331B0000}"/>
    <cellStyle name="Positive 2 11 5 11 2" xfId="6951" xr:uid="{00000000-0005-0000-0000-0000341B0000}"/>
    <cellStyle name="Positive 2 11 5 12" xfId="6952" xr:uid="{00000000-0005-0000-0000-0000351B0000}"/>
    <cellStyle name="Positive 2 11 5 12 2" xfId="6953" xr:uid="{00000000-0005-0000-0000-0000361B0000}"/>
    <cellStyle name="Positive 2 11 5 13" xfId="6954" xr:uid="{00000000-0005-0000-0000-0000371B0000}"/>
    <cellStyle name="Positive 2 11 5 13 2" xfId="6955" xr:uid="{00000000-0005-0000-0000-0000381B0000}"/>
    <cellStyle name="Positive 2 11 5 14" xfId="6956" xr:uid="{00000000-0005-0000-0000-0000391B0000}"/>
    <cellStyle name="Positive 2 11 5 14 2" xfId="6957" xr:uid="{00000000-0005-0000-0000-00003A1B0000}"/>
    <cellStyle name="Positive 2 11 5 15" xfId="6958" xr:uid="{00000000-0005-0000-0000-00003B1B0000}"/>
    <cellStyle name="Positive 2 11 5 15 2" xfId="6959" xr:uid="{00000000-0005-0000-0000-00003C1B0000}"/>
    <cellStyle name="Positive 2 11 5 16" xfId="6960" xr:uid="{00000000-0005-0000-0000-00003D1B0000}"/>
    <cellStyle name="Positive 2 11 5 16 2" xfId="6961" xr:uid="{00000000-0005-0000-0000-00003E1B0000}"/>
    <cellStyle name="Positive 2 11 5 17" xfId="6962" xr:uid="{00000000-0005-0000-0000-00003F1B0000}"/>
    <cellStyle name="Positive 2 11 5 2" xfId="6963" xr:uid="{00000000-0005-0000-0000-0000401B0000}"/>
    <cellStyle name="Positive 2 11 5 2 2" xfId="6964" xr:uid="{00000000-0005-0000-0000-0000411B0000}"/>
    <cellStyle name="Positive 2 11 5 3" xfId="6965" xr:uid="{00000000-0005-0000-0000-0000421B0000}"/>
    <cellStyle name="Positive 2 11 5 3 2" xfId="6966" xr:uid="{00000000-0005-0000-0000-0000431B0000}"/>
    <cellStyle name="Positive 2 11 5 4" xfId="6967" xr:uid="{00000000-0005-0000-0000-0000441B0000}"/>
    <cellStyle name="Positive 2 11 5 4 2" xfId="6968" xr:uid="{00000000-0005-0000-0000-0000451B0000}"/>
    <cellStyle name="Positive 2 11 5 5" xfId="6969" xr:uid="{00000000-0005-0000-0000-0000461B0000}"/>
    <cellStyle name="Positive 2 11 5 5 2" xfId="6970" xr:uid="{00000000-0005-0000-0000-0000471B0000}"/>
    <cellStyle name="Positive 2 11 5 6" xfId="6971" xr:uid="{00000000-0005-0000-0000-0000481B0000}"/>
    <cellStyle name="Positive 2 11 5 6 2" xfId="6972" xr:uid="{00000000-0005-0000-0000-0000491B0000}"/>
    <cellStyle name="Positive 2 11 5 7" xfId="6973" xr:uid="{00000000-0005-0000-0000-00004A1B0000}"/>
    <cellStyle name="Positive 2 11 5 7 2" xfId="6974" xr:uid="{00000000-0005-0000-0000-00004B1B0000}"/>
    <cellStyle name="Positive 2 11 5 8" xfId="6975" xr:uid="{00000000-0005-0000-0000-00004C1B0000}"/>
    <cellStyle name="Positive 2 11 5 8 2" xfId="6976" xr:uid="{00000000-0005-0000-0000-00004D1B0000}"/>
    <cellStyle name="Positive 2 11 5 9" xfId="6977" xr:uid="{00000000-0005-0000-0000-00004E1B0000}"/>
    <cellStyle name="Positive 2 11 5 9 2" xfId="6978" xr:uid="{00000000-0005-0000-0000-00004F1B0000}"/>
    <cellStyle name="Positive 2 11 6" xfId="6979" xr:uid="{00000000-0005-0000-0000-0000501B0000}"/>
    <cellStyle name="Positive 2 11 6 2" xfId="6980" xr:uid="{00000000-0005-0000-0000-0000511B0000}"/>
    <cellStyle name="Positive 2 11 6 2 2" xfId="6981" xr:uid="{00000000-0005-0000-0000-0000521B0000}"/>
    <cellStyle name="Positive 2 11 6 3" xfId="6982" xr:uid="{00000000-0005-0000-0000-0000531B0000}"/>
    <cellStyle name="Positive 2 11 7" xfId="6983" xr:uid="{00000000-0005-0000-0000-0000541B0000}"/>
    <cellStyle name="Positive 2 11 7 2" xfId="6984" xr:uid="{00000000-0005-0000-0000-0000551B0000}"/>
    <cellStyle name="Positive 2 11 7 2 2" xfId="6985" xr:uid="{00000000-0005-0000-0000-0000561B0000}"/>
    <cellStyle name="Positive 2 11 7 3" xfId="6986" xr:uid="{00000000-0005-0000-0000-0000571B0000}"/>
    <cellStyle name="Positive 2 11 8" xfId="6987" xr:uid="{00000000-0005-0000-0000-0000581B0000}"/>
    <cellStyle name="Positive 2 11 8 2" xfId="6988" xr:uid="{00000000-0005-0000-0000-0000591B0000}"/>
    <cellStyle name="Positive 2 11 9" xfId="6989" xr:uid="{00000000-0005-0000-0000-00005A1B0000}"/>
    <cellStyle name="Positive 2 11 9 2" xfId="6990" xr:uid="{00000000-0005-0000-0000-00005B1B0000}"/>
    <cellStyle name="Positive 2 12" xfId="6991" xr:uid="{00000000-0005-0000-0000-00005C1B0000}"/>
    <cellStyle name="Positive 2 12 10" xfId="6992" xr:uid="{00000000-0005-0000-0000-00005D1B0000}"/>
    <cellStyle name="Positive 2 12 10 2" xfId="6993" xr:uid="{00000000-0005-0000-0000-00005E1B0000}"/>
    <cellStyle name="Positive 2 12 11" xfId="6994" xr:uid="{00000000-0005-0000-0000-00005F1B0000}"/>
    <cellStyle name="Positive 2 12 11 2" xfId="6995" xr:uid="{00000000-0005-0000-0000-0000601B0000}"/>
    <cellStyle name="Positive 2 12 12" xfId="6996" xr:uid="{00000000-0005-0000-0000-0000611B0000}"/>
    <cellStyle name="Positive 2 12 12 2" xfId="6997" xr:uid="{00000000-0005-0000-0000-0000621B0000}"/>
    <cellStyle name="Positive 2 12 13" xfId="6998" xr:uid="{00000000-0005-0000-0000-0000631B0000}"/>
    <cellStyle name="Positive 2 12 13 2" xfId="6999" xr:uid="{00000000-0005-0000-0000-0000641B0000}"/>
    <cellStyle name="Positive 2 12 14" xfId="7000" xr:uid="{00000000-0005-0000-0000-0000651B0000}"/>
    <cellStyle name="Positive 2 12 14 2" xfId="7001" xr:uid="{00000000-0005-0000-0000-0000661B0000}"/>
    <cellStyle name="Positive 2 12 15" xfId="7002" xr:uid="{00000000-0005-0000-0000-0000671B0000}"/>
    <cellStyle name="Positive 2 12 15 2" xfId="7003" xr:uid="{00000000-0005-0000-0000-0000681B0000}"/>
    <cellStyle name="Positive 2 12 16" xfId="7004" xr:uid="{00000000-0005-0000-0000-0000691B0000}"/>
    <cellStyle name="Positive 2 12 16 2" xfId="7005" xr:uid="{00000000-0005-0000-0000-00006A1B0000}"/>
    <cellStyle name="Positive 2 12 17" xfId="7006" xr:uid="{00000000-0005-0000-0000-00006B1B0000}"/>
    <cellStyle name="Positive 2 12 17 2" xfId="7007" xr:uid="{00000000-0005-0000-0000-00006C1B0000}"/>
    <cellStyle name="Positive 2 12 18" xfId="7008" xr:uid="{00000000-0005-0000-0000-00006D1B0000}"/>
    <cellStyle name="Positive 2 12 18 2" xfId="7009" xr:uid="{00000000-0005-0000-0000-00006E1B0000}"/>
    <cellStyle name="Positive 2 12 19" xfId="7010" xr:uid="{00000000-0005-0000-0000-00006F1B0000}"/>
    <cellStyle name="Positive 2 12 19 2" xfId="7011" xr:uid="{00000000-0005-0000-0000-0000701B0000}"/>
    <cellStyle name="Positive 2 12 2" xfId="7012" xr:uid="{00000000-0005-0000-0000-0000711B0000}"/>
    <cellStyle name="Positive 2 12 2 10" xfId="7013" xr:uid="{00000000-0005-0000-0000-0000721B0000}"/>
    <cellStyle name="Positive 2 12 2 10 2" xfId="7014" xr:uid="{00000000-0005-0000-0000-0000731B0000}"/>
    <cellStyle name="Positive 2 12 2 11" xfId="7015" xr:uid="{00000000-0005-0000-0000-0000741B0000}"/>
    <cellStyle name="Positive 2 12 2 11 2" xfId="7016" xr:uid="{00000000-0005-0000-0000-0000751B0000}"/>
    <cellStyle name="Positive 2 12 2 12" xfId="7017" xr:uid="{00000000-0005-0000-0000-0000761B0000}"/>
    <cellStyle name="Positive 2 12 2 12 2" xfId="7018" xr:uid="{00000000-0005-0000-0000-0000771B0000}"/>
    <cellStyle name="Positive 2 12 2 13" xfId="7019" xr:uid="{00000000-0005-0000-0000-0000781B0000}"/>
    <cellStyle name="Positive 2 12 2 13 2" xfId="7020" xr:uid="{00000000-0005-0000-0000-0000791B0000}"/>
    <cellStyle name="Positive 2 12 2 14" xfId="7021" xr:uid="{00000000-0005-0000-0000-00007A1B0000}"/>
    <cellStyle name="Positive 2 12 2 14 2" xfId="7022" xr:uid="{00000000-0005-0000-0000-00007B1B0000}"/>
    <cellStyle name="Positive 2 12 2 15" xfId="7023" xr:uid="{00000000-0005-0000-0000-00007C1B0000}"/>
    <cellStyle name="Positive 2 12 2 15 2" xfId="7024" xr:uid="{00000000-0005-0000-0000-00007D1B0000}"/>
    <cellStyle name="Positive 2 12 2 16" xfId="7025" xr:uid="{00000000-0005-0000-0000-00007E1B0000}"/>
    <cellStyle name="Positive 2 12 2 16 2" xfId="7026" xr:uid="{00000000-0005-0000-0000-00007F1B0000}"/>
    <cellStyle name="Positive 2 12 2 17" xfId="7027" xr:uid="{00000000-0005-0000-0000-0000801B0000}"/>
    <cellStyle name="Positive 2 12 2 17 2" xfId="7028" xr:uid="{00000000-0005-0000-0000-0000811B0000}"/>
    <cellStyle name="Positive 2 12 2 18" xfId="7029" xr:uid="{00000000-0005-0000-0000-0000821B0000}"/>
    <cellStyle name="Positive 2 12 2 18 2" xfId="7030" xr:uid="{00000000-0005-0000-0000-0000831B0000}"/>
    <cellStyle name="Positive 2 12 2 19" xfId="7031" xr:uid="{00000000-0005-0000-0000-0000841B0000}"/>
    <cellStyle name="Positive 2 12 2 19 2" xfId="7032" xr:uid="{00000000-0005-0000-0000-0000851B0000}"/>
    <cellStyle name="Positive 2 12 2 2" xfId="7033" xr:uid="{00000000-0005-0000-0000-0000861B0000}"/>
    <cellStyle name="Positive 2 12 2 2 10" xfId="7034" xr:uid="{00000000-0005-0000-0000-0000871B0000}"/>
    <cellStyle name="Positive 2 12 2 2 10 2" xfId="7035" xr:uid="{00000000-0005-0000-0000-0000881B0000}"/>
    <cellStyle name="Positive 2 12 2 2 11" xfId="7036" xr:uid="{00000000-0005-0000-0000-0000891B0000}"/>
    <cellStyle name="Positive 2 12 2 2 11 2" xfId="7037" xr:uid="{00000000-0005-0000-0000-00008A1B0000}"/>
    <cellStyle name="Positive 2 12 2 2 12" xfId="7038" xr:uid="{00000000-0005-0000-0000-00008B1B0000}"/>
    <cellStyle name="Positive 2 12 2 2 12 2" xfId="7039" xr:uid="{00000000-0005-0000-0000-00008C1B0000}"/>
    <cellStyle name="Positive 2 12 2 2 13" xfId="7040" xr:uid="{00000000-0005-0000-0000-00008D1B0000}"/>
    <cellStyle name="Positive 2 12 2 2 13 2" xfId="7041" xr:uid="{00000000-0005-0000-0000-00008E1B0000}"/>
    <cellStyle name="Positive 2 12 2 2 14" xfId="7042" xr:uid="{00000000-0005-0000-0000-00008F1B0000}"/>
    <cellStyle name="Positive 2 12 2 2 14 2" xfId="7043" xr:uid="{00000000-0005-0000-0000-0000901B0000}"/>
    <cellStyle name="Positive 2 12 2 2 15" xfId="7044" xr:uid="{00000000-0005-0000-0000-0000911B0000}"/>
    <cellStyle name="Positive 2 12 2 2 15 2" xfId="7045" xr:uid="{00000000-0005-0000-0000-0000921B0000}"/>
    <cellStyle name="Positive 2 12 2 2 16" xfId="7046" xr:uid="{00000000-0005-0000-0000-0000931B0000}"/>
    <cellStyle name="Positive 2 12 2 2 16 2" xfId="7047" xr:uid="{00000000-0005-0000-0000-0000941B0000}"/>
    <cellStyle name="Positive 2 12 2 2 17" xfId="7048" xr:uid="{00000000-0005-0000-0000-0000951B0000}"/>
    <cellStyle name="Positive 2 12 2 2 2" xfId="7049" xr:uid="{00000000-0005-0000-0000-0000961B0000}"/>
    <cellStyle name="Positive 2 12 2 2 2 2" xfId="7050" xr:uid="{00000000-0005-0000-0000-0000971B0000}"/>
    <cellStyle name="Positive 2 12 2 2 3" xfId="7051" xr:uid="{00000000-0005-0000-0000-0000981B0000}"/>
    <cellStyle name="Positive 2 12 2 2 3 2" xfId="7052" xr:uid="{00000000-0005-0000-0000-0000991B0000}"/>
    <cellStyle name="Positive 2 12 2 2 4" xfId="7053" xr:uid="{00000000-0005-0000-0000-00009A1B0000}"/>
    <cellStyle name="Positive 2 12 2 2 4 2" xfId="7054" xr:uid="{00000000-0005-0000-0000-00009B1B0000}"/>
    <cellStyle name="Positive 2 12 2 2 5" xfId="7055" xr:uid="{00000000-0005-0000-0000-00009C1B0000}"/>
    <cellStyle name="Positive 2 12 2 2 5 2" xfId="7056" xr:uid="{00000000-0005-0000-0000-00009D1B0000}"/>
    <cellStyle name="Positive 2 12 2 2 6" xfId="7057" xr:uid="{00000000-0005-0000-0000-00009E1B0000}"/>
    <cellStyle name="Positive 2 12 2 2 6 2" xfId="7058" xr:uid="{00000000-0005-0000-0000-00009F1B0000}"/>
    <cellStyle name="Positive 2 12 2 2 7" xfId="7059" xr:uid="{00000000-0005-0000-0000-0000A01B0000}"/>
    <cellStyle name="Positive 2 12 2 2 7 2" xfId="7060" xr:uid="{00000000-0005-0000-0000-0000A11B0000}"/>
    <cellStyle name="Positive 2 12 2 2 8" xfId="7061" xr:uid="{00000000-0005-0000-0000-0000A21B0000}"/>
    <cellStyle name="Positive 2 12 2 2 8 2" xfId="7062" xr:uid="{00000000-0005-0000-0000-0000A31B0000}"/>
    <cellStyle name="Positive 2 12 2 2 9" xfId="7063" xr:uid="{00000000-0005-0000-0000-0000A41B0000}"/>
    <cellStyle name="Positive 2 12 2 2 9 2" xfId="7064" xr:uid="{00000000-0005-0000-0000-0000A51B0000}"/>
    <cellStyle name="Positive 2 12 2 20" xfId="7065" xr:uid="{00000000-0005-0000-0000-0000A61B0000}"/>
    <cellStyle name="Positive 2 12 2 3" xfId="7066" xr:uid="{00000000-0005-0000-0000-0000A71B0000}"/>
    <cellStyle name="Positive 2 12 2 3 2" xfId="7067" xr:uid="{00000000-0005-0000-0000-0000A81B0000}"/>
    <cellStyle name="Positive 2 12 2 3 2 2" xfId="7068" xr:uid="{00000000-0005-0000-0000-0000A91B0000}"/>
    <cellStyle name="Positive 2 12 2 3 3" xfId="7069" xr:uid="{00000000-0005-0000-0000-0000AA1B0000}"/>
    <cellStyle name="Positive 2 12 2 4" xfId="7070" xr:uid="{00000000-0005-0000-0000-0000AB1B0000}"/>
    <cellStyle name="Positive 2 12 2 4 2" xfId="7071" xr:uid="{00000000-0005-0000-0000-0000AC1B0000}"/>
    <cellStyle name="Positive 2 12 2 4 2 2" xfId="7072" xr:uid="{00000000-0005-0000-0000-0000AD1B0000}"/>
    <cellStyle name="Positive 2 12 2 4 3" xfId="7073" xr:uid="{00000000-0005-0000-0000-0000AE1B0000}"/>
    <cellStyle name="Positive 2 12 2 5" xfId="7074" xr:uid="{00000000-0005-0000-0000-0000AF1B0000}"/>
    <cellStyle name="Positive 2 12 2 5 2" xfId="7075" xr:uid="{00000000-0005-0000-0000-0000B01B0000}"/>
    <cellStyle name="Positive 2 12 2 6" xfId="7076" xr:uid="{00000000-0005-0000-0000-0000B11B0000}"/>
    <cellStyle name="Positive 2 12 2 6 2" xfId="7077" xr:uid="{00000000-0005-0000-0000-0000B21B0000}"/>
    <cellStyle name="Positive 2 12 2 7" xfId="7078" xr:uid="{00000000-0005-0000-0000-0000B31B0000}"/>
    <cellStyle name="Positive 2 12 2 7 2" xfId="7079" xr:uid="{00000000-0005-0000-0000-0000B41B0000}"/>
    <cellStyle name="Positive 2 12 2 8" xfId="7080" xr:uid="{00000000-0005-0000-0000-0000B51B0000}"/>
    <cellStyle name="Positive 2 12 2 8 2" xfId="7081" xr:uid="{00000000-0005-0000-0000-0000B61B0000}"/>
    <cellStyle name="Positive 2 12 2 9" xfId="7082" xr:uid="{00000000-0005-0000-0000-0000B71B0000}"/>
    <cellStyle name="Positive 2 12 2 9 2" xfId="7083" xr:uid="{00000000-0005-0000-0000-0000B81B0000}"/>
    <cellStyle name="Positive 2 12 20" xfId="7084" xr:uid="{00000000-0005-0000-0000-0000B91B0000}"/>
    <cellStyle name="Positive 2 12 20 2" xfId="7085" xr:uid="{00000000-0005-0000-0000-0000BA1B0000}"/>
    <cellStyle name="Positive 2 12 21" xfId="7086" xr:uid="{00000000-0005-0000-0000-0000BB1B0000}"/>
    <cellStyle name="Positive 2 12 21 2" xfId="7087" xr:uid="{00000000-0005-0000-0000-0000BC1B0000}"/>
    <cellStyle name="Positive 2 12 22" xfId="7088" xr:uid="{00000000-0005-0000-0000-0000BD1B0000}"/>
    <cellStyle name="Positive 2 12 22 2" xfId="7089" xr:uid="{00000000-0005-0000-0000-0000BE1B0000}"/>
    <cellStyle name="Positive 2 12 23" xfId="7090" xr:uid="{00000000-0005-0000-0000-0000BF1B0000}"/>
    <cellStyle name="Positive 2 12 3" xfId="7091" xr:uid="{00000000-0005-0000-0000-0000C01B0000}"/>
    <cellStyle name="Positive 2 12 3 10" xfId="7092" xr:uid="{00000000-0005-0000-0000-0000C11B0000}"/>
    <cellStyle name="Positive 2 12 3 10 2" xfId="7093" xr:uid="{00000000-0005-0000-0000-0000C21B0000}"/>
    <cellStyle name="Positive 2 12 3 11" xfId="7094" xr:uid="{00000000-0005-0000-0000-0000C31B0000}"/>
    <cellStyle name="Positive 2 12 3 11 2" xfId="7095" xr:uid="{00000000-0005-0000-0000-0000C41B0000}"/>
    <cellStyle name="Positive 2 12 3 12" xfId="7096" xr:uid="{00000000-0005-0000-0000-0000C51B0000}"/>
    <cellStyle name="Positive 2 12 3 12 2" xfId="7097" xr:uid="{00000000-0005-0000-0000-0000C61B0000}"/>
    <cellStyle name="Positive 2 12 3 13" xfId="7098" xr:uid="{00000000-0005-0000-0000-0000C71B0000}"/>
    <cellStyle name="Positive 2 12 3 13 2" xfId="7099" xr:uid="{00000000-0005-0000-0000-0000C81B0000}"/>
    <cellStyle name="Positive 2 12 3 14" xfId="7100" xr:uid="{00000000-0005-0000-0000-0000C91B0000}"/>
    <cellStyle name="Positive 2 12 3 14 2" xfId="7101" xr:uid="{00000000-0005-0000-0000-0000CA1B0000}"/>
    <cellStyle name="Positive 2 12 3 15" xfId="7102" xr:uid="{00000000-0005-0000-0000-0000CB1B0000}"/>
    <cellStyle name="Positive 2 12 3 15 2" xfId="7103" xr:uid="{00000000-0005-0000-0000-0000CC1B0000}"/>
    <cellStyle name="Positive 2 12 3 16" xfId="7104" xr:uid="{00000000-0005-0000-0000-0000CD1B0000}"/>
    <cellStyle name="Positive 2 12 3 16 2" xfId="7105" xr:uid="{00000000-0005-0000-0000-0000CE1B0000}"/>
    <cellStyle name="Positive 2 12 3 17" xfId="7106" xr:uid="{00000000-0005-0000-0000-0000CF1B0000}"/>
    <cellStyle name="Positive 2 12 3 17 2" xfId="7107" xr:uid="{00000000-0005-0000-0000-0000D01B0000}"/>
    <cellStyle name="Positive 2 12 3 18" xfId="7108" xr:uid="{00000000-0005-0000-0000-0000D11B0000}"/>
    <cellStyle name="Positive 2 12 3 18 2" xfId="7109" xr:uid="{00000000-0005-0000-0000-0000D21B0000}"/>
    <cellStyle name="Positive 2 12 3 19" xfId="7110" xr:uid="{00000000-0005-0000-0000-0000D31B0000}"/>
    <cellStyle name="Positive 2 12 3 19 2" xfId="7111" xr:uid="{00000000-0005-0000-0000-0000D41B0000}"/>
    <cellStyle name="Positive 2 12 3 2" xfId="7112" xr:uid="{00000000-0005-0000-0000-0000D51B0000}"/>
    <cellStyle name="Positive 2 12 3 2 10" xfId="7113" xr:uid="{00000000-0005-0000-0000-0000D61B0000}"/>
    <cellStyle name="Positive 2 12 3 2 10 2" xfId="7114" xr:uid="{00000000-0005-0000-0000-0000D71B0000}"/>
    <cellStyle name="Positive 2 12 3 2 11" xfId="7115" xr:uid="{00000000-0005-0000-0000-0000D81B0000}"/>
    <cellStyle name="Positive 2 12 3 2 11 2" xfId="7116" xr:uid="{00000000-0005-0000-0000-0000D91B0000}"/>
    <cellStyle name="Positive 2 12 3 2 12" xfId="7117" xr:uid="{00000000-0005-0000-0000-0000DA1B0000}"/>
    <cellStyle name="Positive 2 12 3 2 12 2" xfId="7118" xr:uid="{00000000-0005-0000-0000-0000DB1B0000}"/>
    <cellStyle name="Positive 2 12 3 2 13" xfId="7119" xr:uid="{00000000-0005-0000-0000-0000DC1B0000}"/>
    <cellStyle name="Positive 2 12 3 2 13 2" xfId="7120" xr:uid="{00000000-0005-0000-0000-0000DD1B0000}"/>
    <cellStyle name="Positive 2 12 3 2 14" xfId="7121" xr:uid="{00000000-0005-0000-0000-0000DE1B0000}"/>
    <cellStyle name="Positive 2 12 3 2 14 2" xfId="7122" xr:uid="{00000000-0005-0000-0000-0000DF1B0000}"/>
    <cellStyle name="Positive 2 12 3 2 15" xfId="7123" xr:uid="{00000000-0005-0000-0000-0000E01B0000}"/>
    <cellStyle name="Positive 2 12 3 2 15 2" xfId="7124" xr:uid="{00000000-0005-0000-0000-0000E11B0000}"/>
    <cellStyle name="Positive 2 12 3 2 16" xfId="7125" xr:uid="{00000000-0005-0000-0000-0000E21B0000}"/>
    <cellStyle name="Positive 2 12 3 2 16 2" xfId="7126" xr:uid="{00000000-0005-0000-0000-0000E31B0000}"/>
    <cellStyle name="Positive 2 12 3 2 17" xfId="7127" xr:uid="{00000000-0005-0000-0000-0000E41B0000}"/>
    <cellStyle name="Positive 2 12 3 2 2" xfId="7128" xr:uid="{00000000-0005-0000-0000-0000E51B0000}"/>
    <cellStyle name="Positive 2 12 3 2 2 2" xfId="7129" xr:uid="{00000000-0005-0000-0000-0000E61B0000}"/>
    <cellStyle name="Positive 2 12 3 2 3" xfId="7130" xr:uid="{00000000-0005-0000-0000-0000E71B0000}"/>
    <cellStyle name="Positive 2 12 3 2 3 2" xfId="7131" xr:uid="{00000000-0005-0000-0000-0000E81B0000}"/>
    <cellStyle name="Positive 2 12 3 2 4" xfId="7132" xr:uid="{00000000-0005-0000-0000-0000E91B0000}"/>
    <cellStyle name="Positive 2 12 3 2 4 2" xfId="7133" xr:uid="{00000000-0005-0000-0000-0000EA1B0000}"/>
    <cellStyle name="Positive 2 12 3 2 5" xfId="7134" xr:uid="{00000000-0005-0000-0000-0000EB1B0000}"/>
    <cellStyle name="Positive 2 12 3 2 5 2" xfId="7135" xr:uid="{00000000-0005-0000-0000-0000EC1B0000}"/>
    <cellStyle name="Positive 2 12 3 2 6" xfId="7136" xr:uid="{00000000-0005-0000-0000-0000ED1B0000}"/>
    <cellStyle name="Positive 2 12 3 2 6 2" xfId="7137" xr:uid="{00000000-0005-0000-0000-0000EE1B0000}"/>
    <cellStyle name="Positive 2 12 3 2 7" xfId="7138" xr:uid="{00000000-0005-0000-0000-0000EF1B0000}"/>
    <cellStyle name="Positive 2 12 3 2 7 2" xfId="7139" xr:uid="{00000000-0005-0000-0000-0000F01B0000}"/>
    <cellStyle name="Positive 2 12 3 2 8" xfId="7140" xr:uid="{00000000-0005-0000-0000-0000F11B0000}"/>
    <cellStyle name="Positive 2 12 3 2 8 2" xfId="7141" xr:uid="{00000000-0005-0000-0000-0000F21B0000}"/>
    <cellStyle name="Positive 2 12 3 2 9" xfId="7142" xr:uid="{00000000-0005-0000-0000-0000F31B0000}"/>
    <cellStyle name="Positive 2 12 3 2 9 2" xfId="7143" xr:uid="{00000000-0005-0000-0000-0000F41B0000}"/>
    <cellStyle name="Positive 2 12 3 20" xfId="7144" xr:uid="{00000000-0005-0000-0000-0000F51B0000}"/>
    <cellStyle name="Positive 2 12 3 3" xfId="7145" xr:uid="{00000000-0005-0000-0000-0000F61B0000}"/>
    <cellStyle name="Positive 2 12 3 3 2" xfId="7146" xr:uid="{00000000-0005-0000-0000-0000F71B0000}"/>
    <cellStyle name="Positive 2 12 3 3 2 2" xfId="7147" xr:uid="{00000000-0005-0000-0000-0000F81B0000}"/>
    <cellStyle name="Positive 2 12 3 3 3" xfId="7148" xr:uid="{00000000-0005-0000-0000-0000F91B0000}"/>
    <cellStyle name="Positive 2 12 3 4" xfId="7149" xr:uid="{00000000-0005-0000-0000-0000FA1B0000}"/>
    <cellStyle name="Positive 2 12 3 4 2" xfId="7150" xr:uid="{00000000-0005-0000-0000-0000FB1B0000}"/>
    <cellStyle name="Positive 2 12 3 4 2 2" xfId="7151" xr:uid="{00000000-0005-0000-0000-0000FC1B0000}"/>
    <cellStyle name="Positive 2 12 3 4 3" xfId="7152" xr:uid="{00000000-0005-0000-0000-0000FD1B0000}"/>
    <cellStyle name="Positive 2 12 3 5" xfId="7153" xr:uid="{00000000-0005-0000-0000-0000FE1B0000}"/>
    <cellStyle name="Positive 2 12 3 5 2" xfId="7154" xr:uid="{00000000-0005-0000-0000-0000FF1B0000}"/>
    <cellStyle name="Positive 2 12 3 6" xfId="7155" xr:uid="{00000000-0005-0000-0000-0000001C0000}"/>
    <cellStyle name="Positive 2 12 3 6 2" xfId="7156" xr:uid="{00000000-0005-0000-0000-0000011C0000}"/>
    <cellStyle name="Positive 2 12 3 7" xfId="7157" xr:uid="{00000000-0005-0000-0000-0000021C0000}"/>
    <cellStyle name="Positive 2 12 3 7 2" xfId="7158" xr:uid="{00000000-0005-0000-0000-0000031C0000}"/>
    <cellStyle name="Positive 2 12 3 8" xfId="7159" xr:uid="{00000000-0005-0000-0000-0000041C0000}"/>
    <cellStyle name="Positive 2 12 3 8 2" xfId="7160" xr:uid="{00000000-0005-0000-0000-0000051C0000}"/>
    <cellStyle name="Positive 2 12 3 9" xfId="7161" xr:uid="{00000000-0005-0000-0000-0000061C0000}"/>
    <cellStyle name="Positive 2 12 3 9 2" xfId="7162" xr:uid="{00000000-0005-0000-0000-0000071C0000}"/>
    <cellStyle name="Positive 2 12 4" xfId="7163" xr:uid="{00000000-0005-0000-0000-0000081C0000}"/>
    <cellStyle name="Positive 2 12 4 10" xfId="7164" xr:uid="{00000000-0005-0000-0000-0000091C0000}"/>
    <cellStyle name="Positive 2 12 4 10 2" xfId="7165" xr:uid="{00000000-0005-0000-0000-00000A1C0000}"/>
    <cellStyle name="Positive 2 12 4 11" xfId="7166" xr:uid="{00000000-0005-0000-0000-00000B1C0000}"/>
    <cellStyle name="Positive 2 12 4 11 2" xfId="7167" xr:uid="{00000000-0005-0000-0000-00000C1C0000}"/>
    <cellStyle name="Positive 2 12 4 12" xfId="7168" xr:uid="{00000000-0005-0000-0000-00000D1C0000}"/>
    <cellStyle name="Positive 2 12 4 12 2" xfId="7169" xr:uid="{00000000-0005-0000-0000-00000E1C0000}"/>
    <cellStyle name="Positive 2 12 4 13" xfId="7170" xr:uid="{00000000-0005-0000-0000-00000F1C0000}"/>
    <cellStyle name="Positive 2 12 4 13 2" xfId="7171" xr:uid="{00000000-0005-0000-0000-0000101C0000}"/>
    <cellStyle name="Positive 2 12 4 14" xfId="7172" xr:uid="{00000000-0005-0000-0000-0000111C0000}"/>
    <cellStyle name="Positive 2 12 4 14 2" xfId="7173" xr:uid="{00000000-0005-0000-0000-0000121C0000}"/>
    <cellStyle name="Positive 2 12 4 15" xfId="7174" xr:uid="{00000000-0005-0000-0000-0000131C0000}"/>
    <cellStyle name="Positive 2 12 4 15 2" xfId="7175" xr:uid="{00000000-0005-0000-0000-0000141C0000}"/>
    <cellStyle name="Positive 2 12 4 16" xfId="7176" xr:uid="{00000000-0005-0000-0000-0000151C0000}"/>
    <cellStyle name="Positive 2 12 4 16 2" xfId="7177" xr:uid="{00000000-0005-0000-0000-0000161C0000}"/>
    <cellStyle name="Positive 2 12 4 17" xfId="7178" xr:uid="{00000000-0005-0000-0000-0000171C0000}"/>
    <cellStyle name="Positive 2 12 4 17 2" xfId="7179" xr:uid="{00000000-0005-0000-0000-0000181C0000}"/>
    <cellStyle name="Positive 2 12 4 18" xfId="7180" xr:uid="{00000000-0005-0000-0000-0000191C0000}"/>
    <cellStyle name="Positive 2 12 4 18 2" xfId="7181" xr:uid="{00000000-0005-0000-0000-00001A1C0000}"/>
    <cellStyle name="Positive 2 12 4 19" xfId="7182" xr:uid="{00000000-0005-0000-0000-00001B1C0000}"/>
    <cellStyle name="Positive 2 12 4 19 2" xfId="7183" xr:uid="{00000000-0005-0000-0000-00001C1C0000}"/>
    <cellStyle name="Positive 2 12 4 2" xfId="7184" xr:uid="{00000000-0005-0000-0000-00001D1C0000}"/>
    <cellStyle name="Positive 2 12 4 2 10" xfId="7185" xr:uid="{00000000-0005-0000-0000-00001E1C0000}"/>
    <cellStyle name="Positive 2 12 4 2 10 2" xfId="7186" xr:uid="{00000000-0005-0000-0000-00001F1C0000}"/>
    <cellStyle name="Positive 2 12 4 2 11" xfId="7187" xr:uid="{00000000-0005-0000-0000-0000201C0000}"/>
    <cellStyle name="Positive 2 12 4 2 11 2" xfId="7188" xr:uid="{00000000-0005-0000-0000-0000211C0000}"/>
    <cellStyle name="Positive 2 12 4 2 12" xfId="7189" xr:uid="{00000000-0005-0000-0000-0000221C0000}"/>
    <cellStyle name="Positive 2 12 4 2 12 2" xfId="7190" xr:uid="{00000000-0005-0000-0000-0000231C0000}"/>
    <cellStyle name="Positive 2 12 4 2 13" xfId="7191" xr:uid="{00000000-0005-0000-0000-0000241C0000}"/>
    <cellStyle name="Positive 2 12 4 2 13 2" xfId="7192" xr:uid="{00000000-0005-0000-0000-0000251C0000}"/>
    <cellStyle name="Positive 2 12 4 2 14" xfId="7193" xr:uid="{00000000-0005-0000-0000-0000261C0000}"/>
    <cellStyle name="Positive 2 12 4 2 14 2" xfId="7194" xr:uid="{00000000-0005-0000-0000-0000271C0000}"/>
    <cellStyle name="Positive 2 12 4 2 15" xfId="7195" xr:uid="{00000000-0005-0000-0000-0000281C0000}"/>
    <cellStyle name="Positive 2 12 4 2 15 2" xfId="7196" xr:uid="{00000000-0005-0000-0000-0000291C0000}"/>
    <cellStyle name="Positive 2 12 4 2 16" xfId="7197" xr:uid="{00000000-0005-0000-0000-00002A1C0000}"/>
    <cellStyle name="Positive 2 12 4 2 16 2" xfId="7198" xr:uid="{00000000-0005-0000-0000-00002B1C0000}"/>
    <cellStyle name="Positive 2 12 4 2 17" xfId="7199" xr:uid="{00000000-0005-0000-0000-00002C1C0000}"/>
    <cellStyle name="Positive 2 12 4 2 2" xfId="7200" xr:uid="{00000000-0005-0000-0000-00002D1C0000}"/>
    <cellStyle name="Positive 2 12 4 2 2 2" xfId="7201" xr:uid="{00000000-0005-0000-0000-00002E1C0000}"/>
    <cellStyle name="Positive 2 12 4 2 3" xfId="7202" xr:uid="{00000000-0005-0000-0000-00002F1C0000}"/>
    <cellStyle name="Positive 2 12 4 2 3 2" xfId="7203" xr:uid="{00000000-0005-0000-0000-0000301C0000}"/>
    <cellStyle name="Positive 2 12 4 2 4" xfId="7204" xr:uid="{00000000-0005-0000-0000-0000311C0000}"/>
    <cellStyle name="Positive 2 12 4 2 4 2" xfId="7205" xr:uid="{00000000-0005-0000-0000-0000321C0000}"/>
    <cellStyle name="Positive 2 12 4 2 5" xfId="7206" xr:uid="{00000000-0005-0000-0000-0000331C0000}"/>
    <cellStyle name="Positive 2 12 4 2 5 2" xfId="7207" xr:uid="{00000000-0005-0000-0000-0000341C0000}"/>
    <cellStyle name="Positive 2 12 4 2 6" xfId="7208" xr:uid="{00000000-0005-0000-0000-0000351C0000}"/>
    <cellStyle name="Positive 2 12 4 2 6 2" xfId="7209" xr:uid="{00000000-0005-0000-0000-0000361C0000}"/>
    <cellStyle name="Positive 2 12 4 2 7" xfId="7210" xr:uid="{00000000-0005-0000-0000-0000371C0000}"/>
    <cellStyle name="Positive 2 12 4 2 7 2" xfId="7211" xr:uid="{00000000-0005-0000-0000-0000381C0000}"/>
    <cellStyle name="Positive 2 12 4 2 8" xfId="7212" xr:uid="{00000000-0005-0000-0000-0000391C0000}"/>
    <cellStyle name="Positive 2 12 4 2 8 2" xfId="7213" xr:uid="{00000000-0005-0000-0000-00003A1C0000}"/>
    <cellStyle name="Positive 2 12 4 2 9" xfId="7214" xr:uid="{00000000-0005-0000-0000-00003B1C0000}"/>
    <cellStyle name="Positive 2 12 4 2 9 2" xfId="7215" xr:uid="{00000000-0005-0000-0000-00003C1C0000}"/>
    <cellStyle name="Positive 2 12 4 20" xfId="7216" xr:uid="{00000000-0005-0000-0000-00003D1C0000}"/>
    <cellStyle name="Positive 2 12 4 3" xfId="7217" xr:uid="{00000000-0005-0000-0000-00003E1C0000}"/>
    <cellStyle name="Positive 2 12 4 3 2" xfId="7218" xr:uid="{00000000-0005-0000-0000-00003F1C0000}"/>
    <cellStyle name="Positive 2 12 4 3 2 2" xfId="7219" xr:uid="{00000000-0005-0000-0000-0000401C0000}"/>
    <cellStyle name="Positive 2 12 4 3 3" xfId="7220" xr:uid="{00000000-0005-0000-0000-0000411C0000}"/>
    <cellStyle name="Positive 2 12 4 4" xfId="7221" xr:uid="{00000000-0005-0000-0000-0000421C0000}"/>
    <cellStyle name="Positive 2 12 4 4 2" xfId="7222" xr:uid="{00000000-0005-0000-0000-0000431C0000}"/>
    <cellStyle name="Positive 2 12 4 4 2 2" xfId="7223" xr:uid="{00000000-0005-0000-0000-0000441C0000}"/>
    <cellStyle name="Positive 2 12 4 4 3" xfId="7224" xr:uid="{00000000-0005-0000-0000-0000451C0000}"/>
    <cellStyle name="Positive 2 12 4 5" xfId="7225" xr:uid="{00000000-0005-0000-0000-0000461C0000}"/>
    <cellStyle name="Positive 2 12 4 5 2" xfId="7226" xr:uid="{00000000-0005-0000-0000-0000471C0000}"/>
    <cellStyle name="Positive 2 12 4 6" xfId="7227" xr:uid="{00000000-0005-0000-0000-0000481C0000}"/>
    <cellStyle name="Positive 2 12 4 6 2" xfId="7228" xr:uid="{00000000-0005-0000-0000-0000491C0000}"/>
    <cellStyle name="Positive 2 12 4 7" xfId="7229" xr:uid="{00000000-0005-0000-0000-00004A1C0000}"/>
    <cellStyle name="Positive 2 12 4 7 2" xfId="7230" xr:uid="{00000000-0005-0000-0000-00004B1C0000}"/>
    <cellStyle name="Positive 2 12 4 8" xfId="7231" xr:uid="{00000000-0005-0000-0000-00004C1C0000}"/>
    <cellStyle name="Positive 2 12 4 8 2" xfId="7232" xr:uid="{00000000-0005-0000-0000-00004D1C0000}"/>
    <cellStyle name="Positive 2 12 4 9" xfId="7233" xr:uid="{00000000-0005-0000-0000-00004E1C0000}"/>
    <cellStyle name="Positive 2 12 4 9 2" xfId="7234" xr:uid="{00000000-0005-0000-0000-00004F1C0000}"/>
    <cellStyle name="Positive 2 12 5" xfId="7235" xr:uid="{00000000-0005-0000-0000-0000501C0000}"/>
    <cellStyle name="Positive 2 12 5 10" xfId="7236" xr:uid="{00000000-0005-0000-0000-0000511C0000}"/>
    <cellStyle name="Positive 2 12 5 10 2" xfId="7237" xr:uid="{00000000-0005-0000-0000-0000521C0000}"/>
    <cellStyle name="Positive 2 12 5 11" xfId="7238" xr:uid="{00000000-0005-0000-0000-0000531C0000}"/>
    <cellStyle name="Positive 2 12 5 11 2" xfId="7239" xr:uid="{00000000-0005-0000-0000-0000541C0000}"/>
    <cellStyle name="Positive 2 12 5 12" xfId="7240" xr:uid="{00000000-0005-0000-0000-0000551C0000}"/>
    <cellStyle name="Positive 2 12 5 12 2" xfId="7241" xr:uid="{00000000-0005-0000-0000-0000561C0000}"/>
    <cellStyle name="Positive 2 12 5 13" xfId="7242" xr:uid="{00000000-0005-0000-0000-0000571C0000}"/>
    <cellStyle name="Positive 2 12 5 13 2" xfId="7243" xr:uid="{00000000-0005-0000-0000-0000581C0000}"/>
    <cellStyle name="Positive 2 12 5 14" xfId="7244" xr:uid="{00000000-0005-0000-0000-0000591C0000}"/>
    <cellStyle name="Positive 2 12 5 14 2" xfId="7245" xr:uid="{00000000-0005-0000-0000-00005A1C0000}"/>
    <cellStyle name="Positive 2 12 5 15" xfId="7246" xr:uid="{00000000-0005-0000-0000-00005B1C0000}"/>
    <cellStyle name="Positive 2 12 5 15 2" xfId="7247" xr:uid="{00000000-0005-0000-0000-00005C1C0000}"/>
    <cellStyle name="Positive 2 12 5 16" xfId="7248" xr:uid="{00000000-0005-0000-0000-00005D1C0000}"/>
    <cellStyle name="Positive 2 12 5 16 2" xfId="7249" xr:uid="{00000000-0005-0000-0000-00005E1C0000}"/>
    <cellStyle name="Positive 2 12 5 17" xfId="7250" xr:uid="{00000000-0005-0000-0000-00005F1C0000}"/>
    <cellStyle name="Positive 2 12 5 2" xfId="7251" xr:uid="{00000000-0005-0000-0000-0000601C0000}"/>
    <cellStyle name="Positive 2 12 5 2 2" xfId="7252" xr:uid="{00000000-0005-0000-0000-0000611C0000}"/>
    <cellStyle name="Positive 2 12 5 3" xfId="7253" xr:uid="{00000000-0005-0000-0000-0000621C0000}"/>
    <cellStyle name="Positive 2 12 5 3 2" xfId="7254" xr:uid="{00000000-0005-0000-0000-0000631C0000}"/>
    <cellStyle name="Positive 2 12 5 4" xfId="7255" xr:uid="{00000000-0005-0000-0000-0000641C0000}"/>
    <cellStyle name="Positive 2 12 5 4 2" xfId="7256" xr:uid="{00000000-0005-0000-0000-0000651C0000}"/>
    <cellStyle name="Positive 2 12 5 5" xfId="7257" xr:uid="{00000000-0005-0000-0000-0000661C0000}"/>
    <cellStyle name="Positive 2 12 5 5 2" xfId="7258" xr:uid="{00000000-0005-0000-0000-0000671C0000}"/>
    <cellStyle name="Positive 2 12 5 6" xfId="7259" xr:uid="{00000000-0005-0000-0000-0000681C0000}"/>
    <cellStyle name="Positive 2 12 5 6 2" xfId="7260" xr:uid="{00000000-0005-0000-0000-0000691C0000}"/>
    <cellStyle name="Positive 2 12 5 7" xfId="7261" xr:uid="{00000000-0005-0000-0000-00006A1C0000}"/>
    <cellStyle name="Positive 2 12 5 7 2" xfId="7262" xr:uid="{00000000-0005-0000-0000-00006B1C0000}"/>
    <cellStyle name="Positive 2 12 5 8" xfId="7263" xr:uid="{00000000-0005-0000-0000-00006C1C0000}"/>
    <cellStyle name="Positive 2 12 5 8 2" xfId="7264" xr:uid="{00000000-0005-0000-0000-00006D1C0000}"/>
    <cellStyle name="Positive 2 12 5 9" xfId="7265" xr:uid="{00000000-0005-0000-0000-00006E1C0000}"/>
    <cellStyle name="Positive 2 12 5 9 2" xfId="7266" xr:uid="{00000000-0005-0000-0000-00006F1C0000}"/>
    <cellStyle name="Positive 2 12 6" xfId="7267" xr:uid="{00000000-0005-0000-0000-0000701C0000}"/>
    <cellStyle name="Positive 2 12 6 2" xfId="7268" xr:uid="{00000000-0005-0000-0000-0000711C0000}"/>
    <cellStyle name="Positive 2 12 6 2 2" xfId="7269" xr:uid="{00000000-0005-0000-0000-0000721C0000}"/>
    <cellStyle name="Positive 2 12 6 3" xfId="7270" xr:uid="{00000000-0005-0000-0000-0000731C0000}"/>
    <cellStyle name="Positive 2 12 7" xfId="7271" xr:uid="{00000000-0005-0000-0000-0000741C0000}"/>
    <cellStyle name="Positive 2 12 7 2" xfId="7272" xr:uid="{00000000-0005-0000-0000-0000751C0000}"/>
    <cellStyle name="Positive 2 12 7 2 2" xfId="7273" xr:uid="{00000000-0005-0000-0000-0000761C0000}"/>
    <cellStyle name="Positive 2 12 7 3" xfId="7274" xr:uid="{00000000-0005-0000-0000-0000771C0000}"/>
    <cellStyle name="Positive 2 12 8" xfId="7275" xr:uid="{00000000-0005-0000-0000-0000781C0000}"/>
    <cellStyle name="Positive 2 12 8 2" xfId="7276" xr:uid="{00000000-0005-0000-0000-0000791C0000}"/>
    <cellStyle name="Positive 2 12 9" xfId="7277" xr:uid="{00000000-0005-0000-0000-00007A1C0000}"/>
    <cellStyle name="Positive 2 12 9 2" xfId="7278" xr:uid="{00000000-0005-0000-0000-00007B1C0000}"/>
    <cellStyle name="Positive 2 13" xfId="7279" xr:uid="{00000000-0005-0000-0000-00007C1C0000}"/>
    <cellStyle name="Positive 2 13 10" xfId="7280" xr:uid="{00000000-0005-0000-0000-00007D1C0000}"/>
    <cellStyle name="Positive 2 13 10 2" xfId="7281" xr:uid="{00000000-0005-0000-0000-00007E1C0000}"/>
    <cellStyle name="Positive 2 13 11" xfId="7282" xr:uid="{00000000-0005-0000-0000-00007F1C0000}"/>
    <cellStyle name="Positive 2 13 11 2" xfId="7283" xr:uid="{00000000-0005-0000-0000-0000801C0000}"/>
    <cellStyle name="Positive 2 13 12" xfId="7284" xr:uid="{00000000-0005-0000-0000-0000811C0000}"/>
    <cellStyle name="Positive 2 13 12 2" xfId="7285" xr:uid="{00000000-0005-0000-0000-0000821C0000}"/>
    <cellStyle name="Positive 2 13 13" xfId="7286" xr:uid="{00000000-0005-0000-0000-0000831C0000}"/>
    <cellStyle name="Positive 2 13 13 2" xfId="7287" xr:uid="{00000000-0005-0000-0000-0000841C0000}"/>
    <cellStyle name="Positive 2 13 14" xfId="7288" xr:uid="{00000000-0005-0000-0000-0000851C0000}"/>
    <cellStyle name="Positive 2 13 14 2" xfId="7289" xr:uid="{00000000-0005-0000-0000-0000861C0000}"/>
    <cellStyle name="Positive 2 13 15" xfId="7290" xr:uid="{00000000-0005-0000-0000-0000871C0000}"/>
    <cellStyle name="Positive 2 13 15 2" xfId="7291" xr:uid="{00000000-0005-0000-0000-0000881C0000}"/>
    <cellStyle name="Positive 2 13 16" xfId="7292" xr:uid="{00000000-0005-0000-0000-0000891C0000}"/>
    <cellStyle name="Positive 2 13 16 2" xfId="7293" xr:uid="{00000000-0005-0000-0000-00008A1C0000}"/>
    <cellStyle name="Positive 2 13 17" xfId="7294" xr:uid="{00000000-0005-0000-0000-00008B1C0000}"/>
    <cellStyle name="Positive 2 13 17 2" xfId="7295" xr:uid="{00000000-0005-0000-0000-00008C1C0000}"/>
    <cellStyle name="Positive 2 13 18" xfId="7296" xr:uid="{00000000-0005-0000-0000-00008D1C0000}"/>
    <cellStyle name="Positive 2 13 18 2" xfId="7297" xr:uid="{00000000-0005-0000-0000-00008E1C0000}"/>
    <cellStyle name="Positive 2 13 19" xfId="7298" xr:uid="{00000000-0005-0000-0000-00008F1C0000}"/>
    <cellStyle name="Positive 2 13 19 2" xfId="7299" xr:uid="{00000000-0005-0000-0000-0000901C0000}"/>
    <cellStyle name="Positive 2 13 2" xfId="7300" xr:uid="{00000000-0005-0000-0000-0000911C0000}"/>
    <cellStyle name="Positive 2 13 2 10" xfId="7301" xr:uid="{00000000-0005-0000-0000-0000921C0000}"/>
    <cellStyle name="Positive 2 13 2 10 2" xfId="7302" xr:uid="{00000000-0005-0000-0000-0000931C0000}"/>
    <cellStyle name="Positive 2 13 2 11" xfId="7303" xr:uid="{00000000-0005-0000-0000-0000941C0000}"/>
    <cellStyle name="Positive 2 13 2 11 2" xfId="7304" xr:uid="{00000000-0005-0000-0000-0000951C0000}"/>
    <cellStyle name="Positive 2 13 2 12" xfId="7305" xr:uid="{00000000-0005-0000-0000-0000961C0000}"/>
    <cellStyle name="Positive 2 13 2 12 2" xfId="7306" xr:uid="{00000000-0005-0000-0000-0000971C0000}"/>
    <cellStyle name="Positive 2 13 2 13" xfId="7307" xr:uid="{00000000-0005-0000-0000-0000981C0000}"/>
    <cellStyle name="Positive 2 13 2 13 2" xfId="7308" xr:uid="{00000000-0005-0000-0000-0000991C0000}"/>
    <cellStyle name="Positive 2 13 2 14" xfId="7309" xr:uid="{00000000-0005-0000-0000-00009A1C0000}"/>
    <cellStyle name="Positive 2 13 2 14 2" xfId="7310" xr:uid="{00000000-0005-0000-0000-00009B1C0000}"/>
    <cellStyle name="Positive 2 13 2 15" xfId="7311" xr:uid="{00000000-0005-0000-0000-00009C1C0000}"/>
    <cellStyle name="Positive 2 13 2 15 2" xfId="7312" xr:uid="{00000000-0005-0000-0000-00009D1C0000}"/>
    <cellStyle name="Positive 2 13 2 16" xfId="7313" xr:uid="{00000000-0005-0000-0000-00009E1C0000}"/>
    <cellStyle name="Positive 2 13 2 16 2" xfId="7314" xr:uid="{00000000-0005-0000-0000-00009F1C0000}"/>
    <cellStyle name="Positive 2 13 2 17" xfId="7315" xr:uid="{00000000-0005-0000-0000-0000A01C0000}"/>
    <cellStyle name="Positive 2 13 2 17 2" xfId="7316" xr:uid="{00000000-0005-0000-0000-0000A11C0000}"/>
    <cellStyle name="Positive 2 13 2 18" xfId="7317" xr:uid="{00000000-0005-0000-0000-0000A21C0000}"/>
    <cellStyle name="Positive 2 13 2 18 2" xfId="7318" xr:uid="{00000000-0005-0000-0000-0000A31C0000}"/>
    <cellStyle name="Positive 2 13 2 19" xfId="7319" xr:uid="{00000000-0005-0000-0000-0000A41C0000}"/>
    <cellStyle name="Positive 2 13 2 19 2" xfId="7320" xr:uid="{00000000-0005-0000-0000-0000A51C0000}"/>
    <cellStyle name="Positive 2 13 2 2" xfId="7321" xr:uid="{00000000-0005-0000-0000-0000A61C0000}"/>
    <cellStyle name="Positive 2 13 2 2 10" xfId="7322" xr:uid="{00000000-0005-0000-0000-0000A71C0000}"/>
    <cellStyle name="Positive 2 13 2 2 10 2" xfId="7323" xr:uid="{00000000-0005-0000-0000-0000A81C0000}"/>
    <cellStyle name="Positive 2 13 2 2 11" xfId="7324" xr:uid="{00000000-0005-0000-0000-0000A91C0000}"/>
    <cellStyle name="Positive 2 13 2 2 11 2" xfId="7325" xr:uid="{00000000-0005-0000-0000-0000AA1C0000}"/>
    <cellStyle name="Positive 2 13 2 2 12" xfId="7326" xr:uid="{00000000-0005-0000-0000-0000AB1C0000}"/>
    <cellStyle name="Positive 2 13 2 2 12 2" xfId="7327" xr:uid="{00000000-0005-0000-0000-0000AC1C0000}"/>
    <cellStyle name="Positive 2 13 2 2 13" xfId="7328" xr:uid="{00000000-0005-0000-0000-0000AD1C0000}"/>
    <cellStyle name="Positive 2 13 2 2 13 2" xfId="7329" xr:uid="{00000000-0005-0000-0000-0000AE1C0000}"/>
    <cellStyle name="Positive 2 13 2 2 14" xfId="7330" xr:uid="{00000000-0005-0000-0000-0000AF1C0000}"/>
    <cellStyle name="Positive 2 13 2 2 14 2" xfId="7331" xr:uid="{00000000-0005-0000-0000-0000B01C0000}"/>
    <cellStyle name="Positive 2 13 2 2 15" xfId="7332" xr:uid="{00000000-0005-0000-0000-0000B11C0000}"/>
    <cellStyle name="Positive 2 13 2 2 15 2" xfId="7333" xr:uid="{00000000-0005-0000-0000-0000B21C0000}"/>
    <cellStyle name="Positive 2 13 2 2 16" xfId="7334" xr:uid="{00000000-0005-0000-0000-0000B31C0000}"/>
    <cellStyle name="Positive 2 13 2 2 16 2" xfId="7335" xr:uid="{00000000-0005-0000-0000-0000B41C0000}"/>
    <cellStyle name="Positive 2 13 2 2 17" xfId="7336" xr:uid="{00000000-0005-0000-0000-0000B51C0000}"/>
    <cellStyle name="Positive 2 13 2 2 2" xfId="7337" xr:uid="{00000000-0005-0000-0000-0000B61C0000}"/>
    <cellStyle name="Positive 2 13 2 2 2 2" xfId="7338" xr:uid="{00000000-0005-0000-0000-0000B71C0000}"/>
    <cellStyle name="Positive 2 13 2 2 3" xfId="7339" xr:uid="{00000000-0005-0000-0000-0000B81C0000}"/>
    <cellStyle name="Positive 2 13 2 2 3 2" xfId="7340" xr:uid="{00000000-0005-0000-0000-0000B91C0000}"/>
    <cellStyle name="Positive 2 13 2 2 4" xfId="7341" xr:uid="{00000000-0005-0000-0000-0000BA1C0000}"/>
    <cellStyle name="Positive 2 13 2 2 4 2" xfId="7342" xr:uid="{00000000-0005-0000-0000-0000BB1C0000}"/>
    <cellStyle name="Positive 2 13 2 2 5" xfId="7343" xr:uid="{00000000-0005-0000-0000-0000BC1C0000}"/>
    <cellStyle name="Positive 2 13 2 2 5 2" xfId="7344" xr:uid="{00000000-0005-0000-0000-0000BD1C0000}"/>
    <cellStyle name="Positive 2 13 2 2 6" xfId="7345" xr:uid="{00000000-0005-0000-0000-0000BE1C0000}"/>
    <cellStyle name="Positive 2 13 2 2 6 2" xfId="7346" xr:uid="{00000000-0005-0000-0000-0000BF1C0000}"/>
    <cellStyle name="Positive 2 13 2 2 7" xfId="7347" xr:uid="{00000000-0005-0000-0000-0000C01C0000}"/>
    <cellStyle name="Positive 2 13 2 2 7 2" xfId="7348" xr:uid="{00000000-0005-0000-0000-0000C11C0000}"/>
    <cellStyle name="Positive 2 13 2 2 8" xfId="7349" xr:uid="{00000000-0005-0000-0000-0000C21C0000}"/>
    <cellStyle name="Positive 2 13 2 2 8 2" xfId="7350" xr:uid="{00000000-0005-0000-0000-0000C31C0000}"/>
    <cellStyle name="Positive 2 13 2 2 9" xfId="7351" xr:uid="{00000000-0005-0000-0000-0000C41C0000}"/>
    <cellStyle name="Positive 2 13 2 2 9 2" xfId="7352" xr:uid="{00000000-0005-0000-0000-0000C51C0000}"/>
    <cellStyle name="Positive 2 13 2 20" xfId="7353" xr:uid="{00000000-0005-0000-0000-0000C61C0000}"/>
    <cellStyle name="Positive 2 13 2 3" xfId="7354" xr:uid="{00000000-0005-0000-0000-0000C71C0000}"/>
    <cellStyle name="Positive 2 13 2 3 2" xfId="7355" xr:uid="{00000000-0005-0000-0000-0000C81C0000}"/>
    <cellStyle name="Positive 2 13 2 3 2 2" xfId="7356" xr:uid="{00000000-0005-0000-0000-0000C91C0000}"/>
    <cellStyle name="Positive 2 13 2 3 3" xfId="7357" xr:uid="{00000000-0005-0000-0000-0000CA1C0000}"/>
    <cellStyle name="Positive 2 13 2 4" xfId="7358" xr:uid="{00000000-0005-0000-0000-0000CB1C0000}"/>
    <cellStyle name="Positive 2 13 2 4 2" xfId="7359" xr:uid="{00000000-0005-0000-0000-0000CC1C0000}"/>
    <cellStyle name="Positive 2 13 2 4 2 2" xfId="7360" xr:uid="{00000000-0005-0000-0000-0000CD1C0000}"/>
    <cellStyle name="Positive 2 13 2 4 3" xfId="7361" xr:uid="{00000000-0005-0000-0000-0000CE1C0000}"/>
    <cellStyle name="Positive 2 13 2 5" xfId="7362" xr:uid="{00000000-0005-0000-0000-0000CF1C0000}"/>
    <cellStyle name="Positive 2 13 2 5 2" xfId="7363" xr:uid="{00000000-0005-0000-0000-0000D01C0000}"/>
    <cellStyle name="Positive 2 13 2 6" xfId="7364" xr:uid="{00000000-0005-0000-0000-0000D11C0000}"/>
    <cellStyle name="Positive 2 13 2 6 2" xfId="7365" xr:uid="{00000000-0005-0000-0000-0000D21C0000}"/>
    <cellStyle name="Positive 2 13 2 7" xfId="7366" xr:uid="{00000000-0005-0000-0000-0000D31C0000}"/>
    <cellStyle name="Positive 2 13 2 7 2" xfId="7367" xr:uid="{00000000-0005-0000-0000-0000D41C0000}"/>
    <cellStyle name="Positive 2 13 2 8" xfId="7368" xr:uid="{00000000-0005-0000-0000-0000D51C0000}"/>
    <cellStyle name="Positive 2 13 2 8 2" xfId="7369" xr:uid="{00000000-0005-0000-0000-0000D61C0000}"/>
    <cellStyle name="Positive 2 13 2 9" xfId="7370" xr:uid="{00000000-0005-0000-0000-0000D71C0000}"/>
    <cellStyle name="Positive 2 13 2 9 2" xfId="7371" xr:uid="{00000000-0005-0000-0000-0000D81C0000}"/>
    <cellStyle name="Positive 2 13 20" xfId="7372" xr:uid="{00000000-0005-0000-0000-0000D91C0000}"/>
    <cellStyle name="Positive 2 13 20 2" xfId="7373" xr:uid="{00000000-0005-0000-0000-0000DA1C0000}"/>
    <cellStyle name="Positive 2 13 21" xfId="7374" xr:uid="{00000000-0005-0000-0000-0000DB1C0000}"/>
    <cellStyle name="Positive 2 13 21 2" xfId="7375" xr:uid="{00000000-0005-0000-0000-0000DC1C0000}"/>
    <cellStyle name="Positive 2 13 22" xfId="7376" xr:uid="{00000000-0005-0000-0000-0000DD1C0000}"/>
    <cellStyle name="Positive 2 13 22 2" xfId="7377" xr:uid="{00000000-0005-0000-0000-0000DE1C0000}"/>
    <cellStyle name="Positive 2 13 23" xfId="7378" xr:uid="{00000000-0005-0000-0000-0000DF1C0000}"/>
    <cellStyle name="Positive 2 13 3" xfId="7379" xr:uid="{00000000-0005-0000-0000-0000E01C0000}"/>
    <cellStyle name="Positive 2 13 3 10" xfId="7380" xr:uid="{00000000-0005-0000-0000-0000E11C0000}"/>
    <cellStyle name="Positive 2 13 3 10 2" xfId="7381" xr:uid="{00000000-0005-0000-0000-0000E21C0000}"/>
    <cellStyle name="Positive 2 13 3 11" xfId="7382" xr:uid="{00000000-0005-0000-0000-0000E31C0000}"/>
    <cellStyle name="Positive 2 13 3 11 2" xfId="7383" xr:uid="{00000000-0005-0000-0000-0000E41C0000}"/>
    <cellStyle name="Positive 2 13 3 12" xfId="7384" xr:uid="{00000000-0005-0000-0000-0000E51C0000}"/>
    <cellStyle name="Positive 2 13 3 12 2" xfId="7385" xr:uid="{00000000-0005-0000-0000-0000E61C0000}"/>
    <cellStyle name="Positive 2 13 3 13" xfId="7386" xr:uid="{00000000-0005-0000-0000-0000E71C0000}"/>
    <cellStyle name="Positive 2 13 3 13 2" xfId="7387" xr:uid="{00000000-0005-0000-0000-0000E81C0000}"/>
    <cellStyle name="Positive 2 13 3 14" xfId="7388" xr:uid="{00000000-0005-0000-0000-0000E91C0000}"/>
    <cellStyle name="Positive 2 13 3 14 2" xfId="7389" xr:uid="{00000000-0005-0000-0000-0000EA1C0000}"/>
    <cellStyle name="Positive 2 13 3 15" xfId="7390" xr:uid="{00000000-0005-0000-0000-0000EB1C0000}"/>
    <cellStyle name="Positive 2 13 3 15 2" xfId="7391" xr:uid="{00000000-0005-0000-0000-0000EC1C0000}"/>
    <cellStyle name="Positive 2 13 3 16" xfId="7392" xr:uid="{00000000-0005-0000-0000-0000ED1C0000}"/>
    <cellStyle name="Positive 2 13 3 16 2" xfId="7393" xr:uid="{00000000-0005-0000-0000-0000EE1C0000}"/>
    <cellStyle name="Positive 2 13 3 17" xfId="7394" xr:uid="{00000000-0005-0000-0000-0000EF1C0000}"/>
    <cellStyle name="Positive 2 13 3 17 2" xfId="7395" xr:uid="{00000000-0005-0000-0000-0000F01C0000}"/>
    <cellStyle name="Positive 2 13 3 18" xfId="7396" xr:uid="{00000000-0005-0000-0000-0000F11C0000}"/>
    <cellStyle name="Positive 2 13 3 18 2" xfId="7397" xr:uid="{00000000-0005-0000-0000-0000F21C0000}"/>
    <cellStyle name="Positive 2 13 3 19" xfId="7398" xr:uid="{00000000-0005-0000-0000-0000F31C0000}"/>
    <cellStyle name="Positive 2 13 3 19 2" xfId="7399" xr:uid="{00000000-0005-0000-0000-0000F41C0000}"/>
    <cellStyle name="Positive 2 13 3 2" xfId="7400" xr:uid="{00000000-0005-0000-0000-0000F51C0000}"/>
    <cellStyle name="Positive 2 13 3 2 10" xfId="7401" xr:uid="{00000000-0005-0000-0000-0000F61C0000}"/>
    <cellStyle name="Positive 2 13 3 2 10 2" xfId="7402" xr:uid="{00000000-0005-0000-0000-0000F71C0000}"/>
    <cellStyle name="Positive 2 13 3 2 11" xfId="7403" xr:uid="{00000000-0005-0000-0000-0000F81C0000}"/>
    <cellStyle name="Positive 2 13 3 2 11 2" xfId="7404" xr:uid="{00000000-0005-0000-0000-0000F91C0000}"/>
    <cellStyle name="Positive 2 13 3 2 12" xfId="7405" xr:uid="{00000000-0005-0000-0000-0000FA1C0000}"/>
    <cellStyle name="Positive 2 13 3 2 12 2" xfId="7406" xr:uid="{00000000-0005-0000-0000-0000FB1C0000}"/>
    <cellStyle name="Positive 2 13 3 2 13" xfId="7407" xr:uid="{00000000-0005-0000-0000-0000FC1C0000}"/>
    <cellStyle name="Positive 2 13 3 2 13 2" xfId="7408" xr:uid="{00000000-0005-0000-0000-0000FD1C0000}"/>
    <cellStyle name="Positive 2 13 3 2 14" xfId="7409" xr:uid="{00000000-0005-0000-0000-0000FE1C0000}"/>
    <cellStyle name="Positive 2 13 3 2 14 2" xfId="7410" xr:uid="{00000000-0005-0000-0000-0000FF1C0000}"/>
    <cellStyle name="Positive 2 13 3 2 15" xfId="7411" xr:uid="{00000000-0005-0000-0000-0000001D0000}"/>
    <cellStyle name="Positive 2 13 3 2 15 2" xfId="7412" xr:uid="{00000000-0005-0000-0000-0000011D0000}"/>
    <cellStyle name="Positive 2 13 3 2 16" xfId="7413" xr:uid="{00000000-0005-0000-0000-0000021D0000}"/>
    <cellStyle name="Positive 2 13 3 2 16 2" xfId="7414" xr:uid="{00000000-0005-0000-0000-0000031D0000}"/>
    <cellStyle name="Positive 2 13 3 2 17" xfId="7415" xr:uid="{00000000-0005-0000-0000-0000041D0000}"/>
    <cellStyle name="Positive 2 13 3 2 2" xfId="7416" xr:uid="{00000000-0005-0000-0000-0000051D0000}"/>
    <cellStyle name="Positive 2 13 3 2 2 2" xfId="7417" xr:uid="{00000000-0005-0000-0000-0000061D0000}"/>
    <cellStyle name="Positive 2 13 3 2 3" xfId="7418" xr:uid="{00000000-0005-0000-0000-0000071D0000}"/>
    <cellStyle name="Positive 2 13 3 2 3 2" xfId="7419" xr:uid="{00000000-0005-0000-0000-0000081D0000}"/>
    <cellStyle name="Positive 2 13 3 2 4" xfId="7420" xr:uid="{00000000-0005-0000-0000-0000091D0000}"/>
    <cellStyle name="Positive 2 13 3 2 4 2" xfId="7421" xr:uid="{00000000-0005-0000-0000-00000A1D0000}"/>
    <cellStyle name="Positive 2 13 3 2 5" xfId="7422" xr:uid="{00000000-0005-0000-0000-00000B1D0000}"/>
    <cellStyle name="Positive 2 13 3 2 5 2" xfId="7423" xr:uid="{00000000-0005-0000-0000-00000C1D0000}"/>
    <cellStyle name="Positive 2 13 3 2 6" xfId="7424" xr:uid="{00000000-0005-0000-0000-00000D1D0000}"/>
    <cellStyle name="Positive 2 13 3 2 6 2" xfId="7425" xr:uid="{00000000-0005-0000-0000-00000E1D0000}"/>
    <cellStyle name="Positive 2 13 3 2 7" xfId="7426" xr:uid="{00000000-0005-0000-0000-00000F1D0000}"/>
    <cellStyle name="Positive 2 13 3 2 7 2" xfId="7427" xr:uid="{00000000-0005-0000-0000-0000101D0000}"/>
    <cellStyle name="Positive 2 13 3 2 8" xfId="7428" xr:uid="{00000000-0005-0000-0000-0000111D0000}"/>
    <cellStyle name="Positive 2 13 3 2 8 2" xfId="7429" xr:uid="{00000000-0005-0000-0000-0000121D0000}"/>
    <cellStyle name="Positive 2 13 3 2 9" xfId="7430" xr:uid="{00000000-0005-0000-0000-0000131D0000}"/>
    <cellStyle name="Positive 2 13 3 2 9 2" xfId="7431" xr:uid="{00000000-0005-0000-0000-0000141D0000}"/>
    <cellStyle name="Positive 2 13 3 20" xfId="7432" xr:uid="{00000000-0005-0000-0000-0000151D0000}"/>
    <cellStyle name="Positive 2 13 3 3" xfId="7433" xr:uid="{00000000-0005-0000-0000-0000161D0000}"/>
    <cellStyle name="Positive 2 13 3 3 2" xfId="7434" xr:uid="{00000000-0005-0000-0000-0000171D0000}"/>
    <cellStyle name="Positive 2 13 3 3 2 2" xfId="7435" xr:uid="{00000000-0005-0000-0000-0000181D0000}"/>
    <cellStyle name="Positive 2 13 3 3 3" xfId="7436" xr:uid="{00000000-0005-0000-0000-0000191D0000}"/>
    <cellStyle name="Positive 2 13 3 4" xfId="7437" xr:uid="{00000000-0005-0000-0000-00001A1D0000}"/>
    <cellStyle name="Positive 2 13 3 4 2" xfId="7438" xr:uid="{00000000-0005-0000-0000-00001B1D0000}"/>
    <cellStyle name="Positive 2 13 3 4 2 2" xfId="7439" xr:uid="{00000000-0005-0000-0000-00001C1D0000}"/>
    <cellStyle name="Positive 2 13 3 4 3" xfId="7440" xr:uid="{00000000-0005-0000-0000-00001D1D0000}"/>
    <cellStyle name="Positive 2 13 3 5" xfId="7441" xr:uid="{00000000-0005-0000-0000-00001E1D0000}"/>
    <cellStyle name="Positive 2 13 3 5 2" xfId="7442" xr:uid="{00000000-0005-0000-0000-00001F1D0000}"/>
    <cellStyle name="Positive 2 13 3 6" xfId="7443" xr:uid="{00000000-0005-0000-0000-0000201D0000}"/>
    <cellStyle name="Positive 2 13 3 6 2" xfId="7444" xr:uid="{00000000-0005-0000-0000-0000211D0000}"/>
    <cellStyle name="Positive 2 13 3 7" xfId="7445" xr:uid="{00000000-0005-0000-0000-0000221D0000}"/>
    <cellStyle name="Positive 2 13 3 7 2" xfId="7446" xr:uid="{00000000-0005-0000-0000-0000231D0000}"/>
    <cellStyle name="Positive 2 13 3 8" xfId="7447" xr:uid="{00000000-0005-0000-0000-0000241D0000}"/>
    <cellStyle name="Positive 2 13 3 8 2" xfId="7448" xr:uid="{00000000-0005-0000-0000-0000251D0000}"/>
    <cellStyle name="Positive 2 13 3 9" xfId="7449" xr:uid="{00000000-0005-0000-0000-0000261D0000}"/>
    <cellStyle name="Positive 2 13 3 9 2" xfId="7450" xr:uid="{00000000-0005-0000-0000-0000271D0000}"/>
    <cellStyle name="Positive 2 13 4" xfId="7451" xr:uid="{00000000-0005-0000-0000-0000281D0000}"/>
    <cellStyle name="Positive 2 13 4 10" xfId="7452" xr:uid="{00000000-0005-0000-0000-0000291D0000}"/>
    <cellStyle name="Positive 2 13 4 10 2" xfId="7453" xr:uid="{00000000-0005-0000-0000-00002A1D0000}"/>
    <cellStyle name="Positive 2 13 4 11" xfId="7454" xr:uid="{00000000-0005-0000-0000-00002B1D0000}"/>
    <cellStyle name="Positive 2 13 4 11 2" xfId="7455" xr:uid="{00000000-0005-0000-0000-00002C1D0000}"/>
    <cellStyle name="Positive 2 13 4 12" xfId="7456" xr:uid="{00000000-0005-0000-0000-00002D1D0000}"/>
    <cellStyle name="Positive 2 13 4 12 2" xfId="7457" xr:uid="{00000000-0005-0000-0000-00002E1D0000}"/>
    <cellStyle name="Positive 2 13 4 13" xfId="7458" xr:uid="{00000000-0005-0000-0000-00002F1D0000}"/>
    <cellStyle name="Positive 2 13 4 13 2" xfId="7459" xr:uid="{00000000-0005-0000-0000-0000301D0000}"/>
    <cellStyle name="Positive 2 13 4 14" xfId="7460" xr:uid="{00000000-0005-0000-0000-0000311D0000}"/>
    <cellStyle name="Positive 2 13 4 14 2" xfId="7461" xr:uid="{00000000-0005-0000-0000-0000321D0000}"/>
    <cellStyle name="Positive 2 13 4 15" xfId="7462" xr:uid="{00000000-0005-0000-0000-0000331D0000}"/>
    <cellStyle name="Positive 2 13 4 15 2" xfId="7463" xr:uid="{00000000-0005-0000-0000-0000341D0000}"/>
    <cellStyle name="Positive 2 13 4 16" xfId="7464" xr:uid="{00000000-0005-0000-0000-0000351D0000}"/>
    <cellStyle name="Positive 2 13 4 16 2" xfId="7465" xr:uid="{00000000-0005-0000-0000-0000361D0000}"/>
    <cellStyle name="Positive 2 13 4 17" xfId="7466" xr:uid="{00000000-0005-0000-0000-0000371D0000}"/>
    <cellStyle name="Positive 2 13 4 17 2" xfId="7467" xr:uid="{00000000-0005-0000-0000-0000381D0000}"/>
    <cellStyle name="Positive 2 13 4 18" xfId="7468" xr:uid="{00000000-0005-0000-0000-0000391D0000}"/>
    <cellStyle name="Positive 2 13 4 18 2" xfId="7469" xr:uid="{00000000-0005-0000-0000-00003A1D0000}"/>
    <cellStyle name="Positive 2 13 4 19" xfId="7470" xr:uid="{00000000-0005-0000-0000-00003B1D0000}"/>
    <cellStyle name="Positive 2 13 4 19 2" xfId="7471" xr:uid="{00000000-0005-0000-0000-00003C1D0000}"/>
    <cellStyle name="Positive 2 13 4 2" xfId="7472" xr:uid="{00000000-0005-0000-0000-00003D1D0000}"/>
    <cellStyle name="Positive 2 13 4 2 10" xfId="7473" xr:uid="{00000000-0005-0000-0000-00003E1D0000}"/>
    <cellStyle name="Positive 2 13 4 2 10 2" xfId="7474" xr:uid="{00000000-0005-0000-0000-00003F1D0000}"/>
    <cellStyle name="Positive 2 13 4 2 11" xfId="7475" xr:uid="{00000000-0005-0000-0000-0000401D0000}"/>
    <cellStyle name="Positive 2 13 4 2 11 2" xfId="7476" xr:uid="{00000000-0005-0000-0000-0000411D0000}"/>
    <cellStyle name="Positive 2 13 4 2 12" xfId="7477" xr:uid="{00000000-0005-0000-0000-0000421D0000}"/>
    <cellStyle name="Positive 2 13 4 2 12 2" xfId="7478" xr:uid="{00000000-0005-0000-0000-0000431D0000}"/>
    <cellStyle name="Positive 2 13 4 2 13" xfId="7479" xr:uid="{00000000-0005-0000-0000-0000441D0000}"/>
    <cellStyle name="Positive 2 13 4 2 13 2" xfId="7480" xr:uid="{00000000-0005-0000-0000-0000451D0000}"/>
    <cellStyle name="Positive 2 13 4 2 14" xfId="7481" xr:uid="{00000000-0005-0000-0000-0000461D0000}"/>
    <cellStyle name="Positive 2 13 4 2 14 2" xfId="7482" xr:uid="{00000000-0005-0000-0000-0000471D0000}"/>
    <cellStyle name="Positive 2 13 4 2 15" xfId="7483" xr:uid="{00000000-0005-0000-0000-0000481D0000}"/>
    <cellStyle name="Positive 2 13 4 2 15 2" xfId="7484" xr:uid="{00000000-0005-0000-0000-0000491D0000}"/>
    <cellStyle name="Positive 2 13 4 2 16" xfId="7485" xr:uid="{00000000-0005-0000-0000-00004A1D0000}"/>
    <cellStyle name="Positive 2 13 4 2 16 2" xfId="7486" xr:uid="{00000000-0005-0000-0000-00004B1D0000}"/>
    <cellStyle name="Positive 2 13 4 2 17" xfId="7487" xr:uid="{00000000-0005-0000-0000-00004C1D0000}"/>
    <cellStyle name="Positive 2 13 4 2 2" xfId="7488" xr:uid="{00000000-0005-0000-0000-00004D1D0000}"/>
    <cellStyle name="Positive 2 13 4 2 2 2" xfId="7489" xr:uid="{00000000-0005-0000-0000-00004E1D0000}"/>
    <cellStyle name="Positive 2 13 4 2 3" xfId="7490" xr:uid="{00000000-0005-0000-0000-00004F1D0000}"/>
    <cellStyle name="Positive 2 13 4 2 3 2" xfId="7491" xr:uid="{00000000-0005-0000-0000-0000501D0000}"/>
    <cellStyle name="Positive 2 13 4 2 4" xfId="7492" xr:uid="{00000000-0005-0000-0000-0000511D0000}"/>
    <cellStyle name="Positive 2 13 4 2 4 2" xfId="7493" xr:uid="{00000000-0005-0000-0000-0000521D0000}"/>
    <cellStyle name="Positive 2 13 4 2 5" xfId="7494" xr:uid="{00000000-0005-0000-0000-0000531D0000}"/>
    <cellStyle name="Positive 2 13 4 2 5 2" xfId="7495" xr:uid="{00000000-0005-0000-0000-0000541D0000}"/>
    <cellStyle name="Positive 2 13 4 2 6" xfId="7496" xr:uid="{00000000-0005-0000-0000-0000551D0000}"/>
    <cellStyle name="Positive 2 13 4 2 6 2" xfId="7497" xr:uid="{00000000-0005-0000-0000-0000561D0000}"/>
    <cellStyle name="Positive 2 13 4 2 7" xfId="7498" xr:uid="{00000000-0005-0000-0000-0000571D0000}"/>
    <cellStyle name="Positive 2 13 4 2 7 2" xfId="7499" xr:uid="{00000000-0005-0000-0000-0000581D0000}"/>
    <cellStyle name="Positive 2 13 4 2 8" xfId="7500" xr:uid="{00000000-0005-0000-0000-0000591D0000}"/>
    <cellStyle name="Positive 2 13 4 2 8 2" xfId="7501" xr:uid="{00000000-0005-0000-0000-00005A1D0000}"/>
    <cellStyle name="Positive 2 13 4 2 9" xfId="7502" xr:uid="{00000000-0005-0000-0000-00005B1D0000}"/>
    <cellStyle name="Positive 2 13 4 2 9 2" xfId="7503" xr:uid="{00000000-0005-0000-0000-00005C1D0000}"/>
    <cellStyle name="Positive 2 13 4 20" xfId="7504" xr:uid="{00000000-0005-0000-0000-00005D1D0000}"/>
    <cellStyle name="Positive 2 13 4 3" xfId="7505" xr:uid="{00000000-0005-0000-0000-00005E1D0000}"/>
    <cellStyle name="Positive 2 13 4 3 2" xfId="7506" xr:uid="{00000000-0005-0000-0000-00005F1D0000}"/>
    <cellStyle name="Positive 2 13 4 3 2 2" xfId="7507" xr:uid="{00000000-0005-0000-0000-0000601D0000}"/>
    <cellStyle name="Positive 2 13 4 3 3" xfId="7508" xr:uid="{00000000-0005-0000-0000-0000611D0000}"/>
    <cellStyle name="Positive 2 13 4 4" xfId="7509" xr:uid="{00000000-0005-0000-0000-0000621D0000}"/>
    <cellStyle name="Positive 2 13 4 4 2" xfId="7510" xr:uid="{00000000-0005-0000-0000-0000631D0000}"/>
    <cellStyle name="Positive 2 13 4 4 2 2" xfId="7511" xr:uid="{00000000-0005-0000-0000-0000641D0000}"/>
    <cellStyle name="Positive 2 13 4 4 3" xfId="7512" xr:uid="{00000000-0005-0000-0000-0000651D0000}"/>
    <cellStyle name="Positive 2 13 4 5" xfId="7513" xr:uid="{00000000-0005-0000-0000-0000661D0000}"/>
    <cellStyle name="Positive 2 13 4 5 2" xfId="7514" xr:uid="{00000000-0005-0000-0000-0000671D0000}"/>
    <cellStyle name="Positive 2 13 4 6" xfId="7515" xr:uid="{00000000-0005-0000-0000-0000681D0000}"/>
    <cellStyle name="Positive 2 13 4 6 2" xfId="7516" xr:uid="{00000000-0005-0000-0000-0000691D0000}"/>
    <cellStyle name="Positive 2 13 4 7" xfId="7517" xr:uid="{00000000-0005-0000-0000-00006A1D0000}"/>
    <cellStyle name="Positive 2 13 4 7 2" xfId="7518" xr:uid="{00000000-0005-0000-0000-00006B1D0000}"/>
    <cellStyle name="Positive 2 13 4 8" xfId="7519" xr:uid="{00000000-0005-0000-0000-00006C1D0000}"/>
    <cellStyle name="Positive 2 13 4 8 2" xfId="7520" xr:uid="{00000000-0005-0000-0000-00006D1D0000}"/>
    <cellStyle name="Positive 2 13 4 9" xfId="7521" xr:uid="{00000000-0005-0000-0000-00006E1D0000}"/>
    <cellStyle name="Positive 2 13 4 9 2" xfId="7522" xr:uid="{00000000-0005-0000-0000-00006F1D0000}"/>
    <cellStyle name="Positive 2 13 5" xfId="7523" xr:uid="{00000000-0005-0000-0000-0000701D0000}"/>
    <cellStyle name="Positive 2 13 5 10" xfId="7524" xr:uid="{00000000-0005-0000-0000-0000711D0000}"/>
    <cellStyle name="Positive 2 13 5 10 2" xfId="7525" xr:uid="{00000000-0005-0000-0000-0000721D0000}"/>
    <cellStyle name="Positive 2 13 5 11" xfId="7526" xr:uid="{00000000-0005-0000-0000-0000731D0000}"/>
    <cellStyle name="Positive 2 13 5 11 2" xfId="7527" xr:uid="{00000000-0005-0000-0000-0000741D0000}"/>
    <cellStyle name="Positive 2 13 5 12" xfId="7528" xr:uid="{00000000-0005-0000-0000-0000751D0000}"/>
    <cellStyle name="Positive 2 13 5 12 2" xfId="7529" xr:uid="{00000000-0005-0000-0000-0000761D0000}"/>
    <cellStyle name="Positive 2 13 5 13" xfId="7530" xr:uid="{00000000-0005-0000-0000-0000771D0000}"/>
    <cellStyle name="Positive 2 13 5 13 2" xfId="7531" xr:uid="{00000000-0005-0000-0000-0000781D0000}"/>
    <cellStyle name="Positive 2 13 5 14" xfId="7532" xr:uid="{00000000-0005-0000-0000-0000791D0000}"/>
    <cellStyle name="Positive 2 13 5 14 2" xfId="7533" xr:uid="{00000000-0005-0000-0000-00007A1D0000}"/>
    <cellStyle name="Positive 2 13 5 15" xfId="7534" xr:uid="{00000000-0005-0000-0000-00007B1D0000}"/>
    <cellStyle name="Positive 2 13 5 15 2" xfId="7535" xr:uid="{00000000-0005-0000-0000-00007C1D0000}"/>
    <cellStyle name="Positive 2 13 5 16" xfId="7536" xr:uid="{00000000-0005-0000-0000-00007D1D0000}"/>
    <cellStyle name="Positive 2 13 5 16 2" xfId="7537" xr:uid="{00000000-0005-0000-0000-00007E1D0000}"/>
    <cellStyle name="Positive 2 13 5 17" xfId="7538" xr:uid="{00000000-0005-0000-0000-00007F1D0000}"/>
    <cellStyle name="Positive 2 13 5 2" xfId="7539" xr:uid="{00000000-0005-0000-0000-0000801D0000}"/>
    <cellStyle name="Positive 2 13 5 2 2" xfId="7540" xr:uid="{00000000-0005-0000-0000-0000811D0000}"/>
    <cellStyle name="Positive 2 13 5 3" xfId="7541" xr:uid="{00000000-0005-0000-0000-0000821D0000}"/>
    <cellStyle name="Positive 2 13 5 3 2" xfId="7542" xr:uid="{00000000-0005-0000-0000-0000831D0000}"/>
    <cellStyle name="Positive 2 13 5 4" xfId="7543" xr:uid="{00000000-0005-0000-0000-0000841D0000}"/>
    <cellStyle name="Positive 2 13 5 4 2" xfId="7544" xr:uid="{00000000-0005-0000-0000-0000851D0000}"/>
    <cellStyle name="Positive 2 13 5 5" xfId="7545" xr:uid="{00000000-0005-0000-0000-0000861D0000}"/>
    <cellStyle name="Positive 2 13 5 5 2" xfId="7546" xr:uid="{00000000-0005-0000-0000-0000871D0000}"/>
    <cellStyle name="Positive 2 13 5 6" xfId="7547" xr:uid="{00000000-0005-0000-0000-0000881D0000}"/>
    <cellStyle name="Positive 2 13 5 6 2" xfId="7548" xr:uid="{00000000-0005-0000-0000-0000891D0000}"/>
    <cellStyle name="Positive 2 13 5 7" xfId="7549" xr:uid="{00000000-0005-0000-0000-00008A1D0000}"/>
    <cellStyle name="Positive 2 13 5 7 2" xfId="7550" xr:uid="{00000000-0005-0000-0000-00008B1D0000}"/>
    <cellStyle name="Positive 2 13 5 8" xfId="7551" xr:uid="{00000000-0005-0000-0000-00008C1D0000}"/>
    <cellStyle name="Positive 2 13 5 8 2" xfId="7552" xr:uid="{00000000-0005-0000-0000-00008D1D0000}"/>
    <cellStyle name="Positive 2 13 5 9" xfId="7553" xr:uid="{00000000-0005-0000-0000-00008E1D0000}"/>
    <cellStyle name="Positive 2 13 5 9 2" xfId="7554" xr:uid="{00000000-0005-0000-0000-00008F1D0000}"/>
    <cellStyle name="Positive 2 13 6" xfId="7555" xr:uid="{00000000-0005-0000-0000-0000901D0000}"/>
    <cellStyle name="Positive 2 13 6 2" xfId="7556" xr:uid="{00000000-0005-0000-0000-0000911D0000}"/>
    <cellStyle name="Positive 2 13 6 2 2" xfId="7557" xr:uid="{00000000-0005-0000-0000-0000921D0000}"/>
    <cellStyle name="Positive 2 13 6 3" xfId="7558" xr:uid="{00000000-0005-0000-0000-0000931D0000}"/>
    <cellStyle name="Positive 2 13 7" xfId="7559" xr:uid="{00000000-0005-0000-0000-0000941D0000}"/>
    <cellStyle name="Positive 2 13 7 2" xfId="7560" xr:uid="{00000000-0005-0000-0000-0000951D0000}"/>
    <cellStyle name="Positive 2 13 7 2 2" xfId="7561" xr:uid="{00000000-0005-0000-0000-0000961D0000}"/>
    <cellStyle name="Positive 2 13 7 3" xfId="7562" xr:uid="{00000000-0005-0000-0000-0000971D0000}"/>
    <cellStyle name="Positive 2 13 8" xfId="7563" xr:uid="{00000000-0005-0000-0000-0000981D0000}"/>
    <cellStyle name="Positive 2 13 8 2" xfId="7564" xr:uid="{00000000-0005-0000-0000-0000991D0000}"/>
    <cellStyle name="Positive 2 13 9" xfId="7565" xr:uid="{00000000-0005-0000-0000-00009A1D0000}"/>
    <cellStyle name="Positive 2 13 9 2" xfId="7566" xr:uid="{00000000-0005-0000-0000-00009B1D0000}"/>
    <cellStyle name="Positive 2 14" xfId="7567" xr:uid="{00000000-0005-0000-0000-00009C1D0000}"/>
    <cellStyle name="Positive 2 14 10" xfId="7568" xr:uid="{00000000-0005-0000-0000-00009D1D0000}"/>
    <cellStyle name="Positive 2 14 10 2" xfId="7569" xr:uid="{00000000-0005-0000-0000-00009E1D0000}"/>
    <cellStyle name="Positive 2 14 11" xfId="7570" xr:uid="{00000000-0005-0000-0000-00009F1D0000}"/>
    <cellStyle name="Positive 2 14 11 2" xfId="7571" xr:uid="{00000000-0005-0000-0000-0000A01D0000}"/>
    <cellStyle name="Positive 2 14 12" xfId="7572" xr:uid="{00000000-0005-0000-0000-0000A11D0000}"/>
    <cellStyle name="Positive 2 14 12 2" xfId="7573" xr:uid="{00000000-0005-0000-0000-0000A21D0000}"/>
    <cellStyle name="Positive 2 14 13" xfId="7574" xr:uid="{00000000-0005-0000-0000-0000A31D0000}"/>
    <cellStyle name="Positive 2 14 13 2" xfId="7575" xr:uid="{00000000-0005-0000-0000-0000A41D0000}"/>
    <cellStyle name="Positive 2 14 14" xfId="7576" xr:uid="{00000000-0005-0000-0000-0000A51D0000}"/>
    <cellStyle name="Positive 2 14 14 2" xfId="7577" xr:uid="{00000000-0005-0000-0000-0000A61D0000}"/>
    <cellStyle name="Positive 2 14 15" xfId="7578" xr:uid="{00000000-0005-0000-0000-0000A71D0000}"/>
    <cellStyle name="Positive 2 14 15 2" xfId="7579" xr:uid="{00000000-0005-0000-0000-0000A81D0000}"/>
    <cellStyle name="Positive 2 14 16" xfId="7580" xr:uid="{00000000-0005-0000-0000-0000A91D0000}"/>
    <cellStyle name="Positive 2 14 16 2" xfId="7581" xr:uid="{00000000-0005-0000-0000-0000AA1D0000}"/>
    <cellStyle name="Positive 2 14 17" xfId="7582" xr:uid="{00000000-0005-0000-0000-0000AB1D0000}"/>
    <cellStyle name="Positive 2 14 17 2" xfId="7583" xr:uid="{00000000-0005-0000-0000-0000AC1D0000}"/>
    <cellStyle name="Positive 2 14 18" xfId="7584" xr:uid="{00000000-0005-0000-0000-0000AD1D0000}"/>
    <cellStyle name="Positive 2 14 18 2" xfId="7585" xr:uid="{00000000-0005-0000-0000-0000AE1D0000}"/>
    <cellStyle name="Positive 2 14 19" xfId="7586" xr:uid="{00000000-0005-0000-0000-0000AF1D0000}"/>
    <cellStyle name="Positive 2 14 19 2" xfId="7587" xr:uid="{00000000-0005-0000-0000-0000B01D0000}"/>
    <cellStyle name="Positive 2 14 2" xfId="7588" xr:uid="{00000000-0005-0000-0000-0000B11D0000}"/>
    <cellStyle name="Positive 2 14 2 10" xfId="7589" xr:uid="{00000000-0005-0000-0000-0000B21D0000}"/>
    <cellStyle name="Positive 2 14 2 10 2" xfId="7590" xr:uid="{00000000-0005-0000-0000-0000B31D0000}"/>
    <cellStyle name="Positive 2 14 2 11" xfId="7591" xr:uid="{00000000-0005-0000-0000-0000B41D0000}"/>
    <cellStyle name="Positive 2 14 2 11 2" xfId="7592" xr:uid="{00000000-0005-0000-0000-0000B51D0000}"/>
    <cellStyle name="Positive 2 14 2 12" xfId="7593" xr:uid="{00000000-0005-0000-0000-0000B61D0000}"/>
    <cellStyle name="Positive 2 14 2 12 2" xfId="7594" xr:uid="{00000000-0005-0000-0000-0000B71D0000}"/>
    <cellStyle name="Positive 2 14 2 13" xfId="7595" xr:uid="{00000000-0005-0000-0000-0000B81D0000}"/>
    <cellStyle name="Positive 2 14 2 13 2" xfId="7596" xr:uid="{00000000-0005-0000-0000-0000B91D0000}"/>
    <cellStyle name="Positive 2 14 2 14" xfId="7597" xr:uid="{00000000-0005-0000-0000-0000BA1D0000}"/>
    <cellStyle name="Positive 2 14 2 14 2" xfId="7598" xr:uid="{00000000-0005-0000-0000-0000BB1D0000}"/>
    <cellStyle name="Positive 2 14 2 15" xfId="7599" xr:uid="{00000000-0005-0000-0000-0000BC1D0000}"/>
    <cellStyle name="Positive 2 14 2 15 2" xfId="7600" xr:uid="{00000000-0005-0000-0000-0000BD1D0000}"/>
    <cellStyle name="Positive 2 14 2 16" xfId="7601" xr:uid="{00000000-0005-0000-0000-0000BE1D0000}"/>
    <cellStyle name="Positive 2 14 2 16 2" xfId="7602" xr:uid="{00000000-0005-0000-0000-0000BF1D0000}"/>
    <cellStyle name="Positive 2 14 2 17" xfId="7603" xr:uid="{00000000-0005-0000-0000-0000C01D0000}"/>
    <cellStyle name="Positive 2 14 2 17 2" xfId="7604" xr:uid="{00000000-0005-0000-0000-0000C11D0000}"/>
    <cellStyle name="Positive 2 14 2 18" xfId="7605" xr:uid="{00000000-0005-0000-0000-0000C21D0000}"/>
    <cellStyle name="Positive 2 14 2 18 2" xfId="7606" xr:uid="{00000000-0005-0000-0000-0000C31D0000}"/>
    <cellStyle name="Positive 2 14 2 19" xfId="7607" xr:uid="{00000000-0005-0000-0000-0000C41D0000}"/>
    <cellStyle name="Positive 2 14 2 19 2" xfId="7608" xr:uid="{00000000-0005-0000-0000-0000C51D0000}"/>
    <cellStyle name="Positive 2 14 2 2" xfId="7609" xr:uid="{00000000-0005-0000-0000-0000C61D0000}"/>
    <cellStyle name="Positive 2 14 2 2 10" xfId="7610" xr:uid="{00000000-0005-0000-0000-0000C71D0000}"/>
    <cellStyle name="Positive 2 14 2 2 10 2" xfId="7611" xr:uid="{00000000-0005-0000-0000-0000C81D0000}"/>
    <cellStyle name="Positive 2 14 2 2 11" xfId="7612" xr:uid="{00000000-0005-0000-0000-0000C91D0000}"/>
    <cellStyle name="Positive 2 14 2 2 11 2" xfId="7613" xr:uid="{00000000-0005-0000-0000-0000CA1D0000}"/>
    <cellStyle name="Positive 2 14 2 2 12" xfId="7614" xr:uid="{00000000-0005-0000-0000-0000CB1D0000}"/>
    <cellStyle name="Positive 2 14 2 2 12 2" xfId="7615" xr:uid="{00000000-0005-0000-0000-0000CC1D0000}"/>
    <cellStyle name="Positive 2 14 2 2 13" xfId="7616" xr:uid="{00000000-0005-0000-0000-0000CD1D0000}"/>
    <cellStyle name="Positive 2 14 2 2 13 2" xfId="7617" xr:uid="{00000000-0005-0000-0000-0000CE1D0000}"/>
    <cellStyle name="Positive 2 14 2 2 14" xfId="7618" xr:uid="{00000000-0005-0000-0000-0000CF1D0000}"/>
    <cellStyle name="Positive 2 14 2 2 14 2" xfId="7619" xr:uid="{00000000-0005-0000-0000-0000D01D0000}"/>
    <cellStyle name="Positive 2 14 2 2 15" xfId="7620" xr:uid="{00000000-0005-0000-0000-0000D11D0000}"/>
    <cellStyle name="Positive 2 14 2 2 15 2" xfId="7621" xr:uid="{00000000-0005-0000-0000-0000D21D0000}"/>
    <cellStyle name="Positive 2 14 2 2 16" xfId="7622" xr:uid="{00000000-0005-0000-0000-0000D31D0000}"/>
    <cellStyle name="Positive 2 14 2 2 16 2" xfId="7623" xr:uid="{00000000-0005-0000-0000-0000D41D0000}"/>
    <cellStyle name="Positive 2 14 2 2 17" xfId="7624" xr:uid="{00000000-0005-0000-0000-0000D51D0000}"/>
    <cellStyle name="Positive 2 14 2 2 2" xfId="7625" xr:uid="{00000000-0005-0000-0000-0000D61D0000}"/>
    <cellStyle name="Positive 2 14 2 2 2 2" xfId="7626" xr:uid="{00000000-0005-0000-0000-0000D71D0000}"/>
    <cellStyle name="Positive 2 14 2 2 3" xfId="7627" xr:uid="{00000000-0005-0000-0000-0000D81D0000}"/>
    <cellStyle name="Positive 2 14 2 2 3 2" xfId="7628" xr:uid="{00000000-0005-0000-0000-0000D91D0000}"/>
    <cellStyle name="Positive 2 14 2 2 4" xfId="7629" xr:uid="{00000000-0005-0000-0000-0000DA1D0000}"/>
    <cellStyle name="Positive 2 14 2 2 4 2" xfId="7630" xr:uid="{00000000-0005-0000-0000-0000DB1D0000}"/>
    <cellStyle name="Positive 2 14 2 2 5" xfId="7631" xr:uid="{00000000-0005-0000-0000-0000DC1D0000}"/>
    <cellStyle name="Positive 2 14 2 2 5 2" xfId="7632" xr:uid="{00000000-0005-0000-0000-0000DD1D0000}"/>
    <cellStyle name="Positive 2 14 2 2 6" xfId="7633" xr:uid="{00000000-0005-0000-0000-0000DE1D0000}"/>
    <cellStyle name="Positive 2 14 2 2 6 2" xfId="7634" xr:uid="{00000000-0005-0000-0000-0000DF1D0000}"/>
    <cellStyle name="Positive 2 14 2 2 7" xfId="7635" xr:uid="{00000000-0005-0000-0000-0000E01D0000}"/>
    <cellStyle name="Positive 2 14 2 2 7 2" xfId="7636" xr:uid="{00000000-0005-0000-0000-0000E11D0000}"/>
    <cellStyle name="Positive 2 14 2 2 8" xfId="7637" xr:uid="{00000000-0005-0000-0000-0000E21D0000}"/>
    <cellStyle name="Positive 2 14 2 2 8 2" xfId="7638" xr:uid="{00000000-0005-0000-0000-0000E31D0000}"/>
    <cellStyle name="Positive 2 14 2 2 9" xfId="7639" xr:uid="{00000000-0005-0000-0000-0000E41D0000}"/>
    <cellStyle name="Positive 2 14 2 2 9 2" xfId="7640" xr:uid="{00000000-0005-0000-0000-0000E51D0000}"/>
    <cellStyle name="Positive 2 14 2 20" xfId="7641" xr:uid="{00000000-0005-0000-0000-0000E61D0000}"/>
    <cellStyle name="Positive 2 14 2 3" xfId="7642" xr:uid="{00000000-0005-0000-0000-0000E71D0000}"/>
    <cellStyle name="Positive 2 14 2 3 2" xfId="7643" xr:uid="{00000000-0005-0000-0000-0000E81D0000}"/>
    <cellStyle name="Positive 2 14 2 3 2 2" xfId="7644" xr:uid="{00000000-0005-0000-0000-0000E91D0000}"/>
    <cellStyle name="Positive 2 14 2 3 3" xfId="7645" xr:uid="{00000000-0005-0000-0000-0000EA1D0000}"/>
    <cellStyle name="Positive 2 14 2 4" xfId="7646" xr:uid="{00000000-0005-0000-0000-0000EB1D0000}"/>
    <cellStyle name="Positive 2 14 2 4 2" xfId="7647" xr:uid="{00000000-0005-0000-0000-0000EC1D0000}"/>
    <cellStyle name="Positive 2 14 2 4 2 2" xfId="7648" xr:uid="{00000000-0005-0000-0000-0000ED1D0000}"/>
    <cellStyle name="Positive 2 14 2 4 3" xfId="7649" xr:uid="{00000000-0005-0000-0000-0000EE1D0000}"/>
    <cellStyle name="Positive 2 14 2 5" xfId="7650" xr:uid="{00000000-0005-0000-0000-0000EF1D0000}"/>
    <cellStyle name="Positive 2 14 2 5 2" xfId="7651" xr:uid="{00000000-0005-0000-0000-0000F01D0000}"/>
    <cellStyle name="Positive 2 14 2 6" xfId="7652" xr:uid="{00000000-0005-0000-0000-0000F11D0000}"/>
    <cellStyle name="Positive 2 14 2 6 2" xfId="7653" xr:uid="{00000000-0005-0000-0000-0000F21D0000}"/>
    <cellStyle name="Positive 2 14 2 7" xfId="7654" xr:uid="{00000000-0005-0000-0000-0000F31D0000}"/>
    <cellStyle name="Positive 2 14 2 7 2" xfId="7655" xr:uid="{00000000-0005-0000-0000-0000F41D0000}"/>
    <cellStyle name="Positive 2 14 2 8" xfId="7656" xr:uid="{00000000-0005-0000-0000-0000F51D0000}"/>
    <cellStyle name="Positive 2 14 2 8 2" xfId="7657" xr:uid="{00000000-0005-0000-0000-0000F61D0000}"/>
    <cellStyle name="Positive 2 14 2 9" xfId="7658" xr:uid="{00000000-0005-0000-0000-0000F71D0000}"/>
    <cellStyle name="Positive 2 14 2 9 2" xfId="7659" xr:uid="{00000000-0005-0000-0000-0000F81D0000}"/>
    <cellStyle name="Positive 2 14 20" xfId="7660" xr:uid="{00000000-0005-0000-0000-0000F91D0000}"/>
    <cellStyle name="Positive 2 14 20 2" xfId="7661" xr:uid="{00000000-0005-0000-0000-0000FA1D0000}"/>
    <cellStyle name="Positive 2 14 21" xfId="7662" xr:uid="{00000000-0005-0000-0000-0000FB1D0000}"/>
    <cellStyle name="Positive 2 14 21 2" xfId="7663" xr:uid="{00000000-0005-0000-0000-0000FC1D0000}"/>
    <cellStyle name="Positive 2 14 22" xfId="7664" xr:uid="{00000000-0005-0000-0000-0000FD1D0000}"/>
    <cellStyle name="Positive 2 14 22 2" xfId="7665" xr:uid="{00000000-0005-0000-0000-0000FE1D0000}"/>
    <cellStyle name="Positive 2 14 23" xfId="7666" xr:uid="{00000000-0005-0000-0000-0000FF1D0000}"/>
    <cellStyle name="Positive 2 14 3" xfId="7667" xr:uid="{00000000-0005-0000-0000-0000001E0000}"/>
    <cellStyle name="Positive 2 14 3 10" xfId="7668" xr:uid="{00000000-0005-0000-0000-0000011E0000}"/>
    <cellStyle name="Positive 2 14 3 10 2" xfId="7669" xr:uid="{00000000-0005-0000-0000-0000021E0000}"/>
    <cellStyle name="Positive 2 14 3 11" xfId="7670" xr:uid="{00000000-0005-0000-0000-0000031E0000}"/>
    <cellStyle name="Positive 2 14 3 11 2" xfId="7671" xr:uid="{00000000-0005-0000-0000-0000041E0000}"/>
    <cellStyle name="Positive 2 14 3 12" xfId="7672" xr:uid="{00000000-0005-0000-0000-0000051E0000}"/>
    <cellStyle name="Positive 2 14 3 12 2" xfId="7673" xr:uid="{00000000-0005-0000-0000-0000061E0000}"/>
    <cellStyle name="Positive 2 14 3 13" xfId="7674" xr:uid="{00000000-0005-0000-0000-0000071E0000}"/>
    <cellStyle name="Positive 2 14 3 13 2" xfId="7675" xr:uid="{00000000-0005-0000-0000-0000081E0000}"/>
    <cellStyle name="Positive 2 14 3 14" xfId="7676" xr:uid="{00000000-0005-0000-0000-0000091E0000}"/>
    <cellStyle name="Positive 2 14 3 14 2" xfId="7677" xr:uid="{00000000-0005-0000-0000-00000A1E0000}"/>
    <cellStyle name="Positive 2 14 3 15" xfId="7678" xr:uid="{00000000-0005-0000-0000-00000B1E0000}"/>
    <cellStyle name="Positive 2 14 3 15 2" xfId="7679" xr:uid="{00000000-0005-0000-0000-00000C1E0000}"/>
    <cellStyle name="Positive 2 14 3 16" xfId="7680" xr:uid="{00000000-0005-0000-0000-00000D1E0000}"/>
    <cellStyle name="Positive 2 14 3 16 2" xfId="7681" xr:uid="{00000000-0005-0000-0000-00000E1E0000}"/>
    <cellStyle name="Positive 2 14 3 17" xfId="7682" xr:uid="{00000000-0005-0000-0000-00000F1E0000}"/>
    <cellStyle name="Positive 2 14 3 17 2" xfId="7683" xr:uid="{00000000-0005-0000-0000-0000101E0000}"/>
    <cellStyle name="Positive 2 14 3 18" xfId="7684" xr:uid="{00000000-0005-0000-0000-0000111E0000}"/>
    <cellStyle name="Positive 2 14 3 18 2" xfId="7685" xr:uid="{00000000-0005-0000-0000-0000121E0000}"/>
    <cellStyle name="Positive 2 14 3 19" xfId="7686" xr:uid="{00000000-0005-0000-0000-0000131E0000}"/>
    <cellStyle name="Positive 2 14 3 19 2" xfId="7687" xr:uid="{00000000-0005-0000-0000-0000141E0000}"/>
    <cellStyle name="Positive 2 14 3 2" xfId="7688" xr:uid="{00000000-0005-0000-0000-0000151E0000}"/>
    <cellStyle name="Positive 2 14 3 2 10" xfId="7689" xr:uid="{00000000-0005-0000-0000-0000161E0000}"/>
    <cellStyle name="Positive 2 14 3 2 10 2" xfId="7690" xr:uid="{00000000-0005-0000-0000-0000171E0000}"/>
    <cellStyle name="Positive 2 14 3 2 11" xfId="7691" xr:uid="{00000000-0005-0000-0000-0000181E0000}"/>
    <cellStyle name="Positive 2 14 3 2 11 2" xfId="7692" xr:uid="{00000000-0005-0000-0000-0000191E0000}"/>
    <cellStyle name="Positive 2 14 3 2 12" xfId="7693" xr:uid="{00000000-0005-0000-0000-00001A1E0000}"/>
    <cellStyle name="Positive 2 14 3 2 12 2" xfId="7694" xr:uid="{00000000-0005-0000-0000-00001B1E0000}"/>
    <cellStyle name="Positive 2 14 3 2 13" xfId="7695" xr:uid="{00000000-0005-0000-0000-00001C1E0000}"/>
    <cellStyle name="Positive 2 14 3 2 13 2" xfId="7696" xr:uid="{00000000-0005-0000-0000-00001D1E0000}"/>
    <cellStyle name="Positive 2 14 3 2 14" xfId="7697" xr:uid="{00000000-0005-0000-0000-00001E1E0000}"/>
    <cellStyle name="Positive 2 14 3 2 14 2" xfId="7698" xr:uid="{00000000-0005-0000-0000-00001F1E0000}"/>
    <cellStyle name="Positive 2 14 3 2 15" xfId="7699" xr:uid="{00000000-0005-0000-0000-0000201E0000}"/>
    <cellStyle name="Positive 2 14 3 2 15 2" xfId="7700" xr:uid="{00000000-0005-0000-0000-0000211E0000}"/>
    <cellStyle name="Positive 2 14 3 2 16" xfId="7701" xr:uid="{00000000-0005-0000-0000-0000221E0000}"/>
    <cellStyle name="Positive 2 14 3 2 16 2" xfId="7702" xr:uid="{00000000-0005-0000-0000-0000231E0000}"/>
    <cellStyle name="Positive 2 14 3 2 17" xfId="7703" xr:uid="{00000000-0005-0000-0000-0000241E0000}"/>
    <cellStyle name="Positive 2 14 3 2 2" xfId="7704" xr:uid="{00000000-0005-0000-0000-0000251E0000}"/>
    <cellStyle name="Positive 2 14 3 2 2 2" xfId="7705" xr:uid="{00000000-0005-0000-0000-0000261E0000}"/>
    <cellStyle name="Positive 2 14 3 2 3" xfId="7706" xr:uid="{00000000-0005-0000-0000-0000271E0000}"/>
    <cellStyle name="Positive 2 14 3 2 3 2" xfId="7707" xr:uid="{00000000-0005-0000-0000-0000281E0000}"/>
    <cellStyle name="Positive 2 14 3 2 4" xfId="7708" xr:uid="{00000000-0005-0000-0000-0000291E0000}"/>
    <cellStyle name="Positive 2 14 3 2 4 2" xfId="7709" xr:uid="{00000000-0005-0000-0000-00002A1E0000}"/>
    <cellStyle name="Positive 2 14 3 2 5" xfId="7710" xr:uid="{00000000-0005-0000-0000-00002B1E0000}"/>
    <cellStyle name="Positive 2 14 3 2 5 2" xfId="7711" xr:uid="{00000000-0005-0000-0000-00002C1E0000}"/>
    <cellStyle name="Positive 2 14 3 2 6" xfId="7712" xr:uid="{00000000-0005-0000-0000-00002D1E0000}"/>
    <cellStyle name="Positive 2 14 3 2 6 2" xfId="7713" xr:uid="{00000000-0005-0000-0000-00002E1E0000}"/>
    <cellStyle name="Positive 2 14 3 2 7" xfId="7714" xr:uid="{00000000-0005-0000-0000-00002F1E0000}"/>
    <cellStyle name="Positive 2 14 3 2 7 2" xfId="7715" xr:uid="{00000000-0005-0000-0000-0000301E0000}"/>
    <cellStyle name="Positive 2 14 3 2 8" xfId="7716" xr:uid="{00000000-0005-0000-0000-0000311E0000}"/>
    <cellStyle name="Positive 2 14 3 2 8 2" xfId="7717" xr:uid="{00000000-0005-0000-0000-0000321E0000}"/>
    <cellStyle name="Positive 2 14 3 2 9" xfId="7718" xr:uid="{00000000-0005-0000-0000-0000331E0000}"/>
    <cellStyle name="Positive 2 14 3 2 9 2" xfId="7719" xr:uid="{00000000-0005-0000-0000-0000341E0000}"/>
    <cellStyle name="Positive 2 14 3 20" xfId="7720" xr:uid="{00000000-0005-0000-0000-0000351E0000}"/>
    <cellStyle name="Positive 2 14 3 3" xfId="7721" xr:uid="{00000000-0005-0000-0000-0000361E0000}"/>
    <cellStyle name="Positive 2 14 3 3 2" xfId="7722" xr:uid="{00000000-0005-0000-0000-0000371E0000}"/>
    <cellStyle name="Positive 2 14 3 3 2 2" xfId="7723" xr:uid="{00000000-0005-0000-0000-0000381E0000}"/>
    <cellStyle name="Positive 2 14 3 3 3" xfId="7724" xr:uid="{00000000-0005-0000-0000-0000391E0000}"/>
    <cellStyle name="Positive 2 14 3 4" xfId="7725" xr:uid="{00000000-0005-0000-0000-00003A1E0000}"/>
    <cellStyle name="Positive 2 14 3 4 2" xfId="7726" xr:uid="{00000000-0005-0000-0000-00003B1E0000}"/>
    <cellStyle name="Positive 2 14 3 4 2 2" xfId="7727" xr:uid="{00000000-0005-0000-0000-00003C1E0000}"/>
    <cellStyle name="Positive 2 14 3 4 3" xfId="7728" xr:uid="{00000000-0005-0000-0000-00003D1E0000}"/>
    <cellStyle name="Positive 2 14 3 5" xfId="7729" xr:uid="{00000000-0005-0000-0000-00003E1E0000}"/>
    <cellStyle name="Positive 2 14 3 5 2" xfId="7730" xr:uid="{00000000-0005-0000-0000-00003F1E0000}"/>
    <cellStyle name="Positive 2 14 3 6" xfId="7731" xr:uid="{00000000-0005-0000-0000-0000401E0000}"/>
    <cellStyle name="Positive 2 14 3 6 2" xfId="7732" xr:uid="{00000000-0005-0000-0000-0000411E0000}"/>
    <cellStyle name="Positive 2 14 3 7" xfId="7733" xr:uid="{00000000-0005-0000-0000-0000421E0000}"/>
    <cellStyle name="Positive 2 14 3 7 2" xfId="7734" xr:uid="{00000000-0005-0000-0000-0000431E0000}"/>
    <cellStyle name="Positive 2 14 3 8" xfId="7735" xr:uid="{00000000-0005-0000-0000-0000441E0000}"/>
    <cellStyle name="Positive 2 14 3 8 2" xfId="7736" xr:uid="{00000000-0005-0000-0000-0000451E0000}"/>
    <cellStyle name="Positive 2 14 3 9" xfId="7737" xr:uid="{00000000-0005-0000-0000-0000461E0000}"/>
    <cellStyle name="Positive 2 14 3 9 2" xfId="7738" xr:uid="{00000000-0005-0000-0000-0000471E0000}"/>
    <cellStyle name="Positive 2 14 4" xfId="7739" xr:uid="{00000000-0005-0000-0000-0000481E0000}"/>
    <cellStyle name="Positive 2 14 4 10" xfId="7740" xr:uid="{00000000-0005-0000-0000-0000491E0000}"/>
    <cellStyle name="Positive 2 14 4 10 2" xfId="7741" xr:uid="{00000000-0005-0000-0000-00004A1E0000}"/>
    <cellStyle name="Positive 2 14 4 11" xfId="7742" xr:uid="{00000000-0005-0000-0000-00004B1E0000}"/>
    <cellStyle name="Positive 2 14 4 11 2" xfId="7743" xr:uid="{00000000-0005-0000-0000-00004C1E0000}"/>
    <cellStyle name="Positive 2 14 4 12" xfId="7744" xr:uid="{00000000-0005-0000-0000-00004D1E0000}"/>
    <cellStyle name="Positive 2 14 4 12 2" xfId="7745" xr:uid="{00000000-0005-0000-0000-00004E1E0000}"/>
    <cellStyle name="Positive 2 14 4 13" xfId="7746" xr:uid="{00000000-0005-0000-0000-00004F1E0000}"/>
    <cellStyle name="Positive 2 14 4 13 2" xfId="7747" xr:uid="{00000000-0005-0000-0000-0000501E0000}"/>
    <cellStyle name="Positive 2 14 4 14" xfId="7748" xr:uid="{00000000-0005-0000-0000-0000511E0000}"/>
    <cellStyle name="Positive 2 14 4 14 2" xfId="7749" xr:uid="{00000000-0005-0000-0000-0000521E0000}"/>
    <cellStyle name="Positive 2 14 4 15" xfId="7750" xr:uid="{00000000-0005-0000-0000-0000531E0000}"/>
    <cellStyle name="Positive 2 14 4 15 2" xfId="7751" xr:uid="{00000000-0005-0000-0000-0000541E0000}"/>
    <cellStyle name="Positive 2 14 4 16" xfId="7752" xr:uid="{00000000-0005-0000-0000-0000551E0000}"/>
    <cellStyle name="Positive 2 14 4 16 2" xfId="7753" xr:uid="{00000000-0005-0000-0000-0000561E0000}"/>
    <cellStyle name="Positive 2 14 4 17" xfId="7754" xr:uid="{00000000-0005-0000-0000-0000571E0000}"/>
    <cellStyle name="Positive 2 14 4 17 2" xfId="7755" xr:uid="{00000000-0005-0000-0000-0000581E0000}"/>
    <cellStyle name="Positive 2 14 4 18" xfId="7756" xr:uid="{00000000-0005-0000-0000-0000591E0000}"/>
    <cellStyle name="Positive 2 14 4 18 2" xfId="7757" xr:uid="{00000000-0005-0000-0000-00005A1E0000}"/>
    <cellStyle name="Positive 2 14 4 19" xfId="7758" xr:uid="{00000000-0005-0000-0000-00005B1E0000}"/>
    <cellStyle name="Positive 2 14 4 19 2" xfId="7759" xr:uid="{00000000-0005-0000-0000-00005C1E0000}"/>
    <cellStyle name="Positive 2 14 4 2" xfId="7760" xr:uid="{00000000-0005-0000-0000-00005D1E0000}"/>
    <cellStyle name="Positive 2 14 4 2 10" xfId="7761" xr:uid="{00000000-0005-0000-0000-00005E1E0000}"/>
    <cellStyle name="Positive 2 14 4 2 10 2" xfId="7762" xr:uid="{00000000-0005-0000-0000-00005F1E0000}"/>
    <cellStyle name="Positive 2 14 4 2 11" xfId="7763" xr:uid="{00000000-0005-0000-0000-0000601E0000}"/>
    <cellStyle name="Positive 2 14 4 2 11 2" xfId="7764" xr:uid="{00000000-0005-0000-0000-0000611E0000}"/>
    <cellStyle name="Positive 2 14 4 2 12" xfId="7765" xr:uid="{00000000-0005-0000-0000-0000621E0000}"/>
    <cellStyle name="Positive 2 14 4 2 12 2" xfId="7766" xr:uid="{00000000-0005-0000-0000-0000631E0000}"/>
    <cellStyle name="Positive 2 14 4 2 13" xfId="7767" xr:uid="{00000000-0005-0000-0000-0000641E0000}"/>
    <cellStyle name="Positive 2 14 4 2 13 2" xfId="7768" xr:uid="{00000000-0005-0000-0000-0000651E0000}"/>
    <cellStyle name="Positive 2 14 4 2 14" xfId="7769" xr:uid="{00000000-0005-0000-0000-0000661E0000}"/>
    <cellStyle name="Positive 2 14 4 2 14 2" xfId="7770" xr:uid="{00000000-0005-0000-0000-0000671E0000}"/>
    <cellStyle name="Positive 2 14 4 2 15" xfId="7771" xr:uid="{00000000-0005-0000-0000-0000681E0000}"/>
    <cellStyle name="Positive 2 14 4 2 15 2" xfId="7772" xr:uid="{00000000-0005-0000-0000-0000691E0000}"/>
    <cellStyle name="Positive 2 14 4 2 16" xfId="7773" xr:uid="{00000000-0005-0000-0000-00006A1E0000}"/>
    <cellStyle name="Positive 2 14 4 2 16 2" xfId="7774" xr:uid="{00000000-0005-0000-0000-00006B1E0000}"/>
    <cellStyle name="Positive 2 14 4 2 17" xfId="7775" xr:uid="{00000000-0005-0000-0000-00006C1E0000}"/>
    <cellStyle name="Positive 2 14 4 2 2" xfId="7776" xr:uid="{00000000-0005-0000-0000-00006D1E0000}"/>
    <cellStyle name="Positive 2 14 4 2 2 2" xfId="7777" xr:uid="{00000000-0005-0000-0000-00006E1E0000}"/>
    <cellStyle name="Positive 2 14 4 2 3" xfId="7778" xr:uid="{00000000-0005-0000-0000-00006F1E0000}"/>
    <cellStyle name="Positive 2 14 4 2 3 2" xfId="7779" xr:uid="{00000000-0005-0000-0000-0000701E0000}"/>
    <cellStyle name="Positive 2 14 4 2 4" xfId="7780" xr:uid="{00000000-0005-0000-0000-0000711E0000}"/>
    <cellStyle name="Positive 2 14 4 2 4 2" xfId="7781" xr:uid="{00000000-0005-0000-0000-0000721E0000}"/>
    <cellStyle name="Positive 2 14 4 2 5" xfId="7782" xr:uid="{00000000-0005-0000-0000-0000731E0000}"/>
    <cellStyle name="Positive 2 14 4 2 5 2" xfId="7783" xr:uid="{00000000-0005-0000-0000-0000741E0000}"/>
    <cellStyle name="Positive 2 14 4 2 6" xfId="7784" xr:uid="{00000000-0005-0000-0000-0000751E0000}"/>
    <cellStyle name="Positive 2 14 4 2 6 2" xfId="7785" xr:uid="{00000000-0005-0000-0000-0000761E0000}"/>
    <cellStyle name="Positive 2 14 4 2 7" xfId="7786" xr:uid="{00000000-0005-0000-0000-0000771E0000}"/>
    <cellStyle name="Positive 2 14 4 2 7 2" xfId="7787" xr:uid="{00000000-0005-0000-0000-0000781E0000}"/>
    <cellStyle name="Positive 2 14 4 2 8" xfId="7788" xr:uid="{00000000-0005-0000-0000-0000791E0000}"/>
    <cellStyle name="Positive 2 14 4 2 8 2" xfId="7789" xr:uid="{00000000-0005-0000-0000-00007A1E0000}"/>
    <cellStyle name="Positive 2 14 4 2 9" xfId="7790" xr:uid="{00000000-0005-0000-0000-00007B1E0000}"/>
    <cellStyle name="Positive 2 14 4 2 9 2" xfId="7791" xr:uid="{00000000-0005-0000-0000-00007C1E0000}"/>
    <cellStyle name="Positive 2 14 4 20" xfId="7792" xr:uid="{00000000-0005-0000-0000-00007D1E0000}"/>
    <cellStyle name="Positive 2 14 4 3" xfId="7793" xr:uid="{00000000-0005-0000-0000-00007E1E0000}"/>
    <cellStyle name="Positive 2 14 4 3 2" xfId="7794" xr:uid="{00000000-0005-0000-0000-00007F1E0000}"/>
    <cellStyle name="Positive 2 14 4 3 2 2" xfId="7795" xr:uid="{00000000-0005-0000-0000-0000801E0000}"/>
    <cellStyle name="Positive 2 14 4 3 3" xfId="7796" xr:uid="{00000000-0005-0000-0000-0000811E0000}"/>
    <cellStyle name="Positive 2 14 4 4" xfId="7797" xr:uid="{00000000-0005-0000-0000-0000821E0000}"/>
    <cellStyle name="Positive 2 14 4 4 2" xfId="7798" xr:uid="{00000000-0005-0000-0000-0000831E0000}"/>
    <cellStyle name="Positive 2 14 4 4 2 2" xfId="7799" xr:uid="{00000000-0005-0000-0000-0000841E0000}"/>
    <cellStyle name="Positive 2 14 4 4 3" xfId="7800" xr:uid="{00000000-0005-0000-0000-0000851E0000}"/>
    <cellStyle name="Positive 2 14 4 5" xfId="7801" xr:uid="{00000000-0005-0000-0000-0000861E0000}"/>
    <cellStyle name="Positive 2 14 4 5 2" xfId="7802" xr:uid="{00000000-0005-0000-0000-0000871E0000}"/>
    <cellStyle name="Positive 2 14 4 6" xfId="7803" xr:uid="{00000000-0005-0000-0000-0000881E0000}"/>
    <cellStyle name="Positive 2 14 4 6 2" xfId="7804" xr:uid="{00000000-0005-0000-0000-0000891E0000}"/>
    <cellStyle name="Positive 2 14 4 7" xfId="7805" xr:uid="{00000000-0005-0000-0000-00008A1E0000}"/>
    <cellStyle name="Positive 2 14 4 7 2" xfId="7806" xr:uid="{00000000-0005-0000-0000-00008B1E0000}"/>
    <cellStyle name="Positive 2 14 4 8" xfId="7807" xr:uid="{00000000-0005-0000-0000-00008C1E0000}"/>
    <cellStyle name="Positive 2 14 4 8 2" xfId="7808" xr:uid="{00000000-0005-0000-0000-00008D1E0000}"/>
    <cellStyle name="Positive 2 14 4 9" xfId="7809" xr:uid="{00000000-0005-0000-0000-00008E1E0000}"/>
    <cellStyle name="Positive 2 14 4 9 2" xfId="7810" xr:uid="{00000000-0005-0000-0000-00008F1E0000}"/>
    <cellStyle name="Positive 2 14 5" xfId="7811" xr:uid="{00000000-0005-0000-0000-0000901E0000}"/>
    <cellStyle name="Positive 2 14 5 10" xfId="7812" xr:uid="{00000000-0005-0000-0000-0000911E0000}"/>
    <cellStyle name="Positive 2 14 5 10 2" xfId="7813" xr:uid="{00000000-0005-0000-0000-0000921E0000}"/>
    <cellStyle name="Positive 2 14 5 11" xfId="7814" xr:uid="{00000000-0005-0000-0000-0000931E0000}"/>
    <cellStyle name="Positive 2 14 5 11 2" xfId="7815" xr:uid="{00000000-0005-0000-0000-0000941E0000}"/>
    <cellStyle name="Positive 2 14 5 12" xfId="7816" xr:uid="{00000000-0005-0000-0000-0000951E0000}"/>
    <cellStyle name="Positive 2 14 5 12 2" xfId="7817" xr:uid="{00000000-0005-0000-0000-0000961E0000}"/>
    <cellStyle name="Positive 2 14 5 13" xfId="7818" xr:uid="{00000000-0005-0000-0000-0000971E0000}"/>
    <cellStyle name="Positive 2 14 5 13 2" xfId="7819" xr:uid="{00000000-0005-0000-0000-0000981E0000}"/>
    <cellStyle name="Positive 2 14 5 14" xfId="7820" xr:uid="{00000000-0005-0000-0000-0000991E0000}"/>
    <cellStyle name="Positive 2 14 5 14 2" xfId="7821" xr:uid="{00000000-0005-0000-0000-00009A1E0000}"/>
    <cellStyle name="Positive 2 14 5 15" xfId="7822" xr:uid="{00000000-0005-0000-0000-00009B1E0000}"/>
    <cellStyle name="Positive 2 14 5 15 2" xfId="7823" xr:uid="{00000000-0005-0000-0000-00009C1E0000}"/>
    <cellStyle name="Positive 2 14 5 16" xfId="7824" xr:uid="{00000000-0005-0000-0000-00009D1E0000}"/>
    <cellStyle name="Positive 2 14 5 16 2" xfId="7825" xr:uid="{00000000-0005-0000-0000-00009E1E0000}"/>
    <cellStyle name="Positive 2 14 5 17" xfId="7826" xr:uid="{00000000-0005-0000-0000-00009F1E0000}"/>
    <cellStyle name="Positive 2 14 5 2" xfId="7827" xr:uid="{00000000-0005-0000-0000-0000A01E0000}"/>
    <cellStyle name="Positive 2 14 5 2 2" xfId="7828" xr:uid="{00000000-0005-0000-0000-0000A11E0000}"/>
    <cellStyle name="Positive 2 14 5 3" xfId="7829" xr:uid="{00000000-0005-0000-0000-0000A21E0000}"/>
    <cellStyle name="Positive 2 14 5 3 2" xfId="7830" xr:uid="{00000000-0005-0000-0000-0000A31E0000}"/>
    <cellStyle name="Positive 2 14 5 4" xfId="7831" xr:uid="{00000000-0005-0000-0000-0000A41E0000}"/>
    <cellStyle name="Positive 2 14 5 4 2" xfId="7832" xr:uid="{00000000-0005-0000-0000-0000A51E0000}"/>
    <cellStyle name="Positive 2 14 5 5" xfId="7833" xr:uid="{00000000-0005-0000-0000-0000A61E0000}"/>
    <cellStyle name="Positive 2 14 5 5 2" xfId="7834" xr:uid="{00000000-0005-0000-0000-0000A71E0000}"/>
    <cellStyle name="Positive 2 14 5 6" xfId="7835" xr:uid="{00000000-0005-0000-0000-0000A81E0000}"/>
    <cellStyle name="Positive 2 14 5 6 2" xfId="7836" xr:uid="{00000000-0005-0000-0000-0000A91E0000}"/>
    <cellStyle name="Positive 2 14 5 7" xfId="7837" xr:uid="{00000000-0005-0000-0000-0000AA1E0000}"/>
    <cellStyle name="Positive 2 14 5 7 2" xfId="7838" xr:uid="{00000000-0005-0000-0000-0000AB1E0000}"/>
    <cellStyle name="Positive 2 14 5 8" xfId="7839" xr:uid="{00000000-0005-0000-0000-0000AC1E0000}"/>
    <cellStyle name="Positive 2 14 5 8 2" xfId="7840" xr:uid="{00000000-0005-0000-0000-0000AD1E0000}"/>
    <cellStyle name="Positive 2 14 5 9" xfId="7841" xr:uid="{00000000-0005-0000-0000-0000AE1E0000}"/>
    <cellStyle name="Positive 2 14 5 9 2" xfId="7842" xr:uid="{00000000-0005-0000-0000-0000AF1E0000}"/>
    <cellStyle name="Positive 2 14 6" xfId="7843" xr:uid="{00000000-0005-0000-0000-0000B01E0000}"/>
    <cellStyle name="Positive 2 14 6 2" xfId="7844" xr:uid="{00000000-0005-0000-0000-0000B11E0000}"/>
    <cellStyle name="Positive 2 14 6 2 2" xfId="7845" xr:uid="{00000000-0005-0000-0000-0000B21E0000}"/>
    <cellStyle name="Positive 2 14 6 3" xfId="7846" xr:uid="{00000000-0005-0000-0000-0000B31E0000}"/>
    <cellStyle name="Positive 2 14 7" xfId="7847" xr:uid="{00000000-0005-0000-0000-0000B41E0000}"/>
    <cellStyle name="Positive 2 14 7 2" xfId="7848" xr:uid="{00000000-0005-0000-0000-0000B51E0000}"/>
    <cellStyle name="Positive 2 14 7 2 2" xfId="7849" xr:uid="{00000000-0005-0000-0000-0000B61E0000}"/>
    <cellStyle name="Positive 2 14 7 3" xfId="7850" xr:uid="{00000000-0005-0000-0000-0000B71E0000}"/>
    <cellStyle name="Positive 2 14 8" xfId="7851" xr:uid="{00000000-0005-0000-0000-0000B81E0000}"/>
    <cellStyle name="Positive 2 14 8 2" xfId="7852" xr:uid="{00000000-0005-0000-0000-0000B91E0000}"/>
    <cellStyle name="Positive 2 14 9" xfId="7853" xr:uid="{00000000-0005-0000-0000-0000BA1E0000}"/>
    <cellStyle name="Positive 2 14 9 2" xfId="7854" xr:uid="{00000000-0005-0000-0000-0000BB1E0000}"/>
    <cellStyle name="Positive 2 15" xfId="7855" xr:uid="{00000000-0005-0000-0000-0000BC1E0000}"/>
    <cellStyle name="Positive 2 15 10" xfId="7856" xr:uid="{00000000-0005-0000-0000-0000BD1E0000}"/>
    <cellStyle name="Positive 2 15 10 2" xfId="7857" xr:uid="{00000000-0005-0000-0000-0000BE1E0000}"/>
    <cellStyle name="Positive 2 15 11" xfId="7858" xr:uid="{00000000-0005-0000-0000-0000BF1E0000}"/>
    <cellStyle name="Positive 2 15 11 2" xfId="7859" xr:uid="{00000000-0005-0000-0000-0000C01E0000}"/>
    <cellStyle name="Positive 2 15 12" xfId="7860" xr:uid="{00000000-0005-0000-0000-0000C11E0000}"/>
    <cellStyle name="Positive 2 15 12 2" xfId="7861" xr:uid="{00000000-0005-0000-0000-0000C21E0000}"/>
    <cellStyle name="Positive 2 15 13" xfId="7862" xr:uid="{00000000-0005-0000-0000-0000C31E0000}"/>
    <cellStyle name="Positive 2 15 13 2" xfId="7863" xr:uid="{00000000-0005-0000-0000-0000C41E0000}"/>
    <cellStyle name="Positive 2 15 14" xfId="7864" xr:uid="{00000000-0005-0000-0000-0000C51E0000}"/>
    <cellStyle name="Positive 2 15 14 2" xfId="7865" xr:uid="{00000000-0005-0000-0000-0000C61E0000}"/>
    <cellStyle name="Positive 2 15 15" xfId="7866" xr:uid="{00000000-0005-0000-0000-0000C71E0000}"/>
    <cellStyle name="Positive 2 15 15 2" xfId="7867" xr:uid="{00000000-0005-0000-0000-0000C81E0000}"/>
    <cellStyle name="Positive 2 15 16" xfId="7868" xr:uid="{00000000-0005-0000-0000-0000C91E0000}"/>
    <cellStyle name="Positive 2 15 16 2" xfId="7869" xr:uid="{00000000-0005-0000-0000-0000CA1E0000}"/>
    <cellStyle name="Positive 2 15 17" xfId="7870" xr:uid="{00000000-0005-0000-0000-0000CB1E0000}"/>
    <cellStyle name="Positive 2 15 17 2" xfId="7871" xr:uid="{00000000-0005-0000-0000-0000CC1E0000}"/>
    <cellStyle name="Positive 2 15 18" xfId="7872" xr:uid="{00000000-0005-0000-0000-0000CD1E0000}"/>
    <cellStyle name="Positive 2 15 18 2" xfId="7873" xr:uid="{00000000-0005-0000-0000-0000CE1E0000}"/>
    <cellStyle name="Positive 2 15 19" xfId="7874" xr:uid="{00000000-0005-0000-0000-0000CF1E0000}"/>
    <cellStyle name="Positive 2 15 19 2" xfId="7875" xr:uid="{00000000-0005-0000-0000-0000D01E0000}"/>
    <cellStyle name="Positive 2 15 2" xfId="7876" xr:uid="{00000000-0005-0000-0000-0000D11E0000}"/>
    <cellStyle name="Positive 2 15 2 10" xfId="7877" xr:uid="{00000000-0005-0000-0000-0000D21E0000}"/>
    <cellStyle name="Positive 2 15 2 10 2" xfId="7878" xr:uid="{00000000-0005-0000-0000-0000D31E0000}"/>
    <cellStyle name="Positive 2 15 2 11" xfId="7879" xr:uid="{00000000-0005-0000-0000-0000D41E0000}"/>
    <cellStyle name="Positive 2 15 2 11 2" xfId="7880" xr:uid="{00000000-0005-0000-0000-0000D51E0000}"/>
    <cellStyle name="Positive 2 15 2 12" xfId="7881" xr:uid="{00000000-0005-0000-0000-0000D61E0000}"/>
    <cellStyle name="Positive 2 15 2 12 2" xfId="7882" xr:uid="{00000000-0005-0000-0000-0000D71E0000}"/>
    <cellStyle name="Positive 2 15 2 13" xfId="7883" xr:uid="{00000000-0005-0000-0000-0000D81E0000}"/>
    <cellStyle name="Positive 2 15 2 13 2" xfId="7884" xr:uid="{00000000-0005-0000-0000-0000D91E0000}"/>
    <cellStyle name="Positive 2 15 2 14" xfId="7885" xr:uid="{00000000-0005-0000-0000-0000DA1E0000}"/>
    <cellStyle name="Positive 2 15 2 14 2" xfId="7886" xr:uid="{00000000-0005-0000-0000-0000DB1E0000}"/>
    <cellStyle name="Positive 2 15 2 15" xfId="7887" xr:uid="{00000000-0005-0000-0000-0000DC1E0000}"/>
    <cellStyle name="Positive 2 15 2 15 2" xfId="7888" xr:uid="{00000000-0005-0000-0000-0000DD1E0000}"/>
    <cellStyle name="Positive 2 15 2 16" xfId="7889" xr:uid="{00000000-0005-0000-0000-0000DE1E0000}"/>
    <cellStyle name="Positive 2 15 2 16 2" xfId="7890" xr:uid="{00000000-0005-0000-0000-0000DF1E0000}"/>
    <cellStyle name="Positive 2 15 2 17" xfId="7891" xr:uid="{00000000-0005-0000-0000-0000E01E0000}"/>
    <cellStyle name="Positive 2 15 2 17 2" xfId="7892" xr:uid="{00000000-0005-0000-0000-0000E11E0000}"/>
    <cellStyle name="Positive 2 15 2 18" xfId="7893" xr:uid="{00000000-0005-0000-0000-0000E21E0000}"/>
    <cellStyle name="Positive 2 15 2 18 2" xfId="7894" xr:uid="{00000000-0005-0000-0000-0000E31E0000}"/>
    <cellStyle name="Positive 2 15 2 19" xfId="7895" xr:uid="{00000000-0005-0000-0000-0000E41E0000}"/>
    <cellStyle name="Positive 2 15 2 19 2" xfId="7896" xr:uid="{00000000-0005-0000-0000-0000E51E0000}"/>
    <cellStyle name="Positive 2 15 2 2" xfId="7897" xr:uid="{00000000-0005-0000-0000-0000E61E0000}"/>
    <cellStyle name="Positive 2 15 2 2 10" xfId="7898" xr:uid="{00000000-0005-0000-0000-0000E71E0000}"/>
    <cellStyle name="Positive 2 15 2 2 10 2" xfId="7899" xr:uid="{00000000-0005-0000-0000-0000E81E0000}"/>
    <cellStyle name="Positive 2 15 2 2 11" xfId="7900" xr:uid="{00000000-0005-0000-0000-0000E91E0000}"/>
    <cellStyle name="Positive 2 15 2 2 11 2" xfId="7901" xr:uid="{00000000-0005-0000-0000-0000EA1E0000}"/>
    <cellStyle name="Positive 2 15 2 2 12" xfId="7902" xr:uid="{00000000-0005-0000-0000-0000EB1E0000}"/>
    <cellStyle name="Positive 2 15 2 2 12 2" xfId="7903" xr:uid="{00000000-0005-0000-0000-0000EC1E0000}"/>
    <cellStyle name="Positive 2 15 2 2 13" xfId="7904" xr:uid="{00000000-0005-0000-0000-0000ED1E0000}"/>
    <cellStyle name="Positive 2 15 2 2 13 2" xfId="7905" xr:uid="{00000000-0005-0000-0000-0000EE1E0000}"/>
    <cellStyle name="Positive 2 15 2 2 14" xfId="7906" xr:uid="{00000000-0005-0000-0000-0000EF1E0000}"/>
    <cellStyle name="Positive 2 15 2 2 14 2" xfId="7907" xr:uid="{00000000-0005-0000-0000-0000F01E0000}"/>
    <cellStyle name="Positive 2 15 2 2 15" xfId="7908" xr:uid="{00000000-0005-0000-0000-0000F11E0000}"/>
    <cellStyle name="Positive 2 15 2 2 15 2" xfId="7909" xr:uid="{00000000-0005-0000-0000-0000F21E0000}"/>
    <cellStyle name="Positive 2 15 2 2 16" xfId="7910" xr:uid="{00000000-0005-0000-0000-0000F31E0000}"/>
    <cellStyle name="Positive 2 15 2 2 16 2" xfId="7911" xr:uid="{00000000-0005-0000-0000-0000F41E0000}"/>
    <cellStyle name="Positive 2 15 2 2 17" xfId="7912" xr:uid="{00000000-0005-0000-0000-0000F51E0000}"/>
    <cellStyle name="Positive 2 15 2 2 2" xfId="7913" xr:uid="{00000000-0005-0000-0000-0000F61E0000}"/>
    <cellStyle name="Positive 2 15 2 2 2 2" xfId="7914" xr:uid="{00000000-0005-0000-0000-0000F71E0000}"/>
    <cellStyle name="Positive 2 15 2 2 3" xfId="7915" xr:uid="{00000000-0005-0000-0000-0000F81E0000}"/>
    <cellStyle name="Positive 2 15 2 2 3 2" xfId="7916" xr:uid="{00000000-0005-0000-0000-0000F91E0000}"/>
    <cellStyle name="Positive 2 15 2 2 4" xfId="7917" xr:uid="{00000000-0005-0000-0000-0000FA1E0000}"/>
    <cellStyle name="Positive 2 15 2 2 4 2" xfId="7918" xr:uid="{00000000-0005-0000-0000-0000FB1E0000}"/>
    <cellStyle name="Positive 2 15 2 2 5" xfId="7919" xr:uid="{00000000-0005-0000-0000-0000FC1E0000}"/>
    <cellStyle name="Positive 2 15 2 2 5 2" xfId="7920" xr:uid="{00000000-0005-0000-0000-0000FD1E0000}"/>
    <cellStyle name="Positive 2 15 2 2 6" xfId="7921" xr:uid="{00000000-0005-0000-0000-0000FE1E0000}"/>
    <cellStyle name="Positive 2 15 2 2 6 2" xfId="7922" xr:uid="{00000000-0005-0000-0000-0000FF1E0000}"/>
    <cellStyle name="Positive 2 15 2 2 7" xfId="7923" xr:uid="{00000000-0005-0000-0000-0000001F0000}"/>
    <cellStyle name="Positive 2 15 2 2 7 2" xfId="7924" xr:uid="{00000000-0005-0000-0000-0000011F0000}"/>
    <cellStyle name="Positive 2 15 2 2 8" xfId="7925" xr:uid="{00000000-0005-0000-0000-0000021F0000}"/>
    <cellStyle name="Positive 2 15 2 2 8 2" xfId="7926" xr:uid="{00000000-0005-0000-0000-0000031F0000}"/>
    <cellStyle name="Positive 2 15 2 2 9" xfId="7927" xr:uid="{00000000-0005-0000-0000-0000041F0000}"/>
    <cellStyle name="Positive 2 15 2 2 9 2" xfId="7928" xr:uid="{00000000-0005-0000-0000-0000051F0000}"/>
    <cellStyle name="Positive 2 15 2 20" xfId="7929" xr:uid="{00000000-0005-0000-0000-0000061F0000}"/>
    <cellStyle name="Positive 2 15 2 3" xfId="7930" xr:uid="{00000000-0005-0000-0000-0000071F0000}"/>
    <cellStyle name="Positive 2 15 2 3 2" xfId="7931" xr:uid="{00000000-0005-0000-0000-0000081F0000}"/>
    <cellStyle name="Positive 2 15 2 3 2 2" xfId="7932" xr:uid="{00000000-0005-0000-0000-0000091F0000}"/>
    <cellStyle name="Positive 2 15 2 3 3" xfId="7933" xr:uid="{00000000-0005-0000-0000-00000A1F0000}"/>
    <cellStyle name="Positive 2 15 2 4" xfId="7934" xr:uid="{00000000-0005-0000-0000-00000B1F0000}"/>
    <cellStyle name="Positive 2 15 2 4 2" xfId="7935" xr:uid="{00000000-0005-0000-0000-00000C1F0000}"/>
    <cellStyle name="Positive 2 15 2 4 2 2" xfId="7936" xr:uid="{00000000-0005-0000-0000-00000D1F0000}"/>
    <cellStyle name="Positive 2 15 2 4 3" xfId="7937" xr:uid="{00000000-0005-0000-0000-00000E1F0000}"/>
    <cellStyle name="Positive 2 15 2 5" xfId="7938" xr:uid="{00000000-0005-0000-0000-00000F1F0000}"/>
    <cellStyle name="Positive 2 15 2 5 2" xfId="7939" xr:uid="{00000000-0005-0000-0000-0000101F0000}"/>
    <cellStyle name="Positive 2 15 2 6" xfId="7940" xr:uid="{00000000-0005-0000-0000-0000111F0000}"/>
    <cellStyle name="Positive 2 15 2 6 2" xfId="7941" xr:uid="{00000000-0005-0000-0000-0000121F0000}"/>
    <cellStyle name="Positive 2 15 2 7" xfId="7942" xr:uid="{00000000-0005-0000-0000-0000131F0000}"/>
    <cellStyle name="Positive 2 15 2 7 2" xfId="7943" xr:uid="{00000000-0005-0000-0000-0000141F0000}"/>
    <cellStyle name="Positive 2 15 2 8" xfId="7944" xr:uid="{00000000-0005-0000-0000-0000151F0000}"/>
    <cellStyle name="Positive 2 15 2 8 2" xfId="7945" xr:uid="{00000000-0005-0000-0000-0000161F0000}"/>
    <cellStyle name="Positive 2 15 2 9" xfId="7946" xr:uid="{00000000-0005-0000-0000-0000171F0000}"/>
    <cellStyle name="Positive 2 15 2 9 2" xfId="7947" xr:uid="{00000000-0005-0000-0000-0000181F0000}"/>
    <cellStyle name="Positive 2 15 20" xfId="7948" xr:uid="{00000000-0005-0000-0000-0000191F0000}"/>
    <cellStyle name="Positive 2 15 20 2" xfId="7949" xr:uid="{00000000-0005-0000-0000-00001A1F0000}"/>
    <cellStyle name="Positive 2 15 21" xfId="7950" xr:uid="{00000000-0005-0000-0000-00001B1F0000}"/>
    <cellStyle name="Positive 2 15 21 2" xfId="7951" xr:uid="{00000000-0005-0000-0000-00001C1F0000}"/>
    <cellStyle name="Positive 2 15 22" xfId="7952" xr:uid="{00000000-0005-0000-0000-00001D1F0000}"/>
    <cellStyle name="Positive 2 15 22 2" xfId="7953" xr:uid="{00000000-0005-0000-0000-00001E1F0000}"/>
    <cellStyle name="Positive 2 15 23" xfId="7954" xr:uid="{00000000-0005-0000-0000-00001F1F0000}"/>
    <cellStyle name="Positive 2 15 3" xfId="7955" xr:uid="{00000000-0005-0000-0000-0000201F0000}"/>
    <cellStyle name="Positive 2 15 3 10" xfId="7956" xr:uid="{00000000-0005-0000-0000-0000211F0000}"/>
    <cellStyle name="Positive 2 15 3 10 2" xfId="7957" xr:uid="{00000000-0005-0000-0000-0000221F0000}"/>
    <cellStyle name="Positive 2 15 3 11" xfId="7958" xr:uid="{00000000-0005-0000-0000-0000231F0000}"/>
    <cellStyle name="Positive 2 15 3 11 2" xfId="7959" xr:uid="{00000000-0005-0000-0000-0000241F0000}"/>
    <cellStyle name="Positive 2 15 3 12" xfId="7960" xr:uid="{00000000-0005-0000-0000-0000251F0000}"/>
    <cellStyle name="Positive 2 15 3 12 2" xfId="7961" xr:uid="{00000000-0005-0000-0000-0000261F0000}"/>
    <cellStyle name="Positive 2 15 3 13" xfId="7962" xr:uid="{00000000-0005-0000-0000-0000271F0000}"/>
    <cellStyle name="Positive 2 15 3 13 2" xfId="7963" xr:uid="{00000000-0005-0000-0000-0000281F0000}"/>
    <cellStyle name="Positive 2 15 3 14" xfId="7964" xr:uid="{00000000-0005-0000-0000-0000291F0000}"/>
    <cellStyle name="Positive 2 15 3 14 2" xfId="7965" xr:uid="{00000000-0005-0000-0000-00002A1F0000}"/>
    <cellStyle name="Positive 2 15 3 15" xfId="7966" xr:uid="{00000000-0005-0000-0000-00002B1F0000}"/>
    <cellStyle name="Positive 2 15 3 15 2" xfId="7967" xr:uid="{00000000-0005-0000-0000-00002C1F0000}"/>
    <cellStyle name="Positive 2 15 3 16" xfId="7968" xr:uid="{00000000-0005-0000-0000-00002D1F0000}"/>
    <cellStyle name="Positive 2 15 3 16 2" xfId="7969" xr:uid="{00000000-0005-0000-0000-00002E1F0000}"/>
    <cellStyle name="Positive 2 15 3 17" xfId="7970" xr:uid="{00000000-0005-0000-0000-00002F1F0000}"/>
    <cellStyle name="Positive 2 15 3 17 2" xfId="7971" xr:uid="{00000000-0005-0000-0000-0000301F0000}"/>
    <cellStyle name="Positive 2 15 3 18" xfId="7972" xr:uid="{00000000-0005-0000-0000-0000311F0000}"/>
    <cellStyle name="Positive 2 15 3 18 2" xfId="7973" xr:uid="{00000000-0005-0000-0000-0000321F0000}"/>
    <cellStyle name="Positive 2 15 3 19" xfId="7974" xr:uid="{00000000-0005-0000-0000-0000331F0000}"/>
    <cellStyle name="Positive 2 15 3 19 2" xfId="7975" xr:uid="{00000000-0005-0000-0000-0000341F0000}"/>
    <cellStyle name="Positive 2 15 3 2" xfId="7976" xr:uid="{00000000-0005-0000-0000-0000351F0000}"/>
    <cellStyle name="Positive 2 15 3 2 10" xfId="7977" xr:uid="{00000000-0005-0000-0000-0000361F0000}"/>
    <cellStyle name="Positive 2 15 3 2 10 2" xfId="7978" xr:uid="{00000000-0005-0000-0000-0000371F0000}"/>
    <cellStyle name="Positive 2 15 3 2 11" xfId="7979" xr:uid="{00000000-0005-0000-0000-0000381F0000}"/>
    <cellStyle name="Positive 2 15 3 2 11 2" xfId="7980" xr:uid="{00000000-0005-0000-0000-0000391F0000}"/>
    <cellStyle name="Positive 2 15 3 2 12" xfId="7981" xr:uid="{00000000-0005-0000-0000-00003A1F0000}"/>
    <cellStyle name="Positive 2 15 3 2 12 2" xfId="7982" xr:uid="{00000000-0005-0000-0000-00003B1F0000}"/>
    <cellStyle name="Positive 2 15 3 2 13" xfId="7983" xr:uid="{00000000-0005-0000-0000-00003C1F0000}"/>
    <cellStyle name="Positive 2 15 3 2 13 2" xfId="7984" xr:uid="{00000000-0005-0000-0000-00003D1F0000}"/>
    <cellStyle name="Positive 2 15 3 2 14" xfId="7985" xr:uid="{00000000-0005-0000-0000-00003E1F0000}"/>
    <cellStyle name="Positive 2 15 3 2 14 2" xfId="7986" xr:uid="{00000000-0005-0000-0000-00003F1F0000}"/>
    <cellStyle name="Positive 2 15 3 2 15" xfId="7987" xr:uid="{00000000-0005-0000-0000-0000401F0000}"/>
    <cellStyle name="Positive 2 15 3 2 15 2" xfId="7988" xr:uid="{00000000-0005-0000-0000-0000411F0000}"/>
    <cellStyle name="Positive 2 15 3 2 16" xfId="7989" xr:uid="{00000000-0005-0000-0000-0000421F0000}"/>
    <cellStyle name="Positive 2 15 3 2 16 2" xfId="7990" xr:uid="{00000000-0005-0000-0000-0000431F0000}"/>
    <cellStyle name="Positive 2 15 3 2 17" xfId="7991" xr:uid="{00000000-0005-0000-0000-0000441F0000}"/>
    <cellStyle name="Positive 2 15 3 2 2" xfId="7992" xr:uid="{00000000-0005-0000-0000-0000451F0000}"/>
    <cellStyle name="Positive 2 15 3 2 2 2" xfId="7993" xr:uid="{00000000-0005-0000-0000-0000461F0000}"/>
    <cellStyle name="Positive 2 15 3 2 3" xfId="7994" xr:uid="{00000000-0005-0000-0000-0000471F0000}"/>
    <cellStyle name="Positive 2 15 3 2 3 2" xfId="7995" xr:uid="{00000000-0005-0000-0000-0000481F0000}"/>
    <cellStyle name="Positive 2 15 3 2 4" xfId="7996" xr:uid="{00000000-0005-0000-0000-0000491F0000}"/>
    <cellStyle name="Positive 2 15 3 2 4 2" xfId="7997" xr:uid="{00000000-0005-0000-0000-00004A1F0000}"/>
    <cellStyle name="Positive 2 15 3 2 5" xfId="7998" xr:uid="{00000000-0005-0000-0000-00004B1F0000}"/>
    <cellStyle name="Positive 2 15 3 2 5 2" xfId="7999" xr:uid="{00000000-0005-0000-0000-00004C1F0000}"/>
    <cellStyle name="Positive 2 15 3 2 6" xfId="8000" xr:uid="{00000000-0005-0000-0000-00004D1F0000}"/>
    <cellStyle name="Positive 2 15 3 2 6 2" xfId="8001" xr:uid="{00000000-0005-0000-0000-00004E1F0000}"/>
    <cellStyle name="Positive 2 15 3 2 7" xfId="8002" xr:uid="{00000000-0005-0000-0000-00004F1F0000}"/>
    <cellStyle name="Positive 2 15 3 2 7 2" xfId="8003" xr:uid="{00000000-0005-0000-0000-0000501F0000}"/>
    <cellStyle name="Positive 2 15 3 2 8" xfId="8004" xr:uid="{00000000-0005-0000-0000-0000511F0000}"/>
    <cellStyle name="Positive 2 15 3 2 8 2" xfId="8005" xr:uid="{00000000-0005-0000-0000-0000521F0000}"/>
    <cellStyle name="Positive 2 15 3 2 9" xfId="8006" xr:uid="{00000000-0005-0000-0000-0000531F0000}"/>
    <cellStyle name="Positive 2 15 3 2 9 2" xfId="8007" xr:uid="{00000000-0005-0000-0000-0000541F0000}"/>
    <cellStyle name="Positive 2 15 3 20" xfId="8008" xr:uid="{00000000-0005-0000-0000-0000551F0000}"/>
    <cellStyle name="Positive 2 15 3 3" xfId="8009" xr:uid="{00000000-0005-0000-0000-0000561F0000}"/>
    <cellStyle name="Positive 2 15 3 3 2" xfId="8010" xr:uid="{00000000-0005-0000-0000-0000571F0000}"/>
    <cellStyle name="Positive 2 15 3 3 2 2" xfId="8011" xr:uid="{00000000-0005-0000-0000-0000581F0000}"/>
    <cellStyle name="Positive 2 15 3 3 3" xfId="8012" xr:uid="{00000000-0005-0000-0000-0000591F0000}"/>
    <cellStyle name="Positive 2 15 3 4" xfId="8013" xr:uid="{00000000-0005-0000-0000-00005A1F0000}"/>
    <cellStyle name="Positive 2 15 3 4 2" xfId="8014" xr:uid="{00000000-0005-0000-0000-00005B1F0000}"/>
    <cellStyle name="Positive 2 15 3 4 2 2" xfId="8015" xr:uid="{00000000-0005-0000-0000-00005C1F0000}"/>
    <cellStyle name="Positive 2 15 3 4 3" xfId="8016" xr:uid="{00000000-0005-0000-0000-00005D1F0000}"/>
    <cellStyle name="Positive 2 15 3 5" xfId="8017" xr:uid="{00000000-0005-0000-0000-00005E1F0000}"/>
    <cellStyle name="Positive 2 15 3 5 2" xfId="8018" xr:uid="{00000000-0005-0000-0000-00005F1F0000}"/>
    <cellStyle name="Positive 2 15 3 6" xfId="8019" xr:uid="{00000000-0005-0000-0000-0000601F0000}"/>
    <cellStyle name="Positive 2 15 3 6 2" xfId="8020" xr:uid="{00000000-0005-0000-0000-0000611F0000}"/>
    <cellStyle name="Positive 2 15 3 7" xfId="8021" xr:uid="{00000000-0005-0000-0000-0000621F0000}"/>
    <cellStyle name="Positive 2 15 3 7 2" xfId="8022" xr:uid="{00000000-0005-0000-0000-0000631F0000}"/>
    <cellStyle name="Positive 2 15 3 8" xfId="8023" xr:uid="{00000000-0005-0000-0000-0000641F0000}"/>
    <cellStyle name="Positive 2 15 3 8 2" xfId="8024" xr:uid="{00000000-0005-0000-0000-0000651F0000}"/>
    <cellStyle name="Positive 2 15 3 9" xfId="8025" xr:uid="{00000000-0005-0000-0000-0000661F0000}"/>
    <cellStyle name="Positive 2 15 3 9 2" xfId="8026" xr:uid="{00000000-0005-0000-0000-0000671F0000}"/>
    <cellStyle name="Positive 2 15 4" xfId="8027" xr:uid="{00000000-0005-0000-0000-0000681F0000}"/>
    <cellStyle name="Positive 2 15 4 10" xfId="8028" xr:uid="{00000000-0005-0000-0000-0000691F0000}"/>
    <cellStyle name="Positive 2 15 4 10 2" xfId="8029" xr:uid="{00000000-0005-0000-0000-00006A1F0000}"/>
    <cellStyle name="Positive 2 15 4 11" xfId="8030" xr:uid="{00000000-0005-0000-0000-00006B1F0000}"/>
    <cellStyle name="Positive 2 15 4 11 2" xfId="8031" xr:uid="{00000000-0005-0000-0000-00006C1F0000}"/>
    <cellStyle name="Positive 2 15 4 12" xfId="8032" xr:uid="{00000000-0005-0000-0000-00006D1F0000}"/>
    <cellStyle name="Positive 2 15 4 12 2" xfId="8033" xr:uid="{00000000-0005-0000-0000-00006E1F0000}"/>
    <cellStyle name="Positive 2 15 4 13" xfId="8034" xr:uid="{00000000-0005-0000-0000-00006F1F0000}"/>
    <cellStyle name="Positive 2 15 4 13 2" xfId="8035" xr:uid="{00000000-0005-0000-0000-0000701F0000}"/>
    <cellStyle name="Positive 2 15 4 14" xfId="8036" xr:uid="{00000000-0005-0000-0000-0000711F0000}"/>
    <cellStyle name="Positive 2 15 4 14 2" xfId="8037" xr:uid="{00000000-0005-0000-0000-0000721F0000}"/>
    <cellStyle name="Positive 2 15 4 15" xfId="8038" xr:uid="{00000000-0005-0000-0000-0000731F0000}"/>
    <cellStyle name="Positive 2 15 4 15 2" xfId="8039" xr:uid="{00000000-0005-0000-0000-0000741F0000}"/>
    <cellStyle name="Positive 2 15 4 16" xfId="8040" xr:uid="{00000000-0005-0000-0000-0000751F0000}"/>
    <cellStyle name="Positive 2 15 4 16 2" xfId="8041" xr:uid="{00000000-0005-0000-0000-0000761F0000}"/>
    <cellStyle name="Positive 2 15 4 17" xfId="8042" xr:uid="{00000000-0005-0000-0000-0000771F0000}"/>
    <cellStyle name="Positive 2 15 4 17 2" xfId="8043" xr:uid="{00000000-0005-0000-0000-0000781F0000}"/>
    <cellStyle name="Positive 2 15 4 18" xfId="8044" xr:uid="{00000000-0005-0000-0000-0000791F0000}"/>
    <cellStyle name="Positive 2 15 4 18 2" xfId="8045" xr:uid="{00000000-0005-0000-0000-00007A1F0000}"/>
    <cellStyle name="Positive 2 15 4 19" xfId="8046" xr:uid="{00000000-0005-0000-0000-00007B1F0000}"/>
    <cellStyle name="Positive 2 15 4 19 2" xfId="8047" xr:uid="{00000000-0005-0000-0000-00007C1F0000}"/>
    <cellStyle name="Positive 2 15 4 2" xfId="8048" xr:uid="{00000000-0005-0000-0000-00007D1F0000}"/>
    <cellStyle name="Positive 2 15 4 2 10" xfId="8049" xr:uid="{00000000-0005-0000-0000-00007E1F0000}"/>
    <cellStyle name="Positive 2 15 4 2 10 2" xfId="8050" xr:uid="{00000000-0005-0000-0000-00007F1F0000}"/>
    <cellStyle name="Positive 2 15 4 2 11" xfId="8051" xr:uid="{00000000-0005-0000-0000-0000801F0000}"/>
    <cellStyle name="Positive 2 15 4 2 11 2" xfId="8052" xr:uid="{00000000-0005-0000-0000-0000811F0000}"/>
    <cellStyle name="Positive 2 15 4 2 12" xfId="8053" xr:uid="{00000000-0005-0000-0000-0000821F0000}"/>
    <cellStyle name="Positive 2 15 4 2 12 2" xfId="8054" xr:uid="{00000000-0005-0000-0000-0000831F0000}"/>
    <cellStyle name="Positive 2 15 4 2 13" xfId="8055" xr:uid="{00000000-0005-0000-0000-0000841F0000}"/>
    <cellStyle name="Positive 2 15 4 2 13 2" xfId="8056" xr:uid="{00000000-0005-0000-0000-0000851F0000}"/>
    <cellStyle name="Positive 2 15 4 2 14" xfId="8057" xr:uid="{00000000-0005-0000-0000-0000861F0000}"/>
    <cellStyle name="Positive 2 15 4 2 14 2" xfId="8058" xr:uid="{00000000-0005-0000-0000-0000871F0000}"/>
    <cellStyle name="Positive 2 15 4 2 15" xfId="8059" xr:uid="{00000000-0005-0000-0000-0000881F0000}"/>
    <cellStyle name="Positive 2 15 4 2 15 2" xfId="8060" xr:uid="{00000000-0005-0000-0000-0000891F0000}"/>
    <cellStyle name="Positive 2 15 4 2 16" xfId="8061" xr:uid="{00000000-0005-0000-0000-00008A1F0000}"/>
    <cellStyle name="Positive 2 15 4 2 16 2" xfId="8062" xr:uid="{00000000-0005-0000-0000-00008B1F0000}"/>
    <cellStyle name="Positive 2 15 4 2 17" xfId="8063" xr:uid="{00000000-0005-0000-0000-00008C1F0000}"/>
    <cellStyle name="Positive 2 15 4 2 2" xfId="8064" xr:uid="{00000000-0005-0000-0000-00008D1F0000}"/>
    <cellStyle name="Positive 2 15 4 2 2 2" xfId="8065" xr:uid="{00000000-0005-0000-0000-00008E1F0000}"/>
    <cellStyle name="Positive 2 15 4 2 3" xfId="8066" xr:uid="{00000000-0005-0000-0000-00008F1F0000}"/>
    <cellStyle name="Positive 2 15 4 2 3 2" xfId="8067" xr:uid="{00000000-0005-0000-0000-0000901F0000}"/>
    <cellStyle name="Positive 2 15 4 2 4" xfId="8068" xr:uid="{00000000-0005-0000-0000-0000911F0000}"/>
    <cellStyle name="Positive 2 15 4 2 4 2" xfId="8069" xr:uid="{00000000-0005-0000-0000-0000921F0000}"/>
    <cellStyle name="Positive 2 15 4 2 5" xfId="8070" xr:uid="{00000000-0005-0000-0000-0000931F0000}"/>
    <cellStyle name="Positive 2 15 4 2 5 2" xfId="8071" xr:uid="{00000000-0005-0000-0000-0000941F0000}"/>
    <cellStyle name="Positive 2 15 4 2 6" xfId="8072" xr:uid="{00000000-0005-0000-0000-0000951F0000}"/>
    <cellStyle name="Positive 2 15 4 2 6 2" xfId="8073" xr:uid="{00000000-0005-0000-0000-0000961F0000}"/>
    <cellStyle name="Positive 2 15 4 2 7" xfId="8074" xr:uid="{00000000-0005-0000-0000-0000971F0000}"/>
    <cellStyle name="Positive 2 15 4 2 7 2" xfId="8075" xr:uid="{00000000-0005-0000-0000-0000981F0000}"/>
    <cellStyle name="Positive 2 15 4 2 8" xfId="8076" xr:uid="{00000000-0005-0000-0000-0000991F0000}"/>
    <cellStyle name="Positive 2 15 4 2 8 2" xfId="8077" xr:uid="{00000000-0005-0000-0000-00009A1F0000}"/>
    <cellStyle name="Positive 2 15 4 2 9" xfId="8078" xr:uid="{00000000-0005-0000-0000-00009B1F0000}"/>
    <cellStyle name="Positive 2 15 4 2 9 2" xfId="8079" xr:uid="{00000000-0005-0000-0000-00009C1F0000}"/>
    <cellStyle name="Positive 2 15 4 20" xfId="8080" xr:uid="{00000000-0005-0000-0000-00009D1F0000}"/>
    <cellStyle name="Positive 2 15 4 3" xfId="8081" xr:uid="{00000000-0005-0000-0000-00009E1F0000}"/>
    <cellStyle name="Positive 2 15 4 3 2" xfId="8082" xr:uid="{00000000-0005-0000-0000-00009F1F0000}"/>
    <cellStyle name="Positive 2 15 4 3 2 2" xfId="8083" xr:uid="{00000000-0005-0000-0000-0000A01F0000}"/>
    <cellStyle name="Positive 2 15 4 3 3" xfId="8084" xr:uid="{00000000-0005-0000-0000-0000A11F0000}"/>
    <cellStyle name="Positive 2 15 4 4" xfId="8085" xr:uid="{00000000-0005-0000-0000-0000A21F0000}"/>
    <cellStyle name="Positive 2 15 4 4 2" xfId="8086" xr:uid="{00000000-0005-0000-0000-0000A31F0000}"/>
    <cellStyle name="Positive 2 15 4 4 2 2" xfId="8087" xr:uid="{00000000-0005-0000-0000-0000A41F0000}"/>
    <cellStyle name="Positive 2 15 4 4 3" xfId="8088" xr:uid="{00000000-0005-0000-0000-0000A51F0000}"/>
    <cellStyle name="Positive 2 15 4 5" xfId="8089" xr:uid="{00000000-0005-0000-0000-0000A61F0000}"/>
    <cellStyle name="Positive 2 15 4 5 2" xfId="8090" xr:uid="{00000000-0005-0000-0000-0000A71F0000}"/>
    <cellStyle name="Positive 2 15 4 6" xfId="8091" xr:uid="{00000000-0005-0000-0000-0000A81F0000}"/>
    <cellStyle name="Positive 2 15 4 6 2" xfId="8092" xr:uid="{00000000-0005-0000-0000-0000A91F0000}"/>
    <cellStyle name="Positive 2 15 4 7" xfId="8093" xr:uid="{00000000-0005-0000-0000-0000AA1F0000}"/>
    <cellStyle name="Positive 2 15 4 7 2" xfId="8094" xr:uid="{00000000-0005-0000-0000-0000AB1F0000}"/>
    <cellStyle name="Positive 2 15 4 8" xfId="8095" xr:uid="{00000000-0005-0000-0000-0000AC1F0000}"/>
    <cellStyle name="Positive 2 15 4 8 2" xfId="8096" xr:uid="{00000000-0005-0000-0000-0000AD1F0000}"/>
    <cellStyle name="Positive 2 15 4 9" xfId="8097" xr:uid="{00000000-0005-0000-0000-0000AE1F0000}"/>
    <cellStyle name="Positive 2 15 4 9 2" xfId="8098" xr:uid="{00000000-0005-0000-0000-0000AF1F0000}"/>
    <cellStyle name="Positive 2 15 5" xfId="8099" xr:uid="{00000000-0005-0000-0000-0000B01F0000}"/>
    <cellStyle name="Positive 2 15 5 10" xfId="8100" xr:uid="{00000000-0005-0000-0000-0000B11F0000}"/>
    <cellStyle name="Positive 2 15 5 10 2" xfId="8101" xr:uid="{00000000-0005-0000-0000-0000B21F0000}"/>
    <cellStyle name="Positive 2 15 5 11" xfId="8102" xr:uid="{00000000-0005-0000-0000-0000B31F0000}"/>
    <cellStyle name="Positive 2 15 5 11 2" xfId="8103" xr:uid="{00000000-0005-0000-0000-0000B41F0000}"/>
    <cellStyle name="Positive 2 15 5 12" xfId="8104" xr:uid="{00000000-0005-0000-0000-0000B51F0000}"/>
    <cellStyle name="Positive 2 15 5 12 2" xfId="8105" xr:uid="{00000000-0005-0000-0000-0000B61F0000}"/>
    <cellStyle name="Positive 2 15 5 13" xfId="8106" xr:uid="{00000000-0005-0000-0000-0000B71F0000}"/>
    <cellStyle name="Positive 2 15 5 13 2" xfId="8107" xr:uid="{00000000-0005-0000-0000-0000B81F0000}"/>
    <cellStyle name="Positive 2 15 5 14" xfId="8108" xr:uid="{00000000-0005-0000-0000-0000B91F0000}"/>
    <cellStyle name="Positive 2 15 5 14 2" xfId="8109" xr:uid="{00000000-0005-0000-0000-0000BA1F0000}"/>
    <cellStyle name="Positive 2 15 5 15" xfId="8110" xr:uid="{00000000-0005-0000-0000-0000BB1F0000}"/>
    <cellStyle name="Positive 2 15 5 15 2" xfId="8111" xr:uid="{00000000-0005-0000-0000-0000BC1F0000}"/>
    <cellStyle name="Positive 2 15 5 16" xfId="8112" xr:uid="{00000000-0005-0000-0000-0000BD1F0000}"/>
    <cellStyle name="Positive 2 15 5 16 2" xfId="8113" xr:uid="{00000000-0005-0000-0000-0000BE1F0000}"/>
    <cellStyle name="Positive 2 15 5 17" xfId="8114" xr:uid="{00000000-0005-0000-0000-0000BF1F0000}"/>
    <cellStyle name="Positive 2 15 5 2" xfId="8115" xr:uid="{00000000-0005-0000-0000-0000C01F0000}"/>
    <cellStyle name="Positive 2 15 5 2 2" xfId="8116" xr:uid="{00000000-0005-0000-0000-0000C11F0000}"/>
    <cellStyle name="Positive 2 15 5 3" xfId="8117" xr:uid="{00000000-0005-0000-0000-0000C21F0000}"/>
    <cellStyle name="Positive 2 15 5 3 2" xfId="8118" xr:uid="{00000000-0005-0000-0000-0000C31F0000}"/>
    <cellStyle name="Positive 2 15 5 4" xfId="8119" xr:uid="{00000000-0005-0000-0000-0000C41F0000}"/>
    <cellStyle name="Positive 2 15 5 4 2" xfId="8120" xr:uid="{00000000-0005-0000-0000-0000C51F0000}"/>
    <cellStyle name="Positive 2 15 5 5" xfId="8121" xr:uid="{00000000-0005-0000-0000-0000C61F0000}"/>
    <cellStyle name="Positive 2 15 5 5 2" xfId="8122" xr:uid="{00000000-0005-0000-0000-0000C71F0000}"/>
    <cellStyle name="Positive 2 15 5 6" xfId="8123" xr:uid="{00000000-0005-0000-0000-0000C81F0000}"/>
    <cellStyle name="Positive 2 15 5 6 2" xfId="8124" xr:uid="{00000000-0005-0000-0000-0000C91F0000}"/>
    <cellStyle name="Positive 2 15 5 7" xfId="8125" xr:uid="{00000000-0005-0000-0000-0000CA1F0000}"/>
    <cellStyle name="Positive 2 15 5 7 2" xfId="8126" xr:uid="{00000000-0005-0000-0000-0000CB1F0000}"/>
    <cellStyle name="Positive 2 15 5 8" xfId="8127" xr:uid="{00000000-0005-0000-0000-0000CC1F0000}"/>
    <cellStyle name="Positive 2 15 5 8 2" xfId="8128" xr:uid="{00000000-0005-0000-0000-0000CD1F0000}"/>
    <cellStyle name="Positive 2 15 5 9" xfId="8129" xr:uid="{00000000-0005-0000-0000-0000CE1F0000}"/>
    <cellStyle name="Positive 2 15 5 9 2" xfId="8130" xr:uid="{00000000-0005-0000-0000-0000CF1F0000}"/>
    <cellStyle name="Positive 2 15 6" xfId="8131" xr:uid="{00000000-0005-0000-0000-0000D01F0000}"/>
    <cellStyle name="Positive 2 15 6 2" xfId="8132" xr:uid="{00000000-0005-0000-0000-0000D11F0000}"/>
    <cellStyle name="Positive 2 15 6 2 2" xfId="8133" xr:uid="{00000000-0005-0000-0000-0000D21F0000}"/>
    <cellStyle name="Positive 2 15 6 3" xfId="8134" xr:uid="{00000000-0005-0000-0000-0000D31F0000}"/>
    <cellStyle name="Positive 2 15 7" xfId="8135" xr:uid="{00000000-0005-0000-0000-0000D41F0000}"/>
    <cellStyle name="Positive 2 15 7 2" xfId="8136" xr:uid="{00000000-0005-0000-0000-0000D51F0000}"/>
    <cellStyle name="Positive 2 15 7 2 2" xfId="8137" xr:uid="{00000000-0005-0000-0000-0000D61F0000}"/>
    <cellStyle name="Positive 2 15 7 3" xfId="8138" xr:uid="{00000000-0005-0000-0000-0000D71F0000}"/>
    <cellStyle name="Positive 2 15 8" xfId="8139" xr:uid="{00000000-0005-0000-0000-0000D81F0000}"/>
    <cellStyle name="Positive 2 15 8 2" xfId="8140" xr:uid="{00000000-0005-0000-0000-0000D91F0000}"/>
    <cellStyle name="Positive 2 15 9" xfId="8141" xr:uid="{00000000-0005-0000-0000-0000DA1F0000}"/>
    <cellStyle name="Positive 2 15 9 2" xfId="8142" xr:uid="{00000000-0005-0000-0000-0000DB1F0000}"/>
    <cellStyle name="Positive 2 16" xfId="8143" xr:uid="{00000000-0005-0000-0000-0000DC1F0000}"/>
    <cellStyle name="Positive 2 16 10" xfId="8144" xr:uid="{00000000-0005-0000-0000-0000DD1F0000}"/>
    <cellStyle name="Positive 2 16 10 2" xfId="8145" xr:uid="{00000000-0005-0000-0000-0000DE1F0000}"/>
    <cellStyle name="Positive 2 16 11" xfId="8146" xr:uid="{00000000-0005-0000-0000-0000DF1F0000}"/>
    <cellStyle name="Positive 2 16 11 2" xfId="8147" xr:uid="{00000000-0005-0000-0000-0000E01F0000}"/>
    <cellStyle name="Positive 2 16 12" xfId="8148" xr:uid="{00000000-0005-0000-0000-0000E11F0000}"/>
    <cellStyle name="Positive 2 16 12 2" xfId="8149" xr:uid="{00000000-0005-0000-0000-0000E21F0000}"/>
    <cellStyle name="Positive 2 16 13" xfId="8150" xr:uid="{00000000-0005-0000-0000-0000E31F0000}"/>
    <cellStyle name="Positive 2 16 13 2" xfId="8151" xr:uid="{00000000-0005-0000-0000-0000E41F0000}"/>
    <cellStyle name="Positive 2 16 14" xfId="8152" xr:uid="{00000000-0005-0000-0000-0000E51F0000}"/>
    <cellStyle name="Positive 2 16 14 2" xfId="8153" xr:uid="{00000000-0005-0000-0000-0000E61F0000}"/>
    <cellStyle name="Positive 2 16 15" xfId="8154" xr:uid="{00000000-0005-0000-0000-0000E71F0000}"/>
    <cellStyle name="Positive 2 16 15 2" xfId="8155" xr:uid="{00000000-0005-0000-0000-0000E81F0000}"/>
    <cellStyle name="Positive 2 16 16" xfId="8156" xr:uid="{00000000-0005-0000-0000-0000E91F0000}"/>
    <cellStyle name="Positive 2 16 16 2" xfId="8157" xr:uid="{00000000-0005-0000-0000-0000EA1F0000}"/>
    <cellStyle name="Positive 2 16 17" xfId="8158" xr:uid="{00000000-0005-0000-0000-0000EB1F0000}"/>
    <cellStyle name="Positive 2 16 17 2" xfId="8159" xr:uid="{00000000-0005-0000-0000-0000EC1F0000}"/>
    <cellStyle name="Positive 2 16 18" xfId="8160" xr:uid="{00000000-0005-0000-0000-0000ED1F0000}"/>
    <cellStyle name="Positive 2 16 18 2" xfId="8161" xr:uid="{00000000-0005-0000-0000-0000EE1F0000}"/>
    <cellStyle name="Positive 2 16 19" xfId="8162" xr:uid="{00000000-0005-0000-0000-0000EF1F0000}"/>
    <cellStyle name="Positive 2 16 19 2" xfId="8163" xr:uid="{00000000-0005-0000-0000-0000F01F0000}"/>
    <cellStyle name="Positive 2 16 2" xfId="8164" xr:uid="{00000000-0005-0000-0000-0000F11F0000}"/>
    <cellStyle name="Positive 2 16 2 10" xfId="8165" xr:uid="{00000000-0005-0000-0000-0000F21F0000}"/>
    <cellStyle name="Positive 2 16 2 10 2" xfId="8166" xr:uid="{00000000-0005-0000-0000-0000F31F0000}"/>
    <cellStyle name="Positive 2 16 2 11" xfId="8167" xr:uid="{00000000-0005-0000-0000-0000F41F0000}"/>
    <cellStyle name="Positive 2 16 2 11 2" xfId="8168" xr:uid="{00000000-0005-0000-0000-0000F51F0000}"/>
    <cellStyle name="Positive 2 16 2 12" xfId="8169" xr:uid="{00000000-0005-0000-0000-0000F61F0000}"/>
    <cellStyle name="Positive 2 16 2 12 2" xfId="8170" xr:uid="{00000000-0005-0000-0000-0000F71F0000}"/>
    <cellStyle name="Positive 2 16 2 13" xfId="8171" xr:uid="{00000000-0005-0000-0000-0000F81F0000}"/>
    <cellStyle name="Positive 2 16 2 13 2" xfId="8172" xr:uid="{00000000-0005-0000-0000-0000F91F0000}"/>
    <cellStyle name="Positive 2 16 2 14" xfId="8173" xr:uid="{00000000-0005-0000-0000-0000FA1F0000}"/>
    <cellStyle name="Positive 2 16 2 14 2" xfId="8174" xr:uid="{00000000-0005-0000-0000-0000FB1F0000}"/>
    <cellStyle name="Positive 2 16 2 15" xfId="8175" xr:uid="{00000000-0005-0000-0000-0000FC1F0000}"/>
    <cellStyle name="Positive 2 16 2 15 2" xfId="8176" xr:uid="{00000000-0005-0000-0000-0000FD1F0000}"/>
    <cellStyle name="Positive 2 16 2 16" xfId="8177" xr:uid="{00000000-0005-0000-0000-0000FE1F0000}"/>
    <cellStyle name="Positive 2 16 2 16 2" xfId="8178" xr:uid="{00000000-0005-0000-0000-0000FF1F0000}"/>
    <cellStyle name="Positive 2 16 2 17" xfId="8179" xr:uid="{00000000-0005-0000-0000-000000200000}"/>
    <cellStyle name="Positive 2 16 2 17 2" xfId="8180" xr:uid="{00000000-0005-0000-0000-000001200000}"/>
    <cellStyle name="Positive 2 16 2 18" xfId="8181" xr:uid="{00000000-0005-0000-0000-000002200000}"/>
    <cellStyle name="Positive 2 16 2 18 2" xfId="8182" xr:uid="{00000000-0005-0000-0000-000003200000}"/>
    <cellStyle name="Positive 2 16 2 19" xfId="8183" xr:uid="{00000000-0005-0000-0000-000004200000}"/>
    <cellStyle name="Positive 2 16 2 19 2" xfId="8184" xr:uid="{00000000-0005-0000-0000-000005200000}"/>
    <cellStyle name="Positive 2 16 2 2" xfId="8185" xr:uid="{00000000-0005-0000-0000-000006200000}"/>
    <cellStyle name="Positive 2 16 2 2 10" xfId="8186" xr:uid="{00000000-0005-0000-0000-000007200000}"/>
    <cellStyle name="Positive 2 16 2 2 10 2" xfId="8187" xr:uid="{00000000-0005-0000-0000-000008200000}"/>
    <cellStyle name="Positive 2 16 2 2 11" xfId="8188" xr:uid="{00000000-0005-0000-0000-000009200000}"/>
    <cellStyle name="Positive 2 16 2 2 11 2" xfId="8189" xr:uid="{00000000-0005-0000-0000-00000A200000}"/>
    <cellStyle name="Positive 2 16 2 2 12" xfId="8190" xr:uid="{00000000-0005-0000-0000-00000B200000}"/>
    <cellStyle name="Positive 2 16 2 2 12 2" xfId="8191" xr:uid="{00000000-0005-0000-0000-00000C200000}"/>
    <cellStyle name="Positive 2 16 2 2 13" xfId="8192" xr:uid="{00000000-0005-0000-0000-00000D200000}"/>
    <cellStyle name="Positive 2 16 2 2 13 2" xfId="8193" xr:uid="{00000000-0005-0000-0000-00000E200000}"/>
    <cellStyle name="Positive 2 16 2 2 14" xfId="8194" xr:uid="{00000000-0005-0000-0000-00000F200000}"/>
    <cellStyle name="Positive 2 16 2 2 14 2" xfId="8195" xr:uid="{00000000-0005-0000-0000-000010200000}"/>
    <cellStyle name="Positive 2 16 2 2 15" xfId="8196" xr:uid="{00000000-0005-0000-0000-000011200000}"/>
    <cellStyle name="Positive 2 16 2 2 15 2" xfId="8197" xr:uid="{00000000-0005-0000-0000-000012200000}"/>
    <cellStyle name="Positive 2 16 2 2 16" xfId="8198" xr:uid="{00000000-0005-0000-0000-000013200000}"/>
    <cellStyle name="Positive 2 16 2 2 16 2" xfId="8199" xr:uid="{00000000-0005-0000-0000-000014200000}"/>
    <cellStyle name="Positive 2 16 2 2 17" xfId="8200" xr:uid="{00000000-0005-0000-0000-000015200000}"/>
    <cellStyle name="Positive 2 16 2 2 2" xfId="8201" xr:uid="{00000000-0005-0000-0000-000016200000}"/>
    <cellStyle name="Positive 2 16 2 2 2 2" xfId="8202" xr:uid="{00000000-0005-0000-0000-000017200000}"/>
    <cellStyle name="Positive 2 16 2 2 3" xfId="8203" xr:uid="{00000000-0005-0000-0000-000018200000}"/>
    <cellStyle name="Positive 2 16 2 2 3 2" xfId="8204" xr:uid="{00000000-0005-0000-0000-000019200000}"/>
    <cellStyle name="Positive 2 16 2 2 4" xfId="8205" xr:uid="{00000000-0005-0000-0000-00001A200000}"/>
    <cellStyle name="Positive 2 16 2 2 4 2" xfId="8206" xr:uid="{00000000-0005-0000-0000-00001B200000}"/>
    <cellStyle name="Positive 2 16 2 2 5" xfId="8207" xr:uid="{00000000-0005-0000-0000-00001C200000}"/>
    <cellStyle name="Positive 2 16 2 2 5 2" xfId="8208" xr:uid="{00000000-0005-0000-0000-00001D200000}"/>
    <cellStyle name="Positive 2 16 2 2 6" xfId="8209" xr:uid="{00000000-0005-0000-0000-00001E200000}"/>
    <cellStyle name="Positive 2 16 2 2 6 2" xfId="8210" xr:uid="{00000000-0005-0000-0000-00001F200000}"/>
    <cellStyle name="Positive 2 16 2 2 7" xfId="8211" xr:uid="{00000000-0005-0000-0000-000020200000}"/>
    <cellStyle name="Positive 2 16 2 2 7 2" xfId="8212" xr:uid="{00000000-0005-0000-0000-000021200000}"/>
    <cellStyle name="Positive 2 16 2 2 8" xfId="8213" xr:uid="{00000000-0005-0000-0000-000022200000}"/>
    <cellStyle name="Positive 2 16 2 2 8 2" xfId="8214" xr:uid="{00000000-0005-0000-0000-000023200000}"/>
    <cellStyle name="Positive 2 16 2 2 9" xfId="8215" xr:uid="{00000000-0005-0000-0000-000024200000}"/>
    <cellStyle name="Positive 2 16 2 2 9 2" xfId="8216" xr:uid="{00000000-0005-0000-0000-000025200000}"/>
    <cellStyle name="Positive 2 16 2 20" xfId="8217" xr:uid="{00000000-0005-0000-0000-000026200000}"/>
    <cellStyle name="Positive 2 16 2 3" xfId="8218" xr:uid="{00000000-0005-0000-0000-000027200000}"/>
    <cellStyle name="Positive 2 16 2 3 2" xfId="8219" xr:uid="{00000000-0005-0000-0000-000028200000}"/>
    <cellStyle name="Positive 2 16 2 3 2 2" xfId="8220" xr:uid="{00000000-0005-0000-0000-000029200000}"/>
    <cellStyle name="Positive 2 16 2 3 3" xfId="8221" xr:uid="{00000000-0005-0000-0000-00002A200000}"/>
    <cellStyle name="Positive 2 16 2 4" xfId="8222" xr:uid="{00000000-0005-0000-0000-00002B200000}"/>
    <cellStyle name="Positive 2 16 2 4 2" xfId="8223" xr:uid="{00000000-0005-0000-0000-00002C200000}"/>
    <cellStyle name="Positive 2 16 2 4 2 2" xfId="8224" xr:uid="{00000000-0005-0000-0000-00002D200000}"/>
    <cellStyle name="Positive 2 16 2 4 3" xfId="8225" xr:uid="{00000000-0005-0000-0000-00002E200000}"/>
    <cellStyle name="Positive 2 16 2 5" xfId="8226" xr:uid="{00000000-0005-0000-0000-00002F200000}"/>
    <cellStyle name="Positive 2 16 2 5 2" xfId="8227" xr:uid="{00000000-0005-0000-0000-000030200000}"/>
    <cellStyle name="Positive 2 16 2 6" xfId="8228" xr:uid="{00000000-0005-0000-0000-000031200000}"/>
    <cellStyle name="Positive 2 16 2 6 2" xfId="8229" xr:uid="{00000000-0005-0000-0000-000032200000}"/>
    <cellStyle name="Positive 2 16 2 7" xfId="8230" xr:uid="{00000000-0005-0000-0000-000033200000}"/>
    <cellStyle name="Positive 2 16 2 7 2" xfId="8231" xr:uid="{00000000-0005-0000-0000-000034200000}"/>
    <cellStyle name="Positive 2 16 2 8" xfId="8232" xr:uid="{00000000-0005-0000-0000-000035200000}"/>
    <cellStyle name="Positive 2 16 2 8 2" xfId="8233" xr:uid="{00000000-0005-0000-0000-000036200000}"/>
    <cellStyle name="Positive 2 16 2 9" xfId="8234" xr:uid="{00000000-0005-0000-0000-000037200000}"/>
    <cellStyle name="Positive 2 16 2 9 2" xfId="8235" xr:uid="{00000000-0005-0000-0000-000038200000}"/>
    <cellStyle name="Positive 2 16 20" xfId="8236" xr:uid="{00000000-0005-0000-0000-000039200000}"/>
    <cellStyle name="Positive 2 16 20 2" xfId="8237" xr:uid="{00000000-0005-0000-0000-00003A200000}"/>
    <cellStyle name="Positive 2 16 21" xfId="8238" xr:uid="{00000000-0005-0000-0000-00003B200000}"/>
    <cellStyle name="Positive 2 16 21 2" xfId="8239" xr:uid="{00000000-0005-0000-0000-00003C200000}"/>
    <cellStyle name="Positive 2 16 22" xfId="8240" xr:uid="{00000000-0005-0000-0000-00003D200000}"/>
    <cellStyle name="Positive 2 16 22 2" xfId="8241" xr:uid="{00000000-0005-0000-0000-00003E200000}"/>
    <cellStyle name="Positive 2 16 23" xfId="8242" xr:uid="{00000000-0005-0000-0000-00003F200000}"/>
    <cellStyle name="Positive 2 16 3" xfId="8243" xr:uid="{00000000-0005-0000-0000-000040200000}"/>
    <cellStyle name="Positive 2 16 3 10" xfId="8244" xr:uid="{00000000-0005-0000-0000-000041200000}"/>
    <cellStyle name="Positive 2 16 3 10 2" xfId="8245" xr:uid="{00000000-0005-0000-0000-000042200000}"/>
    <cellStyle name="Positive 2 16 3 11" xfId="8246" xr:uid="{00000000-0005-0000-0000-000043200000}"/>
    <cellStyle name="Positive 2 16 3 11 2" xfId="8247" xr:uid="{00000000-0005-0000-0000-000044200000}"/>
    <cellStyle name="Positive 2 16 3 12" xfId="8248" xr:uid="{00000000-0005-0000-0000-000045200000}"/>
    <cellStyle name="Positive 2 16 3 12 2" xfId="8249" xr:uid="{00000000-0005-0000-0000-000046200000}"/>
    <cellStyle name="Positive 2 16 3 13" xfId="8250" xr:uid="{00000000-0005-0000-0000-000047200000}"/>
    <cellStyle name="Positive 2 16 3 13 2" xfId="8251" xr:uid="{00000000-0005-0000-0000-000048200000}"/>
    <cellStyle name="Positive 2 16 3 14" xfId="8252" xr:uid="{00000000-0005-0000-0000-000049200000}"/>
    <cellStyle name="Positive 2 16 3 14 2" xfId="8253" xr:uid="{00000000-0005-0000-0000-00004A200000}"/>
    <cellStyle name="Positive 2 16 3 15" xfId="8254" xr:uid="{00000000-0005-0000-0000-00004B200000}"/>
    <cellStyle name="Positive 2 16 3 15 2" xfId="8255" xr:uid="{00000000-0005-0000-0000-00004C200000}"/>
    <cellStyle name="Positive 2 16 3 16" xfId="8256" xr:uid="{00000000-0005-0000-0000-00004D200000}"/>
    <cellStyle name="Positive 2 16 3 16 2" xfId="8257" xr:uid="{00000000-0005-0000-0000-00004E200000}"/>
    <cellStyle name="Positive 2 16 3 17" xfId="8258" xr:uid="{00000000-0005-0000-0000-00004F200000}"/>
    <cellStyle name="Positive 2 16 3 17 2" xfId="8259" xr:uid="{00000000-0005-0000-0000-000050200000}"/>
    <cellStyle name="Positive 2 16 3 18" xfId="8260" xr:uid="{00000000-0005-0000-0000-000051200000}"/>
    <cellStyle name="Positive 2 16 3 18 2" xfId="8261" xr:uid="{00000000-0005-0000-0000-000052200000}"/>
    <cellStyle name="Positive 2 16 3 19" xfId="8262" xr:uid="{00000000-0005-0000-0000-000053200000}"/>
    <cellStyle name="Positive 2 16 3 19 2" xfId="8263" xr:uid="{00000000-0005-0000-0000-000054200000}"/>
    <cellStyle name="Positive 2 16 3 2" xfId="8264" xr:uid="{00000000-0005-0000-0000-000055200000}"/>
    <cellStyle name="Positive 2 16 3 2 10" xfId="8265" xr:uid="{00000000-0005-0000-0000-000056200000}"/>
    <cellStyle name="Positive 2 16 3 2 10 2" xfId="8266" xr:uid="{00000000-0005-0000-0000-000057200000}"/>
    <cellStyle name="Positive 2 16 3 2 11" xfId="8267" xr:uid="{00000000-0005-0000-0000-000058200000}"/>
    <cellStyle name="Positive 2 16 3 2 11 2" xfId="8268" xr:uid="{00000000-0005-0000-0000-000059200000}"/>
    <cellStyle name="Positive 2 16 3 2 12" xfId="8269" xr:uid="{00000000-0005-0000-0000-00005A200000}"/>
    <cellStyle name="Positive 2 16 3 2 12 2" xfId="8270" xr:uid="{00000000-0005-0000-0000-00005B200000}"/>
    <cellStyle name="Positive 2 16 3 2 13" xfId="8271" xr:uid="{00000000-0005-0000-0000-00005C200000}"/>
    <cellStyle name="Positive 2 16 3 2 13 2" xfId="8272" xr:uid="{00000000-0005-0000-0000-00005D200000}"/>
    <cellStyle name="Positive 2 16 3 2 14" xfId="8273" xr:uid="{00000000-0005-0000-0000-00005E200000}"/>
    <cellStyle name="Positive 2 16 3 2 14 2" xfId="8274" xr:uid="{00000000-0005-0000-0000-00005F200000}"/>
    <cellStyle name="Positive 2 16 3 2 15" xfId="8275" xr:uid="{00000000-0005-0000-0000-000060200000}"/>
    <cellStyle name="Positive 2 16 3 2 15 2" xfId="8276" xr:uid="{00000000-0005-0000-0000-000061200000}"/>
    <cellStyle name="Positive 2 16 3 2 16" xfId="8277" xr:uid="{00000000-0005-0000-0000-000062200000}"/>
    <cellStyle name="Positive 2 16 3 2 16 2" xfId="8278" xr:uid="{00000000-0005-0000-0000-000063200000}"/>
    <cellStyle name="Positive 2 16 3 2 17" xfId="8279" xr:uid="{00000000-0005-0000-0000-000064200000}"/>
    <cellStyle name="Positive 2 16 3 2 2" xfId="8280" xr:uid="{00000000-0005-0000-0000-000065200000}"/>
    <cellStyle name="Positive 2 16 3 2 2 2" xfId="8281" xr:uid="{00000000-0005-0000-0000-000066200000}"/>
    <cellStyle name="Positive 2 16 3 2 3" xfId="8282" xr:uid="{00000000-0005-0000-0000-000067200000}"/>
    <cellStyle name="Positive 2 16 3 2 3 2" xfId="8283" xr:uid="{00000000-0005-0000-0000-000068200000}"/>
    <cellStyle name="Positive 2 16 3 2 4" xfId="8284" xr:uid="{00000000-0005-0000-0000-000069200000}"/>
    <cellStyle name="Positive 2 16 3 2 4 2" xfId="8285" xr:uid="{00000000-0005-0000-0000-00006A200000}"/>
    <cellStyle name="Positive 2 16 3 2 5" xfId="8286" xr:uid="{00000000-0005-0000-0000-00006B200000}"/>
    <cellStyle name="Positive 2 16 3 2 5 2" xfId="8287" xr:uid="{00000000-0005-0000-0000-00006C200000}"/>
    <cellStyle name="Positive 2 16 3 2 6" xfId="8288" xr:uid="{00000000-0005-0000-0000-00006D200000}"/>
    <cellStyle name="Positive 2 16 3 2 6 2" xfId="8289" xr:uid="{00000000-0005-0000-0000-00006E200000}"/>
    <cellStyle name="Positive 2 16 3 2 7" xfId="8290" xr:uid="{00000000-0005-0000-0000-00006F200000}"/>
    <cellStyle name="Positive 2 16 3 2 7 2" xfId="8291" xr:uid="{00000000-0005-0000-0000-000070200000}"/>
    <cellStyle name="Positive 2 16 3 2 8" xfId="8292" xr:uid="{00000000-0005-0000-0000-000071200000}"/>
    <cellStyle name="Positive 2 16 3 2 8 2" xfId="8293" xr:uid="{00000000-0005-0000-0000-000072200000}"/>
    <cellStyle name="Positive 2 16 3 2 9" xfId="8294" xr:uid="{00000000-0005-0000-0000-000073200000}"/>
    <cellStyle name="Positive 2 16 3 2 9 2" xfId="8295" xr:uid="{00000000-0005-0000-0000-000074200000}"/>
    <cellStyle name="Positive 2 16 3 20" xfId="8296" xr:uid="{00000000-0005-0000-0000-000075200000}"/>
    <cellStyle name="Positive 2 16 3 3" xfId="8297" xr:uid="{00000000-0005-0000-0000-000076200000}"/>
    <cellStyle name="Positive 2 16 3 3 2" xfId="8298" xr:uid="{00000000-0005-0000-0000-000077200000}"/>
    <cellStyle name="Positive 2 16 3 3 2 2" xfId="8299" xr:uid="{00000000-0005-0000-0000-000078200000}"/>
    <cellStyle name="Positive 2 16 3 3 3" xfId="8300" xr:uid="{00000000-0005-0000-0000-000079200000}"/>
    <cellStyle name="Positive 2 16 3 4" xfId="8301" xr:uid="{00000000-0005-0000-0000-00007A200000}"/>
    <cellStyle name="Positive 2 16 3 4 2" xfId="8302" xr:uid="{00000000-0005-0000-0000-00007B200000}"/>
    <cellStyle name="Positive 2 16 3 4 2 2" xfId="8303" xr:uid="{00000000-0005-0000-0000-00007C200000}"/>
    <cellStyle name="Positive 2 16 3 4 3" xfId="8304" xr:uid="{00000000-0005-0000-0000-00007D200000}"/>
    <cellStyle name="Positive 2 16 3 5" xfId="8305" xr:uid="{00000000-0005-0000-0000-00007E200000}"/>
    <cellStyle name="Positive 2 16 3 5 2" xfId="8306" xr:uid="{00000000-0005-0000-0000-00007F200000}"/>
    <cellStyle name="Positive 2 16 3 6" xfId="8307" xr:uid="{00000000-0005-0000-0000-000080200000}"/>
    <cellStyle name="Positive 2 16 3 6 2" xfId="8308" xr:uid="{00000000-0005-0000-0000-000081200000}"/>
    <cellStyle name="Positive 2 16 3 7" xfId="8309" xr:uid="{00000000-0005-0000-0000-000082200000}"/>
    <cellStyle name="Positive 2 16 3 7 2" xfId="8310" xr:uid="{00000000-0005-0000-0000-000083200000}"/>
    <cellStyle name="Positive 2 16 3 8" xfId="8311" xr:uid="{00000000-0005-0000-0000-000084200000}"/>
    <cellStyle name="Positive 2 16 3 8 2" xfId="8312" xr:uid="{00000000-0005-0000-0000-000085200000}"/>
    <cellStyle name="Positive 2 16 3 9" xfId="8313" xr:uid="{00000000-0005-0000-0000-000086200000}"/>
    <cellStyle name="Positive 2 16 3 9 2" xfId="8314" xr:uid="{00000000-0005-0000-0000-000087200000}"/>
    <cellStyle name="Positive 2 16 4" xfId="8315" xr:uid="{00000000-0005-0000-0000-000088200000}"/>
    <cellStyle name="Positive 2 16 4 10" xfId="8316" xr:uid="{00000000-0005-0000-0000-000089200000}"/>
    <cellStyle name="Positive 2 16 4 10 2" xfId="8317" xr:uid="{00000000-0005-0000-0000-00008A200000}"/>
    <cellStyle name="Positive 2 16 4 11" xfId="8318" xr:uid="{00000000-0005-0000-0000-00008B200000}"/>
    <cellStyle name="Positive 2 16 4 11 2" xfId="8319" xr:uid="{00000000-0005-0000-0000-00008C200000}"/>
    <cellStyle name="Positive 2 16 4 12" xfId="8320" xr:uid="{00000000-0005-0000-0000-00008D200000}"/>
    <cellStyle name="Positive 2 16 4 12 2" xfId="8321" xr:uid="{00000000-0005-0000-0000-00008E200000}"/>
    <cellStyle name="Positive 2 16 4 13" xfId="8322" xr:uid="{00000000-0005-0000-0000-00008F200000}"/>
    <cellStyle name="Positive 2 16 4 13 2" xfId="8323" xr:uid="{00000000-0005-0000-0000-000090200000}"/>
    <cellStyle name="Positive 2 16 4 14" xfId="8324" xr:uid="{00000000-0005-0000-0000-000091200000}"/>
    <cellStyle name="Positive 2 16 4 14 2" xfId="8325" xr:uid="{00000000-0005-0000-0000-000092200000}"/>
    <cellStyle name="Positive 2 16 4 15" xfId="8326" xr:uid="{00000000-0005-0000-0000-000093200000}"/>
    <cellStyle name="Positive 2 16 4 15 2" xfId="8327" xr:uid="{00000000-0005-0000-0000-000094200000}"/>
    <cellStyle name="Positive 2 16 4 16" xfId="8328" xr:uid="{00000000-0005-0000-0000-000095200000}"/>
    <cellStyle name="Positive 2 16 4 16 2" xfId="8329" xr:uid="{00000000-0005-0000-0000-000096200000}"/>
    <cellStyle name="Positive 2 16 4 17" xfId="8330" xr:uid="{00000000-0005-0000-0000-000097200000}"/>
    <cellStyle name="Positive 2 16 4 17 2" xfId="8331" xr:uid="{00000000-0005-0000-0000-000098200000}"/>
    <cellStyle name="Positive 2 16 4 18" xfId="8332" xr:uid="{00000000-0005-0000-0000-000099200000}"/>
    <cellStyle name="Positive 2 16 4 18 2" xfId="8333" xr:uid="{00000000-0005-0000-0000-00009A200000}"/>
    <cellStyle name="Positive 2 16 4 19" xfId="8334" xr:uid="{00000000-0005-0000-0000-00009B200000}"/>
    <cellStyle name="Positive 2 16 4 19 2" xfId="8335" xr:uid="{00000000-0005-0000-0000-00009C200000}"/>
    <cellStyle name="Positive 2 16 4 2" xfId="8336" xr:uid="{00000000-0005-0000-0000-00009D200000}"/>
    <cellStyle name="Positive 2 16 4 2 10" xfId="8337" xr:uid="{00000000-0005-0000-0000-00009E200000}"/>
    <cellStyle name="Positive 2 16 4 2 10 2" xfId="8338" xr:uid="{00000000-0005-0000-0000-00009F200000}"/>
    <cellStyle name="Positive 2 16 4 2 11" xfId="8339" xr:uid="{00000000-0005-0000-0000-0000A0200000}"/>
    <cellStyle name="Positive 2 16 4 2 11 2" xfId="8340" xr:uid="{00000000-0005-0000-0000-0000A1200000}"/>
    <cellStyle name="Positive 2 16 4 2 12" xfId="8341" xr:uid="{00000000-0005-0000-0000-0000A2200000}"/>
    <cellStyle name="Positive 2 16 4 2 12 2" xfId="8342" xr:uid="{00000000-0005-0000-0000-0000A3200000}"/>
    <cellStyle name="Positive 2 16 4 2 13" xfId="8343" xr:uid="{00000000-0005-0000-0000-0000A4200000}"/>
    <cellStyle name="Positive 2 16 4 2 13 2" xfId="8344" xr:uid="{00000000-0005-0000-0000-0000A5200000}"/>
    <cellStyle name="Positive 2 16 4 2 14" xfId="8345" xr:uid="{00000000-0005-0000-0000-0000A6200000}"/>
    <cellStyle name="Positive 2 16 4 2 14 2" xfId="8346" xr:uid="{00000000-0005-0000-0000-0000A7200000}"/>
    <cellStyle name="Positive 2 16 4 2 15" xfId="8347" xr:uid="{00000000-0005-0000-0000-0000A8200000}"/>
    <cellStyle name="Positive 2 16 4 2 15 2" xfId="8348" xr:uid="{00000000-0005-0000-0000-0000A9200000}"/>
    <cellStyle name="Positive 2 16 4 2 16" xfId="8349" xr:uid="{00000000-0005-0000-0000-0000AA200000}"/>
    <cellStyle name="Positive 2 16 4 2 16 2" xfId="8350" xr:uid="{00000000-0005-0000-0000-0000AB200000}"/>
    <cellStyle name="Positive 2 16 4 2 17" xfId="8351" xr:uid="{00000000-0005-0000-0000-0000AC200000}"/>
    <cellStyle name="Positive 2 16 4 2 2" xfId="8352" xr:uid="{00000000-0005-0000-0000-0000AD200000}"/>
    <cellStyle name="Positive 2 16 4 2 2 2" xfId="8353" xr:uid="{00000000-0005-0000-0000-0000AE200000}"/>
    <cellStyle name="Positive 2 16 4 2 3" xfId="8354" xr:uid="{00000000-0005-0000-0000-0000AF200000}"/>
    <cellStyle name="Positive 2 16 4 2 3 2" xfId="8355" xr:uid="{00000000-0005-0000-0000-0000B0200000}"/>
    <cellStyle name="Positive 2 16 4 2 4" xfId="8356" xr:uid="{00000000-0005-0000-0000-0000B1200000}"/>
    <cellStyle name="Positive 2 16 4 2 4 2" xfId="8357" xr:uid="{00000000-0005-0000-0000-0000B2200000}"/>
    <cellStyle name="Positive 2 16 4 2 5" xfId="8358" xr:uid="{00000000-0005-0000-0000-0000B3200000}"/>
    <cellStyle name="Positive 2 16 4 2 5 2" xfId="8359" xr:uid="{00000000-0005-0000-0000-0000B4200000}"/>
    <cellStyle name="Positive 2 16 4 2 6" xfId="8360" xr:uid="{00000000-0005-0000-0000-0000B5200000}"/>
    <cellStyle name="Positive 2 16 4 2 6 2" xfId="8361" xr:uid="{00000000-0005-0000-0000-0000B6200000}"/>
    <cellStyle name="Positive 2 16 4 2 7" xfId="8362" xr:uid="{00000000-0005-0000-0000-0000B7200000}"/>
    <cellStyle name="Positive 2 16 4 2 7 2" xfId="8363" xr:uid="{00000000-0005-0000-0000-0000B8200000}"/>
    <cellStyle name="Positive 2 16 4 2 8" xfId="8364" xr:uid="{00000000-0005-0000-0000-0000B9200000}"/>
    <cellStyle name="Positive 2 16 4 2 8 2" xfId="8365" xr:uid="{00000000-0005-0000-0000-0000BA200000}"/>
    <cellStyle name="Positive 2 16 4 2 9" xfId="8366" xr:uid="{00000000-0005-0000-0000-0000BB200000}"/>
    <cellStyle name="Positive 2 16 4 2 9 2" xfId="8367" xr:uid="{00000000-0005-0000-0000-0000BC200000}"/>
    <cellStyle name="Positive 2 16 4 20" xfId="8368" xr:uid="{00000000-0005-0000-0000-0000BD200000}"/>
    <cellStyle name="Positive 2 16 4 3" xfId="8369" xr:uid="{00000000-0005-0000-0000-0000BE200000}"/>
    <cellStyle name="Positive 2 16 4 3 2" xfId="8370" xr:uid="{00000000-0005-0000-0000-0000BF200000}"/>
    <cellStyle name="Positive 2 16 4 3 2 2" xfId="8371" xr:uid="{00000000-0005-0000-0000-0000C0200000}"/>
    <cellStyle name="Positive 2 16 4 3 3" xfId="8372" xr:uid="{00000000-0005-0000-0000-0000C1200000}"/>
    <cellStyle name="Positive 2 16 4 4" xfId="8373" xr:uid="{00000000-0005-0000-0000-0000C2200000}"/>
    <cellStyle name="Positive 2 16 4 4 2" xfId="8374" xr:uid="{00000000-0005-0000-0000-0000C3200000}"/>
    <cellStyle name="Positive 2 16 4 4 2 2" xfId="8375" xr:uid="{00000000-0005-0000-0000-0000C4200000}"/>
    <cellStyle name="Positive 2 16 4 4 3" xfId="8376" xr:uid="{00000000-0005-0000-0000-0000C5200000}"/>
    <cellStyle name="Positive 2 16 4 5" xfId="8377" xr:uid="{00000000-0005-0000-0000-0000C6200000}"/>
    <cellStyle name="Positive 2 16 4 5 2" xfId="8378" xr:uid="{00000000-0005-0000-0000-0000C7200000}"/>
    <cellStyle name="Positive 2 16 4 6" xfId="8379" xr:uid="{00000000-0005-0000-0000-0000C8200000}"/>
    <cellStyle name="Positive 2 16 4 6 2" xfId="8380" xr:uid="{00000000-0005-0000-0000-0000C9200000}"/>
    <cellStyle name="Positive 2 16 4 7" xfId="8381" xr:uid="{00000000-0005-0000-0000-0000CA200000}"/>
    <cellStyle name="Positive 2 16 4 7 2" xfId="8382" xr:uid="{00000000-0005-0000-0000-0000CB200000}"/>
    <cellStyle name="Positive 2 16 4 8" xfId="8383" xr:uid="{00000000-0005-0000-0000-0000CC200000}"/>
    <cellStyle name="Positive 2 16 4 8 2" xfId="8384" xr:uid="{00000000-0005-0000-0000-0000CD200000}"/>
    <cellStyle name="Positive 2 16 4 9" xfId="8385" xr:uid="{00000000-0005-0000-0000-0000CE200000}"/>
    <cellStyle name="Positive 2 16 4 9 2" xfId="8386" xr:uid="{00000000-0005-0000-0000-0000CF200000}"/>
    <cellStyle name="Positive 2 16 5" xfId="8387" xr:uid="{00000000-0005-0000-0000-0000D0200000}"/>
    <cellStyle name="Positive 2 16 5 10" xfId="8388" xr:uid="{00000000-0005-0000-0000-0000D1200000}"/>
    <cellStyle name="Positive 2 16 5 10 2" xfId="8389" xr:uid="{00000000-0005-0000-0000-0000D2200000}"/>
    <cellStyle name="Positive 2 16 5 11" xfId="8390" xr:uid="{00000000-0005-0000-0000-0000D3200000}"/>
    <cellStyle name="Positive 2 16 5 11 2" xfId="8391" xr:uid="{00000000-0005-0000-0000-0000D4200000}"/>
    <cellStyle name="Positive 2 16 5 12" xfId="8392" xr:uid="{00000000-0005-0000-0000-0000D5200000}"/>
    <cellStyle name="Positive 2 16 5 12 2" xfId="8393" xr:uid="{00000000-0005-0000-0000-0000D6200000}"/>
    <cellStyle name="Positive 2 16 5 13" xfId="8394" xr:uid="{00000000-0005-0000-0000-0000D7200000}"/>
    <cellStyle name="Positive 2 16 5 13 2" xfId="8395" xr:uid="{00000000-0005-0000-0000-0000D8200000}"/>
    <cellStyle name="Positive 2 16 5 14" xfId="8396" xr:uid="{00000000-0005-0000-0000-0000D9200000}"/>
    <cellStyle name="Positive 2 16 5 14 2" xfId="8397" xr:uid="{00000000-0005-0000-0000-0000DA200000}"/>
    <cellStyle name="Positive 2 16 5 15" xfId="8398" xr:uid="{00000000-0005-0000-0000-0000DB200000}"/>
    <cellStyle name="Positive 2 16 5 15 2" xfId="8399" xr:uid="{00000000-0005-0000-0000-0000DC200000}"/>
    <cellStyle name="Positive 2 16 5 16" xfId="8400" xr:uid="{00000000-0005-0000-0000-0000DD200000}"/>
    <cellStyle name="Positive 2 16 5 16 2" xfId="8401" xr:uid="{00000000-0005-0000-0000-0000DE200000}"/>
    <cellStyle name="Positive 2 16 5 17" xfId="8402" xr:uid="{00000000-0005-0000-0000-0000DF200000}"/>
    <cellStyle name="Positive 2 16 5 2" xfId="8403" xr:uid="{00000000-0005-0000-0000-0000E0200000}"/>
    <cellStyle name="Positive 2 16 5 2 2" xfId="8404" xr:uid="{00000000-0005-0000-0000-0000E1200000}"/>
    <cellStyle name="Positive 2 16 5 3" xfId="8405" xr:uid="{00000000-0005-0000-0000-0000E2200000}"/>
    <cellStyle name="Positive 2 16 5 3 2" xfId="8406" xr:uid="{00000000-0005-0000-0000-0000E3200000}"/>
    <cellStyle name="Positive 2 16 5 4" xfId="8407" xr:uid="{00000000-0005-0000-0000-0000E4200000}"/>
    <cellStyle name="Positive 2 16 5 4 2" xfId="8408" xr:uid="{00000000-0005-0000-0000-0000E5200000}"/>
    <cellStyle name="Positive 2 16 5 5" xfId="8409" xr:uid="{00000000-0005-0000-0000-0000E6200000}"/>
    <cellStyle name="Positive 2 16 5 5 2" xfId="8410" xr:uid="{00000000-0005-0000-0000-0000E7200000}"/>
    <cellStyle name="Positive 2 16 5 6" xfId="8411" xr:uid="{00000000-0005-0000-0000-0000E8200000}"/>
    <cellStyle name="Positive 2 16 5 6 2" xfId="8412" xr:uid="{00000000-0005-0000-0000-0000E9200000}"/>
    <cellStyle name="Positive 2 16 5 7" xfId="8413" xr:uid="{00000000-0005-0000-0000-0000EA200000}"/>
    <cellStyle name="Positive 2 16 5 7 2" xfId="8414" xr:uid="{00000000-0005-0000-0000-0000EB200000}"/>
    <cellStyle name="Positive 2 16 5 8" xfId="8415" xr:uid="{00000000-0005-0000-0000-0000EC200000}"/>
    <cellStyle name="Positive 2 16 5 8 2" xfId="8416" xr:uid="{00000000-0005-0000-0000-0000ED200000}"/>
    <cellStyle name="Positive 2 16 5 9" xfId="8417" xr:uid="{00000000-0005-0000-0000-0000EE200000}"/>
    <cellStyle name="Positive 2 16 5 9 2" xfId="8418" xr:uid="{00000000-0005-0000-0000-0000EF200000}"/>
    <cellStyle name="Positive 2 16 6" xfId="8419" xr:uid="{00000000-0005-0000-0000-0000F0200000}"/>
    <cellStyle name="Positive 2 16 6 2" xfId="8420" xr:uid="{00000000-0005-0000-0000-0000F1200000}"/>
    <cellStyle name="Positive 2 16 6 2 2" xfId="8421" xr:uid="{00000000-0005-0000-0000-0000F2200000}"/>
    <cellStyle name="Positive 2 16 6 3" xfId="8422" xr:uid="{00000000-0005-0000-0000-0000F3200000}"/>
    <cellStyle name="Positive 2 16 7" xfId="8423" xr:uid="{00000000-0005-0000-0000-0000F4200000}"/>
    <cellStyle name="Positive 2 16 7 2" xfId="8424" xr:uid="{00000000-0005-0000-0000-0000F5200000}"/>
    <cellStyle name="Positive 2 16 7 2 2" xfId="8425" xr:uid="{00000000-0005-0000-0000-0000F6200000}"/>
    <cellStyle name="Positive 2 16 7 3" xfId="8426" xr:uid="{00000000-0005-0000-0000-0000F7200000}"/>
    <cellStyle name="Positive 2 16 8" xfId="8427" xr:uid="{00000000-0005-0000-0000-0000F8200000}"/>
    <cellStyle name="Positive 2 16 8 2" xfId="8428" xr:uid="{00000000-0005-0000-0000-0000F9200000}"/>
    <cellStyle name="Positive 2 16 9" xfId="8429" xr:uid="{00000000-0005-0000-0000-0000FA200000}"/>
    <cellStyle name="Positive 2 16 9 2" xfId="8430" xr:uid="{00000000-0005-0000-0000-0000FB200000}"/>
    <cellStyle name="Positive 2 17" xfId="8431" xr:uid="{00000000-0005-0000-0000-0000FC200000}"/>
    <cellStyle name="Positive 2 17 10" xfId="8432" xr:uid="{00000000-0005-0000-0000-0000FD200000}"/>
    <cellStyle name="Positive 2 17 10 2" xfId="8433" xr:uid="{00000000-0005-0000-0000-0000FE200000}"/>
    <cellStyle name="Positive 2 17 11" xfId="8434" xr:uid="{00000000-0005-0000-0000-0000FF200000}"/>
    <cellStyle name="Positive 2 17 11 2" xfId="8435" xr:uid="{00000000-0005-0000-0000-000000210000}"/>
    <cellStyle name="Positive 2 17 12" xfId="8436" xr:uid="{00000000-0005-0000-0000-000001210000}"/>
    <cellStyle name="Positive 2 17 12 2" xfId="8437" xr:uid="{00000000-0005-0000-0000-000002210000}"/>
    <cellStyle name="Positive 2 17 13" xfId="8438" xr:uid="{00000000-0005-0000-0000-000003210000}"/>
    <cellStyle name="Positive 2 17 13 2" xfId="8439" xr:uid="{00000000-0005-0000-0000-000004210000}"/>
    <cellStyle name="Positive 2 17 14" xfId="8440" xr:uid="{00000000-0005-0000-0000-000005210000}"/>
    <cellStyle name="Positive 2 17 14 2" xfId="8441" xr:uid="{00000000-0005-0000-0000-000006210000}"/>
    <cellStyle name="Positive 2 17 15" xfId="8442" xr:uid="{00000000-0005-0000-0000-000007210000}"/>
    <cellStyle name="Positive 2 17 15 2" xfId="8443" xr:uid="{00000000-0005-0000-0000-000008210000}"/>
    <cellStyle name="Positive 2 17 16" xfId="8444" xr:uid="{00000000-0005-0000-0000-000009210000}"/>
    <cellStyle name="Positive 2 17 16 2" xfId="8445" xr:uid="{00000000-0005-0000-0000-00000A210000}"/>
    <cellStyle name="Positive 2 17 17" xfId="8446" xr:uid="{00000000-0005-0000-0000-00000B210000}"/>
    <cellStyle name="Positive 2 17 17 2" xfId="8447" xr:uid="{00000000-0005-0000-0000-00000C210000}"/>
    <cellStyle name="Positive 2 17 18" xfId="8448" xr:uid="{00000000-0005-0000-0000-00000D210000}"/>
    <cellStyle name="Positive 2 17 18 2" xfId="8449" xr:uid="{00000000-0005-0000-0000-00000E210000}"/>
    <cellStyle name="Positive 2 17 19" xfId="8450" xr:uid="{00000000-0005-0000-0000-00000F210000}"/>
    <cellStyle name="Positive 2 17 19 2" xfId="8451" xr:uid="{00000000-0005-0000-0000-000010210000}"/>
    <cellStyle name="Positive 2 17 2" xfId="8452" xr:uid="{00000000-0005-0000-0000-000011210000}"/>
    <cellStyle name="Positive 2 17 2 10" xfId="8453" xr:uid="{00000000-0005-0000-0000-000012210000}"/>
    <cellStyle name="Positive 2 17 2 10 2" xfId="8454" xr:uid="{00000000-0005-0000-0000-000013210000}"/>
    <cellStyle name="Positive 2 17 2 11" xfId="8455" xr:uid="{00000000-0005-0000-0000-000014210000}"/>
    <cellStyle name="Positive 2 17 2 11 2" xfId="8456" xr:uid="{00000000-0005-0000-0000-000015210000}"/>
    <cellStyle name="Positive 2 17 2 12" xfId="8457" xr:uid="{00000000-0005-0000-0000-000016210000}"/>
    <cellStyle name="Positive 2 17 2 12 2" xfId="8458" xr:uid="{00000000-0005-0000-0000-000017210000}"/>
    <cellStyle name="Positive 2 17 2 13" xfId="8459" xr:uid="{00000000-0005-0000-0000-000018210000}"/>
    <cellStyle name="Positive 2 17 2 13 2" xfId="8460" xr:uid="{00000000-0005-0000-0000-000019210000}"/>
    <cellStyle name="Positive 2 17 2 14" xfId="8461" xr:uid="{00000000-0005-0000-0000-00001A210000}"/>
    <cellStyle name="Positive 2 17 2 14 2" xfId="8462" xr:uid="{00000000-0005-0000-0000-00001B210000}"/>
    <cellStyle name="Positive 2 17 2 15" xfId="8463" xr:uid="{00000000-0005-0000-0000-00001C210000}"/>
    <cellStyle name="Positive 2 17 2 15 2" xfId="8464" xr:uid="{00000000-0005-0000-0000-00001D210000}"/>
    <cellStyle name="Positive 2 17 2 16" xfId="8465" xr:uid="{00000000-0005-0000-0000-00001E210000}"/>
    <cellStyle name="Positive 2 17 2 16 2" xfId="8466" xr:uid="{00000000-0005-0000-0000-00001F210000}"/>
    <cellStyle name="Positive 2 17 2 17" xfId="8467" xr:uid="{00000000-0005-0000-0000-000020210000}"/>
    <cellStyle name="Positive 2 17 2 17 2" xfId="8468" xr:uid="{00000000-0005-0000-0000-000021210000}"/>
    <cellStyle name="Positive 2 17 2 18" xfId="8469" xr:uid="{00000000-0005-0000-0000-000022210000}"/>
    <cellStyle name="Positive 2 17 2 18 2" xfId="8470" xr:uid="{00000000-0005-0000-0000-000023210000}"/>
    <cellStyle name="Positive 2 17 2 19" xfId="8471" xr:uid="{00000000-0005-0000-0000-000024210000}"/>
    <cellStyle name="Positive 2 17 2 19 2" xfId="8472" xr:uid="{00000000-0005-0000-0000-000025210000}"/>
    <cellStyle name="Positive 2 17 2 2" xfId="8473" xr:uid="{00000000-0005-0000-0000-000026210000}"/>
    <cellStyle name="Positive 2 17 2 2 10" xfId="8474" xr:uid="{00000000-0005-0000-0000-000027210000}"/>
    <cellStyle name="Positive 2 17 2 2 10 2" xfId="8475" xr:uid="{00000000-0005-0000-0000-000028210000}"/>
    <cellStyle name="Positive 2 17 2 2 11" xfId="8476" xr:uid="{00000000-0005-0000-0000-000029210000}"/>
    <cellStyle name="Positive 2 17 2 2 11 2" xfId="8477" xr:uid="{00000000-0005-0000-0000-00002A210000}"/>
    <cellStyle name="Positive 2 17 2 2 12" xfId="8478" xr:uid="{00000000-0005-0000-0000-00002B210000}"/>
    <cellStyle name="Positive 2 17 2 2 12 2" xfId="8479" xr:uid="{00000000-0005-0000-0000-00002C210000}"/>
    <cellStyle name="Positive 2 17 2 2 13" xfId="8480" xr:uid="{00000000-0005-0000-0000-00002D210000}"/>
    <cellStyle name="Positive 2 17 2 2 13 2" xfId="8481" xr:uid="{00000000-0005-0000-0000-00002E210000}"/>
    <cellStyle name="Positive 2 17 2 2 14" xfId="8482" xr:uid="{00000000-0005-0000-0000-00002F210000}"/>
    <cellStyle name="Positive 2 17 2 2 14 2" xfId="8483" xr:uid="{00000000-0005-0000-0000-000030210000}"/>
    <cellStyle name="Positive 2 17 2 2 15" xfId="8484" xr:uid="{00000000-0005-0000-0000-000031210000}"/>
    <cellStyle name="Positive 2 17 2 2 15 2" xfId="8485" xr:uid="{00000000-0005-0000-0000-000032210000}"/>
    <cellStyle name="Positive 2 17 2 2 16" xfId="8486" xr:uid="{00000000-0005-0000-0000-000033210000}"/>
    <cellStyle name="Positive 2 17 2 2 16 2" xfId="8487" xr:uid="{00000000-0005-0000-0000-000034210000}"/>
    <cellStyle name="Positive 2 17 2 2 17" xfId="8488" xr:uid="{00000000-0005-0000-0000-000035210000}"/>
    <cellStyle name="Positive 2 17 2 2 2" xfId="8489" xr:uid="{00000000-0005-0000-0000-000036210000}"/>
    <cellStyle name="Positive 2 17 2 2 2 2" xfId="8490" xr:uid="{00000000-0005-0000-0000-000037210000}"/>
    <cellStyle name="Positive 2 17 2 2 3" xfId="8491" xr:uid="{00000000-0005-0000-0000-000038210000}"/>
    <cellStyle name="Positive 2 17 2 2 3 2" xfId="8492" xr:uid="{00000000-0005-0000-0000-000039210000}"/>
    <cellStyle name="Positive 2 17 2 2 4" xfId="8493" xr:uid="{00000000-0005-0000-0000-00003A210000}"/>
    <cellStyle name="Positive 2 17 2 2 4 2" xfId="8494" xr:uid="{00000000-0005-0000-0000-00003B210000}"/>
    <cellStyle name="Positive 2 17 2 2 5" xfId="8495" xr:uid="{00000000-0005-0000-0000-00003C210000}"/>
    <cellStyle name="Positive 2 17 2 2 5 2" xfId="8496" xr:uid="{00000000-0005-0000-0000-00003D210000}"/>
    <cellStyle name="Positive 2 17 2 2 6" xfId="8497" xr:uid="{00000000-0005-0000-0000-00003E210000}"/>
    <cellStyle name="Positive 2 17 2 2 6 2" xfId="8498" xr:uid="{00000000-0005-0000-0000-00003F210000}"/>
    <cellStyle name="Positive 2 17 2 2 7" xfId="8499" xr:uid="{00000000-0005-0000-0000-000040210000}"/>
    <cellStyle name="Positive 2 17 2 2 7 2" xfId="8500" xr:uid="{00000000-0005-0000-0000-000041210000}"/>
    <cellStyle name="Positive 2 17 2 2 8" xfId="8501" xr:uid="{00000000-0005-0000-0000-000042210000}"/>
    <cellStyle name="Positive 2 17 2 2 8 2" xfId="8502" xr:uid="{00000000-0005-0000-0000-000043210000}"/>
    <cellStyle name="Positive 2 17 2 2 9" xfId="8503" xr:uid="{00000000-0005-0000-0000-000044210000}"/>
    <cellStyle name="Positive 2 17 2 2 9 2" xfId="8504" xr:uid="{00000000-0005-0000-0000-000045210000}"/>
    <cellStyle name="Positive 2 17 2 20" xfId="8505" xr:uid="{00000000-0005-0000-0000-000046210000}"/>
    <cellStyle name="Positive 2 17 2 3" xfId="8506" xr:uid="{00000000-0005-0000-0000-000047210000}"/>
    <cellStyle name="Positive 2 17 2 3 2" xfId="8507" xr:uid="{00000000-0005-0000-0000-000048210000}"/>
    <cellStyle name="Positive 2 17 2 3 2 2" xfId="8508" xr:uid="{00000000-0005-0000-0000-000049210000}"/>
    <cellStyle name="Positive 2 17 2 3 3" xfId="8509" xr:uid="{00000000-0005-0000-0000-00004A210000}"/>
    <cellStyle name="Positive 2 17 2 4" xfId="8510" xr:uid="{00000000-0005-0000-0000-00004B210000}"/>
    <cellStyle name="Positive 2 17 2 4 2" xfId="8511" xr:uid="{00000000-0005-0000-0000-00004C210000}"/>
    <cellStyle name="Positive 2 17 2 4 2 2" xfId="8512" xr:uid="{00000000-0005-0000-0000-00004D210000}"/>
    <cellStyle name="Positive 2 17 2 4 3" xfId="8513" xr:uid="{00000000-0005-0000-0000-00004E210000}"/>
    <cellStyle name="Positive 2 17 2 5" xfId="8514" xr:uid="{00000000-0005-0000-0000-00004F210000}"/>
    <cellStyle name="Positive 2 17 2 5 2" xfId="8515" xr:uid="{00000000-0005-0000-0000-000050210000}"/>
    <cellStyle name="Positive 2 17 2 6" xfId="8516" xr:uid="{00000000-0005-0000-0000-000051210000}"/>
    <cellStyle name="Positive 2 17 2 6 2" xfId="8517" xr:uid="{00000000-0005-0000-0000-000052210000}"/>
    <cellStyle name="Positive 2 17 2 7" xfId="8518" xr:uid="{00000000-0005-0000-0000-000053210000}"/>
    <cellStyle name="Positive 2 17 2 7 2" xfId="8519" xr:uid="{00000000-0005-0000-0000-000054210000}"/>
    <cellStyle name="Positive 2 17 2 8" xfId="8520" xr:uid="{00000000-0005-0000-0000-000055210000}"/>
    <cellStyle name="Positive 2 17 2 8 2" xfId="8521" xr:uid="{00000000-0005-0000-0000-000056210000}"/>
    <cellStyle name="Positive 2 17 2 9" xfId="8522" xr:uid="{00000000-0005-0000-0000-000057210000}"/>
    <cellStyle name="Positive 2 17 2 9 2" xfId="8523" xr:uid="{00000000-0005-0000-0000-000058210000}"/>
    <cellStyle name="Positive 2 17 20" xfId="8524" xr:uid="{00000000-0005-0000-0000-000059210000}"/>
    <cellStyle name="Positive 2 17 20 2" xfId="8525" xr:uid="{00000000-0005-0000-0000-00005A210000}"/>
    <cellStyle name="Positive 2 17 21" xfId="8526" xr:uid="{00000000-0005-0000-0000-00005B210000}"/>
    <cellStyle name="Positive 2 17 21 2" xfId="8527" xr:uid="{00000000-0005-0000-0000-00005C210000}"/>
    <cellStyle name="Positive 2 17 22" xfId="8528" xr:uid="{00000000-0005-0000-0000-00005D210000}"/>
    <cellStyle name="Positive 2 17 22 2" xfId="8529" xr:uid="{00000000-0005-0000-0000-00005E210000}"/>
    <cellStyle name="Positive 2 17 23" xfId="8530" xr:uid="{00000000-0005-0000-0000-00005F210000}"/>
    <cellStyle name="Positive 2 17 3" xfId="8531" xr:uid="{00000000-0005-0000-0000-000060210000}"/>
    <cellStyle name="Positive 2 17 3 10" xfId="8532" xr:uid="{00000000-0005-0000-0000-000061210000}"/>
    <cellStyle name="Positive 2 17 3 10 2" xfId="8533" xr:uid="{00000000-0005-0000-0000-000062210000}"/>
    <cellStyle name="Positive 2 17 3 11" xfId="8534" xr:uid="{00000000-0005-0000-0000-000063210000}"/>
    <cellStyle name="Positive 2 17 3 11 2" xfId="8535" xr:uid="{00000000-0005-0000-0000-000064210000}"/>
    <cellStyle name="Positive 2 17 3 12" xfId="8536" xr:uid="{00000000-0005-0000-0000-000065210000}"/>
    <cellStyle name="Positive 2 17 3 12 2" xfId="8537" xr:uid="{00000000-0005-0000-0000-000066210000}"/>
    <cellStyle name="Positive 2 17 3 13" xfId="8538" xr:uid="{00000000-0005-0000-0000-000067210000}"/>
    <cellStyle name="Positive 2 17 3 13 2" xfId="8539" xr:uid="{00000000-0005-0000-0000-000068210000}"/>
    <cellStyle name="Positive 2 17 3 14" xfId="8540" xr:uid="{00000000-0005-0000-0000-000069210000}"/>
    <cellStyle name="Positive 2 17 3 14 2" xfId="8541" xr:uid="{00000000-0005-0000-0000-00006A210000}"/>
    <cellStyle name="Positive 2 17 3 15" xfId="8542" xr:uid="{00000000-0005-0000-0000-00006B210000}"/>
    <cellStyle name="Positive 2 17 3 15 2" xfId="8543" xr:uid="{00000000-0005-0000-0000-00006C210000}"/>
    <cellStyle name="Positive 2 17 3 16" xfId="8544" xr:uid="{00000000-0005-0000-0000-00006D210000}"/>
    <cellStyle name="Positive 2 17 3 16 2" xfId="8545" xr:uid="{00000000-0005-0000-0000-00006E210000}"/>
    <cellStyle name="Positive 2 17 3 17" xfId="8546" xr:uid="{00000000-0005-0000-0000-00006F210000}"/>
    <cellStyle name="Positive 2 17 3 17 2" xfId="8547" xr:uid="{00000000-0005-0000-0000-000070210000}"/>
    <cellStyle name="Positive 2 17 3 18" xfId="8548" xr:uid="{00000000-0005-0000-0000-000071210000}"/>
    <cellStyle name="Positive 2 17 3 18 2" xfId="8549" xr:uid="{00000000-0005-0000-0000-000072210000}"/>
    <cellStyle name="Positive 2 17 3 19" xfId="8550" xr:uid="{00000000-0005-0000-0000-000073210000}"/>
    <cellStyle name="Positive 2 17 3 19 2" xfId="8551" xr:uid="{00000000-0005-0000-0000-000074210000}"/>
    <cellStyle name="Positive 2 17 3 2" xfId="8552" xr:uid="{00000000-0005-0000-0000-000075210000}"/>
    <cellStyle name="Positive 2 17 3 2 10" xfId="8553" xr:uid="{00000000-0005-0000-0000-000076210000}"/>
    <cellStyle name="Positive 2 17 3 2 10 2" xfId="8554" xr:uid="{00000000-0005-0000-0000-000077210000}"/>
    <cellStyle name="Positive 2 17 3 2 11" xfId="8555" xr:uid="{00000000-0005-0000-0000-000078210000}"/>
    <cellStyle name="Positive 2 17 3 2 11 2" xfId="8556" xr:uid="{00000000-0005-0000-0000-000079210000}"/>
    <cellStyle name="Positive 2 17 3 2 12" xfId="8557" xr:uid="{00000000-0005-0000-0000-00007A210000}"/>
    <cellStyle name="Positive 2 17 3 2 12 2" xfId="8558" xr:uid="{00000000-0005-0000-0000-00007B210000}"/>
    <cellStyle name="Positive 2 17 3 2 13" xfId="8559" xr:uid="{00000000-0005-0000-0000-00007C210000}"/>
    <cellStyle name="Positive 2 17 3 2 13 2" xfId="8560" xr:uid="{00000000-0005-0000-0000-00007D210000}"/>
    <cellStyle name="Positive 2 17 3 2 14" xfId="8561" xr:uid="{00000000-0005-0000-0000-00007E210000}"/>
    <cellStyle name="Positive 2 17 3 2 14 2" xfId="8562" xr:uid="{00000000-0005-0000-0000-00007F210000}"/>
    <cellStyle name="Positive 2 17 3 2 15" xfId="8563" xr:uid="{00000000-0005-0000-0000-000080210000}"/>
    <cellStyle name="Positive 2 17 3 2 15 2" xfId="8564" xr:uid="{00000000-0005-0000-0000-000081210000}"/>
    <cellStyle name="Positive 2 17 3 2 16" xfId="8565" xr:uid="{00000000-0005-0000-0000-000082210000}"/>
    <cellStyle name="Positive 2 17 3 2 16 2" xfId="8566" xr:uid="{00000000-0005-0000-0000-000083210000}"/>
    <cellStyle name="Positive 2 17 3 2 17" xfId="8567" xr:uid="{00000000-0005-0000-0000-000084210000}"/>
    <cellStyle name="Positive 2 17 3 2 2" xfId="8568" xr:uid="{00000000-0005-0000-0000-000085210000}"/>
    <cellStyle name="Positive 2 17 3 2 2 2" xfId="8569" xr:uid="{00000000-0005-0000-0000-000086210000}"/>
    <cellStyle name="Positive 2 17 3 2 3" xfId="8570" xr:uid="{00000000-0005-0000-0000-000087210000}"/>
    <cellStyle name="Positive 2 17 3 2 3 2" xfId="8571" xr:uid="{00000000-0005-0000-0000-000088210000}"/>
    <cellStyle name="Positive 2 17 3 2 4" xfId="8572" xr:uid="{00000000-0005-0000-0000-000089210000}"/>
    <cellStyle name="Positive 2 17 3 2 4 2" xfId="8573" xr:uid="{00000000-0005-0000-0000-00008A210000}"/>
    <cellStyle name="Positive 2 17 3 2 5" xfId="8574" xr:uid="{00000000-0005-0000-0000-00008B210000}"/>
    <cellStyle name="Positive 2 17 3 2 5 2" xfId="8575" xr:uid="{00000000-0005-0000-0000-00008C210000}"/>
    <cellStyle name="Positive 2 17 3 2 6" xfId="8576" xr:uid="{00000000-0005-0000-0000-00008D210000}"/>
    <cellStyle name="Positive 2 17 3 2 6 2" xfId="8577" xr:uid="{00000000-0005-0000-0000-00008E210000}"/>
    <cellStyle name="Positive 2 17 3 2 7" xfId="8578" xr:uid="{00000000-0005-0000-0000-00008F210000}"/>
    <cellStyle name="Positive 2 17 3 2 7 2" xfId="8579" xr:uid="{00000000-0005-0000-0000-000090210000}"/>
    <cellStyle name="Positive 2 17 3 2 8" xfId="8580" xr:uid="{00000000-0005-0000-0000-000091210000}"/>
    <cellStyle name="Positive 2 17 3 2 8 2" xfId="8581" xr:uid="{00000000-0005-0000-0000-000092210000}"/>
    <cellStyle name="Positive 2 17 3 2 9" xfId="8582" xr:uid="{00000000-0005-0000-0000-000093210000}"/>
    <cellStyle name="Positive 2 17 3 2 9 2" xfId="8583" xr:uid="{00000000-0005-0000-0000-000094210000}"/>
    <cellStyle name="Positive 2 17 3 20" xfId="8584" xr:uid="{00000000-0005-0000-0000-000095210000}"/>
    <cellStyle name="Positive 2 17 3 3" xfId="8585" xr:uid="{00000000-0005-0000-0000-000096210000}"/>
    <cellStyle name="Positive 2 17 3 3 2" xfId="8586" xr:uid="{00000000-0005-0000-0000-000097210000}"/>
    <cellStyle name="Positive 2 17 3 3 2 2" xfId="8587" xr:uid="{00000000-0005-0000-0000-000098210000}"/>
    <cellStyle name="Positive 2 17 3 3 3" xfId="8588" xr:uid="{00000000-0005-0000-0000-000099210000}"/>
    <cellStyle name="Positive 2 17 3 4" xfId="8589" xr:uid="{00000000-0005-0000-0000-00009A210000}"/>
    <cellStyle name="Positive 2 17 3 4 2" xfId="8590" xr:uid="{00000000-0005-0000-0000-00009B210000}"/>
    <cellStyle name="Positive 2 17 3 4 2 2" xfId="8591" xr:uid="{00000000-0005-0000-0000-00009C210000}"/>
    <cellStyle name="Positive 2 17 3 4 3" xfId="8592" xr:uid="{00000000-0005-0000-0000-00009D210000}"/>
    <cellStyle name="Positive 2 17 3 5" xfId="8593" xr:uid="{00000000-0005-0000-0000-00009E210000}"/>
    <cellStyle name="Positive 2 17 3 5 2" xfId="8594" xr:uid="{00000000-0005-0000-0000-00009F210000}"/>
    <cellStyle name="Positive 2 17 3 6" xfId="8595" xr:uid="{00000000-0005-0000-0000-0000A0210000}"/>
    <cellStyle name="Positive 2 17 3 6 2" xfId="8596" xr:uid="{00000000-0005-0000-0000-0000A1210000}"/>
    <cellStyle name="Positive 2 17 3 7" xfId="8597" xr:uid="{00000000-0005-0000-0000-0000A2210000}"/>
    <cellStyle name="Positive 2 17 3 7 2" xfId="8598" xr:uid="{00000000-0005-0000-0000-0000A3210000}"/>
    <cellStyle name="Positive 2 17 3 8" xfId="8599" xr:uid="{00000000-0005-0000-0000-0000A4210000}"/>
    <cellStyle name="Positive 2 17 3 8 2" xfId="8600" xr:uid="{00000000-0005-0000-0000-0000A5210000}"/>
    <cellStyle name="Positive 2 17 3 9" xfId="8601" xr:uid="{00000000-0005-0000-0000-0000A6210000}"/>
    <cellStyle name="Positive 2 17 3 9 2" xfId="8602" xr:uid="{00000000-0005-0000-0000-0000A7210000}"/>
    <cellStyle name="Positive 2 17 4" xfId="8603" xr:uid="{00000000-0005-0000-0000-0000A8210000}"/>
    <cellStyle name="Positive 2 17 4 10" xfId="8604" xr:uid="{00000000-0005-0000-0000-0000A9210000}"/>
    <cellStyle name="Positive 2 17 4 10 2" xfId="8605" xr:uid="{00000000-0005-0000-0000-0000AA210000}"/>
    <cellStyle name="Positive 2 17 4 11" xfId="8606" xr:uid="{00000000-0005-0000-0000-0000AB210000}"/>
    <cellStyle name="Positive 2 17 4 11 2" xfId="8607" xr:uid="{00000000-0005-0000-0000-0000AC210000}"/>
    <cellStyle name="Positive 2 17 4 12" xfId="8608" xr:uid="{00000000-0005-0000-0000-0000AD210000}"/>
    <cellStyle name="Positive 2 17 4 12 2" xfId="8609" xr:uid="{00000000-0005-0000-0000-0000AE210000}"/>
    <cellStyle name="Positive 2 17 4 13" xfId="8610" xr:uid="{00000000-0005-0000-0000-0000AF210000}"/>
    <cellStyle name="Positive 2 17 4 13 2" xfId="8611" xr:uid="{00000000-0005-0000-0000-0000B0210000}"/>
    <cellStyle name="Positive 2 17 4 14" xfId="8612" xr:uid="{00000000-0005-0000-0000-0000B1210000}"/>
    <cellStyle name="Positive 2 17 4 14 2" xfId="8613" xr:uid="{00000000-0005-0000-0000-0000B2210000}"/>
    <cellStyle name="Positive 2 17 4 15" xfId="8614" xr:uid="{00000000-0005-0000-0000-0000B3210000}"/>
    <cellStyle name="Positive 2 17 4 15 2" xfId="8615" xr:uid="{00000000-0005-0000-0000-0000B4210000}"/>
    <cellStyle name="Positive 2 17 4 16" xfId="8616" xr:uid="{00000000-0005-0000-0000-0000B5210000}"/>
    <cellStyle name="Positive 2 17 4 16 2" xfId="8617" xr:uid="{00000000-0005-0000-0000-0000B6210000}"/>
    <cellStyle name="Positive 2 17 4 17" xfId="8618" xr:uid="{00000000-0005-0000-0000-0000B7210000}"/>
    <cellStyle name="Positive 2 17 4 17 2" xfId="8619" xr:uid="{00000000-0005-0000-0000-0000B8210000}"/>
    <cellStyle name="Positive 2 17 4 18" xfId="8620" xr:uid="{00000000-0005-0000-0000-0000B9210000}"/>
    <cellStyle name="Positive 2 17 4 18 2" xfId="8621" xr:uid="{00000000-0005-0000-0000-0000BA210000}"/>
    <cellStyle name="Positive 2 17 4 19" xfId="8622" xr:uid="{00000000-0005-0000-0000-0000BB210000}"/>
    <cellStyle name="Positive 2 17 4 19 2" xfId="8623" xr:uid="{00000000-0005-0000-0000-0000BC210000}"/>
    <cellStyle name="Positive 2 17 4 2" xfId="8624" xr:uid="{00000000-0005-0000-0000-0000BD210000}"/>
    <cellStyle name="Positive 2 17 4 2 10" xfId="8625" xr:uid="{00000000-0005-0000-0000-0000BE210000}"/>
    <cellStyle name="Positive 2 17 4 2 10 2" xfId="8626" xr:uid="{00000000-0005-0000-0000-0000BF210000}"/>
    <cellStyle name="Positive 2 17 4 2 11" xfId="8627" xr:uid="{00000000-0005-0000-0000-0000C0210000}"/>
    <cellStyle name="Positive 2 17 4 2 11 2" xfId="8628" xr:uid="{00000000-0005-0000-0000-0000C1210000}"/>
    <cellStyle name="Positive 2 17 4 2 12" xfId="8629" xr:uid="{00000000-0005-0000-0000-0000C2210000}"/>
    <cellStyle name="Positive 2 17 4 2 12 2" xfId="8630" xr:uid="{00000000-0005-0000-0000-0000C3210000}"/>
    <cellStyle name="Positive 2 17 4 2 13" xfId="8631" xr:uid="{00000000-0005-0000-0000-0000C4210000}"/>
    <cellStyle name="Positive 2 17 4 2 13 2" xfId="8632" xr:uid="{00000000-0005-0000-0000-0000C5210000}"/>
    <cellStyle name="Positive 2 17 4 2 14" xfId="8633" xr:uid="{00000000-0005-0000-0000-0000C6210000}"/>
    <cellStyle name="Positive 2 17 4 2 14 2" xfId="8634" xr:uid="{00000000-0005-0000-0000-0000C7210000}"/>
    <cellStyle name="Positive 2 17 4 2 15" xfId="8635" xr:uid="{00000000-0005-0000-0000-0000C8210000}"/>
    <cellStyle name="Positive 2 17 4 2 15 2" xfId="8636" xr:uid="{00000000-0005-0000-0000-0000C9210000}"/>
    <cellStyle name="Positive 2 17 4 2 16" xfId="8637" xr:uid="{00000000-0005-0000-0000-0000CA210000}"/>
    <cellStyle name="Positive 2 17 4 2 16 2" xfId="8638" xr:uid="{00000000-0005-0000-0000-0000CB210000}"/>
    <cellStyle name="Positive 2 17 4 2 17" xfId="8639" xr:uid="{00000000-0005-0000-0000-0000CC210000}"/>
    <cellStyle name="Positive 2 17 4 2 2" xfId="8640" xr:uid="{00000000-0005-0000-0000-0000CD210000}"/>
    <cellStyle name="Positive 2 17 4 2 2 2" xfId="8641" xr:uid="{00000000-0005-0000-0000-0000CE210000}"/>
    <cellStyle name="Positive 2 17 4 2 3" xfId="8642" xr:uid="{00000000-0005-0000-0000-0000CF210000}"/>
    <cellStyle name="Positive 2 17 4 2 3 2" xfId="8643" xr:uid="{00000000-0005-0000-0000-0000D0210000}"/>
    <cellStyle name="Positive 2 17 4 2 4" xfId="8644" xr:uid="{00000000-0005-0000-0000-0000D1210000}"/>
    <cellStyle name="Positive 2 17 4 2 4 2" xfId="8645" xr:uid="{00000000-0005-0000-0000-0000D2210000}"/>
    <cellStyle name="Positive 2 17 4 2 5" xfId="8646" xr:uid="{00000000-0005-0000-0000-0000D3210000}"/>
    <cellStyle name="Positive 2 17 4 2 5 2" xfId="8647" xr:uid="{00000000-0005-0000-0000-0000D4210000}"/>
    <cellStyle name="Positive 2 17 4 2 6" xfId="8648" xr:uid="{00000000-0005-0000-0000-0000D5210000}"/>
    <cellStyle name="Positive 2 17 4 2 6 2" xfId="8649" xr:uid="{00000000-0005-0000-0000-0000D6210000}"/>
    <cellStyle name="Positive 2 17 4 2 7" xfId="8650" xr:uid="{00000000-0005-0000-0000-0000D7210000}"/>
    <cellStyle name="Positive 2 17 4 2 7 2" xfId="8651" xr:uid="{00000000-0005-0000-0000-0000D8210000}"/>
    <cellStyle name="Positive 2 17 4 2 8" xfId="8652" xr:uid="{00000000-0005-0000-0000-0000D9210000}"/>
    <cellStyle name="Positive 2 17 4 2 8 2" xfId="8653" xr:uid="{00000000-0005-0000-0000-0000DA210000}"/>
    <cellStyle name="Positive 2 17 4 2 9" xfId="8654" xr:uid="{00000000-0005-0000-0000-0000DB210000}"/>
    <cellStyle name="Positive 2 17 4 2 9 2" xfId="8655" xr:uid="{00000000-0005-0000-0000-0000DC210000}"/>
    <cellStyle name="Positive 2 17 4 20" xfId="8656" xr:uid="{00000000-0005-0000-0000-0000DD210000}"/>
    <cellStyle name="Positive 2 17 4 3" xfId="8657" xr:uid="{00000000-0005-0000-0000-0000DE210000}"/>
    <cellStyle name="Positive 2 17 4 3 2" xfId="8658" xr:uid="{00000000-0005-0000-0000-0000DF210000}"/>
    <cellStyle name="Positive 2 17 4 3 2 2" xfId="8659" xr:uid="{00000000-0005-0000-0000-0000E0210000}"/>
    <cellStyle name="Positive 2 17 4 3 3" xfId="8660" xr:uid="{00000000-0005-0000-0000-0000E1210000}"/>
    <cellStyle name="Positive 2 17 4 4" xfId="8661" xr:uid="{00000000-0005-0000-0000-0000E2210000}"/>
    <cellStyle name="Positive 2 17 4 4 2" xfId="8662" xr:uid="{00000000-0005-0000-0000-0000E3210000}"/>
    <cellStyle name="Positive 2 17 4 4 2 2" xfId="8663" xr:uid="{00000000-0005-0000-0000-0000E4210000}"/>
    <cellStyle name="Positive 2 17 4 4 3" xfId="8664" xr:uid="{00000000-0005-0000-0000-0000E5210000}"/>
    <cellStyle name="Positive 2 17 4 5" xfId="8665" xr:uid="{00000000-0005-0000-0000-0000E6210000}"/>
    <cellStyle name="Positive 2 17 4 5 2" xfId="8666" xr:uid="{00000000-0005-0000-0000-0000E7210000}"/>
    <cellStyle name="Positive 2 17 4 6" xfId="8667" xr:uid="{00000000-0005-0000-0000-0000E8210000}"/>
    <cellStyle name="Positive 2 17 4 6 2" xfId="8668" xr:uid="{00000000-0005-0000-0000-0000E9210000}"/>
    <cellStyle name="Positive 2 17 4 7" xfId="8669" xr:uid="{00000000-0005-0000-0000-0000EA210000}"/>
    <cellStyle name="Positive 2 17 4 7 2" xfId="8670" xr:uid="{00000000-0005-0000-0000-0000EB210000}"/>
    <cellStyle name="Positive 2 17 4 8" xfId="8671" xr:uid="{00000000-0005-0000-0000-0000EC210000}"/>
    <cellStyle name="Positive 2 17 4 8 2" xfId="8672" xr:uid="{00000000-0005-0000-0000-0000ED210000}"/>
    <cellStyle name="Positive 2 17 4 9" xfId="8673" xr:uid="{00000000-0005-0000-0000-0000EE210000}"/>
    <cellStyle name="Positive 2 17 4 9 2" xfId="8674" xr:uid="{00000000-0005-0000-0000-0000EF210000}"/>
    <cellStyle name="Positive 2 17 5" xfId="8675" xr:uid="{00000000-0005-0000-0000-0000F0210000}"/>
    <cellStyle name="Positive 2 17 5 10" xfId="8676" xr:uid="{00000000-0005-0000-0000-0000F1210000}"/>
    <cellStyle name="Positive 2 17 5 10 2" xfId="8677" xr:uid="{00000000-0005-0000-0000-0000F2210000}"/>
    <cellStyle name="Positive 2 17 5 11" xfId="8678" xr:uid="{00000000-0005-0000-0000-0000F3210000}"/>
    <cellStyle name="Positive 2 17 5 11 2" xfId="8679" xr:uid="{00000000-0005-0000-0000-0000F4210000}"/>
    <cellStyle name="Positive 2 17 5 12" xfId="8680" xr:uid="{00000000-0005-0000-0000-0000F5210000}"/>
    <cellStyle name="Positive 2 17 5 12 2" xfId="8681" xr:uid="{00000000-0005-0000-0000-0000F6210000}"/>
    <cellStyle name="Positive 2 17 5 13" xfId="8682" xr:uid="{00000000-0005-0000-0000-0000F7210000}"/>
    <cellStyle name="Positive 2 17 5 13 2" xfId="8683" xr:uid="{00000000-0005-0000-0000-0000F8210000}"/>
    <cellStyle name="Positive 2 17 5 14" xfId="8684" xr:uid="{00000000-0005-0000-0000-0000F9210000}"/>
    <cellStyle name="Positive 2 17 5 14 2" xfId="8685" xr:uid="{00000000-0005-0000-0000-0000FA210000}"/>
    <cellStyle name="Positive 2 17 5 15" xfId="8686" xr:uid="{00000000-0005-0000-0000-0000FB210000}"/>
    <cellStyle name="Positive 2 17 5 15 2" xfId="8687" xr:uid="{00000000-0005-0000-0000-0000FC210000}"/>
    <cellStyle name="Positive 2 17 5 16" xfId="8688" xr:uid="{00000000-0005-0000-0000-0000FD210000}"/>
    <cellStyle name="Positive 2 17 5 16 2" xfId="8689" xr:uid="{00000000-0005-0000-0000-0000FE210000}"/>
    <cellStyle name="Positive 2 17 5 17" xfId="8690" xr:uid="{00000000-0005-0000-0000-0000FF210000}"/>
    <cellStyle name="Positive 2 17 5 2" xfId="8691" xr:uid="{00000000-0005-0000-0000-000000220000}"/>
    <cellStyle name="Positive 2 17 5 2 2" xfId="8692" xr:uid="{00000000-0005-0000-0000-000001220000}"/>
    <cellStyle name="Positive 2 17 5 3" xfId="8693" xr:uid="{00000000-0005-0000-0000-000002220000}"/>
    <cellStyle name="Positive 2 17 5 3 2" xfId="8694" xr:uid="{00000000-0005-0000-0000-000003220000}"/>
    <cellStyle name="Positive 2 17 5 4" xfId="8695" xr:uid="{00000000-0005-0000-0000-000004220000}"/>
    <cellStyle name="Positive 2 17 5 4 2" xfId="8696" xr:uid="{00000000-0005-0000-0000-000005220000}"/>
    <cellStyle name="Positive 2 17 5 5" xfId="8697" xr:uid="{00000000-0005-0000-0000-000006220000}"/>
    <cellStyle name="Positive 2 17 5 5 2" xfId="8698" xr:uid="{00000000-0005-0000-0000-000007220000}"/>
    <cellStyle name="Positive 2 17 5 6" xfId="8699" xr:uid="{00000000-0005-0000-0000-000008220000}"/>
    <cellStyle name="Positive 2 17 5 6 2" xfId="8700" xr:uid="{00000000-0005-0000-0000-000009220000}"/>
    <cellStyle name="Positive 2 17 5 7" xfId="8701" xr:uid="{00000000-0005-0000-0000-00000A220000}"/>
    <cellStyle name="Positive 2 17 5 7 2" xfId="8702" xr:uid="{00000000-0005-0000-0000-00000B220000}"/>
    <cellStyle name="Positive 2 17 5 8" xfId="8703" xr:uid="{00000000-0005-0000-0000-00000C220000}"/>
    <cellStyle name="Positive 2 17 5 8 2" xfId="8704" xr:uid="{00000000-0005-0000-0000-00000D220000}"/>
    <cellStyle name="Positive 2 17 5 9" xfId="8705" xr:uid="{00000000-0005-0000-0000-00000E220000}"/>
    <cellStyle name="Positive 2 17 5 9 2" xfId="8706" xr:uid="{00000000-0005-0000-0000-00000F220000}"/>
    <cellStyle name="Positive 2 17 6" xfId="8707" xr:uid="{00000000-0005-0000-0000-000010220000}"/>
    <cellStyle name="Positive 2 17 6 2" xfId="8708" xr:uid="{00000000-0005-0000-0000-000011220000}"/>
    <cellStyle name="Positive 2 17 6 2 2" xfId="8709" xr:uid="{00000000-0005-0000-0000-000012220000}"/>
    <cellStyle name="Positive 2 17 6 3" xfId="8710" xr:uid="{00000000-0005-0000-0000-000013220000}"/>
    <cellStyle name="Positive 2 17 7" xfId="8711" xr:uid="{00000000-0005-0000-0000-000014220000}"/>
    <cellStyle name="Positive 2 17 7 2" xfId="8712" xr:uid="{00000000-0005-0000-0000-000015220000}"/>
    <cellStyle name="Positive 2 17 7 2 2" xfId="8713" xr:uid="{00000000-0005-0000-0000-000016220000}"/>
    <cellStyle name="Positive 2 17 7 3" xfId="8714" xr:uid="{00000000-0005-0000-0000-000017220000}"/>
    <cellStyle name="Positive 2 17 8" xfId="8715" xr:uid="{00000000-0005-0000-0000-000018220000}"/>
    <cellStyle name="Positive 2 17 8 2" xfId="8716" xr:uid="{00000000-0005-0000-0000-000019220000}"/>
    <cellStyle name="Positive 2 17 9" xfId="8717" xr:uid="{00000000-0005-0000-0000-00001A220000}"/>
    <cellStyle name="Positive 2 17 9 2" xfId="8718" xr:uid="{00000000-0005-0000-0000-00001B220000}"/>
    <cellStyle name="Positive 2 18" xfId="8719" xr:uid="{00000000-0005-0000-0000-00001C220000}"/>
    <cellStyle name="Positive 2 18 10" xfId="8720" xr:uid="{00000000-0005-0000-0000-00001D220000}"/>
    <cellStyle name="Positive 2 18 10 2" xfId="8721" xr:uid="{00000000-0005-0000-0000-00001E220000}"/>
    <cellStyle name="Positive 2 18 11" xfId="8722" xr:uid="{00000000-0005-0000-0000-00001F220000}"/>
    <cellStyle name="Positive 2 18 11 2" xfId="8723" xr:uid="{00000000-0005-0000-0000-000020220000}"/>
    <cellStyle name="Positive 2 18 12" xfId="8724" xr:uid="{00000000-0005-0000-0000-000021220000}"/>
    <cellStyle name="Positive 2 18 12 2" xfId="8725" xr:uid="{00000000-0005-0000-0000-000022220000}"/>
    <cellStyle name="Positive 2 18 13" xfId="8726" xr:uid="{00000000-0005-0000-0000-000023220000}"/>
    <cellStyle name="Positive 2 18 13 2" xfId="8727" xr:uid="{00000000-0005-0000-0000-000024220000}"/>
    <cellStyle name="Positive 2 18 14" xfId="8728" xr:uid="{00000000-0005-0000-0000-000025220000}"/>
    <cellStyle name="Positive 2 18 14 2" xfId="8729" xr:uid="{00000000-0005-0000-0000-000026220000}"/>
    <cellStyle name="Positive 2 18 15" xfId="8730" xr:uid="{00000000-0005-0000-0000-000027220000}"/>
    <cellStyle name="Positive 2 18 15 2" xfId="8731" xr:uid="{00000000-0005-0000-0000-000028220000}"/>
    <cellStyle name="Positive 2 18 16" xfId="8732" xr:uid="{00000000-0005-0000-0000-000029220000}"/>
    <cellStyle name="Positive 2 18 16 2" xfId="8733" xr:uid="{00000000-0005-0000-0000-00002A220000}"/>
    <cellStyle name="Positive 2 18 17" xfId="8734" xr:uid="{00000000-0005-0000-0000-00002B220000}"/>
    <cellStyle name="Positive 2 18 17 2" xfId="8735" xr:uid="{00000000-0005-0000-0000-00002C220000}"/>
    <cellStyle name="Positive 2 18 18" xfId="8736" xr:uid="{00000000-0005-0000-0000-00002D220000}"/>
    <cellStyle name="Positive 2 18 18 2" xfId="8737" xr:uid="{00000000-0005-0000-0000-00002E220000}"/>
    <cellStyle name="Positive 2 18 19" xfId="8738" xr:uid="{00000000-0005-0000-0000-00002F220000}"/>
    <cellStyle name="Positive 2 18 19 2" xfId="8739" xr:uid="{00000000-0005-0000-0000-000030220000}"/>
    <cellStyle name="Positive 2 18 2" xfId="8740" xr:uid="{00000000-0005-0000-0000-000031220000}"/>
    <cellStyle name="Positive 2 18 2 10" xfId="8741" xr:uid="{00000000-0005-0000-0000-000032220000}"/>
    <cellStyle name="Positive 2 18 2 10 2" xfId="8742" xr:uid="{00000000-0005-0000-0000-000033220000}"/>
    <cellStyle name="Positive 2 18 2 11" xfId="8743" xr:uid="{00000000-0005-0000-0000-000034220000}"/>
    <cellStyle name="Positive 2 18 2 11 2" xfId="8744" xr:uid="{00000000-0005-0000-0000-000035220000}"/>
    <cellStyle name="Positive 2 18 2 12" xfId="8745" xr:uid="{00000000-0005-0000-0000-000036220000}"/>
    <cellStyle name="Positive 2 18 2 12 2" xfId="8746" xr:uid="{00000000-0005-0000-0000-000037220000}"/>
    <cellStyle name="Positive 2 18 2 13" xfId="8747" xr:uid="{00000000-0005-0000-0000-000038220000}"/>
    <cellStyle name="Positive 2 18 2 13 2" xfId="8748" xr:uid="{00000000-0005-0000-0000-000039220000}"/>
    <cellStyle name="Positive 2 18 2 14" xfId="8749" xr:uid="{00000000-0005-0000-0000-00003A220000}"/>
    <cellStyle name="Positive 2 18 2 14 2" xfId="8750" xr:uid="{00000000-0005-0000-0000-00003B220000}"/>
    <cellStyle name="Positive 2 18 2 15" xfId="8751" xr:uid="{00000000-0005-0000-0000-00003C220000}"/>
    <cellStyle name="Positive 2 18 2 15 2" xfId="8752" xr:uid="{00000000-0005-0000-0000-00003D220000}"/>
    <cellStyle name="Positive 2 18 2 16" xfId="8753" xr:uid="{00000000-0005-0000-0000-00003E220000}"/>
    <cellStyle name="Positive 2 18 2 16 2" xfId="8754" xr:uid="{00000000-0005-0000-0000-00003F220000}"/>
    <cellStyle name="Positive 2 18 2 17" xfId="8755" xr:uid="{00000000-0005-0000-0000-000040220000}"/>
    <cellStyle name="Positive 2 18 2 17 2" xfId="8756" xr:uid="{00000000-0005-0000-0000-000041220000}"/>
    <cellStyle name="Positive 2 18 2 18" xfId="8757" xr:uid="{00000000-0005-0000-0000-000042220000}"/>
    <cellStyle name="Positive 2 18 2 18 2" xfId="8758" xr:uid="{00000000-0005-0000-0000-000043220000}"/>
    <cellStyle name="Positive 2 18 2 19" xfId="8759" xr:uid="{00000000-0005-0000-0000-000044220000}"/>
    <cellStyle name="Positive 2 18 2 19 2" xfId="8760" xr:uid="{00000000-0005-0000-0000-000045220000}"/>
    <cellStyle name="Positive 2 18 2 2" xfId="8761" xr:uid="{00000000-0005-0000-0000-000046220000}"/>
    <cellStyle name="Positive 2 18 2 2 10" xfId="8762" xr:uid="{00000000-0005-0000-0000-000047220000}"/>
    <cellStyle name="Positive 2 18 2 2 10 2" xfId="8763" xr:uid="{00000000-0005-0000-0000-000048220000}"/>
    <cellStyle name="Positive 2 18 2 2 11" xfId="8764" xr:uid="{00000000-0005-0000-0000-000049220000}"/>
    <cellStyle name="Positive 2 18 2 2 11 2" xfId="8765" xr:uid="{00000000-0005-0000-0000-00004A220000}"/>
    <cellStyle name="Positive 2 18 2 2 12" xfId="8766" xr:uid="{00000000-0005-0000-0000-00004B220000}"/>
    <cellStyle name="Positive 2 18 2 2 12 2" xfId="8767" xr:uid="{00000000-0005-0000-0000-00004C220000}"/>
    <cellStyle name="Positive 2 18 2 2 13" xfId="8768" xr:uid="{00000000-0005-0000-0000-00004D220000}"/>
    <cellStyle name="Positive 2 18 2 2 13 2" xfId="8769" xr:uid="{00000000-0005-0000-0000-00004E220000}"/>
    <cellStyle name="Positive 2 18 2 2 14" xfId="8770" xr:uid="{00000000-0005-0000-0000-00004F220000}"/>
    <cellStyle name="Positive 2 18 2 2 14 2" xfId="8771" xr:uid="{00000000-0005-0000-0000-000050220000}"/>
    <cellStyle name="Positive 2 18 2 2 15" xfId="8772" xr:uid="{00000000-0005-0000-0000-000051220000}"/>
    <cellStyle name="Positive 2 18 2 2 15 2" xfId="8773" xr:uid="{00000000-0005-0000-0000-000052220000}"/>
    <cellStyle name="Positive 2 18 2 2 16" xfId="8774" xr:uid="{00000000-0005-0000-0000-000053220000}"/>
    <cellStyle name="Positive 2 18 2 2 16 2" xfId="8775" xr:uid="{00000000-0005-0000-0000-000054220000}"/>
    <cellStyle name="Positive 2 18 2 2 17" xfId="8776" xr:uid="{00000000-0005-0000-0000-000055220000}"/>
    <cellStyle name="Positive 2 18 2 2 2" xfId="8777" xr:uid="{00000000-0005-0000-0000-000056220000}"/>
    <cellStyle name="Positive 2 18 2 2 2 2" xfId="8778" xr:uid="{00000000-0005-0000-0000-000057220000}"/>
    <cellStyle name="Positive 2 18 2 2 3" xfId="8779" xr:uid="{00000000-0005-0000-0000-000058220000}"/>
    <cellStyle name="Positive 2 18 2 2 3 2" xfId="8780" xr:uid="{00000000-0005-0000-0000-000059220000}"/>
    <cellStyle name="Positive 2 18 2 2 4" xfId="8781" xr:uid="{00000000-0005-0000-0000-00005A220000}"/>
    <cellStyle name="Positive 2 18 2 2 4 2" xfId="8782" xr:uid="{00000000-0005-0000-0000-00005B220000}"/>
    <cellStyle name="Positive 2 18 2 2 5" xfId="8783" xr:uid="{00000000-0005-0000-0000-00005C220000}"/>
    <cellStyle name="Positive 2 18 2 2 5 2" xfId="8784" xr:uid="{00000000-0005-0000-0000-00005D220000}"/>
    <cellStyle name="Positive 2 18 2 2 6" xfId="8785" xr:uid="{00000000-0005-0000-0000-00005E220000}"/>
    <cellStyle name="Positive 2 18 2 2 6 2" xfId="8786" xr:uid="{00000000-0005-0000-0000-00005F220000}"/>
    <cellStyle name="Positive 2 18 2 2 7" xfId="8787" xr:uid="{00000000-0005-0000-0000-000060220000}"/>
    <cellStyle name="Positive 2 18 2 2 7 2" xfId="8788" xr:uid="{00000000-0005-0000-0000-000061220000}"/>
    <cellStyle name="Positive 2 18 2 2 8" xfId="8789" xr:uid="{00000000-0005-0000-0000-000062220000}"/>
    <cellStyle name="Positive 2 18 2 2 8 2" xfId="8790" xr:uid="{00000000-0005-0000-0000-000063220000}"/>
    <cellStyle name="Positive 2 18 2 2 9" xfId="8791" xr:uid="{00000000-0005-0000-0000-000064220000}"/>
    <cellStyle name="Positive 2 18 2 2 9 2" xfId="8792" xr:uid="{00000000-0005-0000-0000-000065220000}"/>
    <cellStyle name="Positive 2 18 2 20" xfId="8793" xr:uid="{00000000-0005-0000-0000-000066220000}"/>
    <cellStyle name="Positive 2 18 2 3" xfId="8794" xr:uid="{00000000-0005-0000-0000-000067220000}"/>
    <cellStyle name="Positive 2 18 2 3 2" xfId="8795" xr:uid="{00000000-0005-0000-0000-000068220000}"/>
    <cellStyle name="Positive 2 18 2 3 2 2" xfId="8796" xr:uid="{00000000-0005-0000-0000-000069220000}"/>
    <cellStyle name="Positive 2 18 2 3 3" xfId="8797" xr:uid="{00000000-0005-0000-0000-00006A220000}"/>
    <cellStyle name="Positive 2 18 2 4" xfId="8798" xr:uid="{00000000-0005-0000-0000-00006B220000}"/>
    <cellStyle name="Positive 2 18 2 4 2" xfId="8799" xr:uid="{00000000-0005-0000-0000-00006C220000}"/>
    <cellStyle name="Positive 2 18 2 4 2 2" xfId="8800" xr:uid="{00000000-0005-0000-0000-00006D220000}"/>
    <cellStyle name="Positive 2 18 2 4 3" xfId="8801" xr:uid="{00000000-0005-0000-0000-00006E220000}"/>
    <cellStyle name="Positive 2 18 2 5" xfId="8802" xr:uid="{00000000-0005-0000-0000-00006F220000}"/>
    <cellStyle name="Positive 2 18 2 5 2" xfId="8803" xr:uid="{00000000-0005-0000-0000-000070220000}"/>
    <cellStyle name="Positive 2 18 2 6" xfId="8804" xr:uid="{00000000-0005-0000-0000-000071220000}"/>
    <cellStyle name="Positive 2 18 2 6 2" xfId="8805" xr:uid="{00000000-0005-0000-0000-000072220000}"/>
    <cellStyle name="Positive 2 18 2 7" xfId="8806" xr:uid="{00000000-0005-0000-0000-000073220000}"/>
    <cellStyle name="Positive 2 18 2 7 2" xfId="8807" xr:uid="{00000000-0005-0000-0000-000074220000}"/>
    <cellStyle name="Positive 2 18 2 8" xfId="8808" xr:uid="{00000000-0005-0000-0000-000075220000}"/>
    <cellStyle name="Positive 2 18 2 8 2" xfId="8809" xr:uid="{00000000-0005-0000-0000-000076220000}"/>
    <cellStyle name="Positive 2 18 2 9" xfId="8810" xr:uid="{00000000-0005-0000-0000-000077220000}"/>
    <cellStyle name="Positive 2 18 2 9 2" xfId="8811" xr:uid="{00000000-0005-0000-0000-000078220000}"/>
    <cellStyle name="Positive 2 18 20" xfId="8812" xr:uid="{00000000-0005-0000-0000-000079220000}"/>
    <cellStyle name="Positive 2 18 20 2" xfId="8813" xr:uid="{00000000-0005-0000-0000-00007A220000}"/>
    <cellStyle name="Positive 2 18 21" xfId="8814" xr:uid="{00000000-0005-0000-0000-00007B220000}"/>
    <cellStyle name="Positive 2 18 21 2" xfId="8815" xr:uid="{00000000-0005-0000-0000-00007C220000}"/>
    <cellStyle name="Positive 2 18 22" xfId="8816" xr:uid="{00000000-0005-0000-0000-00007D220000}"/>
    <cellStyle name="Positive 2 18 22 2" xfId="8817" xr:uid="{00000000-0005-0000-0000-00007E220000}"/>
    <cellStyle name="Positive 2 18 23" xfId="8818" xr:uid="{00000000-0005-0000-0000-00007F220000}"/>
    <cellStyle name="Positive 2 18 3" xfId="8819" xr:uid="{00000000-0005-0000-0000-000080220000}"/>
    <cellStyle name="Positive 2 18 3 10" xfId="8820" xr:uid="{00000000-0005-0000-0000-000081220000}"/>
    <cellStyle name="Positive 2 18 3 10 2" xfId="8821" xr:uid="{00000000-0005-0000-0000-000082220000}"/>
    <cellStyle name="Positive 2 18 3 11" xfId="8822" xr:uid="{00000000-0005-0000-0000-000083220000}"/>
    <cellStyle name="Positive 2 18 3 11 2" xfId="8823" xr:uid="{00000000-0005-0000-0000-000084220000}"/>
    <cellStyle name="Positive 2 18 3 12" xfId="8824" xr:uid="{00000000-0005-0000-0000-000085220000}"/>
    <cellStyle name="Positive 2 18 3 12 2" xfId="8825" xr:uid="{00000000-0005-0000-0000-000086220000}"/>
    <cellStyle name="Positive 2 18 3 13" xfId="8826" xr:uid="{00000000-0005-0000-0000-000087220000}"/>
    <cellStyle name="Positive 2 18 3 13 2" xfId="8827" xr:uid="{00000000-0005-0000-0000-000088220000}"/>
    <cellStyle name="Positive 2 18 3 14" xfId="8828" xr:uid="{00000000-0005-0000-0000-000089220000}"/>
    <cellStyle name="Positive 2 18 3 14 2" xfId="8829" xr:uid="{00000000-0005-0000-0000-00008A220000}"/>
    <cellStyle name="Positive 2 18 3 15" xfId="8830" xr:uid="{00000000-0005-0000-0000-00008B220000}"/>
    <cellStyle name="Positive 2 18 3 15 2" xfId="8831" xr:uid="{00000000-0005-0000-0000-00008C220000}"/>
    <cellStyle name="Positive 2 18 3 16" xfId="8832" xr:uid="{00000000-0005-0000-0000-00008D220000}"/>
    <cellStyle name="Positive 2 18 3 16 2" xfId="8833" xr:uid="{00000000-0005-0000-0000-00008E220000}"/>
    <cellStyle name="Positive 2 18 3 17" xfId="8834" xr:uid="{00000000-0005-0000-0000-00008F220000}"/>
    <cellStyle name="Positive 2 18 3 17 2" xfId="8835" xr:uid="{00000000-0005-0000-0000-000090220000}"/>
    <cellStyle name="Positive 2 18 3 18" xfId="8836" xr:uid="{00000000-0005-0000-0000-000091220000}"/>
    <cellStyle name="Positive 2 18 3 18 2" xfId="8837" xr:uid="{00000000-0005-0000-0000-000092220000}"/>
    <cellStyle name="Positive 2 18 3 19" xfId="8838" xr:uid="{00000000-0005-0000-0000-000093220000}"/>
    <cellStyle name="Positive 2 18 3 19 2" xfId="8839" xr:uid="{00000000-0005-0000-0000-000094220000}"/>
    <cellStyle name="Positive 2 18 3 2" xfId="8840" xr:uid="{00000000-0005-0000-0000-000095220000}"/>
    <cellStyle name="Positive 2 18 3 2 10" xfId="8841" xr:uid="{00000000-0005-0000-0000-000096220000}"/>
    <cellStyle name="Positive 2 18 3 2 10 2" xfId="8842" xr:uid="{00000000-0005-0000-0000-000097220000}"/>
    <cellStyle name="Positive 2 18 3 2 11" xfId="8843" xr:uid="{00000000-0005-0000-0000-000098220000}"/>
    <cellStyle name="Positive 2 18 3 2 11 2" xfId="8844" xr:uid="{00000000-0005-0000-0000-000099220000}"/>
    <cellStyle name="Positive 2 18 3 2 12" xfId="8845" xr:uid="{00000000-0005-0000-0000-00009A220000}"/>
    <cellStyle name="Positive 2 18 3 2 12 2" xfId="8846" xr:uid="{00000000-0005-0000-0000-00009B220000}"/>
    <cellStyle name="Positive 2 18 3 2 13" xfId="8847" xr:uid="{00000000-0005-0000-0000-00009C220000}"/>
    <cellStyle name="Positive 2 18 3 2 13 2" xfId="8848" xr:uid="{00000000-0005-0000-0000-00009D220000}"/>
    <cellStyle name="Positive 2 18 3 2 14" xfId="8849" xr:uid="{00000000-0005-0000-0000-00009E220000}"/>
    <cellStyle name="Positive 2 18 3 2 14 2" xfId="8850" xr:uid="{00000000-0005-0000-0000-00009F220000}"/>
    <cellStyle name="Positive 2 18 3 2 15" xfId="8851" xr:uid="{00000000-0005-0000-0000-0000A0220000}"/>
    <cellStyle name="Positive 2 18 3 2 15 2" xfId="8852" xr:uid="{00000000-0005-0000-0000-0000A1220000}"/>
    <cellStyle name="Positive 2 18 3 2 16" xfId="8853" xr:uid="{00000000-0005-0000-0000-0000A2220000}"/>
    <cellStyle name="Positive 2 18 3 2 16 2" xfId="8854" xr:uid="{00000000-0005-0000-0000-0000A3220000}"/>
    <cellStyle name="Positive 2 18 3 2 17" xfId="8855" xr:uid="{00000000-0005-0000-0000-0000A4220000}"/>
    <cellStyle name="Positive 2 18 3 2 2" xfId="8856" xr:uid="{00000000-0005-0000-0000-0000A5220000}"/>
    <cellStyle name="Positive 2 18 3 2 2 2" xfId="8857" xr:uid="{00000000-0005-0000-0000-0000A6220000}"/>
    <cellStyle name="Positive 2 18 3 2 3" xfId="8858" xr:uid="{00000000-0005-0000-0000-0000A7220000}"/>
    <cellStyle name="Positive 2 18 3 2 3 2" xfId="8859" xr:uid="{00000000-0005-0000-0000-0000A8220000}"/>
    <cellStyle name="Positive 2 18 3 2 4" xfId="8860" xr:uid="{00000000-0005-0000-0000-0000A9220000}"/>
    <cellStyle name="Positive 2 18 3 2 4 2" xfId="8861" xr:uid="{00000000-0005-0000-0000-0000AA220000}"/>
    <cellStyle name="Positive 2 18 3 2 5" xfId="8862" xr:uid="{00000000-0005-0000-0000-0000AB220000}"/>
    <cellStyle name="Positive 2 18 3 2 5 2" xfId="8863" xr:uid="{00000000-0005-0000-0000-0000AC220000}"/>
    <cellStyle name="Positive 2 18 3 2 6" xfId="8864" xr:uid="{00000000-0005-0000-0000-0000AD220000}"/>
    <cellStyle name="Positive 2 18 3 2 6 2" xfId="8865" xr:uid="{00000000-0005-0000-0000-0000AE220000}"/>
    <cellStyle name="Positive 2 18 3 2 7" xfId="8866" xr:uid="{00000000-0005-0000-0000-0000AF220000}"/>
    <cellStyle name="Positive 2 18 3 2 7 2" xfId="8867" xr:uid="{00000000-0005-0000-0000-0000B0220000}"/>
    <cellStyle name="Positive 2 18 3 2 8" xfId="8868" xr:uid="{00000000-0005-0000-0000-0000B1220000}"/>
    <cellStyle name="Positive 2 18 3 2 8 2" xfId="8869" xr:uid="{00000000-0005-0000-0000-0000B2220000}"/>
    <cellStyle name="Positive 2 18 3 2 9" xfId="8870" xr:uid="{00000000-0005-0000-0000-0000B3220000}"/>
    <cellStyle name="Positive 2 18 3 2 9 2" xfId="8871" xr:uid="{00000000-0005-0000-0000-0000B4220000}"/>
    <cellStyle name="Positive 2 18 3 20" xfId="8872" xr:uid="{00000000-0005-0000-0000-0000B5220000}"/>
    <cellStyle name="Positive 2 18 3 3" xfId="8873" xr:uid="{00000000-0005-0000-0000-0000B6220000}"/>
    <cellStyle name="Positive 2 18 3 3 2" xfId="8874" xr:uid="{00000000-0005-0000-0000-0000B7220000}"/>
    <cellStyle name="Positive 2 18 3 3 2 2" xfId="8875" xr:uid="{00000000-0005-0000-0000-0000B8220000}"/>
    <cellStyle name="Positive 2 18 3 3 3" xfId="8876" xr:uid="{00000000-0005-0000-0000-0000B9220000}"/>
    <cellStyle name="Positive 2 18 3 4" xfId="8877" xr:uid="{00000000-0005-0000-0000-0000BA220000}"/>
    <cellStyle name="Positive 2 18 3 4 2" xfId="8878" xr:uid="{00000000-0005-0000-0000-0000BB220000}"/>
    <cellStyle name="Positive 2 18 3 4 2 2" xfId="8879" xr:uid="{00000000-0005-0000-0000-0000BC220000}"/>
    <cellStyle name="Positive 2 18 3 4 3" xfId="8880" xr:uid="{00000000-0005-0000-0000-0000BD220000}"/>
    <cellStyle name="Positive 2 18 3 5" xfId="8881" xr:uid="{00000000-0005-0000-0000-0000BE220000}"/>
    <cellStyle name="Positive 2 18 3 5 2" xfId="8882" xr:uid="{00000000-0005-0000-0000-0000BF220000}"/>
    <cellStyle name="Positive 2 18 3 6" xfId="8883" xr:uid="{00000000-0005-0000-0000-0000C0220000}"/>
    <cellStyle name="Positive 2 18 3 6 2" xfId="8884" xr:uid="{00000000-0005-0000-0000-0000C1220000}"/>
    <cellStyle name="Positive 2 18 3 7" xfId="8885" xr:uid="{00000000-0005-0000-0000-0000C2220000}"/>
    <cellStyle name="Positive 2 18 3 7 2" xfId="8886" xr:uid="{00000000-0005-0000-0000-0000C3220000}"/>
    <cellStyle name="Positive 2 18 3 8" xfId="8887" xr:uid="{00000000-0005-0000-0000-0000C4220000}"/>
    <cellStyle name="Positive 2 18 3 8 2" xfId="8888" xr:uid="{00000000-0005-0000-0000-0000C5220000}"/>
    <cellStyle name="Positive 2 18 3 9" xfId="8889" xr:uid="{00000000-0005-0000-0000-0000C6220000}"/>
    <cellStyle name="Positive 2 18 3 9 2" xfId="8890" xr:uid="{00000000-0005-0000-0000-0000C7220000}"/>
    <cellStyle name="Positive 2 18 4" xfId="8891" xr:uid="{00000000-0005-0000-0000-0000C8220000}"/>
    <cellStyle name="Positive 2 18 4 10" xfId="8892" xr:uid="{00000000-0005-0000-0000-0000C9220000}"/>
    <cellStyle name="Positive 2 18 4 10 2" xfId="8893" xr:uid="{00000000-0005-0000-0000-0000CA220000}"/>
    <cellStyle name="Positive 2 18 4 11" xfId="8894" xr:uid="{00000000-0005-0000-0000-0000CB220000}"/>
    <cellStyle name="Positive 2 18 4 11 2" xfId="8895" xr:uid="{00000000-0005-0000-0000-0000CC220000}"/>
    <cellStyle name="Positive 2 18 4 12" xfId="8896" xr:uid="{00000000-0005-0000-0000-0000CD220000}"/>
    <cellStyle name="Positive 2 18 4 12 2" xfId="8897" xr:uid="{00000000-0005-0000-0000-0000CE220000}"/>
    <cellStyle name="Positive 2 18 4 13" xfId="8898" xr:uid="{00000000-0005-0000-0000-0000CF220000}"/>
    <cellStyle name="Positive 2 18 4 13 2" xfId="8899" xr:uid="{00000000-0005-0000-0000-0000D0220000}"/>
    <cellStyle name="Positive 2 18 4 14" xfId="8900" xr:uid="{00000000-0005-0000-0000-0000D1220000}"/>
    <cellStyle name="Positive 2 18 4 14 2" xfId="8901" xr:uid="{00000000-0005-0000-0000-0000D2220000}"/>
    <cellStyle name="Positive 2 18 4 15" xfId="8902" xr:uid="{00000000-0005-0000-0000-0000D3220000}"/>
    <cellStyle name="Positive 2 18 4 15 2" xfId="8903" xr:uid="{00000000-0005-0000-0000-0000D4220000}"/>
    <cellStyle name="Positive 2 18 4 16" xfId="8904" xr:uid="{00000000-0005-0000-0000-0000D5220000}"/>
    <cellStyle name="Positive 2 18 4 16 2" xfId="8905" xr:uid="{00000000-0005-0000-0000-0000D6220000}"/>
    <cellStyle name="Positive 2 18 4 17" xfId="8906" xr:uid="{00000000-0005-0000-0000-0000D7220000}"/>
    <cellStyle name="Positive 2 18 4 17 2" xfId="8907" xr:uid="{00000000-0005-0000-0000-0000D8220000}"/>
    <cellStyle name="Positive 2 18 4 18" xfId="8908" xr:uid="{00000000-0005-0000-0000-0000D9220000}"/>
    <cellStyle name="Positive 2 18 4 18 2" xfId="8909" xr:uid="{00000000-0005-0000-0000-0000DA220000}"/>
    <cellStyle name="Positive 2 18 4 19" xfId="8910" xr:uid="{00000000-0005-0000-0000-0000DB220000}"/>
    <cellStyle name="Positive 2 18 4 19 2" xfId="8911" xr:uid="{00000000-0005-0000-0000-0000DC220000}"/>
    <cellStyle name="Positive 2 18 4 2" xfId="8912" xr:uid="{00000000-0005-0000-0000-0000DD220000}"/>
    <cellStyle name="Positive 2 18 4 2 10" xfId="8913" xr:uid="{00000000-0005-0000-0000-0000DE220000}"/>
    <cellStyle name="Positive 2 18 4 2 10 2" xfId="8914" xr:uid="{00000000-0005-0000-0000-0000DF220000}"/>
    <cellStyle name="Positive 2 18 4 2 11" xfId="8915" xr:uid="{00000000-0005-0000-0000-0000E0220000}"/>
    <cellStyle name="Positive 2 18 4 2 11 2" xfId="8916" xr:uid="{00000000-0005-0000-0000-0000E1220000}"/>
    <cellStyle name="Positive 2 18 4 2 12" xfId="8917" xr:uid="{00000000-0005-0000-0000-0000E2220000}"/>
    <cellStyle name="Positive 2 18 4 2 12 2" xfId="8918" xr:uid="{00000000-0005-0000-0000-0000E3220000}"/>
    <cellStyle name="Positive 2 18 4 2 13" xfId="8919" xr:uid="{00000000-0005-0000-0000-0000E4220000}"/>
    <cellStyle name="Positive 2 18 4 2 13 2" xfId="8920" xr:uid="{00000000-0005-0000-0000-0000E5220000}"/>
    <cellStyle name="Positive 2 18 4 2 14" xfId="8921" xr:uid="{00000000-0005-0000-0000-0000E6220000}"/>
    <cellStyle name="Positive 2 18 4 2 14 2" xfId="8922" xr:uid="{00000000-0005-0000-0000-0000E7220000}"/>
    <cellStyle name="Positive 2 18 4 2 15" xfId="8923" xr:uid="{00000000-0005-0000-0000-0000E8220000}"/>
    <cellStyle name="Positive 2 18 4 2 15 2" xfId="8924" xr:uid="{00000000-0005-0000-0000-0000E9220000}"/>
    <cellStyle name="Positive 2 18 4 2 16" xfId="8925" xr:uid="{00000000-0005-0000-0000-0000EA220000}"/>
    <cellStyle name="Positive 2 18 4 2 16 2" xfId="8926" xr:uid="{00000000-0005-0000-0000-0000EB220000}"/>
    <cellStyle name="Positive 2 18 4 2 17" xfId="8927" xr:uid="{00000000-0005-0000-0000-0000EC220000}"/>
    <cellStyle name="Positive 2 18 4 2 2" xfId="8928" xr:uid="{00000000-0005-0000-0000-0000ED220000}"/>
    <cellStyle name="Positive 2 18 4 2 2 2" xfId="8929" xr:uid="{00000000-0005-0000-0000-0000EE220000}"/>
    <cellStyle name="Positive 2 18 4 2 3" xfId="8930" xr:uid="{00000000-0005-0000-0000-0000EF220000}"/>
    <cellStyle name="Positive 2 18 4 2 3 2" xfId="8931" xr:uid="{00000000-0005-0000-0000-0000F0220000}"/>
    <cellStyle name="Positive 2 18 4 2 4" xfId="8932" xr:uid="{00000000-0005-0000-0000-0000F1220000}"/>
    <cellStyle name="Positive 2 18 4 2 4 2" xfId="8933" xr:uid="{00000000-0005-0000-0000-0000F2220000}"/>
    <cellStyle name="Positive 2 18 4 2 5" xfId="8934" xr:uid="{00000000-0005-0000-0000-0000F3220000}"/>
    <cellStyle name="Positive 2 18 4 2 5 2" xfId="8935" xr:uid="{00000000-0005-0000-0000-0000F4220000}"/>
    <cellStyle name="Positive 2 18 4 2 6" xfId="8936" xr:uid="{00000000-0005-0000-0000-0000F5220000}"/>
    <cellStyle name="Positive 2 18 4 2 6 2" xfId="8937" xr:uid="{00000000-0005-0000-0000-0000F6220000}"/>
    <cellStyle name="Positive 2 18 4 2 7" xfId="8938" xr:uid="{00000000-0005-0000-0000-0000F7220000}"/>
    <cellStyle name="Positive 2 18 4 2 7 2" xfId="8939" xr:uid="{00000000-0005-0000-0000-0000F8220000}"/>
    <cellStyle name="Positive 2 18 4 2 8" xfId="8940" xr:uid="{00000000-0005-0000-0000-0000F9220000}"/>
    <cellStyle name="Positive 2 18 4 2 8 2" xfId="8941" xr:uid="{00000000-0005-0000-0000-0000FA220000}"/>
    <cellStyle name="Positive 2 18 4 2 9" xfId="8942" xr:uid="{00000000-0005-0000-0000-0000FB220000}"/>
    <cellStyle name="Positive 2 18 4 2 9 2" xfId="8943" xr:uid="{00000000-0005-0000-0000-0000FC220000}"/>
    <cellStyle name="Positive 2 18 4 20" xfId="8944" xr:uid="{00000000-0005-0000-0000-0000FD220000}"/>
    <cellStyle name="Positive 2 18 4 3" xfId="8945" xr:uid="{00000000-0005-0000-0000-0000FE220000}"/>
    <cellStyle name="Positive 2 18 4 3 2" xfId="8946" xr:uid="{00000000-0005-0000-0000-0000FF220000}"/>
    <cellStyle name="Positive 2 18 4 3 2 2" xfId="8947" xr:uid="{00000000-0005-0000-0000-000000230000}"/>
    <cellStyle name="Positive 2 18 4 3 3" xfId="8948" xr:uid="{00000000-0005-0000-0000-000001230000}"/>
    <cellStyle name="Positive 2 18 4 4" xfId="8949" xr:uid="{00000000-0005-0000-0000-000002230000}"/>
    <cellStyle name="Positive 2 18 4 4 2" xfId="8950" xr:uid="{00000000-0005-0000-0000-000003230000}"/>
    <cellStyle name="Positive 2 18 4 4 2 2" xfId="8951" xr:uid="{00000000-0005-0000-0000-000004230000}"/>
    <cellStyle name="Positive 2 18 4 4 3" xfId="8952" xr:uid="{00000000-0005-0000-0000-000005230000}"/>
    <cellStyle name="Positive 2 18 4 5" xfId="8953" xr:uid="{00000000-0005-0000-0000-000006230000}"/>
    <cellStyle name="Positive 2 18 4 5 2" xfId="8954" xr:uid="{00000000-0005-0000-0000-000007230000}"/>
    <cellStyle name="Positive 2 18 4 6" xfId="8955" xr:uid="{00000000-0005-0000-0000-000008230000}"/>
    <cellStyle name="Positive 2 18 4 6 2" xfId="8956" xr:uid="{00000000-0005-0000-0000-000009230000}"/>
    <cellStyle name="Positive 2 18 4 7" xfId="8957" xr:uid="{00000000-0005-0000-0000-00000A230000}"/>
    <cellStyle name="Positive 2 18 4 7 2" xfId="8958" xr:uid="{00000000-0005-0000-0000-00000B230000}"/>
    <cellStyle name="Positive 2 18 4 8" xfId="8959" xr:uid="{00000000-0005-0000-0000-00000C230000}"/>
    <cellStyle name="Positive 2 18 4 8 2" xfId="8960" xr:uid="{00000000-0005-0000-0000-00000D230000}"/>
    <cellStyle name="Positive 2 18 4 9" xfId="8961" xr:uid="{00000000-0005-0000-0000-00000E230000}"/>
    <cellStyle name="Positive 2 18 4 9 2" xfId="8962" xr:uid="{00000000-0005-0000-0000-00000F230000}"/>
    <cellStyle name="Positive 2 18 5" xfId="8963" xr:uid="{00000000-0005-0000-0000-000010230000}"/>
    <cellStyle name="Positive 2 18 5 10" xfId="8964" xr:uid="{00000000-0005-0000-0000-000011230000}"/>
    <cellStyle name="Positive 2 18 5 10 2" xfId="8965" xr:uid="{00000000-0005-0000-0000-000012230000}"/>
    <cellStyle name="Positive 2 18 5 11" xfId="8966" xr:uid="{00000000-0005-0000-0000-000013230000}"/>
    <cellStyle name="Positive 2 18 5 11 2" xfId="8967" xr:uid="{00000000-0005-0000-0000-000014230000}"/>
    <cellStyle name="Positive 2 18 5 12" xfId="8968" xr:uid="{00000000-0005-0000-0000-000015230000}"/>
    <cellStyle name="Positive 2 18 5 12 2" xfId="8969" xr:uid="{00000000-0005-0000-0000-000016230000}"/>
    <cellStyle name="Positive 2 18 5 13" xfId="8970" xr:uid="{00000000-0005-0000-0000-000017230000}"/>
    <cellStyle name="Positive 2 18 5 13 2" xfId="8971" xr:uid="{00000000-0005-0000-0000-000018230000}"/>
    <cellStyle name="Positive 2 18 5 14" xfId="8972" xr:uid="{00000000-0005-0000-0000-000019230000}"/>
    <cellStyle name="Positive 2 18 5 14 2" xfId="8973" xr:uid="{00000000-0005-0000-0000-00001A230000}"/>
    <cellStyle name="Positive 2 18 5 15" xfId="8974" xr:uid="{00000000-0005-0000-0000-00001B230000}"/>
    <cellStyle name="Positive 2 18 5 15 2" xfId="8975" xr:uid="{00000000-0005-0000-0000-00001C230000}"/>
    <cellStyle name="Positive 2 18 5 16" xfId="8976" xr:uid="{00000000-0005-0000-0000-00001D230000}"/>
    <cellStyle name="Positive 2 18 5 16 2" xfId="8977" xr:uid="{00000000-0005-0000-0000-00001E230000}"/>
    <cellStyle name="Positive 2 18 5 17" xfId="8978" xr:uid="{00000000-0005-0000-0000-00001F230000}"/>
    <cellStyle name="Positive 2 18 5 2" xfId="8979" xr:uid="{00000000-0005-0000-0000-000020230000}"/>
    <cellStyle name="Positive 2 18 5 2 2" xfId="8980" xr:uid="{00000000-0005-0000-0000-000021230000}"/>
    <cellStyle name="Positive 2 18 5 3" xfId="8981" xr:uid="{00000000-0005-0000-0000-000022230000}"/>
    <cellStyle name="Positive 2 18 5 3 2" xfId="8982" xr:uid="{00000000-0005-0000-0000-000023230000}"/>
    <cellStyle name="Positive 2 18 5 4" xfId="8983" xr:uid="{00000000-0005-0000-0000-000024230000}"/>
    <cellStyle name="Positive 2 18 5 4 2" xfId="8984" xr:uid="{00000000-0005-0000-0000-000025230000}"/>
    <cellStyle name="Positive 2 18 5 5" xfId="8985" xr:uid="{00000000-0005-0000-0000-000026230000}"/>
    <cellStyle name="Positive 2 18 5 5 2" xfId="8986" xr:uid="{00000000-0005-0000-0000-000027230000}"/>
    <cellStyle name="Positive 2 18 5 6" xfId="8987" xr:uid="{00000000-0005-0000-0000-000028230000}"/>
    <cellStyle name="Positive 2 18 5 6 2" xfId="8988" xr:uid="{00000000-0005-0000-0000-000029230000}"/>
    <cellStyle name="Positive 2 18 5 7" xfId="8989" xr:uid="{00000000-0005-0000-0000-00002A230000}"/>
    <cellStyle name="Positive 2 18 5 7 2" xfId="8990" xr:uid="{00000000-0005-0000-0000-00002B230000}"/>
    <cellStyle name="Positive 2 18 5 8" xfId="8991" xr:uid="{00000000-0005-0000-0000-00002C230000}"/>
    <cellStyle name="Positive 2 18 5 8 2" xfId="8992" xr:uid="{00000000-0005-0000-0000-00002D230000}"/>
    <cellStyle name="Positive 2 18 5 9" xfId="8993" xr:uid="{00000000-0005-0000-0000-00002E230000}"/>
    <cellStyle name="Positive 2 18 5 9 2" xfId="8994" xr:uid="{00000000-0005-0000-0000-00002F230000}"/>
    <cellStyle name="Positive 2 18 6" xfId="8995" xr:uid="{00000000-0005-0000-0000-000030230000}"/>
    <cellStyle name="Positive 2 18 6 2" xfId="8996" xr:uid="{00000000-0005-0000-0000-000031230000}"/>
    <cellStyle name="Positive 2 18 6 2 2" xfId="8997" xr:uid="{00000000-0005-0000-0000-000032230000}"/>
    <cellStyle name="Positive 2 18 6 3" xfId="8998" xr:uid="{00000000-0005-0000-0000-000033230000}"/>
    <cellStyle name="Positive 2 18 7" xfId="8999" xr:uid="{00000000-0005-0000-0000-000034230000}"/>
    <cellStyle name="Positive 2 18 7 2" xfId="9000" xr:uid="{00000000-0005-0000-0000-000035230000}"/>
    <cellStyle name="Positive 2 18 7 2 2" xfId="9001" xr:uid="{00000000-0005-0000-0000-000036230000}"/>
    <cellStyle name="Positive 2 18 7 3" xfId="9002" xr:uid="{00000000-0005-0000-0000-000037230000}"/>
    <cellStyle name="Positive 2 18 8" xfId="9003" xr:uid="{00000000-0005-0000-0000-000038230000}"/>
    <cellStyle name="Positive 2 18 8 2" xfId="9004" xr:uid="{00000000-0005-0000-0000-000039230000}"/>
    <cellStyle name="Positive 2 18 9" xfId="9005" xr:uid="{00000000-0005-0000-0000-00003A230000}"/>
    <cellStyle name="Positive 2 18 9 2" xfId="9006" xr:uid="{00000000-0005-0000-0000-00003B230000}"/>
    <cellStyle name="Positive 2 19" xfId="9007" xr:uid="{00000000-0005-0000-0000-00003C230000}"/>
    <cellStyle name="Positive 2 19 10" xfId="9008" xr:uid="{00000000-0005-0000-0000-00003D230000}"/>
    <cellStyle name="Positive 2 19 10 2" xfId="9009" xr:uid="{00000000-0005-0000-0000-00003E230000}"/>
    <cellStyle name="Positive 2 19 11" xfId="9010" xr:uid="{00000000-0005-0000-0000-00003F230000}"/>
    <cellStyle name="Positive 2 19 11 2" xfId="9011" xr:uid="{00000000-0005-0000-0000-000040230000}"/>
    <cellStyle name="Positive 2 19 12" xfId="9012" xr:uid="{00000000-0005-0000-0000-000041230000}"/>
    <cellStyle name="Positive 2 19 12 2" xfId="9013" xr:uid="{00000000-0005-0000-0000-000042230000}"/>
    <cellStyle name="Positive 2 19 13" xfId="9014" xr:uid="{00000000-0005-0000-0000-000043230000}"/>
    <cellStyle name="Positive 2 19 13 2" xfId="9015" xr:uid="{00000000-0005-0000-0000-000044230000}"/>
    <cellStyle name="Positive 2 19 14" xfId="9016" xr:uid="{00000000-0005-0000-0000-000045230000}"/>
    <cellStyle name="Positive 2 19 14 2" xfId="9017" xr:uid="{00000000-0005-0000-0000-000046230000}"/>
    <cellStyle name="Positive 2 19 15" xfId="9018" xr:uid="{00000000-0005-0000-0000-000047230000}"/>
    <cellStyle name="Positive 2 19 15 2" xfId="9019" xr:uid="{00000000-0005-0000-0000-000048230000}"/>
    <cellStyle name="Positive 2 19 16" xfId="9020" xr:uid="{00000000-0005-0000-0000-000049230000}"/>
    <cellStyle name="Positive 2 19 16 2" xfId="9021" xr:uid="{00000000-0005-0000-0000-00004A230000}"/>
    <cellStyle name="Positive 2 19 17" xfId="9022" xr:uid="{00000000-0005-0000-0000-00004B230000}"/>
    <cellStyle name="Positive 2 19 17 2" xfId="9023" xr:uid="{00000000-0005-0000-0000-00004C230000}"/>
    <cellStyle name="Positive 2 19 18" xfId="9024" xr:uid="{00000000-0005-0000-0000-00004D230000}"/>
    <cellStyle name="Positive 2 19 18 2" xfId="9025" xr:uid="{00000000-0005-0000-0000-00004E230000}"/>
    <cellStyle name="Positive 2 19 19" xfId="9026" xr:uid="{00000000-0005-0000-0000-00004F230000}"/>
    <cellStyle name="Positive 2 19 19 2" xfId="9027" xr:uid="{00000000-0005-0000-0000-000050230000}"/>
    <cellStyle name="Positive 2 19 2" xfId="9028" xr:uid="{00000000-0005-0000-0000-000051230000}"/>
    <cellStyle name="Positive 2 19 2 10" xfId="9029" xr:uid="{00000000-0005-0000-0000-000052230000}"/>
    <cellStyle name="Positive 2 19 2 10 2" xfId="9030" xr:uid="{00000000-0005-0000-0000-000053230000}"/>
    <cellStyle name="Positive 2 19 2 11" xfId="9031" xr:uid="{00000000-0005-0000-0000-000054230000}"/>
    <cellStyle name="Positive 2 19 2 11 2" xfId="9032" xr:uid="{00000000-0005-0000-0000-000055230000}"/>
    <cellStyle name="Positive 2 19 2 12" xfId="9033" xr:uid="{00000000-0005-0000-0000-000056230000}"/>
    <cellStyle name="Positive 2 19 2 12 2" xfId="9034" xr:uid="{00000000-0005-0000-0000-000057230000}"/>
    <cellStyle name="Positive 2 19 2 13" xfId="9035" xr:uid="{00000000-0005-0000-0000-000058230000}"/>
    <cellStyle name="Positive 2 19 2 13 2" xfId="9036" xr:uid="{00000000-0005-0000-0000-000059230000}"/>
    <cellStyle name="Positive 2 19 2 14" xfId="9037" xr:uid="{00000000-0005-0000-0000-00005A230000}"/>
    <cellStyle name="Positive 2 19 2 14 2" xfId="9038" xr:uid="{00000000-0005-0000-0000-00005B230000}"/>
    <cellStyle name="Positive 2 19 2 15" xfId="9039" xr:uid="{00000000-0005-0000-0000-00005C230000}"/>
    <cellStyle name="Positive 2 19 2 15 2" xfId="9040" xr:uid="{00000000-0005-0000-0000-00005D230000}"/>
    <cellStyle name="Positive 2 19 2 16" xfId="9041" xr:uid="{00000000-0005-0000-0000-00005E230000}"/>
    <cellStyle name="Positive 2 19 2 16 2" xfId="9042" xr:uid="{00000000-0005-0000-0000-00005F230000}"/>
    <cellStyle name="Positive 2 19 2 17" xfId="9043" xr:uid="{00000000-0005-0000-0000-000060230000}"/>
    <cellStyle name="Positive 2 19 2 17 2" xfId="9044" xr:uid="{00000000-0005-0000-0000-000061230000}"/>
    <cellStyle name="Positive 2 19 2 18" xfId="9045" xr:uid="{00000000-0005-0000-0000-000062230000}"/>
    <cellStyle name="Positive 2 19 2 18 2" xfId="9046" xr:uid="{00000000-0005-0000-0000-000063230000}"/>
    <cellStyle name="Positive 2 19 2 19" xfId="9047" xr:uid="{00000000-0005-0000-0000-000064230000}"/>
    <cellStyle name="Positive 2 19 2 19 2" xfId="9048" xr:uid="{00000000-0005-0000-0000-000065230000}"/>
    <cellStyle name="Positive 2 19 2 2" xfId="9049" xr:uid="{00000000-0005-0000-0000-000066230000}"/>
    <cellStyle name="Positive 2 19 2 2 10" xfId="9050" xr:uid="{00000000-0005-0000-0000-000067230000}"/>
    <cellStyle name="Positive 2 19 2 2 10 2" xfId="9051" xr:uid="{00000000-0005-0000-0000-000068230000}"/>
    <cellStyle name="Positive 2 19 2 2 11" xfId="9052" xr:uid="{00000000-0005-0000-0000-000069230000}"/>
    <cellStyle name="Positive 2 19 2 2 11 2" xfId="9053" xr:uid="{00000000-0005-0000-0000-00006A230000}"/>
    <cellStyle name="Positive 2 19 2 2 12" xfId="9054" xr:uid="{00000000-0005-0000-0000-00006B230000}"/>
    <cellStyle name="Positive 2 19 2 2 12 2" xfId="9055" xr:uid="{00000000-0005-0000-0000-00006C230000}"/>
    <cellStyle name="Positive 2 19 2 2 13" xfId="9056" xr:uid="{00000000-0005-0000-0000-00006D230000}"/>
    <cellStyle name="Positive 2 19 2 2 13 2" xfId="9057" xr:uid="{00000000-0005-0000-0000-00006E230000}"/>
    <cellStyle name="Positive 2 19 2 2 14" xfId="9058" xr:uid="{00000000-0005-0000-0000-00006F230000}"/>
    <cellStyle name="Positive 2 19 2 2 14 2" xfId="9059" xr:uid="{00000000-0005-0000-0000-000070230000}"/>
    <cellStyle name="Positive 2 19 2 2 15" xfId="9060" xr:uid="{00000000-0005-0000-0000-000071230000}"/>
    <cellStyle name="Positive 2 19 2 2 15 2" xfId="9061" xr:uid="{00000000-0005-0000-0000-000072230000}"/>
    <cellStyle name="Positive 2 19 2 2 16" xfId="9062" xr:uid="{00000000-0005-0000-0000-000073230000}"/>
    <cellStyle name="Positive 2 19 2 2 16 2" xfId="9063" xr:uid="{00000000-0005-0000-0000-000074230000}"/>
    <cellStyle name="Positive 2 19 2 2 17" xfId="9064" xr:uid="{00000000-0005-0000-0000-000075230000}"/>
    <cellStyle name="Positive 2 19 2 2 2" xfId="9065" xr:uid="{00000000-0005-0000-0000-000076230000}"/>
    <cellStyle name="Positive 2 19 2 2 2 2" xfId="9066" xr:uid="{00000000-0005-0000-0000-000077230000}"/>
    <cellStyle name="Positive 2 19 2 2 3" xfId="9067" xr:uid="{00000000-0005-0000-0000-000078230000}"/>
    <cellStyle name="Positive 2 19 2 2 3 2" xfId="9068" xr:uid="{00000000-0005-0000-0000-000079230000}"/>
    <cellStyle name="Positive 2 19 2 2 4" xfId="9069" xr:uid="{00000000-0005-0000-0000-00007A230000}"/>
    <cellStyle name="Positive 2 19 2 2 4 2" xfId="9070" xr:uid="{00000000-0005-0000-0000-00007B230000}"/>
    <cellStyle name="Positive 2 19 2 2 5" xfId="9071" xr:uid="{00000000-0005-0000-0000-00007C230000}"/>
    <cellStyle name="Positive 2 19 2 2 5 2" xfId="9072" xr:uid="{00000000-0005-0000-0000-00007D230000}"/>
    <cellStyle name="Positive 2 19 2 2 6" xfId="9073" xr:uid="{00000000-0005-0000-0000-00007E230000}"/>
    <cellStyle name="Positive 2 19 2 2 6 2" xfId="9074" xr:uid="{00000000-0005-0000-0000-00007F230000}"/>
    <cellStyle name="Positive 2 19 2 2 7" xfId="9075" xr:uid="{00000000-0005-0000-0000-000080230000}"/>
    <cellStyle name="Positive 2 19 2 2 7 2" xfId="9076" xr:uid="{00000000-0005-0000-0000-000081230000}"/>
    <cellStyle name="Positive 2 19 2 2 8" xfId="9077" xr:uid="{00000000-0005-0000-0000-000082230000}"/>
    <cellStyle name="Positive 2 19 2 2 8 2" xfId="9078" xr:uid="{00000000-0005-0000-0000-000083230000}"/>
    <cellStyle name="Positive 2 19 2 2 9" xfId="9079" xr:uid="{00000000-0005-0000-0000-000084230000}"/>
    <cellStyle name="Positive 2 19 2 2 9 2" xfId="9080" xr:uid="{00000000-0005-0000-0000-000085230000}"/>
    <cellStyle name="Positive 2 19 2 20" xfId="9081" xr:uid="{00000000-0005-0000-0000-000086230000}"/>
    <cellStyle name="Positive 2 19 2 3" xfId="9082" xr:uid="{00000000-0005-0000-0000-000087230000}"/>
    <cellStyle name="Positive 2 19 2 3 2" xfId="9083" xr:uid="{00000000-0005-0000-0000-000088230000}"/>
    <cellStyle name="Positive 2 19 2 3 2 2" xfId="9084" xr:uid="{00000000-0005-0000-0000-000089230000}"/>
    <cellStyle name="Positive 2 19 2 3 3" xfId="9085" xr:uid="{00000000-0005-0000-0000-00008A230000}"/>
    <cellStyle name="Positive 2 19 2 4" xfId="9086" xr:uid="{00000000-0005-0000-0000-00008B230000}"/>
    <cellStyle name="Positive 2 19 2 4 2" xfId="9087" xr:uid="{00000000-0005-0000-0000-00008C230000}"/>
    <cellStyle name="Positive 2 19 2 4 2 2" xfId="9088" xr:uid="{00000000-0005-0000-0000-00008D230000}"/>
    <cellStyle name="Positive 2 19 2 4 3" xfId="9089" xr:uid="{00000000-0005-0000-0000-00008E230000}"/>
    <cellStyle name="Positive 2 19 2 5" xfId="9090" xr:uid="{00000000-0005-0000-0000-00008F230000}"/>
    <cellStyle name="Positive 2 19 2 5 2" xfId="9091" xr:uid="{00000000-0005-0000-0000-000090230000}"/>
    <cellStyle name="Positive 2 19 2 6" xfId="9092" xr:uid="{00000000-0005-0000-0000-000091230000}"/>
    <cellStyle name="Positive 2 19 2 6 2" xfId="9093" xr:uid="{00000000-0005-0000-0000-000092230000}"/>
    <cellStyle name="Positive 2 19 2 7" xfId="9094" xr:uid="{00000000-0005-0000-0000-000093230000}"/>
    <cellStyle name="Positive 2 19 2 7 2" xfId="9095" xr:uid="{00000000-0005-0000-0000-000094230000}"/>
    <cellStyle name="Positive 2 19 2 8" xfId="9096" xr:uid="{00000000-0005-0000-0000-000095230000}"/>
    <cellStyle name="Positive 2 19 2 8 2" xfId="9097" xr:uid="{00000000-0005-0000-0000-000096230000}"/>
    <cellStyle name="Positive 2 19 2 9" xfId="9098" xr:uid="{00000000-0005-0000-0000-000097230000}"/>
    <cellStyle name="Positive 2 19 2 9 2" xfId="9099" xr:uid="{00000000-0005-0000-0000-000098230000}"/>
    <cellStyle name="Positive 2 19 20" xfId="9100" xr:uid="{00000000-0005-0000-0000-000099230000}"/>
    <cellStyle name="Positive 2 19 20 2" xfId="9101" xr:uid="{00000000-0005-0000-0000-00009A230000}"/>
    <cellStyle name="Positive 2 19 21" xfId="9102" xr:uid="{00000000-0005-0000-0000-00009B230000}"/>
    <cellStyle name="Positive 2 19 21 2" xfId="9103" xr:uid="{00000000-0005-0000-0000-00009C230000}"/>
    <cellStyle name="Positive 2 19 22" xfId="9104" xr:uid="{00000000-0005-0000-0000-00009D230000}"/>
    <cellStyle name="Positive 2 19 22 2" xfId="9105" xr:uid="{00000000-0005-0000-0000-00009E230000}"/>
    <cellStyle name="Positive 2 19 23" xfId="9106" xr:uid="{00000000-0005-0000-0000-00009F230000}"/>
    <cellStyle name="Positive 2 19 3" xfId="9107" xr:uid="{00000000-0005-0000-0000-0000A0230000}"/>
    <cellStyle name="Positive 2 19 3 10" xfId="9108" xr:uid="{00000000-0005-0000-0000-0000A1230000}"/>
    <cellStyle name="Positive 2 19 3 10 2" xfId="9109" xr:uid="{00000000-0005-0000-0000-0000A2230000}"/>
    <cellStyle name="Positive 2 19 3 11" xfId="9110" xr:uid="{00000000-0005-0000-0000-0000A3230000}"/>
    <cellStyle name="Positive 2 19 3 11 2" xfId="9111" xr:uid="{00000000-0005-0000-0000-0000A4230000}"/>
    <cellStyle name="Positive 2 19 3 12" xfId="9112" xr:uid="{00000000-0005-0000-0000-0000A5230000}"/>
    <cellStyle name="Positive 2 19 3 12 2" xfId="9113" xr:uid="{00000000-0005-0000-0000-0000A6230000}"/>
    <cellStyle name="Positive 2 19 3 13" xfId="9114" xr:uid="{00000000-0005-0000-0000-0000A7230000}"/>
    <cellStyle name="Positive 2 19 3 13 2" xfId="9115" xr:uid="{00000000-0005-0000-0000-0000A8230000}"/>
    <cellStyle name="Positive 2 19 3 14" xfId="9116" xr:uid="{00000000-0005-0000-0000-0000A9230000}"/>
    <cellStyle name="Positive 2 19 3 14 2" xfId="9117" xr:uid="{00000000-0005-0000-0000-0000AA230000}"/>
    <cellStyle name="Positive 2 19 3 15" xfId="9118" xr:uid="{00000000-0005-0000-0000-0000AB230000}"/>
    <cellStyle name="Positive 2 19 3 15 2" xfId="9119" xr:uid="{00000000-0005-0000-0000-0000AC230000}"/>
    <cellStyle name="Positive 2 19 3 16" xfId="9120" xr:uid="{00000000-0005-0000-0000-0000AD230000}"/>
    <cellStyle name="Positive 2 19 3 16 2" xfId="9121" xr:uid="{00000000-0005-0000-0000-0000AE230000}"/>
    <cellStyle name="Positive 2 19 3 17" xfId="9122" xr:uid="{00000000-0005-0000-0000-0000AF230000}"/>
    <cellStyle name="Positive 2 19 3 17 2" xfId="9123" xr:uid="{00000000-0005-0000-0000-0000B0230000}"/>
    <cellStyle name="Positive 2 19 3 18" xfId="9124" xr:uid="{00000000-0005-0000-0000-0000B1230000}"/>
    <cellStyle name="Positive 2 19 3 18 2" xfId="9125" xr:uid="{00000000-0005-0000-0000-0000B2230000}"/>
    <cellStyle name="Positive 2 19 3 19" xfId="9126" xr:uid="{00000000-0005-0000-0000-0000B3230000}"/>
    <cellStyle name="Positive 2 19 3 19 2" xfId="9127" xr:uid="{00000000-0005-0000-0000-0000B4230000}"/>
    <cellStyle name="Positive 2 19 3 2" xfId="9128" xr:uid="{00000000-0005-0000-0000-0000B5230000}"/>
    <cellStyle name="Positive 2 19 3 2 10" xfId="9129" xr:uid="{00000000-0005-0000-0000-0000B6230000}"/>
    <cellStyle name="Positive 2 19 3 2 10 2" xfId="9130" xr:uid="{00000000-0005-0000-0000-0000B7230000}"/>
    <cellStyle name="Positive 2 19 3 2 11" xfId="9131" xr:uid="{00000000-0005-0000-0000-0000B8230000}"/>
    <cellStyle name="Positive 2 19 3 2 11 2" xfId="9132" xr:uid="{00000000-0005-0000-0000-0000B9230000}"/>
    <cellStyle name="Positive 2 19 3 2 12" xfId="9133" xr:uid="{00000000-0005-0000-0000-0000BA230000}"/>
    <cellStyle name="Positive 2 19 3 2 12 2" xfId="9134" xr:uid="{00000000-0005-0000-0000-0000BB230000}"/>
    <cellStyle name="Positive 2 19 3 2 13" xfId="9135" xr:uid="{00000000-0005-0000-0000-0000BC230000}"/>
    <cellStyle name="Positive 2 19 3 2 13 2" xfId="9136" xr:uid="{00000000-0005-0000-0000-0000BD230000}"/>
    <cellStyle name="Positive 2 19 3 2 14" xfId="9137" xr:uid="{00000000-0005-0000-0000-0000BE230000}"/>
    <cellStyle name="Positive 2 19 3 2 14 2" xfId="9138" xr:uid="{00000000-0005-0000-0000-0000BF230000}"/>
    <cellStyle name="Positive 2 19 3 2 15" xfId="9139" xr:uid="{00000000-0005-0000-0000-0000C0230000}"/>
    <cellStyle name="Positive 2 19 3 2 15 2" xfId="9140" xr:uid="{00000000-0005-0000-0000-0000C1230000}"/>
    <cellStyle name="Positive 2 19 3 2 16" xfId="9141" xr:uid="{00000000-0005-0000-0000-0000C2230000}"/>
    <cellStyle name="Positive 2 19 3 2 16 2" xfId="9142" xr:uid="{00000000-0005-0000-0000-0000C3230000}"/>
    <cellStyle name="Positive 2 19 3 2 17" xfId="9143" xr:uid="{00000000-0005-0000-0000-0000C4230000}"/>
    <cellStyle name="Positive 2 19 3 2 2" xfId="9144" xr:uid="{00000000-0005-0000-0000-0000C5230000}"/>
    <cellStyle name="Positive 2 19 3 2 2 2" xfId="9145" xr:uid="{00000000-0005-0000-0000-0000C6230000}"/>
    <cellStyle name="Positive 2 19 3 2 3" xfId="9146" xr:uid="{00000000-0005-0000-0000-0000C7230000}"/>
    <cellStyle name="Positive 2 19 3 2 3 2" xfId="9147" xr:uid="{00000000-0005-0000-0000-0000C8230000}"/>
    <cellStyle name="Positive 2 19 3 2 4" xfId="9148" xr:uid="{00000000-0005-0000-0000-0000C9230000}"/>
    <cellStyle name="Positive 2 19 3 2 4 2" xfId="9149" xr:uid="{00000000-0005-0000-0000-0000CA230000}"/>
    <cellStyle name="Positive 2 19 3 2 5" xfId="9150" xr:uid="{00000000-0005-0000-0000-0000CB230000}"/>
    <cellStyle name="Positive 2 19 3 2 5 2" xfId="9151" xr:uid="{00000000-0005-0000-0000-0000CC230000}"/>
    <cellStyle name="Positive 2 19 3 2 6" xfId="9152" xr:uid="{00000000-0005-0000-0000-0000CD230000}"/>
    <cellStyle name="Positive 2 19 3 2 6 2" xfId="9153" xr:uid="{00000000-0005-0000-0000-0000CE230000}"/>
    <cellStyle name="Positive 2 19 3 2 7" xfId="9154" xr:uid="{00000000-0005-0000-0000-0000CF230000}"/>
    <cellStyle name="Positive 2 19 3 2 7 2" xfId="9155" xr:uid="{00000000-0005-0000-0000-0000D0230000}"/>
    <cellStyle name="Positive 2 19 3 2 8" xfId="9156" xr:uid="{00000000-0005-0000-0000-0000D1230000}"/>
    <cellStyle name="Positive 2 19 3 2 8 2" xfId="9157" xr:uid="{00000000-0005-0000-0000-0000D2230000}"/>
    <cellStyle name="Positive 2 19 3 2 9" xfId="9158" xr:uid="{00000000-0005-0000-0000-0000D3230000}"/>
    <cellStyle name="Positive 2 19 3 2 9 2" xfId="9159" xr:uid="{00000000-0005-0000-0000-0000D4230000}"/>
    <cellStyle name="Positive 2 19 3 20" xfId="9160" xr:uid="{00000000-0005-0000-0000-0000D5230000}"/>
    <cellStyle name="Positive 2 19 3 3" xfId="9161" xr:uid="{00000000-0005-0000-0000-0000D6230000}"/>
    <cellStyle name="Positive 2 19 3 3 2" xfId="9162" xr:uid="{00000000-0005-0000-0000-0000D7230000}"/>
    <cellStyle name="Positive 2 19 3 3 2 2" xfId="9163" xr:uid="{00000000-0005-0000-0000-0000D8230000}"/>
    <cellStyle name="Positive 2 19 3 3 3" xfId="9164" xr:uid="{00000000-0005-0000-0000-0000D9230000}"/>
    <cellStyle name="Positive 2 19 3 4" xfId="9165" xr:uid="{00000000-0005-0000-0000-0000DA230000}"/>
    <cellStyle name="Positive 2 19 3 4 2" xfId="9166" xr:uid="{00000000-0005-0000-0000-0000DB230000}"/>
    <cellStyle name="Positive 2 19 3 4 2 2" xfId="9167" xr:uid="{00000000-0005-0000-0000-0000DC230000}"/>
    <cellStyle name="Positive 2 19 3 4 3" xfId="9168" xr:uid="{00000000-0005-0000-0000-0000DD230000}"/>
    <cellStyle name="Positive 2 19 3 5" xfId="9169" xr:uid="{00000000-0005-0000-0000-0000DE230000}"/>
    <cellStyle name="Positive 2 19 3 5 2" xfId="9170" xr:uid="{00000000-0005-0000-0000-0000DF230000}"/>
    <cellStyle name="Positive 2 19 3 6" xfId="9171" xr:uid="{00000000-0005-0000-0000-0000E0230000}"/>
    <cellStyle name="Positive 2 19 3 6 2" xfId="9172" xr:uid="{00000000-0005-0000-0000-0000E1230000}"/>
    <cellStyle name="Positive 2 19 3 7" xfId="9173" xr:uid="{00000000-0005-0000-0000-0000E2230000}"/>
    <cellStyle name="Positive 2 19 3 7 2" xfId="9174" xr:uid="{00000000-0005-0000-0000-0000E3230000}"/>
    <cellStyle name="Positive 2 19 3 8" xfId="9175" xr:uid="{00000000-0005-0000-0000-0000E4230000}"/>
    <cellStyle name="Positive 2 19 3 8 2" xfId="9176" xr:uid="{00000000-0005-0000-0000-0000E5230000}"/>
    <cellStyle name="Positive 2 19 3 9" xfId="9177" xr:uid="{00000000-0005-0000-0000-0000E6230000}"/>
    <cellStyle name="Positive 2 19 3 9 2" xfId="9178" xr:uid="{00000000-0005-0000-0000-0000E7230000}"/>
    <cellStyle name="Positive 2 19 4" xfId="9179" xr:uid="{00000000-0005-0000-0000-0000E8230000}"/>
    <cellStyle name="Positive 2 19 4 10" xfId="9180" xr:uid="{00000000-0005-0000-0000-0000E9230000}"/>
    <cellStyle name="Positive 2 19 4 10 2" xfId="9181" xr:uid="{00000000-0005-0000-0000-0000EA230000}"/>
    <cellStyle name="Positive 2 19 4 11" xfId="9182" xr:uid="{00000000-0005-0000-0000-0000EB230000}"/>
    <cellStyle name="Positive 2 19 4 11 2" xfId="9183" xr:uid="{00000000-0005-0000-0000-0000EC230000}"/>
    <cellStyle name="Positive 2 19 4 12" xfId="9184" xr:uid="{00000000-0005-0000-0000-0000ED230000}"/>
    <cellStyle name="Positive 2 19 4 12 2" xfId="9185" xr:uid="{00000000-0005-0000-0000-0000EE230000}"/>
    <cellStyle name="Positive 2 19 4 13" xfId="9186" xr:uid="{00000000-0005-0000-0000-0000EF230000}"/>
    <cellStyle name="Positive 2 19 4 13 2" xfId="9187" xr:uid="{00000000-0005-0000-0000-0000F0230000}"/>
    <cellStyle name="Positive 2 19 4 14" xfId="9188" xr:uid="{00000000-0005-0000-0000-0000F1230000}"/>
    <cellStyle name="Positive 2 19 4 14 2" xfId="9189" xr:uid="{00000000-0005-0000-0000-0000F2230000}"/>
    <cellStyle name="Positive 2 19 4 15" xfId="9190" xr:uid="{00000000-0005-0000-0000-0000F3230000}"/>
    <cellStyle name="Positive 2 19 4 15 2" xfId="9191" xr:uid="{00000000-0005-0000-0000-0000F4230000}"/>
    <cellStyle name="Positive 2 19 4 16" xfId="9192" xr:uid="{00000000-0005-0000-0000-0000F5230000}"/>
    <cellStyle name="Positive 2 19 4 16 2" xfId="9193" xr:uid="{00000000-0005-0000-0000-0000F6230000}"/>
    <cellStyle name="Positive 2 19 4 17" xfId="9194" xr:uid="{00000000-0005-0000-0000-0000F7230000}"/>
    <cellStyle name="Positive 2 19 4 17 2" xfId="9195" xr:uid="{00000000-0005-0000-0000-0000F8230000}"/>
    <cellStyle name="Positive 2 19 4 18" xfId="9196" xr:uid="{00000000-0005-0000-0000-0000F9230000}"/>
    <cellStyle name="Positive 2 19 4 18 2" xfId="9197" xr:uid="{00000000-0005-0000-0000-0000FA230000}"/>
    <cellStyle name="Positive 2 19 4 19" xfId="9198" xr:uid="{00000000-0005-0000-0000-0000FB230000}"/>
    <cellStyle name="Positive 2 19 4 19 2" xfId="9199" xr:uid="{00000000-0005-0000-0000-0000FC230000}"/>
    <cellStyle name="Positive 2 19 4 2" xfId="9200" xr:uid="{00000000-0005-0000-0000-0000FD230000}"/>
    <cellStyle name="Positive 2 19 4 2 10" xfId="9201" xr:uid="{00000000-0005-0000-0000-0000FE230000}"/>
    <cellStyle name="Positive 2 19 4 2 10 2" xfId="9202" xr:uid="{00000000-0005-0000-0000-0000FF230000}"/>
    <cellStyle name="Positive 2 19 4 2 11" xfId="9203" xr:uid="{00000000-0005-0000-0000-000000240000}"/>
    <cellStyle name="Positive 2 19 4 2 11 2" xfId="9204" xr:uid="{00000000-0005-0000-0000-000001240000}"/>
    <cellStyle name="Positive 2 19 4 2 12" xfId="9205" xr:uid="{00000000-0005-0000-0000-000002240000}"/>
    <cellStyle name="Positive 2 19 4 2 12 2" xfId="9206" xr:uid="{00000000-0005-0000-0000-000003240000}"/>
    <cellStyle name="Positive 2 19 4 2 13" xfId="9207" xr:uid="{00000000-0005-0000-0000-000004240000}"/>
    <cellStyle name="Positive 2 19 4 2 13 2" xfId="9208" xr:uid="{00000000-0005-0000-0000-000005240000}"/>
    <cellStyle name="Positive 2 19 4 2 14" xfId="9209" xr:uid="{00000000-0005-0000-0000-000006240000}"/>
    <cellStyle name="Positive 2 19 4 2 14 2" xfId="9210" xr:uid="{00000000-0005-0000-0000-000007240000}"/>
    <cellStyle name="Positive 2 19 4 2 15" xfId="9211" xr:uid="{00000000-0005-0000-0000-000008240000}"/>
    <cellStyle name="Positive 2 19 4 2 15 2" xfId="9212" xr:uid="{00000000-0005-0000-0000-000009240000}"/>
    <cellStyle name="Positive 2 19 4 2 16" xfId="9213" xr:uid="{00000000-0005-0000-0000-00000A240000}"/>
    <cellStyle name="Positive 2 19 4 2 16 2" xfId="9214" xr:uid="{00000000-0005-0000-0000-00000B240000}"/>
    <cellStyle name="Positive 2 19 4 2 17" xfId="9215" xr:uid="{00000000-0005-0000-0000-00000C240000}"/>
    <cellStyle name="Positive 2 19 4 2 2" xfId="9216" xr:uid="{00000000-0005-0000-0000-00000D240000}"/>
    <cellStyle name="Positive 2 19 4 2 2 2" xfId="9217" xr:uid="{00000000-0005-0000-0000-00000E240000}"/>
    <cellStyle name="Positive 2 19 4 2 3" xfId="9218" xr:uid="{00000000-0005-0000-0000-00000F240000}"/>
    <cellStyle name="Positive 2 19 4 2 3 2" xfId="9219" xr:uid="{00000000-0005-0000-0000-000010240000}"/>
    <cellStyle name="Positive 2 19 4 2 4" xfId="9220" xr:uid="{00000000-0005-0000-0000-000011240000}"/>
    <cellStyle name="Positive 2 19 4 2 4 2" xfId="9221" xr:uid="{00000000-0005-0000-0000-000012240000}"/>
    <cellStyle name="Positive 2 19 4 2 5" xfId="9222" xr:uid="{00000000-0005-0000-0000-000013240000}"/>
    <cellStyle name="Positive 2 19 4 2 5 2" xfId="9223" xr:uid="{00000000-0005-0000-0000-000014240000}"/>
    <cellStyle name="Positive 2 19 4 2 6" xfId="9224" xr:uid="{00000000-0005-0000-0000-000015240000}"/>
    <cellStyle name="Positive 2 19 4 2 6 2" xfId="9225" xr:uid="{00000000-0005-0000-0000-000016240000}"/>
    <cellStyle name="Positive 2 19 4 2 7" xfId="9226" xr:uid="{00000000-0005-0000-0000-000017240000}"/>
    <cellStyle name="Positive 2 19 4 2 7 2" xfId="9227" xr:uid="{00000000-0005-0000-0000-000018240000}"/>
    <cellStyle name="Positive 2 19 4 2 8" xfId="9228" xr:uid="{00000000-0005-0000-0000-000019240000}"/>
    <cellStyle name="Positive 2 19 4 2 8 2" xfId="9229" xr:uid="{00000000-0005-0000-0000-00001A240000}"/>
    <cellStyle name="Positive 2 19 4 2 9" xfId="9230" xr:uid="{00000000-0005-0000-0000-00001B240000}"/>
    <cellStyle name="Positive 2 19 4 2 9 2" xfId="9231" xr:uid="{00000000-0005-0000-0000-00001C240000}"/>
    <cellStyle name="Positive 2 19 4 20" xfId="9232" xr:uid="{00000000-0005-0000-0000-00001D240000}"/>
    <cellStyle name="Positive 2 19 4 3" xfId="9233" xr:uid="{00000000-0005-0000-0000-00001E240000}"/>
    <cellStyle name="Positive 2 19 4 3 2" xfId="9234" xr:uid="{00000000-0005-0000-0000-00001F240000}"/>
    <cellStyle name="Positive 2 19 4 3 2 2" xfId="9235" xr:uid="{00000000-0005-0000-0000-000020240000}"/>
    <cellStyle name="Positive 2 19 4 3 3" xfId="9236" xr:uid="{00000000-0005-0000-0000-000021240000}"/>
    <cellStyle name="Positive 2 19 4 4" xfId="9237" xr:uid="{00000000-0005-0000-0000-000022240000}"/>
    <cellStyle name="Positive 2 19 4 4 2" xfId="9238" xr:uid="{00000000-0005-0000-0000-000023240000}"/>
    <cellStyle name="Positive 2 19 4 4 2 2" xfId="9239" xr:uid="{00000000-0005-0000-0000-000024240000}"/>
    <cellStyle name="Positive 2 19 4 4 3" xfId="9240" xr:uid="{00000000-0005-0000-0000-000025240000}"/>
    <cellStyle name="Positive 2 19 4 5" xfId="9241" xr:uid="{00000000-0005-0000-0000-000026240000}"/>
    <cellStyle name="Positive 2 19 4 5 2" xfId="9242" xr:uid="{00000000-0005-0000-0000-000027240000}"/>
    <cellStyle name="Positive 2 19 4 6" xfId="9243" xr:uid="{00000000-0005-0000-0000-000028240000}"/>
    <cellStyle name="Positive 2 19 4 6 2" xfId="9244" xr:uid="{00000000-0005-0000-0000-000029240000}"/>
    <cellStyle name="Positive 2 19 4 7" xfId="9245" xr:uid="{00000000-0005-0000-0000-00002A240000}"/>
    <cellStyle name="Positive 2 19 4 7 2" xfId="9246" xr:uid="{00000000-0005-0000-0000-00002B240000}"/>
    <cellStyle name="Positive 2 19 4 8" xfId="9247" xr:uid="{00000000-0005-0000-0000-00002C240000}"/>
    <cellStyle name="Positive 2 19 4 8 2" xfId="9248" xr:uid="{00000000-0005-0000-0000-00002D240000}"/>
    <cellStyle name="Positive 2 19 4 9" xfId="9249" xr:uid="{00000000-0005-0000-0000-00002E240000}"/>
    <cellStyle name="Positive 2 19 4 9 2" xfId="9250" xr:uid="{00000000-0005-0000-0000-00002F240000}"/>
    <cellStyle name="Positive 2 19 5" xfId="9251" xr:uid="{00000000-0005-0000-0000-000030240000}"/>
    <cellStyle name="Positive 2 19 5 10" xfId="9252" xr:uid="{00000000-0005-0000-0000-000031240000}"/>
    <cellStyle name="Positive 2 19 5 10 2" xfId="9253" xr:uid="{00000000-0005-0000-0000-000032240000}"/>
    <cellStyle name="Positive 2 19 5 11" xfId="9254" xr:uid="{00000000-0005-0000-0000-000033240000}"/>
    <cellStyle name="Positive 2 19 5 11 2" xfId="9255" xr:uid="{00000000-0005-0000-0000-000034240000}"/>
    <cellStyle name="Positive 2 19 5 12" xfId="9256" xr:uid="{00000000-0005-0000-0000-000035240000}"/>
    <cellStyle name="Positive 2 19 5 12 2" xfId="9257" xr:uid="{00000000-0005-0000-0000-000036240000}"/>
    <cellStyle name="Positive 2 19 5 13" xfId="9258" xr:uid="{00000000-0005-0000-0000-000037240000}"/>
    <cellStyle name="Positive 2 19 5 13 2" xfId="9259" xr:uid="{00000000-0005-0000-0000-000038240000}"/>
    <cellStyle name="Positive 2 19 5 14" xfId="9260" xr:uid="{00000000-0005-0000-0000-000039240000}"/>
    <cellStyle name="Positive 2 19 5 14 2" xfId="9261" xr:uid="{00000000-0005-0000-0000-00003A240000}"/>
    <cellStyle name="Positive 2 19 5 15" xfId="9262" xr:uid="{00000000-0005-0000-0000-00003B240000}"/>
    <cellStyle name="Positive 2 19 5 15 2" xfId="9263" xr:uid="{00000000-0005-0000-0000-00003C240000}"/>
    <cellStyle name="Positive 2 19 5 16" xfId="9264" xr:uid="{00000000-0005-0000-0000-00003D240000}"/>
    <cellStyle name="Positive 2 19 5 16 2" xfId="9265" xr:uid="{00000000-0005-0000-0000-00003E240000}"/>
    <cellStyle name="Positive 2 19 5 17" xfId="9266" xr:uid="{00000000-0005-0000-0000-00003F240000}"/>
    <cellStyle name="Positive 2 19 5 2" xfId="9267" xr:uid="{00000000-0005-0000-0000-000040240000}"/>
    <cellStyle name="Positive 2 19 5 2 2" xfId="9268" xr:uid="{00000000-0005-0000-0000-000041240000}"/>
    <cellStyle name="Positive 2 19 5 3" xfId="9269" xr:uid="{00000000-0005-0000-0000-000042240000}"/>
    <cellStyle name="Positive 2 19 5 3 2" xfId="9270" xr:uid="{00000000-0005-0000-0000-000043240000}"/>
    <cellStyle name="Positive 2 19 5 4" xfId="9271" xr:uid="{00000000-0005-0000-0000-000044240000}"/>
    <cellStyle name="Positive 2 19 5 4 2" xfId="9272" xr:uid="{00000000-0005-0000-0000-000045240000}"/>
    <cellStyle name="Positive 2 19 5 5" xfId="9273" xr:uid="{00000000-0005-0000-0000-000046240000}"/>
    <cellStyle name="Positive 2 19 5 5 2" xfId="9274" xr:uid="{00000000-0005-0000-0000-000047240000}"/>
    <cellStyle name="Positive 2 19 5 6" xfId="9275" xr:uid="{00000000-0005-0000-0000-000048240000}"/>
    <cellStyle name="Positive 2 19 5 6 2" xfId="9276" xr:uid="{00000000-0005-0000-0000-000049240000}"/>
    <cellStyle name="Positive 2 19 5 7" xfId="9277" xr:uid="{00000000-0005-0000-0000-00004A240000}"/>
    <cellStyle name="Positive 2 19 5 7 2" xfId="9278" xr:uid="{00000000-0005-0000-0000-00004B240000}"/>
    <cellStyle name="Positive 2 19 5 8" xfId="9279" xr:uid="{00000000-0005-0000-0000-00004C240000}"/>
    <cellStyle name="Positive 2 19 5 8 2" xfId="9280" xr:uid="{00000000-0005-0000-0000-00004D240000}"/>
    <cellStyle name="Positive 2 19 5 9" xfId="9281" xr:uid="{00000000-0005-0000-0000-00004E240000}"/>
    <cellStyle name="Positive 2 19 5 9 2" xfId="9282" xr:uid="{00000000-0005-0000-0000-00004F240000}"/>
    <cellStyle name="Positive 2 19 6" xfId="9283" xr:uid="{00000000-0005-0000-0000-000050240000}"/>
    <cellStyle name="Positive 2 19 6 2" xfId="9284" xr:uid="{00000000-0005-0000-0000-000051240000}"/>
    <cellStyle name="Positive 2 19 6 2 2" xfId="9285" xr:uid="{00000000-0005-0000-0000-000052240000}"/>
    <cellStyle name="Positive 2 19 6 3" xfId="9286" xr:uid="{00000000-0005-0000-0000-000053240000}"/>
    <cellStyle name="Positive 2 19 7" xfId="9287" xr:uid="{00000000-0005-0000-0000-000054240000}"/>
    <cellStyle name="Positive 2 19 7 2" xfId="9288" xr:uid="{00000000-0005-0000-0000-000055240000}"/>
    <cellStyle name="Positive 2 19 7 2 2" xfId="9289" xr:uid="{00000000-0005-0000-0000-000056240000}"/>
    <cellStyle name="Positive 2 19 7 3" xfId="9290" xr:uid="{00000000-0005-0000-0000-000057240000}"/>
    <cellStyle name="Positive 2 19 8" xfId="9291" xr:uid="{00000000-0005-0000-0000-000058240000}"/>
    <cellStyle name="Positive 2 19 8 2" xfId="9292" xr:uid="{00000000-0005-0000-0000-000059240000}"/>
    <cellStyle name="Positive 2 19 9" xfId="9293" xr:uid="{00000000-0005-0000-0000-00005A240000}"/>
    <cellStyle name="Positive 2 19 9 2" xfId="9294" xr:uid="{00000000-0005-0000-0000-00005B240000}"/>
    <cellStyle name="Positive 2 2" xfId="9295" xr:uid="{00000000-0005-0000-0000-00005C240000}"/>
    <cellStyle name="Positive 2 2 10" xfId="9296" xr:uid="{00000000-0005-0000-0000-00005D240000}"/>
    <cellStyle name="Positive 2 2 10 10" xfId="9297" xr:uid="{00000000-0005-0000-0000-00005E240000}"/>
    <cellStyle name="Positive 2 2 10 10 2" xfId="9298" xr:uid="{00000000-0005-0000-0000-00005F240000}"/>
    <cellStyle name="Positive 2 2 10 11" xfId="9299" xr:uid="{00000000-0005-0000-0000-000060240000}"/>
    <cellStyle name="Positive 2 2 10 11 2" xfId="9300" xr:uid="{00000000-0005-0000-0000-000061240000}"/>
    <cellStyle name="Positive 2 2 10 12" xfId="9301" xr:uid="{00000000-0005-0000-0000-000062240000}"/>
    <cellStyle name="Positive 2 2 10 12 2" xfId="9302" xr:uid="{00000000-0005-0000-0000-000063240000}"/>
    <cellStyle name="Positive 2 2 10 13" xfId="9303" xr:uid="{00000000-0005-0000-0000-000064240000}"/>
    <cellStyle name="Positive 2 2 10 13 2" xfId="9304" xr:uid="{00000000-0005-0000-0000-000065240000}"/>
    <cellStyle name="Positive 2 2 10 14" xfId="9305" xr:uid="{00000000-0005-0000-0000-000066240000}"/>
    <cellStyle name="Positive 2 2 10 14 2" xfId="9306" xr:uid="{00000000-0005-0000-0000-000067240000}"/>
    <cellStyle name="Positive 2 2 10 15" xfId="9307" xr:uid="{00000000-0005-0000-0000-000068240000}"/>
    <cellStyle name="Positive 2 2 10 15 2" xfId="9308" xr:uid="{00000000-0005-0000-0000-000069240000}"/>
    <cellStyle name="Positive 2 2 10 16" xfId="9309" xr:uid="{00000000-0005-0000-0000-00006A240000}"/>
    <cellStyle name="Positive 2 2 10 16 2" xfId="9310" xr:uid="{00000000-0005-0000-0000-00006B240000}"/>
    <cellStyle name="Positive 2 2 10 17" xfId="9311" xr:uid="{00000000-0005-0000-0000-00006C240000}"/>
    <cellStyle name="Positive 2 2 10 17 2" xfId="9312" xr:uid="{00000000-0005-0000-0000-00006D240000}"/>
    <cellStyle name="Positive 2 2 10 18" xfId="9313" xr:uid="{00000000-0005-0000-0000-00006E240000}"/>
    <cellStyle name="Positive 2 2 10 18 2" xfId="9314" xr:uid="{00000000-0005-0000-0000-00006F240000}"/>
    <cellStyle name="Positive 2 2 10 19" xfId="9315" xr:uid="{00000000-0005-0000-0000-000070240000}"/>
    <cellStyle name="Positive 2 2 10 19 2" xfId="9316" xr:uid="{00000000-0005-0000-0000-000071240000}"/>
    <cellStyle name="Positive 2 2 10 2" xfId="9317" xr:uid="{00000000-0005-0000-0000-000072240000}"/>
    <cellStyle name="Positive 2 2 10 2 10" xfId="9318" xr:uid="{00000000-0005-0000-0000-000073240000}"/>
    <cellStyle name="Positive 2 2 10 2 10 2" xfId="9319" xr:uid="{00000000-0005-0000-0000-000074240000}"/>
    <cellStyle name="Positive 2 2 10 2 11" xfId="9320" xr:uid="{00000000-0005-0000-0000-000075240000}"/>
    <cellStyle name="Positive 2 2 10 2 11 2" xfId="9321" xr:uid="{00000000-0005-0000-0000-000076240000}"/>
    <cellStyle name="Positive 2 2 10 2 12" xfId="9322" xr:uid="{00000000-0005-0000-0000-000077240000}"/>
    <cellStyle name="Positive 2 2 10 2 12 2" xfId="9323" xr:uid="{00000000-0005-0000-0000-000078240000}"/>
    <cellStyle name="Positive 2 2 10 2 13" xfId="9324" xr:uid="{00000000-0005-0000-0000-000079240000}"/>
    <cellStyle name="Positive 2 2 10 2 13 2" xfId="9325" xr:uid="{00000000-0005-0000-0000-00007A240000}"/>
    <cellStyle name="Positive 2 2 10 2 14" xfId="9326" xr:uid="{00000000-0005-0000-0000-00007B240000}"/>
    <cellStyle name="Positive 2 2 10 2 14 2" xfId="9327" xr:uid="{00000000-0005-0000-0000-00007C240000}"/>
    <cellStyle name="Positive 2 2 10 2 15" xfId="9328" xr:uid="{00000000-0005-0000-0000-00007D240000}"/>
    <cellStyle name="Positive 2 2 10 2 15 2" xfId="9329" xr:uid="{00000000-0005-0000-0000-00007E240000}"/>
    <cellStyle name="Positive 2 2 10 2 16" xfId="9330" xr:uid="{00000000-0005-0000-0000-00007F240000}"/>
    <cellStyle name="Positive 2 2 10 2 16 2" xfId="9331" xr:uid="{00000000-0005-0000-0000-000080240000}"/>
    <cellStyle name="Positive 2 2 10 2 17" xfId="9332" xr:uid="{00000000-0005-0000-0000-000081240000}"/>
    <cellStyle name="Positive 2 2 10 2 17 2" xfId="9333" xr:uid="{00000000-0005-0000-0000-000082240000}"/>
    <cellStyle name="Positive 2 2 10 2 18" xfId="9334" xr:uid="{00000000-0005-0000-0000-000083240000}"/>
    <cellStyle name="Positive 2 2 10 2 18 2" xfId="9335" xr:uid="{00000000-0005-0000-0000-000084240000}"/>
    <cellStyle name="Positive 2 2 10 2 19" xfId="9336" xr:uid="{00000000-0005-0000-0000-000085240000}"/>
    <cellStyle name="Positive 2 2 10 2 19 2" xfId="9337" xr:uid="{00000000-0005-0000-0000-000086240000}"/>
    <cellStyle name="Positive 2 2 10 2 2" xfId="9338" xr:uid="{00000000-0005-0000-0000-000087240000}"/>
    <cellStyle name="Positive 2 2 10 2 2 10" xfId="9339" xr:uid="{00000000-0005-0000-0000-000088240000}"/>
    <cellStyle name="Positive 2 2 10 2 2 10 2" xfId="9340" xr:uid="{00000000-0005-0000-0000-000089240000}"/>
    <cellStyle name="Positive 2 2 10 2 2 11" xfId="9341" xr:uid="{00000000-0005-0000-0000-00008A240000}"/>
    <cellStyle name="Positive 2 2 10 2 2 11 2" xfId="9342" xr:uid="{00000000-0005-0000-0000-00008B240000}"/>
    <cellStyle name="Positive 2 2 10 2 2 12" xfId="9343" xr:uid="{00000000-0005-0000-0000-00008C240000}"/>
    <cellStyle name="Positive 2 2 10 2 2 12 2" xfId="9344" xr:uid="{00000000-0005-0000-0000-00008D240000}"/>
    <cellStyle name="Positive 2 2 10 2 2 13" xfId="9345" xr:uid="{00000000-0005-0000-0000-00008E240000}"/>
    <cellStyle name="Positive 2 2 10 2 2 13 2" xfId="9346" xr:uid="{00000000-0005-0000-0000-00008F240000}"/>
    <cellStyle name="Positive 2 2 10 2 2 14" xfId="9347" xr:uid="{00000000-0005-0000-0000-000090240000}"/>
    <cellStyle name="Positive 2 2 10 2 2 14 2" xfId="9348" xr:uid="{00000000-0005-0000-0000-000091240000}"/>
    <cellStyle name="Positive 2 2 10 2 2 15" xfId="9349" xr:uid="{00000000-0005-0000-0000-000092240000}"/>
    <cellStyle name="Positive 2 2 10 2 2 15 2" xfId="9350" xr:uid="{00000000-0005-0000-0000-000093240000}"/>
    <cellStyle name="Positive 2 2 10 2 2 16" xfId="9351" xr:uid="{00000000-0005-0000-0000-000094240000}"/>
    <cellStyle name="Positive 2 2 10 2 2 16 2" xfId="9352" xr:uid="{00000000-0005-0000-0000-000095240000}"/>
    <cellStyle name="Positive 2 2 10 2 2 17" xfId="9353" xr:uid="{00000000-0005-0000-0000-000096240000}"/>
    <cellStyle name="Positive 2 2 10 2 2 2" xfId="9354" xr:uid="{00000000-0005-0000-0000-000097240000}"/>
    <cellStyle name="Positive 2 2 10 2 2 2 2" xfId="9355" xr:uid="{00000000-0005-0000-0000-000098240000}"/>
    <cellStyle name="Positive 2 2 10 2 2 3" xfId="9356" xr:uid="{00000000-0005-0000-0000-000099240000}"/>
    <cellStyle name="Positive 2 2 10 2 2 3 2" xfId="9357" xr:uid="{00000000-0005-0000-0000-00009A240000}"/>
    <cellStyle name="Positive 2 2 10 2 2 4" xfId="9358" xr:uid="{00000000-0005-0000-0000-00009B240000}"/>
    <cellStyle name="Positive 2 2 10 2 2 4 2" xfId="9359" xr:uid="{00000000-0005-0000-0000-00009C240000}"/>
    <cellStyle name="Positive 2 2 10 2 2 5" xfId="9360" xr:uid="{00000000-0005-0000-0000-00009D240000}"/>
    <cellStyle name="Positive 2 2 10 2 2 5 2" xfId="9361" xr:uid="{00000000-0005-0000-0000-00009E240000}"/>
    <cellStyle name="Positive 2 2 10 2 2 6" xfId="9362" xr:uid="{00000000-0005-0000-0000-00009F240000}"/>
    <cellStyle name="Positive 2 2 10 2 2 6 2" xfId="9363" xr:uid="{00000000-0005-0000-0000-0000A0240000}"/>
    <cellStyle name="Positive 2 2 10 2 2 7" xfId="9364" xr:uid="{00000000-0005-0000-0000-0000A1240000}"/>
    <cellStyle name="Positive 2 2 10 2 2 7 2" xfId="9365" xr:uid="{00000000-0005-0000-0000-0000A2240000}"/>
    <cellStyle name="Positive 2 2 10 2 2 8" xfId="9366" xr:uid="{00000000-0005-0000-0000-0000A3240000}"/>
    <cellStyle name="Positive 2 2 10 2 2 8 2" xfId="9367" xr:uid="{00000000-0005-0000-0000-0000A4240000}"/>
    <cellStyle name="Positive 2 2 10 2 2 9" xfId="9368" xr:uid="{00000000-0005-0000-0000-0000A5240000}"/>
    <cellStyle name="Positive 2 2 10 2 2 9 2" xfId="9369" xr:uid="{00000000-0005-0000-0000-0000A6240000}"/>
    <cellStyle name="Positive 2 2 10 2 20" xfId="9370" xr:uid="{00000000-0005-0000-0000-0000A7240000}"/>
    <cellStyle name="Positive 2 2 10 2 3" xfId="9371" xr:uid="{00000000-0005-0000-0000-0000A8240000}"/>
    <cellStyle name="Positive 2 2 10 2 3 2" xfId="9372" xr:uid="{00000000-0005-0000-0000-0000A9240000}"/>
    <cellStyle name="Positive 2 2 10 2 3 2 2" xfId="9373" xr:uid="{00000000-0005-0000-0000-0000AA240000}"/>
    <cellStyle name="Positive 2 2 10 2 3 3" xfId="9374" xr:uid="{00000000-0005-0000-0000-0000AB240000}"/>
    <cellStyle name="Positive 2 2 10 2 4" xfId="9375" xr:uid="{00000000-0005-0000-0000-0000AC240000}"/>
    <cellStyle name="Positive 2 2 10 2 4 2" xfId="9376" xr:uid="{00000000-0005-0000-0000-0000AD240000}"/>
    <cellStyle name="Positive 2 2 10 2 4 2 2" xfId="9377" xr:uid="{00000000-0005-0000-0000-0000AE240000}"/>
    <cellStyle name="Positive 2 2 10 2 4 3" xfId="9378" xr:uid="{00000000-0005-0000-0000-0000AF240000}"/>
    <cellStyle name="Positive 2 2 10 2 5" xfId="9379" xr:uid="{00000000-0005-0000-0000-0000B0240000}"/>
    <cellStyle name="Positive 2 2 10 2 5 2" xfId="9380" xr:uid="{00000000-0005-0000-0000-0000B1240000}"/>
    <cellStyle name="Positive 2 2 10 2 6" xfId="9381" xr:uid="{00000000-0005-0000-0000-0000B2240000}"/>
    <cellStyle name="Positive 2 2 10 2 6 2" xfId="9382" xr:uid="{00000000-0005-0000-0000-0000B3240000}"/>
    <cellStyle name="Positive 2 2 10 2 7" xfId="9383" xr:uid="{00000000-0005-0000-0000-0000B4240000}"/>
    <cellStyle name="Positive 2 2 10 2 7 2" xfId="9384" xr:uid="{00000000-0005-0000-0000-0000B5240000}"/>
    <cellStyle name="Positive 2 2 10 2 8" xfId="9385" xr:uid="{00000000-0005-0000-0000-0000B6240000}"/>
    <cellStyle name="Positive 2 2 10 2 8 2" xfId="9386" xr:uid="{00000000-0005-0000-0000-0000B7240000}"/>
    <cellStyle name="Positive 2 2 10 2 9" xfId="9387" xr:uid="{00000000-0005-0000-0000-0000B8240000}"/>
    <cellStyle name="Positive 2 2 10 2 9 2" xfId="9388" xr:uid="{00000000-0005-0000-0000-0000B9240000}"/>
    <cellStyle name="Positive 2 2 10 20" xfId="9389" xr:uid="{00000000-0005-0000-0000-0000BA240000}"/>
    <cellStyle name="Positive 2 2 10 20 2" xfId="9390" xr:uid="{00000000-0005-0000-0000-0000BB240000}"/>
    <cellStyle name="Positive 2 2 10 21" xfId="9391" xr:uid="{00000000-0005-0000-0000-0000BC240000}"/>
    <cellStyle name="Positive 2 2 10 21 2" xfId="9392" xr:uid="{00000000-0005-0000-0000-0000BD240000}"/>
    <cellStyle name="Positive 2 2 10 22" xfId="9393" xr:uid="{00000000-0005-0000-0000-0000BE240000}"/>
    <cellStyle name="Positive 2 2 10 22 2" xfId="9394" xr:uid="{00000000-0005-0000-0000-0000BF240000}"/>
    <cellStyle name="Positive 2 2 10 23" xfId="9395" xr:uid="{00000000-0005-0000-0000-0000C0240000}"/>
    <cellStyle name="Positive 2 2 10 3" xfId="9396" xr:uid="{00000000-0005-0000-0000-0000C1240000}"/>
    <cellStyle name="Positive 2 2 10 3 10" xfId="9397" xr:uid="{00000000-0005-0000-0000-0000C2240000}"/>
    <cellStyle name="Positive 2 2 10 3 10 2" xfId="9398" xr:uid="{00000000-0005-0000-0000-0000C3240000}"/>
    <cellStyle name="Positive 2 2 10 3 11" xfId="9399" xr:uid="{00000000-0005-0000-0000-0000C4240000}"/>
    <cellStyle name="Positive 2 2 10 3 11 2" xfId="9400" xr:uid="{00000000-0005-0000-0000-0000C5240000}"/>
    <cellStyle name="Positive 2 2 10 3 12" xfId="9401" xr:uid="{00000000-0005-0000-0000-0000C6240000}"/>
    <cellStyle name="Positive 2 2 10 3 12 2" xfId="9402" xr:uid="{00000000-0005-0000-0000-0000C7240000}"/>
    <cellStyle name="Positive 2 2 10 3 13" xfId="9403" xr:uid="{00000000-0005-0000-0000-0000C8240000}"/>
    <cellStyle name="Positive 2 2 10 3 13 2" xfId="9404" xr:uid="{00000000-0005-0000-0000-0000C9240000}"/>
    <cellStyle name="Positive 2 2 10 3 14" xfId="9405" xr:uid="{00000000-0005-0000-0000-0000CA240000}"/>
    <cellStyle name="Positive 2 2 10 3 14 2" xfId="9406" xr:uid="{00000000-0005-0000-0000-0000CB240000}"/>
    <cellStyle name="Positive 2 2 10 3 15" xfId="9407" xr:uid="{00000000-0005-0000-0000-0000CC240000}"/>
    <cellStyle name="Positive 2 2 10 3 15 2" xfId="9408" xr:uid="{00000000-0005-0000-0000-0000CD240000}"/>
    <cellStyle name="Positive 2 2 10 3 16" xfId="9409" xr:uid="{00000000-0005-0000-0000-0000CE240000}"/>
    <cellStyle name="Positive 2 2 10 3 16 2" xfId="9410" xr:uid="{00000000-0005-0000-0000-0000CF240000}"/>
    <cellStyle name="Positive 2 2 10 3 17" xfId="9411" xr:uid="{00000000-0005-0000-0000-0000D0240000}"/>
    <cellStyle name="Positive 2 2 10 3 17 2" xfId="9412" xr:uid="{00000000-0005-0000-0000-0000D1240000}"/>
    <cellStyle name="Positive 2 2 10 3 18" xfId="9413" xr:uid="{00000000-0005-0000-0000-0000D2240000}"/>
    <cellStyle name="Positive 2 2 10 3 18 2" xfId="9414" xr:uid="{00000000-0005-0000-0000-0000D3240000}"/>
    <cellStyle name="Positive 2 2 10 3 19" xfId="9415" xr:uid="{00000000-0005-0000-0000-0000D4240000}"/>
    <cellStyle name="Positive 2 2 10 3 19 2" xfId="9416" xr:uid="{00000000-0005-0000-0000-0000D5240000}"/>
    <cellStyle name="Positive 2 2 10 3 2" xfId="9417" xr:uid="{00000000-0005-0000-0000-0000D6240000}"/>
    <cellStyle name="Positive 2 2 10 3 2 10" xfId="9418" xr:uid="{00000000-0005-0000-0000-0000D7240000}"/>
    <cellStyle name="Positive 2 2 10 3 2 10 2" xfId="9419" xr:uid="{00000000-0005-0000-0000-0000D8240000}"/>
    <cellStyle name="Positive 2 2 10 3 2 11" xfId="9420" xr:uid="{00000000-0005-0000-0000-0000D9240000}"/>
    <cellStyle name="Positive 2 2 10 3 2 11 2" xfId="9421" xr:uid="{00000000-0005-0000-0000-0000DA240000}"/>
    <cellStyle name="Positive 2 2 10 3 2 12" xfId="9422" xr:uid="{00000000-0005-0000-0000-0000DB240000}"/>
    <cellStyle name="Positive 2 2 10 3 2 12 2" xfId="9423" xr:uid="{00000000-0005-0000-0000-0000DC240000}"/>
    <cellStyle name="Positive 2 2 10 3 2 13" xfId="9424" xr:uid="{00000000-0005-0000-0000-0000DD240000}"/>
    <cellStyle name="Positive 2 2 10 3 2 13 2" xfId="9425" xr:uid="{00000000-0005-0000-0000-0000DE240000}"/>
    <cellStyle name="Positive 2 2 10 3 2 14" xfId="9426" xr:uid="{00000000-0005-0000-0000-0000DF240000}"/>
    <cellStyle name="Positive 2 2 10 3 2 14 2" xfId="9427" xr:uid="{00000000-0005-0000-0000-0000E0240000}"/>
    <cellStyle name="Positive 2 2 10 3 2 15" xfId="9428" xr:uid="{00000000-0005-0000-0000-0000E1240000}"/>
    <cellStyle name="Positive 2 2 10 3 2 15 2" xfId="9429" xr:uid="{00000000-0005-0000-0000-0000E2240000}"/>
    <cellStyle name="Positive 2 2 10 3 2 16" xfId="9430" xr:uid="{00000000-0005-0000-0000-0000E3240000}"/>
    <cellStyle name="Positive 2 2 10 3 2 16 2" xfId="9431" xr:uid="{00000000-0005-0000-0000-0000E4240000}"/>
    <cellStyle name="Positive 2 2 10 3 2 17" xfId="9432" xr:uid="{00000000-0005-0000-0000-0000E5240000}"/>
    <cellStyle name="Positive 2 2 10 3 2 2" xfId="9433" xr:uid="{00000000-0005-0000-0000-0000E6240000}"/>
    <cellStyle name="Positive 2 2 10 3 2 2 2" xfId="9434" xr:uid="{00000000-0005-0000-0000-0000E7240000}"/>
    <cellStyle name="Positive 2 2 10 3 2 3" xfId="9435" xr:uid="{00000000-0005-0000-0000-0000E8240000}"/>
    <cellStyle name="Positive 2 2 10 3 2 3 2" xfId="9436" xr:uid="{00000000-0005-0000-0000-0000E9240000}"/>
    <cellStyle name="Positive 2 2 10 3 2 4" xfId="9437" xr:uid="{00000000-0005-0000-0000-0000EA240000}"/>
    <cellStyle name="Positive 2 2 10 3 2 4 2" xfId="9438" xr:uid="{00000000-0005-0000-0000-0000EB240000}"/>
    <cellStyle name="Positive 2 2 10 3 2 5" xfId="9439" xr:uid="{00000000-0005-0000-0000-0000EC240000}"/>
    <cellStyle name="Positive 2 2 10 3 2 5 2" xfId="9440" xr:uid="{00000000-0005-0000-0000-0000ED240000}"/>
    <cellStyle name="Positive 2 2 10 3 2 6" xfId="9441" xr:uid="{00000000-0005-0000-0000-0000EE240000}"/>
    <cellStyle name="Positive 2 2 10 3 2 6 2" xfId="9442" xr:uid="{00000000-0005-0000-0000-0000EF240000}"/>
    <cellStyle name="Positive 2 2 10 3 2 7" xfId="9443" xr:uid="{00000000-0005-0000-0000-0000F0240000}"/>
    <cellStyle name="Positive 2 2 10 3 2 7 2" xfId="9444" xr:uid="{00000000-0005-0000-0000-0000F1240000}"/>
    <cellStyle name="Positive 2 2 10 3 2 8" xfId="9445" xr:uid="{00000000-0005-0000-0000-0000F2240000}"/>
    <cellStyle name="Positive 2 2 10 3 2 8 2" xfId="9446" xr:uid="{00000000-0005-0000-0000-0000F3240000}"/>
    <cellStyle name="Positive 2 2 10 3 2 9" xfId="9447" xr:uid="{00000000-0005-0000-0000-0000F4240000}"/>
    <cellStyle name="Positive 2 2 10 3 2 9 2" xfId="9448" xr:uid="{00000000-0005-0000-0000-0000F5240000}"/>
    <cellStyle name="Positive 2 2 10 3 20" xfId="9449" xr:uid="{00000000-0005-0000-0000-0000F6240000}"/>
    <cellStyle name="Positive 2 2 10 3 3" xfId="9450" xr:uid="{00000000-0005-0000-0000-0000F7240000}"/>
    <cellStyle name="Positive 2 2 10 3 3 2" xfId="9451" xr:uid="{00000000-0005-0000-0000-0000F8240000}"/>
    <cellStyle name="Positive 2 2 10 3 3 2 2" xfId="9452" xr:uid="{00000000-0005-0000-0000-0000F9240000}"/>
    <cellStyle name="Positive 2 2 10 3 3 3" xfId="9453" xr:uid="{00000000-0005-0000-0000-0000FA240000}"/>
    <cellStyle name="Positive 2 2 10 3 4" xfId="9454" xr:uid="{00000000-0005-0000-0000-0000FB240000}"/>
    <cellStyle name="Positive 2 2 10 3 4 2" xfId="9455" xr:uid="{00000000-0005-0000-0000-0000FC240000}"/>
    <cellStyle name="Positive 2 2 10 3 4 2 2" xfId="9456" xr:uid="{00000000-0005-0000-0000-0000FD240000}"/>
    <cellStyle name="Positive 2 2 10 3 4 3" xfId="9457" xr:uid="{00000000-0005-0000-0000-0000FE240000}"/>
    <cellStyle name="Positive 2 2 10 3 5" xfId="9458" xr:uid="{00000000-0005-0000-0000-0000FF240000}"/>
    <cellStyle name="Positive 2 2 10 3 5 2" xfId="9459" xr:uid="{00000000-0005-0000-0000-000000250000}"/>
    <cellStyle name="Positive 2 2 10 3 6" xfId="9460" xr:uid="{00000000-0005-0000-0000-000001250000}"/>
    <cellStyle name="Positive 2 2 10 3 6 2" xfId="9461" xr:uid="{00000000-0005-0000-0000-000002250000}"/>
    <cellStyle name="Positive 2 2 10 3 7" xfId="9462" xr:uid="{00000000-0005-0000-0000-000003250000}"/>
    <cellStyle name="Positive 2 2 10 3 7 2" xfId="9463" xr:uid="{00000000-0005-0000-0000-000004250000}"/>
    <cellStyle name="Positive 2 2 10 3 8" xfId="9464" xr:uid="{00000000-0005-0000-0000-000005250000}"/>
    <cellStyle name="Positive 2 2 10 3 8 2" xfId="9465" xr:uid="{00000000-0005-0000-0000-000006250000}"/>
    <cellStyle name="Positive 2 2 10 3 9" xfId="9466" xr:uid="{00000000-0005-0000-0000-000007250000}"/>
    <cellStyle name="Positive 2 2 10 3 9 2" xfId="9467" xr:uid="{00000000-0005-0000-0000-000008250000}"/>
    <cellStyle name="Positive 2 2 10 4" xfId="9468" xr:uid="{00000000-0005-0000-0000-000009250000}"/>
    <cellStyle name="Positive 2 2 10 4 10" xfId="9469" xr:uid="{00000000-0005-0000-0000-00000A250000}"/>
    <cellStyle name="Positive 2 2 10 4 10 2" xfId="9470" xr:uid="{00000000-0005-0000-0000-00000B250000}"/>
    <cellStyle name="Positive 2 2 10 4 11" xfId="9471" xr:uid="{00000000-0005-0000-0000-00000C250000}"/>
    <cellStyle name="Positive 2 2 10 4 11 2" xfId="9472" xr:uid="{00000000-0005-0000-0000-00000D250000}"/>
    <cellStyle name="Positive 2 2 10 4 12" xfId="9473" xr:uid="{00000000-0005-0000-0000-00000E250000}"/>
    <cellStyle name="Positive 2 2 10 4 12 2" xfId="9474" xr:uid="{00000000-0005-0000-0000-00000F250000}"/>
    <cellStyle name="Positive 2 2 10 4 13" xfId="9475" xr:uid="{00000000-0005-0000-0000-000010250000}"/>
    <cellStyle name="Positive 2 2 10 4 13 2" xfId="9476" xr:uid="{00000000-0005-0000-0000-000011250000}"/>
    <cellStyle name="Positive 2 2 10 4 14" xfId="9477" xr:uid="{00000000-0005-0000-0000-000012250000}"/>
    <cellStyle name="Positive 2 2 10 4 14 2" xfId="9478" xr:uid="{00000000-0005-0000-0000-000013250000}"/>
    <cellStyle name="Positive 2 2 10 4 15" xfId="9479" xr:uid="{00000000-0005-0000-0000-000014250000}"/>
    <cellStyle name="Positive 2 2 10 4 15 2" xfId="9480" xr:uid="{00000000-0005-0000-0000-000015250000}"/>
    <cellStyle name="Positive 2 2 10 4 16" xfId="9481" xr:uid="{00000000-0005-0000-0000-000016250000}"/>
    <cellStyle name="Positive 2 2 10 4 16 2" xfId="9482" xr:uid="{00000000-0005-0000-0000-000017250000}"/>
    <cellStyle name="Positive 2 2 10 4 17" xfId="9483" xr:uid="{00000000-0005-0000-0000-000018250000}"/>
    <cellStyle name="Positive 2 2 10 4 17 2" xfId="9484" xr:uid="{00000000-0005-0000-0000-000019250000}"/>
    <cellStyle name="Positive 2 2 10 4 18" xfId="9485" xr:uid="{00000000-0005-0000-0000-00001A250000}"/>
    <cellStyle name="Positive 2 2 10 4 18 2" xfId="9486" xr:uid="{00000000-0005-0000-0000-00001B250000}"/>
    <cellStyle name="Positive 2 2 10 4 19" xfId="9487" xr:uid="{00000000-0005-0000-0000-00001C250000}"/>
    <cellStyle name="Positive 2 2 10 4 19 2" xfId="9488" xr:uid="{00000000-0005-0000-0000-00001D250000}"/>
    <cellStyle name="Positive 2 2 10 4 2" xfId="9489" xr:uid="{00000000-0005-0000-0000-00001E250000}"/>
    <cellStyle name="Positive 2 2 10 4 2 10" xfId="9490" xr:uid="{00000000-0005-0000-0000-00001F250000}"/>
    <cellStyle name="Positive 2 2 10 4 2 10 2" xfId="9491" xr:uid="{00000000-0005-0000-0000-000020250000}"/>
    <cellStyle name="Positive 2 2 10 4 2 11" xfId="9492" xr:uid="{00000000-0005-0000-0000-000021250000}"/>
    <cellStyle name="Positive 2 2 10 4 2 11 2" xfId="9493" xr:uid="{00000000-0005-0000-0000-000022250000}"/>
    <cellStyle name="Positive 2 2 10 4 2 12" xfId="9494" xr:uid="{00000000-0005-0000-0000-000023250000}"/>
    <cellStyle name="Positive 2 2 10 4 2 12 2" xfId="9495" xr:uid="{00000000-0005-0000-0000-000024250000}"/>
    <cellStyle name="Positive 2 2 10 4 2 13" xfId="9496" xr:uid="{00000000-0005-0000-0000-000025250000}"/>
    <cellStyle name="Positive 2 2 10 4 2 13 2" xfId="9497" xr:uid="{00000000-0005-0000-0000-000026250000}"/>
    <cellStyle name="Positive 2 2 10 4 2 14" xfId="9498" xr:uid="{00000000-0005-0000-0000-000027250000}"/>
    <cellStyle name="Positive 2 2 10 4 2 14 2" xfId="9499" xr:uid="{00000000-0005-0000-0000-000028250000}"/>
    <cellStyle name="Positive 2 2 10 4 2 15" xfId="9500" xr:uid="{00000000-0005-0000-0000-000029250000}"/>
    <cellStyle name="Positive 2 2 10 4 2 15 2" xfId="9501" xr:uid="{00000000-0005-0000-0000-00002A250000}"/>
    <cellStyle name="Positive 2 2 10 4 2 16" xfId="9502" xr:uid="{00000000-0005-0000-0000-00002B250000}"/>
    <cellStyle name="Positive 2 2 10 4 2 16 2" xfId="9503" xr:uid="{00000000-0005-0000-0000-00002C250000}"/>
    <cellStyle name="Positive 2 2 10 4 2 17" xfId="9504" xr:uid="{00000000-0005-0000-0000-00002D250000}"/>
    <cellStyle name="Positive 2 2 10 4 2 2" xfId="9505" xr:uid="{00000000-0005-0000-0000-00002E250000}"/>
    <cellStyle name="Positive 2 2 10 4 2 2 2" xfId="9506" xr:uid="{00000000-0005-0000-0000-00002F250000}"/>
    <cellStyle name="Positive 2 2 10 4 2 3" xfId="9507" xr:uid="{00000000-0005-0000-0000-000030250000}"/>
    <cellStyle name="Positive 2 2 10 4 2 3 2" xfId="9508" xr:uid="{00000000-0005-0000-0000-000031250000}"/>
    <cellStyle name="Positive 2 2 10 4 2 4" xfId="9509" xr:uid="{00000000-0005-0000-0000-000032250000}"/>
    <cellStyle name="Positive 2 2 10 4 2 4 2" xfId="9510" xr:uid="{00000000-0005-0000-0000-000033250000}"/>
    <cellStyle name="Positive 2 2 10 4 2 5" xfId="9511" xr:uid="{00000000-0005-0000-0000-000034250000}"/>
    <cellStyle name="Positive 2 2 10 4 2 5 2" xfId="9512" xr:uid="{00000000-0005-0000-0000-000035250000}"/>
    <cellStyle name="Positive 2 2 10 4 2 6" xfId="9513" xr:uid="{00000000-0005-0000-0000-000036250000}"/>
    <cellStyle name="Positive 2 2 10 4 2 6 2" xfId="9514" xr:uid="{00000000-0005-0000-0000-000037250000}"/>
    <cellStyle name="Positive 2 2 10 4 2 7" xfId="9515" xr:uid="{00000000-0005-0000-0000-000038250000}"/>
    <cellStyle name="Positive 2 2 10 4 2 7 2" xfId="9516" xr:uid="{00000000-0005-0000-0000-000039250000}"/>
    <cellStyle name="Positive 2 2 10 4 2 8" xfId="9517" xr:uid="{00000000-0005-0000-0000-00003A250000}"/>
    <cellStyle name="Positive 2 2 10 4 2 8 2" xfId="9518" xr:uid="{00000000-0005-0000-0000-00003B250000}"/>
    <cellStyle name="Positive 2 2 10 4 2 9" xfId="9519" xr:uid="{00000000-0005-0000-0000-00003C250000}"/>
    <cellStyle name="Positive 2 2 10 4 2 9 2" xfId="9520" xr:uid="{00000000-0005-0000-0000-00003D250000}"/>
    <cellStyle name="Positive 2 2 10 4 20" xfId="9521" xr:uid="{00000000-0005-0000-0000-00003E250000}"/>
    <cellStyle name="Positive 2 2 10 4 3" xfId="9522" xr:uid="{00000000-0005-0000-0000-00003F250000}"/>
    <cellStyle name="Positive 2 2 10 4 3 2" xfId="9523" xr:uid="{00000000-0005-0000-0000-000040250000}"/>
    <cellStyle name="Positive 2 2 10 4 3 2 2" xfId="9524" xr:uid="{00000000-0005-0000-0000-000041250000}"/>
    <cellStyle name="Positive 2 2 10 4 3 3" xfId="9525" xr:uid="{00000000-0005-0000-0000-000042250000}"/>
    <cellStyle name="Positive 2 2 10 4 4" xfId="9526" xr:uid="{00000000-0005-0000-0000-000043250000}"/>
    <cellStyle name="Positive 2 2 10 4 4 2" xfId="9527" xr:uid="{00000000-0005-0000-0000-000044250000}"/>
    <cellStyle name="Positive 2 2 10 4 4 2 2" xfId="9528" xr:uid="{00000000-0005-0000-0000-000045250000}"/>
    <cellStyle name="Positive 2 2 10 4 4 3" xfId="9529" xr:uid="{00000000-0005-0000-0000-000046250000}"/>
    <cellStyle name="Positive 2 2 10 4 5" xfId="9530" xr:uid="{00000000-0005-0000-0000-000047250000}"/>
    <cellStyle name="Positive 2 2 10 4 5 2" xfId="9531" xr:uid="{00000000-0005-0000-0000-000048250000}"/>
    <cellStyle name="Positive 2 2 10 4 6" xfId="9532" xr:uid="{00000000-0005-0000-0000-000049250000}"/>
    <cellStyle name="Positive 2 2 10 4 6 2" xfId="9533" xr:uid="{00000000-0005-0000-0000-00004A250000}"/>
    <cellStyle name="Positive 2 2 10 4 7" xfId="9534" xr:uid="{00000000-0005-0000-0000-00004B250000}"/>
    <cellStyle name="Positive 2 2 10 4 7 2" xfId="9535" xr:uid="{00000000-0005-0000-0000-00004C250000}"/>
    <cellStyle name="Positive 2 2 10 4 8" xfId="9536" xr:uid="{00000000-0005-0000-0000-00004D250000}"/>
    <cellStyle name="Positive 2 2 10 4 8 2" xfId="9537" xr:uid="{00000000-0005-0000-0000-00004E250000}"/>
    <cellStyle name="Positive 2 2 10 4 9" xfId="9538" xr:uid="{00000000-0005-0000-0000-00004F250000}"/>
    <cellStyle name="Positive 2 2 10 4 9 2" xfId="9539" xr:uid="{00000000-0005-0000-0000-000050250000}"/>
    <cellStyle name="Positive 2 2 10 5" xfId="9540" xr:uid="{00000000-0005-0000-0000-000051250000}"/>
    <cellStyle name="Positive 2 2 10 5 10" xfId="9541" xr:uid="{00000000-0005-0000-0000-000052250000}"/>
    <cellStyle name="Positive 2 2 10 5 10 2" xfId="9542" xr:uid="{00000000-0005-0000-0000-000053250000}"/>
    <cellStyle name="Positive 2 2 10 5 11" xfId="9543" xr:uid="{00000000-0005-0000-0000-000054250000}"/>
    <cellStyle name="Positive 2 2 10 5 11 2" xfId="9544" xr:uid="{00000000-0005-0000-0000-000055250000}"/>
    <cellStyle name="Positive 2 2 10 5 12" xfId="9545" xr:uid="{00000000-0005-0000-0000-000056250000}"/>
    <cellStyle name="Positive 2 2 10 5 12 2" xfId="9546" xr:uid="{00000000-0005-0000-0000-000057250000}"/>
    <cellStyle name="Positive 2 2 10 5 13" xfId="9547" xr:uid="{00000000-0005-0000-0000-000058250000}"/>
    <cellStyle name="Positive 2 2 10 5 13 2" xfId="9548" xr:uid="{00000000-0005-0000-0000-000059250000}"/>
    <cellStyle name="Positive 2 2 10 5 14" xfId="9549" xr:uid="{00000000-0005-0000-0000-00005A250000}"/>
    <cellStyle name="Positive 2 2 10 5 14 2" xfId="9550" xr:uid="{00000000-0005-0000-0000-00005B250000}"/>
    <cellStyle name="Positive 2 2 10 5 15" xfId="9551" xr:uid="{00000000-0005-0000-0000-00005C250000}"/>
    <cellStyle name="Positive 2 2 10 5 15 2" xfId="9552" xr:uid="{00000000-0005-0000-0000-00005D250000}"/>
    <cellStyle name="Positive 2 2 10 5 16" xfId="9553" xr:uid="{00000000-0005-0000-0000-00005E250000}"/>
    <cellStyle name="Positive 2 2 10 5 16 2" xfId="9554" xr:uid="{00000000-0005-0000-0000-00005F250000}"/>
    <cellStyle name="Positive 2 2 10 5 17" xfId="9555" xr:uid="{00000000-0005-0000-0000-000060250000}"/>
    <cellStyle name="Positive 2 2 10 5 2" xfId="9556" xr:uid="{00000000-0005-0000-0000-000061250000}"/>
    <cellStyle name="Positive 2 2 10 5 2 2" xfId="9557" xr:uid="{00000000-0005-0000-0000-000062250000}"/>
    <cellStyle name="Positive 2 2 10 5 3" xfId="9558" xr:uid="{00000000-0005-0000-0000-000063250000}"/>
    <cellStyle name="Positive 2 2 10 5 3 2" xfId="9559" xr:uid="{00000000-0005-0000-0000-000064250000}"/>
    <cellStyle name="Positive 2 2 10 5 4" xfId="9560" xr:uid="{00000000-0005-0000-0000-000065250000}"/>
    <cellStyle name="Positive 2 2 10 5 4 2" xfId="9561" xr:uid="{00000000-0005-0000-0000-000066250000}"/>
    <cellStyle name="Positive 2 2 10 5 5" xfId="9562" xr:uid="{00000000-0005-0000-0000-000067250000}"/>
    <cellStyle name="Positive 2 2 10 5 5 2" xfId="9563" xr:uid="{00000000-0005-0000-0000-000068250000}"/>
    <cellStyle name="Positive 2 2 10 5 6" xfId="9564" xr:uid="{00000000-0005-0000-0000-000069250000}"/>
    <cellStyle name="Positive 2 2 10 5 6 2" xfId="9565" xr:uid="{00000000-0005-0000-0000-00006A250000}"/>
    <cellStyle name="Positive 2 2 10 5 7" xfId="9566" xr:uid="{00000000-0005-0000-0000-00006B250000}"/>
    <cellStyle name="Positive 2 2 10 5 7 2" xfId="9567" xr:uid="{00000000-0005-0000-0000-00006C250000}"/>
    <cellStyle name="Positive 2 2 10 5 8" xfId="9568" xr:uid="{00000000-0005-0000-0000-00006D250000}"/>
    <cellStyle name="Positive 2 2 10 5 8 2" xfId="9569" xr:uid="{00000000-0005-0000-0000-00006E250000}"/>
    <cellStyle name="Positive 2 2 10 5 9" xfId="9570" xr:uid="{00000000-0005-0000-0000-00006F250000}"/>
    <cellStyle name="Positive 2 2 10 5 9 2" xfId="9571" xr:uid="{00000000-0005-0000-0000-000070250000}"/>
    <cellStyle name="Positive 2 2 10 6" xfId="9572" xr:uid="{00000000-0005-0000-0000-000071250000}"/>
    <cellStyle name="Positive 2 2 10 6 2" xfId="9573" xr:uid="{00000000-0005-0000-0000-000072250000}"/>
    <cellStyle name="Positive 2 2 10 6 2 2" xfId="9574" xr:uid="{00000000-0005-0000-0000-000073250000}"/>
    <cellStyle name="Positive 2 2 10 6 3" xfId="9575" xr:uid="{00000000-0005-0000-0000-000074250000}"/>
    <cellStyle name="Positive 2 2 10 7" xfId="9576" xr:uid="{00000000-0005-0000-0000-000075250000}"/>
    <cellStyle name="Positive 2 2 10 7 2" xfId="9577" xr:uid="{00000000-0005-0000-0000-000076250000}"/>
    <cellStyle name="Positive 2 2 10 7 2 2" xfId="9578" xr:uid="{00000000-0005-0000-0000-000077250000}"/>
    <cellStyle name="Positive 2 2 10 7 3" xfId="9579" xr:uid="{00000000-0005-0000-0000-000078250000}"/>
    <cellStyle name="Positive 2 2 10 8" xfId="9580" xr:uid="{00000000-0005-0000-0000-000079250000}"/>
    <cellStyle name="Positive 2 2 10 8 2" xfId="9581" xr:uid="{00000000-0005-0000-0000-00007A250000}"/>
    <cellStyle name="Positive 2 2 10 9" xfId="9582" xr:uid="{00000000-0005-0000-0000-00007B250000}"/>
    <cellStyle name="Positive 2 2 10 9 2" xfId="9583" xr:uid="{00000000-0005-0000-0000-00007C250000}"/>
    <cellStyle name="Positive 2 2 11" xfId="9584" xr:uid="{00000000-0005-0000-0000-00007D250000}"/>
    <cellStyle name="Positive 2 2 11 10" xfId="9585" xr:uid="{00000000-0005-0000-0000-00007E250000}"/>
    <cellStyle name="Positive 2 2 11 10 2" xfId="9586" xr:uid="{00000000-0005-0000-0000-00007F250000}"/>
    <cellStyle name="Positive 2 2 11 11" xfId="9587" xr:uid="{00000000-0005-0000-0000-000080250000}"/>
    <cellStyle name="Positive 2 2 11 11 2" xfId="9588" xr:uid="{00000000-0005-0000-0000-000081250000}"/>
    <cellStyle name="Positive 2 2 11 12" xfId="9589" xr:uid="{00000000-0005-0000-0000-000082250000}"/>
    <cellStyle name="Positive 2 2 11 12 2" xfId="9590" xr:uid="{00000000-0005-0000-0000-000083250000}"/>
    <cellStyle name="Positive 2 2 11 13" xfId="9591" xr:uid="{00000000-0005-0000-0000-000084250000}"/>
    <cellStyle name="Positive 2 2 11 13 2" xfId="9592" xr:uid="{00000000-0005-0000-0000-000085250000}"/>
    <cellStyle name="Positive 2 2 11 14" xfId="9593" xr:uid="{00000000-0005-0000-0000-000086250000}"/>
    <cellStyle name="Positive 2 2 11 14 2" xfId="9594" xr:uid="{00000000-0005-0000-0000-000087250000}"/>
    <cellStyle name="Positive 2 2 11 15" xfId="9595" xr:uid="{00000000-0005-0000-0000-000088250000}"/>
    <cellStyle name="Positive 2 2 11 15 2" xfId="9596" xr:uid="{00000000-0005-0000-0000-000089250000}"/>
    <cellStyle name="Positive 2 2 11 16" xfId="9597" xr:uid="{00000000-0005-0000-0000-00008A250000}"/>
    <cellStyle name="Positive 2 2 11 16 2" xfId="9598" xr:uid="{00000000-0005-0000-0000-00008B250000}"/>
    <cellStyle name="Positive 2 2 11 17" xfId="9599" xr:uid="{00000000-0005-0000-0000-00008C250000}"/>
    <cellStyle name="Positive 2 2 11 17 2" xfId="9600" xr:uid="{00000000-0005-0000-0000-00008D250000}"/>
    <cellStyle name="Positive 2 2 11 18" xfId="9601" xr:uid="{00000000-0005-0000-0000-00008E250000}"/>
    <cellStyle name="Positive 2 2 11 18 2" xfId="9602" xr:uid="{00000000-0005-0000-0000-00008F250000}"/>
    <cellStyle name="Positive 2 2 11 19" xfId="9603" xr:uid="{00000000-0005-0000-0000-000090250000}"/>
    <cellStyle name="Positive 2 2 11 19 2" xfId="9604" xr:uid="{00000000-0005-0000-0000-000091250000}"/>
    <cellStyle name="Positive 2 2 11 2" xfId="9605" xr:uid="{00000000-0005-0000-0000-000092250000}"/>
    <cellStyle name="Positive 2 2 11 2 10" xfId="9606" xr:uid="{00000000-0005-0000-0000-000093250000}"/>
    <cellStyle name="Positive 2 2 11 2 10 2" xfId="9607" xr:uid="{00000000-0005-0000-0000-000094250000}"/>
    <cellStyle name="Positive 2 2 11 2 11" xfId="9608" xr:uid="{00000000-0005-0000-0000-000095250000}"/>
    <cellStyle name="Positive 2 2 11 2 11 2" xfId="9609" xr:uid="{00000000-0005-0000-0000-000096250000}"/>
    <cellStyle name="Positive 2 2 11 2 12" xfId="9610" xr:uid="{00000000-0005-0000-0000-000097250000}"/>
    <cellStyle name="Positive 2 2 11 2 12 2" xfId="9611" xr:uid="{00000000-0005-0000-0000-000098250000}"/>
    <cellStyle name="Positive 2 2 11 2 13" xfId="9612" xr:uid="{00000000-0005-0000-0000-000099250000}"/>
    <cellStyle name="Positive 2 2 11 2 13 2" xfId="9613" xr:uid="{00000000-0005-0000-0000-00009A250000}"/>
    <cellStyle name="Positive 2 2 11 2 14" xfId="9614" xr:uid="{00000000-0005-0000-0000-00009B250000}"/>
    <cellStyle name="Positive 2 2 11 2 14 2" xfId="9615" xr:uid="{00000000-0005-0000-0000-00009C250000}"/>
    <cellStyle name="Positive 2 2 11 2 15" xfId="9616" xr:uid="{00000000-0005-0000-0000-00009D250000}"/>
    <cellStyle name="Positive 2 2 11 2 15 2" xfId="9617" xr:uid="{00000000-0005-0000-0000-00009E250000}"/>
    <cellStyle name="Positive 2 2 11 2 16" xfId="9618" xr:uid="{00000000-0005-0000-0000-00009F250000}"/>
    <cellStyle name="Positive 2 2 11 2 16 2" xfId="9619" xr:uid="{00000000-0005-0000-0000-0000A0250000}"/>
    <cellStyle name="Positive 2 2 11 2 17" xfId="9620" xr:uid="{00000000-0005-0000-0000-0000A1250000}"/>
    <cellStyle name="Positive 2 2 11 2 17 2" xfId="9621" xr:uid="{00000000-0005-0000-0000-0000A2250000}"/>
    <cellStyle name="Positive 2 2 11 2 18" xfId="9622" xr:uid="{00000000-0005-0000-0000-0000A3250000}"/>
    <cellStyle name="Positive 2 2 11 2 18 2" xfId="9623" xr:uid="{00000000-0005-0000-0000-0000A4250000}"/>
    <cellStyle name="Positive 2 2 11 2 19" xfId="9624" xr:uid="{00000000-0005-0000-0000-0000A5250000}"/>
    <cellStyle name="Positive 2 2 11 2 19 2" xfId="9625" xr:uid="{00000000-0005-0000-0000-0000A6250000}"/>
    <cellStyle name="Positive 2 2 11 2 2" xfId="9626" xr:uid="{00000000-0005-0000-0000-0000A7250000}"/>
    <cellStyle name="Positive 2 2 11 2 2 10" xfId="9627" xr:uid="{00000000-0005-0000-0000-0000A8250000}"/>
    <cellStyle name="Positive 2 2 11 2 2 10 2" xfId="9628" xr:uid="{00000000-0005-0000-0000-0000A9250000}"/>
    <cellStyle name="Positive 2 2 11 2 2 11" xfId="9629" xr:uid="{00000000-0005-0000-0000-0000AA250000}"/>
    <cellStyle name="Positive 2 2 11 2 2 11 2" xfId="9630" xr:uid="{00000000-0005-0000-0000-0000AB250000}"/>
    <cellStyle name="Positive 2 2 11 2 2 12" xfId="9631" xr:uid="{00000000-0005-0000-0000-0000AC250000}"/>
    <cellStyle name="Positive 2 2 11 2 2 12 2" xfId="9632" xr:uid="{00000000-0005-0000-0000-0000AD250000}"/>
    <cellStyle name="Positive 2 2 11 2 2 13" xfId="9633" xr:uid="{00000000-0005-0000-0000-0000AE250000}"/>
    <cellStyle name="Positive 2 2 11 2 2 13 2" xfId="9634" xr:uid="{00000000-0005-0000-0000-0000AF250000}"/>
    <cellStyle name="Positive 2 2 11 2 2 14" xfId="9635" xr:uid="{00000000-0005-0000-0000-0000B0250000}"/>
    <cellStyle name="Positive 2 2 11 2 2 14 2" xfId="9636" xr:uid="{00000000-0005-0000-0000-0000B1250000}"/>
    <cellStyle name="Positive 2 2 11 2 2 15" xfId="9637" xr:uid="{00000000-0005-0000-0000-0000B2250000}"/>
    <cellStyle name="Positive 2 2 11 2 2 15 2" xfId="9638" xr:uid="{00000000-0005-0000-0000-0000B3250000}"/>
    <cellStyle name="Positive 2 2 11 2 2 16" xfId="9639" xr:uid="{00000000-0005-0000-0000-0000B4250000}"/>
    <cellStyle name="Positive 2 2 11 2 2 16 2" xfId="9640" xr:uid="{00000000-0005-0000-0000-0000B5250000}"/>
    <cellStyle name="Positive 2 2 11 2 2 17" xfId="9641" xr:uid="{00000000-0005-0000-0000-0000B6250000}"/>
    <cellStyle name="Positive 2 2 11 2 2 2" xfId="9642" xr:uid="{00000000-0005-0000-0000-0000B7250000}"/>
    <cellStyle name="Positive 2 2 11 2 2 2 2" xfId="9643" xr:uid="{00000000-0005-0000-0000-0000B8250000}"/>
    <cellStyle name="Positive 2 2 11 2 2 3" xfId="9644" xr:uid="{00000000-0005-0000-0000-0000B9250000}"/>
    <cellStyle name="Positive 2 2 11 2 2 3 2" xfId="9645" xr:uid="{00000000-0005-0000-0000-0000BA250000}"/>
    <cellStyle name="Positive 2 2 11 2 2 4" xfId="9646" xr:uid="{00000000-0005-0000-0000-0000BB250000}"/>
    <cellStyle name="Positive 2 2 11 2 2 4 2" xfId="9647" xr:uid="{00000000-0005-0000-0000-0000BC250000}"/>
    <cellStyle name="Positive 2 2 11 2 2 5" xfId="9648" xr:uid="{00000000-0005-0000-0000-0000BD250000}"/>
    <cellStyle name="Positive 2 2 11 2 2 5 2" xfId="9649" xr:uid="{00000000-0005-0000-0000-0000BE250000}"/>
    <cellStyle name="Positive 2 2 11 2 2 6" xfId="9650" xr:uid="{00000000-0005-0000-0000-0000BF250000}"/>
    <cellStyle name="Positive 2 2 11 2 2 6 2" xfId="9651" xr:uid="{00000000-0005-0000-0000-0000C0250000}"/>
    <cellStyle name="Positive 2 2 11 2 2 7" xfId="9652" xr:uid="{00000000-0005-0000-0000-0000C1250000}"/>
    <cellStyle name="Positive 2 2 11 2 2 7 2" xfId="9653" xr:uid="{00000000-0005-0000-0000-0000C2250000}"/>
    <cellStyle name="Positive 2 2 11 2 2 8" xfId="9654" xr:uid="{00000000-0005-0000-0000-0000C3250000}"/>
    <cellStyle name="Positive 2 2 11 2 2 8 2" xfId="9655" xr:uid="{00000000-0005-0000-0000-0000C4250000}"/>
    <cellStyle name="Positive 2 2 11 2 2 9" xfId="9656" xr:uid="{00000000-0005-0000-0000-0000C5250000}"/>
    <cellStyle name="Positive 2 2 11 2 2 9 2" xfId="9657" xr:uid="{00000000-0005-0000-0000-0000C6250000}"/>
    <cellStyle name="Positive 2 2 11 2 20" xfId="9658" xr:uid="{00000000-0005-0000-0000-0000C7250000}"/>
    <cellStyle name="Positive 2 2 11 2 3" xfId="9659" xr:uid="{00000000-0005-0000-0000-0000C8250000}"/>
    <cellStyle name="Positive 2 2 11 2 3 2" xfId="9660" xr:uid="{00000000-0005-0000-0000-0000C9250000}"/>
    <cellStyle name="Positive 2 2 11 2 3 2 2" xfId="9661" xr:uid="{00000000-0005-0000-0000-0000CA250000}"/>
    <cellStyle name="Positive 2 2 11 2 3 3" xfId="9662" xr:uid="{00000000-0005-0000-0000-0000CB250000}"/>
    <cellStyle name="Positive 2 2 11 2 4" xfId="9663" xr:uid="{00000000-0005-0000-0000-0000CC250000}"/>
    <cellStyle name="Positive 2 2 11 2 4 2" xfId="9664" xr:uid="{00000000-0005-0000-0000-0000CD250000}"/>
    <cellStyle name="Positive 2 2 11 2 4 2 2" xfId="9665" xr:uid="{00000000-0005-0000-0000-0000CE250000}"/>
    <cellStyle name="Positive 2 2 11 2 4 3" xfId="9666" xr:uid="{00000000-0005-0000-0000-0000CF250000}"/>
    <cellStyle name="Positive 2 2 11 2 5" xfId="9667" xr:uid="{00000000-0005-0000-0000-0000D0250000}"/>
    <cellStyle name="Positive 2 2 11 2 5 2" xfId="9668" xr:uid="{00000000-0005-0000-0000-0000D1250000}"/>
    <cellStyle name="Positive 2 2 11 2 6" xfId="9669" xr:uid="{00000000-0005-0000-0000-0000D2250000}"/>
    <cellStyle name="Positive 2 2 11 2 6 2" xfId="9670" xr:uid="{00000000-0005-0000-0000-0000D3250000}"/>
    <cellStyle name="Positive 2 2 11 2 7" xfId="9671" xr:uid="{00000000-0005-0000-0000-0000D4250000}"/>
    <cellStyle name="Positive 2 2 11 2 7 2" xfId="9672" xr:uid="{00000000-0005-0000-0000-0000D5250000}"/>
    <cellStyle name="Positive 2 2 11 2 8" xfId="9673" xr:uid="{00000000-0005-0000-0000-0000D6250000}"/>
    <cellStyle name="Positive 2 2 11 2 8 2" xfId="9674" xr:uid="{00000000-0005-0000-0000-0000D7250000}"/>
    <cellStyle name="Positive 2 2 11 2 9" xfId="9675" xr:uid="{00000000-0005-0000-0000-0000D8250000}"/>
    <cellStyle name="Positive 2 2 11 2 9 2" xfId="9676" xr:uid="{00000000-0005-0000-0000-0000D9250000}"/>
    <cellStyle name="Positive 2 2 11 20" xfId="9677" xr:uid="{00000000-0005-0000-0000-0000DA250000}"/>
    <cellStyle name="Positive 2 2 11 20 2" xfId="9678" xr:uid="{00000000-0005-0000-0000-0000DB250000}"/>
    <cellStyle name="Positive 2 2 11 21" xfId="9679" xr:uid="{00000000-0005-0000-0000-0000DC250000}"/>
    <cellStyle name="Positive 2 2 11 21 2" xfId="9680" xr:uid="{00000000-0005-0000-0000-0000DD250000}"/>
    <cellStyle name="Positive 2 2 11 22" xfId="9681" xr:uid="{00000000-0005-0000-0000-0000DE250000}"/>
    <cellStyle name="Positive 2 2 11 22 2" xfId="9682" xr:uid="{00000000-0005-0000-0000-0000DF250000}"/>
    <cellStyle name="Positive 2 2 11 23" xfId="9683" xr:uid="{00000000-0005-0000-0000-0000E0250000}"/>
    <cellStyle name="Positive 2 2 11 3" xfId="9684" xr:uid="{00000000-0005-0000-0000-0000E1250000}"/>
    <cellStyle name="Positive 2 2 11 3 10" xfId="9685" xr:uid="{00000000-0005-0000-0000-0000E2250000}"/>
    <cellStyle name="Positive 2 2 11 3 10 2" xfId="9686" xr:uid="{00000000-0005-0000-0000-0000E3250000}"/>
    <cellStyle name="Positive 2 2 11 3 11" xfId="9687" xr:uid="{00000000-0005-0000-0000-0000E4250000}"/>
    <cellStyle name="Positive 2 2 11 3 11 2" xfId="9688" xr:uid="{00000000-0005-0000-0000-0000E5250000}"/>
    <cellStyle name="Positive 2 2 11 3 12" xfId="9689" xr:uid="{00000000-0005-0000-0000-0000E6250000}"/>
    <cellStyle name="Positive 2 2 11 3 12 2" xfId="9690" xr:uid="{00000000-0005-0000-0000-0000E7250000}"/>
    <cellStyle name="Positive 2 2 11 3 13" xfId="9691" xr:uid="{00000000-0005-0000-0000-0000E8250000}"/>
    <cellStyle name="Positive 2 2 11 3 13 2" xfId="9692" xr:uid="{00000000-0005-0000-0000-0000E9250000}"/>
    <cellStyle name="Positive 2 2 11 3 14" xfId="9693" xr:uid="{00000000-0005-0000-0000-0000EA250000}"/>
    <cellStyle name="Positive 2 2 11 3 14 2" xfId="9694" xr:uid="{00000000-0005-0000-0000-0000EB250000}"/>
    <cellStyle name="Positive 2 2 11 3 15" xfId="9695" xr:uid="{00000000-0005-0000-0000-0000EC250000}"/>
    <cellStyle name="Positive 2 2 11 3 15 2" xfId="9696" xr:uid="{00000000-0005-0000-0000-0000ED250000}"/>
    <cellStyle name="Positive 2 2 11 3 16" xfId="9697" xr:uid="{00000000-0005-0000-0000-0000EE250000}"/>
    <cellStyle name="Positive 2 2 11 3 16 2" xfId="9698" xr:uid="{00000000-0005-0000-0000-0000EF250000}"/>
    <cellStyle name="Positive 2 2 11 3 17" xfId="9699" xr:uid="{00000000-0005-0000-0000-0000F0250000}"/>
    <cellStyle name="Positive 2 2 11 3 17 2" xfId="9700" xr:uid="{00000000-0005-0000-0000-0000F1250000}"/>
    <cellStyle name="Positive 2 2 11 3 18" xfId="9701" xr:uid="{00000000-0005-0000-0000-0000F2250000}"/>
    <cellStyle name="Positive 2 2 11 3 18 2" xfId="9702" xr:uid="{00000000-0005-0000-0000-0000F3250000}"/>
    <cellStyle name="Positive 2 2 11 3 19" xfId="9703" xr:uid="{00000000-0005-0000-0000-0000F4250000}"/>
    <cellStyle name="Positive 2 2 11 3 19 2" xfId="9704" xr:uid="{00000000-0005-0000-0000-0000F5250000}"/>
    <cellStyle name="Positive 2 2 11 3 2" xfId="9705" xr:uid="{00000000-0005-0000-0000-0000F6250000}"/>
    <cellStyle name="Positive 2 2 11 3 2 10" xfId="9706" xr:uid="{00000000-0005-0000-0000-0000F7250000}"/>
    <cellStyle name="Positive 2 2 11 3 2 10 2" xfId="9707" xr:uid="{00000000-0005-0000-0000-0000F8250000}"/>
    <cellStyle name="Positive 2 2 11 3 2 11" xfId="9708" xr:uid="{00000000-0005-0000-0000-0000F9250000}"/>
    <cellStyle name="Positive 2 2 11 3 2 11 2" xfId="9709" xr:uid="{00000000-0005-0000-0000-0000FA250000}"/>
    <cellStyle name="Positive 2 2 11 3 2 12" xfId="9710" xr:uid="{00000000-0005-0000-0000-0000FB250000}"/>
    <cellStyle name="Positive 2 2 11 3 2 12 2" xfId="9711" xr:uid="{00000000-0005-0000-0000-0000FC250000}"/>
    <cellStyle name="Positive 2 2 11 3 2 13" xfId="9712" xr:uid="{00000000-0005-0000-0000-0000FD250000}"/>
    <cellStyle name="Positive 2 2 11 3 2 13 2" xfId="9713" xr:uid="{00000000-0005-0000-0000-0000FE250000}"/>
    <cellStyle name="Positive 2 2 11 3 2 14" xfId="9714" xr:uid="{00000000-0005-0000-0000-0000FF250000}"/>
    <cellStyle name="Positive 2 2 11 3 2 14 2" xfId="9715" xr:uid="{00000000-0005-0000-0000-000000260000}"/>
    <cellStyle name="Positive 2 2 11 3 2 15" xfId="9716" xr:uid="{00000000-0005-0000-0000-000001260000}"/>
    <cellStyle name="Positive 2 2 11 3 2 15 2" xfId="9717" xr:uid="{00000000-0005-0000-0000-000002260000}"/>
    <cellStyle name="Positive 2 2 11 3 2 16" xfId="9718" xr:uid="{00000000-0005-0000-0000-000003260000}"/>
    <cellStyle name="Positive 2 2 11 3 2 16 2" xfId="9719" xr:uid="{00000000-0005-0000-0000-000004260000}"/>
    <cellStyle name="Positive 2 2 11 3 2 17" xfId="9720" xr:uid="{00000000-0005-0000-0000-000005260000}"/>
    <cellStyle name="Positive 2 2 11 3 2 2" xfId="9721" xr:uid="{00000000-0005-0000-0000-000006260000}"/>
    <cellStyle name="Positive 2 2 11 3 2 2 2" xfId="9722" xr:uid="{00000000-0005-0000-0000-000007260000}"/>
    <cellStyle name="Positive 2 2 11 3 2 3" xfId="9723" xr:uid="{00000000-0005-0000-0000-000008260000}"/>
    <cellStyle name="Positive 2 2 11 3 2 3 2" xfId="9724" xr:uid="{00000000-0005-0000-0000-000009260000}"/>
    <cellStyle name="Positive 2 2 11 3 2 4" xfId="9725" xr:uid="{00000000-0005-0000-0000-00000A260000}"/>
    <cellStyle name="Positive 2 2 11 3 2 4 2" xfId="9726" xr:uid="{00000000-0005-0000-0000-00000B260000}"/>
    <cellStyle name="Positive 2 2 11 3 2 5" xfId="9727" xr:uid="{00000000-0005-0000-0000-00000C260000}"/>
    <cellStyle name="Positive 2 2 11 3 2 5 2" xfId="9728" xr:uid="{00000000-0005-0000-0000-00000D260000}"/>
    <cellStyle name="Positive 2 2 11 3 2 6" xfId="9729" xr:uid="{00000000-0005-0000-0000-00000E260000}"/>
    <cellStyle name="Positive 2 2 11 3 2 6 2" xfId="9730" xr:uid="{00000000-0005-0000-0000-00000F260000}"/>
    <cellStyle name="Positive 2 2 11 3 2 7" xfId="9731" xr:uid="{00000000-0005-0000-0000-000010260000}"/>
    <cellStyle name="Positive 2 2 11 3 2 7 2" xfId="9732" xr:uid="{00000000-0005-0000-0000-000011260000}"/>
    <cellStyle name="Positive 2 2 11 3 2 8" xfId="9733" xr:uid="{00000000-0005-0000-0000-000012260000}"/>
    <cellStyle name="Positive 2 2 11 3 2 8 2" xfId="9734" xr:uid="{00000000-0005-0000-0000-000013260000}"/>
    <cellStyle name="Positive 2 2 11 3 2 9" xfId="9735" xr:uid="{00000000-0005-0000-0000-000014260000}"/>
    <cellStyle name="Positive 2 2 11 3 2 9 2" xfId="9736" xr:uid="{00000000-0005-0000-0000-000015260000}"/>
    <cellStyle name="Positive 2 2 11 3 20" xfId="9737" xr:uid="{00000000-0005-0000-0000-000016260000}"/>
    <cellStyle name="Positive 2 2 11 3 3" xfId="9738" xr:uid="{00000000-0005-0000-0000-000017260000}"/>
    <cellStyle name="Positive 2 2 11 3 3 2" xfId="9739" xr:uid="{00000000-0005-0000-0000-000018260000}"/>
    <cellStyle name="Positive 2 2 11 3 3 2 2" xfId="9740" xr:uid="{00000000-0005-0000-0000-000019260000}"/>
    <cellStyle name="Positive 2 2 11 3 3 3" xfId="9741" xr:uid="{00000000-0005-0000-0000-00001A260000}"/>
    <cellStyle name="Positive 2 2 11 3 4" xfId="9742" xr:uid="{00000000-0005-0000-0000-00001B260000}"/>
    <cellStyle name="Positive 2 2 11 3 4 2" xfId="9743" xr:uid="{00000000-0005-0000-0000-00001C260000}"/>
    <cellStyle name="Positive 2 2 11 3 4 2 2" xfId="9744" xr:uid="{00000000-0005-0000-0000-00001D260000}"/>
    <cellStyle name="Positive 2 2 11 3 4 3" xfId="9745" xr:uid="{00000000-0005-0000-0000-00001E260000}"/>
    <cellStyle name="Positive 2 2 11 3 5" xfId="9746" xr:uid="{00000000-0005-0000-0000-00001F260000}"/>
    <cellStyle name="Positive 2 2 11 3 5 2" xfId="9747" xr:uid="{00000000-0005-0000-0000-000020260000}"/>
    <cellStyle name="Positive 2 2 11 3 6" xfId="9748" xr:uid="{00000000-0005-0000-0000-000021260000}"/>
    <cellStyle name="Positive 2 2 11 3 6 2" xfId="9749" xr:uid="{00000000-0005-0000-0000-000022260000}"/>
    <cellStyle name="Positive 2 2 11 3 7" xfId="9750" xr:uid="{00000000-0005-0000-0000-000023260000}"/>
    <cellStyle name="Positive 2 2 11 3 7 2" xfId="9751" xr:uid="{00000000-0005-0000-0000-000024260000}"/>
    <cellStyle name="Positive 2 2 11 3 8" xfId="9752" xr:uid="{00000000-0005-0000-0000-000025260000}"/>
    <cellStyle name="Positive 2 2 11 3 8 2" xfId="9753" xr:uid="{00000000-0005-0000-0000-000026260000}"/>
    <cellStyle name="Positive 2 2 11 3 9" xfId="9754" xr:uid="{00000000-0005-0000-0000-000027260000}"/>
    <cellStyle name="Positive 2 2 11 3 9 2" xfId="9755" xr:uid="{00000000-0005-0000-0000-000028260000}"/>
    <cellStyle name="Positive 2 2 11 4" xfId="9756" xr:uid="{00000000-0005-0000-0000-000029260000}"/>
    <cellStyle name="Positive 2 2 11 4 10" xfId="9757" xr:uid="{00000000-0005-0000-0000-00002A260000}"/>
    <cellStyle name="Positive 2 2 11 4 10 2" xfId="9758" xr:uid="{00000000-0005-0000-0000-00002B260000}"/>
    <cellStyle name="Positive 2 2 11 4 11" xfId="9759" xr:uid="{00000000-0005-0000-0000-00002C260000}"/>
    <cellStyle name="Positive 2 2 11 4 11 2" xfId="9760" xr:uid="{00000000-0005-0000-0000-00002D260000}"/>
    <cellStyle name="Positive 2 2 11 4 12" xfId="9761" xr:uid="{00000000-0005-0000-0000-00002E260000}"/>
    <cellStyle name="Positive 2 2 11 4 12 2" xfId="9762" xr:uid="{00000000-0005-0000-0000-00002F260000}"/>
    <cellStyle name="Positive 2 2 11 4 13" xfId="9763" xr:uid="{00000000-0005-0000-0000-000030260000}"/>
    <cellStyle name="Positive 2 2 11 4 13 2" xfId="9764" xr:uid="{00000000-0005-0000-0000-000031260000}"/>
    <cellStyle name="Positive 2 2 11 4 14" xfId="9765" xr:uid="{00000000-0005-0000-0000-000032260000}"/>
    <cellStyle name="Positive 2 2 11 4 14 2" xfId="9766" xr:uid="{00000000-0005-0000-0000-000033260000}"/>
    <cellStyle name="Positive 2 2 11 4 15" xfId="9767" xr:uid="{00000000-0005-0000-0000-000034260000}"/>
    <cellStyle name="Positive 2 2 11 4 15 2" xfId="9768" xr:uid="{00000000-0005-0000-0000-000035260000}"/>
    <cellStyle name="Positive 2 2 11 4 16" xfId="9769" xr:uid="{00000000-0005-0000-0000-000036260000}"/>
    <cellStyle name="Positive 2 2 11 4 16 2" xfId="9770" xr:uid="{00000000-0005-0000-0000-000037260000}"/>
    <cellStyle name="Positive 2 2 11 4 17" xfId="9771" xr:uid="{00000000-0005-0000-0000-000038260000}"/>
    <cellStyle name="Positive 2 2 11 4 17 2" xfId="9772" xr:uid="{00000000-0005-0000-0000-000039260000}"/>
    <cellStyle name="Positive 2 2 11 4 18" xfId="9773" xr:uid="{00000000-0005-0000-0000-00003A260000}"/>
    <cellStyle name="Positive 2 2 11 4 18 2" xfId="9774" xr:uid="{00000000-0005-0000-0000-00003B260000}"/>
    <cellStyle name="Positive 2 2 11 4 19" xfId="9775" xr:uid="{00000000-0005-0000-0000-00003C260000}"/>
    <cellStyle name="Positive 2 2 11 4 19 2" xfId="9776" xr:uid="{00000000-0005-0000-0000-00003D260000}"/>
    <cellStyle name="Positive 2 2 11 4 2" xfId="9777" xr:uid="{00000000-0005-0000-0000-00003E260000}"/>
    <cellStyle name="Positive 2 2 11 4 2 10" xfId="9778" xr:uid="{00000000-0005-0000-0000-00003F260000}"/>
    <cellStyle name="Positive 2 2 11 4 2 10 2" xfId="9779" xr:uid="{00000000-0005-0000-0000-000040260000}"/>
    <cellStyle name="Positive 2 2 11 4 2 11" xfId="9780" xr:uid="{00000000-0005-0000-0000-000041260000}"/>
    <cellStyle name="Positive 2 2 11 4 2 11 2" xfId="9781" xr:uid="{00000000-0005-0000-0000-000042260000}"/>
    <cellStyle name="Positive 2 2 11 4 2 12" xfId="9782" xr:uid="{00000000-0005-0000-0000-000043260000}"/>
    <cellStyle name="Positive 2 2 11 4 2 12 2" xfId="9783" xr:uid="{00000000-0005-0000-0000-000044260000}"/>
    <cellStyle name="Positive 2 2 11 4 2 13" xfId="9784" xr:uid="{00000000-0005-0000-0000-000045260000}"/>
    <cellStyle name="Positive 2 2 11 4 2 13 2" xfId="9785" xr:uid="{00000000-0005-0000-0000-000046260000}"/>
    <cellStyle name="Positive 2 2 11 4 2 14" xfId="9786" xr:uid="{00000000-0005-0000-0000-000047260000}"/>
    <cellStyle name="Positive 2 2 11 4 2 14 2" xfId="9787" xr:uid="{00000000-0005-0000-0000-000048260000}"/>
    <cellStyle name="Positive 2 2 11 4 2 15" xfId="9788" xr:uid="{00000000-0005-0000-0000-000049260000}"/>
    <cellStyle name="Positive 2 2 11 4 2 15 2" xfId="9789" xr:uid="{00000000-0005-0000-0000-00004A260000}"/>
    <cellStyle name="Positive 2 2 11 4 2 16" xfId="9790" xr:uid="{00000000-0005-0000-0000-00004B260000}"/>
    <cellStyle name="Positive 2 2 11 4 2 16 2" xfId="9791" xr:uid="{00000000-0005-0000-0000-00004C260000}"/>
    <cellStyle name="Positive 2 2 11 4 2 17" xfId="9792" xr:uid="{00000000-0005-0000-0000-00004D260000}"/>
    <cellStyle name="Positive 2 2 11 4 2 2" xfId="9793" xr:uid="{00000000-0005-0000-0000-00004E260000}"/>
    <cellStyle name="Positive 2 2 11 4 2 2 2" xfId="9794" xr:uid="{00000000-0005-0000-0000-00004F260000}"/>
    <cellStyle name="Positive 2 2 11 4 2 3" xfId="9795" xr:uid="{00000000-0005-0000-0000-000050260000}"/>
    <cellStyle name="Positive 2 2 11 4 2 3 2" xfId="9796" xr:uid="{00000000-0005-0000-0000-000051260000}"/>
    <cellStyle name="Positive 2 2 11 4 2 4" xfId="9797" xr:uid="{00000000-0005-0000-0000-000052260000}"/>
    <cellStyle name="Positive 2 2 11 4 2 4 2" xfId="9798" xr:uid="{00000000-0005-0000-0000-000053260000}"/>
    <cellStyle name="Positive 2 2 11 4 2 5" xfId="9799" xr:uid="{00000000-0005-0000-0000-000054260000}"/>
    <cellStyle name="Positive 2 2 11 4 2 5 2" xfId="9800" xr:uid="{00000000-0005-0000-0000-000055260000}"/>
    <cellStyle name="Positive 2 2 11 4 2 6" xfId="9801" xr:uid="{00000000-0005-0000-0000-000056260000}"/>
    <cellStyle name="Positive 2 2 11 4 2 6 2" xfId="9802" xr:uid="{00000000-0005-0000-0000-000057260000}"/>
    <cellStyle name="Positive 2 2 11 4 2 7" xfId="9803" xr:uid="{00000000-0005-0000-0000-000058260000}"/>
    <cellStyle name="Positive 2 2 11 4 2 7 2" xfId="9804" xr:uid="{00000000-0005-0000-0000-000059260000}"/>
    <cellStyle name="Positive 2 2 11 4 2 8" xfId="9805" xr:uid="{00000000-0005-0000-0000-00005A260000}"/>
    <cellStyle name="Positive 2 2 11 4 2 8 2" xfId="9806" xr:uid="{00000000-0005-0000-0000-00005B260000}"/>
    <cellStyle name="Positive 2 2 11 4 2 9" xfId="9807" xr:uid="{00000000-0005-0000-0000-00005C260000}"/>
    <cellStyle name="Positive 2 2 11 4 2 9 2" xfId="9808" xr:uid="{00000000-0005-0000-0000-00005D260000}"/>
    <cellStyle name="Positive 2 2 11 4 20" xfId="9809" xr:uid="{00000000-0005-0000-0000-00005E260000}"/>
    <cellStyle name="Positive 2 2 11 4 3" xfId="9810" xr:uid="{00000000-0005-0000-0000-00005F260000}"/>
    <cellStyle name="Positive 2 2 11 4 3 2" xfId="9811" xr:uid="{00000000-0005-0000-0000-000060260000}"/>
    <cellStyle name="Positive 2 2 11 4 3 2 2" xfId="9812" xr:uid="{00000000-0005-0000-0000-000061260000}"/>
    <cellStyle name="Positive 2 2 11 4 3 3" xfId="9813" xr:uid="{00000000-0005-0000-0000-000062260000}"/>
    <cellStyle name="Positive 2 2 11 4 4" xfId="9814" xr:uid="{00000000-0005-0000-0000-000063260000}"/>
    <cellStyle name="Positive 2 2 11 4 4 2" xfId="9815" xr:uid="{00000000-0005-0000-0000-000064260000}"/>
    <cellStyle name="Positive 2 2 11 4 4 2 2" xfId="9816" xr:uid="{00000000-0005-0000-0000-000065260000}"/>
    <cellStyle name="Positive 2 2 11 4 4 3" xfId="9817" xr:uid="{00000000-0005-0000-0000-000066260000}"/>
    <cellStyle name="Positive 2 2 11 4 5" xfId="9818" xr:uid="{00000000-0005-0000-0000-000067260000}"/>
    <cellStyle name="Positive 2 2 11 4 5 2" xfId="9819" xr:uid="{00000000-0005-0000-0000-000068260000}"/>
    <cellStyle name="Positive 2 2 11 4 6" xfId="9820" xr:uid="{00000000-0005-0000-0000-000069260000}"/>
    <cellStyle name="Positive 2 2 11 4 6 2" xfId="9821" xr:uid="{00000000-0005-0000-0000-00006A260000}"/>
    <cellStyle name="Positive 2 2 11 4 7" xfId="9822" xr:uid="{00000000-0005-0000-0000-00006B260000}"/>
    <cellStyle name="Positive 2 2 11 4 7 2" xfId="9823" xr:uid="{00000000-0005-0000-0000-00006C260000}"/>
    <cellStyle name="Positive 2 2 11 4 8" xfId="9824" xr:uid="{00000000-0005-0000-0000-00006D260000}"/>
    <cellStyle name="Positive 2 2 11 4 8 2" xfId="9825" xr:uid="{00000000-0005-0000-0000-00006E260000}"/>
    <cellStyle name="Positive 2 2 11 4 9" xfId="9826" xr:uid="{00000000-0005-0000-0000-00006F260000}"/>
    <cellStyle name="Positive 2 2 11 4 9 2" xfId="9827" xr:uid="{00000000-0005-0000-0000-000070260000}"/>
    <cellStyle name="Positive 2 2 11 5" xfId="9828" xr:uid="{00000000-0005-0000-0000-000071260000}"/>
    <cellStyle name="Positive 2 2 11 5 10" xfId="9829" xr:uid="{00000000-0005-0000-0000-000072260000}"/>
    <cellStyle name="Positive 2 2 11 5 10 2" xfId="9830" xr:uid="{00000000-0005-0000-0000-000073260000}"/>
    <cellStyle name="Positive 2 2 11 5 11" xfId="9831" xr:uid="{00000000-0005-0000-0000-000074260000}"/>
    <cellStyle name="Positive 2 2 11 5 11 2" xfId="9832" xr:uid="{00000000-0005-0000-0000-000075260000}"/>
    <cellStyle name="Positive 2 2 11 5 12" xfId="9833" xr:uid="{00000000-0005-0000-0000-000076260000}"/>
    <cellStyle name="Positive 2 2 11 5 12 2" xfId="9834" xr:uid="{00000000-0005-0000-0000-000077260000}"/>
    <cellStyle name="Positive 2 2 11 5 13" xfId="9835" xr:uid="{00000000-0005-0000-0000-000078260000}"/>
    <cellStyle name="Positive 2 2 11 5 13 2" xfId="9836" xr:uid="{00000000-0005-0000-0000-000079260000}"/>
    <cellStyle name="Positive 2 2 11 5 14" xfId="9837" xr:uid="{00000000-0005-0000-0000-00007A260000}"/>
    <cellStyle name="Positive 2 2 11 5 14 2" xfId="9838" xr:uid="{00000000-0005-0000-0000-00007B260000}"/>
    <cellStyle name="Positive 2 2 11 5 15" xfId="9839" xr:uid="{00000000-0005-0000-0000-00007C260000}"/>
    <cellStyle name="Positive 2 2 11 5 15 2" xfId="9840" xr:uid="{00000000-0005-0000-0000-00007D260000}"/>
    <cellStyle name="Positive 2 2 11 5 16" xfId="9841" xr:uid="{00000000-0005-0000-0000-00007E260000}"/>
    <cellStyle name="Positive 2 2 11 5 16 2" xfId="9842" xr:uid="{00000000-0005-0000-0000-00007F260000}"/>
    <cellStyle name="Positive 2 2 11 5 17" xfId="9843" xr:uid="{00000000-0005-0000-0000-000080260000}"/>
    <cellStyle name="Positive 2 2 11 5 2" xfId="9844" xr:uid="{00000000-0005-0000-0000-000081260000}"/>
    <cellStyle name="Positive 2 2 11 5 2 2" xfId="9845" xr:uid="{00000000-0005-0000-0000-000082260000}"/>
    <cellStyle name="Positive 2 2 11 5 3" xfId="9846" xr:uid="{00000000-0005-0000-0000-000083260000}"/>
    <cellStyle name="Positive 2 2 11 5 3 2" xfId="9847" xr:uid="{00000000-0005-0000-0000-000084260000}"/>
    <cellStyle name="Positive 2 2 11 5 4" xfId="9848" xr:uid="{00000000-0005-0000-0000-000085260000}"/>
    <cellStyle name="Positive 2 2 11 5 4 2" xfId="9849" xr:uid="{00000000-0005-0000-0000-000086260000}"/>
    <cellStyle name="Positive 2 2 11 5 5" xfId="9850" xr:uid="{00000000-0005-0000-0000-000087260000}"/>
    <cellStyle name="Positive 2 2 11 5 5 2" xfId="9851" xr:uid="{00000000-0005-0000-0000-000088260000}"/>
    <cellStyle name="Positive 2 2 11 5 6" xfId="9852" xr:uid="{00000000-0005-0000-0000-000089260000}"/>
    <cellStyle name="Positive 2 2 11 5 6 2" xfId="9853" xr:uid="{00000000-0005-0000-0000-00008A260000}"/>
    <cellStyle name="Positive 2 2 11 5 7" xfId="9854" xr:uid="{00000000-0005-0000-0000-00008B260000}"/>
    <cellStyle name="Positive 2 2 11 5 7 2" xfId="9855" xr:uid="{00000000-0005-0000-0000-00008C260000}"/>
    <cellStyle name="Positive 2 2 11 5 8" xfId="9856" xr:uid="{00000000-0005-0000-0000-00008D260000}"/>
    <cellStyle name="Positive 2 2 11 5 8 2" xfId="9857" xr:uid="{00000000-0005-0000-0000-00008E260000}"/>
    <cellStyle name="Positive 2 2 11 5 9" xfId="9858" xr:uid="{00000000-0005-0000-0000-00008F260000}"/>
    <cellStyle name="Positive 2 2 11 5 9 2" xfId="9859" xr:uid="{00000000-0005-0000-0000-000090260000}"/>
    <cellStyle name="Positive 2 2 11 6" xfId="9860" xr:uid="{00000000-0005-0000-0000-000091260000}"/>
    <cellStyle name="Positive 2 2 11 6 2" xfId="9861" xr:uid="{00000000-0005-0000-0000-000092260000}"/>
    <cellStyle name="Positive 2 2 11 6 2 2" xfId="9862" xr:uid="{00000000-0005-0000-0000-000093260000}"/>
    <cellStyle name="Positive 2 2 11 6 3" xfId="9863" xr:uid="{00000000-0005-0000-0000-000094260000}"/>
    <cellStyle name="Positive 2 2 11 7" xfId="9864" xr:uid="{00000000-0005-0000-0000-000095260000}"/>
    <cellStyle name="Positive 2 2 11 7 2" xfId="9865" xr:uid="{00000000-0005-0000-0000-000096260000}"/>
    <cellStyle name="Positive 2 2 11 7 2 2" xfId="9866" xr:uid="{00000000-0005-0000-0000-000097260000}"/>
    <cellStyle name="Positive 2 2 11 7 3" xfId="9867" xr:uid="{00000000-0005-0000-0000-000098260000}"/>
    <cellStyle name="Positive 2 2 11 8" xfId="9868" xr:uid="{00000000-0005-0000-0000-000099260000}"/>
    <cellStyle name="Positive 2 2 11 8 2" xfId="9869" xr:uid="{00000000-0005-0000-0000-00009A260000}"/>
    <cellStyle name="Positive 2 2 11 9" xfId="9870" xr:uid="{00000000-0005-0000-0000-00009B260000}"/>
    <cellStyle name="Positive 2 2 11 9 2" xfId="9871" xr:uid="{00000000-0005-0000-0000-00009C260000}"/>
    <cellStyle name="Positive 2 2 12" xfId="9872" xr:uid="{00000000-0005-0000-0000-00009D260000}"/>
    <cellStyle name="Positive 2 2 12 10" xfId="9873" xr:uid="{00000000-0005-0000-0000-00009E260000}"/>
    <cellStyle name="Positive 2 2 12 10 2" xfId="9874" xr:uid="{00000000-0005-0000-0000-00009F260000}"/>
    <cellStyle name="Positive 2 2 12 11" xfId="9875" xr:uid="{00000000-0005-0000-0000-0000A0260000}"/>
    <cellStyle name="Positive 2 2 12 11 2" xfId="9876" xr:uid="{00000000-0005-0000-0000-0000A1260000}"/>
    <cellStyle name="Positive 2 2 12 12" xfId="9877" xr:uid="{00000000-0005-0000-0000-0000A2260000}"/>
    <cellStyle name="Positive 2 2 12 12 2" xfId="9878" xr:uid="{00000000-0005-0000-0000-0000A3260000}"/>
    <cellStyle name="Positive 2 2 12 13" xfId="9879" xr:uid="{00000000-0005-0000-0000-0000A4260000}"/>
    <cellStyle name="Positive 2 2 12 13 2" xfId="9880" xr:uid="{00000000-0005-0000-0000-0000A5260000}"/>
    <cellStyle name="Positive 2 2 12 14" xfId="9881" xr:uid="{00000000-0005-0000-0000-0000A6260000}"/>
    <cellStyle name="Positive 2 2 12 14 2" xfId="9882" xr:uid="{00000000-0005-0000-0000-0000A7260000}"/>
    <cellStyle name="Positive 2 2 12 15" xfId="9883" xr:uid="{00000000-0005-0000-0000-0000A8260000}"/>
    <cellStyle name="Positive 2 2 12 15 2" xfId="9884" xr:uid="{00000000-0005-0000-0000-0000A9260000}"/>
    <cellStyle name="Positive 2 2 12 16" xfId="9885" xr:uid="{00000000-0005-0000-0000-0000AA260000}"/>
    <cellStyle name="Positive 2 2 12 16 2" xfId="9886" xr:uid="{00000000-0005-0000-0000-0000AB260000}"/>
    <cellStyle name="Positive 2 2 12 17" xfId="9887" xr:uid="{00000000-0005-0000-0000-0000AC260000}"/>
    <cellStyle name="Positive 2 2 12 17 2" xfId="9888" xr:uid="{00000000-0005-0000-0000-0000AD260000}"/>
    <cellStyle name="Positive 2 2 12 18" xfId="9889" xr:uid="{00000000-0005-0000-0000-0000AE260000}"/>
    <cellStyle name="Positive 2 2 12 18 2" xfId="9890" xr:uid="{00000000-0005-0000-0000-0000AF260000}"/>
    <cellStyle name="Positive 2 2 12 19" xfId="9891" xr:uid="{00000000-0005-0000-0000-0000B0260000}"/>
    <cellStyle name="Positive 2 2 12 19 2" xfId="9892" xr:uid="{00000000-0005-0000-0000-0000B1260000}"/>
    <cellStyle name="Positive 2 2 12 2" xfId="9893" xr:uid="{00000000-0005-0000-0000-0000B2260000}"/>
    <cellStyle name="Positive 2 2 12 2 10" xfId="9894" xr:uid="{00000000-0005-0000-0000-0000B3260000}"/>
    <cellStyle name="Positive 2 2 12 2 10 2" xfId="9895" xr:uid="{00000000-0005-0000-0000-0000B4260000}"/>
    <cellStyle name="Positive 2 2 12 2 11" xfId="9896" xr:uid="{00000000-0005-0000-0000-0000B5260000}"/>
    <cellStyle name="Positive 2 2 12 2 11 2" xfId="9897" xr:uid="{00000000-0005-0000-0000-0000B6260000}"/>
    <cellStyle name="Positive 2 2 12 2 12" xfId="9898" xr:uid="{00000000-0005-0000-0000-0000B7260000}"/>
    <cellStyle name="Positive 2 2 12 2 12 2" xfId="9899" xr:uid="{00000000-0005-0000-0000-0000B8260000}"/>
    <cellStyle name="Positive 2 2 12 2 13" xfId="9900" xr:uid="{00000000-0005-0000-0000-0000B9260000}"/>
    <cellStyle name="Positive 2 2 12 2 13 2" xfId="9901" xr:uid="{00000000-0005-0000-0000-0000BA260000}"/>
    <cellStyle name="Positive 2 2 12 2 14" xfId="9902" xr:uid="{00000000-0005-0000-0000-0000BB260000}"/>
    <cellStyle name="Positive 2 2 12 2 14 2" xfId="9903" xr:uid="{00000000-0005-0000-0000-0000BC260000}"/>
    <cellStyle name="Positive 2 2 12 2 15" xfId="9904" xr:uid="{00000000-0005-0000-0000-0000BD260000}"/>
    <cellStyle name="Positive 2 2 12 2 15 2" xfId="9905" xr:uid="{00000000-0005-0000-0000-0000BE260000}"/>
    <cellStyle name="Positive 2 2 12 2 16" xfId="9906" xr:uid="{00000000-0005-0000-0000-0000BF260000}"/>
    <cellStyle name="Positive 2 2 12 2 16 2" xfId="9907" xr:uid="{00000000-0005-0000-0000-0000C0260000}"/>
    <cellStyle name="Positive 2 2 12 2 17" xfId="9908" xr:uid="{00000000-0005-0000-0000-0000C1260000}"/>
    <cellStyle name="Positive 2 2 12 2 17 2" xfId="9909" xr:uid="{00000000-0005-0000-0000-0000C2260000}"/>
    <cellStyle name="Positive 2 2 12 2 18" xfId="9910" xr:uid="{00000000-0005-0000-0000-0000C3260000}"/>
    <cellStyle name="Positive 2 2 12 2 18 2" xfId="9911" xr:uid="{00000000-0005-0000-0000-0000C4260000}"/>
    <cellStyle name="Positive 2 2 12 2 19" xfId="9912" xr:uid="{00000000-0005-0000-0000-0000C5260000}"/>
    <cellStyle name="Positive 2 2 12 2 19 2" xfId="9913" xr:uid="{00000000-0005-0000-0000-0000C6260000}"/>
    <cellStyle name="Positive 2 2 12 2 2" xfId="9914" xr:uid="{00000000-0005-0000-0000-0000C7260000}"/>
    <cellStyle name="Positive 2 2 12 2 2 10" xfId="9915" xr:uid="{00000000-0005-0000-0000-0000C8260000}"/>
    <cellStyle name="Positive 2 2 12 2 2 10 2" xfId="9916" xr:uid="{00000000-0005-0000-0000-0000C9260000}"/>
    <cellStyle name="Positive 2 2 12 2 2 11" xfId="9917" xr:uid="{00000000-0005-0000-0000-0000CA260000}"/>
    <cellStyle name="Positive 2 2 12 2 2 11 2" xfId="9918" xr:uid="{00000000-0005-0000-0000-0000CB260000}"/>
    <cellStyle name="Positive 2 2 12 2 2 12" xfId="9919" xr:uid="{00000000-0005-0000-0000-0000CC260000}"/>
    <cellStyle name="Positive 2 2 12 2 2 12 2" xfId="9920" xr:uid="{00000000-0005-0000-0000-0000CD260000}"/>
    <cellStyle name="Positive 2 2 12 2 2 13" xfId="9921" xr:uid="{00000000-0005-0000-0000-0000CE260000}"/>
    <cellStyle name="Positive 2 2 12 2 2 13 2" xfId="9922" xr:uid="{00000000-0005-0000-0000-0000CF260000}"/>
    <cellStyle name="Positive 2 2 12 2 2 14" xfId="9923" xr:uid="{00000000-0005-0000-0000-0000D0260000}"/>
    <cellStyle name="Positive 2 2 12 2 2 14 2" xfId="9924" xr:uid="{00000000-0005-0000-0000-0000D1260000}"/>
    <cellStyle name="Positive 2 2 12 2 2 15" xfId="9925" xr:uid="{00000000-0005-0000-0000-0000D2260000}"/>
    <cellStyle name="Positive 2 2 12 2 2 15 2" xfId="9926" xr:uid="{00000000-0005-0000-0000-0000D3260000}"/>
    <cellStyle name="Positive 2 2 12 2 2 16" xfId="9927" xr:uid="{00000000-0005-0000-0000-0000D4260000}"/>
    <cellStyle name="Positive 2 2 12 2 2 16 2" xfId="9928" xr:uid="{00000000-0005-0000-0000-0000D5260000}"/>
    <cellStyle name="Positive 2 2 12 2 2 17" xfId="9929" xr:uid="{00000000-0005-0000-0000-0000D6260000}"/>
    <cellStyle name="Positive 2 2 12 2 2 2" xfId="9930" xr:uid="{00000000-0005-0000-0000-0000D7260000}"/>
    <cellStyle name="Positive 2 2 12 2 2 2 2" xfId="9931" xr:uid="{00000000-0005-0000-0000-0000D8260000}"/>
    <cellStyle name="Positive 2 2 12 2 2 3" xfId="9932" xr:uid="{00000000-0005-0000-0000-0000D9260000}"/>
    <cellStyle name="Positive 2 2 12 2 2 3 2" xfId="9933" xr:uid="{00000000-0005-0000-0000-0000DA260000}"/>
    <cellStyle name="Positive 2 2 12 2 2 4" xfId="9934" xr:uid="{00000000-0005-0000-0000-0000DB260000}"/>
    <cellStyle name="Positive 2 2 12 2 2 4 2" xfId="9935" xr:uid="{00000000-0005-0000-0000-0000DC260000}"/>
    <cellStyle name="Positive 2 2 12 2 2 5" xfId="9936" xr:uid="{00000000-0005-0000-0000-0000DD260000}"/>
    <cellStyle name="Positive 2 2 12 2 2 5 2" xfId="9937" xr:uid="{00000000-0005-0000-0000-0000DE260000}"/>
    <cellStyle name="Positive 2 2 12 2 2 6" xfId="9938" xr:uid="{00000000-0005-0000-0000-0000DF260000}"/>
    <cellStyle name="Positive 2 2 12 2 2 6 2" xfId="9939" xr:uid="{00000000-0005-0000-0000-0000E0260000}"/>
    <cellStyle name="Positive 2 2 12 2 2 7" xfId="9940" xr:uid="{00000000-0005-0000-0000-0000E1260000}"/>
    <cellStyle name="Positive 2 2 12 2 2 7 2" xfId="9941" xr:uid="{00000000-0005-0000-0000-0000E2260000}"/>
    <cellStyle name="Positive 2 2 12 2 2 8" xfId="9942" xr:uid="{00000000-0005-0000-0000-0000E3260000}"/>
    <cellStyle name="Positive 2 2 12 2 2 8 2" xfId="9943" xr:uid="{00000000-0005-0000-0000-0000E4260000}"/>
    <cellStyle name="Positive 2 2 12 2 2 9" xfId="9944" xr:uid="{00000000-0005-0000-0000-0000E5260000}"/>
    <cellStyle name="Positive 2 2 12 2 2 9 2" xfId="9945" xr:uid="{00000000-0005-0000-0000-0000E6260000}"/>
    <cellStyle name="Positive 2 2 12 2 20" xfId="9946" xr:uid="{00000000-0005-0000-0000-0000E7260000}"/>
    <cellStyle name="Positive 2 2 12 2 3" xfId="9947" xr:uid="{00000000-0005-0000-0000-0000E8260000}"/>
    <cellStyle name="Positive 2 2 12 2 3 2" xfId="9948" xr:uid="{00000000-0005-0000-0000-0000E9260000}"/>
    <cellStyle name="Positive 2 2 12 2 3 2 2" xfId="9949" xr:uid="{00000000-0005-0000-0000-0000EA260000}"/>
    <cellStyle name="Positive 2 2 12 2 3 3" xfId="9950" xr:uid="{00000000-0005-0000-0000-0000EB260000}"/>
    <cellStyle name="Positive 2 2 12 2 4" xfId="9951" xr:uid="{00000000-0005-0000-0000-0000EC260000}"/>
    <cellStyle name="Positive 2 2 12 2 4 2" xfId="9952" xr:uid="{00000000-0005-0000-0000-0000ED260000}"/>
    <cellStyle name="Positive 2 2 12 2 4 2 2" xfId="9953" xr:uid="{00000000-0005-0000-0000-0000EE260000}"/>
    <cellStyle name="Positive 2 2 12 2 4 3" xfId="9954" xr:uid="{00000000-0005-0000-0000-0000EF260000}"/>
    <cellStyle name="Positive 2 2 12 2 5" xfId="9955" xr:uid="{00000000-0005-0000-0000-0000F0260000}"/>
    <cellStyle name="Positive 2 2 12 2 5 2" xfId="9956" xr:uid="{00000000-0005-0000-0000-0000F1260000}"/>
    <cellStyle name="Positive 2 2 12 2 6" xfId="9957" xr:uid="{00000000-0005-0000-0000-0000F2260000}"/>
    <cellStyle name="Positive 2 2 12 2 6 2" xfId="9958" xr:uid="{00000000-0005-0000-0000-0000F3260000}"/>
    <cellStyle name="Positive 2 2 12 2 7" xfId="9959" xr:uid="{00000000-0005-0000-0000-0000F4260000}"/>
    <cellStyle name="Positive 2 2 12 2 7 2" xfId="9960" xr:uid="{00000000-0005-0000-0000-0000F5260000}"/>
    <cellStyle name="Positive 2 2 12 2 8" xfId="9961" xr:uid="{00000000-0005-0000-0000-0000F6260000}"/>
    <cellStyle name="Positive 2 2 12 2 8 2" xfId="9962" xr:uid="{00000000-0005-0000-0000-0000F7260000}"/>
    <cellStyle name="Positive 2 2 12 2 9" xfId="9963" xr:uid="{00000000-0005-0000-0000-0000F8260000}"/>
    <cellStyle name="Positive 2 2 12 2 9 2" xfId="9964" xr:uid="{00000000-0005-0000-0000-0000F9260000}"/>
    <cellStyle name="Positive 2 2 12 20" xfId="9965" xr:uid="{00000000-0005-0000-0000-0000FA260000}"/>
    <cellStyle name="Positive 2 2 12 20 2" xfId="9966" xr:uid="{00000000-0005-0000-0000-0000FB260000}"/>
    <cellStyle name="Positive 2 2 12 21" xfId="9967" xr:uid="{00000000-0005-0000-0000-0000FC260000}"/>
    <cellStyle name="Positive 2 2 12 21 2" xfId="9968" xr:uid="{00000000-0005-0000-0000-0000FD260000}"/>
    <cellStyle name="Positive 2 2 12 22" xfId="9969" xr:uid="{00000000-0005-0000-0000-0000FE260000}"/>
    <cellStyle name="Positive 2 2 12 22 2" xfId="9970" xr:uid="{00000000-0005-0000-0000-0000FF260000}"/>
    <cellStyle name="Positive 2 2 12 23" xfId="9971" xr:uid="{00000000-0005-0000-0000-000000270000}"/>
    <cellStyle name="Positive 2 2 12 3" xfId="9972" xr:uid="{00000000-0005-0000-0000-000001270000}"/>
    <cellStyle name="Positive 2 2 12 3 10" xfId="9973" xr:uid="{00000000-0005-0000-0000-000002270000}"/>
    <cellStyle name="Positive 2 2 12 3 10 2" xfId="9974" xr:uid="{00000000-0005-0000-0000-000003270000}"/>
    <cellStyle name="Positive 2 2 12 3 11" xfId="9975" xr:uid="{00000000-0005-0000-0000-000004270000}"/>
    <cellStyle name="Positive 2 2 12 3 11 2" xfId="9976" xr:uid="{00000000-0005-0000-0000-000005270000}"/>
    <cellStyle name="Positive 2 2 12 3 12" xfId="9977" xr:uid="{00000000-0005-0000-0000-000006270000}"/>
    <cellStyle name="Positive 2 2 12 3 12 2" xfId="9978" xr:uid="{00000000-0005-0000-0000-000007270000}"/>
    <cellStyle name="Positive 2 2 12 3 13" xfId="9979" xr:uid="{00000000-0005-0000-0000-000008270000}"/>
    <cellStyle name="Positive 2 2 12 3 13 2" xfId="9980" xr:uid="{00000000-0005-0000-0000-000009270000}"/>
    <cellStyle name="Positive 2 2 12 3 14" xfId="9981" xr:uid="{00000000-0005-0000-0000-00000A270000}"/>
    <cellStyle name="Positive 2 2 12 3 14 2" xfId="9982" xr:uid="{00000000-0005-0000-0000-00000B270000}"/>
    <cellStyle name="Positive 2 2 12 3 15" xfId="9983" xr:uid="{00000000-0005-0000-0000-00000C270000}"/>
    <cellStyle name="Positive 2 2 12 3 15 2" xfId="9984" xr:uid="{00000000-0005-0000-0000-00000D270000}"/>
    <cellStyle name="Positive 2 2 12 3 16" xfId="9985" xr:uid="{00000000-0005-0000-0000-00000E270000}"/>
    <cellStyle name="Positive 2 2 12 3 16 2" xfId="9986" xr:uid="{00000000-0005-0000-0000-00000F270000}"/>
    <cellStyle name="Positive 2 2 12 3 17" xfId="9987" xr:uid="{00000000-0005-0000-0000-000010270000}"/>
    <cellStyle name="Positive 2 2 12 3 17 2" xfId="9988" xr:uid="{00000000-0005-0000-0000-000011270000}"/>
    <cellStyle name="Positive 2 2 12 3 18" xfId="9989" xr:uid="{00000000-0005-0000-0000-000012270000}"/>
    <cellStyle name="Positive 2 2 12 3 18 2" xfId="9990" xr:uid="{00000000-0005-0000-0000-000013270000}"/>
    <cellStyle name="Positive 2 2 12 3 19" xfId="9991" xr:uid="{00000000-0005-0000-0000-000014270000}"/>
    <cellStyle name="Positive 2 2 12 3 19 2" xfId="9992" xr:uid="{00000000-0005-0000-0000-000015270000}"/>
    <cellStyle name="Positive 2 2 12 3 2" xfId="9993" xr:uid="{00000000-0005-0000-0000-000016270000}"/>
    <cellStyle name="Positive 2 2 12 3 2 10" xfId="9994" xr:uid="{00000000-0005-0000-0000-000017270000}"/>
    <cellStyle name="Positive 2 2 12 3 2 10 2" xfId="9995" xr:uid="{00000000-0005-0000-0000-000018270000}"/>
    <cellStyle name="Positive 2 2 12 3 2 11" xfId="9996" xr:uid="{00000000-0005-0000-0000-000019270000}"/>
    <cellStyle name="Positive 2 2 12 3 2 11 2" xfId="9997" xr:uid="{00000000-0005-0000-0000-00001A270000}"/>
    <cellStyle name="Positive 2 2 12 3 2 12" xfId="9998" xr:uid="{00000000-0005-0000-0000-00001B270000}"/>
    <cellStyle name="Positive 2 2 12 3 2 12 2" xfId="9999" xr:uid="{00000000-0005-0000-0000-00001C270000}"/>
    <cellStyle name="Positive 2 2 12 3 2 13" xfId="10000" xr:uid="{00000000-0005-0000-0000-00001D270000}"/>
    <cellStyle name="Positive 2 2 12 3 2 13 2" xfId="10001" xr:uid="{00000000-0005-0000-0000-00001E270000}"/>
    <cellStyle name="Positive 2 2 12 3 2 14" xfId="10002" xr:uid="{00000000-0005-0000-0000-00001F270000}"/>
    <cellStyle name="Positive 2 2 12 3 2 14 2" xfId="10003" xr:uid="{00000000-0005-0000-0000-000020270000}"/>
    <cellStyle name="Positive 2 2 12 3 2 15" xfId="10004" xr:uid="{00000000-0005-0000-0000-000021270000}"/>
    <cellStyle name="Positive 2 2 12 3 2 15 2" xfId="10005" xr:uid="{00000000-0005-0000-0000-000022270000}"/>
    <cellStyle name="Positive 2 2 12 3 2 16" xfId="10006" xr:uid="{00000000-0005-0000-0000-000023270000}"/>
    <cellStyle name="Positive 2 2 12 3 2 16 2" xfId="10007" xr:uid="{00000000-0005-0000-0000-000024270000}"/>
    <cellStyle name="Positive 2 2 12 3 2 17" xfId="10008" xr:uid="{00000000-0005-0000-0000-000025270000}"/>
    <cellStyle name="Positive 2 2 12 3 2 2" xfId="10009" xr:uid="{00000000-0005-0000-0000-000026270000}"/>
    <cellStyle name="Positive 2 2 12 3 2 2 2" xfId="10010" xr:uid="{00000000-0005-0000-0000-000027270000}"/>
    <cellStyle name="Positive 2 2 12 3 2 3" xfId="10011" xr:uid="{00000000-0005-0000-0000-000028270000}"/>
    <cellStyle name="Positive 2 2 12 3 2 3 2" xfId="10012" xr:uid="{00000000-0005-0000-0000-000029270000}"/>
    <cellStyle name="Positive 2 2 12 3 2 4" xfId="10013" xr:uid="{00000000-0005-0000-0000-00002A270000}"/>
    <cellStyle name="Positive 2 2 12 3 2 4 2" xfId="10014" xr:uid="{00000000-0005-0000-0000-00002B270000}"/>
    <cellStyle name="Positive 2 2 12 3 2 5" xfId="10015" xr:uid="{00000000-0005-0000-0000-00002C270000}"/>
    <cellStyle name="Positive 2 2 12 3 2 5 2" xfId="10016" xr:uid="{00000000-0005-0000-0000-00002D270000}"/>
    <cellStyle name="Positive 2 2 12 3 2 6" xfId="10017" xr:uid="{00000000-0005-0000-0000-00002E270000}"/>
    <cellStyle name="Positive 2 2 12 3 2 6 2" xfId="10018" xr:uid="{00000000-0005-0000-0000-00002F270000}"/>
    <cellStyle name="Positive 2 2 12 3 2 7" xfId="10019" xr:uid="{00000000-0005-0000-0000-000030270000}"/>
    <cellStyle name="Positive 2 2 12 3 2 7 2" xfId="10020" xr:uid="{00000000-0005-0000-0000-000031270000}"/>
    <cellStyle name="Positive 2 2 12 3 2 8" xfId="10021" xr:uid="{00000000-0005-0000-0000-000032270000}"/>
    <cellStyle name="Positive 2 2 12 3 2 8 2" xfId="10022" xr:uid="{00000000-0005-0000-0000-000033270000}"/>
    <cellStyle name="Positive 2 2 12 3 2 9" xfId="10023" xr:uid="{00000000-0005-0000-0000-000034270000}"/>
    <cellStyle name="Positive 2 2 12 3 2 9 2" xfId="10024" xr:uid="{00000000-0005-0000-0000-000035270000}"/>
    <cellStyle name="Positive 2 2 12 3 20" xfId="10025" xr:uid="{00000000-0005-0000-0000-000036270000}"/>
    <cellStyle name="Positive 2 2 12 3 3" xfId="10026" xr:uid="{00000000-0005-0000-0000-000037270000}"/>
    <cellStyle name="Positive 2 2 12 3 3 2" xfId="10027" xr:uid="{00000000-0005-0000-0000-000038270000}"/>
    <cellStyle name="Positive 2 2 12 3 3 2 2" xfId="10028" xr:uid="{00000000-0005-0000-0000-000039270000}"/>
    <cellStyle name="Positive 2 2 12 3 3 3" xfId="10029" xr:uid="{00000000-0005-0000-0000-00003A270000}"/>
    <cellStyle name="Positive 2 2 12 3 4" xfId="10030" xr:uid="{00000000-0005-0000-0000-00003B270000}"/>
    <cellStyle name="Positive 2 2 12 3 4 2" xfId="10031" xr:uid="{00000000-0005-0000-0000-00003C270000}"/>
    <cellStyle name="Positive 2 2 12 3 4 2 2" xfId="10032" xr:uid="{00000000-0005-0000-0000-00003D270000}"/>
    <cellStyle name="Positive 2 2 12 3 4 3" xfId="10033" xr:uid="{00000000-0005-0000-0000-00003E270000}"/>
    <cellStyle name="Positive 2 2 12 3 5" xfId="10034" xr:uid="{00000000-0005-0000-0000-00003F270000}"/>
    <cellStyle name="Positive 2 2 12 3 5 2" xfId="10035" xr:uid="{00000000-0005-0000-0000-000040270000}"/>
    <cellStyle name="Positive 2 2 12 3 6" xfId="10036" xr:uid="{00000000-0005-0000-0000-000041270000}"/>
    <cellStyle name="Positive 2 2 12 3 6 2" xfId="10037" xr:uid="{00000000-0005-0000-0000-000042270000}"/>
    <cellStyle name="Positive 2 2 12 3 7" xfId="10038" xr:uid="{00000000-0005-0000-0000-000043270000}"/>
    <cellStyle name="Positive 2 2 12 3 7 2" xfId="10039" xr:uid="{00000000-0005-0000-0000-000044270000}"/>
    <cellStyle name="Positive 2 2 12 3 8" xfId="10040" xr:uid="{00000000-0005-0000-0000-000045270000}"/>
    <cellStyle name="Positive 2 2 12 3 8 2" xfId="10041" xr:uid="{00000000-0005-0000-0000-000046270000}"/>
    <cellStyle name="Positive 2 2 12 3 9" xfId="10042" xr:uid="{00000000-0005-0000-0000-000047270000}"/>
    <cellStyle name="Positive 2 2 12 3 9 2" xfId="10043" xr:uid="{00000000-0005-0000-0000-000048270000}"/>
    <cellStyle name="Positive 2 2 12 4" xfId="10044" xr:uid="{00000000-0005-0000-0000-000049270000}"/>
    <cellStyle name="Positive 2 2 12 4 10" xfId="10045" xr:uid="{00000000-0005-0000-0000-00004A270000}"/>
    <cellStyle name="Positive 2 2 12 4 10 2" xfId="10046" xr:uid="{00000000-0005-0000-0000-00004B270000}"/>
    <cellStyle name="Positive 2 2 12 4 11" xfId="10047" xr:uid="{00000000-0005-0000-0000-00004C270000}"/>
    <cellStyle name="Positive 2 2 12 4 11 2" xfId="10048" xr:uid="{00000000-0005-0000-0000-00004D270000}"/>
    <cellStyle name="Positive 2 2 12 4 12" xfId="10049" xr:uid="{00000000-0005-0000-0000-00004E270000}"/>
    <cellStyle name="Positive 2 2 12 4 12 2" xfId="10050" xr:uid="{00000000-0005-0000-0000-00004F270000}"/>
    <cellStyle name="Positive 2 2 12 4 13" xfId="10051" xr:uid="{00000000-0005-0000-0000-000050270000}"/>
    <cellStyle name="Positive 2 2 12 4 13 2" xfId="10052" xr:uid="{00000000-0005-0000-0000-000051270000}"/>
    <cellStyle name="Positive 2 2 12 4 14" xfId="10053" xr:uid="{00000000-0005-0000-0000-000052270000}"/>
    <cellStyle name="Positive 2 2 12 4 14 2" xfId="10054" xr:uid="{00000000-0005-0000-0000-000053270000}"/>
    <cellStyle name="Positive 2 2 12 4 15" xfId="10055" xr:uid="{00000000-0005-0000-0000-000054270000}"/>
    <cellStyle name="Positive 2 2 12 4 15 2" xfId="10056" xr:uid="{00000000-0005-0000-0000-000055270000}"/>
    <cellStyle name="Positive 2 2 12 4 16" xfId="10057" xr:uid="{00000000-0005-0000-0000-000056270000}"/>
    <cellStyle name="Positive 2 2 12 4 16 2" xfId="10058" xr:uid="{00000000-0005-0000-0000-000057270000}"/>
    <cellStyle name="Positive 2 2 12 4 17" xfId="10059" xr:uid="{00000000-0005-0000-0000-000058270000}"/>
    <cellStyle name="Positive 2 2 12 4 17 2" xfId="10060" xr:uid="{00000000-0005-0000-0000-000059270000}"/>
    <cellStyle name="Positive 2 2 12 4 18" xfId="10061" xr:uid="{00000000-0005-0000-0000-00005A270000}"/>
    <cellStyle name="Positive 2 2 12 4 18 2" xfId="10062" xr:uid="{00000000-0005-0000-0000-00005B270000}"/>
    <cellStyle name="Positive 2 2 12 4 19" xfId="10063" xr:uid="{00000000-0005-0000-0000-00005C270000}"/>
    <cellStyle name="Positive 2 2 12 4 19 2" xfId="10064" xr:uid="{00000000-0005-0000-0000-00005D270000}"/>
    <cellStyle name="Positive 2 2 12 4 2" xfId="10065" xr:uid="{00000000-0005-0000-0000-00005E270000}"/>
    <cellStyle name="Positive 2 2 12 4 2 10" xfId="10066" xr:uid="{00000000-0005-0000-0000-00005F270000}"/>
    <cellStyle name="Positive 2 2 12 4 2 10 2" xfId="10067" xr:uid="{00000000-0005-0000-0000-000060270000}"/>
    <cellStyle name="Positive 2 2 12 4 2 11" xfId="10068" xr:uid="{00000000-0005-0000-0000-000061270000}"/>
    <cellStyle name="Positive 2 2 12 4 2 11 2" xfId="10069" xr:uid="{00000000-0005-0000-0000-000062270000}"/>
    <cellStyle name="Positive 2 2 12 4 2 12" xfId="10070" xr:uid="{00000000-0005-0000-0000-000063270000}"/>
    <cellStyle name="Positive 2 2 12 4 2 12 2" xfId="10071" xr:uid="{00000000-0005-0000-0000-000064270000}"/>
    <cellStyle name="Positive 2 2 12 4 2 13" xfId="10072" xr:uid="{00000000-0005-0000-0000-000065270000}"/>
    <cellStyle name="Positive 2 2 12 4 2 13 2" xfId="10073" xr:uid="{00000000-0005-0000-0000-000066270000}"/>
    <cellStyle name="Positive 2 2 12 4 2 14" xfId="10074" xr:uid="{00000000-0005-0000-0000-000067270000}"/>
    <cellStyle name="Positive 2 2 12 4 2 14 2" xfId="10075" xr:uid="{00000000-0005-0000-0000-000068270000}"/>
    <cellStyle name="Positive 2 2 12 4 2 15" xfId="10076" xr:uid="{00000000-0005-0000-0000-000069270000}"/>
    <cellStyle name="Positive 2 2 12 4 2 15 2" xfId="10077" xr:uid="{00000000-0005-0000-0000-00006A270000}"/>
    <cellStyle name="Positive 2 2 12 4 2 16" xfId="10078" xr:uid="{00000000-0005-0000-0000-00006B270000}"/>
    <cellStyle name="Positive 2 2 12 4 2 16 2" xfId="10079" xr:uid="{00000000-0005-0000-0000-00006C270000}"/>
    <cellStyle name="Positive 2 2 12 4 2 17" xfId="10080" xr:uid="{00000000-0005-0000-0000-00006D270000}"/>
    <cellStyle name="Positive 2 2 12 4 2 2" xfId="10081" xr:uid="{00000000-0005-0000-0000-00006E270000}"/>
    <cellStyle name="Positive 2 2 12 4 2 2 2" xfId="10082" xr:uid="{00000000-0005-0000-0000-00006F270000}"/>
    <cellStyle name="Positive 2 2 12 4 2 3" xfId="10083" xr:uid="{00000000-0005-0000-0000-000070270000}"/>
    <cellStyle name="Positive 2 2 12 4 2 3 2" xfId="10084" xr:uid="{00000000-0005-0000-0000-000071270000}"/>
    <cellStyle name="Positive 2 2 12 4 2 4" xfId="10085" xr:uid="{00000000-0005-0000-0000-000072270000}"/>
    <cellStyle name="Positive 2 2 12 4 2 4 2" xfId="10086" xr:uid="{00000000-0005-0000-0000-000073270000}"/>
    <cellStyle name="Positive 2 2 12 4 2 5" xfId="10087" xr:uid="{00000000-0005-0000-0000-000074270000}"/>
    <cellStyle name="Positive 2 2 12 4 2 5 2" xfId="10088" xr:uid="{00000000-0005-0000-0000-000075270000}"/>
    <cellStyle name="Positive 2 2 12 4 2 6" xfId="10089" xr:uid="{00000000-0005-0000-0000-000076270000}"/>
    <cellStyle name="Positive 2 2 12 4 2 6 2" xfId="10090" xr:uid="{00000000-0005-0000-0000-000077270000}"/>
    <cellStyle name="Positive 2 2 12 4 2 7" xfId="10091" xr:uid="{00000000-0005-0000-0000-000078270000}"/>
    <cellStyle name="Positive 2 2 12 4 2 7 2" xfId="10092" xr:uid="{00000000-0005-0000-0000-000079270000}"/>
    <cellStyle name="Positive 2 2 12 4 2 8" xfId="10093" xr:uid="{00000000-0005-0000-0000-00007A270000}"/>
    <cellStyle name="Positive 2 2 12 4 2 8 2" xfId="10094" xr:uid="{00000000-0005-0000-0000-00007B270000}"/>
    <cellStyle name="Positive 2 2 12 4 2 9" xfId="10095" xr:uid="{00000000-0005-0000-0000-00007C270000}"/>
    <cellStyle name="Positive 2 2 12 4 2 9 2" xfId="10096" xr:uid="{00000000-0005-0000-0000-00007D270000}"/>
    <cellStyle name="Positive 2 2 12 4 20" xfId="10097" xr:uid="{00000000-0005-0000-0000-00007E270000}"/>
    <cellStyle name="Positive 2 2 12 4 3" xfId="10098" xr:uid="{00000000-0005-0000-0000-00007F270000}"/>
    <cellStyle name="Positive 2 2 12 4 3 2" xfId="10099" xr:uid="{00000000-0005-0000-0000-000080270000}"/>
    <cellStyle name="Positive 2 2 12 4 3 2 2" xfId="10100" xr:uid="{00000000-0005-0000-0000-000081270000}"/>
    <cellStyle name="Positive 2 2 12 4 3 3" xfId="10101" xr:uid="{00000000-0005-0000-0000-000082270000}"/>
    <cellStyle name="Positive 2 2 12 4 4" xfId="10102" xr:uid="{00000000-0005-0000-0000-000083270000}"/>
    <cellStyle name="Positive 2 2 12 4 4 2" xfId="10103" xr:uid="{00000000-0005-0000-0000-000084270000}"/>
    <cellStyle name="Positive 2 2 12 4 4 2 2" xfId="10104" xr:uid="{00000000-0005-0000-0000-000085270000}"/>
    <cellStyle name="Positive 2 2 12 4 4 3" xfId="10105" xr:uid="{00000000-0005-0000-0000-000086270000}"/>
    <cellStyle name="Positive 2 2 12 4 5" xfId="10106" xr:uid="{00000000-0005-0000-0000-000087270000}"/>
    <cellStyle name="Positive 2 2 12 4 5 2" xfId="10107" xr:uid="{00000000-0005-0000-0000-000088270000}"/>
    <cellStyle name="Positive 2 2 12 4 6" xfId="10108" xr:uid="{00000000-0005-0000-0000-000089270000}"/>
    <cellStyle name="Positive 2 2 12 4 6 2" xfId="10109" xr:uid="{00000000-0005-0000-0000-00008A270000}"/>
    <cellStyle name="Positive 2 2 12 4 7" xfId="10110" xr:uid="{00000000-0005-0000-0000-00008B270000}"/>
    <cellStyle name="Positive 2 2 12 4 7 2" xfId="10111" xr:uid="{00000000-0005-0000-0000-00008C270000}"/>
    <cellStyle name="Positive 2 2 12 4 8" xfId="10112" xr:uid="{00000000-0005-0000-0000-00008D270000}"/>
    <cellStyle name="Positive 2 2 12 4 8 2" xfId="10113" xr:uid="{00000000-0005-0000-0000-00008E270000}"/>
    <cellStyle name="Positive 2 2 12 4 9" xfId="10114" xr:uid="{00000000-0005-0000-0000-00008F270000}"/>
    <cellStyle name="Positive 2 2 12 4 9 2" xfId="10115" xr:uid="{00000000-0005-0000-0000-000090270000}"/>
    <cellStyle name="Positive 2 2 12 5" xfId="10116" xr:uid="{00000000-0005-0000-0000-000091270000}"/>
    <cellStyle name="Positive 2 2 12 5 10" xfId="10117" xr:uid="{00000000-0005-0000-0000-000092270000}"/>
    <cellStyle name="Positive 2 2 12 5 10 2" xfId="10118" xr:uid="{00000000-0005-0000-0000-000093270000}"/>
    <cellStyle name="Positive 2 2 12 5 11" xfId="10119" xr:uid="{00000000-0005-0000-0000-000094270000}"/>
    <cellStyle name="Positive 2 2 12 5 11 2" xfId="10120" xr:uid="{00000000-0005-0000-0000-000095270000}"/>
    <cellStyle name="Positive 2 2 12 5 12" xfId="10121" xr:uid="{00000000-0005-0000-0000-000096270000}"/>
    <cellStyle name="Positive 2 2 12 5 12 2" xfId="10122" xr:uid="{00000000-0005-0000-0000-000097270000}"/>
    <cellStyle name="Positive 2 2 12 5 13" xfId="10123" xr:uid="{00000000-0005-0000-0000-000098270000}"/>
    <cellStyle name="Positive 2 2 12 5 13 2" xfId="10124" xr:uid="{00000000-0005-0000-0000-000099270000}"/>
    <cellStyle name="Positive 2 2 12 5 14" xfId="10125" xr:uid="{00000000-0005-0000-0000-00009A270000}"/>
    <cellStyle name="Positive 2 2 12 5 14 2" xfId="10126" xr:uid="{00000000-0005-0000-0000-00009B270000}"/>
    <cellStyle name="Positive 2 2 12 5 15" xfId="10127" xr:uid="{00000000-0005-0000-0000-00009C270000}"/>
    <cellStyle name="Positive 2 2 12 5 15 2" xfId="10128" xr:uid="{00000000-0005-0000-0000-00009D270000}"/>
    <cellStyle name="Positive 2 2 12 5 16" xfId="10129" xr:uid="{00000000-0005-0000-0000-00009E270000}"/>
    <cellStyle name="Positive 2 2 12 5 16 2" xfId="10130" xr:uid="{00000000-0005-0000-0000-00009F270000}"/>
    <cellStyle name="Positive 2 2 12 5 17" xfId="10131" xr:uid="{00000000-0005-0000-0000-0000A0270000}"/>
    <cellStyle name="Positive 2 2 12 5 2" xfId="10132" xr:uid="{00000000-0005-0000-0000-0000A1270000}"/>
    <cellStyle name="Positive 2 2 12 5 2 2" xfId="10133" xr:uid="{00000000-0005-0000-0000-0000A2270000}"/>
    <cellStyle name="Positive 2 2 12 5 3" xfId="10134" xr:uid="{00000000-0005-0000-0000-0000A3270000}"/>
    <cellStyle name="Positive 2 2 12 5 3 2" xfId="10135" xr:uid="{00000000-0005-0000-0000-0000A4270000}"/>
    <cellStyle name="Positive 2 2 12 5 4" xfId="10136" xr:uid="{00000000-0005-0000-0000-0000A5270000}"/>
    <cellStyle name="Positive 2 2 12 5 4 2" xfId="10137" xr:uid="{00000000-0005-0000-0000-0000A6270000}"/>
    <cellStyle name="Positive 2 2 12 5 5" xfId="10138" xr:uid="{00000000-0005-0000-0000-0000A7270000}"/>
    <cellStyle name="Positive 2 2 12 5 5 2" xfId="10139" xr:uid="{00000000-0005-0000-0000-0000A8270000}"/>
    <cellStyle name="Positive 2 2 12 5 6" xfId="10140" xr:uid="{00000000-0005-0000-0000-0000A9270000}"/>
    <cellStyle name="Positive 2 2 12 5 6 2" xfId="10141" xr:uid="{00000000-0005-0000-0000-0000AA270000}"/>
    <cellStyle name="Positive 2 2 12 5 7" xfId="10142" xr:uid="{00000000-0005-0000-0000-0000AB270000}"/>
    <cellStyle name="Positive 2 2 12 5 7 2" xfId="10143" xr:uid="{00000000-0005-0000-0000-0000AC270000}"/>
    <cellStyle name="Positive 2 2 12 5 8" xfId="10144" xr:uid="{00000000-0005-0000-0000-0000AD270000}"/>
    <cellStyle name="Positive 2 2 12 5 8 2" xfId="10145" xr:uid="{00000000-0005-0000-0000-0000AE270000}"/>
    <cellStyle name="Positive 2 2 12 5 9" xfId="10146" xr:uid="{00000000-0005-0000-0000-0000AF270000}"/>
    <cellStyle name="Positive 2 2 12 5 9 2" xfId="10147" xr:uid="{00000000-0005-0000-0000-0000B0270000}"/>
    <cellStyle name="Positive 2 2 12 6" xfId="10148" xr:uid="{00000000-0005-0000-0000-0000B1270000}"/>
    <cellStyle name="Positive 2 2 12 6 2" xfId="10149" xr:uid="{00000000-0005-0000-0000-0000B2270000}"/>
    <cellStyle name="Positive 2 2 12 6 2 2" xfId="10150" xr:uid="{00000000-0005-0000-0000-0000B3270000}"/>
    <cellStyle name="Positive 2 2 12 6 3" xfId="10151" xr:uid="{00000000-0005-0000-0000-0000B4270000}"/>
    <cellStyle name="Positive 2 2 12 7" xfId="10152" xr:uid="{00000000-0005-0000-0000-0000B5270000}"/>
    <cellStyle name="Positive 2 2 12 7 2" xfId="10153" xr:uid="{00000000-0005-0000-0000-0000B6270000}"/>
    <cellStyle name="Positive 2 2 12 7 2 2" xfId="10154" xr:uid="{00000000-0005-0000-0000-0000B7270000}"/>
    <cellStyle name="Positive 2 2 12 7 3" xfId="10155" xr:uid="{00000000-0005-0000-0000-0000B8270000}"/>
    <cellStyle name="Positive 2 2 12 8" xfId="10156" xr:uid="{00000000-0005-0000-0000-0000B9270000}"/>
    <cellStyle name="Positive 2 2 12 8 2" xfId="10157" xr:uid="{00000000-0005-0000-0000-0000BA270000}"/>
    <cellStyle name="Positive 2 2 12 9" xfId="10158" xr:uid="{00000000-0005-0000-0000-0000BB270000}"/>
    <cellStyle name="Positive 2 2 12 9 2" xfId="10159" xr:uid="{00000000-0005-0000-0000-0000BC270000}"/>
    <cellStyle name="Positive 2 2 13" xfId="10160" xr:uid="{00000000-0005-0000-0000-0000BD270000}"/>
    <cellStyle name="Positive 2 2 13 10" xfId="10161" xr:uid="{00000000-0005-0000-0000-0000BE270000}"/>
    <cellStyle name="Positive 2 2 13 10 2" xfId="10162" xr:uid="{00000000-0005-0000-0000-0000BF270000}"/>
    <cellStyle name="Positive 2 2 13 11" xfId="10163" xr:uid="{00000000-0005-0000-0000-0000C0270000}"/>
    <cellStyle name="Positive 2 2 13 11 2" xfId="10164" xr:uid="{00000000-0005-0000-0000-0000C1270000}"/>
    <cellStyle name="Positive 2 2 13 12" xfId="10165" xr:uid="{00000000-0005-0000-0000-0000C2270000}"/>
    <cellStyle name="Positive 2 2 13 12 2" xfId="10166" xr:uid="{00000000-0005-0000-0000-0000C3270000}"/>
    <cellStyle name="Positive 2 2 13 13" xfId="10167" xr:uid="{00000000-0005-0000-0000-0000C4270000}"/>
    <cellStyle name="Positive 2 2 13 13 2" xfId="10168" xr:uid="{00000000-0005-0000-0000-0000C5270000}"/>
    <cellStyle name="Positive 2 2 13 14" xfId="10169" xr:uid="{00000000-0005-0000-0000-0000C6270000}"/>
    <cellStyle name="Positive 2 2 13 14 2" xfId="10170" xr:uid="{00000000-0005-0000-0000-0000C7270000}"/>
    <cellStyle name="Positive 2 2 13 15" xfId="10171" xr:uid="{00000000-0005-0000-0000-0000C8270000}"/>
    <cellStyle name="Positive 2 2 13 15 2" xfId="10172" xr:uid="{00000000-0005-0000-0000-0000C9270000}"/>
    <cellStyle name="Positive 2 2 13 16" xfId="10173" xr:uid="{00000000-0005-0000-0000-0000CA270000}"/>
    <cellStyle name="Positive 2 2 13 16 2" xfId="10174" xr:uid="{00000000-0005-0000-0000-0000CB270000}"/>
    <cellStyle name="Positive 2 2 13 17" xfId="10175" xr:uid="{00000000-0005-0000-0000-0000CC270000}"/>
    <cellStyle name="Positive 2 2 13 17 2" xfId="10176" xr:uid="{00000000-0005-0000-0000-0000CD270000}"/>
    <cellStyle name="Positive 2 2 13 18" xfId="10177" xr:uid="{00000000-0005-0000-0000-0000CE270000}"/>
    <cellStyle name="Positive 2 2 13 18 2" xfId="10178" xr:uid="{00000000-0005-0000-0000-0000CF270000}"/>
    <cellStyle name="Positive 2 2 13 19" xfId="10179" xr:uid="{00000000-0005-0000-0000-0000D0270000}"/>
    <cellStyle name="Positive 2 2 13 19 2" xfId="10180" xr:uid="{00000000-0005-0000-0000-0000D1270000}"/>
    <cellStyle name="Positive 2 2 13 2" xfId="10181" xr:uid="{00000000-0005-0000-0000-0000D2270000}"/>
    <cellStyle name="Positive 2 2 13 2 10" xfId="10182" xr:uid="{00000000-0005-0000-0000-0000D3270000}"/>
    <cellStyle name="Positive 2 2 13 2 10 2" xfId="10183" xr:uid="{00000000-0005-0000-0000-0000D4270000}"/>
    <cellStyle name="Positive 2 2 13 2 11" xfId="10184" xr:uid="{00000000-0005-0000-0000-0000D5270000}"/>
    <cellStyle name="Positive 2 2 13 2 11 2" xfId="10185" xr:uid="{00000000-0005-0000-0000-0000D6270000}"/>
    <cellStyle name="Positive 2 2 13 2 12" xfId="10186" xr:uid="{00000000-0005-0000-0000-0000D7270000}"/>
    <cellStyle name="Positive 2 2 13 2 12 2" xfId="10187" xr:uid="{00000000-0005-0000-0000-0000D8270000}"/>
    <cellStyle name="Positive 2 2 13 2 13" xfId="10188" xr:uid="{00000000-0005-0000-0000-0000D9270000}"/>
    <cellStyle name="Positive 2 2 13 2 13 2" xfId="10189" xr:uid="{00000000-0005-0000-0000-0000DA270000}"/>
    <cellStyle name="Positive 2 2 13 2 14" xfId="10190" xr:uid="{00000000-0005-0000-0000-0000DB270000}"/>
    <cellStyle name="Positive 2 2 13 2 14 2" xfId="10191" xr:uid="{00000000-0005-0000-0000-0000DC270000}"/>
    <cellStyle name="Positive 2 2 13 2 15" xfId="10192" xr:uid="{00000000-0005-0000-0000-0000DD270000}"/>
    <cellStyle name="Positive 2 2 13 2 15 2" xfId="10193" xr:uid="{00000000-0005-0000-0000-0000DE270000}"/>
    <cellStyle name="Positive 2 2 13 2 16" xfId="10194" xr:uid="{00000000-0005-0000-0000-0000DF270000}"/>
    <cellStyle name="Positive 2 2 13 2 16 2" xfId="10195" xr:uid="{00000000-0005-0000-0000-0000E0270000}"/>
    <cellStyle name="Positive 2 2 13 2 17" xfId="10196" xr:uid="{00000000-0005-0000-0000-0000E1270000}"/>
    <cellStyle name="Positive 2 2 13 2 17 2" xfId="10197" xr:uid="{00000000-0005-0000-0000-0000E2270000}"/>
    <cellStyle name="Positive 2 2 13 2 18" xfId="10198" xr:uid="{00000000-0005-0000-0000-0000E3270000}"/>
    <cellStyle name="Positive 2 2 13 2 18 2" xfId="10199" xr:uid="{00000000-0005-0000-0000-0000E4270000}"/>
    <cellStyle name="Positive 2 2 13 2 19" xfId="10200" xr:uid="{00000000-0005-0000-0000-0000E5270000}"/>
    <cellStyle name="Positive 2 2 13 2 19 2" xfId="10201" xr:uid="{00000000-0005-0000-0000-0000E6270000}"/>
    <cellStyle name="Positive 2 2 13 2 2" xfId="10202" xr:uid="{00000000-0005-0000-0000-0000E7270000}"/>
    <cellStyle name="Positive 2 2 13 2 2 10" xfId="10203" xr:uid="{00000000-0005-0000-0000-0000E8270000}"/>
    <cellStyle name="Positive 2 2 13 2 2 10 2" xfId="10204" xr:uid="{00000000-0005-0000-0000-0000E9270000}"/>
    <cellStyle name="Positive 2 2 13 2 2 11" xfId="10205" xr:uid="{00000000-0005-0000-0000-0000EA270000}"/>
    <cellStyle name="Positive 2 2 13 2 2 11 2" xfId="10206" xr:uid="{00000000-0005-0000-0000-0000EB270000}"/>
    <cellStyle name="Positive 2 2 13 2 2 12" xfId="10207" xr:uid="{00000000-0005-0000-0000-0000EC270000}"/>
    <cellStyle name="Positive 2 2 13 2 2 12 2" xfId="10208" xr:uid="{00000000-0005-0000-0000-0000ED270000}"/>
    <cellStyle name="Positive 2 2 13 2 2 13" xfId="10209" xr:uid="{00000000-0005-0000-0000-0000EE270000}"/>
    <cellStyle name="Positive 2 2 13 2 2 13 2" xfId="10210" xr:uid="{00000000-0005-0000-0000-0000EF270000}"/>
    <cellStyle name="Positive 2 2 13 2 2 14" xfId="10211" xr:uid="{00000000-0005-0000-0000-0000F0270000}"/>
    <cellStyle name="Positive 2 2 13 2 2 14 2" xfId="10212" xr:uid="{00000000-0005-0000-0000-0000F1270000}"/>
    <cellStyle name="Positive 2 2 13 2 2 15" xfId="10213" xr:uid="{00000000-0005-0000-0000-0000F2270000}"/>
    <cellStyle name="Positive 2 2 13 2 2 15 2" xfId="10214" xr:uid="{00000000-0005-0000-0000-0000F3270000}"/>
    <cellStyle name="Positive 2 2 13 2 2 16" xfId="10215" xr:uid="{00000000-0005-0000-0000-0000F4270000}"/>
    <cellStyle name="Positive 2 2 13 2 2 16 2" xfId="10216" xr:uid="{00000000-0005-0000-0000-0000F5270000}"/>
    <cellStyle name="Positive 2 2 13 2 2 17" xfId="10217" xr:uid="{00000000-0005-0000-0000-0000F6270000}"/>
    <cellStyle name="Positive 2 2 13 2 2 2" xfId="10218" xr:uid="{00000000-0005-0000-0000-0000F7270000}"/>
    <cellStyle name="Positive 2 2 13 2 2 2 2" xfId="10219" xr:uid="{00000000-0005-0000-0000-0000F8270000}"/>
    <cellStyle name="Positive 2 2 13 2 2 3" xfId="10220" xr:uid="{00000000-0005-0000-0000-0000F9270000}"/>
    <cellStyle name="Positive 2 2 13 2 2 3 2" xfId="10221" xr:uid="{00000000-0005-0000-0000-0000FA270000}"/>
    <cellStyle name="Positive 2 2 13 2 2 4" xfId="10222" xr:uid="{00000000-0005-0000-0000-0000FB270000}"/>
    <cellStyle name="Positive 2 2 13 2 2 4 2" xfId="10223" xr:uid="{00000000-0005-0000-0000-0000FC270000}"/>
    <cellStyle name="Positive 2 2 13 2 2 5" xfId="10224" xr:uid="{00000000-0005-0000-0000-0000FD270000}"/>
    <cellStyle name="Positive 2 2 13 2 2 5 2" xfId="10225" xr:uid="{00000000-0005-0000-0000-0000FE270000}"/>
    <cellStyle name="Positive 2 2 13 2 2 6" xfId="10226" xr:uid="{00000000-0005-0000-0000-0000FF270000}"/>
    <cellStyle name="Positive 2 2 13 2 2 6 2" xfId="10227" xr:uid="{00000000-0005-0000-0000-000000280000}"/>
    <cellStyle name="Positive 2 2 13 2 2 7" xfId="10228" xr:uid="{00000000-0005-0000-0000-000001280000}"/>
    <cellStyle name="Positive 2 2 13 2 2 7 2" xfId="10229" xr:uid="{00000000-0005-0000-0000-000002280000}"/>
    <cellStyle name="Positive 2 2 13 2 2 8" xfId="10230" xr:uid="{00000000-0005-0000-0000-000003280000}"/>
    <cellStyle name="Positive 2 2 13 2 2 8 2" xfId="10231" xr:uid="{00000000-0005-0000-0000-000004280000}"/>
    <cellStyle name="Positive 2 2 13 2 2 9" xfId="10232" xr:uid="{00000000-0005-0000-0000-000005280000}"/>
    <cellStyle name="Positive 2 2 13 2 2 9 2" xfId="10233" xr:uid="{00000000-0005-0000-0000-000006280000}"/>
    <cellStyle name="Positive 2 2 13 2 20" xfId="10234" xr:uid="{00000000-0005-0000-0000-000007280000}"/>
    <cellStyle name="Positive 2 2 13 2 3" xfId="10235" xr:uid="{00000000-0005-0000-0000-000008280000}"/>
    <cellStyle name="Positive 2 2 13 2 3 2" xfId="10236" xr:uid="{00000000-0005-0000-0000-000009280000}"/>
    <cellStyle name="Positive 2 2 13 2 3 2 2" xfId="10237" xr:uid="{00000000-0005-0000-0000-00000A280000}"/>
    <cellStyle name="Positive 2 2 13 2 3 3" xfId="10238" xr:uid="{00000000-0005-0000-0000-00000B280000}"/>
    <cellStyle name="Positive 2 2 13 2 4" xfId="10239" xr:uid="{00000000-0005-0000-0000-00000C280000}"/>
    <cellStyle name="Positive 2 2 13 2 4 2" xfId="10240" xr:uid="{00000000-0005-0000-0000-00000D280000}"/>
    <cellStyle name="Positive 2 2 13 2 4 2 2" xfId="10241" xr:uid="{00000000-0005-0000-0000-00000E280000}"/>
    <cellStyle name="Positive 2 2 13 2 4 3" xfId="10242" xr:uid="{00000000-0005-0000-0000-00000F280000}"/>
    <cellStyle name="Positive 2 2 13 2 5" xfId="10243" xr:uid="{00000000-0005-0000-0000-000010280000}"/>
    <cellStyle name="Positive 2 2 13 2 5 2" xfId="10244" xr:uid="{00000000-0005-0000-0000-000011280000}"/>
    <cellStyle name="Positive 2 2 13 2 6" xfId="10245" xr:uid="{00000000-0005-0000-0000-000012280000}"/>
    <cellStyle name="Positive 2 2 13 2 6 2" xfId="10246" xr:uid="{00000000-0005-0000-0000-000013280000}"/>
    <cellStyle name="Positive 2 2 13 2 7" xfId="10247" xr:uid="{00000000-0005-0000-0000-000014280000}"/>
    <cellStyle name="Positive 2 2 13 2 7 2" xfId="10248" xr:uid="{00000000-0005-0000-0000-000015280000}"/>
    <cellStyle name="Positive 2 2 13 2 8" xfId="10249" xr:uid="{00000000-0005-0000-0000-000016280000}"/>
    <cellStyle name="Positive 2 2 13 2 8 2" xfId="10250" xr:uid="{00000000-0005-0000-0000-000017280000}"/>
    <cellStyle name="Positive 2 2 13 2 9" xfId="10251" xr:uid="{00000000-0005-0000-0000-000018280000}"/>
    <cellStyle name="Positive 2 2 13 2 9 2" xfId="10252" xr:uid="{00000000-0005-0000-0000-000019280000}"/>
    <cellStyle name="Positive 2 2 13 20" xfId="10253" xr:uid="{00000000-0005-0000-0000-00001A280000}"/>
    <cellStyle name="Positive 2 2 13 20 2" xfId="10254" xr:uid="{00000000-0005-0000-0000-00001B280000}"/>
    <cellStyle name="Positive 2 2 13 21" xfId="10255" xr:uid="{00000000-0005-0000-0000-00001C280000}"/>
    <cellStyle name="Positive 2 2 13 21 2" xfId="10256" xr:uid="{00000000-0005-0000-0000-00001D280000}"/>
    <cellStyle name="Positive 2 2 13 22" xfId="10257" xr:uid="{00000000-0005-0000-0000-00001E280000}"/>
    <cellStyle name="Positive 2 2 13 22 2" xfId="10258" xr:uid="{00000000-0005-0000-0000-00001F280000}"/>
    <cellStyle name="Positive 2 2 13 23" xfId="10259" xr:uid="{00000000-0005-0000-0000-000020280000}"/>
    <cellStyle name="Positive 2 2 13 3" xfId="10260" xr:uid="{00000000-0005-0000-0000-000021280000}"/>
    <cellStyle name="Positive 2 2 13 3 10" xfId="10261" xr:uid="{00000000-0005-0000-0000-000022280000}"/>
    <cellStyle name="Positive 2 2 13 3 10 2" xfId="10262" xr:uid="{00000000-0005-0000-0000-000023280000}"/>
    <cellStyle name="Positive 2 2 13 3 11" xfId="10263" xr:uid="{00000000-0005-0000-0000-000024280000}"/>
    <cellStyle name="Positive 2 2 13 3 11 2" xfId="10264" xr:uid="{00000000-0005-0000-0000-000025280000}"/>
    <cellStyle name="Positive 2 2 13 3 12" xfId="10265" xr:uid="{00000000-0005-0000-0000-000026280000}"/>
    <cellStyle name="Positive 2 2 13 3 12 2" xfId="10266" xr:uid="{00000000-0005-0000-0000-000027280000}"/>
    <cellStyle name="Positive 2 2 13 3 13" xfId="10267" xr:uid="{00000000-0005-0000-0000-000028280000}"/>
    <cellStyle name="Positive 2 2 13 3 13 2" xfId="10268" xr:uid="{00000000-0005-0000-0000-000029280000}"/>
    <cellStyle name="Positive 2 2 13 3 14" xfId="10269" xr:uid="{00000000-0005-0000-0000-00002A280000}"/>
    <cellStyle name="Positive 2 2 13 3 14 2" xfId="10270" xr:uid="{00000000-0005-0000-0000-00002B280000}"/>
    <cellStyle name="Positive 2 2 13 3 15" xfId="10271" xr:uid="{00000000-0005-0000-0000-00002C280000}"/>
    <cellStyle name="Positive 2 2 13 3 15 2" xfId="10272" xr:uid="{00000000-0005-0000-0000-00002D280000}"/>
    <cellStyle name="Positive 2 2 13 3 16" xfId="10273" xr:uid="{00000000-0005-0000-0000-00002E280000}"/>
    <cellStyle name="Positive 2 2 13 3 16 2" xfId="10274" xr:uid="{00000000-0005-0000-0000-00002F280000}"/>
    <cellStyle name="Positive 2 2 13 3 17" xfId="10275" xr:uid="{00000000-0005-0000-0000-000030280000}"/>
    <cellStyle name="Positive 2 2 13 3 17 2" xfId="10276" xr:uid="{00000000-0005-0000-0000-000031280000}"/>
    <cellStyle name="Positive 2 2 13 3 18" xfId="10277" xr:uid="{00000000-0005-0000-0000-000032280000}"/>
    <cellStyle name="Positive 2 2 13 3 18 2" xfId="10278" xr:uid="{00000000-0005-0000-0000-000033280000}"/>
    <cellStyle name="Positive 2 2 13 3 19" xfId="10279" xr:uid="{00000000-0005-0000-0000-000034280000}"/>
    <cellStyle name="Positive 2 2 13 3 19 2" xfId="10280" xr:uid="{00000000-0005-0000-0000-000035280000}"/>
    <cellStyle name="Positive 2 2 13 3 2" xfId="10281" xr:uid="{00000000-0005-0000-0000-000036280000}"/>
    <cellStyle name="Positive 2 2 13 3 2 10" xfId="10282" xr:uid="{00000000-0005-0000-0000-000037280000}"/>
    <cellStyle name="Positive 2 2 13 3 2 10 2" xfId="10283" xr:uid="{00000000-0005-0000-0000-000038280000}"/>
    <cellStyle name="Positive 2 2 13 3 2 11" xfId="10284" xr:uid="{00000000-0005-0000-0000-000039280000}"/>
    <cellStyle name="Positive 2 2 13 3 2 11 2" xfId="10285" xr:uid="{00000000-0005-0000-0000-00003A280000}"/>
    <cellStyle name="Positive 2 2 13 3 2 12" xfId="10286" xr:uid="{00000000-0005-0000-0000-00003B280000}"/>
    <cellStyle name="Positive 2 2 13 3 2 12 2" xfId="10287" xr:uid="{00000000-0005-0000-0000-00003C280000}"/>
    <cellStyle name="Positive 2 2 13 3 2 13" xfId="10288" xr:uid="{00000000-0005-0000-0000-00003D280000}"/>
    <cellStyle name="Positive 2 2 13 3 2 13 2" xfId="10289" xr:uid="{00000000-0005-0000-0000-00003E280000}"/>
    <cellStyle name="Positive 2 2 13 3 2 14" xfId="10290" xr:uid="{00000000-0005-0000-0000-00003F280000}"/>
    <cellStyle name="Positive 2 2 13 3 2 14 2" xfId="10291" xr:uid="{00000000-0005-0000-0000-000040280000}"/>
    <cellStyle name="Positive 2 2 13 3 2 15" xfId="10292" xr:uid="{00000000-0005-0000-0000-000041280000}"/>
    <cellStyle name="Positive 2 2 13 3 2 15 2" xfId="10293" xr:uid="{00000000-0005-0000-0000-000042280000}"/>
    <cellStyle name="Positive 2 2 13 3 2 16" xfId="10294" xr:uid="{00000000-0005-0000-0000-000043280000}"/>
    <cellStyle name="Positive 2 2 13 3 2 16 2" xfId="10295" xr:uid="{00000000-0005-0000-0000-000044280000}"/>
    <cellStyle name="Positive 2 2 13 3 2 17" xfId="10296" xr:uid="{00000000-0005-0000-0000-000045280000}"/>
    <cellStyle name="Positive 2 2 13 3 2 2" xfId="10297" xr:uid="{00000000-0005-0000-0000-000046280000}"/>
    <cellStyle name="Positive 2 2 13 3 2 2 2" xfId="10298" xr:uid="{00000000-0005-0000-0000-000047280000}"/>
    <cellStyle name="Positive 2 2 13 3 2 3" xfId="10299" xr:uid="{00000000-0005-0000-0000-000048280000}"/>
    <cellStyle name="Positive 2 2 13 3 2 3 2" xfId="10300" xr:uid="{00000000-0005-0000-0000-000049280000}"/>
    <cellStyle name="Positive 2 2 13 3 2 4" xfId="10301" xr:uid="{00000000-0005-0000-0000-00004A280000}"/>
    <cellStyle name="Positive 2 2 13 3 2 4 2" xfId="10302" xr:uid="{00000000-0005-0000-0000-00004B280000}"/>
    <cellStyle name="Positive 2 2 13 3 2 5" xfId="10303" xr:uid="{00000000-0005-0000-0000-00004C280000}"/>
    <cellStyle name="Positive 2 2 13 3 2 5 2" xfId="10304" xr:uid="{00000000-0005-0000-0000-00004D280000}"/>
    <cellStyle name="Positive 2 2 13 3 2 6" xfId="10305" xr:uid="{00000000-0005-0000-0000-00004E280000}"/>
    <cellStyle name="Positive 2 2 13 3 2 6 2" xfId="10306" xr:uid="{00000000-0005-0000-0000-00004F280000}"/>
    <cellStyle name="Positive 2 2 13 3 2 7" xfId="10307" xr:uid="{00000000-0005-0000-0000-000050280000}"/>
    <cellStyle name="Positive 2 2 13 3 2 7 2" xfId="10308" xr:uid="{00000000-0005-0000-0000-000051280000}"/>
    <cellStyle name="Positive 2 2 13 3 2 8" xfId="10309" xr:uid="{00000000-0005-0000-0000-000052280000}"/>
    <cellStyle name="Positive 2 2 13 3 2 8 2" xfId="10310" xr:uid="{00000000-0005-0000-0000-000053280000}"/>
    <cellStyle name="Positive 2 2 13 3 2 9" xfId="10311" xr:uid="{00000000-0005-0000-0000-000054280000}"/>
    <cellStyle name="Positive 2 2 13 3 2 9 2" xfId="10312" xr:uid="{00000000-0005-0000-0000-000055280000}"/>
    <cellStyle name="Positive 2 2 13 3 20" xfId="10313" xr:uid="{00000000-0005-0000-0000-000056280000}"/>
    <cellStyle name="Positive 2 2 13 3 3" xfId="10314" xr:uid="{00000000-0005-0000-0000-000057280000}"/>
    <cellStyle name="Positive 2 2 13 3 3 2" xfId="10315" xr:uid="{00000000-0005-0000-0000-000058280000}"/>
    <cellStyle name="Positive 2 2 13 3 3 2 2" xfId="10316" xr:uid="{00000000-0005-0000-0000-000059280000}"/>
    <cellStyle name="Positive 2 2 13 3 3 3" xfId="10317" xr:uid="{00000000-0005-0000-0000-00005A280000}"/>
    <cellStyle name="Positive 2 2 13 3 4" xfId="10318" xr:uid="{00000000-0005-0000-0000-00005B280000}"/>
    <cellStyle name="Positive 2 2 13 3 4 2" xfId="10319" xr:uid="{00000000-0005-0000-0000-00005C280000}"/>
    <cellStyle name="Positive 2 2 13 3 4 2 2" xfId="10320" xr:uid="{00000000-0005-0000-0000-00005D280000}"/>
    <cellStyle name="Positive 2 2 13 3 4 3" xfId="10321" xr:uid="{00000000-0005-0000-0000-00005E280000}"/>
    <cellStyle name="Positive 2 2 13 3 5" xfId="10322" xr:uid="{00000000-0005-0000-0000-00005F280000}"/>
    <cellStyle name="Positive 2 2 13 3 5 2" xfId="10323" xr:uid="{00000000-0005-0000-0000-000060280000}"/>
    <cellStyle name="Positive 2 2 13 3 6" xfId="10324" xr:uid="{00000000-0005-0000-0000-000061280000}"/>
    <cellStyle name="Positive 2 2 13 3 6 2" xfId="10325" xr:uid="{00000000-0005-0000-0000-000062280000}"/>
    <cellStyle name="Positive 2 2 13 3 7" xfId="10326" xr:uid="{00000000-0005-0000-0000-000063280000}"/>
    <cellStyle name="Positive 2 2 13 3 7 2" xfId="10327" xr:uid="{00000000-0005-0000-0000-000064280000}"/>
    <cellStyle name="Positive 2 2 13 3 8" xfId="10328" xr:uid="{00000000-0005-0000-0000-000065280000}"/>
    <cellStyle name="Positive 2 2 13 3 8 2" xfId="10329" xr:uid="{00000000-0005-0000-0000-000066280000}"/>
    <cellStyle name="Positive 2 2 13 3 9" xfId="10330" xr:uid="{00000000-0005-0000-0000-000067280000}"/>
    <cellStyle name="Positive 2 2 13 3 9 2" xfId="10331" xr:uid="{00000000-0005-0000-0000-000068280000}"/>
    <cellStyle name="Positive 2 2 13 4" xfId="10332" xr:uid="{00000000-0005-0000-0000-000069280000}"/>
    <cellStyle name="Positive 2 2 13 4 10" xfId="10333" xr:uid="{00000000-0005-0000-0000-00006A280000}"/>
    <cellStyle name="Positive 2 2 13 4 10 2" xfId="10334" xr:uid="{00000000-0005-0000-0000-00006B280000}"/>
    <cellStyle name="Positive 2 2 13 4 11" xfId="10335" xr:uid="{00000000-0005-0000-0000-00006C280000}"/>
    <cellStyle name="Positive 2 2 13 4 11 2" xfId="10336" xr:uid="{00000000-0005-0000-0000-00006D280000}"/>
    <cellStyle name="Positive 2 2 13 4 12" xfId="10337" xr:uid="{00000000-0005-0000-0000-00006E280000}"/>
    <cellStyle name="Positive 2 2 13 4 12 2" xfId="10338" xr:uid="{00000000-0005-0000-0000-00006F280000}"/>
    <cellStyle name="Positive 2 2 13 4 13" xfId="10339" xr:uid="{00000000-0005-0000-0000-000070280000}"/>
    <cellStyle name="Positive 2 2 13 4 13 2" xfId="10340" xr:uid="{00000000-0005-0000-0000-000071280000}"/>
    <cellStyle name="Positive 2 2 13 4 14" xfId="10341" xr:uid="{00000000-0005-0000-0000-000072280000}"/>
    <cellStyle name="Positive 2 2 13 4 14 2" xfId="10342" xr:uid="{00000000-0005-0000-0000-000073280000}"/>
    <cellStyle name="Positive 2 2 13 4 15" xfId="10343" xr:uid="{00000000-0005-0000-0000-000074280000}"/>
    <cellStyle name="Positive 2 2 13 4 15 2" xfId="10344" xr:uid="{00000000-0005-0000-0000-000075280000}"/>
    <cellStyle name="Positive 2 2 13 4 16" xfId="10345" xr:uid="{00000000-0005-0000-0000-000076280000}"/>
    <cellStyle name="Positive 2 2 13 4 16 2" xfId="10346" xr:uid="{00000000-0005-0000-0000-000077280000}"/>
    <cellStyle name="Positive 2 2 13 4 17" xfId="10347" xr:uid="{00000000-0005-0000-0000-000078280000}"/>
    <cellStyle name="Positive 2 2 13 4 17 2" xfId="10348" xr:uid="{00000000-0005-0000-0000-000079280000}"/>
    <cellStyle name="Positive 2 2 13 4 18" xfId="10349" xr:uid="{00000000-0005-0000-0000-00007A280000}"/>
    <cellStyle name="Positive 2 2 13 4 18 2" xfId="10350" xr:uid="{00000000-0005-0000-0000-00007B280000}"/>
    <cellStyle name="Positive 2 2 13 4 19" xfId="10351" xr:uid="{00000000-0005-0000-0000-00007C280000}"/>
    <cellStyle name="Positive 2 2 13 4 19 2" xfId="10352" xr:uid="{00000000-0005-0000-0000-00007D280000}"/>
    <cellStyle name="Positive 2 2 13 4 2" xfId="10353" xr:uid="{00000000-0005-0000-0000-00007E280000}"/>
    <cellStyle name="Positive 2 2 13 4 2 10" xfId="10354" xr:uid="{00000000-0005-0000-0000-00007F280000}"/>
    <cellStyle name="Positive 2 2 13 4 2 10 2" xfId="10355" xr:uid="{00000000-0005-0000-0000-000080280000}"/>
    <cellStyle name="Positive 2 2 13 4 2 11" xfId="10356" xr:uid="{00000000-0005-0000-0000-000081280000}"/>
    <cellStyle name="Positive 2 2 13 4 2 11 2" xfId="10357" xr:uid="{00000000-0005-0000-0000-000082280000}"/>
    <cellStyle name="Positive 2 2 13 4 2 12" xfId="10358" xr:uid="{00000000-0005-0000-0000-000083280000}"/>
    <cellStyle name="Positive 2 2 13 4 2 12 2" xfId="10359" xr:uid="{00000000-0005-0000-0000-000084280000}"/>
    <cellStyle name="Positive 2 2 13 4 2 13" xfId="10360" xr:uid="{00000000-0005-0000-0000-000085280000}"/>
    <cellStyle name="Positive 2 2 13 4 2 13 2" xfId="10361" xr:uid="{00000000-0005-0000-0000-000086280000}"/>
    <cellStyle name="Positive 2 2 13 4 2 14" xfId="10362" xr:uid="{00000000-0005-0000-0000-000087280000}"/>
    <cellStyle name="Positive 2 2 13 4 2 14 2" xfId="10363" xr:uid="{00000000-0005-0000-0000-000088280000}"/>
    <cellStyle name="Positive 2 2 13 4 2 15" xfId="10364" xr:uid="{00000000-0005-0000-0000-000089280000}"/>
    <cellStyle name="Positive 2 2 13 4 2 15 2" xfId="10365" xr:uid="{00000000-0005-0000-0000-00008A280000}"/>
    <cellStyle name="Positive 2 2 13 4 2 16" xfId="10366" xr:uid="{00000000-0005-0000-0000-00008B280000}"/>
    <cellStyle name="Positive 2 2 13 4 2 16 2" xfId="10367" xr:uid="{00000000-0005-0000-0000-00008C280000}"/>
    <cellStyle name="Positive 2 2 13 4 2 17" xfId="10368" xr:uid="{00000000-0005-0000-0000-00008D280000}"/>
    <cellStyle name="Positive 2 2 13 4 2 2" xfId="10369" xr:uid="{00000000-0005-0000-0000-00008E280000}"/>
    <cellStyle name="Positive 2 2 13 4 2 2 2" xfId="10370" xr:uid="{00000000-0005-0000-0000-00008F280000}"/>
    <cellStyle name="Positive 2 2 13 4 2 3" xfId="10371" xr:uid="{00000000-0005-0000-0000-000090280000}"/>
    <cellStyle name="Positive 2 2 13 4 2 3 2" xfId="10372" xr:uid="{00000000-0005-0000-0000-000091280000}"/>
    <cellStyle name="Positive 2 2 13 4 2 4" xfId="10373" xr:uid="{00000000-0005-0000-0000-000092280000}"/>
    <cellStyle name="Positive 2 2 13 4 2 4 2" xfId="10374" xr:uid="{00000000-0005-0000-0000-000093280000}"/>
    <cellStyle name="Positive 2 2 13 4 2 5" xfId="10375" xr:uid="{00000000-0005-0000-0000-000094280000}"/>
    <cellStyle name="Positive 2 2 13 4 2 5 2" xfId="10376" xr:uid="{00000000-0005-0000-0000-000095280000}"/>
    <cellStyle name="Positive 2 2 13 4 2 6" xfId="10377" xr:uid="{00000000-0005-0000-0000-000096280000}"/>
    <cellStyle name="Positive 2 2 13 4 2 6 2" xfId="10378" xr:uid="{00000000-0005-0000-0000-000097280000}"/>
    <cellStyle name="Positive 2 2 13 4 2 7" xfId="10379" xr:uid="{00000000-0005-0000-0000-000098280000}"/>
    <cellStyle name="Positive 2 2 13 4 2 7 2" xfId="10380" xr:uid="{00000000-0005-0000-0000-000099280000}"/>
    <cellStyle name="Positive 2 2 13 4 2 8" xfId="10381" xr:uid="{00000000-0005-0000-0000-00009A280000}"/>
    <cellStyle name="Positive 2 2 13 4 2 8 2" xfId="10382" xr:uid="{00000000-0005-0000-0000-00009B280000}"/>
    <cellStyle name="Positive 2 2 13 4 2 9" xfId="10383" xr:uid="{00000000-0005-0000-0000-00009C280000}"/>
    <cellStyle name="Positive 2 2 13 4 2 9 2" xfId="10384" xr:uid="{00000000-0005-0000-0000-00009D280000}"/>
    <cellStyle name="Positive 2 2 13 4 20" xfId="10385" xr:uid="{00000000-0005-0000-0000-00009E280000}"/>
    <cellStyle name="Positive 2 2 13 4 3" xfId="10386" xr:uid="{00000000-0005-0000-0000-00009F280000}"/>
    <cellStyle name="Positive 2 2 13 4 3 2" xfId="10387" xr:uid="{00000000-0005-0000-0000-0000A0280000}"/>
    <cellStyle name="Positive 2 2 13 4 3 2 2" xfId="10388" xr:uid="{00000000-0005-0000-0000-0000A1280000}"/>
    <cellStyle name="Positive 2 2 13 4 3 3" xfId="10389" xr:uid="{00000000-0005-0000-0000-0000A2280000}"/>
    <cellStyle name="Positive 2 2 13 4 4" xfId="10390" xr:uid="{00000000-0005-0000-0000-0000A3280000}"/>
    <cellStyle name="Positive 2 2 13 4 4 2" xfId="10391" xr:uid="{00000000-0005-0000-0000-0000A4280000}"/>
    <cellStyle name="Positive 2 2 13 4 4 2 2" xfId="10392" xr:uid="{00000000-0005-0000-0000-0000A5280000}"/>
    <cellStyle name="Positive 2 2 13 4 4 3" xfId="10393" xr:uid="{00000000-0005-0000-0000-0000A6280000}"/>
    <cellStyle name="Positive 2 2 13 4 5" xfId="10394" xr:uid="{00000000-0005-0000-0000-0000A7280000}"/>
    <cellStyle name="Positive 2 2 13 4 5 2" xfId="10395" xr:uid="{00000000-0005-0000-0000-0000A8280000}"/>
    <cellStyle name="Positive 2 2 13 4 6" xfId="10396" xr:uid="{00000000-0005-0000-0000-0000A9280000}"/>
    <cellStyle name="Positive 2 2 13 4 6 2" xfId="10397" xr:uid="{00000000-0005-0000-0000-0000AA280000}"/>
    <cellStyle name="Positive 2 2 13 4 7" xfId="10398" xr:uid="{00000000-0005-0000-0000-0000AB280000}"/>
    <cellStyle name="Positive 2 2 13 4 7 2" xfId="10399" xr:uid="{00000000-0005-0000-0000-0000AC280000}"/>
    <cellStyle name="Positive 2 2 13 4 8" xfId="10400" xr:uid="{00000000-0005-0000-0000-0000AD280000}"/>
    <cellStyle name="Positive 2 2 13 4 8 2" xfId="10401" xr:uid="{00000000-0005-0000-0000-0000AE280000}"/>
    <cellStyle name="Positive 2 2 13 4 9" xfId="10402" xr:uid="{00000000-0005-0000-0000-0000AF280000}"/>
    <cellStyle name="Positive 2 2 13 4 9 2" xfId="10403" xr:uid="{00000000-0005-0000-0000-0000B0280000}"/>
    <cellStyle name="Positive 2 2 13 5" xfId="10404" xr:uid="{00000000-0005-0000-0000-0000B1280000}"/>
    <cellStyle name="Positive 2 2 13 5 10" xfId="10405" xr:uid="{00000000-0005-0000-0000-0000B2280000}"/>
    <cellStyle name="Positive 2 2 13 5 10 2" xfId="10406" xr:uid="{00000000-0005-0000-0000-0000B3280000}"/>
    <cellStyle name="Positive 2 2 13 5 11" xfId="10407" xr:uid="{00000000-0005-0000-0000-0000B4280000}"/>
    <cellStyle name="Positive 2 2 13 5 11 2" xfId="10408" xr:uid="{00000000-0005-0000-0000-0000B5280000}"/>
    <cellStyle name="Positive 2 2 13 5 12" xfId="10409" xr:uid="{00000000-0005-0000-0000-0000B6280000}"/>
    <cellStyle name="Positive 2 2 13 5 12 2" xfId="10410" xr:uid="{00000000-0005-0000-0000-0000B7280000}"/>
    <cellStyle name="Positive 2 2 13 5 13" xfId="10411" xr:uid="{00000000-0005-0000-0000-0000B8280000}"/>
    <cellStyle name="Positive 2 2 13 5 13 2" xfId="10412" xr:uid="{00000000-0005-0000-0000-0000B9280000}"/>
    <cellStyle name="Positive 2 2 13 5 14" xfId="10413" xr:uid="{00000000-0005-0000-0000-0000BA280000}"/>
    <cellStyle name="Positive 2 2 13 5 14 2" xfId="10414" xr:uid="{00000000-0005-0000-0000-0000BB280000}"/>
    <cellStyle name="Positive 2 2 13 5 15" xfId="10415" xr:uid="{00000000-0005-0000-0000-0000BC280000}"/>
    <cellStyle name="Positive 2 2 13 5 15 2" xfId="10416" xr:uid="{00000000-0005-0000-0000-0000BD280000}"/>
    <cellStyle name="Positive 2 2 13 5 16" xfId="10417" xr:uid="{00000000-0005-0000-0000-0000BE280000}"/>
    <cellStyle name="Positive 2 2 13 5 16 2" xfId="10418" xr:uid="{00000000-0005-0000-0000-0000BF280000}"/>
    <cellStyle name="Positive 2 2 13 5 17" xfId="10419" xr:uid="{00000000-0005-0000-0000-0000C0280000}"/>
    <cellStyle name="Positive 2 2 13 5 2" xfId="10420" xr:uid="{00000000-0005-0000-0000-0000C1280000}"/>
    <cellStyle name="Positive 2 2 13 5 2 2" xfId="10421" xr:uid="{00000000-0005-0000-0000-0000C2280000}"/>
    <cellStyle name="Positive 2 2 13 5 3" xfId="10422" xr:uid="{00000000-0005-0000-0000-0000C3280000}"/>
    <cellStyle name="Positive 2 2 13 5 3 2" xfId="10423" xr:uid="{00000000-0005-0000-0000-0000C4280000}"/>
    <cellStyle name="Positive 2 2 13 5 4" xfId="10424" xr:uid="{00000000-0005-0000-0000-0000C5280000}"/>
    <cellStyle name="Positive 2 2 13 5 4 2" xfId="10425" xr:uid="{00000000-0005-0000-0000-0000C6280000}"/>
    <cellStyle name="Positive 2 2 13 5 5" xfId="10426" xr:uid="{00000000-0005-0000-0000-0000C7280000}"/>
    <cellStyle name="Positive 2 2 13 5 5 2" xfId="10427" xr:uid="{00000000-0005-0000-0000-0000C8280000}"/>
    <cellStyle name="Positive 2 2 13 5 6" xfId="10428" xr:uid="{00000000-0005-0000-0000-0000C9280000}"/>
    <cellStyle name="Positive 2 2 13 5 6 2" xfId="10429" xr:uid="{00000000-0005-0000-0000-0000CA280000}"/>
    <cellStyle name="Positive 2 2 13 5 7" xfId="10430" xr:uid="{00000000-0005-0000-0000-0000CB280000}"/>
    <cellStyle name="Positive 2 2 13 5 7 2" xfId="10431" xr:uid="{00000000-0005-0000-0000-0000CC280000}"/>
    <cellStyle name="Positive 2 2 13 5 8" xfId="10432" xr:uid="{00000000-0005-0000-0000-0000CD280000}"/>
    <cellStyle name="Positive 2 2 13 5 8 2" xfId="10433" xr:uid="{00000000-0005-0000-0000-0000CE280000}"/>
    <cellStyle name="Positive 2 2 13 5 9" xfId="10434" xr:uid="{00000000-0005-0000-0000-0000CF280000}"/>
    <cellStyle name="Positive 2 2 13 5 9 2" xfId="10435" xr:uid="{00000000-0005-0000-0000-0000D0280000}"/>
    <cellStyle name="Positive 2 2 13 6" xfId="10436" xr:uid="{00000000-0005-0000-0000-0000D1280000}"/>
    <cellStyle name="Positive 2 2 13 6 2" xfId="10437" xr:uid="{00000000-0005-0000-0000-0000D2280000}"/>
    <cellStyle name="Positive 2 2 13 6 2 2" xfId="10438" xr:uid="{00000000-0005-0000-0000-0000D3280000}"/>
    <cellStyle name="Positive 2 2 13 6 3" xfId="10439" xr:uid="{00000000-0005-0000-0000-0000D4280000}"/>
    <cellStyle name="Positive 2 2 13 7" xfId="10440" xr:uid="{00000000-0005-0000-0000-0000D5280000}"/>
    <cellStyle name="Positive 2 2 13 7 2" xfId="10441" xr:uid="{00000000-0005-0000-0000-0000D6280000}"/>
    <cellStyle name="Positive 2 2 13 7 2 2" xfId="10442" xr:uid="{00000000-0005-0000-0000-0000D7280000}"/>
    <cellStyle name="Positive 2 2 13 7 3" xfId="10443" xr:uid="{00000000-0005-0000-0000-0000D8280000}"/>
    <cellStyle name="Positive 2 2 13 8" xfId="10444" xr:uid="{00000000-0005-0000-0000-0000D9280000}"/>
    <cellStyle name="Positive 2 2 13 8 2" xfId="10445" xr:uid="{00000000-0005-0000-0000-0000DA280000}"/>
    <cellStyle name="Positive 2 2 13 9" xfId="10446" xr:uid="{00000000-0005-0000-0000-0000DB280000}"/>
    <cellStyle name="Positive 2 2 13 9 2" xfId="10447" xr:uid="{00000000-0005-0000-0000-0000DC280000}"/>
    <cellStyle name="Positive 2 2 14" xfId="10448" xr:uid="{00000000-0005-0000-0000-0000DD280000}"/>
    <cellStyle name="Positive 2 2 14 10" xfId="10449" xr:uid="{00000000-0005-0000-0000-0000DE280000}"/>
    <cellStyle name="Positive 2 2 14 10 2" xfId="10450" xr:uid="{00000000-0005-0000-0000-0000DF280000}"/>
    <cellStyle name="Positive 2 2 14 11" xfId="10451" xr:uid="{00000000-0005-0000-0000-0000E0280000}"/>
    <cellStyle name="Positive 2 2 14 11 2" xfId="10452" xr:uid="{00000000-0005-0000-0000-0000E1280000}"/>
    <cellStyle name="Positive 2 2 14 12" xfId="10453" xr:uid="{00000000-0005-0000-0000-0000E2280000}"/>
    <cellStyle name="Positive 2 2 14 12 2" xfId="10454" xr:uid="{00000000-0005-0000-0000-0000E3280000}"/>
    <cellStyle name="Positive 2 2 14 13" xfId="10455" xr:uid="{00000000-0005-0000-0000-0000E4280000}"/>
    <cellStyle name="Positive 2 2 14 13 2" xfId="10456" xr:uid="{00000000-0005-0000-0000-0000E5280000}"/>
    <cellStyle name="Positive 2 2 14 14" xfId="10457" xr:uid="{00000000-0005-0000-0000-0000E6280000}"/>
    <cellStyle name="Positive 2 2 14 14 2" xfId="10458" xr:uid="{00000000-0005-0000-0000-0000E7280000}"/>
    <cellStyle name="Positive 2 2 14 15" xfId="10459" xr:uid="{00000000-0005-0000-0000-0000E8280000}"/>
    <cellStyle name="Positive 2 2 14 15 2" xfId="10460" xr:uid="{00000000-0005-0000-0000-0000E9280000}"/>
    <cellStyle name="Positive 2 2 14 16" xfId="10461" xr:uid="{00000000-0005-0000-0000-0000EA280000}"/>
    <cellStyle name="Positive 2 2 14 16 2" xfId="10462" xr:uid="{00000000-0005-0000-0000-0000EB280000}"/>
    <cellStyle name="Positive 2 2 14 17" xfId="10463" xr:uid="{00000000-0005-0000-0000-0000EC280000}"/>
    <cellStyle name="Positive 2 2 14 17 2" xfId="10464" xr:uid="{00000000-0005-0000-0000-0000ED280000}"/>
    <cellStyle name="Positive 2 2 14 18" xfId="10465" xr:uid="{00000000-0005-0000-0000-0000EE280000}"/>
    <cellStyle name="Positive 2 2 14 18 2" xfId="10466" xr:uid="{00000000-0005-0000-0000-0000EF280000}"/>
    <cellStyle name="Positive 2 2 14 19" xfId="10467" xr:uid="{00000000-0005-0000-0000-0000F0280000}"/>
    <cellStyle name="Positive 2 2 14 19 2" xfId="10468" xr:uid="{00000000-0005-0000-0000-0000F1280000}"/>
    <cellStyle name="Positive 2 2 14 2" xfId="10469" xr:uid="{00000000-0005-0000-0000-0000F2280000}"/>
    <cellStyle name="Positive 2 2 14 2 10" xfId="10470" xr:uid="{00000000-0005-0000-0000-0000F3280000}"/>
    <cellStyle name="Positive 2 2 14 2 10 2" xfId="10471" xr:uid="{00000000-0005-0000-0000-0000F4280000}"/>
    <cellStyle name="Positive 2 2 14 2 11" xfId="10472" xr:uid="{00000000-0005-0000-0000-0000F5280000}"/>
    <cellStyle name="Positive 2 2 14 2 11 2" xfId="10473" xr:uid="{00000000-0005-0000-0000-0000F6280000}"/>
    <cellStyle name="Positive 2 2 14 2 12" xfId="10474" xr:uid="{00000000-0005-0000-0000-0000F7280000}"/>
    <cellStyle name="Positive 2 2 14 2 12 2" xfId="10475" xr:uid="{00000000-0005-0000-0000-0000F8280000}"/>
    <cellStyle name="Positive 2 2 14 2 13" xfId="10476" xr:uid="{00000000-0005-0000-0000-0000F9280000}"/>
    <cellStyle name="Positive 2 2 14 2 13 2" xfId="10477" xr:uid="{00000000-0005-0000-0000-0000FA280000}"/>
    <cellStyle name="Positive 2 2 14 2 14" xfId="10478" xr:uid="{00000000-0005-0000-0000-0000FB280000}"/>
    <cellStyle name="Positive 2 2 14 2 14 2" xfId="10479" xr:uid="{00000000-0005-0000-0000-0000FC280000}"/>
    <cellStyle name="Positive 2 2 14 2 15" xfId="10480" xr:uid="{00000000-0005-0000-0000-0000FD280000}"/>
    <cellStyle name="Positive 2 2 14 2 15 2" xfId="10481" xr:uid="{00000000-0005-0000-0000-0000FE280000}"/>
    <cellStyle name="Positive 2 2 14 2 16" xfId="10482" xr:uid="{00000000-0005-0000-0000-0000FF280000}"/>
    <cellStyle name="Positive 2 2 14 2 16 2" xfId="10483" xr:uid="{00000000-0005-0000-0000-000000290000}"/>
    <cellStyle name="Positive 2 2 14 2 17" xfId="10484" xr:uid="{00000000-0005-0000-0000-000001290000}"/>
    <cellStyle name="Positive 2 2 14 2 17 2" xfId="10485" xr:uid="{00000000-0005-0000-0000-000002290000}"/>
    <cellStyle name="Positive 2 2 14 2 18" xfId="10486" xr:uid="{00000000-0005-0000-0000-000003290000}"/>
    <cellStyle name="Positive 2 2 14 2 18 2" xfId="10487" xr:uid="{00000000-0005-0000-0000-000004290000}"/>
    <cellStyle name="Positive 2 2 14 2 19" xfId="10488" xr:uid="{00000000-0005-0000-0000-000005290000}"/>
    <cellStyle name="Positive 2 2 14 2 19 2" xfId="10489" xr:uid="{00000000-0005-0000-0000-000006290000}"/>
    <cellStyle name="Positive 2 2 14 2 2" xfId="10490" xr:uid="{00000000-0005-0000-0000-000007290000}"/>
    <cellStyle name="Positive 2 2 14 2 2 10" xfId="10491" xr:uid="{00000000-0005-0000-0000-000008290000}"/>
    <cellStyle name="Positive 2 2 14 2 2 10 2" xfId="10492" xr:uid="{00000000-0005-0000-0000-000009290000}"/>
    <cellStyle name="Positive 2 2 14 2 2 11" xfId="10493" xr:uid="{00000000-0005-0000-0000-00000A290000}"/>
    <cellStyle name="Positive 2 2 14 2 2 11 2" xfId="10494" xr:uid="{00000000-0005-0000-0000-00000B290000}"/>
    <cellStyle name="Positive 2 2 14 2 2 12" xfId="10495" xr:uid="{00000000-0005-0000-0000-00000C290000}"/>
    <cellStyle name="Positive 2 2 14 2 2 12 2" xfId="10496" xr:uid="{00000000-0005-0000-0000-00000D290000}"/>
    <cellStyle name="Positive 2 2 14 2 2 13" xfId="10497" xr:uid="{00000000-0005-0000-0000-00000E290000}"/>
    <cellStyle name="Positive 2 2 14 2 2 13 2" xfId="10498" xr:uid="{00000000-0005-0000-0000-00000F290000}"/>
    <cellStyle name="Positive 2 2 14 2 2 14" xfId="10499" xr:uid="{00000000-0005-0000-0000-000010290000}"/>
    <cellStyle name="Positive 2 2 14 2 2 14 2" xfId="10500" xr:uid="{00000000-0005-0000-0000-000011290000}"/>
    <cellStyle name="Positive 2 2 14 2 2 15" xfId="10501" xr:uid="{00000000-0005-0000-0000-000012290000}"/>
    <cellStyle name="Positive 2 2 14 2 2 15 2" xfId="10502" xr:uid="{00000000-0005-0000-0000-000013290000}"/>
    <cellStyle name="Positive 2 2 14 2 2 16" xfId="10503" xr:uid="{00000000-0005-0000-0000-000014290000}"/>
    <cellStyle name="Positive 2 2 14 2 2 16 2" xfId="10504" xr:uid="{00000000-0005-0000-0000-000015290000}"/>
    <cellStyle name="Positive 2 2 14 2 2 17" xfId="10505" xr:uid="{00000000-0005-0000-0000-000016290000}"/>
    <cellStyle name="Positive 2 2 14 2 2 2" xfId="10506" xr:uid="{00000000-0005-0000-0000-000017290000}"/>
    <cellStyle name="Positive 2 2 14 2 2 2 2" xfId="10507" xr:uid="{00000000-0005-0000-0000-000018290000}"/>
    <cellStyle name="Positive 2 2 14 2 2 3" xfId="10508" xr:uid="{00000000-0005-0000-0000-000019290000}"/>
    <cellStyle name="Positive 2 2 14 2 2 3 2" xfId="10509" xr:uid="{00000000-0005-0000-0000-00001A290000}"/>
    <cellStyle name="Positive 2 2 14 2 2 4" xfId="10510" xr:uid="{00000000-0005-0000-0000-00001B290000}"/>
    <cellStyle name="Positive 2 2 14 2 2 4 2" xfId="10511" xr:uid="{00000000-0005-0000-0000-00001C290000}"/>
    <cellStyle name="Positive 2 2 14 2 2 5" xfId="10512" xr:uid="{00000000-0005-0000-0000-00001D290000}"/>
    <cellStyle name="Positive 2 2 14 2 2 5 2" xfId="10513" xr:uid="{00000000-0005-0000-0000-00001E290000}"/>
    <cellStyle name="Positive 2 2 14 2 2 6" xfId="10514" xr:uid="{00000000-0005-0000-0000-00001F290000}"/>
    <cellStyle name="Positive 2 2 14 2 2 6 2" xfId="10515" xr:uid="{00000000-0005-0000-0000-000020290000}"/>
    <cellStyle name="Positive 2 2 14 2 2 7" xfId="10516" xr:uid="{00000000-0005-0000-0000-000021290000}"/>
    <cellStyle name="Positive 2 2 14 2 2 7 2" xfId="10517" xr:uid="{00000000-0005-0000-0000-000022290000}"/>
    <cellStyle name="Positive 2 2 14 2 2 8" xfId="10518" xr:uid="{00000000-0005-0000-0000-000023290000}"/>
    <cellStyle name="Positive 2 2 14 2 2 8 2" xfId="10519" xr:uid="{00000000-0005-0000-0000-000024290000}"/>
    <cellStyle name="Positive 2 2 14 2 2 9" xfId="10520" xr:uid="{00000000-0005-0000-0000-000025290000}"/>
    <cellStyle name="Positive 2 2 14 2 2 9 2" xfId="10521" xr:uid="{00000000-0005-0000-0000-000026290000}"/>
    <cellStyle name="Positive 2 2 14 2 20" xfId="10522" xr:uid="{00000000-0005-0000-0000-000027290000}"/>
    <cellStyle name="Positive 2 2 14 2 3" xfId="10523" xr:uid="{00000000-0005-0000-0000-000028290000}"/>
    <cellStyle name="Positive 2 2 14 2 3 2" xfId="10524" xr:uid="{00000000-0005-0000-0000-000029290000}"/>
    <cellStyle name="Positive 2 2 14 2 3 2 2" xfId="10525" xr:uid="{00000000-0005-0000-0000-00002A290000}"/>
    <cellStyle name="Positive 2 2 14 2 3 3" xfId="10526" xr:uid="{00000000-0005-0000-0000-00002B290000}"/>
    <cellStyle name="Positive 2 2 14 2 4" xfId="10527" xr:uid="{00000000-0005-0000-0000-00002C290000}"/>
    <cellStyle name="Positive 2 2 14 2 4 2" xfId="10528" xr:uid="{00000000-0005-0000-0000-00002D290000}"/>
    <cellStyle name="Positive 2 2 14 2 4 2 2" xfId="10529" xr:uid="{00000000-0005-0000-0000-00002E290000}"/>
    <cellStyle name="Positive 2 2 14 2 4 3" xfId="10530" xr:uid="{00000000-0005-0000-0000-00002F290000}"/>
    <cellStyle name="Positive 2 2 14 2 5" xfId="10531" xr:uid="{00000000-0005-0000-0000-000030290000}"/>
    <cellStyle name="Positive 2 2 14 2 5 2" xfId="10532" xr:uid="{00000000-0005-0000-0000-000031290000}"/>
    <cellStyle name="Positive 2 2 14 2 6" xfId="10533" xr:uid="{00000000-0005-0000-0000-000032290000}"/>
    <cellStyle name="Positive 2 2 14 2 6 2" xfId="10534" xr:uid="{00000000-0005-0000-0000-000033290000}"/>
    <cellStyle name="Positive 2 2 14 2 7" xfId="10535" xr:uid="{00000000-0005-0000-0000-000034290000}"/>
    <cellStyle name="Positive 2 2 14 2 7 2" xfId="10536" xr:uid="{00000000-0005-0000-0000-000035290000}"/>
    <cellStyle name="Positive 2 2 14 2 8" xfId="10537" xr:uid="{00000000-0005-0000-0000-000036290000}"/>
    <cellStyle name="Positive 2 2 14 2 8 2" xfId="10538" xr:uid="{00000000-0005-0000-0000-000037290000}"/>
    <cellStyle name="Positive 2 2 14 2 9" xfId="10539" xr:uid="{00000000-0005-0000-0000-000038290000}"/>
    <cellStyle name="Positive 2 2 14 2 9 2" xfId="10540" xr:uid="{00000000-0005-0000-0000-000039290000}"/>
    <cellStyle name="Positive 2 2 14 20" xfId="10541" xr:uid="{00000000-0005-0000-0000-00003A290000}"/>
    <cellStyle name="Positive 2 2 14 20 2" xfId="10542" xr:uid="{00000000-0005-0000-0000-00003B290000}"/>
    <cellStyle name="Positive 2 2 14 21" xfId="10543" xr:uid="{00000000-0005-0000-0000-00003C290000}"/>
    <cellStyle name="Positive 2 2 14 21 2" xfId="10544" xr:uid="{00000000-0005-0000-0000-00003D290000}"/>
    <cellStyle name="Positive 2 2 14 22" xfId="10545" xr:uid="{00000000-0005-0000-0000-00003E290000}"/>
    <cellStyle name="Positive 2 2 14 22 2" xfId="10546" xr:uid="{00000000-0005-0000-0000-00003F290000}"/>
    <cellStyle name="Positive 2 2 14 23" xfId="10547" xr:uid="{00000000-0005-0000-0000-000040290000}"/>
    <cellStyle name="Positive 2 2 14 3" xfId="10548" xr:uid="{00000000-0005-0000-0000-000041290000}"/>
    <cellStyle name="Positive 2 2 14 3 10" xfId="10549" xr:uid="{00000000-0005-0000-0000-000042290000}"/>
    <cellStyle name="Positive 2 2 14 3 10 2" xfId="10550" xr:uid="{00000000-0005-0000-0000-000043290000}"/>
    <cellStyle name="Positive 2 2 14 3 11" xfId="10551" xr:uid="{00000000-0005-0000-0000-000044290000}"/>
    <cellStyle name="Positive 2 2 14 3 11 2" xfId="10552" xr:uid="{00000000-0005-0000-0000-000045290000}"/>
    <cellStyle name="Positive 2 2 14 3 12" xfId="10553" xr:uid="{00000000-0005-0000-0000-000046290000}"/>
    <cellStyle name="Positive 2 2 14 3 12 2" xfId="10554" xr:uid="{00000000-0005-0000-0000-000047290000}"/>
    <cellStyle name="Positive 2 2 14 3 13" xfId="10555" xr:uid="{00000000-0005-0000-0000-000048290000}"/>
    <cellStyle name="Positive 2 2 14 3 13 2" xfId="10556" xr:uid="{00000000-0005-0000-0000-000049290000}"/>
    <cellStyle name="Positive 2 2 14 3 14" xfId="10557" xr:uid="{00000000-0005-0000-0000-00004A290000}"/>
    <cellStyle name="Positive 2 2 14 3 14 2" xfId="10558" xr:uid="{00000000-0005-0000-0000-00004B290000}"/>
    <cellStyle name="Positive 2 2 14 3 15" xfId="10559" xr:uid="{00000000-0005-0000-0000-00004C290000}"/>
    <cellStyle name="Positive 2 2 14 3 15 2" xfId="10560" xr:uid="{00000000-0005-0000-0000-00004D290000}"/>
    <cellStyle name="Positive 2 2 14 3 16" xfId="10561" xr:uid="{00000000-0005-0000-0000-00004E290000}"/>
    <cellStyle name="Positive 2 2 14 3 16 2" xfId="10562" xr:uid="{00000000-0005-0000-0000-00004F290000}"/>
    <cellStyle name="Positive 2 2 14 3 17" xfId="10563" xr:uid="{00000000-0005-0000-0000-000050290000}"/>
    <cellStyle name="Positive 2 2 14 3 17 2" xfId="10564" xr:uid="{00000000-0005-0000-0000-000051290000}"/>
    <cellStyle name="Positive 2 2 14 3 18" xfId="10565" xr:uid="{00000000-0005-0000-0000-000052290000}"/>
    <cellStyle name="Positive 2 2 14 3 18 2" xfId="10566" xr:uid="{00000000-0005-0000-0000-000053290000}"/>
    <cellStyle name="Positive 2 2 14 3 19" xfId="10567" xr:uid="{00000000-0005-0000-0000-000054290000}"/>
    <cellStyle name="Positive 2 2 14 3 19 2" xfId="10568" xr:uid="{00000000-0005-0000-0000-000055290000}"/>
    <cellStyle name="Positive 2 2 14 3 2" xfId="10569" xr:uid="{00000000-0005-0000-0000-000056290000}"/>
    <cellStyle name="Positive 2 2 14 3 2 10" xfId="10570" xr:uid="{00000000-0005-0000-0000-000057290000}"/>
    <cellStyle name="Positive 2 2 14 3 2 10 2" xfId="10571" xr:uid="{00000000-0005-0000-0000-000058290000}"/>
    <cellStyle name="Positive 2 2 14 3 2 11" xfId="10572" xr:uid="{00000000-0005-0000-0000-000059290000}"/>
    <cellStyle name="Positive 2 2 14 3 2 11 2" xfId="10573" xr:uid="{00000000-0005-0000-0000-00005A290000}"/>
    <cellStyle name="Positive 2 2 14 3 2 12" xfId="10574" xr:uid="{00000000-0005-0000-0000-00005B290000}"/>
    <cellStyle name="Positive 2 2 14 3 2 12 2" xfId="10575" xr:uid="{00000000-0005-0000-0000-00005C290000}"/>
    <cellStyle name="Positive 2 2 14 3 2 13" xfId="10576" xr:uid="{00000000-0005-0000-0000-00005D290000}"/>
    <cellStyle name="Positive 2 2 14 3 2 13 2" xfId="10577" xr:uid="{00000000-0005-0000-0000-00005E290000}"/>
    <cellStyle name="Positive 2 2 14 3 2 14" xfId="10578" xr:uid="{00000000-0005-0000-0000-00005F290000}"/>
    <cellStyle name="Positive 2 2 14 3 2 14 2" xfId="10579" xr:uid="{00000000-0005-0000-0000-000060290000}"/>
    <cellStyle name="Positive 2 2 14 3 2 15" xfId="10580" xr:uid="{00000000-0005-0000-0000-000061290000}"/>
    <cellStyle name="Positive 2 2 14 3 2 15 2" xfId="10581" xr:uid="{00000000-0005-0000-0000-000062290000}"/>
    <cellStyle name="Positive 2 2 14 3 2 16" xfId="10582" xr:uid="{00000000-0005-0000-0000-000063290000}"/>
    <cellStyle name="Positive 2 2 14 3 2 16 2" xfId="10583" xr:uid="{00000000-0005-0000-0000-000064290000}"/>
    <cellStyle name="Positive 2 2 14 3 2 17" xfId="10584" xr:uid="{00000000-0005-0000-0000-000065290000}"/>
    <cellStyle name="Positive 2 2 14 3 2 2" xfId="10585" xr:uid="{00000000-0005-0000-0000-000066290000}"/>
    <cellStyle name="Positive 2 2 14 3 2 2 2" xfId="10586" xr:uid="{00000000-0005-0000-0000-000067290000}"/>
    <cellStyle name="Positive 2 2 14 3 2 3" xfId="10587" xr:uid="{00000000-0005-0000-0000-000068290000}"/>
    <cellStyle name="Positive 2 2 14 3 2 3 2" xfId="10588" xr:uid="{00000000-0005-0000-0000-000069290000}"/>
    <cellStyle name="Positive 2 2 14 3 2 4" xfId="10589" xr:uid="{00000000-0005-0000-0000-00006A290000}"/>
    <cellStyle name="Positive 2 2 14 3 2 4 2" xfId="10590" xr:uid="{00000000-0005-0000-0000-00006B290000}"/>
    <cellStyle name="Positive 2 2 14 3 2 5" xfId="10591" xr:uid="{00000000-0005-0000-0000-00006C290000}"/>
    <cellStyle name="Positive 2 2 14 3 2 5 2" xfId="10592" xr:uid="{00000000-0005-0000-0000-00006D290000}"/>
    <cellStyle name="Positive 2 2 14 3 2 6" xfId="10593" xr:uid="{00000000-0005-0000-0000-00006E290000}"/>
    <cellStyle name="Positive 2 2 14 3 2 6 2" xfId="10594" xr:uid="{00000000-0005-0000-0000-00006F290000}"/>
    <cellStyle name="Positive 2 2 14 3 2 7" xfId="10595" xr:uid="{00000000-0005-0000-0000-000070290000}"/>
    <cellStyle name="Positive 2 2 14 3 2 7 2" xfId="10596" xr:uid="{00000000-0005-0000-0000-000071290000}"/>
    <cellStyle name="Positive 2 2 14 3 2 8" xfId="10597" xr:uid="{00000000-0005-0000-0000-000072290000}"/>
    <cellStyle name="Positive 2 2 14 3 2 8 2" xfId="10598" xr:uid="{00000000-0005-0000-0000-000073290000}"/>
    <cellStyle name="Positive 2 2 14 3 2 9" xfId="10599" xr:uid="{00000000-0005-0000-0000-000074290000}"/>
    <cellStyle name="Positive 2 2 14 3 2 9 2" xfId="10600" xr:uid="{00000000-0005-0000-0000-000075290000}"/>
    <cellStyle name="Positive 2 2 14 3 20" xfId="10601" xr:uid="{00000000-0005-0000-0000-000076290000}"/>
    <cellStyle name="Positive 2 2 14 3 3" xfId="10602" xr:uid="{00000000-0005-0000-0000-000077290000}"/>
    <cellStyle name="Positive 2 2 14 3 3 2" xfId="10603" xr:uid="{00000000-0005-0000-0000-000078290000}"/>
    <cellStyle name="Positive 2 2 14 3 3 2 2" xfId="10604" xr:uid="{00000000-0005-0000-0000-000079290000}"/>
    <cellStyle name="Positive 2 2 14 3 3 3" xfId="10605" xr:uid="{00000000-0005-0000-0000-00007A290000}"/>
    <cellStyle name="Positive 2 2 14 3 4" xfId="10606" xr:uid="{00000000-0005-0000-0000-00007B290000}"/>
    <cellStyle name="Positive 2 2 14 3 4 2" xfId="10607" xr:uid="{00000000-0005-0000-0000-00007C290000}"/>
    <cellStyle name="Positive 2 2 14 3 4 2 2" xfId="10608" xr:uid="{00000000-0005-0000-0000-00007D290000}"/>
    <cellStyle name="Positive 2 2 14 3 4 3" xfId="10609" xr:uid="{00000000-0005-0000-0000-00007E290000}"/>
    <cellStyle name="Positive 2 2 14 3 5" xfId="10610" xr:uid="{00000000-0005-0000-0000-00007F290000}"/>
    <cellStyle name="Positive 2 2 14 3 5 2" xfId="10611" xr:uid="{00000000-0005-0000-0000-000080290000}"/>
    <cellStyle name="Positive 2 2 14 3 6" xfId="10612" xr:uid="{00000000-0005-0000-0000-000081290000}"/>
    <cellStyle name="Positive 2 2 14 3 6 2" xfId="10613" xr:uid="{00000000-0005-0000-0000-000082290000}"/>
    <cellStyle name="Positive 2 2 14 3 7" xfId="10614" xr:uid="{00000000-0005-0000-0000-000083290000}"/>
    <cellStyle name="Positive 2 2 14 3 7 2" xfId="10615" xr:uid="{00000000-0005-0000-0000-000084290000}"/>
    <cellStyle name="Positive 2 2 14 3 8" xfId="10616" xr:uid="{00000000-0005-0000-0000-000085290000}"/>
    <cellStyle name="Positive 2 2 14 3 8 2" xfId="10617" xr:uid="{00000000-0005-0000-0000-000086290000}"/>
    <cellStyle name="Positive 2 2 14 3 9" xfId="10618" xr:uid="{00000000-0005-0000-0000-000087290000}"/>
    <cellStyle name="Positive 2 2 14 3 9 2" xfId="10619" xr:uid="{00000000-0005-0000-0000-000088290000}"/>
    <cellStyle name="Positive 2 2 14 4" xfId="10620" xr:uid="{00000000-0005-0000-0000-000089290000}"/>
    <cellStyle name="Positive 2 2 14 4 10" xfId="10621" xr:uid="{00000000-0005-0000-0000-00008A290000}"/>
    <cellStyle name="Positive 2 2 14 4 10 2" xfId="10622" xr:uid="{00000000-0005-0000-0000-00008B290000}"/>
    <cellStyle name="Positive 2 2 14 4 11" xfId="10623" xr:uid="{00000000-0005-0000-0000-00008C290000}"/>
    <cellStyle name="Positive 2 2 14 4 11 2" xfId="10624" xr:uid="{00000000-0005-0000-0000-00008D290000}"/>
    <cellStyle name="Positive 2 2 14 4 12" xfId="10625" xr:uid="{00000000-0005-0000-0000-00008E290000}"/>
    <cellStyle name="Positive 2 2 14 4 12 2" xfId="10626" xr:uid="{00000000-0005-0000-0000-00008F290000}"/>
    <cellStyle name="Positive 2 2 14 4 13" xfId="10627" xr:uid="{00000000-0005-0000-0000-000090290000}"/>
    <cellStyle name="Positive 2 2 14 4 13 2" xfId="10628" xr:uid="{00000000-0005-0000-0000-000091290000}"/>
    <cellStyle name="Positive 2 2 14 4 14" xfId="10629" xr:uid="{00000000-0005-0000-0000-000092290000}"/>
    <cellStyle name="Positive 2 2 14 4 14 2" xfId="10630" xr:uid="{00000000-0005-0000-0000-000093290000}"/>
    <cellStyle name="Positive 2 2 14 4 15" xfId="10631" xr:uid="{00000000-0005-0000-0000-000094290000}"/>
    <cellStyle name="Positive 2 2 14 4 15 2" xfId="10632" xr:uid="{00000000-0005-0000-0000-000095290000}"/>
    <cellStyle name="Positive 2 2 14 4 16" xfId="10633" xr:uid="{00000000-0005-0000-0000-000096290000}"/>
    <cellStyle name="Positive 2 2 14 4 16 2" xfId="10634" xr:uid="{00000000-0005-0000-0000-000097290000}"/>
    <cellStyle name="Positive 2 2 14 4 17" xfId="10635" xr:uid="{00000000-0005-0000-0000-000098290000}"/>
    <cellStyle name="Positive 2 2 14 4 17 2" xfId="10636" xr:uid="{00000000-0005-0000-0000-000099290000}"/>
    <cellStyle name="Positive 2 2 14 4 18" xfId="10637" xr:uid="{00000000-0005-0000-0000-00009A290000}"/>
    <cellStyle name="Positive 2 2 14 4 18 2" xfId="10638" xr:uid="{00000000-0005-0000-0000-00009B290000}"/>
    <cellStyle name="Positive 2 2 14 4 19" xfId="10639" xr:uid="{00000000-0005-0000-0000-00009C290000}"/>
    <cellStyle name="Positive 2 2 14 4 19 2" xfId="10640" xr:uid="{00000000-0005-0000-0000-00009D290000}"/>
    <cellStyle name="Positive 2 2 14 4 2" xfId="10641" xr:uid="{00000000-0005-0000-0000-00009E290000}"/>
    <cellStyle name="Positive 2 2 14 4 2 10" xfId="10642" xr:uid="{00000000-0005-0000-0000-00009F290000}"/>
    <cellStyle name="Positive 2 2 14 4 2 10 2" xfId="10643" xr:uid="{00000000-0005-0000-0000-0000A0290000}"/>
    <cellStyle name="Positive 2 2 14 4 2 11" xfId="10644" xr:uid="{00000000-0005-0000-0000-0000A1290000}"/>
    <cellStyle name="Positive 2 2 14 4 2 11 2" xfId="10645" xr:uid="{00000000-0005-0000-0000-0000A2290000}"/>
    <cellStyle name="Positive 2 2 14 4 2 12" xfId="10646" xr:uid="{00000000-0005-0000-0000-0000A3290000}"/>
    <cellStyle name="Positive 2 2 14 4 2 12 2" xfId="10647" xr:uid="{00000000-0005-0000-0000-0000A4290000}"/>
    <cellStyle name="Positive 2 2 14 4 2 13" xfId="10648" xr:uid="{00000000-0005-0000-0000-0000A5290000}"/>
    <cellStyle name="Positive 2 2 14 4 2 13 2" xfId="10649" xr:uid="{00000000-0005-0000-0000-0000A6290000}"/>
    <cellStyle name="Positive 2 2 14 4 2 14" xfId="10650" xr:uid="{00000000-0005-0000-0000-0000A7290000}"/>
    <cellStyle name="Positive 2 2 14 4 2 14 2" xfId="10651" xr:uid="{00000000-0005-0000-0000-0000A8290000}"/>
    <cellStyle name="Positive 2 2 14 4 2 15" xfId="10652" xr:uid="{00000000-0005-0000-0000-0000A9290000}"/>
    <cellStyle name="Positive 2 2 14 4 2 15 2" xfId="10653" xr:uid="{00000000-0005-0000-0000-0000AA290000}"/>
    <cellStyle name="Positive 2 2 14 4 2 16" xfId="10654" xr:uid="{00000000-0005-0000-0000-0000AB290000}"/>
    <cellStyle name="Positive 2 2 14 4 2 16 2" xfId="10655" xr:uid="{00000000-0005-0000-0000-0000AC290000}"/>
    <cellStyle name="Positive 2 2 14 4 2 17" xfId="10656" xr:uid="{00000000-0005-0000-0000-0000AD290000}"/>
    <cellStyle name="Positive 2 2 14 4 2 2" xfId="10657" xr:uid="{00000000-0005-0000-0000-0000AE290000}"/>
    <cellStyle name="Positive 2 2 14 4 2 2 2" xfId="10658" xr:uid="{00000000-0005-0000-0000-0000AF290000}"/>
    <cellStyle name="Positive 2 2 14 4 2 3" xfId="10659" xr:uid="{00000000-0005-0000-0000-0000B0290000}"/>
    <cellStyle name="Positive 2 2 14 4 2 3 2" xfId="10660" xr:uid="{00000000-0005-0000-0000-0000B1290000}"/>
    <cellStyle name="Positive 2 2 14 4 2 4" xfId="10661" xr:uid="{00000000-0005-0000-0000-0000B2290000}"/>
    <cellStyle name="Positive 2 2 14 4 2 4 2" xfId="10662" xr:uid="{00000000-0005-0000-0000-0000B3290000}"/>
    <cellStyle name="Positive 2 2 14 4 2 5" xfId="10663" xr:uid="{00000000-0005-0000-0000-0000B4290000}"/>
    <cellStyle name="Positive 2 2 14 4 2 5 2" xfId="10664" xr:uid="{00000000-0005-0000-0000-0000B5290000}"/>
    <cellStyle name="Positive 2 2 14 4 2 6" xfId="10665" xr:uid="{00000000-0005-0000-0000-0000B6290000}"/>
    <cellStyle name="Positive 2 2 14 4 2 6 2" xfId="10666" xr:uid="{00000000-0005-0000-0000-0000B7290000}"/>
    <cellStyle name="Positive 2 2 14 4 2 7" xfId="10667" xr:uid="{00000000-0005-0000-0000-0000B8290000}"/>
    <cellStyle name="Positive 2 2 14 4 2 7 2" xfId="10668" xr:uid="{00000000-0005-0000-0000-0000B9290000}"/>
    <cellStyle name="Positive 2 2 14 4 2 8" xfId="10669" xr:uid="{00000000-0005-0000-0000-0000BA290000}"/>
    <cellStyle name="Positive 2 2 14 4 2 8 2" xfId="10670" xr:uid="{00000000-0005-0000-0000-0000BB290000}"/>
    <cellStyle name="Positive 2 2 14 4 2 9" xfId="10671" xr:uid="{00000000-0005-0000-0000-0000BC290000}"/>
    <cellStyle name="Positive 2 2 14 4 2 9 2" xfId="10672" xr:uid="{00000000-0005-0000-0000-0000BD290000}"/>
    <cellStyle name="Positive 2 2 14 4 20" xfId="10673" xr:uid="{00000000-0005-0000-0000-0000BE290000}"/>
    <cellStyle name="Positive 2 2 14 4 3" xfId="10674" xr:uid="{00000000-0005-0000-0000-0000BF290000}"/>
    <cellStyle name="Positive 2 2 14 4 3 2" xfId="10675" xr:uid="{00000000-0005-0000-0000-0000C0290000}"/>
    <cellStyle name="Positive 2 2 14 4 3 2 2" xfId="10676" xr:uid="{00000000-0005-0000-0000-0000C1290000}"/>
    <cellStyle name="Positive 2 2 14 4 3 3" xfId="10677" xr:uid="{00000000-0005-0000-0000-0000C2290000}"/>
    <cellStyle name="Positive 2 2 14 4 4" xfId="10678" xr:uid="{00000000-0005-0000-0000-0000C3290000}"/>
    <cellStyle name="Positive 2 2 14 4 4 2" xfId="10679" xr:uid="{00000000-0005-0000-0000-0000C4290000}"/>
    <cellStyle name="Positive 2 2 14 4 4 2 2" xfId="10680" xr:uid="{00000000-0005-0000-0000-0000C5290000}"/>
    <cellStyle name="Positive 2 2 14 4 4 3" xfId="10681" xr:uid="{00000000-0005-0000-0000-0000C6290000}"/>
    <cellStyle name="Positive 2 2 14 4 5" xfId="10682" xr:uid="{00000000-0005-0000-0000-0000C7290000}"/>
    <cellStyle name="Positive 2 2 14 4 5 2" xfId="10683" xr:uid="{00000000-0005-0000-0000-0000C8290000}"/>
    <cellStyle name="Positive 2 2 14 4 6" xfId="10684" xr:uid="{00000000-0005-0000-0000-0000C9290000}"/>
    <cellStyle name="Positive 2 2 14 4 6 2" xfId="10685" xr:uid="{00000000-0005-0000-0000-0000CA290000}"/>
    <cellStyle name="Positive 2 2 14 4 7" xfId="10686" xr:uid="{00000000-0005-0000-0000-0000CB290000}"/>
    <cellStyle name="Positive 2 2 14 4 7 2" xfId="10687" xr:uid="{00000000-0005-0000-0000-0000CC290000}"/>
    <cellStyle name="Positive 2 2 14 4 8" xfId="10688" xr:uid="{00000000-0005-0000-0000-0000CD290000}"/>
    <cellStyle name="Positive 2 2 14 4 8 2" xfId="10689" xr:uid="{00000000-0005-0000-0000-0000CE290000}"/>
    <cellStyle name="Positive 2 2 14 4 9" xfId="10690" xr:uid="{00000000-0005-0000-0000-0000CF290000}"/>
    <cellStyle name="Positive 2 2 14 4 9 2" xfId="10691" xr:uid="{00000000-0005-0000-0000-0000D0290000}"/>
    <cellStyle name="Positive 2 2 14 5" xfId="10692" xr:uid="{00000000-0005-0000-0000-0000D1290000}"/>
    <cellStyle name="Positive 2 2 14 5 10" xfId="10693" xr:uid="{00000000-0005-0000-0000-0000D2290000}"/>
    <cellStyle name="Positive 2 2 14 5 10 2" xfId="10694" xr:uid="{00000000-0005-0000-0000-0000D3290000}"/>
    <cellStyle name="Positive 2 2 14 5 11" xfId="10695" xr:uid="{00000000-0005-0000-0000-0000D4290000}"/>
    <cellStyle name="Positive 2 2 14 5 11 2" xfId="10696" xr:uid="{00000000-0005-0000-0000-0000D5290000}"/>
    <cellStyle name="Positive 2 2 14 5 12" xfId="10697" xr:uid="{00000000-0005-0000-0000-0000D6290000}"/>
    <cellStyle name="Positive 2 2 14 5 12 2" xfId="10698" xr:uid="{00000000-0005-0000-0000-0000D7290000}"/>
    <cellStyle name="Positive 2 2 14 5 13" xfId="10699" xr:uid="{00000000-0005-0000-0000-0000D8290000}"/>
    <cellStyle name="Positive 2 2 14 5 13 2" xfId="10700" xr:uid="{00000000-0005-0000-0000-0000D9290000}"/>
    <cellStyle name="Positive 2 2 14 5 14" xfId="10701" xr:uid="{00000000-0005-0000-0000-0000DA290000}"/>
    <cellStyle name="Positive 2 2 14 5 14 2" xfId="10702" xr:uid="{00000000-0005-0000-0000-0000DB290000}"/>
    <cellStyle name="Positive 2 2 14 5 15" xfId="10703" xr:uid="{00000000-0005-0000-0000-0000DC290000}"/>
    <cellStyle name="Positive 2 2 14 5 15 2" xfId="10704" xr:uid="{00000000-0005-0000-0000-0000DD290000}"/>
    <cellStyle name="Positive 2 2 14 5 16" xfId="10705" xr:uid="{00000000-0005-0000-0000-0000DE290000}"/>
    <cellStyle name="Positive 2 2 14 5 16 2" xfId="10706" xr:uid="{00000000-0005-0000-0000-0000DF290000}"/>
    <cellStyle name="Positive 2 2 14 5 17" xfId="10707" xr:uid="{00000000-0005-0000-0000-0000E0290000}"/>
    <cellStyle name="Positive 2 2 14 5 2" xfId="10708" xr:uid="{00000000-0005-0000-0000-0000E1290000}"/>
    <cellStyle name="Positive 2 2 14 5 2 2" xfId="10709" xr:uid="{00000000-0005-0000-0000-0000E2290000}"/>
    <cellStyle name="Positive 2 2 14 5 3" xfId="10710" xr:uid="{00000000-0005-0000-0000-0000E3290000}"/>
    <cellStyle name="Positive 2 2 14 5 3 2" xfId="10711" xr:uid="{00000000-0005-0000-0000-0000E4290000}"/>
    <cellStyle name="Positive 2 2 14 5 4" xfId="10712" xr:uid="{00000000-0005-0000-0000-0000E5290000}"/>
    <cellStyle name="Positive 2 2 14 5 4 2" xfId="10713" xr:uid="{00000000-0005-0000-0000-0000E6290000}"/>
    <cellStyle name="Positive 2 2 14 5 5" xfId="10714" xr:uid="{00000000-0005-0000-0000-0000E7290000}"/>
    <cellStyle name="Positive 2 2 14 5 5 2" xfId="10715" xr:uid="{00000000-0005-0000-0000-0000E8290000}"/>
    <cellStyle name="Positive 2 2 14 5 6" xfId="10716" xr:uid="{00000000-0005-0000-0000-0000E9290000}"/>
    <cellStyle name="Positive 2 2 14 5 6 2" xfId="10717" xr:uid="{00000000-0005-0000-0000-0000EA290000}"/>
    <cellStyle name="Positive 2 2 14 5 7" xfId="10718" xr:uid="{00000000-0005-0000-0000-0000EB290000}"/>
    <cellStyle name="Positive 2 2 14 5 7 2" xfId="10719" xr:uid="{00000000-0005-0000-0000-0000EC290000}"/>
    <cellStyle name="Positive 2 2 14 5 8" xfId="10720" xr:uid="{00000000-0005-0000-0000-0000ED290000}"/>
    <cellStyle name="Positive 2 2 14 5 8 2" xfId="10721" xr:uid="{00000000-0005-0000-0000-0000EE290000}"/>
    <cellStyle name="Positive 2 2 14 5 9" xfId="10722" xr:uid="{00000000-0005-0000-0000-0000EF290000}"/>
    <cellStyle name="Positive 2 2 14 5 9 2" xfId="10723" xr:uid="{00000000-0005-0000-0000-0000F0290000}"/>
    <cellStyle name="Positive 2 2 14 6" xfId="10724" xr:uid="{00000000-0005-0000-0000-0000F1290000}"/>
    <cellStyle name="Positive 2 2 14 6 2" xfId="10725" xr:uid="{00000000-0005-0000-0000-0000F2290000}"/>
    <cellStyle name="Positive 2 2 14 6 2 2" xfId="10726" xr:uid="{00000000-0005-0000-0000-0000F3290000}"/>
    <cellStyle name="Positive 2 2 14 6 3" xfId="10727" xr:uid="{00000000-0005-0000-0000-0000F4290000}"/>
    <cellStyle name="Positive 2 2 14 7" xfId="10728" xr:uid="{00000000-0005-0000-0000-0000F5290000}"/>
    <cellStyle name="Positive 2 2 14 7 2" xfId="10729" xr:uid="{00000000-0005-0000-0000-0000F6290000}"/>
    <cellStyle name="Positive 2 2 14 7 2 2" xfId="10730" xr:uid="{00000000-0005-0000-0000-0000F7290000}"/>
    <cellStyle name="Positive 2 2 14 7 3" xfId="10731" xr:uid="{00000000-0005-0000-0000-0000F8290000}"/>
    <cellStyle name="Positive 2 2 14 8" xfId="10732" xr:uid="{00000000-0005-0000-0000-0000F9290000}"/>
    <cellStyle name="Positive 2 2 14 8 2" xfId="10733" xr:uid="{00000000-0005-0000-0000-0000FA290000}"/>
    <cellStyle name="Positive 2 2 14 9" xfId="10734" xr:uid="{00000000-0005-0000-0000-0000FB290000}"/>
    <cellStyle name="Positive 2 2 14 9 2" xfId="10735" xr:uid="{00000000-0005-0000-0000-0000FC290000}"/>
    <cellStyle name="Positive 2 2 15" xfId="10736" xr:uid="{00000000-0005-0000-0000-0000FD290000}"/>
    <cellStyle name="Positive 2 2 15 10" xfId="10737" xr:uid="{00000000-0005-0000-0000-0000FE290000}"/>
    <cellStyle name="Positive 2 2 15 10 2" xfId="10738" xr:uid="{00000000-0005-0000-0000-0000FF290000}"/>
    <cellStyle name="Positive 2 2 15 11" xfId="10739" xr:uid="{00000000-0005-0000-0000-0000002A0000}"/>
    <cellStyle name="Positive 2 2 15 11 2" xfId="10740" xr:uid="{00000000-0005-0000-0000-0000012A0000}"/>
    <cellStyle name="Positive 2 2 15 12" xfId="10741" xr:uid="{00000000-0005-0000-0000-0000022A0000}"/>
    <cellStyle name="Positive 2 2 15 12 2" xfId="10742" xr:uid="{00000000-0005-0000-0000-0000032A0000}"/>
    <cellStyle name="Positive 2 2 15 13" xfId="10743" xr:uid="{00000000-0005-0000-0000-0000042A0000}"/>
    <cellStyle name="Positive 2 2 15 13 2" xfId="10744" xr:uid="{00000000-0005-0000-0000-0000052A0000}"/>
    <cellStyle name="Positive 2 2 15 14" xfId="10745" xr:uid="{00000000-0005-0000-0000-0000062A0000}"/>
    <cellStyle name="Positive 2 2 15 14 2" xfId="10746" xr:uid="{00000000-0005-0000-0000-0000072A0000}"/>
    <cellStyle name="Positive 2 2 15 15" xfId="10747" xr:uid="{00000000-0005-0000-0000-0000082A0000}"/>
    <cellStyle name="Positive 2 2 15 15 2" xfId="10748" xr:uid="{00000000-0005-0000-0000-0000092A0000}"/>
    <cellStyle name="Positive 2 2 15 16" xfId="10749" xr:uid="{00000000-0005-0000-0000-00000A2A0000}"/>
    <cellStyle name="Positive 2 2 15 16 2" xfId="10750" xr:uid="{00000000-0005-0000-0000-00000B2A0000}"/>
    <cellStyle name="Positive 2 2 15 17" xfId="10751" xr:uid="{00000000-0005-0000-0000-00000C2A0000}"/>
    <cellStyle name="Positive 2 2 15 17 2" xfId="10752" xr:uid="{00000000-0005-0000-0000-00000D2A0000}"/>
    <cellStyle name="Positive 2 2 15 18" xfId="10753" xr:uid="{00000000-0005-0000-0000-00000E2A0000}"/>
    <cellStyle name="Positive 2 2 15 18 2" xfId="10754" xr:uid="{00000000-0005-0000-0000-00000F2A0000}"/>
    <cellStyle name="Positive 2 2 15 19" xfId="10755" xr:uid="{00000000-0005-0000-0000-0000102A0000}"/>
    <cellStyle name="Positive 2 2 15 19 2" xfId="10756" xr:uid="{00000000-0005-0000-0000-0000112A0000}"/>
    <cellStyle name="Positive 2 2 15 2" xfId="10757" xr:uid="{00000000-0005-0000-0000-0000122A0000}"/>
    <cellStyle name="Positive 2 2 15 2 10" xfId="10758" xr:uid="{00000000-0005-0000-0000-0000132A0000}"/>
    <cellStyle name="Positive 2 2 15 2 10 2" xfId="10759" xr:uid="{00000000-0005-0000-0000-0000142A0000}"/>
    <cellStyle name="Positive 2 2 15 2 11" xfId="10760" xr:uid="{00000000-0005-0000-0000-0000152A0000}"/>
    <cellStyle name="Positive 2 2 15 2 11 2" xfId="10761" xr:uid="{00000000-0005-0000-0000-0000162A0000}"/>
    <cellStyle name="Positive 2 2 15 2 12" xfId="10762" xr:uid="{00000000-0005-0000-0000-0000172A0000}"/>
    <cellStyle name="Positive 2 2 15 2 12 2" xfId="10763" xr:uid="{00000000-0005-0000-0000-0000182A0000}"/>
    <cellStyle name="Positive 2 2 15 2 13" xfId="10764" xr:uid="{00000000-0005-0000-0000-0000192A0000}"/>
    <cellStyle name="Positive 2 2 15 2 13 2" xfId="10765" xr:uid="{00000000-0005-0000-0000-00001A2A0000}"/>
    <cellStyle name="Positive 2 2 15 2 14" xfId="10766" xr:uid="{00000000-0005-0000-0000-00001B2A0000}"/>
    <cellStyle name="Positive 2 2 15 2 14 2" xfId="10767" xr:uid="{00000000-0005-0000-0000-00001C2A0000}"/>
    <cellStyle name="Positive 2 2 15 2 15" xfId="10768" xr:uid="{00000000-0005-0000-0000-00001D2A0000}"/>
    <cellStyle name="Positive 2 2 15 2 15 2" xfId="10769" xr:uid="{00000000-0005-0000-0000-00001E2A0000}"/>
    <cellStyle name="Positive 2 2 15 2 16" xfId="10770" xr:uid="{00000000-0005-0000-0000-00001F2A0000}"/>
    <cellStyle name="Positive 2 2 15 2 16 2" xfId="10771" xr:uid="{00000000-0005-0000-0000-0000202A0000}"/>
    <cellStyle name="Positive 2 2 15 2 17" xfId="10772" xr:uid="{00000000-0005-0000-0000-0000212A0000}"/>
    <cellStyle name="Positive 2 2 15 2 17 2" xfId="10773" xr:uid="{00000000-0005-0000-0000-0000222A0000}"/>
    <cellStyle name="Positive 2 2 15 2 18" xfId="10774" xr:uid="{00000000-0005-0000-0000-0000232A0000}"/>
    <cellStyle name="Positive 2 2 15 2 18 2" xfId="10775" xr:uid="{00000000-0005-0000-0000-0000242A0000}"/>
    <cellStyle name="Positive 2 2 15 2 19" xfId="10776" xr:uid="{00000000-0005-0000-0000-0000252A0000}"/>
    <cellStyle name="Positive 2 2 15 2 19 2" xfId="10777" xr:uid="{00000000-0005-0000-0000-0000262A0000}"/>
    <cellStyle name="Positive 2 2 15 2 2" xfId="10778" xr:uid="{00000000-0005-0000-0000-0000272A0000}"/>
    <cellStyle name="Positive 2 2 15 2 2 10" xfId="10779" xr:uid="{00000000-0005-0000-0000-0000282A0000}"/>
    <cellStyle name="Positive 2 2 15 2 2 10 2" xfId="10780" xr:uid="{00000000-0005-0000-0000-0000292A0000}"/>
    <cellStyle name="Positive 2 2 15 2 2 11" xfId="10781" xr:uid="{00000000-0005-0000-0000-00002A2A0000}"/>
    <cellStyle name="Positive 2 2 15 2 2 11 2" xfId="10782" xr:uid="{00000000-0005-0000-0000-00002B2A0000}"/>
    <cellStyle name="Positive 2 2 15 2 2 12" xfId="10783" xr:uid="{00000000-0005-0000-0000-00002C2A0000}"/>
    <cellStyle name="Positive 2 2 15 2 2 12 2" xfId="10784" xr:uid="{00000000-0005-0000-0000-00002D2A0000}"/>
    <cellStyle name="Positive 2 2 15 2 2 13" xfId="10785" xr:uid="{00000000-0005-0000-0000-00002E2A0000}"/>
    <cellStyle name="Positive 2 2 15 2 2 13 2" xfId="10786" xr:uid="{00000000-0005-0000-0000-00002F2A0000}"/>
    <cellStyle name="Positive 2 2 15 2 2 14" xfId="10787" xr:uid="{00000000-0005-0000-0000-0000302A0000}"/>
    <cellStyle name="Positive 2 2 15 2 2 14 2" xfId="10788" xr:uid="{00000000-0005-0000-0000-0000312A0000}"/>
    <cellStyle name="Positive 2 2 15 2 2 15" xfId="10789" xr:uid="{00000000-0005-0000-0000-0000322A0000}"/>
    <cellStyle name="Positive 2 2 15 2 2 15 2" xfId="10790" xr:uid="{00000000-0005-0000-0000-0000332A0000}"/>
    <cellStyle name="Positive 2 2 15 2 2 16" xfId="10791" xr:uid="{00000000-0005-0000-0000-0000342A0000}"/>
    <cellStyle name="Positive 2 2 15 2 2 16 2" xfId="10792" xr:uid="{00000000-0005-0000-0000-0000352A0000}"/>
    <cellStyle name="Positive 2 2 15 2 2 17" xfId="10793" xr:uid="{00000000-0005-0000-0000-0000362A0000}"/>
    <cellStyle name="Positive 2 2 15 2 2 2" xfId="10794" xr:uid="{00000000-0005-0000-0000-0000372A0000}"/>
    <cellStyle name="Positive 2 2 15 2 2 2 2" xfId="10795" xr:uid="{00000000-0005-0000-0000-0000382A0000}"/>
    <cellStyle name="Positive 2 2 15 2 2 3" xfId="10796" xr:uid="{00000000-0005-0000-0000-0000392A0000}"/>
    <cellStyle name="Positive 2 2 15 2 2 3 2" xfId="10797" xr:uid="{00000000-0005-0000-0000-00003A2A0000}"/>
    <cellStyle name="Positive 2 2 15 2 2 4" xfId="10798" xr:uid="{00000000-0005-0000-0000-00003B2A0000}"/>
    <cellStyle name="Positive 2 2 15 2 2 4 2" xfId="10799" xr:uid="{00000000-0005-0000-0000-00003C2A0000}"/>
    <cellStyle name="Positive 2 2 15 2 2 5" xfId="10800" xr:uid="{00000000-0005-0000-0000-00003D2A0000}"/>
    <cellStyle name="Positive 2 2 15 2 2 5 2" xfId="10801" xr:uid="{00000000-0005-0000-0000-00003E2A0000}"/>
    <cellStyle name="Positive 2 2 15 2 2 6" xfId="10802" xr:uid="{00000000-0005-0000-0000-00003F2A0000}"/>
    <cellStyle name="Positive 2 2 15 2 2 6 2" xfId="10803" xr:uid="{00000000-0005-0000-0000-0000402A0000}"/>
    <cellStyle name="Positive 2 2 15 2 2 7" xfId="10804" xr:uid="{00000000-0005-0000-0000-0000412A0000}"/>
    <cellStyle name="Positive 2 2 15 2 2 7 2" xfId="10805" xr:uid="{00000000-0005-0000-0000-0000422A0000}"/>
    <cellStyle name="Positive 2 2 15 2 2 8" xfId="10806" xr:uid="{00000000-0005-0000-0000-0000432A0000}"/>
    <cellStyle name="Positive 2 2 15 2 2 8 2" xfId="10807" xr:uid="{00000000-0005-0000-0000-0000442A0000}"/>
    <cellStyle name="Positive 2 2 15 2 2 9" xfId="10808" xr:uid="{00000000-0005-0000-0000-0000452A0000}"/>
    <cellStyle name="Positive 2 2 15 2 2 9 2" xfId="10809" xr:uid="{00000000-0005-0000-0000-0000462A0000}"/>
    <cellStyle name="Positive 2 2 15 2 20" xfId="10810" xr:uid="{00000000-0005-0000-0000-0000472A0000}"/>
    <cellStyle name="Positive 2 2 15 2 3" xfId="10811" xr:uid="{00000000-0005-0000-0000-0000482A0000}"/>
    <cellStyle name="Positive 2 2 15 2 3 2" xfId="10812" xr:uid="{00000000-0005-0000-0000-0000492A0000}"/>
    <cellStyle name="Positive 2 2 15 2 3 2 2" xfId="10813" xr:uid="{00000000-0005-0000-0000-00004A2A0000}"/>
    <cellStyle name="Positive 2 2 15 2 3 3" xfId="10814" xr:uid="{00000000-0005-0000-0000-00004B2A0000}"/>
    <cellStyle name="Positive 2 2 15 2 4" xfId="10815" xr:uid="{00000000-0005-0000-0000-00004C2A0000}"/>
    <cellStyle name="Positive 2 2 15 2 4 2" xfId="10816" xr:uid="{00000000-0005-0000-0000-00004D2A0000}"/>
    <cellStyle name="Positive 2 2 15 2 4 2 2" xfId="10817" xr:uid="{00000000-0005-0000-0000-00004E2A0000}"/>
    <cellStyle name="Positive 2 2 15 2 4 3" xfId="10818" xr:uid="{00000000-0005-0000-0000-00004F2A0000}"/>
    <cellStyle name="Positive 2 2 15 2 5" xfId="10819" xr:uid="{00000000-0005-0000-0000-0000502A0000}"/>
    <cellStyle name="Positive 2 2 15 2 5 2" xfId="10820" xr:uid="{00000000-0005-0000-0000-0000512A0000}"/>
    <cellStyle name="Positive 2 2 15 2 6" xfId="10821" xr:uid="{00000000-0005-0000-0000-0000522A0000}"/>
    <cellStyle name="Positive 2 2 15 2 6 2" xfId="10822" xr:uid="{00000000-0005-0000-0000-0000532A0000}"/>
    <cellStyle name="Positive 2 2 15 2 7" xfId="10823" xr:uid="{00000000-0005-0000-0000-0000542A0000}"/>
    <cellStyle name="Positive 2 2 15 2 7 2" xfId="10824" xr:uid="{00000000-0005-0000-0000-0000552A0000}"/>
    <cellStyle name="Positive 2 2 15 2 8" xfId="10825" xr:uid="{00000000-0005-0000-0000-0000562A0000}"/>
    <cellStyle name="Positive 2 2 15 2 8 2" xfId="10826" xr:uid="{00000000-0005-0000-0000-0000572A0000}"/>
    <cellStyle name="Positive 2 2 15 2 9" xfId="10827" xr:uid="{00000000-0005-0000-0000-0000582A0000}"/>
    <cellStyle name="Positive 2 2 15 2 9 2" xfId="10828" xr:uid="{00000000-0005-0000-0000-0000592A0000}"/>
    <cellStyle name="Positive 2 2 15 20" xfId="10829" xr:uid="{00000000-0005-0000-0000-00005A2A0000}"/>
    <cellStyle name="Positive 2 2 15 20 2" xfId="10830" xr:uid="{00000000-0005-0000-0000-00005B2A0000}"/>
    <cellStyle name="Positive 2 2 15 21" xfId="10831" xr:uid="{00000000-0005-0000-0000-00005C2A0000}"/>
    <cellStyle name="Positive 2 2 15 21 2" xfId="10832" xr:uid="{00000000-0005-0000-0000-00005D2A0000}"/>
    <cellStyle name="Positive 2 2 15 22" xfId="10833" xr:uid="{00000000-0005-0000-0000-00005E2A0000}"/>
    <cellStyle name="Positive 2 2 15 22 2" xfId="10834" xr:uid="{00000000-0005-0000-0000-00005F2A0000}"/>
    <cellStyle name="Positive 2 2 15 23" xfId="10835" xr:uid="{00000000-0005-0000-0000-0000602A0000}"/>
    <cellStyle name="Positive 2 2 15 3" xfId="10836" xr:uid="{00000000-0005-0000-0000-0000612A0000}"/>
    <cellStyle name="Positive 2 2 15 3 10" xfId="10837" xr:uid="{00000000-0005-0000-0000-0000622A0000}"/>
    <cellStyle name="Positive 2 2 15 3 10 2" xfId="10838" xr:uid="{00000000-0005-0000-0000-0000632A0000}"/>
    <cellStyle name="Positive 2 2 15 3 11" xfId="10839" xr:uid="{00000000-0005-0000-0000-0000642A0000}"/>
    <cellStyle name="Positive 2 2 15 3 11 2" xfId="10840" xr:uid="{00000000-0005-0000-0000-0000652A0000}"/>
    <cellStyle name="Positive 2 2 15 3 12" xfId="10841" xr:uid="{00000000-0005-0000-0000-0000662A0000}"/>
    <cellStyle name="Positive 2 2 15 3 12 2" xfId="10842" xr:uid="{00000000-0005-0000-0000-0000672A0000}"/>
    <cellStyle name="Positive 2 2 15 3 13" xfId="10843" xr:uid="{00000000-0005-0000-0000-0000682A0000}"/>
    <cellStyle name="Positive 2 2 15 3 13 2" xfId="10844" xr:uid="{00000000-0005-0000-0000-0000692A0000}"/>
    <cellStyle name="Positive 2 2 15 3 14" xfId="10845" xr:uid="{00000000-0005-0000-0000-00006A2A0000}"/>
    <cellStyle name="Positive 2 2 15 3 14 2" xfId="10846" xr:uid="{00000000-0005-0000-0000-00006B2A0000}"/>
    <cellStyle name="Positive 2 2 15 3 15" xfId="10847" xr:uid="{00000000-0005-0000-0000-00006C2A0000}"/>
    <cellStyle name="Positive 2 2 15 3 15 2" xfId="10848" xr:uid="{00000000-0005-0000-0000-00006D2A0000}"/>
    <cellStyle name="Positive 2 2 15 3 16" xfId="10849" xr:uid="{00000000-0005-0000-0000-00006E2A0000}"/>
    <cellStyle name="Positive 2 2 15 3 16 2" xfId="10850" xr:uid="{00000000-0005-0000-0000-00006F2A0000}"/>
    <cellStyle name="Positive 2 2 15 3 17" xfId="10851" xr:uid="{00000000-0005-0000-0000-0000702A0000}"/>
    <cellStyle name="Positive 2 2 15 3 17 2" xfId="10852" xr:uid="{00000000-0005-0000-0000-0000712A0000}"/>
    <cellStyle name="Positive 2 2 15 3 18" xfId="10853" xr:uid="{00000000-0005-0000-0000-0000722A0000}"/>
    <cellStyle name="Positive 2 2 15 3 18 2" xfId="10854" xr:uid="{00000000-0005-0000-0000-0000732A0000}"/>
    <cellStyle name="Positive 2 2 15 3 19" xfId="10855" xr:uid="{00000000-0005-0000-0000-0000742A0000}"/>
    <cellStyle name="Positive 2 2 15 3 19 2" xfId="10856" xr:uid="{00000000-0005-0000-0000-0000752A0000}"/>
    <cellStyle name="Positive 2 2 15 3 2" xfId="10857" xr:uid="{00000000-0005-0000-0000-0000762A0000}"/>
    <cellStyle name="Positive 2 2 15 3 2 10" xfId="10858" xr:uid="{00000000-0005-0000-0000-0000772A0000}"/>
    <cellStyle name="Positive 2 2 15 3 2 10 2" xfId="10859" xr:uid="{00000000-0005-0000-0000-0000782A0000}"/>
    <cellStyle name="Positive 2 2 15 3 2 11" xfId="10860" xr:uid="{00000000-0005-0000-0000-0000792A0000}"/>
    <cellStyle name="Positive 2 2 15 3 2 11 2" xfId="10861" xr:uid="{00000000-0005-0000-0000-00007A2A0000}"/>
    <cellStyle name="Positive 2 2 15 3 2 12" xfId="10862" xr:uid="{00000000-0005-0000-0000-00007B2A0000}"/>
    <cellStyle name="Positive 2 2 15 3 2 12 2" xfId="10863" xr:uid="{00000000-0005-0000-0000-00007C2A0000}"/>
    <cellStyle name="Positive 2 2 15 3 2 13" xfId="10864" xr:uid="{00000000-0005-0000-0000-00007D2A0000}"/>
    <cellStyle name="Positive 2 2 15 3 2 13 2" xfId="10865" xr:uid="{00000000-0005-0000-0000-00007E2A0000}"/>
    <cellStyle name="Positive 2 2 15 3 2 14" xfId="10866" xr:uid="{00000000-0005-0000-0000-00007F2A0000}"/>
    <cellStyle name="Positive 2 2 15 3 2 14 2" xfId="10867" xr:uid="{00000000-0005-0000-0000-0000802A0000}"/>
    <cellStyle name="Positive 2 2 15 3 2 15" xfId="10868" xr:uid="{00000000-0005-0000-0000-0000812A0000}"/>
    <cellStyle name="Positive 2 2 15 3 2 15 2" xfId="10869" xr:uid="{00000000-0005-0000-0000-0000822A0000}"/>
    <cellStyle name="Positive 2 2 15 3 2 16" xfId="10870" xr:uid="{00000000-0005-0000-0000-0000832A0000}"/>
    <cellStyle name="Positive 2 2 15 3 2 16 2" xfId="10871" xr:uid="{00000000-0005-0000-0000-0000842A0000}"/>
    <cellStyle name="Positive 2 2 15 3 2 17" xfId="10872" xr:uid="{00000000-0005-0000-0000-0000852A0000}"/>
    <cellStyle name="Positive 2 2 15 3 2 2" xfId="10873" xr:uid="{00000000-0005-0000-0000-0000862A0000}"/>
    <cellStyle name="Positive 2 2 15 3 2 2 2" xfId="10874" xr:uid="{00000000-0005-0000-0000-0000872A0000}"/>
    <cellStyle name="Positive 2 2 15 3 2 3" xfId="10875" xr:uid="{00000000-0005-0000-0000-0000882A0000}"/>
    <cellStyle name="Positive 2 2 15 3 2 3 2" xfId="10876" xr:uid="{00000000-0005-0000-0000-0000892A0000}"/>
    <cellStyle name="Positive 2 2 15 3 2 4" xfId="10877" xr:uid="{00000000-0005-0000-0000-00008A2A0000}"/>
    <cellStyle name="Positive 2 2 15 3 2 4 2" xfId="10878" xr:uid="{00000000-0005-0000-0000-00008B2A0000}"/>
    <cellStyle name="Positive 2 2 15 3 2 5" xfId="10879" xr:uid="{00000000-0005-0000-0000-00008C2A0000}"/>
    <cellStyle name="Positive 2 2 15 3 2 5 2" xfId="10880" xr:uid="{00000000-0005-0000-0000-00008D2A0000}"/>
    <cellStyle name="Positive 2 2 15 3 2 6" xfId="10881" xr:uid="{00000000-0005-0000-0000-00008E2A0000}"/>
    <cellStyle name="Positive 2 2 15 3 2 6 2" xfId="10882" xr:uid="{00000000-0005-0000-0000-00008F2A0000}"/>
    <cellStyle name="Positive 2 2 15 3 2 7" xfId="10883" xr:uid="{00000000-0005-0000-0000-0000902A0000}"/>
    <cellStyle name="Positive 2 2 15 3 2 7 2" xfId="10884" xr:uid="{00000000-0005-0000-0000-0000912A0000}"/>
    <cellStyle name="Positive 2 2 15 3 2 8" xfId="10885" xr:uid="{00000000-0005-0000-0000-0000922A0000}"/>
    <cellStyle name="Positive 2 2 15 3 2 8 2" xfId="10886" xr:uid="{00000000-0005-0000-0000-0000932A0000}"/>
    <cellStyle name="Positive 2 2 15 3 2 9" xfId="10887" xr:uid="{00000000-0005-0000-0000-0000942A0000}"/>
    <cellStyle name="Positive 2 2 15 3 2 9 2" xfId="10888" xr:uid="{00000000-0005-0000-0000-0000952A0000}"/>
    <cellStyle name="Positive 2 2 15 3 20" xfId="10889" xr:uid="{00000000-0005-0000-0000-0000962A0000}"/>
    <cellStyle name="Positive 2 2 15 3 3" xfId="10890" xr:uid="{00000000-0005-0000-0000-0000972A0000}"/>
    <cellStyle name="Positive 2 2 15 3 3 2" xfId="10891" xr:uid="{00000000-0005-0000-0000-0000982A0000}"/>
    <cellStyle name="Positive 2 2 15 3 3 2 2" xfId="10892" xr:uid="{00000000-0005-0000-0000-0000992A0000}"/>
    <cellStyle name="Positive 2 2 15 3 3 3" xfId="10893" xr:uid="{00000000-0005-0000-0000-00009A2A0000}"/>
    <cellStyle name="Positive 2 2 15 3 4" xfId="10894" xr:uid="{00000000-0005-0000-0000-00009B2A0000}"/>
    <cellStyle name="Positive 2 2 15 3 4 2" xfId="10895" xr:uid="{00000000-0005-0000-0000-00009C2A0000}"/>
    <cellStyle name="Positive 2 2 15 3 4 2 2" xfId="10896" xr:uid="{00000000-0005-0000-0000-00009D2A0000}"/>
    <cellStyle name="Positive 2 2 15 3 4 3" xfId="10897" xr:uid="{00000000-0005-0000-0000-00009E2A0000}"/>
    <cellStyle name="Positive 2 2 15 3 5" xfId="10898" xr:uid="{00000000-0005-0000-0000-00009F2A0000}"/>
    <cellStyle name="Positive 2 2 15 3 5 2" xfId="10899" xr:uid="{00000000-0005-0000-0000-0000A02A0000}"/>
    <cellStyle name="Positive 2 2 15 3 6" xfId="10900" xr:uid="{00000000-0005-0000-0000-0000A12A0000}"/>
    <cellStyle name="Positive 2 2 15 3 6 2" xfId="10901" xr:uid="{00000000-0005-0000-0000-0000A22A0000}"/>
    <cellStyle name="Positive 2 2 15 3 7" xfId="10902" xr:uid="{00000000-0005-0000-0000-0000A32A0000}"/>
    <cellStyle name="Positive 2 2 15 3 7 2" xfId="10903" xr:uid="{00000000-0005-0000-0000-0000A42A0000}"/>
    <cellStyle name="Positive 2 2 15 3 8" xfId="10904" xr:uid="{00000000-0005-0000-0000-0000A52A0000}"/>
    <cellStyle name="Positive 2 2 15 3 8 2" xfId="10905" xr:uid="{00000000-0005-0000-0000-0000A62A0000}"/>
    <cellStyle name="Positive 2 2 15 3 9" xfId="10906" xr:uid="{00000000-0005-0000-0000-0000A72A0000}"/>
    <cellStyle name="Positive 2 2 15 3 9 2" xfId="10907" xr:uid="{00000000-0005-0000-0000-0000A82A0000}"/>
    <cellStyle name="Positive 2 2 15 4" xfId="10908" xr:uid="{00000000-0005-0000-0000-0000A92A0000}"/>
    <cellStyle name="Positive 2 2 15 4 10" xfId="10909" xr:uid="{00000000-0005-0000-0000-0000AA2A0000}"/>
    <cellStyle name="Positive 2 2 15 4 10 2" xfId="10910" xr:uid="{00000000-0005-0000-0000-0000AB2A0000}"/>
    <cellStyle name="Positive 2 2 15 4 11" xfId="10911" xr:uid="{00000000-0005-0000-0000-0000AC2A0000}"/>
    <cellStyle name="Positive 2 2 15 4 11 2" xfId="10912" xr:uid="{00000000-0005-0000-0000-0000AD2A0000}"/>
    <cellStyle name="Positive 2 2 15 4 12" xfId="10913" xr:uid="{00000000-0005-0000-0000-0000AE2A0000}"/>
    <cellStyle name="Positive 2 2 15 4 12 2" xfId="10914" xr:uid="{00000000-0005-0000-0000-0000AF2A0000}"/>
    <cellStyle name="Positive 2 2 15 4 13" xfId="10915" xr:uid="{00000000-0005-0000-0000-0000B02A0000}"/>
    <cellStyle name="Positive 2 2 15 4 13 2" xfId="10916" xr:uid="{00000000-0005-0000-0000-0000B12A0000}"/>
    <cellStyle name="Positive 2 2 15 4 14" xfId="10917" xr:uid="{00000000-0005-0000-0000-0000B22A0000}"/>
    <cellStyle name="Positive 2 2 15 4 14 2" xfId="10918" xr:uid="{00000000-0005-0000-0000-0000B32A0000}"/>
    <cellStyle name="Positive 2 2 15 4 15" xfId="10919" xr:uid="{00000000-0005-0000-0000-0000B42A0000}"/>
    <cellStyle name="Positive 2 2 15 4 15 2" xfId="10920" xr:uid="{00000000-0005-0000-0000-0000B52A0000}"/>
    <cellStyle name="Positive 2 2 15 4 16" xfId="10921" xr:uid="{00000000-0005-0000-0000-0000B62A0000}"/>
    <cellStyle name="Positive 2 2 15 4 16 2" xfId="10922" xr:uid="{00000000-0005-0000-0000-0000B72A0000}"/>
    <cellStyle name="Positive 2 2 15 4 17" xfId="10923" xr:uid="{00000000-0005-0000-0000-0000B82A0000}"/>
    <cellStyle name="Positive 2 2 15 4 17 2" xfId="10924" xr:uid="{00000000-0005-0000-0000-0000B92A0000}"/>
    <cellStyle name="Positive 2 2 15 4 18" xfId="10925" xr:uid="{00000000-0005-0000-0000-0000BA2A0000}"/>
    <cellStyle name="Positive 2 2 15 4 18 2" xfId="10926" xr:uid="{00000000-0005-0000-0000-0000BB2A0000}"/>
    <cellStyle name="Positive 2 2 15 4 19" xfId="10927" xr:uid="{00000000-0005-0000-0000-0000BC2A0000}"/>
    <cellStyle name="Positive 2 2 15 4 19 2" xfId="10928" xr:uid="{00000000-0005-0000-0000-0000BD2A0000}"/>
    <cellStyle name="Positive 2 2 15 4 2" xfId="10929" xr:uid="{00000000-0005-0000-0000-0000BE2A0000}"/>
    <cellStyle name="Positive 2 2 15 4 2 10" xfId="10930" xr:uid="{00000000-0005-0000-0000-0000BF2A0000}"/>
    <cellStyle name="Positive 2 2 15 4 2 10 2" xfId="10931" xr:uid="{00000000-0005-0000-0000-0000C02A0000}"/>
    <cellStyle name="Positive 2 2 15 4 2 11" xfId="10932" xr:uid="{00000000-0005-0000-0000-0000C12A0000}"/>
    <cellStyle name="Positive 2 2 15 4 2 11 2" xfId="10933" xr:uid="{00000000-0005-0000-0000-0000C22A0000}"/>
    <cellStyle name="Positive 2 2 15 4 2 12" xfId="10934" xr:uid="{00000000-0005-0000-0000-0000C32A0000}"/>
    <cellStyle name="Positive 2 2 15 4 2 12 2" xfId="10935" xr:uid="{00000000-0005-0000-0000-0000C42A0000}"/>
    <cellStyle name="Positive 2 2 15 4 2 13" xfId="10936" xr:uid="{00000000-0005-0000-0000-0000C52A0000}"/>
    <cellStyle name="Positive 2 2 15 4 2 13 2" xfId="10937" xr:uid="{00000000-0005-0000-0000-0000C62A0000}"/>
    <cellStyle name="Positive 2 2 15 4 2 14" xfId="10938" xr:uid="{00000000-0005-0000-0000-0000C72A0000}"/>
    <cellStyle name="Positive 2 2 15 4 2 14 2" xfId="10939" xr:uid="{00000000-0005-0000-0000-0000C82A0000}"/>
    <cellStyle name="Positive 2 2 15 4 2 15" xfId="10940" xr:uid="{00000000-0005-0000-0000-0000C92A0000}"/>
    <cellStyle name="Positive 2 2 15 4 2 15 2" xfId="10941" xr:uid="{00000000-0005-0000-0000-0000CA2A0000}"/>
    <cellStyle name="Positive 2 2 15 4 2 16" xfId="10942" xr:uid="{00000000-0005-0000-0000-0000CB2A0000}"/>
    <cellStyle name="Positive 2 2 15 4 2 16 2" xfId="10943" xr:uid="{00000000-0005-0000-0000-0000CC2A0000}"/>
    <cellStyle name="Positive 2 2 15 4 2 17" xfId="10944" xr:uid="{00000000-0005-0000-0000-0000CD2A0000}"/>
    <cellStyle name="Positive 2 2 15 4 2 2" xfId="10945" xr:uid="{00000000-0005-0000-0000-0000CE2A0000}"/>
    <cellStyle name="Positive 2 2 15 4 2 2 2" xfId="10946" xr:uid="{00000000-0005-0000-0000-0000CF2A0000}"/>
    <cellStyle name="Positive 2 2 15 4 2 3" xfId="10947" xr:uid="{00000000-0005-0000-0000-0000D02A0000}"/>
    <cellStyle name="Positive 2 2 15 4 2 3 2" xfId="10948" xr:uid="{00000000-0005-0000-0000-0000D12A0000}"/>
    <cellStyle name="Positive 2 2 15 4 2 4" xfId="10949" xr:uid="{00000000-0005-0000-0000-0000D22A0000}"/>
    <cellStyle name="Positive 2 2 15 4 2 4 2" xfId="10950" xr:uid="{00000000-0005-0000-0000-0000D32A0000}"/>
    <cellStyle name="Positive 2 2 15 4 2 5" xfId="10951" xr:uid="{00000000-0005-0000-0000-0000D42A0000}"/>
    <cellStyle name="Positive 2 2 15 4 2 5 2" xfId="10952" xr:uid="{00000000-0005-0000-0000-0000D52A0000}"/>
    <cellStyle name="Positive 2 2 15 4 2 6" xfId="10953" xr:uid="{00000000-0005-0000-0000-0000D62A0000}"/>
    <cellStyle name="Positive 2 2 15 4 2 6 2" xfId="10954" xr:uid="{00000000-0005-0000-0000-0000D72A0000}"/>
    <cellStyle name="Positive 2 2 15 4 2 7" xfId="10955" xr:uid="{00000000-0005-0000-0000-0000D82A0000}"/>
    <cellStyle name="Positive 2 2 15 4 2 7 2" xfId="10956" xr:uid="{00000000-0005-0000-0000-0000D92A0000}"/>
    <cellStyle name="Positive 2 2 15 4 2 8" xfId="10957" xr:uid="{00000000-0005-0000-0000-0000DA2A0000}"/>
    <cellStyle name="Positive 2 2 15 4 2 8 2" xfId="10958" xr:uid="{00000000-0005-0000-0000-0000DB2A0000}"/>
    <cellStyle name="Positive 2 2 15 4 2 9" xfId="10959" xr:uid="{00000000-0005-0000-0000-0000DC2A0000}"/>
    <cellStyle name="Positive 2 2 15 4 2 9 2" xfId="10960" xr:uid="{00000000-0005-0000-0000-0000DD2A0000}"/>
    <cellStyle name="Positive 2 2 15 4 20" xfId="10961" xr:uid="{00000000-0005-0000-0000-0000DE2A0000}"/>
    <cellStyle name="Positive 2 2 15 4 3" xfId="10962" xr:uid="{00000000-0005-0000-0000-0000DF2A0000}"/>
    <cellStyle name="Positive 2 2 15 4 3 2" xfId="10963" xr:uid="{00000000-0005-0000-0000-0000E02A0000}"/>
    <cellStyle name="Positive 2 2 15 4 3 2 2" xfId="10964" xr:uid="{00000000-0005-0000-0000-0000E12A0000}"/>
    <cellStyle name="Positive 2 2 15 4 3 3" xfId="10965" xr:uid="{00000000-0005-0000-0000-0000E22A0000}"/>
    <cellStyle name="Positive 2 2 15 4 4" xfId="10966" xr:uid="{00000000-0005-0000-0000-0000E32A0000}"/>
    <cellStyle name="Positive 2 2 15 4 4 2" xfId="10967" xr:uid="{00000000-0005-0000-0000-0000E42A0000}"/>
    <cellStyle name="Positive 2 2 15 4 4 2 2" xfId="10968" xr:uid="{00000000-0005-0000-0000-0000E52A0000}"/>
    <cellStyle name="Positive 2 2 15 4 4 3" xfId="10969" xr:uid="{00000000-0005-0000-0000-0000E62A0000}"/>
    <cellStyle name="Positive 2 2 15 4 5" xfId="10970" xr:uid="{00000000-0005-0000-0000-0000E72A0000}"/>
    <cellStyle name="Positive 2 2 15 4 5 2" xfId="10971" xr:uid="{00000000-0005-0000-0000-0000E82A0000}"/>
    <cellStyle name="Positive 2 2 15 4 6" xfId="10972" xr:uid="{00000000-0005-0000-0000-0000E92A0000}"/>
    <cellStyle name="Positive 2 2 15 4 6 2" xfId="10973" xr:uid="{00000000-0005-0000-0000-0000EA2A0000}"/>
    <cellStyle name="Positive 2 2 15 4 7" xfId="10974" xr:uid="{00000000-0005-0000-0000-0000EB2A0000}"/>
    <cellStyle name="Positive 2 2 15 4 7 2" xfId="10975" xr:uid="{00000000-0005-0000-0000-0000EC2A0000}"/>
    <cellStyle name="Positive 2 2 15 4 8" xfId="10976" xr:uid="{00000000-0005-0000-0000-0000ED2A0000}"/>
    <cellStyle name="Positive 2 2 15 4 8 2" xfId="10977" xr:uid="{00000000-0005-0000-0000-0000EE2A0000}"/>
    <cellStyle name="Positive 2 2 15 4 9" xfId="10978" xr:uid="{00000000-0005-0000-0000-0000EF2A0000}"/>
    <cellStyle name="Positive 2 2 15 4 9 2" xfId="10979" xr:uid="{00000000-0005-0000-0000-0000F02A0000}"/>
    <cellStyle name="Positive 2 2 15 5" xfId="10980" xr:uid="{00000000-0005-0000-0000-0000F12A0000}"/>
    <cellStyle name="Positive 2 2 15 5 10" xfId="10981" xr:uid="{00000000-0005-0000-0000-0000F22A0000}"/>
    <cellStyle name="Positive 2 2 15 5 10 2" xfId="10982" xr:uid="{00000000-0005-0000-0000-0000F32A0000}"/>
    <cellStyle name="Positive 2 2 15 5 11" xfId="10983" xr:uid="{00000000-0005-0000-0000-0000F42A0000}"/>
    <cellStyle name="Positive 2 2 15 5 11 2" xfId="10984" xr:uid="{00000000-0005-0000-0000-0000F52A0000}"/>
    <cellStyle name="Positive 2 2 15 5 12" xfId="10985" xr:uid="{00000000-0005-0000-0000-0000F62A0000}"/>
    <cellStyle name="Positive 2 2 15 5 12 2" xfId="10986" xr:uid="{00000000-0005-0000-0000-0000F72A0000}"/>
    <cellStyle name="Positive 2 2 15 5 13" xfId="10987" xr:uid="{00000000-0005-0000-0000-0000F82A0000}"/>
    <cellStyle name="Positive 2 2 15 5 13 2" xfId="10988" xr:uid="{00000000-0005-0000-0000-0000F92A0000}"/>
    <cellStyle name="Positive 2 2 15 5 14" xfId="10989" xr:uid="{00000000-0005-0000-0000-0000FA2A0000}"/>
    <cellStyle name="Positive 2 2 15 5 14 2" xfId="10990" xr:uid="{00000000-0005-0000-0000-0000FB2A0000}"/>
    <cellStyle name="Positive 2 2 15 5 15" xfId="10991" xr:uid="{00000000-0005-0000-0000-0000FC2A0000}"/>
    <cellStyle name="Positive 2 2 15 5 15 2" xfId="10992" xr:uid="{00000000-0005-0000-0000-0000FD2A0000}"/>
    <cellStyle name="Positive 2 2 15 5 16" xfId="10993" xr:uid="{00000000-0005-0000-0000-0000FE2A0000}"/>
    <cellStyle name="Positive 2 2 15 5 16 2" xfId="10994" xr:uid="{00000000-0005-0000-0000-0000FF2A0000}"/>
    <cellStyle name="Positive 2 2 15 5 17" xfId="10995" xr:uid="{00000000-0005-0000-0000-0000002B0000}"/>
    <cellStyle name="Positive 2 2 15 5 2" xfId="10996" xr:uid="{00000000-0005-0000-0000-0000012B0000}"/>
    <cellStyle name="Positive 2 2 15 5 2 2" xfId="10997" xr:uid="{00000000-0005-0000-0000-0000022B0000}"/>
    <cellStyle name="Positive 2 2 15 5 3" xfId="10998" xr:uid="{00000000-0005-0000-0000-0000032B0000}"/>
    <cellStyle name="Positive 2 2 15 5 3 2" xfId="10999" xr:uid="{00000000-0005-0000-0000-0000042B0000}"/>
    <cellStyle name="Positive 2 2 15 5 4" xfId="11000" xr:uid="{00000000-0005-0000-0000-0000052B0000}"/>
    <cellStyle name="Positive 2 2 15 5 4 2" xfId="11001" xr:uid="{00000000-0005-0000-0000-0000062B0000}"/>
    <cellStyle name="Positive 2 2 15 5 5" xfId="11002" xr:uid="{00000000-0005-0000-0000-0000072B0000}"/>
    <cellStyle name="Positive 2 2 15 5 5 2" xfId="11003" xr:uid="{00000000-0005-0000-0000-0000082B0000}"/>
    <cellStyle name="Positive 2 2 15 5 6" xfId="11004" xr:uid="{00000000-0005-0000-0000-0000092B0000}"/>
    <cellStyle name="Positive 2 2 15 5 6 2" xfId="11005" xr:uid="{00000000-0005-0000-0000-00000A2B0000}"/>
    <cellStyle name="Positive 2 2 15 5 7" xfId="11006" xr:uid="{00000000-0005-0000-0000-00000B2B0000}"/>
    <cellStyle name="Positive 2 2 15 5 7 2" xfId="11007" xr:uid="{00000000-0005-0000-0000-00000C2B0000}"/>
    <cellStyle name="Positive 2 2 15 5 8" xfId="11008" xr:uid="{00000000-0005-0000-0000-00000D2B0000}"/>
    <cellStyle name="Positive 2 2 15 5 8 2" xfId="11009" xr:uid="{00000000-0005-0000-0000-00000E2B0000}"/>
    <cellStyle name="Positive 2 2 15 5 9" xfId="11010" xr:uid="{00000000-0005-0000-0000-00000F2B0000}"/>
    <cellStyle name="Positive 2 2 15 5 9 2" xfId="11011" xr:uid="{00000000-0005-0000-0000-0000102B0000}"/>
    <cellStyle name="Positive 2 2 15 6" xfId="11012" xr:uid="{00000000-0005-0000-0000-0000112B0000}"/>
    <cellStyle name="Positive 2 2 15 6 2" xfId="11013" xr:uid="{00000000-0005-0000-0000-0000122B0000}"/>
    <cellStyle name="Positive 2 2 15 6 2 2" xfId="11014" xr:uid="{00000000-0005-0000-0000-0000132B0000}"/>
    <cellStyle name="Positive 2 2 15 6 3" xfId="11015" xr:uid="{00000000-0005-0000-0000-0000142B0000}"/>
    <cellStyle name="Positive 2 2 15 7" xfId="11016" xr:uid="{00000000-0005-0000-0000-0000152B0000}"/>
    <cellStyle name="Positive 2 2 15 7 2" xfId="11017" xr:uid="{00000000-0005-0000-0000-0000162B0000}"/>
    <cellStyle name="Positive 2 2 15 7 2 2" xfId="11018" xr:uid="{00000000-0005-0000-0000-0000172B0000}"/>
    <cellStyle name="Positive 2 2 15 7 3" xfId="11019" xr:uid="{00000000-0005-0000-0000-0000182B0000}"/>
    <cellStyle name="Positive 2 2 15 8" xfId="11020" xr:uid="{00000000-0005-0000-0000-0000192B0000}"/>
    <cellStyle name="Positive 2 2 15 8 2" xfId="11021" xr:uid="{00000000-0005-0000-0000-00001A2B0000}"/>
    <cellStyle name="Positive 2 2 15 9" xfId="11022" xr:uid="{00000000-0005-0000-0000-00001B2B0000}"/>
    <cellStyle name="Positive 2 2 15 9 2" xfId="11023" xr:uid="{00000000-0005-0000-0000-00001C2B0000}"/>
    <cellStyle name="Positive 2 2 16" xfId="11024" xr:uid="{00000000-0005-0000-0000-00001D2B0000}"/>
    <cellStyle name="Positive 2 2 16 10" xfId="11025" xr:uid="{00000000-0005-0000-0000-00001E2B0000}"/>
    <cellStyle name="Positive 2 2 16 10 2" xfId="11026" xr:uid="{00000000-0005-0000-0000-00001F2B0000}"/>
    <cellStyle name="Positive 2 2 16 11" xfId="11027" xr:uid="{00000000-0005-0000-0000-0000202B0000}"/>
    <cellStyle name="Positive 2 2 16 11 2" xfId="11028" xr:uid="{00000000-0005-0000-0000-0000212B0000}"/>
    <cellStyle name="Positive 2 2 16 12" xfId="11029" xr:uid="{00000000-0005-0000-0000-0000222B0000}"/>
    <cellStyle name="Positive 2 2 16 12 2" xfId="11030" xr:uid="{00000000-0005-0000-0000-0000232B0000}"/>
    <cellStyle name="Positive 2 2 16 13" xfId="11031" xr:uid="{00000000-0005-0000-0000-0000242B0000}"/>
    <cellStyle name="Positive 2 2 16 13 2" xfId="11032" xr:uid="{00000000-0005-0000-0000-0000252B0000}"/>
    <cellStyle name="Positive 2 2 16 14" xfId="11033" xr:uid="{00000000-0005-0000-0000-0000262B0000}"/>
    <cellStyle name="Positive 2 2 16 14 2" xfId="11034" xr:uid="{00000000-0005-0000-0000-0000272B0000}"/>
    <cellStyle name="Positive 2 2 16 15" xfId="11035" xr:uid="{00000000-0005-0000-0000-0000282B0000}"/>
    <cellStyle name="Positive 2 2 16 15 2" xfId="11036" xr:uid="{00000000-0005-0000-0000-0000292B0000}"/>
    <cellStyle name="Positive 2 2 16 16" xfId="11037" xr:uid="{00000000-0005-0000-0000-00002A2B0000}"/>
    <cellStyle name="Positive 2 2 16 16 2" xfId="11038" xr:uid="{00000000-0005-0000-0000-00002B2B0000}"/>
    <cellStyle name="Positive 2 2 16 17" xfId="11039" xr:uid="{00000000-0005-0000-0000-00002C2B0000}"/>
    <cellStyle name="Positive 2 2 16 17 2" xfId="11040" xr:uid="{00000000-0005-0000-0000-00002D2B0000}"/>
    <cellStyle name="Positive 2 2 16 18" xfId="11041" xr:uid="{00000000-0005-0000-0000-00002E2B0000}"/>
    <cellStyle name="Positive 2 2 16 18 2" xfId="11042" xr:uid="{00000000-0005-0000-0000-00002F2B0000}"/>
    <cellStyle name="Positive 2 2 16 19" xfId="11043" xr:uid="{00000000-0005-0000-0000-0000302B0000}"/>
    <cellStyle name="Positive 2 2 16 19 2" xfId="11044" xr:uid="{00000000-0005-0000-0000-0000312B0000}"/>
    <cellStyle name="Positive 2 2 16 2" xfId="11045" xr:uid="{00000000-0005-0000-0000-0000322B0000}"/>
    <cellStyle name="Positive 2 2 16 2 10" xfId="11046" xr:uid="{00000000-0005-0000-0000-0000332B0000}"/>
    <cellStyle name="Positive 2 2 16 2 10 2" xfId="11047" xr:uid="{00000000-0005-0000-0000-0000342B0000}"/>
    <cellStyle name="Positive 2 2 16 2 11" xfId="11048" xr:uid="{00000000-0005-0000-0000-0000352B0000}"/>
    <cellStyle name="Positive 2 2 16 2 11 2" xfId="11049" xr:uid="{00000000-0005-0000-0000-0000362B0000}"/>
    <cellStyle name="Positive 2 2 16 2 12" xfId="11050" xr:uid="{00000000-0005-0000-0000-0000372B0000}"/>
    <cellStyle name="Positive 2 2 16 2 12 2" xfId="11051" xr:uid="{00000000-0005-0000-0000-0000382B0000}"/>
    <cellStyle name="Positive 2 2 16 2 13" xfId="11052" xr:uid="{00000000-0005-0000-0000-0000392B0000}"/>
    <cellStyle name="Positive 2 2 16 2 13 2" xfId="11053" xr:uid="{00000000-0005-0000-0000-00003A2B0000}"/>
    <cellStyle name="Positive 2 2 16 2 14" xfId="11054" xr:uid="{00000000-0005-0000-0000-00003B2B0000}"/>
    <cellStyle name="Positive 2 2 16 2 14 2" xfId="11055" xr:uid="{00000000-0005-0000-0000-00003C2B0000}"/>
    <cellStyle name="Positive 2 2 16 2 15" xfId="11056" xr:uid="{00000000-0005-0000-0000-00003D2B0000}"/>
    <cellStyle name="Positive 2 2 16 2 15 2" xfId="11057" xr:uid="{00000000-0005-0000-0000-00003E2B0000}"/>
    <cellStyle name="Positive 2 2 16 2 16" xfId="11058" xr:uid="{00000000-0005-0000-0000-00003F2B0000}"/>
    <cellStyle name="Positive 2 2 16 2 16 2" xfId="11059" xr:uid="{00000000-0005-0000-0000-0000402B0000}"/>
    <cellStyle name="Positive 2 2 16 2 17" xfId="11060" xr:uid="{00000000-0005-0000-0000-0000412B0000}"/>
    <cellStyle name="Positive 2 2 16 2 17 2" xfId="11061" xr:uid="{00000000-0005-0000-0000-0000422B0000}"/>
    <cellStyle name="Positive 2 2 16 2 18" xfId="11062" xr:uid="{00000000-0005-0000-0000-0000432B0000}"/>
    <cellStyle name="Positive 2 2 16 2 18 2" xfId="11063" xr:uid="{00000000-0005-0000-0000-0000442B0000}"/>
    <cellStyle name="Positive 2 2 16 2 19" xfId="11064" xr:uid="{00000000-0005-0000-0000-0000452B0000}"/>
    <cellStyle name="Positive 2 2 16 2 19 2" xfId="11065" xr:uid="{00000000-0005-0000-0000-0000462B0000}"/>
    <cellStyle name="Positive 2 2 16 2 2" xfId="11066" xr:uid="{00000000-0005-0000-0000-0000472B0000}"/>
    <cellStyle name="Positive 2 2 16 2 2 10" xfId="11067" xr:uid="{00000000-0005-0000-0000-0000482B0000}"/>
    <cellStyle name="Positive 2 2 16 2 2 10 2" xfId="11068" xr:uid="{00000000-0005-0000-0000-0000492B0000}"/>
    <cellStyle name="Positive 2 2 16 2 2 11" xfId="11069" xr:uid="{00000000-0005-0000-0000-00004A2B0000}"/>
    <cellStyle name="Positive 2 2 16 2 2 11 2" xfId="11070" xr:uid="{00000000-0005-0000-0000-00004B2B0000}"/>
    <cellStyle name="Positive 2 2 16 2 2 12" xfId="11071" xr:uid="{00000000-0005-0000-0000-00004C2B0000}"/>
    <cellStyle name="Positive 2 2 16 2 2 12 2" xfId="11072" xr:uid="{00000000-0005-0000-0000-00004D2B0000}"/>
    <cellStyle name="Positive 2 2 16 2 2 13" xfId="11073" xr:uid="{00000000-0005-0000-0000-00004E2B0000}"/>
    <cellStyle name="Positive 2 2 16 2 2 13 2" xfId="11074" xr:uid="{00000000-0005-0000-0000-00004F2B0000}"/>
    <cellStyle name="Positive 2 2 16 2 2 14" xfId="11075" xr:uid="{00000000-0005-0000-0000-0000502B0000}"/>
    <cellStyle name="Positive 2 2 16 2 2 14 2" xfId="11076" xr:uid="{00000000-0005-0000-0000-0000512B0000}"/>
    <cellStyle name="Positive 2 2 16 2 2 15" xfId="11077" xr:uid="{00000000-0005-0000-0000-0000522B0000}"/>
    <cellStyle name="Positive 2 2 16 2 2 15 2" xfId="11078" xr:uid="{00000000-0005-0000-0000-0000532B0000}"/>
    <cellStyle name="Positive 2 2 16 2 2 16" xfId="11079" xr:uid="{00000000-0005-0000-0000-0000542B0000}"/>
    <cellStyle name="Positive 2 2 16 2 2 16 2" xfId="11080" xr:uid="{00000000-0005-0000-0000-0000552B0000}"/>
    <cellStyle name="Positive 2 2 16 2 2 17" xfId="11081" xr:uid="{00000000-0005-0000-0000-0000562B0000}"/>
    <cellStyle name="Positive 2 2 16 2 2 2" xfId="11082" xr:uid="{00000000-0005-0000-0000-0000572B0000}"/>
    <cellStyle name="Positive 2 2 16 2 2 2 2" xfId="11083" xr:uid="{00000000-0005-0000-0000-0000582B0000}"/>
    <cellStyle name="Positive 2 2 16 2 2 3" xfId="11084" xr:uid="{00000000-0005-0000-0000-0000592B0000}"/>
    <cellStyle name="Positive 2 2 16 2 2 3 2" xfId="11085" xr:uid="{00000000-0005-0000-0000-00005A2B0000}"/>
    <cellStyle name="Positive 2 2 16 2 2 4" xfId="11086" xr:uid="{00000000-0005-0000-0000-00005B2B0000}"/>
    <cellStyle name="Positive 2 2 16 2 2 4 2" xfId="11087" xr:uid="{00000000-0005-0000-0000-00005C2B0000}"/>
    <cellStyle name="Positive 2 2 16 2 2 5" xfId="11088" xr:uid="{00000000-0005-0000-0000-00005D2B0000}"/>
    <cellStyle name="Positive 2 2 16 2 2 5 2" xfId="11089" xr:uid="{00000000-0005-0000-0000-00005E2B0000}"/>
    <cellStyle name="Positive 2 2 16 2 2 6" xfId="11090" xr:uid="{00000000-0005-0000-0000-00005F2B0000}"/>
    <cellStyle name="Positive 2 2 16 2 2 6 2" xfId="11091" xr:uid="{00000000-0005-0000-0000-0000602B0000}"/>
    <cellStyle name="Positive 2 2 16 2 2 7" xfId="11092" xr:uid="{00000000-0005-0000-0000-0000612B0000}"/>
    <cellStyle name="Positive 2 2 16 2 2 7 2" xfId="11093" xr:uid="{00000000-0005-0000-0000-0000622B0000}"/>
    <cellStyle name="Positive 2 2 16 2 2 8" xfId="11094" xr:uid="{00000000-0005-0000-0000-0000632B0000}"/>
    <cellStyle name="Positive 2 2 16 2 2 8 2" xfId="11095" xr:uid="{00000000-0005-0000-0000-0000642B0000}"/>
    <cellStyle name="Positive 2 2 16 2 2 9" xfId="11096" xr:uid="{00000000-0005-0000-0000-0000652B0000}"/>
    <cellStyle name="Positive 2 2 16 2 2 9 2" xfId="11097" xr:uid="{00000000-0005-0000-0000-0000662B0000}"/>
    <cellStyle name="Positive 2 2 16 2 20" xfId="11098" xr:uid="{00000000-0005-0000-0000-0000672B0000}"/>
    <cellStyle name="Positive 2 2 16 2 3" xfId="11099" xr:uid="{00000000-0005-0000-0000-0000682B0000}"/>
    <cellStyle name="Positive 2 2 16 2 3 2" xfId="11100" xr:uid="{00000000-0005-0000-0000-0000692B0000}"/>
    <cellStyle name="Positive 2 2 16 2 3 2 2" xfId="11101" xr:uid="{00000000-0005-0000-0000-00006A2B0000}"/>
    <cellStyle name="Positive 2 2 16 2 3 3" xfId="11102" xr:uid="{00000000-0005-0000-0000-00006B2B0000}"/>
    <cellStyle name="Positive 2 2 16 2 4" xfId="11103" xr:uid="{00000000-0005-0000-0000-00006C2B0000}"/>
    <cellStyle name="Positive 2 2 16 2 4 2" xfId="11104" xr:uid="{00000000-0005-0000-0000-00006D2B0000}"/>
    <cellStyle name="Positive 2 2 16 2 4 2 2" xfId="11105" xr:uid="{00000000-0005-0000-0000-00006E2B0000}"/>
    <cellStyle name="Positive 2 2 16 2 4 3" xfId="11106" xr:uid="{00000000-0005-0000-0000-00006F2B0000}"/>
    <cellStyle name="Positive 2 2 16 2 5" xfId="11107" xr:uid="{00000000-0005-0000-0000-0000702B0000}"/>
    <cellStyle name="Positive 2 2 16 2 5 2" xfId="11108" xr:uid="{00000000-0005-0000-0000-0000712B0000}"/>
    <cellStyle name="Positive 2 2 16 2 6" xfId="11109" xr:uid="{00000000-0005-0000-0000-0000722B0000}"/>
    <cellStyle name="Positive 2 2 16 2 6 2" xfId="11110" xr:uid="{00000000-0005-0000-0000-0000732B0000}"/>
    <cellStyle name="Positive 2 2 16 2 7" xfId="11111" xr:uid="{00000000-0005-0000-0000-0000742B0000}"/>
    <cellStyle name="Positive 2 2 16 2 7 2" xfId="11112" xr:uid="{00000000-0005-0000-0000-0000752B0000}"/>
    <cellStyle name="Positive 2 2 16 2 8" xfId="11113" xr:uid="{00000000-0005-0000-0000-0000762B0000}"/>
    <cellStyle name="Positive 2 2 16 2 8 2" xfId="11114" xr:uid="{00000000-0005-0000-0000-0000772B0000}"/>
    <cellStyle name="Positive 2 2 16 2 9" xfId="11115" xr:uid="{00000000-0005-0000-0000-0000782B0000}"/>
    <cellStyle name="Positive 2 2 16 2 9 2" xfId="11116" xr:uid="{00000000-0005-0000-0000-0000792B0000}"/>
    <cellStyle name="Positive 2 2 16 20" xfId="11117" xr:uid="{00000000-0005-0000-0000-00007A2B0000}"/>
    <cellStyle name="Positive 2 2 16 20 2" xfId="11118" xr:uid="{00000000-0005-0000-0000-00007B2B0000}"/>
    <cellStyle name="Positive 2 2 16 21" xfId="11119" xr:uid="{00000000-0005-0000-0000-00007C2B0000}"/>
    <cellStyle name="Positive 2 2 16 21 2" xfId="11120" xr:uid="{00000000-0005-0000-0000-00007D2B0000}"/>
    <cellStyle name="Positive 2 2 16 22" xfId="11121" xr:uid="{00000000-0005-0000-0000-00007E2B0000}"/>
    <cellStyle name="Positive 2 2 16 22 2" xfId="11122" xr:uid="{00000000-0005-0000-0000-00007F2B0000}"/>
    <cellStyle name="Positive 2 2 16 23" xfId="11123" xr:uid="{00000000-0005-0000-0000-0000802B0000}"/>
    <cellStyle name="Positive 2 2 16 3" xfId="11124" xr:uid="{00000000-0005-0000-0000-0000812B0000}"/>
    <cellStyle name="Positive 2 2 16 3 10" xfId="11125" xr:uid="{00000000-0005-0000-0000-0000822B0000}"/>
    <cellStyle name="Positive 2 2 16 3 10 2" xfId="11126" xr:uid="{00000000-0005-0000-0000-0000832B0000}"/>
    <cellStyle name="Positive 2 2 16 3 11" xfId="11127" xr:uid="{00000000-0005-0000-0000-0000842B0000}"/>
    <cellStyle name="Positive 2 2 16 3 11 2" xfId="11128" xr:uid="{00000000-0005-0000-0000-0000852B0000}"/>
    <cellStyle name="Positive 2 2 16 3 12" xfId="11129" xr:uid="{00000000-0005-0000-0000-0000862B0000}"/>
    <cellStyle name="Positive 2 2 16 3 12 2" xfId="11130" xr:uid="{00000000-0005-0000-0000-0000872B0000}"/>
    <cellStyle name="Positive 2 2 16 3 13" xfId="11131" xr:uid="{00000000-0005-0000-0000-0000882B0000}"/>
    <cellStyle name="Positive 2 2 16 3 13 2" xfId="11132" xr:uid="{00000000-0005-0000-0000-0000892B0000}"/>
    <cellStyle name="Positive 2 2 16 3 14" xfId="11133" xr:uid="{00000000-0005-0000-0000-00008A2B0000}"/>
    <cellStyle name="Positive 2 2 16 3 14 2" xfId="11134" xr:uid="{00000000-0005-0000-0000-00008B2B0000}"/>
    <cellStyle name="Positive 2 2 16 3 15" xfId="11135" xr:uid="{00000000-0005-0000-0000-00008C2B0000}"/>
    <cellStyle name="Positive 2 2 16 3 15 2" xfId="11136" xr:uid="{00000000-0005-0000-0000-00008D2B0000}"/>
    <cellStyle name="Positive 2 2 16 3 16" xfId="11137" xr:uid="{00000000-0005-0000-0000-00008E2B0000}"/>
    <cellStyle name="Positive 2 2 16 3 16 2" xfId="11138" xr:uid="{00000000-0005-0000-0000-00008F2B0000}"/>
    <cellStyle name="Positive 2 2 16 3 17" xfId="11139" xr:uid="{00000000-0005-0000-0000-0000902B0000}"/>
    <cellStyle name="Positive 2 2 16 3 17 2" xfId="11140" xr:uid="{00000000-0005-0000-0000-0000912B0000}"/>
    <cellStyle name="Positive 2 2 16 3 18" xfId="11141" xr:uid="{00000000-0005-0000-0000-0000922B0000}"/>
    <cellStyle name="Positive 2 2 16 3 18 2" xfId="11142" xr:uid="{00000000-0005-0000-0000-0000932B0000}"/>
    <cellStyle name="Positive 2 2 16 3 19" xfId="11143" xr:uid="{00000000-0005-0000-0000-0000942B0000}"/>
    <cellStyle name="Positive 2 2 16 3 19 2" xfId="11144" xr:uid="{00000000-0005-0000-0000-0000952B0000}"/>
    <cellStyle name="Positive 2 2 16 3 2" xfId="11145" xr:uid="{00000000-0005-0000-0000-0000962B0000}"/>
    <cellStyle name="Positive 2 2 16 3 2 10" xfId="11146" xr:uid="{00000000-0005-0000-0000-0000972B0000}"/>
    <cellStyle name="Positive 2 2 16 3 2 10 2" xfId="11147" xr:uid="{00000000-0005-0000-0000-0000982B0000}"/>
    <cellStyle name="Positive 2 2 16 3 2 11" xfId="11148" xr:uid="{00000000-0005-0000-0000-0000992B0000}"/>
    <cellStyle name="Positive 2 2 16 3 2 11 2" xfId="11149" xr:uid="{00000000-0005-0000-0000-00009A2B0000}"/>
    <cellStyle name="Positive 2 2 16 3 2 12" xfId="11150" xr:uid="{00000000-0005-0000-0000-00009B2B0000}"/>
    <cellStyle name="Positive 2 2 16 3 2 12 2" xfId="11151" xr:uid="{00000000-0005-0000-0000-00009C2B0000}"/>
    <cellStyle name="Positive 2 2 16 3 2 13" xfId="11152" xr:uid="{00000000-0005-0000-0000-00009D2B0000}"/>
    <cellStyle name="Positive 2 2 16 3 2 13 2" xfId="11153" xr:uid="{00000000-0005-0000-0000-00009E2B0000}"/>
    <cellStyle name="Positive 2 2 16 3 2 14" xfId="11154" xr:uid="{00000000-0005-0000-0000-00009F2B0000}"/>
    <cellStyle name="Positive 2 2 16 3 2 14 2" xfId="11155" xr:uid="{00000000-0005-0000-0000-0000A02B0000}"/>
    <cellStyle name="Positive 2 2 16 3 2 15" xfId="11156" xr:uid="{00000000-0005-0000-0000-0000A12B0000}"/>
    <cellStyle name="Positive 2 2 16 3 2 15 2" xfId="11157" xr:uid="{00000000-0005-0000-0000-0000A22B0000}"/>
    <cellStyle name="Positive 2 2 16 3 2 16" xfId="11158" xr:uid="{00000000-0005-0000-0000-0000A32B0000}"/>
    <cellStyle name="Positive 2 2 16 3 2 16 2" xfId="11159" xr:uid="{00000000-0005-0000-0000-0000A42B0000}"/>
    <cellStyle name="Positive 2 2 16 3 2 17" xfId="11160" xr:uid="{00000000-0005-0000-0000-0000A52B0000}"/>
    <cellStyle name="Positive 2 2 16 3 2 2" xfId="11161" xr:uid="{00000000-0005-0000-0000-0000A62B0000}"/>
    <cellStyle name="Positive 2 2 16 3 2 2 2" xfId="11162" xr:uid="{00000000-0005-0000-0000-0000A72B0000}"/>
    <cellStyle name="Positive 2 2 16 3 2 3" xfId="11163" xr:uid="{00000000-0005-0000-0000-0000A82B0000}"/>
    <cellStyle name="Positive 2 2 16 3 2 3 2" xfId="11164" xr:uid="{00000000-0005-0000-0000-0000A92B0000}"/>
    <cellStyle name="Positive 2 2 16 3 2 4" xfId="11165" xr:uid="{00000000-0005-0000-0000-0000AA2B0000}"/>
    <cellStyle name="Positive 2 2 16 3 2 4 2" xfId="11166" xr:uid="{00000000-0005-0000-0000-0000AB2B0000}"/>
    <cellStyle name="Positive 2 2 16 3 2 5" xfId="11167" xr:uid="{00000000-0005-0000-0000-0000AC2B0000}"/>
    <cellStyle name="Positive 2 2 16 3 2 5 2" xfId="11168" xr:uid="{00000000-0005-0000-0000-0000AD2B0000}"/>
    <cellStyle name="Positive 2 2 16 3 2 6" xfId="11169" xr:uid="{00000000-0005-0000-0000-0000AE2B0000}"/>
    <cellStyle name="Positive 2 2 16 3 2 6 2" xfId="11170" xr:uid="{00000000-0005-0000-0000-0000AF2B0000}"/>
    <cellStyle name="Positive 2 2 16 3 2 7" xfId="11171" xr:uid="{00000000-0005-0000-0000-0000B02B0000}"/>
    <cellStyle name="Positive 2 2 16 3 2 7 2" xfId="11172" xr:uid="{00000000-0005-0000-0000-0000B12B0000}"/>
    <cellStyle name="Positive 2 2 16 3 2 8" xfId="11173" xr:uid="{00000000-0005-0000-0000-0000B22B0000}"/>
    <cellStyle name="Positive 2 2 16 3 2 8 2" xfId="11174" xr:uid="{00000000-0005-0000-0000-0000B32B0000}"/>
    <cellStyle name="Positive 2 2 16 3 2 9" xfId="11175" xr:uid="{00000000-0005-0000-0000-0000B42B0000}"/>
    <cellStyle name="Positive 2 2 16 3 2 9 2" xfId="11176" xr:uid="{00000000-0005-0000-0000-0000B52B0000}"/>
    <cellStyle name="Positive 2 2 16 3 20" xfId="11177" xr:uid="{00000000-0005-0000-0000-0000B62B0000}"/>
    <cellStyle name="Positive 2 2 16 3 3" xfId="11178" xr:uid="{00000000-0005-0000-0000-0000B72B0000}"/>
    <cellStyle name="Positive 2 2 16 3 3 2" xfId="11179" xr:uid="{00000000-0005-0000-0000-0000B82B0000}"/>
    <cellStyle name="Positive 2 2 16 3 3 2 2" xfId="11180" xr:uid="{00000000-0005-0000-0000-0000B92B0000}"/>
    <cellStyle name="Positive 2 2 16 3 3 3" xfId="11181" xr:uid="{00000000-0005-0000-0000-0000BA2B0000}"/>
    <cellStyle name="Positive 2 2 16 3 4" xfId="11182" xr:uid="{00000000-0005-0000-0000-0000BB2B0000}"/>
    <cellStyle name="Positive 2 2 16 3 4 2" xfId="11183" xr:uid="{00000000-0005-0000-0000-0000BC2B0000}"/>
    <cellStyle name="Positive 2 2 16 3 4 2 2" xfId="11184" xr:uid="{00000000-0005-0000-0000-0000BD2B0000}"/>
    <cellStyle name="Positive 2 2 16 3 4 3" xfId="11185" xr:uid="{00000000-0005-0000-0000-0000BE2B0000}"/>
    <cellStyle name="Positive 2 2 16 3 5" xfId="11186" xr:uid="{00000000-0005-0000-0000-0000BF2B0000}"/>
    <cellStyle name="Positive 2 2 16 3 5 2" xfId="11187" xr:uid="{00000000-0005-0000-0000-0000C02B0000}"/>
    <cellStyle name="Positive 2 2 16 3 6" xfId="11188" xr:uid="{00000000-0005-0000-0000-0000C12B0000}"/>
    <cellStyle name="Positive 2 2 16 3 6 2" xfId="11189" xr:uid="{00000000-0005-0000-0000-0000C22B0000}"/>
    <cellStyle name="Positive 2 2 16 3 7" xfId="11190" xr:uid="{00000000-0005-0000-0000-0000C32B0000}"/>
    <cellStyle name="Positive 2 2 16 3 7 2" xfId="11191" xr:uid="{00000000-0005-0000-0000-0000C42B0000}"/>
    <cellStyle name="Positive 2 2 16 3 8" xfId="11192" xr:uid="{00000000-0005-0000-0000-0000C52B0000}"/>
    <cellStyle name="Positive 2 2 16 3 8 2" xfId="11193" xr:uid="{00000000-0005-0000-0000-0000C62B0000}"/>
    <cellStyle name="Positive 2 2 16 3 9" xfId="11194" xr:uid="{00000000-0005-0000-0000-0000C72B0000}"/>
    <cellStyle name="Positive 2 2 16 3 9 2" xfId="11195" xr:uid="{00000000-0005-0000-0000-0000C82B0000}"/>
    <cellStyle name="Positive 2 2 16 4" xfId="11196" xr:uid="{00000000-0005-0000-0000-0000C92B0000}"/>
    <cellStyle name="Positive 2 2 16 4 10" xfId="11197" xr:uid="{00000000-0005-0000-0000-0000CA2B0000}"/>
    <cellStyle name="Positive 2 2 16 4 10 2" xfId="11198" xr:uid="{00000000-0005-0000-0000-0000CB2B0000}"/>
    <cellStyle name="Positive 2 2 16 4 11" xfId="11199" xr:uid="{00000000-0005-0000-0000-0000CC2B0000}"/>
    <cellStyle name="Positive 2 2 16 4 11 2" xfId="11200" xr:uid="{00000000-0005-0000-0000-0000CD2B0000}"/>
    <cellStyle name="Positive 2 2 16 4 12" xfId="11201" xr:uid="{00000000-0005-0000-0000-0000CE2B0000}"/>
    <cellStyle name="Positive 2 2 16 4 12 2" xfId="11202" xr:uid="{00000000-0005-0000-0000-0000CF2B0000}"/>
    <cellStyle name="Positive 2 2 16 4 13" xfId="11203" xr:uid="{00000000-0005-0000-0000-0000D02B0000}"/>
    <cellStyle name="Positive 2 2 16 4 13 2" xfId="11204" xr:uid="{00000000-0005-0000-0000-0000D12B0000}"/>
    <cellStyle name="Positive 2 2 16 4 14" xfId="11205" xr:uid="{00000000-0005-0000-0000-0000D22B0000}"/>
    <cellStyle name="Positive 2 2 16 4 14 2" xfId="11206" xr:uid="{00000000-0005-0000-0000-0000D32B0000}"/>
    <cellStyle name="Positive 2 2 16 4 15" xfId="11207" xr:uid="{00000000-0005-0000-0000-0000D42B0000}"/>
    <cellStyle name="Positive 2 2 16 4 15 2" xfId="11208" xr:uid="{00000000-0005-0000-0000-0000D52B0000}"/>
    <cellStyle name="Positive 2 2 16 4 16" xfId="11209" xr:uid="{00000000-0005-0000-0000-0000D62B0000}"/>
    <cellStyle name="Positive 2 2 16 4 16 2" xfId="11210" xr:uid="{00000000-0005-0000-0000-0000D72B0000}"/>
    <cellStyle name="Positive 2 2 16 4 17" xfId="11211" xr:uid="{00000000-0005-0000-0000-0000D82B0000}"/>
    <cellStyle name="Positive 2 2 16 4 17 2" xfId="11212" xr:uid="{00000000-0005-0000-0000-0000D92B0000}"/>
    <cellStyle name="Positive 2 2 16 4 18" xfId="11213" xr:uid="{00000000-0005-0000-0000-0000DA2B0000}"/>
    <cellStyle name="Positive 2 2 16 4 18 2" xfId="11214" xr:uid="{00000000-0005-0000-0000-0000DB2B0000}"/>
    <cellStyle name="Positive 2 2 16 4 19" xfId="11215" xr:uid="{00000000-0005-0000-0000-0000DC2B0000}"/>
    <cellStyle name="Positive 2 2 16 4 19 2" xfId="11216" xr:uid="{00000000-0005-0000-0000-0000DD2B0000}"/>
    <cellStyle name="Positive 2 2 16 4 2" xfId="11217" xr:uid="{00000000-0005-0000-0000-0000DE2B0000}"/>
    <cellStyle name="Positive 2 2 16 4 2 10" xfId="11218" xr:uid="{00000000-0005-0000-0000-0000DF2B0000}"/>
    <cellStyle name="Positive 2 2 16 4 2 10 2" xfId="11219" xr:uid="{00000000-0005-0000-0000-0000E02B0000}"/>
    <cellStyle name="Positive 2 2 16 4 2 11" xfId="11220" xr:uid="{00000000-0005-0000-0000-0000E12B0000}"/>
    <cellStyle name="Positive 2 2 16 4 2 11 2" xfId="11221" xr:uid="{00000000-0005-0000-0000-0000E22B0000}"/>
    <cellStyle name="Positive 2 2 16 4 2 12" xfId="11222" xr:uid="{00000000-0005-0000-0000-0000E32B0000}"/>
    <cellStyle name="Positive 2 2 16 4 2 12 2" xfId="11223" xr:uid="{00000000-0005-0000-0000-0000E42B0000}"/>
    <cellStyle name="Positive 2 2 16 4 2 13" xfId="11224" xr:uid="{00000000-0005-0000-0000-0000E52B0000}"/>
    <cellStyle name="Positive 2 2 16 4 2 13 2" xfId="11225" xr:uid="{00000000-0005-0000-0000-0000E62B0000}"/>
    <cellStyle name="Positive 2 2 16 4 2 14" xfId="11226" xr:uid="{00000000-0005-0000-0000-0000E72B0000}"/>
    <cellStyle name="Positive 2 2 16 4 2 14 2" xfId="11227" xr:uid="{00000000-0005-0000-0000-0000E82B0000}"/>
    <cellStyle name="Positive 2 2 16 4 2 15" xfId="11228" xr:uid="{00000000-0005-0000-0000-0000E92B0000}"/>
    <cellStyle name="Positive 2 2 16 4 2 15 2" xfId="11229" xr:uid="{00000000-0005-0000-0000-0000EA2B0000}"/>
    <cellStyle name="Positive 2 2 16 4 2 16" xfId="11230" xr:uid="{00000000-0005-0000-0000-0000EB2B0000}"/>
    <cellStyle name="Positive 2 2 16 4 2 16 2" xfId="11231" xr:uid="{00000000-0005-0000-0000-0000EC2B0000}"/>
    <cellStyle name="Positive 2 2 16 4 2 17" xfId="11232" xr:uid="{00000000-0005-0000-0000-0000ED2B0000}"/>
    <cellStyle name="Positive 2 2 16 4 2 2" xfId="11233" xr:uid="{00000000-0005-0000-0000-0000EE2B0000}"/>
    <cellStyle name="Positive 2 2 16 4 2 2 2" xfId="11234" xr:uid="{00000000-0005-0000-0000-0000EF2B0000}"/>
    <cellStyle name="Positive 2 2 16 4 2 3" xfId="11235" xr:uid="{00000000-0005-0000-0000-0000F02B0000}"/>
    <cellStyle name="Positive 2 2 16 4 2 3 2" xfId="11236" xr:uid="{00000000-0005-0000-0000-0000F12B0000}"/>
    <cellStyle name="Positive 2 2 16 4 2 4" xfId="11237" xr:uid="{00000000-0005-0000-0000-0000F22B0000}"/>
    <cellStyle name="Positive 2 2 16 4 2 4 2" xfId="11238" xr:uid="{00000000-0005-0000-0000-0000F32B0000}"/>
    <cellStyle name="Positive 2 2 16 4 2 5" xfId="11239" xr:uid="{00000000-0005-0000-0000-0000F42B0000}"/>
    <cellStyle name="Positive 2 2 16 4 2 5 2" xfId="11240" xr:uid="{00000000-0005-0000-0000-0000F52B0000}"/>
    <cellStyle name="Positive 2 2 16 4 2 6" xfId="11241" xr:uid="{00000000-0005-0000-0000-0000F62B0000}"/>
    <cellStyle name="Positive 2 2 16 4 2 6 2" xfId="11242" xr:uid="{00000000-0005-0000-0000-0000F72B0000}"/>
    <cellStyle name="Positive 2 2 16 4 2 7" xfId="11243" xr:uid="{00000000-0005-0000-0000-0000F82B0000}"/>
    <cellStyle name="Positive 2 2 16 4 2 7 2" xfId="11244" xr:uid="{00000000-0005-0000-0000-0000F92B0000}"/>
    <cellStyle name="Positive 2 2 16 4 2 8" xfId="11245" xr:uid="{00000000-0005-0000-0000-0000FA2B0000}"/>
    <cellStyle name="Positive 2 2 16 4 2 8 2" xfId="11246" xr:uid="{00000000-0005-0000-0000-0000FB2B0000}"/>
    <cellStyle name="Positive 2 2 16 4 2 9" xfId="11247" xr:uid="{00000000-0005-0000-0000-0000FC2B0000}"/>
    <cellStyle name="Positive 2 2 16 4 2 9 2" xfId="11248" xr:uid="{00000000-0005-0000-0000-0000FD2B0000}"/>
    <cellStyle name="Positive 2 2 16 4 20" xfId="11249" xr:uid="{00000000-0005-0000-0000-0000FE2B0000}"/>
    <cellStyle name="Positive 2 2 16 4 3" xfId="11250" xr:uid="{00000000-0005-0000-0000-0000FF2B0000}"/>
    <cellStyle name="Positive 2 2 16 4 3 2" xfId="11251" xr:uid="{00000000-0005-0000-0000-0000002C0000}"/>
    <cellStyle name="Positive 2 2 16 4 3 2 2" xfId="11252" xr:uid="{00000000-0005-0000-0000-0000012C0000}"/>
    <cellStyle name="Positive 2 2 16 4 3 3" xfId="11253" xr:uid="{00000000-0005-0000-0000-0000022C0000}"/>
    <cellStyle name="Positive 2 2 16 4 4" xfId="11254" xr:uid="{00000000-0005-0000-0000-0000032C0000}"/>
    <cellStyle name="Positive 2 2 16 4 4 2" xfId="11255" xr:uid="{00000000-0005-0000-0000-0000042C0000}"/>
    <cellStyle name="Positive 2 2 16 4 4 2 2" xfId="11256" xr:uid="{00000000-0005-0000-0000-0000052C0000}"/>
    <cellStyle name="Positive 2 2 16 4 4 3" xfId="11257" xr:uid="{00000000-0005-0000-0000-0000062C0000}"/>
    <cellStyle name="Positive 2 2 16 4 5" xfId="11258" xr:uid="{00000000-0005-0000-0000-0000072C0000}"/>
    <cellStyle name="Positive 2 2 16 4 5 2" xfId="11259" xr:uid="{00000000-0005-0000-0000-0000082C0000}"/>
    <cellStyle name="Positive 2 2 16 4 6" xfId="11260" xr:uid="{00000000-0005-0000-0000-0000092C0000}"/>
    <cellStyle name="Positive 2 2 16 4 6 2" xfId="11261" xr:uid="{00000000-0005-0000-0000-00000A2C0000}"/>
    <cellStyle name="Positive 2 2 16 4 7" xfId="11262" xr:uid="{00000000-0005-0000-0000-00000B2C0000}"/>
    <cellStyle name="Positive 2 2 16 4 7 2" xfId="11263" xr:uid="{00000000-0005-0000-0000-00000C2C0000}"/>
    <cellStyle name="Positive 2 2 16 4 8" xfId="11264" xr:uid="{00000000-0005-0000-0000-00000D2C0000}"/>
    <cellStyle name="Positive 2 2 16 4 8 2" xfId="11265" xr:uid="{00000000-0005-0000-0000-00000E2C0000}"/>
    <cellStyle name="Positive 2 2 16 4 9" xfId="11266" xr:uid="{00000000-0005-0000-0000-00000F2C0000}"/>
    <cellStyle name="Positive 2 2 16 4 9 2" xfId="11267" xr:uid="{00000000-0005-0000-0000-0000102C0000}"/>
    <cellStyle name="Positive 2 2 16 5" xfId="11268" xr:uid="{00000000-0005-0000-0000-0000112C0000}"/>
    <cellStyle name="Positive 2 2 16 5 10" xfId="11269" xr:uid="{00000000-0005-0000-0000-0000122C0000}"/>
    <cellStyle name="Positive 2 2 16 5 10 2" xfId="11270" xr:uid="{00000000-0005-0000-0000-0000132C0000}"/>
    <cellStyle name="Positive 2 2 16 5 11" xfId="11271" xr:uid="{00000000-0005-0000-0000-0000142C0000}"/>
    <cellStyle name="Positive 2 2 16 5 11 2" xfId="11272" xr:uid="{00000000-0005-0000-0000-0000152C0000}"/>
    <cellStyle name="Positive 2 2 16 5 12" xfId="11273" xr:uid="{00000000-0005-0000-0000-0000162C0000}"/>
    <cellStyle name="Positive 2 2 16 5 12 2" xfId="11274" xr:uid="{00000000-0005-0000-0000-0000172C0000}"/>
    <cellStyle name="Positive 2 2 16 5 13" xfId="11275" xr:uid="{00000000-0005-0000-0000-0000182C0000}"/>
    <cellStyle name="Positive 2 2 16 5 13 2" xfId="11276" xr:uid="{00000000-0005-0000-0000-0000192C0000}"/>
    <cellStyle name="Positive 2 2 16 5 14" xfId="11277" xr:uid="{00000000-0005-0000-0000-00001A2C0000}"/>
    <cellStyle name="Positive 2 2 16 5 14 2" xfId="11278" xr:uid="{00000000-0005-0000-0000-00001B2C0000}"/>
    <cellStyle name="Positive 2 2 16 5 15" xfId="11279" xr:uid="{00000000-0005-0000-0000-00001C2C0000}"/>
    <cellStyle name="Positive 2 2 16 5 15 2" xfId="11280" xr:uid="{00000000-0005-0000-0000-00001D2C0000}"/>
    <cellStyle name="Positive 2 2 16 5 16" xfId="11281" xr:uid="{00000000-0005-0000-0000-00001E2C0000}"/>
    <cellStyle name="Positive 2 2 16 5 16 2" xfId="11282" xr:uid="{00000000-0005-0000-0000-00001F2C0000}"/>
    <cellStyle name="Positive 2 2 16 5 17" xfId="11283" xr:uid="{00000000-0005-0000-0000-0000202C0000}"/>
    <cellStyle name="Positive 2 2 16 5 2" xfId="11284" xr:uid="{00000000-0005-0000-0000-0000212C0000}"/>
    <cellStyle name="Positive 2 2 16 5 2 2" xfId="11285" xr:uid="{00000000-0005-0000-0000-0000222C0000}"/>
    <cellStyle name="Positive 2 2 16 5 3" xfId="11286" xr:uid="{00000000-0005-0000-0000-0000232C0000}"/>
    <cellStyle name="Positive 2 2 16 5 3 2" xfId="11287" xr:uid="{00000000-0005-0000-0000-0000242C0000}"/>
    <cellStyle name="Positive 2 2 16 5 4" xfId="11288" xr:uid="{00000000-0005-0000-0000-0000252C0000}"/>
    <cellStyle name="Positive 2 2 16 5 4 2" xfId="11289" xr:uid="{00000000-0005-0000-0000-0000262C0000}"/>
    <cellStyle name="Positive 2 2 16 5 5" xfId="11290" xr:uid="{00000000-0005-0000-0000-0000272C0000}"/>
    <cellStyle name="Positive 2 2 16 5 5 2" xfId="11291" xr:uid="{00000000-0005-0000-0000-0000282C0000}"/>
    <cellStyle name="Positive 2 2 16 5 6" xfId="11292" xr:uid="{00000000-0005-0000-0000-0000292C0000}"/>
    <cellStyle name="Positive 2 2 16 5 6 2" xfId="11293" xr:uid="{00000000-0005-0000-0000-00002A2C0000}"/>
    <cellStyle name="Positive 2 2 16 5 7" xfId="11294" xr:uid="{00000000-0005-0000-0000-00002B2C0000}"/>
    <cellStyle name="Positive 2 2 16 5 7 2" xfId="11295" xr:uid="{00000000-0005-0000-0000-00002C2C0000}"/>
    <cellStyle name="Positive 2 2 16 5 8" xfId="11296" xr:uid="{00000000-0005-0000-0000-00002D2C0000}"/>
    <cellStyle name="Positive 2 2 16 5 8 2" xfId="11297" xr:uid="{00000000-0005-0000-0000-00002E2C0000}"/>
    <cellStyle name="Positive 2 2 16 5 9" xfId="11298" xr:uid="{00000000-0005-0000-0000-00002F2C0000}"/>
    <cellStyle name="Positive 2 2 16 5 9 2" xfId="11299" xr:uid="{00000000-0005-0000-0000-0000302C0000}"/>
    <cellStyle name="Positive 2 2 16 6" xfId="11300" xr:uid="{00000000-0005-0000-0000-0000312C0000}"/>
    <cellStyle name="Positive 2 2 16 6 2" xfId="11301" xr:uid="{00000000-0005-0000-0000-0000322C0000}"/>
    <cellStyle name="Positive 2 2 16 6 2 2" xfId="11302" xr:uid="{00000000-0005-0000-0000-0000332C0000}"/>
    <cellStyle name="Positive 2 2 16 6 3" xfId="11303" xr:uid="{00000000-0005-0000-0000-0000342C0000}"/>
    <cellStyle name="Positive 2 2 16 7" xfId="11304" xr:uid="{00000000-0005-0000-0000-0000352C0000}"/>
    <cellStyle name="Positive 2 2 16 7 2" xfId="11305" xr:uid="{00000000-0005-0000-0000-0000362C0000}"/>
    <cellStyle name="Positive 2 2 16 7 2 2" xfId="11306" xr:uid="{00000000-0005-0000-0000-0000372C0000}"/>
    <cellStyle name="Positive 2 2 16 7 3" xfId="11307" xr:uid="{00000000-0005-0000-0000-0000382C0000}"/>
    <cellStyle name="Positive 2 2 16 8" xfId="11308" xr:uid="{00000000-0005-0000-0000-0000392C0000}"/>
    <cellStyle name="Positive 2 2 16 8 2" xfId="11309" xr:uid="{00000000-0005-0000-0000-00003A2C0000}"/>
    <cellStyle name="Positive 2 2 16 9" xfId="11310" xr:uid="{00000000-0005-0000-0000-00003B2C0000}"/>
    <cellStyle name="Positive 2 2 16 9 2" xfId="11311" xr:uid="{00000000-0005-0000-0000-00003C2C0000}"/>
    <cellStyle name="Positive 2 2 17" xfId="11312" xr:uid="{00000000-0005-0000-0000-00003D2C0000}"/>
    <cellStyle name="Positive 2 2 17 10" xfId="11313" xr:uid="{00000000-0005-0000-0000-00003E2C0000}"/>
    <cellStyle name="Positive 2 2 17 10 2" xfId="11314" xr:uid="{00000000-0005-0000-0000-00003F2C0000}"/>
    <cellStyle name="Positive 2 2 17 11" xfId="11315" xr:uid="{00000000-0005-0000-0000-0000402C0000}"/>
    <cellStyle name="Positive 2 2 17 11 2" xfId="11316" xr:uid="{00000000-0005-0000-0000-0000412C0000}"/>
    <cellStyle name="Positive 2 2 17 12" xfId="11317" xr:uid="{00000000-0005-0000-0000-0000422C0000}"/>
    <cellStyle name="Positive 2 2 17 12 2" xfId="11318" xr:uid="{00000000-0005-0000-0000-0000432C0000}"/>
    <cellStyle name="Positive 2 2 17 13" xfId="11319" xr:uid="{00000000-0005-0000-0000-0000442C0000}"/>
    <cellStyle name="Positive 2 2 17 13 2" xfId="11320" xr:uid="{00000000-0005-0000-0000-0000452C0000}"/>
    <cellStyle name="Positive 2 2 17 14" xfId="11321" xr:uid="{00000000-0005-0000-0000-0000462C0000}"/>
    <cellStyle name="Positive 2 2 17 14 2" xfId="11322" xr:uid="{00000000-0005-0000-0000-0000472C0000}"/>
    <cellStyle name="Positive 2 2 17 15" xfId="11323" xr:uid="{00000000-0005-0000-0000-0000482C0000}"/>
    <cellStyle name="Positive 2 2 17 15 2" xfId="11324" xr:uid="{00000000-0005-0000-0000-0000492C0000}"/>
    <cellStyle name="Positive 2 2 17 16" xfId="11325" xr:uid="{00000000-0005-0000-0000-00004A2C0000}"/>
    <cellStyle name="Positive 2 2 17 16 2" xfId="11326" xr:uid="{00000000-0005-0000-0000-00004B2C0000}"/>
    <cellStyle name="Positive 2 2 17 17" xfId="11327" xr:uid="{00000000-0005-0000-0000-00004C2C0000}"/>
    <cellStyle name="Positive 2 2 17 17 2" xfId="11328" xr:uid="{00000000-0005-0000-0000-00004D2C0000}"/>
    <cellStyle name="Positive 2 2 17 18" xfId="11329" xr:uid="{00000000-0005-0000-0000-00004E2C0000}"/>
    <cellStyle name="Positive 2 2 17 18 2" xfId="11330" xr:uid="{00000000-0005-0000-0000-00004F2C0000}"/>
    <cellStyle name="Positive 2 2 17 19" xfId="11331" xr:uid="{00000000-0005-0000-0000-0000502C0000}"/>
    <cellStyle name="Positive 2 2 17 19 2" xfId="11332" xr:uid="{00000000-0005-0000-0000-0000512C0000}"/>
    <cellStyle name="Positive 2 2 17 2" xfId="11333" xr:uid="{00000000-0005-0000-0000-0000522C0000}"/>
    <cellStyle name="Positive 2 2 17 2 10" xfId="11334" xr:uid="{00000000-0005-0000-0000-0000532C0000}"/>
    <cellStyle name="Positive 2 2 17 2 10 2" xfId="11335" xr:uid="{00000000-0005-0000-0000-0000542C0000}"/>
    <cellStyle name="Positive 2 2 17 2 11" xfId="11336" xr:uid="{00000000-0005-0000-0000-0000552C0000}"/>
    <cellStyle name="Positive 2 2 17 2 11 2" xfId="11337" xr:uid="{00000000-0005-0000-0000-0000562C0000}"/>
    <cellStyle name="Positive 2 2 17 2 12" xfId="11338" xr:uid="{00000000-0005-0000-0000-0000572C0000}"/>
    <cellStyle name="Positive 2 2 17 2 12 2" xfId="11339" xr:uid="{00000000-0005-0000-0000-0000582C0000}"/>
    <cellStyle name="Positive 2 2 17 2 13" xfId="11340" xr:uid="{00000000-0005-0000-0000-0000592C0000}"/>
    <cellStyle name="Positive 2 2 17 2 13 2" xfId="11341" xr:uid="{00000000-0005-0000-0000-00005A2C0000}"/>
    <cellStyle name="Positive 2 2 17 2 14" xfId="11342" xr:uid="{00000000-0005-0000-0000-00005B2C0000}"/>
    <cellStyle name="Positive 2 2 17 2 14 2" xfId="11343" xr:uid="{00000000-0005-0000-0000-00005C2C0000}"/>
    <cellStyle name="Positive 2 2 17 2 15" xfId="11344" xr:uid="{00000000-0005-0000-0000-00005D2C0000}"/>
    <cellStyle name="Positive 2 2 17 2 15 2" xfId="11345" xr:uid="{00000000-0005-0000-0000-00005E2C0000}"/>
    <cellStyle name="Positive 2 2 17 2 16" xfId="11346" xr:uid="{00000000-0005-0000-0000-00005F2C0000}"/>
    <cellStyle name="Positive 2 2 17 2 16 2" xfId="11347" xr:uid="{00000000-0005-0000-0000-0000602C0000}"/>
    <cellStyle name="Positive 2 2 17 2 17" xfId="11348" xr:uid="{00000000-0005-0000-0000-0000612C0000}"/>
    <cellStyle name="Positive 2 2 17 2 17 2" xfId="11349" xr:uid="{00000000-0005-0000-0000-0000622C0000}"/>
    <cellStyle name="Positive 2 2 17 2 18" xfId="11350" xr:uid="{00000000-0005-0000-0000-0000632C0000}"/>
    <cellStyle name="Positive 2 2 17 2 18 2" xfId="11351" xr:uid="{00000000-0005-0000-0000-0000642C0000}"/>
    <cellStyle name="Positive 2 2 17 2 19" xfId="11352" xr:uid="{00000000-0005-0000-0000-0000652C0000}"/>
    <cellStyle name="Positive 2 2 17 2 19 2" xfId="11353" xr:uid="{00000000-0005-0000-0000-0000662C0000}"/>
    <cellStyle name="Positive 2 2 17 2 2" xfId="11354" xr:uid="{00000000-0005-0000-0000-0000672C0000}"/>
    <cellStyle name="Positive 2 2 17 2 2 10" xfId="11355" xr:uid="{00000000-0005-0000-0000-0000682C0000}"/>
    <cellStyle name="Positive 2 2 17 2 2 10 2" xfId="11356" xr:uid="{00000000-0005-0000-0000-0000692C0000}"/>
    <cellStyle name="Positive 2 2 17 2 2 11" xfId="11357" xr:uid="{00000000-0005-0000-0000-00006A2C0000}"/>
    <cellStyle name="Positive 2 2 17 2 2 11 2" xfId="11358" xr:uid="{00000000-0005-0000-0000-00006B2C0000}"/>
    <cellStyle name="Positive 2 2 17 2 2 12" xfId="11359" xr:uid="{00000000-0005-0000-0000-00006C2C0000}"/>
    <cellStyle name="Positive 2 2 17 2 2 12 2" xfId="11360" xr:uid="{00000000-0005-0000-0000-00006D2C0000}"/>
    <cellStyle name="Positive 2 2 17 2 2 13" xfId="11361" xr:uid="{00000000-0005-0000-0000-00006E2C0000}"/>
    <cellStyle name="Positive 2 2 17 2 2 13 2" xfId="11362" xr:uid="{00000000-0005-0000-0000-00006F2C0000}"/>
    <cellStyle name="Positive 2 2 17 2 2 14" xfId="11363" xr:uid="{00000000-0005-0000-0000-0000702C0000}"/>
    <cellStyle name="Positive 2 2 17 2 2 14 2" xfId="11364" xr:uid="{00000000-0005-0000-0000-0000712C0000}"/>
    <cellStyle name="Positive 2 2 17 2 2 15" xfId="11365" xr:uid="{00000000-0005-0000-0000-0000722C0000}"/>
    <cellStyle name="Positive 2 2 17 2 2 15 2" xfId="11366" xr:uid="{00000000-0005-0000-0000-0000732C0000}"/>
    <cellStyle name="Positive 2 2 17 2 2 16" xfId="11367" xr:uid="{00000000-0005-0000-0000-0000742C0000}"/>
    <cellStyle name="Positive 2 2 17 2 2 16 2" xfId="11368" xr:uid="{00000000-0005-0000-0000-0000752C0000}"/>
    <cellStyle name="Positive 2 2 17 2 2 17" xfId="11369" xr:uid="{00000000-0005-0000-0000-0000762C0000}"/>
    <cellStyle name="Positive 2 2 17 2 2 2" xfId="11370" xr:uid="{00000000-0005-0000-0000-0000772C0000}"/>
    <cellStyle name="Positive 2 2 17 2 2 2 2" xfId="11371" xr:uid="{00000000-0005-0000-0000-0000782C0000}"/>
    <cellStyle name="Positive 2 2 17 2 2 3" xfId="11372" xr:uid="{00000000-0005-0000-0000-0000792C0000}"/>
    <cellStyle name="Positive 2 2 17 2 2 3 2" xfId="11373" xr:uid="{00000000-0005-0000-0000-00007A2C0000}"/>
    <cellStyle name="Positive 2 2 17 2 2 4" xfId="11374" xr:uid="{00000000-0005-0000-0000-00007B2C0000}"/>
    <cellStyle name="Positive 2 2 17 2 2 4 2" xfId="11375" xr:uid="{00000000-0005-0000-0000-00007C2C0000}"/>
    <cellStyle name="Positive 2 2 17 2 2 5" xfId="11376" xr:uid="{00000000-0005-0000-0000-00007D2C0000}"/>
    <cellStyle name="Positive 2 2 17 2 2 5 2" xfId="11377" xr:uid="{00000000-0005-0000-0000-00007E2C0000}"/>
    <cellStyle name="Positive 2 2 17 2 2 6" xfId="11378" xr:uid="{00000000-0005-0000-0000-00007F2C0000}"/>
    <cellStyle name="Positive 2 2 17 2 2 6 2" xfId="11379" xr:uid="{00000000-0005-0000-0000-0000802C0000}"/>
    <cellStyle name="Positive 2 2 17 2 2 7" xfId="11380" xr:uid="{00000000-0005-0000-0000-0000812C0000}"/>
    <cellStyle name="Positive 2 2 17 2 2 7 2" xfId="11381" xr:uid="{00000000-0005-0000-0000-0000822C0000}"/>
    <cellStyle name="Positive 2 2 17 2 2 8" xfId="11382" xr:uid="{00000000-0005-0000-0000-0000832C0000}"/>
    <cellStyle name="Positive 2 2 17 2 2 8 2" xfId="11383" xr:uid="{00000000-0005-0000-0000-0000842C0000}"/>
    <cellStyle name="Positive 2 2 17 2 2 9" xfId="11384" xr:uid="{00000000-0005-0000-0000-0000852C0000}"/>
    <cellStyle name="Positive 2 2 17 2 2 9 2" xfId="11385" xr:uid="{00000000-0005-0000-0000-0000862C0000}"/>
    <cellStyle name="Positive 2 2 17 2 20" xfId="11386" xr:uid="{00000000-0005-0000-0000-0000872C0000}"/>
    <cellStyle name="Positive 2 2 17 2 3" xfId="11387" xr:uid="{00000000-0005-0000-0000-0000882C0000}"/>
    <cellStyle name="Positive 2 2 17 2 3 2" xfId="11388" xr:uid="{00000000-0005-0000-0000-0000892C0000}"/>
    <cellStyle name="Positive 2 2 17 2 3 2 2" xfId="11389" xr:uid="{00000000-0005-0000-0000-00008A2C0000}"/>
    <cellStyle name="Positive 2 2 17 2 3 3" xfId="11390" xr:uid="{00000000-0005-0000-0000-00008B2C0000}"/>
    <cellStyle name="Positive 2 2 17 2 4" xfId="11391" xr:uid="{00000000-0005-0000-0000-00008C2C0000}"/>
    <cellStyle name="Positive 2 2 17 2 4 2" xfId="11392" xr:uid="{00000000-0005-0000-0000-00008D2C0000}"/>
    <cellStyle name="Positive 2 2 17 2 4 2 2" xfId="11393" xr:uid="{00000000-0005-0000-0000-00008E2C0000}"/>
    <cellStyle name="Positive 2 2 17 2 4 3" xfId="11394" xr:uid="{00000000-0005-0000-0000-00008F2C0000}"/>
    <cellStyle name="Positive 2 2 17 2 5" xfId="11395" xr:uid="{00000000-0005-0000-0000-0000902C0000}"/>
    <cellStyle name="Positive 2 2 17 2 5 2" xfId="11396" xr:uid="{00000000-0005-0000-0000-0000912C0000}"/>
    <cellStyle name="Positive 2 2 17 2 6" xfId="11397" xr:uid="{00000000-0005-0000-0000-0000922C0000}"/>
    <cellStyle name="Positive 2 2 17 2 6 2" xfId="11398" xr:uid="{00000000-0005-0000-0000-0000932C0000}"/>
    <cellStyle name="Positive 2 2 17 2 7" xfId="11399" xr:uid="{00000000-0005-0000-0000-0000942C0000}"/>
    <cellStyle name="Positive 2 2 17 2 7 2" xfId="11400" xr:uid="{00000000-0005-0000-0000-0000952C0000}"/>
    <cellStyle name="Positive 2 2 17 2 8" xfId="11401" xr:uid="{00000000-0005-0000-0000-0000962C0000}"/>
    <cellStyle name="Positive 2 2 17 2 8 2" xfId="11402" xr:uid="{00000000-0005-0000-0000-0000972C0000}"/>
    <cellStyle name="Positive 2 2 17 2 9" xfId="11403" xr:uid="{00000000-0005-0000-0000-0000982C0000}"/>
    <cellStyle name="Positive 2 2 17 2 9 2" xfId="11404" xr:uid="{00000000-0005-0000-0000-0000992C0000}"/>
    <cellStyle name="Positive 2 2 17 20" xfId="11405" xr:uid="{00000000-0005-0000-0000-00009A2C0000}"/>
    <cellStyle name="Positive 2 2 17 20 2" xfId="11406" xr:uid="{00000000-0005-0000-0000-00009B2C0000}"/>
    <cellStyle name="Positive 2 2 17 21" xfId="11407" xr:uid="{00000000-0005-0000-0000-00009C2C0000}"/>
    <cellStyle name="Positive 2 2 17 21 2" xfId="11408" xr:uid="{00000000-0005-0000-0000-00009D2C0000}"/>
    <cellStyle name="Positive 2 2 17 22" xfId="11409" xr:uid="{00000000-0005-0000-0000-00009E2C0000}"/>
    <cellStyle name="Positive 2 2 17 22 2" xfId="11410" xr:uid="{00000000-0005-0000-0000-00009F2C0000}"/>
    <cellStyle name="Positive 2 2 17 23" xfId="11411" xr:uid="{00000000-0005-0000-0000-0000A02C0000}"/>
    <cellStyle name="Positive 2 2 17 3" xfId="11412" xr:uid="{00000000-0005-0000-0000-0000A12C0000}"/>
    <cellStyle name="Positive 2 2 17 3 10" xfId="11413" xr:uid="{00000000-0005-0000-0000-0000A22C0000}"/>
    <cellStyle name="Positive 2 2 17 3 10 2" xfId="11414" xr:uid="{00000000-0005-0000-0000-0000A32C0000}"/>
    <cellStyle name="Positive 2 2 17 3 11" xfId="11415" xr:uid="{00000000-0005-0000-0000-0000A42C0000}"/>
    <cellStyle name="Positive 2 2 17 3 11 2" xfId="11416" xr:uid="{00000000-0005-0000-0000-0000A52C0000}"/>
    <cellStyle name="Positive 2 2 17 3 12" xfId="11417" xr:uid="{00000000-0005-0000-0000-0000A62C0000}"/>
    <cellStyle name="Positive 2 2 17 3 12 2" xfId="11418" xr:uid="{00000000-0005-0000-0000-0000A72C0000}"/>
    <cellStyle name="Positive 2 2 17 3 13" xfId="11419" xr:uid="{00000000-0005-0000-0000-0000A82C0000}"/>
    <cellStyle name="Positive 2 2 17 3 13 2" xfId="11420" xr:uid="{00000000-0005-0000-0000-0000A92C0000}"/>
    <cellStyle name="Positive 2 2 17 3 14" xfId="11421" xr:uid="{00000000-0005-0000-0000-0000AA2C0000}"/>
    <cellStyle name="Positive 2 2 17 3 14 2" xfId="11422" xr:uid="{00000000-0005-0000-0000-0000AB2C0000}"/>
    <cellStyle name="Positive 2 2 17 3 15" xfId="11423" xr:uid="{00000000-0005-0000-0000-0000AC2C0000}"/>
    <cellStyle name="Positive 2 2 17 3 15 2" xfId="11424" xr:uid="{00000000-0005-0000-0000-0000AD2C0000}"/>
    <cellStyle name="Positive 2 2 17 3 16" xfId="11425" xr:uid="{00000000-0005-0000-0000-0000AE2C0000}"/>
    <cellStyle name="Positive 2 2 17 3 16 2" xfId="11426" xr:uid="{00000000-0005-0000-0000-0000AF2C0000}"/>
    <cellStyle name="Positive 2 2 17 3 17" xfId="11427" xr:uid="{00000000-0005-0000-0000-0000B02C0000}"/>
    <cellStyle name="Positive 2 2 17 3 17 2" xfId="11428" xr:uid="{00000000-0005-0000-0000-0000B12C0000}"/>
    <cellStyle name="Positive 2 2 17 3 18" xfId="11429" xr:uid="{00000000-0005-0000-0000-0000B22C0000}"/>
    <cellStyle name="Positive 2 2 17 3 18 2" xfId="11430" xr:uid="{00000000-0005-0000-0000-0000B32C0000}"/>
    <cellStyle name="Positive 2 2 17 3 19" xfId="11431" xr:uid="{00000000-0005-0000-0000-0000B42C0000}"/>
    <cellStyle name="Positive 2 2 17 3 19 2" xfId="11432" xr:uid="{00000000-0005-0000-0000-0000B52C0000}"/>
    <cellStyle name="Positive 2 2 17 3 2" xfId="11433" xr:uid="{00000000-0005-0000-0000-0000B62C0000}"/>
    <cellStyle name="Positive 2 2 17 3 2 10" xfId="11434" xr:uid="{00000000-0005-0000-0000-0000B72C0000}"/>
    <cellStyle name="Positive 2 2 17 3 2 10 2" xfId="11435" xr:uid="{00000000-0005-0000-0000-0000B82C0000}"/>
    <cellStyle name="Positive 2 2 17 3 2 11" xfId="11436" xr:uid="{00000000-0005-0000-0000-0000B92C0000}"/>
    <cellStyle name="Positive 2 2 17 3 2 11 2" xfId="11437" xr:uid="{00000000-0005-0000-0000-0000BA2C0000}"/>
    <cellStyle name="Positive 2 2 17 3 2 12" xfId="11438" xr:uid="{00000000-0005-0000-0000-0000BB2C0000}"/>
    <cellStyle name="Positive 2 2 17 3 2 12 2" xfId="11439" xr:uid="{00000000-0005-0000-0000-0000BC2C0000}"/>
    <cellStyle name="Positive 2 2 17 3 2 13" xfId="11440" xr:uid="{00000000-0005-0000-0000-0000BD2C0000}"/>
    <cellStyle name="Positive 2 2 17 3 2 13 2" xfId="11441" xr:uid="{00000000-0005-0000-0000-0000BE2C0000}"/>
    <cellStyle name="Positive 2 2 17 3 2 14" xfId="11442" xr:uid="{00000000-0005-0000-0000-0000BF2C0000}"/>
    <cellStyle name="Positive 2 2 17 3 2 14 2" xfId="11443" xr:uid="{00000000-0005-0000-0000-0000C02C0000}"/>
    <cellStyle name="Positive 2 2 17 3 2 15" xfId="11444" xr:uid="{00000000-0005-0000-0000-0000C12C0000}"/>
    <cellStyle name="Positive 2 2 17 3 2 15 2" xfId="11445" xr:uid="{00000000-0005-0000-0000-0000C22C0000}"/>
    <cellStyle name="Positive 2 2 17 3 2 16" xfId="11446" xr:uid="{00000000-0005-0000-0000-0000C32C0000}"/>
    <cellStyle name="Positive 2 2 17 3 2 16 2" xfId="11447" xr:uid="{00000000-0005-0000-0000-0000C42C0000}"/>
    <cellStyle name="Positive 2 2 17 3 2 17" xfId="11448" xr:uid="{00000000-0005-0000-0000-0000C52C0000}"/>
    <cellStyle name="Positive 2 2 17 3 2 2" xfId="11449" xr:uid="{00000000-0005-0000-0000-0000C62C0000}"/>
    <cellStyle name="Positive 2 2 17 3 2 2 2" xfId="11450" xr:uid="{00000000-0005-0000-0000-0000C72C0000}"/>
    <cellStyle name="Positive 2 2 17 3 2 3" xfId="11451" xr:uid="{00000000-0005-0000-0000-0000C82C0000}"/>
    <cellStyle name="Positive 2 2 17 3 2 3 2" xfId="11452" xr:uid="{00000000-0005-0000-0000-0000C92C0000}"/>
    <cellStyle name="Positive 2 2 17 3 2 4" xfId="11453" xr:uid="{00000000-0005-0000-0000-0000CA2C0000}"/>
    <cellStyle name="Positive 2 2 17 3 2 4 2" xfId="11454" xr:uid="{00000000-0005-0000-0000-0000CB2C0000}"/>
    <cellStyle name="Positive 2 2 17 3 2 5" xfId="11455" xr:uid="{00000000-0005-0000-0000-0000CC2C0000}"/>
    <cellStyle name="Positive 2 2 17 3 2 5 2" xfId="11456" xr:uid="{00000000-0005-0000-0000-0000CD2C0000}"/>
    <cellStyle name="Positive 2 2 17 3 2 6" xfId="11457" xr:uid="{00000000-0005-0000-0000-0000CE2C0000}"/>
    <cellStyle name="Positive 2 2 17 3 2 6 2" xfId="11458" xr:uid="{00000000-0005-0000-0000-0000CF2C0000}"/>
    <cellStyle name="Positive 2 2 17 3 2 7" xfId="11459" xr:uid="{00000000-0005-0000-0000-0000D02C0000}"/>
    <cellStyle name="Positive 2 2 17 3 2 7 2" xfId="11460" xr:uid="{00000000-0005-0000-0000-0000D12C0000}"/>
    <cellStyle name="Positive 2 2 17 3 2 8" xfId="11461" xr:uid="{00000000-0005-0000-0000-0000D22C0000}"/>
    <cellStyle name="Positive 2 2 17 3 2 8 2" xfId="11462" xr:uid="{00000000-0005-0000-0000-0000D32C0000}"/>
    <cellStyle name="Positive 2 2 17 3 2 9" xfId="11463" xr:uid="{00000000-0005-0000-0000-0000D42C0000}"/>
    <cellStyle name="Positive 2 2 17 3 2 9 2" xfId="11464" xr:uid="{00000000-0005-0000-0000-0000D52C0000}"/>
    <cellStyle name="Positive 2 2 17 3 20" xfId="11465" xr:uid="{00000000-0005-0000-0000-0000D62C0000}"/>
    <cellStyle name="Positive 2 2 17 3 3" xfId="11466" xr:uid="{00000000-0005-0000-0000-0000D72C0000}"/>
    <cellStyle name="Positive 2 2 17 3 3 2" xfId="11467" xr:uid="{00000000-0005-0000-0000-0000D82C0000}"/>
    <cellStyle name="Positive 2 2 17 3 3 2 2" xfId="11468" xr:uid="{00000000-0005-0000-0000-0000D92C0000}"/>
    <cellStyle name="Positive 2 2 17 3 3 3" xfId="11469" xr:uid="{00000000-0005-0000-0000-0000DA2C0000}"/>
    <cellStyle name="Positive 2 2 17 3 4" xfId="11470" xr:uid="{00000000-0005-0000-0000-0000DB2C0000}"/>
    <cellStyle name="Positive 2 2 17 3 4 2" xfId="11471" xr:uid="{00000000-0005-0000-0000-0000DC2C0000}"/>
    <cellStyle name="Positive 2 2 17 3 4 2 2" xfId="11472" xr:uid="{00000000-0005-0000-0000-0000DD2C0000}"/>
    <cellStyle name="Positive 2 2 17 3 4 3" xfId="11473" xr:uid="{00000000-0005-0000-0000-0000DE2C0000}"/>
    <cellStyle name="Positive 2 2 17 3 5" xfId="11474" xr:uid="{00000000-0005-0000-0000-0000DF2C0000}"/>
    <cellStyle name="Positive 2 2 17 3 5 2" xfId="11475" xr:uid="{00000000-0005-0000-0000-0000E02C0000}"/>
    <cellStyle name="Positive 2 2 17 3 6" xfId="11476" xr:uid="{00000000-0005-0000-0000-0000E12C0000}"/>
    <cellStyle name="Positive 2 2 17 3 6 2" xfId="11477" xr:uid="{00000000-0005-0000-0000-0000E22C0000}"/>
    <cellStyle name="Positive 2 2 17 3 7" xfId="11478" xr:uid="{00000000-0005-0000-0000-0000E32C0000}"/>
    <cellStyle name="Positive 2 2 17 3 7 2" xfId="11479" xr:uid="{00000000-0005-0000-0000-0000E42C0000}"/>
    <cellStyle name="Positive 2 2 17 3 8" xfId="11480" xr:uid="{00000000-0005-0000-0000-0000E52C0000}"/>
    <cellStyle name="Positive 2 2 17 3 8 2" xfId="11481" xr:uid="{00000000-0005-0000-0000-0000E62C0000}"/>
    <cellStyle name="Positive 2 2 17 3 9" xfId="11482" xr:uid="{00000000-0005-0000-0000-0000E72C0000}"/>
    <cellStyle name="Positive 2 2 17 3 9 2" xfId="11483" xr:uid="{00000000-0005-0000-0000-0000E82C0000}"/>
    <cellStyle name="Positive 2 2 17 4" xfId="11484" xr:uid="{00000000-0005-0000-0000-0000E92C0000}"/>
    <cellStyle name="Positive 2 2 17 4 10" xfId="11485" xr:uid="{00000000-0005-0000-0000-0000EA2C0000}"/>
    <cellStyle name="Positive 2 2 17 4 10 2" xfId="11486" xr:uid="{00000000-0005-0000-0000-0000EB2C0000}"/>
    <cellStyle name="Positive 2 2 17 4 11" xfId="11487" xr:uid="{00000000-0005-0000-0000-0000EC2C0000}"/>
    <cellStyle name="Positive 2 2 17 4 11 2" xfId="11488" xr:uid="{00000000-0005-0000-0000-0000ED2C0000}"/>
    <cellStyle name="Positive 2 2 17 4 12" xfId="11489" xr:uid="{00000000-0005-0000-0000-0000EE2C0000}"/>
    <cellStyle name="Positive 2 2 17 4 12 2" xfId="11490" xr:uid="{00000000-0005-0000-0000-0000EF2C0000}"/>
    <cellStyle name="Positive 2 2 17 4 13" xfId="11491" xr:uid="{00000000-0005-0000-0000-0000F02C0000}"/>
    <cellStyle name="Positive 2 2 17 4 13 2" xfId="11492" xr:uid="{00000000-0005-0000-0000-0000F12C0000}"/>
    <cellStyle name="Positive 2 2 17 4 14" xfId="11493" xr:uid="{00000000-0005-0000-0000-0000F22C0000}"/>
    <cellStyle name="Positive 2 2 17 4 14 2" xfId="11494" xr:uid="{00000000-0005-0000-0000-0000F32C0000}"/>
    <cellStyle name="Positive 2 2 17 4 15" xfId="11495" xr:uid="{00000000-0005-0000-0000-0000F42C0000}"/>
    <cellStyle name="Positive 2 2 17 4 15 2" xfId="11496" xr:uid="{00000000-0005-0000-0000-0000F52C0000}"/>
    <cellStyle name="Positive 2 2 17 4 16" xfId="11497" xr:uid="{00000000-0005-0000-0000-0000F62C0000}"/>
    <cellStyle name="Positive 2 2 17 4 16 2" xfId="11498" xr:uid="{00000000-0005-0000-0000-0000F72C0000}"/>
    <cellStyle name="Positive 2 2 17 4 17" xfId="11499" xr:uid="{00000000-0005-0000-0000-0000F82C0000}"/>
    <cellStyle name="Positive 2 2 17 4 17 2" xfId="11500" xr:uid="{00000000-0005-0000-0000-0000F92C0000}"/>
    <cellStyle name="Positive 2 2 17 4 18" xfId="11501" xr:uid="{00000000-0005-0000-0000-0000FA2C0000}"/>
    <cellStyle name="Positive 2 2 17 4 18 2" xfId="11502" xr:uid="{00000000-0005-0000-0000-0000FB2C0000}"/>
    <cellStyle name="Positive 2 2 17 4 19" xfId="11503" xr:uid="{00000000-0005-0000-0000-0000FC2C0000}"/>
    <cellStyle name="Positive 2 2 17 4 19 2" xfId="11504" xr:uid="{00000000-0005-0000-0000-0000FD2C0000}"/>
    <cellStyle name="Positive 2 2 17 4 2" xfId="11505" xr:uid="{00000000-0005-0000-0000-0000FE2C0000}"/>
    <cellStyle name="Positive 2 2 17 4 2 10" xfId="11506" xr:uid="{00000000-0005-0000-0000-0000FF2C0000}"/>
    <cellStyle name="Positive 2 2 17 4 2 10 2" xfId="11507" xr:uid="{00000000-0005-0000-0000-0000002D0000}"/>
    <cellStyle name="Positive 2 2 17 4 2 11" xfId="11508" xr:uid="{00000000-0005-0000-0000-0000012D0000}"/>
    <cellStyle name="Positive 2 2 17 4 2 11 2" xfId="11509" xr:uid="{00000000-0005-0000-0000-0000022D0000}"/>
    <cellStyle name="Positive 2 2 17 4 2 12" xfId="11510" xr:uid="{00000000-0005-0000-0000-0000032D0000}"/>
    <cellStyle name="Positive 2 2 17 4 2 12 2" xfId="11511" xr:uid="{00000000-0005-0000-0000-0000042D0000}"/>
    <cellStyle name="Positive 2 2 17 4 2 13" xfId="11512" xr:uid="{00000000-0005-0000-0000-0000052D0000}"/>
    <cellStyle name="Positive 2 2 17 4 2 13 2" xfId="11513" xr:uid="{00000000-0005-0000-0000-0000062D0000}"/>
    <cellStyle name="Positive 2 2 17 4 2 14" xfId="11514" xr:uid="{00000000-0005-0000-0000-0000072D0000}"/>
    <cellStyle name="Positive 2 2 17 4 2 14 2" xfId="11515" xr:uid="{00000000-0005-0000-0000-0000082D0000}"/>
    <cellStyle name="Positive 2 2 17 4 2 15" xfId="11516" xr:uid="{00000000-0005-0000-0000-0000092D0000}"/>
    <cellStyle name="Positive 2 2 17 4 2 15 2" xfId="11517" xr:uid="{00000000-0005-0000-0000-00000A2D0000}"/>
    <cellStyle name="Positive 2 2 17 4 2 16" xfId="11518" xr:uid="{00000000-0005-0000-0000-00000B2D0000}"/>
    <cellStyle name="Positive 2 2 17 4 2 16 2" xfId="11519" xr:uid="{00000000-0005-0000-0000-00000C2D0000}"/>
    <cellStyle name="Positive 2 2 17 4 2 17" xfId="11520" xr:uid="{00000000-0005-0000-0000-00000D2D0000}"/>
    <cellStyle name="Positive 2 2 17 4 2 2" xfId="11521" xr:uid="{00000000-0005-0000-0000-00000E2D0000}"/>
    <cellStyle name="Positive 2 2 17 4 2 2 2" xfId="11522" xr:uid="{00000000-0005-0000-0000-00000F2D0000}"/>
    <cellStyle name="Positive 2 2 17 4 2 3" xfId="11523" xr:uid="{00000000-0005-0000-0000-0000102D0000}"/>
    <cellStyle name="Positive 2 2 17 4 2 3 2" xfId="11524" xr:uid="{00000000-0005-0000-0000-0000112D0000}"/>
    <cellStyle name="Positive 2 2 17 4 2 4" xfId="11525" xr:uid="{00000000-0005-0000-0000-0000122D0000}"/>
    <cellStyle name="Positive 2 2 17 4 2 4 2" xfId="11526" xr:uid="{00000000-0005-0000-0000-0000132D0000}"/>
    <cellStyle name="Positive 2 2 17 4 2 5" xfId="11527" xr:uid="{00000000-0005-0000-0000-0000142D0000}"/>
    <cellStyle name="Positive 2 2 17 4 2 5 2" xfId="11528" xr:uid="{00000000-0005-0000-0000-0000152D0000}"/>
    <cellStyle name="Positive 2 2 17 4 2 6" xfId="11529" xr:uid="{00000000-0005-0000-0000-0000162D0000}"/>
    <cellStyle name="Positive 2 2 17 4 2 6 2" xfId="11530" xr:uid="{00000000-0005-0000-0000-0000172D0000}"/>
    <cellStyle name="Positive 2 2 17 4 2 7" xfId="11531" xr:uid="{00000000-0005-0000-0000-0000182D0000}"/>
    <cellStyle name="Positive 2 2 17 4 2 7 2" xfId="11532" xr:uid="{00000000-0005-0000-0000-0000192D0000}"/>
    <cellStyle name="Positive 2 2 17 4 2 8" xfId="11533" xr:uid="{00000000-0005-0000-0000-00001A2D0000}"/>
    <cellStyle name="Positive 2 2 17 4 2 8 2" xfId="11534" xr:uid="{00000000-0005-0000-0000-00001B2D0000}"/>
    <cellStyle name="Positive 2 2 17 4 2 9" xfId="11535" xr:uid="{00000000-0005-0000-0000-00001C2D0000}"/>
    <cellStyle name="Positive 2 2 17 4 2 9 2" xfId="11536" xr:uid="{00000000-0005-0000-0000-00001D2D0000}"/>
    <cellStyle name="Positive 2 2 17 4 20" xfId="11537" xr:uid="{00000000-0005-0000-0000-00001E2D0000}"/>
    <cellStyle name="Positive 2 2 17 4 3" xfId="11538" xr:uid="{00000000-0005-0000-0000-00001F2D0000}"/>
    <cellStyle name="Positive 2 2 17 4 3 2" xfId="11539" xr:uid="{00000000-0005-0000-0000-0000202D0000}"/>
    <cellStyle name="Positive 2 2 17 4 3 2 2" xfId="11540" xr:uid="{00000000-0005-0000-0000-0000212D0000}"/>
    <cellStyle name="Positive 2 2 17 4 3 3" xfId="11541" xr:uid="{00000000-0005-0000-0000-0000222D0000}"/>
    <cellStyle name="Positive 2 2 17 4 4" xfId="11542" xr:uid="{00000000-0005-0000-0000-0000232D0000}"/>
    <cellStyle name="Positive 2 2 17 4 4 2" xfId="11543" xr:uid="{00000000-0005-0000-0000-0000242D0000}"/>
    <cellStyle name="Positive 2 2 17 4 4 2 2" xfId="11544" xr:uid="{00000000-0005-0000-0000-0000252D0000}"/>
    <cellStyle name="Positive 2 2 17 4 4 3" xfId="11545" xr:uid="{00000000-0005-0000-0000-0000262D0000}"/>
    <cellStyle name="Positive 2 2 17 4 5" xfId="11546" xr:uid="{00000000-0005-0000-0000-0000272D0000}"/>
    <cellStyle name="Positive 2 2 17 4 5 2" xfId="11547" xr:uid="{00000000-0005-0000-0000-0000282D0000}"/>
    <cellStyle name="Positive 2 2 17 4 6" xfId="11548" xr:uid="{00000000-0005-0000-0000-0000292D0000}"/>
    <cellStyle name="Positive 2 2 17 4 6 2" xfId="11549" xr:uid="{00000000-0005-0000-0000-00002A2D0000}"/>
    <cellStyle name="Positive 2 2 17 4 7" xfId="11550" xr:uid="{00000000-0005-0000-0000-00002B2D0000}"/>
    <cellStyle name="Positive 2 2 17 4 7 2" xfId="11551" xr:uid="{00000000-0005-0000-0000-00002C2D0000}"/>
    <cellStyle name="Positive 2 2 17 4 8" xfId="11552" xr:uid="{00000000-0005-0000-0000-00002D2D0000}"/>
    <cellStyle name="Positive 2 2 17 4 8 2" xfId="11553" xr:uid="{00000000-0005-0000-0000-00002E2D0000}"/>
    <cellStyle name="Positive 2 2 17 4 9" xfId="11554" xr:uid="{00000000-0005-0000-0000-00002F2D0000}"/>
    <cellStyle name="Positive 2 2 17 4 9 2" xfId="11555" xr:uid="{00000000-0005-0000-0000-0000302D0000}"/>
    <cellStyle name="Positive 2 2 17 5" xfId="11556" xr:uid="{00000000-0005-0000-0000-0000312D0000}"/>
    <cellStyle name="Positive 2 2 17 5 10" xfId="11557" xr:uid="{00000000-0005-0000-0000-0000322D0000}"/>
    <cellStyle name="Positive 2 2 17 5 10 2" xfId="11558" xr:uid="{00000000-0005-0000-0000-0000332D0000}"/>
    <cellStyle name="Positive 2 2 17 5 11" xfId="11559" xr:uid="{00000000-0005-0000-0000-0000342D0000}"/>
    <cellStyle name="Positive 2 2 17 5 11 2" xfId="11560" xr:uid="{00000000-0005-0000-0000-0000352D0000}"/>
    <cellStyle name="Positive 2 2 17 5 12" xfId="11561" xr:uid="{00000000-0005-0000-0000-0000362D0000}"/>
    <cellStyle name="Positive 2 2 17 5 12 2" xfId="11562" xr:uid="{00000000-0005-0000-0000-0000372D0000}"/>
    <cellStyle name="Positive 2 2 17 5 13" xfId="11563" xr:uid="{00000000-0005-0000-0000-0000382D0000}"/>
    <cellStyle name="Positive 2 2 17 5 13 2" xfId="11564" xr:uid="{00000000-0005-0000-0000-0000392D0000}"/>
    <cellStyle name="Positive 2 2 17 5 14" xfId="11565" xr:uid="{00000000-0005-0000-0000-00003A2D0000}"/>
    <cellStyle name="Positive 2 2 17 5 14 2" xfId="11566" xr:uid="{00000000-0005-0000-0000-00003B2D0000}"/>
    <cellStyle name="Positive 2 2 17 5 15" xfId="11567" xr:uid="{00000000-0005-0000-0000-00003C2D0000}"/>
    <cellStyle name="Positive 2 2 17 5 15 2" xfId="11568" xr:uid="{00000000-0005-0000-0000-00003D2D0000}"/>
    <cellStyle name="Positive 2 2 17 5 16" xfId="11569" xr:uid="{00000000-0005-0000-0000-00003E2D0000}"/>
    <cellStyle name="Positive 2 2 17 5 16 2" xfId="11570" xr:uid="{00000000-0005-0000-0000-00003F2D0000}"/>
    <cellStyle name="Positive 2 2 17 5 17" xfId="11571" xr:uid="{00000000-0005-0000-0000-0000402D0000}"/>
    <cellStyle name="Positive 2 2 17 5 2" xfId="11572" xr:uid="{00000000-0005-0000-0000-0000412D0000}"/>
    <cellStyle name="Positive 2 2 17 5 2 2" xfId="11573" xr:uid="{00000000-0005-0000-0000-0000422D0000}"/>
    <cellStyle name="Positive 2 2 17 5 3" xfId="11574" xr:uid="{00000000-0005-0000-0000-0000432D0000}"/>
    <cellStyle name="Positive 2 2 17 5 3 2" xfId="11575" xr:uid="{00000000-0005-0000-0000-0000442D0000}"/>
    <cellStyle name="Positive 2 2 17 5 4" xfId="11576" xr:uid="{00000000-0005-0000-0000-0000452D0000}"/>
    <cellStyle name="Positive 2 2 17 5 4 2" xfId="11577" xr:uid="{00000000-0005-0000-0000-0000462D0000}"/>
    <cellStyle name="Positive 2 2 17 5 5" xfId="11578" xr:uid="{00000000-0005-0000-0000-0000472D0000}"/>
    <cellStyle name="Positive 2 2 17 5 5 2" xfId="11579" xr:uid="{00000000-0005-0000-0000-0000482D0000}"/>
    <cellStyle name="Positive 2 2 17 5 6" xfId="11580" xr:uid="{00000000-0005-0000-0000-0000492D0000}"/>
    <cellStyle name="Positive 2 2 17 5 6 2" xfId="11581" xr:uid="{00000000-0005-0000-0000-00004A2D0000}"/>
    <cellStyle name="Positive 2 2 17 5 7" xfId="11582" xr:uid="{00000000-0005-0000-0000-00004B2D0000}"/>
    <cellStyle name="Positive 2 2 17 5 7 2" xfId="11583" xr:uid="{00000000-0005-0000-0000-00004C2D0000}"/>
    <cellStyle name="Positive 2 2 17 5 8" xfId="11584" xr:uid="{00000000-0005-0000-0000-00004D2D0000}"/>
    <cellStyle name="Positive 2 2 17 5 8 2" xfId="11585" xr:uid="{00000000-0005-0000-0000-00004E2D0000}"/>
    <cellStyle name="Positive 2 2 17 5 9" xfId="11586" xr:uid="{00000000-0005-0000-0000-00004F2D0000}"/>
    <cellStyle name="Positive 2 2 17 5 9 2" xfId="11587" xr:uid="{00000000-0005-0000-0000-0000502D0000}"/>
    <cellStyle name="Positive 2 2 17 6" xfId="11588" xr:uid="{00000000-0005-0000-0000-0000512D0000}"/>
    <cellStyle name="Positive 2 2 17 6 2" xfId="11589" xr:uid="{00000000-0005-0000-0000-0000522D0000}"/>
    <cellStyle name="Positive 2 2 17 6 2 2" xfId="11590" xr:uid="{00000000-0005-0000-0000-0000532D0000}"/>
    <cellStyle name="Positive 2 2 17 6 3" xfId="11591" xr:uid="{00000000-0005-0000-0000-0000542D0000}"/>
    <cellStyle name="Positive 2 2 17 7" xfId="11592" xr:uid="{00000000-0005-0000-0000-0000552D0000}"/>
    <cellStyle name="Positive 2 2 17 7 2" xfId="11593" xr:uid="{00000000-0005-0000-0000-0000562D0000}"/>
    <cellStyle name="Positive 2 2 17 7 2 2" xfId="11594" xr:uid="{00000000-0005-0000-0000-0000572D0000}"/>
    <cellStyle name="Positive 2 2 17 7 3" xfId="11595" xr:uid="{00000000-0005-0000-0000-0000582D0000}"/>
    <cellStyle name="Positive 2 2 17 8" xfId="11596" xr:uid="{00000000-0005-0000-0000-0000592D0000}"/>
    <cellStyle name="Positive 2 2 17 8 2" xfId="11597" xr:uid="{00000000-0005-0000-0000-00005A2D0000}"/>
    <cellStyle name="Positive 2 2 17 9" xfId="11598" xr:uid="{00000000-0005-0000-0000-00005B2D0000}"/>
    <cellStyle name="Positive 2 2 17 9 2" xfId="11599" xr:uid="{00000000-0005-0000-0000-00005C2D0000}"/>
    <cellStyle name="Positive 2 2 18" xfId="11600" xr:uid="{00000000-0005-0000-0000-00005D2D0000}"/>
    <cellStyle name="Positive 2 2 18 10" xfId="11601" xr:uid="{00000000-0005-0000-0000-00005E2D0000}"/>
    <cellStyle name="Positive 2 2 18 10 2" xfId="11602" xr:uid="{00000000-0005-0000-0000-00005F2D0000}"/>
    <cellStyle name="Positive 2 2 18 11" xfId="11603" xr:uid="{00000000-0005-0000-0000-0000602D0000}"/>
    <cellStyle name="Positive 2 2 18 11 2" xfId="11604" xr:uid="{00000000-0005-0000-0000-0000612D0000}"/>
    <cellStyle name="Positive 2 2 18 12" xfId="11605" xr:uid="{00000000-0005-0000-0000-0000622D0000}"/>
    <cellStyle name="Positive 2 2 18 12 2" xfId="11606" xr:uid="{00000000-0005-0000-0000-0000632D0000}"/>
    <cellStyle name="Positive 2 2 18 13" xfId="11607" xr:uid="{00000000-0005-0000-0000-0000642D0000}"/>
    <cellStyle name="Positive 2 2 18 13 2" xfId="11608" xr:uid="{00000000-0005-0000-0000-0000652D0000}"/>
    <cellStyle name="Positive 2 2 18 14" xfId="11609" xr:uid="{00000000-0005-0000-0000-0000662D0000}"/>
    <cellStyle name="Positive 2 2 18 14 2" xfId="11610" xr:uid="{00000000-0005-0000-0000-0000672D0000}"/>
    <cellStyle name="Positive 2 2 18 15" xfId="11611" xr:uid="{00000000-0005-0000-0000-0000682D0000}"/>
    <cellStyle name="Positive 2 2 18 15 2" xfId="11612" xr:uid="{00000000-0005-0000-0000-0000692D0000}"/>
    <cellStyle name="Positive 2 2 18 16" xfId="11613" xr:uid="{00000000-0005-0000-0000-00006A2D0000}"/>
    <cellStyle name="Positive 2 2 18 16 2" xfId="11614" xr:uid="{00000000-0005-0000-0000-00006B2D0000}"/>
    <cellStyle name="Positive 2 2 18 17" xfId="11615" xr:uid="{00000000-0005-0000-0000-00006C2D0000}"/>
    <cellStyle name="Positive 2 2 18 17 2" xfId="11616" xr:uid="{00000000-0005-0000-0000-00006D2D0000}"/>
    <cellStyle name="Positive 2 2 18 18" xfId="11617" xr:uid="{00000000-0005-0000-0000-00006E2D0000}"/>
    <cellStyle name="Positive 2 2 18 18 2" xfId="11618" xr:uid="{00000000-0005-0000-0000-00006F2D0000}"/>
    <cellStyle name="Positive 2 2 18 19" xfId="11619" xr:uid="{00000000-0005-0000-0000-0000702D0000}"/>
    <cellStyle name="Positive 2 2 18 19 2" xfId="11620" xr:uid="{00000000-0005-0000-0000-0000712D0000}"/>
    <cellStyle name="Positive 2 2 18 2" xfId="11621" xr:uid="{00000000-0005-0000-0000-0000722D0000}"/>
    <cellStyle name="Positive 2 2 18 2 10" xfId="11622" xr:uid="{00000000-0005-0000-0000-0000732D0000}"/>
    <cellStyle name="Positive 2 2 18 2 10 2" xfId="11623" xr:uid="{00000000-0005-0000-0000-0000742D0000}"/>
    <cellStyle name="Positive 2 2 18 2 11" xfId="11624" xr:uid="{00000000-0005-0000-0000-0000752D0000}"/>
    <cellStyle name="Positive 2 2 18 2 11 2" xfId="11625" xr:uid="{00000000-0005-0000-0000-0000762D0000}"/>
    <cellStyle name="Positive 2 2 18 2 12" xfId="11626" xr:uid="{00000000-0005-0000-0000-0000772D0000}"/>
    <cellStyle name="Positive 2 2 18 2 12 2" xfId="11627" xr:uid="{00000000-0005-0000-0000-0000782D0000}"/>
    <cellStyle name="Positive 2 2 18 2 13" xfId="11628" xr:uid="{00000000-0005-0000-0000-0000792D0000}"/>
    <cellStyle name="Positive 2 2 18 2 13 2" xfId="11629" xr:uid="{00000000-0005-0000-0000-00007A2D0000}"/>
    <cellStyle name="Positive 2 2 18 2 14" xfId="11630" xr:uid="{00000000-0005-0000-0000-00007B2D0000}"/>
    <cellStyle name="Positive 2 2 18 2 14 2" xfId="11631" xr:uid="{00000000-0005-0000-0000-00007C2D0000}"/>
    <cellStyle name="Positive 2 2 18 2 15" xfId="11632" xr:uid="{00000000-0005-0000-0000-00007D2D0000}"/>
    <cellStyle name="Positive 2 2 18 2 15 2" xfId="11633" xr:uid="{00000000-0005-0000-0000-00007E2D0000}"/>
    <cellStyle name="Positive 2 2 18 2 16" xfId="11634" xr:uid="{00000000-0005-0000-0000-00007F2D0000}"/>
    <cellStyle name="Positive 2 2 18 2 16 2" xfId="11635" xr:uid="{00000000-0005-0000-0000-0000802D0000}"/>
    <cellStyle name="Positive 2 2 18 2 17" xfId="11636" xr:uid="{00000000-0005-0000-0000-0000812D0000}"/>
    <cellStyle name="Positive 2 2 18 2 17 2" xfId="11637" xr:uid="{00000000-0005-0000-0000-0000822D0000}"/>
    <cellStyle name="Positive 2 2 18 2 18" xfId="11638" xr:uid="{00000000-0005-0000-0000-0000832D0000}"/>
    <cellStyle name="Positive 2 2 18 2 18 2" xfId="11639" xr:uid="{00000000-0005-0000-0000-0000842D0000}"/>
    <cellStyle name="Positive 2 2 18 2 19" xfId="11640" xr:uid="{00000000-0005-0000-0000-0000852D0000}"/>
    <cellStyle name="Positive 2 2 18 2 19 2" xfId="11641" xr:uid="{00000000-0005-0000-0000-0000862D0000}"/>
    <cellStyle name="Positive 2 2 18 2 2" xfId="11642" xr:uid="{00000000-0005-0000-0000-0000872D0000}"/>
    <cellStyle name="Positive 2 2 18 2 2 10" xfId="11643" xr:uid="{00000000-0005-0000-0000-0000882D0000}"/>
    <cellStyle name="Positive 2 2 18 2 2 10 2" xfId="11644" xr:uid="{00000000-0005-0000-0000-0000892D0000}"/>
    <cellStyle name="Positive 2 2 18 2 2 11" xfId="11645" xr:uid="{00000000-0005-0000-0000-00008A2D0000}"/>
    <cellStyle name="Positive 2 2 18 2 2 11 2" xfId="11646" xr:uid="{00000000-0005-0000-0000-00008B2D0000}"/>
    <cellStyle name="Positive 2 2 18 2 2 12" xfId="11647" xr:uid="{00000000-0005-0000-0000-00008C2D0000}"/>
    <cellStyle name="Positive 2 2 18 2 2 12 2" xfId="11648" xr:uid="{00000000-0005-0000-0000-00008D2D0000}"/>
    <cellStyle name="Positive 2 2 18 2 2 13" xfId="11649" xr:uid="{00000000-0005-0000-0000-00008E2D0000}"/>
    <cellStyle name="Positive 2 2 18 2 2 13 2" xfId="11650" xr:uid="{00000000-0005-0000-0000-00008F2D0000}"/>
    <cellStyle name="Positive 2 2 18 2 2 14" xfId="11651" xr:uid="{00000000-0005-0000-0000-0000902D0000}"/>
    <cellStyle name="Positive 2 2 18 2 2 14 2" xfId="11652" xr:uid="{00000000-0005-0000-0000-0000912D0000}"/>
    <cellStyle name="Positive 2 2 18 2 2 15" xfId="11653" xr:uid="{00000000-0005-0000-0000-0000922D0000}"/>
    <cellStyle name="Positive 2 2 18 2 2 15 2" xfId="11654" xr:uid="{00000000-0005-0000-0000-0000932D0000}"/>
    <cellStyle name="Positive 2 2 18 2 2 16" xfId="11655" xr:uid="{00000000-0005-0000-0000-0000942D0000}"/>
    <cellStyle name="Positive 2 2 18 2 2 16 2" xfId="11656" xr:uid="{00000000-0005-0000-0000-0000952D0000}"/>
    <cellStyle name="Positive 2 2 18 2 2 17" xfId="11657" xr:uid="{00000000-0005-0000-0000-0000962D0000}"/>
    <cellStyle name="Positive 2 2 18 2 2 2" xfId="11658" xr:uid="{00000000-0005-0000-0000-0000972D0000}"/>
    <cellStyle name="Positive 2 2 18 2 2 2 2" xfId="11659" xr:uid="{00000000-0005-0000-0000-0000982D0000}"/>
    <cellStyle name="Positive 2 2 18 2 2 3" xfId="11660" xr:uid="{00000000-0005-0000-0000-0000992D0000}"/>
    <cellStyle name="Positive 2 2 18 2 2 3 2" xfId="11661" xr:uid="{00000000-0005-0000-0000-00009A2D0000}"/>
    <cellStyle name="Positive 2 2 18 2 2 4" xfId="11662" xr:uid="{00000000-0005-0000-0000-00009B2D0000}"/>
    <cellStyle name="Positive 2 2 18 2 2 4 2" xfId="11663" xr:uid="{00000000-0005-0000-0000-00009C2D0000}"/>
    <cellStyle name="Positive 2 2 18 2 2 5" xfId="11664" xr:uid="{00000000-0005-0000-0000-00009D2D0000}"/>
    <cellStyle name="Positive 2 2 18 2 2 5 2" xfId="11665" xr:uid="{00000000-0005-0000-0000-00009E2D0000}"/>
    <cellStyle name="Positive 2 2 18 2 2 6" xfId="11666" xr:uid="{00000000-0005-0000-0000-00009F2D0000}"/>
    <cellStyle name="Positive 2 2 18 2 2 6 2" xfId="11667" xr:uid="{00000000-0005-0000-0000-0000A02D0000}"/>
    <cellStyle name="Positive 2 2 18 2 2 7" xfId="11668" xr:uid="{00000000-0005-0000-0000-0000A12D0000}"/>
    <cellStyle name="Positive 2 2 18 2 2 7 2" xfId="11669" xr:uid="{00000000-0005-0000-0000-0000A22D0000}"/>
    <cellStyle name="Positive 2 2 18 2 2 8" xfId="11670" xr:uid="{00000000-0005-0000-0000-0000A32D0000}"/>
    <cellStyle name="Positive 2 2 18 2 2 8 2" xfId="11671" xr:uid="{00000000-0005-0000-0000-0000A42D0000}"/>
    <cellStyle name="Positive 2 2 18 2 2 9" xfId="11672" xr:uid="{00000000-0005-0000-0000-0000A52D0000}"/>
    <cellStyle name="Positive 2 2 18 2 2 9 2" xfId="11673" xr:uid="{00000000-0005-0000-0000-0000A62D0000}"/>
    <cellStyle name="Positive 2 2 18 2 20" xfId="11674" xr:uid="{00000000-0005-0000-0000-0000A72D0000}"/>
    <cellStyle name="Positive 2 2 18 2 3" xfId="11675" xr:uid="{00000000-0005-0000-0000-0000A82D0000}"/>
    <cellStyle name="Positive 2 2 18 2 3 2" xfId="11676" xr:uid="{00000000-0005-0000-0000-0000A92D0000}"/>
    <cellStyle name="Positive 2 2 18 2 3 2 2" xfId="11677" xr:uid="{00000000-0005-0000-0000-0000AA2D0000}"/>
    <cellStyle name="Positive 2 2 18 2 3 3" xfId="11678" xr:uid="{00000000-0005-0000-0000-0000AB2D0000}"/>
    <cellStyle name="Positive 2 2 18 2 4" xfId="11679" xr:uid="{00000000-0005-0000-0000-0000AC2D0000}"/>
    <cellStyle name="Positive 2 2 18 2 4 2" xfId="11680" xr:uid="{00000000-0005-0000-0000-0000AD2D0000}"/>
    <cellStyle name="Positive 2 2 18 2 4 2 2" xfId="11681" xr:uid="{00000000-0005-0000-0000-0000AE2D0000}"/>
    <cellStyle name="Positive 2 2 18 2 4 3" xfId="11682" xr:uid="{00000000-0005-0000-0000-0000AF2D0000}"/>
    <cellStyle name="Positive 2 2 18 2 5" xfId="11683" xr:uid="{00000000-0005-0000-0000-0000B02D0000}"/>
    <cellStyle name="Positive 2 2 18 2 5 2" xfId="11684" xr:uid="{00000000-0005-0000-0000-0000B12D0000}"/>
    <cellStyle name="Positive 2 2 18 2 6" xfId="11685" xr:uid="{00000000-0005-0000-0000-0000B22D0000}"/>
    <cellStyle name="Positive 2 2 18 2 6 2" xfId="11686" xr:uid="{00000000-0005-0000-0000-0000B32D0000}"/>
    <cellStyle name="Positive 2 2 18 2 7" xfId="11687" xr:uid="{00000000-0005-0000-0000-0000B42D0000}"/>
    <cellStyle name="Positive 2 2 18 2 7 2" xfId="11688" xr:uid="{00000000-0005-0000-0000-0000B52D0000}"/>
    <cellStyle name="Positive 2 2 18 2 8" xfId="11689" xr:uid="{00000000-0005-0000-0000-0000B62D0000}"/>
    <cellStyle name="Positive 2 2 18 2 8 2" xfId="11690" xr:uid="{00000000-0005-0000-0000-0000B72D0000}"/>
    <cellStyle name="Positive 2 2 18 2 9" xfId="11691" xr:uid="{00000000-0005-0000-0000-0000B82D0000}"/>
    <cellStyle name="Positive 2 2 18 2 9 2" xfId="11692" xr:uid="{00000000-0005-0000-0000-0000B92D0000}"/>
    <cellStyle name="Positive 2 2 18 20" xfId="11693" xr:uid="{00000000-0005-0000-0000-0000BA2D0000}"/>
    <cellStyle name="Positive 2 2 18 20 2" xfId="11694" xr:uid="{00000000-0005-0000-0000-0000BB2D0000}"/>
    <cellStyle name="Positive 2 2 18 21" xfId="11695" xr:uid="{00000000-0005-0000-0000-0000BC2D0000}"/>
    <cellStyle name="Positive 2 2 18 21 2" xfId="11696" xr:uid="{00000000-0005-0000-0000-0000BD2D0000}"/>
    <cellStyle name="Positive 2 2 18 22" xfId="11697" xr:uid="{00000000-0005-0000-0000-0000BE2D0000}"/>
    <cellStyle name="Positive 2 2 18 22 2" xfId="11698" xr:uid="{00000000-0005-0000-0000-0000BF2D0000}"/>
    <cellStyle name="Positive 2 2 18 23" xfId="11699" xr:uid="{00000000-0005-0000-0000-0000C02D0000}"/>
    <cellStyle name="Positive 2 2 18 3" xfId="11700" xr:uid="{00000000-0005-0000-0000-0000C12D0000}"/>
    <cellStyle name="Positive 2 2 18 3 10" xfId="11701" xr:uid="{00000000-0005-0000-0000-0000C22D0000}"/>
    <cellStyle name="Positive 2 2 18 3 10 2" xfId="11702" xr:uid="{00000000-0005-0000-0000-0000C32D0000}"/>
    <cellStyle name="Positive 2 2 18 3 11" xfId="11703" xr:uid="{00000000-0005-0000-0000-0000C42D0000}"/>
    <cellStyle name="Positive 2 2 18 3 11 2" xfId="11704" xr:uid="{00000000-0005-0000-0000-0000C52D0000}"/>
    <cellStyle name="Positive 2 2 18 3 12" xfId="11705" xr:uid="{00000000-0005-0000-0000-0000C62D0000}"/>
    <cellStyle name="Positive 2 2 18 3 12 2" xfId="11706" xr:uid="{00000000-0005-0000-0000-0000C72D0000}"/>
    <cellStyle name="Positive 2 2 18 3 13" xfId="11707" xr:uid="{00000000-0005-0000-0000-0000C82D0000}"/>
    <cellStyle name="Positive 2 2 18 3 13 2" xfId="11708" xr:uid="{00000000-0005-0000-0000-0000C92D0000}"/>
    <cellStyle name="Positive 2 2 18 3 14" xfId="11709" xr:uid="{00000000-0005-0000-0000-0000CA2D0000}"/>
    <cellStyle name="Positive 2 2 18 3 14 2" xfId="11710" xr:uid="{00000000-0005-0000-0000-0000CB2D0000}"/>
    <cellStyle name="Positive 2 2 18 3 15" xfId="11711" xr:uid="{00000000-0005-0000-0000-0000CC2D0000}"/>
    <cellStyle name="Positive 2 2 18 3 15 2" xfId="11712" xr:uid="{00000000-0005-0000-0000-0000CD2D0000}"/>
    <cellStyle name="Positive 2 2 18 3 16" xfId="11713" xr:uid="{00000000-0005-0000-0000-0000CE2D0000}"/>
    <cellStyle name="Positive 2 2 18 3 16 2" xfId="11714" xr:uid="{00000000-0005-0000-0000-0000CF2D0000}"/>
    <cellStyle name="Positive 2 2 18 3 17" xfId="11715" xr:uid="{00000000-0005-0000-0000-0000D02D0000}"/>
    <cellStyle name="Positive 2 2 18 3 17 2" xfId="11716" xr:uid="{00000000-0005-0000-0000-0000D12D0000}"/>
    <cellStyle name="Positive 2 2 18 3 18" xfId="11717" xr:uid="{00000000-0005-0000-0000-0000D22D0000}"/>
    <cellStyle name="Positive 2 2 18 3 18 2" xfId="11718" xr:uid="{00000000-0005-0000-0000-0000D32D0000}"/>
    <cellStyle name="Positive 2 2 18 3 19" xfId="11719" xr:uid="{00000000-0005-0000-0000-0000D42D0000}"/>
    <cellStyle name="Positive 2 2 18 3 19 2" xfId="11720" xr:uid="{00000000-0005-0000-0000-0000D52D0000}"/>
    <cellStyle name="Positive 2 2 18 3 2" xfId="11721" xr:uid="{00000000-0005-0000-0000-0000D62D0000}"/>
    <cellStyle name="Positive 2 2 18 3 2 10" xfId="11722" xr:uid="{00000000-0005-0000-0000-0000D72D0000}"/>
    <cellStyle name="Positive 2 2 18 3 2 10 2" xfId="11723" xr:uid="{00000000-0005-0000-0000-0000D82D0000}"/>
    <cellStyle name="Positive 2 2 18 3 2 11" xfId="11724" xr:uid="{00000000-0005-0000-0000-0000D92D0000}"/>
    <cellStyle name="Positive 2 2 18 3 2 11 2" xfId="11725" xr:uid="{00000000-0005-0000-0000-0000DA2D0000}"/>
    <cellStyle name="Positive 2 2 18 3 2 12" xfId="11726" xr:uid="{00000000-0005-0000-0000-0000DB2D0000}"/>
    <cellStyle name="Positive 2 2 18 3 2 12 2" xfId="11727" xr:uid="{00000000-0005-0000-0000-0000DC2D0000}"/>
    <cellStyle name="Positive 2 2 18 3 2 13" xfId="11728" xr:uid="{00000000-0005-0000-0000-0000DD2D0000}"/>
    <cellStyle name="Positive 2 2 18 3 2 13 2" xfId="11729" xr:uid="{00000000-0005-0000-0000-0000DE2D0000}"/>
    <cellStyle name="Positive 2 2 18 3 2 14" xfId="11730" xr:uid="{00000000-0005-0000-0000-0000DF2D0000}"/>
    <cellStyle name="Positive 2 2 18 3 2 14 2" xfId="11731" xr:uid="{00000000-0005-0000-0000-0000E02D0000}"/>
    <cellStyle name="Positive 2 2 18 3 2 15" xfId="11732" xr:uid="{00000000-0005-0000-0000-0000E12D0000}"/>
    <cellStyle name="Positive 2 2 18 3 2 15 2" xfId="11733" xr:uid="{00000000-0005-0000-0000-0000E22D0000}"/>
    <cellStyle name="Positive 2 2 18 3 2 16" xfId="11734" xr:uid="{00000000-0005-0000-0000-0000E32D0000}"/>
    <cellStyle name="Positive 2 2 18 3 2 16 2" xfId="11735" xr:uid="{00000000-0005-0000-0000-0000E42D0000}"/>
    <cellStyle name="Positive 2 2 18 3 2 17" xfId="11736" xr:uid="{00000000-0005-0000-0000-0000E52D0000}"/>
    <cellStyle name="Positive 2 2 18 3 2 2" xfId="11737" xr:uid="{00000000-0005-0000-0000-0000E62D0000}"/>
    <cellStyle name="Positive 2 2 18 3 2 2 2" xfId="11738" xr:uid="{00000000-0005-0000-0000-0000E72D0000}"/>
    <cellStyle name="Positive 2 2 18 3 2 3" xfId="11739" xr:uid="{00000000-0005-0000-0000-0000E82D0000}"/>
    <cellStyle name="Positive 2 2 18 3 2 3 2" xfId="11740" xr:uid="{00000000-0005-0000-0000-0000E92D0000}"/>
    <cellStyle name="Positive 2 2 18 3 2 4" xfId="11741" xr:uid="{00000000-0005-0000-0000-0000EA2D0000}"/>
    <cellStyle name="Positive 2 2 18 3 2 4 2" xfId="11742" xr:uid="{00000000-0005-0000-0000-0000EB2D0000}"/>
    <cellStyle name="Positive 2 2 18 3 2 5" xfId="11743" xr:uid="{00000000-0005-0000-0000-0000EC2D0000}"/>
    <cellStyle name="Positive 2 2 18 3 2 5 2" xfId="11744" xr:uid="{00000000-0005-0000-0000-0000ED2D0000}"/>
    <cellStyle name="Positive 2 2 18 3 2 6" xfId="11745" xr:uid="{00000000-0005-0000-0000-0000EE2D0000}"/>
    <cellStyle name="Positive 2 2 18 3 2 6 2" xfId="11746" xr:uid="{00000000-0005-0000-0000-0000EF2D0000}"/>
    <cellStyle name="Positive 2 2 18 3 2 7" xfId="11747" xr:uid="{00000000-0005-0000-0000-0000F02D0000}"/>
    <cellStyle name="Positive 2 2 18 3 2 7 2" xfId="11748" xr:uid="{00000000-0005-0000-0000-0000F12D0000}"/>
    <cellStyle name="Positive 2 2 18 3 2 8" xfId="11749" xr:uid="{00000000-0005-0000-0000-0000F22D0000}"/>
    <cellStyle name="Positive 2 2 18 3 2 8 2" xfId="11750" xr:uid="{00000000-0005-0000-0000-0000F32D0000}"/>
    <cellStyle name="Positive 2 2 18 3 2 9" xfId="11751" xr:uid="{00000000-0005-0000-0000-0000F42D0000}"/>
    <cellStyle name="Positive 2 2 18 3 2 9 2" xfId="11752" xr:uid="{00000000-0005-0000-0000-0000F52D0000}"/>
    <cellStyle name="Positive 2 2 18 3 20" xfId="11753" xr:uid="{00000000-0005-0000-0000-0000F62D0000}"/>
    <cellStyle name="Positive 2 2 18 3 3" xfId="11754" xr:uid="{00000000-0005-0000-0000-0000F72D0000}"/>
    <cellStyle name="Positive 2 2 18 3 3 2" xfId="11755" xr:uid="{00000000-0005-0000-0000-0000F82D0000}"/>
    <cellStyle name="Positive 2 2 18 3 3 2 2" xfId="11756" xr:uid="{00000000-0005-0000-0000-0000F92D0000}"/>
    <cellStyle name="Positive 2 2 18 3 3 3" xfId="11757" xr:uid="{00000000-0005-0000-0000-0000FA2D0000}"/>
    <cellStyle name="Positive 2 2 18 3 4" xfId="11758" xr:uid="{00000000-0005-0000-0000-0000FB2D0000}"/>
    <cellStyle name="Positive 2 2 18 3 4 2" xfId="11759" xr:uid="{00000000-0005-0000-0000-0000FC2D0000}"/>
    <cellStyle name="Positive 2 2 18 3 4 2 2" xfId="11760" xr:uid="{00000000-0005-0000-0000-0000FD2D0000}"/>
    <cellStyle name="Positive 2 2 18 3 4 3" xfId="11761" xr:uid="{00000000-0005-0000-0000-0000FE2D0000}"/>
    <cellStyle name="Positive 2 2 18 3 5" xfId="11762" xr:uid="{00000000-0005-0000-0000-0000FF2D0000}"/>
    <cellStyle name="Positive 2 2 18 3 5 2" xfId="11763" xr:uid="{00000000-0005-0000-0000-0000002E0000}"/>
    <cellStyle name="Positive 2 2 18 3 6" xfId="11764" xr:uid="{00000000-0005-0000-0000-0000012E0000}"/>
    <cellStyle name="Positive 2 2 18 3 6 2" xfId="11765" xr:uid="{00000000-0005-0000-0000-0000022E0000}"/>
    <cellStyle name="Positive 2 2 18 3 7" xfId="11766" xr:uid="{00000000-0005-0000-0000-0000032E0000}"/>
    <cellStyle name="Positive 2 2 18 3 7 2" xfId="11767" xr:uid="{00000000-0005-0000-0000-0000042E0000}"/>
    <cellStyle name="Positive 2 2 18 3 8" xfId="11768" xr:uid="{00000000-0005-0000-0000-0000052E0000}"/>
    <cellStyle name="Positive 2 2 18 3 8 2" xfId="11769" xr:uid="{00000000-0005-0000-0000-0000062E0000}"/>
    <cellStyle name="Positive 2 2 18 3 9" xfId="11770" xr:uid="{00000000-0005-0000-0000-0000072E0000}"/>
    <cellStyle name="Positive 2 2 18 3 9 2" xfId="11771" xr:uid="{00000000-0005-0000-0000-0000082E0000}"/>
    <cellStyle name="Positive 2 2 18 4" xfId="11772" xr:uid="{00000000-0005-0000-0000-0000092E0000}"/>
    <cellStyle name="Positive 2 2 18 4 10" xfId="11773" xr:uid="{00000000-0005-0000-0000-00000A2E0000}"/>
    <cellStyle name="Positive 2 2 18 4 10 2" xfId="11774" xr:uid="{00000000-0005-0000-0000-00000B2E0000}"/>
    <cellStyle name="Positive 2 2 18 4 11" xfId="11775" xr:uid="{00000000-0005-0000-0000-00000C2E0000}"/>
    <cellStyle name="Positive 2 2 18 4 11 2" xfId="11776" xr:uid="{00000000-0005-0000-0000-00000D2E0000}"/>
    <cellStyle name="Positive 2 2 18 4 12" xfId="11777" xr:uid="{00000000-0005-0000-0000-00000E2E0000}"/>
    <cellStyle name="Positive 2 2 18 4 12 2" xfId="11778" xr:uid="{00000000-0005-0000-0000-00000F2E0000}"/>
    <cellStyle name="Positive 2 2 18 4 13" xfId="11779" xr:uid="{00000000-0005-0000-0000-0000102E0000}"/>
    <cellStyle name="Positive 2 2 18 4 13 2" xfId="11780" xr:uid="{00000000-0005-0000-0000-0000112E0000}"/>
    <cellStyle name="Positive 2 2 18 4 14" xfId="11781" xr:uid="{00000000-0005-0000-0000-0000122E0000}"/>
    <cellStyle name="Positive 2 2 18 4 14 2" xfId="11782" xr:uid="{00000000-0005-0000-0000-0000132E0000}"/>
    <cellStyle name="Positive 2 2 18 4 15" xfId="11783" xr:uid="{00000000-0005-0000-0000-0000142E0000}"/>
    <cellStyle name="Positive 2 2 18 4 15 2" xfId="11784" xr:uid="{00000000-0005-0000-0000-0000152E0000}"/>
    <cellStyle name="Positive 2 2 18 4 16" xfId="11785" xr:uid="{00000000-0005-0000-0000-0000162E0000}"/>
    <cellStyle name="Positive 2 2 18 4 16 2" xfId="11786" xr:uid="{00000000-0005-0000-0000-0000172E0000}"/>
    <cellStyle name="Positive 2 2 18 4 17" xfId="11787" xr:uid="{00000000-0005-0000-0000-0000182E0000}"/>
    <cellStyle name="Positive 2 2 18 4 17 2" xfId="11788" xr:uid="{00000000-0005-0000-0000-0000192E0000}"/>
    <cellStyle name="Positive 2 2 18 4 18" xfId="11789" xr:uid="{00000000-0005-0000-0000-00001A2E0000}"/>
    <cellStyle name="Positive 2 2 18 4 18 2" xfId="11790" xr:uid="{00000000-0005-0000-0000-00001B2E0000}"/>
    <cellStyle name="Positive 2 2 18 4 19" xfId="11791" xr:uid="{00000000-0005-0000-0000-00001C2E0000}"/>
    <cellStyle name="Positive 2 2 18 4 19 2" xfId="11792" xr:uid="{00000000-0005-0000-0000-00001D2E0000}"/>
    <cellStyle name="Positive 2 2 18 4 2" xfId="11793" xr:uid="{00000000-0005-0000-0000-00001E2E0000}"/>
    <cellStyle name="Positive 2 2 18 4 2 10" xfId="11794" xr:uid="{00000000-0005-0000-0000-00001F2E0000}"/>
    <cellStyle name="Positive 2 2 18 4 2 10 2" xfId="11795" xr:uid="{00000000-0005-0000-0000-0000202E0000}"/>
    <cellStyle name="Positive 2 2 18 4 2 11" xfId="11796" xr:uid="{00000000-0005-0000-0000-0000212E0000}"/>
    <cellStyle name="Positive 2 2 18 4 2 11 2" xfId="11797" xr:uid="{00000000-0005-0000-0000-0000222E0000}"/>
    <cellStyle name="Positive 2 2 18 4 2 12" xfId="11798" xr:uid="{00000000-0005-0000-0000-0000232E0000}"/>
    <cellStyle name="Positive 2 2 18 4 2 12 2" xfId="11799" xr:uid="{00000000-0005-0000-0000-0000242E0000}"/>
    <cellStyle name="Positive 2 2 18 4 2 13" xfId="11800" xr:uid="{00000000-0005-0000-0000-0000252E0000}"/>
    <cellStyle name="Positive 2 2 18 4 2 13 2" xfId="11801" xr:uid="{00000000-0005-0000-0000-0000262E0000}"/>
    <cellStyle name="Positive 2 2 18 4 2 14" xfId="11802" xr:uid="{00000000-0005-0000-0000-0000272E0000}"/>
    <cellStyle name="Positive 2 2 18 4 2 14 2" xfId="11803" xr:uid="{00000000-0005-0000-0000-0000282E0000}"/>
    <cellStyle name="Positive 2 2 18 4 2 15" xfId="11804" xr:uid="{00000000-0005-0000-0000-0000292E0000}"/>
    <cellStyle name="Positive 2 2 18 4 2 15 2" xfId="11805" xr:uid="{00000000-0005-0000-0000-00002A2E0000}"/>
    <cellStyle name="Positive 2 2 18 4 2 16" xfId="11806" xr:uid="{00000000-0005-0000-0000-00002B2E0000}"/>
    <cellStyle name="Positive 2 2 18 4 2 16 2" xfId="11807" xr:uid="{00000000-0005-0000-0000-00002C2E0000}"/>
    <cellStyle name="Positive 2 2 18 4 2 17" xfId="11808" xr:uid="{00000000-0005-0000-0000-00002D2E0000}"/>
    <cellStyle name="Positive 2 2 18 4 2 2" xfId="11809" xr:uid="{00000000-0005-0000-0000-00002E2E0000}"/>
    <cellStyle name="Positive 2 2 18 4 2 2 2" xfId="11810" xr:uid="{00000000-0005-0000-0000-00002F2E0000}"/>
    <cellStyle name="Positive 2 2 18 4 2 3" xfId="11811" xr:uid="{00000000-0005-0000-0000-0000302E0000}"/>
    <cellStyle name="Positive 2 2 18 4 2 3 2" xfId="11812" xr:uid="{00000000-0005-0000-0000-0000312E0000}"/>
    <cellStyle name="Positive 2 2 18 4 2 4" xfId="11813" xr:uid="{00000000-0005-0000-0000-0000322E0000}"/>
    <cellStyle name="Positive 2 2 18 4 2 4 2" xfId="11814" xr:uid="{00000000-0005-0000-0000-0000332E0000}"/>
    <cellStyle name="Positive 2 2 18 4 2 5" xfId="11815" xr:uid="{00000000-0005-0000-0000-0000342E0000}"/>
    <cellStyle name="Positive 2 2 18 4 2 5 2" xfId="11816" xr:uid="{00000000-0005-0000-0000-0000352E0000}"/>
    <cellStyle name="Positive 2 2 18 4 2 6" xfId="11817" xr:uid="{00000000-0005-0000-0000-0000362E0000}"/>
    <cellStyle name="Positive 2 2 18 4 2 6 2" xfId="11818" xr:uid="{00000000-0005-0000-0000-0000372E0000}"/>
    <cellStyle name="Positive 2 2 18 4 2 7" xfId="11819" xr:uid="{00000000-0005-0000-0000-0000382E0000}"/>
    <cellStyle name="Positive 2 2 18 4 2 7 2" xfId="11820" xr:uid="{00000000-0005-0000-0000-0000392E0000}"/>
    <cellStyle name="Positive 2 2 18 4 2 8" xfId="11821" xr:uid="{00000000-0005-0000-0000-00003A2E0000}"/>
    <cellStyle name="Positive 2 2 18 4 2 8 2" xfId="11822" xr:uid="{00000000-0005-0000-0000-00003B2E0000}"/>
    <cellStyle name="Positive 2 2 18 4 2 9" xfId="11823" xr:uid="{00000000-0005-0000-0000-00003C2E0000}"/>
    <cellStyle name="Positive 2 2 18 4 2 9 2" xfId="11824" xr:uid="{00000000-0005-0000-0000-00003D2E0000}"/>
    <cellStyle name="Positive 2 2 18 4 20" xfId="11825" xr:uid="{00000000-0005-0000-0000-00003E2E0000}"/>
    <cellStyle name="Positive 2 2 18 4 3" xfId="11826" xr:uid="{00000000-0005-0000-0000-00003F2E0000}"/>
    <cellStyle name="Positive 2 2 18 4 3 2" xfId="11827" xr:uid="{00000000-0005-0000-0000-0000402E0000}"/>
    <cellStyle name="Positive 2 2 18 4 3 2 2" xfId="11828" xr:uid="{00000000-0005-0000-0000-0000412E0000}"/>
    <cellStyle name="Positive 2 2 18 4 3 3" xfId="11829" xr:uid="{00000000-0005-0000-0000-0000422E0000}"/>
    <cellStyle name="Positive 2 2 18 4 4" xfId="11830" xr:uid="{00000000-0005-0000-0000-0000432E0000}"/>
    <cellStyle name="Positive 2 2 18 4 4 2" xfId="11831" xr:uid="{00000000-0005-0000-0000-0000442E0000}"/>
    <cellStyle name="Positive 2 2 18 4 4 2 2" xfId="11832" xr:uid="{00000000-0005-0000-0000-0000452E0000}"/>
    <cellStyle name="Positive 2 2 18 4 4 3" xfId="11833" xr:uid="{00000000-0005-0000-0000-0000462E0000}"/>
    <cellStyle name="Positive 2 2 18 4 5" xfId="11834" xr:uid="{00000000-0005-0000-0000-0000472E0000}"/>
    <cellStyle name="Positive 2 2 18 4 5 2" xfId="11835" xr:uid="{00000000-0005-0000-0000-0000482E0000}"/>
    <cellStyle name="Positive 2 2 18 4 6" xfId="11836" xr:uid="{00000000-0005-0000-0000-0000492E0000}"/>
    <cellStyle name="Positive 2 2 18 4 6 2" xfId="11837" xr:uid="{00000000-0005-0000-0000-00004A2E0000}"/>
    <cellStyle name="Positive 2 2 18 4 7" xfId="11838" xr:uid="{00000000-0005-0000-0000-00004B2E0000}"/>
    <cellStyle name="Positive 2 2 18 4 7 2" xfId="11839" xr:uid="{00000000-0005-0000-0000-00004C2E0000}"/>
    <cellStyle name="Positive 2 2 18 4 8" xfId="11840" xr:uid="{00000000-0005-0000-0000-00004D2E0000}"/>
    <cellStyle name="Positive 2 2 18 4 8 2" xfId="11841" xr:uid="{00000000-0005-0000-0000-00004E2E0000}"/>
    <cellStyle name="Positive 2 2 18 4 9" xfId="11842" xr:uid="{00000000-0005-0000-0000-00004F2E0000}"/>
    <cellStyle name="Positive 2 2 18 4 9 2" xfId="11843" xr:uid="{00000000-0005-0000-0000-0000502E0000}"/>
    <cellStyle name="Positive 2 2 18 5" xfId="11844" xr:uid="{00000000-0005-0000-0000-0000512E0000}"/>
    <cellStyle name="Positive 2 2 18 5 10" xfId="11845" xr:uid="{00000000-0005-0000-0000-0000522E0000}"/>
    <cellStyle name="Positive 2 2 18 5 10 2" xfId="11846" xr:uid="{00000000-0005-0000-0000-0000532E0000}"/>
    <cellStyle name="Positive 2 2 18 5 11" xfId="11847" xr:uid="{00000000-0005-0000-0000-0000542E0000}"/>
    <cellStyle name="Positive 2 2 18 5 11 2" xfId="11848" xr:uid="{00000000-0005-0000-0000-0000552E0000}"/>
    <cellStyle name="Positive 2 2 18 5 12" xfId="11849" xr:uid="{00000000-0005-0000-0000-0000562E0000}"/>
    <cellStyle name="Positive 2 2 18 5 12 2" xfId="11850" xr:uid="{00000000-0005-0000-0000-0000572E0000}"/>
    <cellStyle name="Positive 2 2 18 5 13" xfId="11851" xr:uid="{00000000-0005-0000-0000-0000582E0000}"/>
    <cellStyle name="Positive 2 2 18 5 13 2" xfId="11852" xr:uid="{00000000-0005-0000-0000-0000592E0000}"/>
    <cellStyle name="Positive 2 2 18 5 14" xfId="11853" xr:uid="{00000000-0005-0000-0000-00005A2E0000}"/>
    <cellStyle name="Positive 2 2 18 5 14 2" xfId="11854" xr:uid="{00000000-0005-0000-0000-00005B2E0000}"/>
    <cellStyle name="Positive 2 2 18 5 15" xfId="11855" xr:uid="{00000000-0005-0000-0000-00005C2E0000}"/>
    <cellStyle name="Positive 2 2 18 5 15 2" xfId="11856" xr:uid="{00000000-0005-0000-0000-00005D2E0000}"/>
    <cellStyle name="Positive 2 2 18 5 16" xfId="11857" xr:uid="{00000000-0005-0000-0000-00005E2E0000}"/>
    <cellStyle name="Positive 2 2 18 5 16 2" xfId="11858" xr:uid="{00000000-0005-0000-0000-00005F2E0000}"/>
    <cellStyle name="Positive 2 2 18 5 17" xfId="11859" xr:uid="{00000000-0005-0000-0000-0000602E0000}"/>
    <cellStyle name="Positive 2 2 18 5 2" xfId="11860" xr:uid="{00000000-0005-0000-0000-0000612E0000}"/>
    <cellStyle name="Positive 2 2 18 5 2 2" xfId="11861" xr:uid="{00000000-0005-0000-0000-0000622E0000}"/>
    <cellStyle name="Positive 2 2 18 5 3" xfId="11862" xr:uid="{00000000-0005-0000-0000-0000632E0000}"/>
    <cellStyle name="Positive 2 2 18 5 3 2" xfId="11863" xr:uid="{00000000-0005-0000-0000-0000642E0000}"/>
    <cellStyle name="Positive 2 2 18 5 4" xfId="11864" xr:uid="{00000000-0005-0000-0000-0000652E0000}"/>
    <cellStyle name="Positive 2 2 18 5 4 2" xfId="11865" xr:uid="{00000000-0005-0000-0000-0000662E0000}"/>
    <cellStyle name="Positive 2 2 18 5 5" xfId="11866" xr:uid="{00000000-0005-0000-0000-0000672E0000}"/>
    <cellStyle name="Positive 2 2 18 5 5 2" xfId="11867" xr:uid="{00000000-0005-0000-0000-0000682E0000}"/>
    <cellStyle name="Positive 2 2 18 5 6" xfId="11868" xr:uid="{00000000-0005-0000-0000-0000692E0000}"/>
    <cellStyle name="Positive 2 2 18 5 6 2" xfId="11869" xr:uid="{00000000-0005-0000-0000-00006A2E0000}"/>
    <cellStyle name="Positive 2 2 18 5 7" xfId="11870" xr:uid="{00000000-0005-0000-0000-00006B2E0000}"/>
    <cellStyle name="Positive 2 2 18 5 7 2" xfId="11871" xr:uid="{00000000-0005-0000-0000-00006C2E0000}"/>
    <cellStyle name="Positive 2 2 18 5 8" xfId="11872" xr:uid="{00000000-0005-0000-0000-00006D2E0000}"/>
    <cellStyle name="Positive 2 2 18 5 8 2" xfId="11873" xr:uid="{00000000-0005-0000-0000-00006E2E0000}"/>
    <cellStyle name="Positive 2 2 18 5 9" xfId="11874" xr:uid="{00000000-0005-0000-0000-00006F2E0000}"/>
    <cellStyle name="Positive 2 2 18 5 9 2" xfId="11875" xr:uid="{00000000-0005-0000-0000-0000702E0000}"/>
    <cellStyle name="Positive 2 2 18 6" xfId="11876" xr:uid="{00000000-0005-0000-0000-0000712E0000}"/>
    <cellStyle name="Positive 2 2 18 6 2" xfId="11877" xr:uid="{00000000-0005-0000-0000-0000722E0000}"/>
    <cellStyle name="Positive 2 2 18 6 2 2" xfId="11878" xr:uid="{00000000-0005-0000-0000-0000732E0000}"/>
    <cellStyle name="Positive 2 2 18 6 3" xfId="11879" xr:uid="{00000000-0005-0000-0000-0000742E0000}"/>
    <cellStyle name="Positive 2 2 18 7" xfId="11880" xr:uid="{00000000-0005-0000-0000-0000752E0000}"/>
    <cellStyle name="Positive 2 2 18 7 2" xfId="11881" xr:uid="{00000000-0005-0000-0000-0000762E0000}"/>
    <cellStyle name="Positive 2 2 18 7 2 2" xfId="11882" xr:uid="{00000000-0005-0000-0000-0000772E0000}"/>
    <cellStyle name="Positive 2 2 18 7 3" xfId="11883" xr:uid="{00000000-0005-0000-0000-0000782E0000}"/>
    <cellStyle name="Positive 2 2 18 8" xfId="11884" xr:uid="{00000000-0005-0000-0000-0000792E0000}"/>
    <cellStyle name="Positive 2 2 18 8 2" xfId="11885" xr:uid="{00000000-0005-0000-0000-00007A2E0000}"/>
    <cellStyle name="Positive 2 2 18 9" xfId="11886" xr:uid="{00000000-0005-0000-0000-00007B2E0000}"/>
    <cellStyle name="Positive 2 2 18 9 2" xfId="11887" xr:uid="{00000000-0005-0000-0000-00007C2E0000}"/>
    <cellStyle name="Positive 2 2 19" xfId="11888" xr:uid="{00000000-0005-0000-0000-00007D2E0000}"/>
    <cellStyle name="Positive 2 2 19 10" xfId="11889" xr:uid="{00000000-0005-0000-0000-00007E2E0000}"/>
    <cellStyle name="Positive 2 2 19 10 2" xfId="11890" xr:uid="{00000000-0005-0000-0000-00007F2E0000}"/>
    <cellStyle name="Positive 2 2 19 11" xfId="11891" xr:uid="{00000000-0005-0000-0000-0000802E0000}"/>
    <cellStyle name="Positive 2 2 19 11 2" xfId="11892" xr:uid="{00000000-0005-0000-0000-0000812E0000}"/>
    <cellStyle name="Positive 2 2 19 12" xfId="11893" xr:uid="{00000000-0005-0000-0000-0000822E0000}"/>
    <cellStyle name="Positive 2 2 19 12 2" xfId="11894" xr:uid="{00000000-0005-0000-0000-0000832E0000}"/>
    <cellStyle name="Positive 2 2 19 13" xfId="11895" xr:uid="{00000000-0005-0000-0000-0000842E0000}"/>
    <cellStyle name="Positive 2 2 19 13 2" xfId="11896" xr:uid="{00000000-0005-0000-0000-0000852E0000}"/>
    <cellStyle name="Positive 2 2 19 14" xfId="11897" xr:uid="{00000000-0005-0000-0000-0000862E0000}"/>
    <cellStyle name="Positive 2 2 19 14 2" xfId="11898" xr:uid="{00000000-0005-0000-0000-0000872E0000}"/>
    <cellStyle name="Positive 2 2 19 15" xfId="11899" xr:uid="{00000000-0005-0000-0000-0000882E0000}"/>
    <cellStyle name="Positive 2 2 19 15 2" xfId="11900" xr:uid="{00000000-0005-0000-0000-0000892E0000}"/>
    <cellStyle name="Positive 2 2 19 16" xfId="11901" xr:uid="{00000000-0005-0000-0000-00008A2E0000}"/>
    <cellStyle name="Positive 2 2 19 16 2" xfId="11902" xr:uid="{00000000-0005-0000-0000-00008B2E0000}"/>
    <cellStyle name="Positive 2 2 19 17" xfId="11903" xr:uid="{00000000-0005-0000-0000-00008C2E0000}"/>
    <cellStyle name="Positive 2 2 19 17 2" xfId="11904" xr:uid="{00000000-0005-0000-0000-00008D2E0000}"/>
    <cellStyle name="Positive 2 2 19 18" xfId="11905" xr:uid="{00000000-0005-0000-0000-00008E2E0000}"/>
    <cellStyle name="Positive 2 2 19 18 2" xfId="11906" xr:uid="{00000000-0005-0000-0000-00008F2E0000}"/>
    <cellStyle name="Positive 2 2 19 19" xfId="11907" xr:uid="{00000000-0005-0000-0000-0000902E0000}"/>
    <cellStyle name="Positive 2 2 19 19 2" xfId="11908" xr:uid="{00000000-0005-0000-0000-0000912E0000}"/>
    <cellStyle name="Positive 2 2 19 2" xfId="11909" xr:uid="{00000000-0005-0000-0000-0000922E0000}"/>
    <cellStyle name="Positive 2 2 19 2 10" xfId="11910" xr:uid="{00000000-0005-0000-0000-0000932E0000}"/>
    <cellStyle name="Positive 2 2 19 2 10 2" xfId="11911" xr:uid="{00000000-0005-0000-0000-0000942E0000}"/>
    <cellStyle name="Positive 2 2 19 2 11" xfId="11912" xr:uid="{00000000-0005-0000-0000-0000952E0000}"/>
    <cellStyle name="Positive 2 2 19 2 11 2" xfId="11913" xr:uid="{00000000-0005-0000-0000-0000962E0000}"/>
    <cellStyle name="Positive 2 2 19 2 12" xfId="11914" xr:uid="{00000000-0005-0000-0000-0000972E0000}"/>
    <cellStyle name="Positive 2 2 19 2 12 2" xfId="11915" xr:uid="{00000000-0005-0000-0000-0000982E0000}"/>
    <cellStyle name="Positive 2 2 19 2 13" xfId="11916" xr:uid="{00000000-0005-0000-0000-0000992E0000}"/>
    <cellStyle name="Positive 2 2 19 2 13 2" xfId="11917" xr:uid="{00000000-0005-0000-0000-00009A2E0000}"/>
    <cellStyle name="Positive 2 2 19 2 14" xfId="11918" xr:uid="{00000000-0005-0000-0000-00009B2E0000}"/>
    <cellStyle name="Positive 2 2 19 2 14 2" xfId="11919" xr:uid="{00000000-0005-0000-0000-00009C2E0000}"/>
    <cellStyle name="Positive 2 2 19 2 15" xfId="11920" xr:uid="{00000000-0005-0000-0000-00009D2E0000}"/>
    <cellStyle name="Positive 2 2 19 2 15 2" xfId="11921" xr:uid="{00000000-0005-0000-0000-00009E2E0000}"/>
    <cellStyle name="Positive 2 2 19 2 16" xfId="11922" xr:uid="{00000000-0005-0000-0000-00009F2E0000}"/>
    <cellStyle name="Positive 2 2 19 2 16 2" xfId="11923" xr:uid="{00000000-0005-0000-0000-0000A02E0000}"/>
    <cellStyle name="Positive 2 2 19 2 17" xfId="11924" xr:uid="{00000000-0005-0000-0000-0000A12E0000}"/>
    <cellStyle name="Positive 2 2 19 2 17 2" xfId="11925" xr:uid="{00000000-0005-0000-0000-0000A22E0000}"/>
    <cellStyle name="Positive 2 2 19 2 18" xfId="11926" xr:uid="{00000000-0005-0000-0000-0000A32E0000}"/>
    <cellStyle name="Positive 2 2 19 2 18 2" xfId="11927" xr:uid="{00000000-0005-0000-0000-0000A42E0000}"/>
    <cellStyle name="Positive 2 2 19 2 19" xfId="11928" xr:uid="{00000000-0005-0000-0000-0000A52E0000}"/>
    <cellStyle name="Positive 2 2 19 2 19 2" xfId="11929" xr:uid="{00000000-0005-0000-0000-0000A62E0000}"/>
    <cellStyle name="Positive 2 2 19 2 2" xfId="11930" xr:uid="{00000000-0005-0000-0000-0000A72E0000}"/>
    <cellStyle name="Positive 2 2 19 2 2 10" xfId="11931" xr:uid="{00000000-0005-0000-0000-0000A82E0000}"/>
    <cellStyle name="Positive 2 2 19 2 2 10 2" xfId="11932" xr:uid="{00000000-0005-0000-0000-0000A92E0000}"/>
    <cellStyle name="Positive 2 2 19 2 2 11" xfId="11933" xr:uid="{00000000-0005-0000-0000-0000AA2E0000}"/>
    <cellStyle name="Positive 2 2 19 2 2 11 2" xfId="11934" xr:uid="{00000000-0005-0000-0000-0000AB2E0000}"/>
    <cellStyle name="Positive 2 2 19 2 2 12" xfId="11935" xr:uid="{00000000-0005-0000-0000-0000AC2E0000}"/>
    <cellStyle name="Positive 2 2 19 2 2 12 2" xfId="11936" xr:uid="{00000000-0005-0000-0000-0000AD2E0000}"/>
    <cellStyle name="Positive 2 2 19 2 2 13" xfId="11937" xr:uid="{00000000-0005-0000-0000-0000AE2E0000}"/>
    <cellStyle name="Positive 2 2 19 2 2 13 2" xfId="11938" xr:uid="{00000000-0005-0000-0000-0000AF2E0000}"/>
    <cellStyle name="Positive 2 2 19 2 2 14" xfId="11939" xr:uid="{00000000-0005-0000-0000-0000B02E0000}"/>
    <cellStyle name="Positive 2 2 19 2 2 14 2" xfId="11940" xr:uid="{00000000-0005-0000-0000-0000B12E0000}"/>
    <cellStyle name="Positive 2 2 19 2 2 15" xfId="11941" xr:uid="{00000000-0005-0000-0000-0000B22E0000}"/>
    <cellStyle name="Positive 2 2 19 2 2 15 2" xfId="11942" xr:uid="{00000000-0005-0000-0000-0000B32E0000}"/>
    <cellStyle name="Positive 2 2 19 2 2 16" xfId="11943" xr:uid="{00000000-0005-0000-0000-0000B42E0000}"/>
    <cellStyle name="Positive 2 2 19 2 2 16 2" xfId="11944" xr:uid="{00000000-0005-0000-0000-0000B52E0000}"/>
    <cellStyle name="Positive 2 2 19 2 2 17" xfId="11945" xr:uid="{00000000-0005-0000-0000-0000B62E0000}"/>
    <cellStyle name="Positive 2 2 19 2 2 2" xfId="11946" xr:uid="{00000000-0005-0000-0000-0000B72E0000}"/>
    <cellStyle name="Positive 2 2 19 2 2 2 2" xfId="11947" xr:uid="{00000000-0005-0000-0000-0000B82E0000}"/>
    <cellStyle name="Positive 2 2 19 2 2 3" xfId="11948" xr:uid="{00000000-0005-0000-0000-0000B92E0000}"/>
    <cellStyle name="Positive 2 2 19 2 2 3 2" xfId="11949" xr:uid="{00000000-0005-0000-0000-0000BA2E0000}"/>
    <cellStyle name="Positive 2 2 19 2 2 4" xfId="11950" xr:uid="{00000000-0005-0000-0000-0000BB2E0000}"/>
    <cellStyle name="Positive 2 2 19 2 2 4 2" xfId="11951" xr:uid="{00000000-0005-0000-0000-0000BC2E0000}"/>
    <cellStyle name="Positive 2 2 19 2 2 5" xfId="11952" xr:uid="{00000000-0005-0000-0000-0000BD2E0000}"/>
    <cellStyle name="Positive 2 2 19 2 2 5 2" xfId="11953" xr:uid="{00000000-0005-0000-0000-0000BE2E0000}"/>
    <cellStyle name="Positive 2 2 19 2 2 6" xfId="11954" xr:uid="{00000000-0005-0000-0000-0000BF2E0000}"/>
    <cellStyle name="Positive 2 2 19 2 2 6 2" xfId="11955" xr:uid="{00000000-0005-0000-0000-0000C02E0000}"/>
    <cellStyle name="Positive 2 2 19 2 2 7" xfId="11956" xr:uid="{00000000-0005-0000-0000-0000C12E0000}"/>
    <cellStyle name="Positive 2 2 19 2 2 7 2" xfId="11957" xr:uid="{00000000-0005-0000-0000-0000C22E0000}"/>
    <cellStyle name="Positive 2 2 19 2 2 8" xfId="11958" xr:uid="{00000000-0005-0000-0000-0000C32E0000}"/>
    <cellStyle name="Positive 2 2 19 2 2 8 2" xfId="11959" xr:uid="{00000000-0005-0000-0000-0000C42E0000}"/>
    <cellStyle name="Positive 2 2 19 2 2 9" xfId="11960" xr:uid="{00000000-0005-0000-0000-0000C52E0000}"/>
    <cellStyle name="Positive 2 2 19 2 2 9 2" xfId="11961" xr:uid="{00000000-0005-0000-0000-0000C62E0000}"/>
    <cellStyle name="Positive 2 2 19 2 20" xfId="11962" xr:uid="{00000000-0005-0000-0000-0000C72E0000}"/>
    <cellStyle name="Positive 2 2 19 2 3" xfId="11963" xr:uid="{00000000-0005-0000-0000-0000C82E0000}"/>
    <cellStyle name="Positive 2 2 19 2 3 2" xfId="11964" xr:uid="{00000000-0005-0000-0000-0000C92E0000}"/>
    <cellStyle name="Positive 2 2 19 2 3 2 2" xfId="11965" xr:uid="{00000000-0005-0000-0000-0000CA2E0000}"/>
    <cellStyle name="Positive 2 2 19 2 3 3" xfId="11966" xr:uid="{00000000-0005-0000-0000-0000CB2E0000}"/>
    <cellStyle name="Positive 2 2 19 2 4" xfId="11967" xr:uid="{00000000-0005-0000-0000-0000CC2E0000}"/>
    <cellStyle name="Positive 2 2 19 2 4 2" xfId="11968" xr:uid="{00000000-0005-0000-0000-0000CD2E0000}"/>
    <cellStyle name="Positive 2 2 19 2 4 2 2" xfId="11969" xr:uid="{00000000-0005-0000-0000-0000CE2E0000}"/>
    <cellStyle name="Positive 2 2 19 2 4 3" xfId="11970" xr:uid="{00000000-0005-0000-0000-0000CF2E0000}"/>
    <cellStyle name="Positive 2 2 19 2 5" xfId="11971" xr:uid="{00000000-0005-0000-0000-0000D02E0000}"/>
    <cellStyle name="Positive 2 2 19 2 5 2" xfId="11972" xr:uid="{00000000-0005-0000-0000-0000D12E0000}"/>
    <cellStyle name="Positive 2 2 19 2 6" xfId="11973" xr:uid="{00000000-0005-0000-0000-0000D22E0000}"/>
    <cellStyle name="Positive 2 2 19 2 6 2" xfId="11974" xr:uid="{00000000-0005-0000-0000-0000D32E0000}"/>
    <cellStyle name="Positive 2 2 19 2 7" xfId="11975" xr:uid="{00000000-0005-0000-0000-0000D42E0000}"/>
    <cellStyle name="Positive 2 2 19 2 7 2" xfId="11976" xr:uid="{00000000-0005-0000-0000-0000D52E0000}"/>
    <cellStyle name="Positive 2 2 19 2 8" xfId="11977" xr:uid="{00000000-0005-0000-0000-0000D62E0000}"/>
    <cellStyle name="Positive 2 2 19 2 8 2" xfId="11978" xr:uid="{00000000-0005-0000-0000-0000D72E0000}"/>
    <cellStyle name="Positive 2 2 19 2 9" xfId="11979" xr:uid="{00000000-0005-0000-0000-0000D82E0000}"/>
    <cellStyle name="Positive 2 2 19 2 9 2" xfId="11980" xr:uid="{00000000-0005-0000-0000-0000D92E0000}"/>
    <cellStyle name="Positive 2 2 19 20" xfId="11981" xr:uid="{00000000-0005-0000-0000-0000DA2E0000}"/>
    <cellStyle name="Positive 2 2 19 20 2" xfId="11982" xr:uid="{00000000-0005-0000-0000-0000DB2E0000}"/>
    <cellStyle name="Positive 2 2 19 21" xfId="11983" xr:uid="{00000000-0005-0000-0000-0000DC2E0000}"/>
    <cellStyle name="Positive 2 2 19 21 2" xfId="11984" xr:uid="{00000000-0005-0000-0000-0000DD2E0000}"/>
    <cellStyle name="Positive 2 2 19 22" xfId="11985" xr:uid="{00000000-0005-0000-0000-0000DE2E0000}"/>
    <cellStyle name="Positive 2 2 19 22 2" xfId="11986" xr:uid="{00000000-0005-0000-0000-0000DF2E0000}"/>
    <cellStyle name="Positive 2 2 19 23" xfId="11987" xr:uid="{00000000-0005-0000-0000-0000E02E0000}"/>
    <cellStyle name="Positive 2 2 19 3" xfId="11988" xr:uid="{00000000-0005-0000-0000-0000E12E0000}"/>
    <cellStyle name="Positive 2 2 19 3 10" xfId="11989" xr:uid="{00000000-0005-0000-0000-0000E22E0000}"/>
    <cellStyle name="Positive 2 2 19 3 10 2" xfId="11990" xr:uid="{00000000-0005-0000-0000-0000E32E0000}"/>
    <cellStyle name="Positive 2 2 19 3 11" xfId="11991" xr:uid="{00000000-0005-0000-0000-0000E42E0000}"/>
    <cellStyle name="Positive 2 2 19 3 11 2" xfId="11992" xr:uid="{00000000-0005-0000-0000-0000E52E0000}"/>
    <cellStyle name="Positive 2 2 19 3 12" xfId="11993" xr:uid="{00000000-0005-0000-0000-0000E62E0000}"/>
    <cellStyle name="Positive 2 2 19 3 12 2" xfId="11994" xr:uid="{00000000-0005-0000-0000-0000E72E0000}"/>
    <cellStyle name="Positive 2 2 19 3 13" xfId="11995" xr:uid="{00000000-0005-0000-0000-0000E82E0000}"/>
    <cellStyle name="Positive 2 2 19 3 13 2" xfId="11996" xr:uid="{00000000-0005-0000-0000-0000E92E0000}"/>
    <cellStyle name="Positive 2 2 19 3 14" xfId="11997" xr:uid="{00000000-0005-0000-0000-0000EA2E0000}"/>
    <cellStyle name="Positive 2 2 19 3 14 2" xfId="11998" xr:uid="{00000000-0005-0000-0000-0000EB2E0000}"/>
    <cellStyle name="Positive 2 2 19 3 15" xfId="11999" xr:uid="{00000000-0005-0000-0000-0000EC2E0000}"/>
    <cellStyle name="Positive 2 2 19 3 15 2" xfId="12000" xr:uid="{00000000-0005-0000-0000-0000ED2E0000}"/>
    <cellStyle name="Positive 2 2 19 3 16" xfId="12001" xr:uid="{00000000-0005-0000-0000-0000EE2E0000}"/>
    <cellStyle name="Positive 2 2 19 3 16 2" xfId="12002" xr:uid="{00000000-0005-0000-0000-0000EF2E0000}"/>
    <cellStyle name="Positive 2 2 19 3 17" xfId="12003" xr:uid="{00000000-0005-0000-0000-0000F02E0000}"/>
    <cellStyle name="Positive 2 2 19 3 17 2" xfId="12004" xr:uid="{00000000-0005-0000-0000-0000F12E0000}"/>
    <cellStyle name="Positive 2 2 19 3 18" xfId="12005" xr:uid="{00000000-0005-0000-0000-0000F22E0000}"/>
    <cellStyle name="Positive 2 2 19 3 18 2" xfId="12006" xr:uid="{00000000-0005-0000-0000-0000F32E0000}"/>
    <cellStyle name="Positive 2 2 19 3 19" xfId="12007" xr:uid="{00000000-0005-0000-0000-0000F42E0000}"/>
    <cellStyle name="Positive 2 2 19 3 19 2" xfId="12008" xr:uid="{00000000-0005-0000-0000-0000F52E0000}"/>
    <cellStyle name="Positive 2 2 19 3 2" xfId="12009" xr:uid="{00000000-0005-0000-0000-0000F62E0000}"/>
    <cellStyle name="Positive 2 2 19 3 2 10" xfId="12010" xr:uid="{00000000-0005-0000-0000-0000F72E0000}"/>
    <cellStyle name="Positive 2 2 19 3 2 10 2" xfId="12011" xr:uid="{00000000-0005-0000-0000-0000F82E0000}"/>
    <cellStyle name="Positive 2 2 19 3 2 11" xfId="12012" xr:uid="{00000000-0005-0000-0000-0000F92E0000}"/>
    <cellStyle name="Positive 2 2 19 3 2 11 2" xfId="12013" xr:uid="{00000000-0005-0000-0000-0000FA2E0000}"/>
    <cellStyle name="Positive 2 2 19 3 2 12" xfId="12014" xr:uid="{00000000-0005-0000-0000-0000FB2E0000}"/>
    <cellStyle name="Positive 2 2 19 3 2 12 2" xfId="12015" xr:uid="{00000000-0005-0000-0000-0000FC2E0000}"/>
    <cellStyle name="Positive 2 2 19 3 2 13" xfId="12016" xr:uid="{00000000-0005-0000-0000-0000FD2E0000}"/>
    <cellStyle name="Positive 2 2 19 3 2 13 2" xfId="12017" xr:uid="{00000000-0005-0000-0000-0000FE2E0000}"/>
    <cellStyle name="Positive 2 2 19 3 2 14" xfId="12018" xr:uid="{00000000-0005-0000-0000-0000FF2E0000}"/>
    <cellStyle name="Positive 2 2 19 3 2 14 2" xfId="12019" xr:uid="{00000000-0005-0000-0000-0000002F0000}"/>
    <cellStyle name="Positive 2 2 19 3 2 15" xfId="12020" xr:uid="{00000000-0005-0000-0000-0000012F0000}"/>
    <cellStyle name="Positive 2 2 19 3 2 15 2" xfId="12021" xr:uid="{00000000-0005-0000-0000-0000022F0000}"/>
    <cellStyle name="Positive 2 2 19 3 2 16" xfId="12022" xr:uid="{00000000-0005-0000-0000-0000032F0000}"/>
    <cellStyle name="Positive 2 2 19 3 2 16 2" xfId="12023" xr:uid="{00000000-0005-0000-0000-0000042F0000}"/>
    <cellStyle name="Positive 2 2 19 3 2 17" xfId="12024" xr:uid="{00000000-0005-0000-0000-0000052F0000}"/>
    <cellStyle name="Positive 2 2 19 3 2 2" xfId="12025" xr:uid="{00000000-0005-0000-0000-0000062F0000}"/>
    <cellStyle name="Positive 2 2 19 3 2 2 2" xfId="12026" xr:uid="{00000000-0005-0000-0000-0000072F0000}"/>
    <cellStyle name="Positive 2 2 19 3 2 3" xfId="12027" xr:uid="{00000000-0005-0000-0000-0000082F0000}"/>
    <cellStyle name="Positive 2 2 19 3 2 3 2" xfId="12028" xr:uid="{00000000-0005-0000-0000-0000092F0000}"/>
    <cellStyle name="Positive 2 2 19 3 2 4" xfId="12029" xr:uid="{00000000-0005-0000-0000-00000A2F0000}"/>
    <cellStyle name="Positive 2 2 19 3 2 4 2" xfId="12030" xr:uid="{00000000-0005-0000-0000-00000B2F0000}"/>
    <cellStyle name="Positive 2 2 19 3 2 5" xfId="12031" xr:uid="{00000000-0005-0000-0000-00000C2F0000}"/>
    <cellStyle name="Positive 2 2 19 3 2 5 2" xfId="12032" xr:uid="{00000000-0005-0000-0000-00000D2F0000}"/>
    <cellStyle name="Positive 2 2 19 3 2 6" xfId="12033" xr:uid="{00000000-0005-0000-0000-00000E2F0000}"/>
    <cellStyle name="Positive 2 2 19 3 2 6 2" xfId="12034" xr:uid="{00000000-0005-0000-0000-00000F2F0000}"/>
    <cellStyle name="Positive 2 2 19 3 2 7" xfId="12035" xr:uid="{00000000-0005-0000-0000-0000102F0000}"/>
    <cellStyle name="Positive 2 2 19 3 2 7 2" xfId="12036" xr:uid="{00000000-0005-0000-0000-0000112F0000}"/>
    <cellStyle name="Positive 2 2 19 3 2 8" xfId="12037" xr:uid="{00000000-0005-0000-0000-0000122F0000}"/>
    <cellStyle name="Positive 2 2 19 3 2 8 2" xfId="12038" xr:uid="{00000000-0005-0000-0000-0000132F0000}"/>
    <cellStyle name="Positive 2 2 19 3 2 9" xfId="12039" xr:uid="{00000000-0005-0000-0000-0000142F0000}"/>
    <cellStyle name="Positive 2 2 19 3 2 9 2" xfId="12040" xr:uid="{00000000-0005-0000-0000-0000152F0000}"/>
    <cellStyle name="Positive 2 2 19 3 20" xfId="12041" xr:uid="{00000000-0005-0000-0000-0000162F0000}"/>
    <cellStyle name="Positive 2 2 19 3 3" xfId="12042" xr:uid="{00000000-0005-0000-0000-0000172F0000}"/>
    <cellStyle name="Positive 2 2 19 3 3 2" xfId="12043" xr:uid="{00000000-0005-0000-0000-0000182F0000}"/>
    <cellStyle name="Positive 2 2 19 3 3 2 2" xfId="12044" xr:uid="{00000000-0005-0000-0000-0000192F0000}"/>
    <cellStyle name="Positive 2 2 19 3 3 3" xfId="12045" xr:uid="{00000000-0005-0000-0000-00001A2F0000}"/>
    <cellStyle name="Positive 2 2 19 3 4" xfId="12046" xr:uid="{00000000-0005-0000-0000-00001B2F0000}"/>
    <cellStyle name="Positive 2 2 19 3 4 2" xfId="12047" xr:uid="{00000000-0005-0000-0000-00001C2F0000}"/>
    <cellStyle name="Positive 2 2 19 3 4 2 2" xfId="12048" xr:uid="{00000000-0005-0000-0000-00001D2F0000}"/>
    <cellStyle name="Positive 2 2 19 3 4 3" xfId="12049" xr:uid="{00000000-0005-0000-0000-00001E2F0000}"/>
    <cellStyle name="Positive 2 2 19 3 5" xfId="12050" xr:uid="{00000000-0005-0000-0000-00001F2F0000}"/>
    <cellStyle name="Positive 2 2 19 3 5 2" xfId="12051" xr:uid="{00000000-0005-0000-0000-0000202F0000}"/>
    <cellStyle name="Positive 2 2 19 3 6" xfId="12052" xr:uid="{00000000-0005-0000-0000-0000212F0000}"/>
    <cellStyle name="Positive 2 2 19 3 6 2" xfId="12053" xr:uid="{00000000-0005-0000-0000-0000222F0000}"/>
    <cellStyle name="Positive 2 2 19 3 7" xfId="12054" xr:uid="{00000000-0005-0000-0000-0000232F0000}"/>
    <cellStyle name="Positive 2 2 19 3 7 2" xfId="12055" xr:uid="{00000000-0005-0000-0000-0000242F0000}"/>
    <cellStyle name="Positive 2 2 19 3 8" xfId="12056" xr:uid="{00000000-0005-0000-0000-0000252F0000}"/>
    <cellStyle name="Positive 2 2 19 3 8 2" xfId="12057" xr:uid="{00000000-0005-0000-0000-0000262F0000}"/>
    <cellStyle name="Positive 2 2 19 3 9" xfId="12058" xr:uid="{00000000-0005-0000-0000-0000272F0000}"/>
    <cellStyle name="Positive 2 2 19 3 9 2" xfId="12059" xr:uid="{00000000-0005-0000-0000-0000282F0000}"/>
    <cellStyle name="Positive 2 2 19 4" xfId="12060" xr:uid="{00000000-0005-0000-0000-0000292F0000}"/>
    <cellStyle name="Positive 2 2 19 4 10" xfId="12061" xr:uid="{00000000-0005-0000-0000-00002A2F0000}"/>
    <cellStyle name="Positive 2 2 19 4 10 2" xfId="12062" xr:uid="{00000000-0005-0000-0000-00002B2F0000}"/>
    <cellStyle name="Positive 2 2 19 4 11" xfId="12063" xr:uid="{00000000-0005-0000-0000-00002C2F0000}"/>
    <cellStyle name="Positive 2 2 19 4 11 2" xfId="12064" xr:uid="{00000000-0005-0000-0000-00002D2F0000}"/>
    <cellStyle name="Positive 2 2 19 4 12" xfId="12065" xr:uid="{00000000-0005-0000-0000-00002E2F0000}"/>
    <cellStyle name="Positive 2 2 19 4 12 2" xfId="12066" xr:uid="{00000000-0005-0000-0000-00002F2F0000}"/>
    <cellStyle name="Positive 2 2 19 4 13" xfId="12067" xr:uid="{00000000-0005-0000-0000-0000302F0000}"/>
    <cellStyle name="Positive 2 2 19 4 13 2" xfId="12068" xr:uid="{00000000-0005-0000-0000-0000312F0000}"/>
    <cellStyle name="Positive 2 2 19 4 14" xfId="12069" xr:uid="{00000000-0005-0000-0000-0000322F0000}"/>
    <cellStyle name="Positive 2 2 19 4 14 2" xfId="12070" xr:uid="{00000000-0005-0000-0000-0000332F0000}"/>
    <cellStyle name="Positive 2 2 19 4 15" xfId="12071" xr:uid="{00000000-0005-0000-0000-0000342F0000}"/>
    <cellStyle name="Positive 2 2 19 4 15 2" xfId="12072" xr:uid="{00000000-0005-0000-0000-0000352F0000}"/>
    <cellStyle name="Positive 2 2 19 4 16" xfId="12073" xr:uid="{00000000-0005-0000-0000-0000362F0000}"/>
    <cellStyle name="Positive 2 2 19 4 16 2" xfId="12074" xr:uid="{00000000-0005-0000-0000-0000372F0000}"/>
    <cellStyle name="Positive 2 2 19 4 17" xfId="12075" xr:uid="{00000000-0005-0000-0000-0000382F0000}"/>
    <cellStyle name="Positive 2 2 19 4 17 2" xfId="12076" xr:uid="{00000000-0005-0000-0000-0000392F0000}"/>
    <cellStyle name="Positive 2 2 19 4 18" xfId="12077" xr:uid="{00000000-0005-0000-0000-00003A2F0000}"/>
    <cellStyle name="Positive 2 2 19 4 18 2" xfId="12078" xr:uid="{00000000-0005-0000-0000-00003B2F0000}"/>
    <cellStyle name="Positive 2 2 19 4 19" xfId="12079" xr:uid="{00000000-0005-0000-0000-00003C2F0000}"/>
    <cellStyle name="Positive 2 2 19 4 19 2" xfId="12080" xr:uid="{00000000-0005-0000-0000-00003D2F0000}"/>
    <cellStyle name="Positive 2 2 19 4 2" xfId="12081" xr:uid="{00000000-0005-0000-0000-00003E2F0000}"/>
    <cellStyle name="Positive 2 2 19 4 2 10" xfId="12082" xr:uid="{00000000-0005-0000-0000-00003F2F0000}"/>
    <cellStyle name="Positive 2 2 19 4 2 10 2" xfId="12083" xr:uid="{00000000-0005-0000-0000-0000402F0000}"/>
    <cellStyle name="Positive 2 2 19 4 2 11" xfId="12084" xr:uid="{00000000-0005-0000-0000-0000412F0000}"/>
    <cellStyle name="Positive 2 2 19 4 2 11 2" xfId="12085" xr:uid="{00000000-0005-0000-0000-0000422F0000}"/>
    <cellStyle name="Positive 2 2 19 4 2 12" xfId="12086" xr:uid="{00000000-0005-0000-0000-0000432F0000}"/>
    <cellStyle name="Positive 2 2 19 4 2 12 2" xfId="12087" xr:uid="{00000000-0005-0000-0000-0000442F0000}"/>
    <cellStyle name="Positive 2 2 19 4 2 13" xfId="12088" xr:uid="{00000000-0005-0000-0000-0000452F0000}"/>
    <cellStyle name="Positive 2 2 19 4 2 13 2" xfId="12089" xr:uid="{00000000-0005-0000-0000-0000462F0000}"/>
    <cellStyle name="Positive 2 2 19 4 2 14" xfId="12090" xr:uid="{00000000-0005-0000-0000-0000472F0000}"/>
    <cellStyle name="Positive 2 2 19 4 2 14 2" xfId="12091" xr:uid="{00000000-0005-0000-0000-0000482F0000}"/>
    <cellStyle name="Positive 2 2 19 4 2 15" xfId="12092" xr:uid="{00000000-0005-0000-0000-0000492F0000}"/>
    <cellStyle name="Positive 2 2 19 4 2 15 2" xfId="12093" xr:uid="{00000000-0005-0000-0000-00004A2F0000}"/>
    <cellStyle name="Positive 2 2 19 4 2 16" xfId="12094" xr:uid="{00000000-0005-0000-0000-00004B2F0000}"/>
    <cellStyle name="Positive 2 2 19 4 2 16 2" xfId="12095" xr:uid="{00000000-0005-0000-0000-00004C2F0000}"/>
    <cellStyle name="Positive 2 2 19 4 2 17" xfId="12096" xr:uid="{00000000-0005-0000-0000-00004D2F0000}"/>
    <cellStyle name="Positive 2 2 19 4 2 2" xfId="12097" xr:uid="{00000000-0005-0000-0000-00004E2F0000}"/>
    <cellStyle name="Positive 2 2 19 4 2 2 2" xfId="12098" xr:uid="{00000000-0005-0000-0000-00004F2F0000}"/>
    <cellStyle name="Positive 2 2 19 4 2 3" xfId="12099" xr:uid="{00000000-0005-0000-0000-0000502F0000}"/>
    <cellStyle name="Positive 2 2 19 4 2 3 2" xfId="12100" xr:uid="{00000000-0005-0000-0000-0000512F0000}"/>
    <cellStyle name="Positive 2 2 19 4 2 4" xfId="12101" xr:uid="{00000000-0005-0000-0000-0000522F0000}"/>
    <cellStyle name="Positive 2 2 19 4 2 4 2" xfId="12102" xr:uid="{00000000-0005-0000-0000-0000532F0000}"/>
    <cellStyle name="Positive 2 2 19 4 2 5" xfId="12103" xr:uid="{00000000-0005-0000-0000-0000542F0000}"/>
    <cellStyle name="Positive 2 2 19 4 2 5 2" xfId="12104" xr:uid="{00000000-0005-0000-0000-0000552F0000}"/>
    <cellStyle name="Positive 2 2 19 4 2 6" xfId="12105" xr:uid="{00000000-0005-0000-0000-0000562F0000}"/>
    <cellStyle name="Positive 2 2 19 4 2 6 2" xfId="12106" xr:uid="{00000000-0005-0000-0000-0000572F0000}"/>
    <cellStyle name="Positive 2 2 19 4 2 7" xfId="12107" xr:uid="{00000000-0005-0000-0000-0000582F0000}"/>
    <cellStyle name="Positive 2 2 19 4 2 7 2" xfId="12108" xr:uid="{00000000-0005-0000-0000-0000592F0000}"/>
    <cellStyle name="Positive 2 2 19 4 2 8" xfId="12109" xr:uid="{00000000-0005-0000-0000-00005A2F0000}"/>
    <cellStyle name="Positive 2 2 19 4 2 8 2" xfId="12110" xr:uid="{00000000-0005-0000-0000-00005B2F0000}"/>
    <cellStyle name="Positive 2 2 19 4 2 9" xfId="12111" xr:uid="{00000000-0005-0000-0000-00005C2F0000}"/>
    <cellStyle name="Positive 2 2 19 4 2 9 2" xfId="12112" xr:uid="{00000000-0005-0000-0000-00005D2F0000}"/>
    <cellStyle name="Positive 2 2 19 4 20" xfId="12113" xr:uid="{00000000-0005-0000-0000-00005E2F0000}"/>
    <cellStyle name="Positive 2 2 19 4 3" xfId="12114" xr:uid="{00000000-0005-0000-0000-00005F2F0000}"/>
    <cellStyle name="Positive 2 2 19 4 3 2" xfId="12115" xr:uid="{00000000-0005-0000-0000-0000602F0000}"/>
    <cellStyle name="Positive 2 2 19 4 3 2 2" xfId="12116" xr:uid="{00000000-0005-0000-0000-0000612F0000}"/>
    <cellStyle name="Positive 2 2 19 4 3 3" xfId="12117" xr:uid="{00000000-0005-0000-0000-0000622F0000}"/>
    <cellStyle name="Positive 2 2 19 4 4" xfId="12118" xr:uid="{00000000-0005-0000-0000-0000632F0000}"/>
    <cellStyle name="Positive 2 2 19 4 4 2" xfId="12119" xr:uid="{00000000-0005-0000-0000-0000642F0000}"/>
    <cellStyle name="Positive 2 2 19 4 4 2 2" xfId="12120" xr:uid="{00000000-0005-0000-0000-0000652F0000}"/>
    <cellStyle name="Positive 2 2 19 4 4 3" xfId="12121" xr:uid="{00000000-0005-0000-0000-0000662F0000}"/>
    <cellStyle name="Positive 2 2 19 4 5" xfId="12122" xr:uid="{00000000-0005-0000-0000-0000672F0000}"/>
    <cellStyle name="Positive 2 2 19 4 5 2" xfId="12123" xr:uid="{00000000-0005-0000-0000-0000682F0000}"/>
    <cellStyle name="Positive 2 2 19 4 6" xfId="12124" xr:uid="{00000000-0005-0000-0000-0000692F0000}"/>
    <cellStyle name="Positive 2 2 19 4 6 2" xfId="12125" xr:uid="{00000000-0005-0000-0000-00006A2F0000}"/>
    <cellStyle name="Positive 2 2 19 4 7" xfId="12126" xr:uid="{00000000-0005-0000-0000-00006B2F0000}"/>
    <cellStyle name="Positive 2 2 19 4 7 2" xfId="12127" xr:uid="{00000000-0005-0000-0000-00006C2F0000}"/>
    <cellStyle name="Positive 2 2 19 4 8" xfId="12128" xr:uid="{00000000-0005-0000-0000-00006D2F0000}"/>
    <cellStyle name="Positive 2 2 19 4 8 2" xfId="12129" xr:uid="{00000000-0005-0000-0000-00006E2F0000}"/>
    <cellStyle name="Positive 2 2 19 4 9" xfId="12130" xr:uid="{00000000-0005-0000-0000-00006F2F0000}"/>
    <cellStyle name="Positive 2 2 19 4 9 2" xfId="12131" xr:uid="{00000000-0005-0000-0000-0000702F0000}"/>
    <cellStyle name="Positive 2 2 19 5" xfId="12132" xr:uid="{00000000-0005-0000-0000-0000712F0000}"/>
    <cellStyle name="Positive 2 2 19 5 10" xfId="12133" xr:uid="{00000000-0005-0000-0000-0000722F0000}"/>
    <cellStyle name="Positive 2 2 19 5 10 2" xfId="12134" xr:uid="{00000000-0005-0000-0000-0000732F0000}"/>
    <cellStyle name="Positive 2 2 19 5 11" xfId="12135" xr:uid="{00000000-0005-0000-0000-0000742F0000}"/>
    <cellStyle name="Positive 2 2 19 5 11 2" xfId="12136" xr:uid="{00000000-0005-0000-0000-0000752F0000}"/>
    <cellStyle name="Positive 2 2 19 5 12" xfId="12137" xr:uid="{00000000-0005-0000-0000-0000762F0000}"/>
    <cellStyle name="Positive 2 2 19 5 12 2" xfId="12138" xr:uid="{00000000-0005-0000-0000-0000772F0000}"/>
    <cellStyle name="Positive 2 2 19 5 13" xfId="12139" xr:uid="{00000000-0005-0000-0000-0000782F0000}"/>
    <cellStyle name="Positive 2 2 19 5 13 2" xfId="12140" xr:uid="{00000000-0005-0000-0000-0000792F0000}"/>
    <cellStyle name="Positive 2 2 19 5 14" xfId="12141" xr:uid="{00000000-0005-0000-0000-00007A2F0000}"/>
    <cellStyle name="Positive 2 2 19 5 14 2" xfId="12142" xr:uid="{00000000-0005-0000-0000-00007B2F0000}"/>
    <cellStyle name="Positive 2 2 19 5 15" xfId="12143" xr:uid="{00000000-0005-0000-0000-00007C2F0000}"/>
    <cellStyle name="Positive 2 2 19 5 15 2" xfId="12144" xr:uid="{00000000-0005-0000-0000-00007D2F0000}"/>
    <cellStyle name="Positive 2 2 19 5 16" xfId="12145" xr:uid="{00000000-0005-0000-0000-00007E2F0000}"/>
    <cellStyle name="Positive 2 2 19 5 16 2" xfId="12146" xr:uid="{00000000-0005-0000-0000-00007F2F0000}"/>
    <cellStyle name="Positive 2 2 19 5 17" xfId="12147" xr:uid="{00000000-0005-0000-0000-0000802F0000}"/>
    <cellStyle name="Positive 2 2 19 5 2" xfId="12148" xr:uid="{00000000-0005-0000-0000-0000812F0000}"/>
    <cellStyle name="Positive 2 2 19 5 2 2" xfId="12149" xr:uid="{00000000-0005-0000-0000-0000822F0000}"/>
    <cellStyle name="Positive 2 2 19 5 3" xfId="12150" xr:uid="{00000000-0005-0000-0000-0000832F0000}"/>
    <cellStyle name="Positive 2 2 19 5 3 2" xfId="12151" xr:uid="{00000000-0005-0000-0000-0000842F0000}"/>
    <cellStyle name="Positive 2 2 19 5 4" xfId="12152" xr:uid="{00000000-0005-0000-0000-0000852F0000}"/>
    <cellStyle name="Positive 2 2 19 5 4 2" xfId="12153" xr:uid="{00000000-0005-0000-0000-0000862F0000}"/>
    <cellStyle name="Positive 2 2 19 5 5" xfId="12154" xr:uid="{00000000-0005-0000-0000-0000872F0000}"/>
    <cellStyle name="Positive 2 2 19 5 5 2" xfId="12155" xr:uid="{00000000-0005-0000-0000-0000882F0000}"/>
    <cellStyle name="Positive 2 2 19 5 6" xfId="12156" xr:uid="{00000000-0005-0000-0000-0000892F0000}"/>
    <cellStyle name="Positive 2 2 19 5 6 2" xfId="12157" xr:uid="{00000000-0005-0000-0000-00008A2F0000}"/>
    <cellStyle name="Positive 2 2 19 5 7" xfId="12158" xr:uid="{00000000-0005-0000-0000-00008B2F0000}"/>
    <cellStyle name="Positive 2 2 19 5 7 2" xfId="12159" xr:uid="{00000000-0005-0000-0000-00008C2F0000}"/>
    <cellStyle name="Positive 2 2 19 5 8" xfId="12160" xr:uid="{00000000-0005-0000-0000-00008D2F0000}"/>
    <cellStyle name="Positive 2 2 19 5 8 2" xfId="12161" xr:uid="{00000000-0005-0000-0000-00008E2F0000}"/>
    <cellStyle name="Positive 2 2 19 5 9" xfId="12162" xr:uid="{00000000-0005-0000-0000-00008F2F0000}"/>
    <cellStyle name="Positive 2 2 19 5 9 2" xfId="12163" xr:uid="{00000000-0005-0000-0000-0000902F0000}"/>
    <cellStyle name="Positive 2 2 19 6" xfId="12164" xr:uid="{00000000-0005-0000-0000-0000912F0000}"/>
    <cellStyle name="Positive 2 2 19 6 2" xfId="12165" xr:uid="{00000000-0005-0000-0000-0000922F0000}"/>
    <cellStyle name="Positive 2 2 19 6 2 2" xfId="12166" xr:uid="{00000000-0005-0000-0000-0000932F0000}"/>
    <cellStyle name="Positive 2 2 19 6 3" xfId="12167" xr:uid="{00000000-0005-0000-0000-0000942F0000}"/>
    <cellStyle name="Positive 2 2 19 7" xfId="12168" xr:uid="{00000000-0005-0000-0000-0000952F0000}"/>
    <cellStyle name="Positive 2 2 19 7 2" xfId="12169" xr:uid="{00000000-0005-0000-0000-0000962F0000}"/>
    <cellStyle name="Positive 2 2 19 7 2 2" xfId="12170" xr:uid="{00000000-0005-0000-0000-0000972F0000}"/>
    <cellStyle name="Positive 2 2 19 7 3" xfId="12171" xr:uid="{00000000-0005-0000-0000-0000982F0000}"/>
    <cellStyle name="Positive 2 2 19 8" xfId="12172" xr:uid="{00000000-0005-0000-0000-0000992F0000}"/>
    <cellStyle name="Positive 2 2 19 8 2" xfId="12173" xr:uid="{00000000-0005-0000-0000-00009A2F0000}"/>
    <cellStyle name="Positive 2 2 19 9" xfId="12174" xr:uid="{00000000-0005-0000-0000-00009B2F0000}"/>
    <cellStyle name="Positive 2 2 19 9 2" xfId="12175" xr:uid="{00000000-0005-0000-0000-00009C2F0000}"/>
    <cellStyle name="Positive 2 2 2" xfId="12176" xr:uid="{00000000-0005-0000-0000-00009D2F0000}"/>
    <cellStyle name="Positive 2 2 2 10" xfId="12177" xr:uid="{00000000-0005-0000-0000-00009E2F0000}"/>
    <cellStyle name="Positive 2 2 2 10 10" xfId="12178" xr:uid="{00000000-0005-0000-0000-00009F2F0000}"/>
    <cellStyle name="Positive 2 2 2 10 10 2" xfId="12179" xr:uid="{00000000-0005-0000-0000-0000A02F0000}"/>
    <cellStyle name="Positive 2 2 2 10 11" xfId="12180" xr:uid="{00000000-0005-0000-0000-0000A12F0000}"/>
    <cellStyle name="Positive 2 2 2 10 11 2" xfId="12181" xr:uid="{00000000-0005-0000-0000-0000A22F0000}"/>
    <cellStyle name="Positive 2 2 2 10 12" xfId="12182" xr:uid="{00000000-0005-0000-0000-0000A32F0000}"/>
    <cellStyle name="Positive 2 2 2 10 12 2" xfId="12183" xr:uid="{00000000-0005-0000-0000-0000A42F0000}"/>
    <cellStyle name="Positive 2 2 2 10 13" xfId="12184" xr:uid="{00000000-0005-0000-0000-0000A52F0000}"/>
    <cellStyle name="Positive 2 2 2 10 13 2" xfId="12185" xr:uid="{00000000-0005-0000-0000-0000A62F0000}"/>
    <cellStyle name="Positive 2 2 2 10 14" xfId="12186" xr:uid="{00000000-0005-0000-0000-0000A72F0000}"/>
    <cellStyle name="Positive 2 2 2 10 14 2" xfId="12187" xr:uid="{00000000-0005-0000-0000-0000A82F0000}"/>
    <cellStyle name="Positive 2 2 2 10 15" xfId="12188" xr:uid="{00000000-0005-0000-0000-0000A92F0000}"/>
    <cellStyle name="Positive 2 2 2 10 15 2" xfId="12189" xr:uid="{00000000-0005-0000-0000-0000AA2F0000}"/>
    <cellStyle name="Positive 2 2 2 10 16" xfId="12190" xr:uid="{00000000-0005-0000-0000-0000AB2F0000}"/>
    <cellStyle name="Positive 2 2 2 10 16 2" xfId="12191" xr:uid="{00000000-0005-0000-0000-0000AC2F0000}"/>
    <cellStyle name="Positive 2 2 2 10 17" xfId="12192" xr:uid="{00000000-0005-0000-0000-0000AD2F0000}"/>
    <cellStyle name="Positive 2 2 2 10 17 2" xfId="12193" xr:uid="{00000000-0005-0000-0000-0000AE2F0000}"/>
    <cellStyle name="Positive 2 2 2 10 18" xfId="12194" xr:uid="{00000000-0005-0000-0000-0000AF2F0000}"/>
    <cellStyle name="Positive 2 2 2 10 18 2" xfId="12195" xr:uid="{00000000-0005-0000-0000-0000B02F0000}"/>
    <cellStyle name="Positive 2 2 2 10 19" xfId="12196" xr:uid="{00000000-0005-0000-0000-0000B12F0000}"/>
    <cellStyle name="Positive 2 2 2 10 19 2" xfId="12197" xr:uid="{00000000-0005-0000-0000-0000B22F0000}"/>
    <cellStyle name="Positive 2 2 2 10 2" xfId="12198" xr:uid="{00000000-0005-0000-0000-0000B32F0000}"/>
    <cellStyle name="Positive 2 2 2 10 2 10" xfId="12199" xr:uid="{00000000-0005-0000-0000-0000B42F0000}"/>
    <cellStyle name="Positive 2 2 2 10 2 10 2" xfId="12200" xr:uid="{00000000-0005-0000-0000-0000B52F0000}"/>
    <cellStyle name="Positive 2 2 2 10 2 11" xfId="12201" xr:uid="{00000000-0005-0000-0000-0000B62F0000}"/>
    <cellStyle name="Positive 2 2 2 10 2 11 2" xfId="12202" xr:uid="{00000000-0005-0000-0000-0000B72F0000}"/>
    <cellStyle name="Positive 2 2 2 10 2 12" xfId="12203" xr:uid="{00000000-0005-0000-0000-0000B82F0000}"/>
    <cellStyle name="Positive 2 2 2 10 2 12 2" xfId="12204" xr:uid="{00000000-0005-0000-0000-0000B92F0000}"/>
    <cellStyle name="Positive 2 2 2 10 2 13" xfId="12205" xr:uid="{00000000-0005-0000-0000-0000BA2F0000}"/>
    <cellStyle name="Positive 2 2 2 10 2 13 2" xfId="12206" xr:uid="{00000000-0005-0000-0000-0000BB2F0000}"/>
    <cellStyle name="Positive 2 2 2 10 2 14" xfId="12207" xr:uid="{00000000-0005-0000-0000-0000BC2F0000}"/>
    <cellStyle name="Positive 2 2 2 10 2 14 2" xfId="12208" xr:uid="{00000000-0005-0000-0000-0000BD2F0000}"/>
    <cellStyle name="Positive 2 2 2 10 2 15" xfId="12209" xr:uid="{00000000-0005-0000-0000-0000BE2F0000}"/>
    <cellStyle name="Positive 2 2 2 10 2 15 2" xfId="12210" xr:uid="{00000000-0005-0000-0000-0000BF2F0000}"/>
    <cellStyle name="Positive 2 2 2 10 2 16" xfId="12211" xr:uid="{00000000-0005-0000-0000-0000C02F0000}"/>
    <cellStyle name="Positive 2 2 2 10 2 16 2" xfId="12212" xr:uid="{00000000-0005-0000-0000-0000C12F0000}"/>
    <cellStyle name="Positive 2 2 2 10 2 17" xfId="12213" xr:uid="{00000000-0005-0000-0000-0000C22F0000}"/>
    <cellStyle name="Positive 2 2 2 10 2 17 2" xfId="12214" xr:uid="{00000000-0005-0000-0000-0000C32F0000}"/>
    <cellStyle name="Positive 2 2 2 10 2 18" xfId="12215" xr:uid="{00000000-0005-0000-0000-0000C42F0000}"/>
    <cellStyle name="Positive 2 2 2 10 2 18 2" xfId="12216" xr:uid="{00000000-0005-0000-0000-0000C52F0000}"/>
    <cellStyle name="Positive 2 2 2 10 2 19" xfId="12217" xr:uid="{00000000-0005-0000-0000-0000C62F0000}"/>
    <cellStyle name="Positive 2 2 2 10 2 19 2" xfId="12218" xr:uid="{00000000-0005-0000-0000-0000C72F0000}"/>
    <cellStyle name="Positive 2 2 2 10 2 2" xfId="12219" xr:uid="{00000000-0005-0000-0000-0000C82F0000}"/>
    <cellStyle name="Positive 2 2 2 10 2 2 10" xfId="12220" xr:uid="{00000000-0005-0000-0000-0000C92F0000}"/>
    <cellStyle name="Positive 2 2 2 10 2 2 10 2" xfId="12221" xr:uid="{00000000-0005-0000-0000-0000CA2F0000}"/>
    <cellStyle name="Positive 2 2 2 10 2 2 11" xfId="12222" xr:uid="{00000000-0005-0000-0000-0000CB2F0000}"/>
    <cellStyle name="Positive 2 2 2 10 2 2 11 2" xfId="12223" xr:uid="{00000000-0005-0000-0000-0000CC2F0000}"/>
    <cellStyle name="Positive 2 2 2 10 2 2 12" xfId="12224" xr:uid="{00000000-0005-0000-0000-0000CD2F0000}"/>
    <cellStyle name="Positive 2 2 2 10 2 2 12 2" xfId="12225" xr:uid="{00000000-0005-0000-0000-0000CE2F0000}"/>
    <cellStyle name="Positive 2 2 2 10 2 2 13" xfId="12226" xr:uid="{00000000-0005-0000-0000-0000CF2F0000}"/>
    <cellStyle name="Positive 2 2 2 10 2 2 13 2" xfId="12227" xr:uid="{00000000-0005-0000-0000-0000D02F0000}"/>
    <cellStyle name="Positive 2 2 2 10 2 2 14" xfId="12228" xr:uid="{00000000-0005-0000-0000-0000D12F0000}"/>
    <cellStyle name="Positive 2 2 2 10 2 2 14 2" xfId="12229" xr:uid="{00000000-0005-0000-0000-0000D22F0000}"/>
    <cellStyle name="Positive 2 2 2 10 2 2 15" xfId="12230" xr:uid="{00000000-0005-0000-0000-0000D32F0000}"/>
    <cellStyle name="Positive 2 2 2 10 2 2 15 2" xfId="12231" xr:uid="{00000000-0005-0000-0000-0000D42F0000}"/>
    <cellStyle name="Positive 2 2 2 10 2 2 16" xfId="12232" xr:uid="{00000000-0005-0000-0000-0000D52F0000}"/>
    <cellStyle name="Positive 2 2 2 10 2 2 16 2" xfId="12233" xr:uid="{00000000-0005-0000-0000-0000D62F0000}"/>
    <cellStyle name="Positive 2 2 2 10 2 2 17" xfId="12234" xr:uid="{00000000-0005-0000-0000-0000D72F0000}"/>
    <cellStyle name="Positive 2 2 2 10 2 2 2" xfId="12235" xr:uid="{00000000-0005-0000-0000-0000D82F0000}"/>
    <cellStyle name="Positive 2 2 2 10 2 2 2 2" xfId="12236" xr:uid="{00000000-0005-0000-0000-0000D92F0000}"/>
    <cellStyle name="Positive 2 2 2 10 2 2 3" xfId="12237" xr:uid="{00000000-0005-0000-0000-0000DA2F0000}"/>
    <cellStyle name="Positive 2 2 2 10 2 2 3 2" xfId="12238" xr:uid="{00000000-0005-0000-0000-0000DB2F0000}"/>
    <cellStyle name="Positive 2 2 2 10 2 2 4" xfId="12239" xr:uid="{00000000-0005-0000-0000-0000DC2F0000}"/>
    <cellStyle name="Positive 2 2 2 10 2 2 4 2" xfId="12240" xr:uid="{00000000-0005-0000-0000-0000DD2F0000}"/>
    <cellStyle name="Positive 2 2 2 10 2 2 5" xfId="12241" xr:uid="{00000000-0005-0000-0000-0000DE2F0000}"/>
    <cellStyle name="Positive 2 2 2 10 2 2 5 2" xfId="12242" xr:uid="{00000000-0005-0000-0000-0000DF2F0000}"/>
    <cellStyle name="Positive 2 2 2 10 2 2 6" xfId="12243" xr:uid="{00000000-0005-0000-0000-0000E02F0000}"/>
    <cellStyle name="Positive 2 2 2 10 2 2 6 2" xfId="12244" xr:uid="{00000000-0005-0000-0000-0000E12F0000}"/>
    <cellStyle name="Positive 2 2 2 10 2 2 7" xfId="12245" xr:uid="{00000000-0005-0000-0000-0000E22F0000}"/>
    <cellStyle name="Positive 2 2 2 10 2 2 7 2" xfId="12246" xr:uid="{00000000-0005-0000-0000-0000E32F0000}"/>
    <cellStyle name="Positive 2 2 2 10 2 2 8" xfId="12247" xr:uid="{00000000-0005-0000-0000-0000E42F0000}"/>
    <cellStyle name="Positive 2 2 2 10 2 2 8 2" xfId="12248" xr:uid="{00000000-0005-0000-0000-0000E52F0000}"/>
    <cellStyle name="Positive 2 2 2 10 2 2 9" xfId="12249" xr:uid="{00000000-0005-0000-0000-0000E62F0000}"/>
    <cellStyle name="Positive 2 2 2 10 2 2 9 2" xfId="12250" xr:uid="{00000000-0005-0000-0000-0000E72F0000}"/>
    <cellStyle name="Positive 2 2 2 10 2 20" xfId="12251" xr:uid="{00000000-0005-0000-0000-0000E82F0000}"/>
    <cellStyle name="Positive 2 2 2 10 2 3" xfId="12252" xr:uid="{00000000-0005-0000-0000-0000E92F0000}"/>
    <cellStyle name="Positive 2 2 2 10 2 3 2" xfId="12253" xr:uid="{00000000-0005-0000-0000-0000EA2F0000}"/>
    <cellStyle name="Positive 2 2 2 10 2 3 2 2" xfId="12254" xr:uid="{00000000-0005-0000-0000-0000EB2F0000}"/>
    <cellStyle name="Positive 2 2 2 10 2 3 3" xfId="12255" xr:uid="{00000000-0005-0000-0000-0000EC2F0000}"/>
    <cellStyle name="Positive 2 2 2 10 2 4" xfId="12256" xr:uid="{00000000-0005-0000-0000-0000ED2F0000}"/>
    <cellStyle name="Positive 2 2 2 10 2 4 2" xfId="12257" xr:uid="{00000000-0005-0000-0000-0000EE2F0000}"/>
    <cellStyle name="Positive 2 2 2 10 2 4 2 2" xfId="12258" xr:uid="{00000000-0005-0000-0000-0000EF2F0000}"/>
    <cellStyle name="Positive 2 2 2 10 2 4 3" xfId="12259" xr:uid="{00000000-0005-0000-0000-0000F02F0000}"/>
    <cellStyle name="Positive 2 2 2 10 2 5" xfId="12260" xr:uid="{00000000-0005-0000-0000-0000F12F0000}"/>
    <cellStyle name="Positive 2 2 2 10 2 5 2" xfId="12261" xr:uid="{00000000-0005-0000-0000-0000F22F0000}"/>
    <cellStyle name="Positive 2 2 2 10 2 6" xfId="12262" xr:uid="{00000000-0005-0000-0000-0000F32F0000}"/>
    <cellStyle name="Positive 2 2 2 10 2 6 2" xfId="12263" xr:uid="{00000000-0005-0000-0000-0000F42F0000}"/>
    <cellStyle name="Positive 2 2 2 10 2 7" xfId="12264" xr:uid="{00000000-0005-0000-0000-0000F52F0000}"/>
    <cellStyle name="Positive 2 2 2 10 2 7 2" xfId="12265" xr:uid="{00000000-0005-0000-0000-0000F62F0000}"/>
    <cellStyle name="Positive 2 2 2 10 2 8" xfId="12266" xr:uid="{00000000-0005-0000-0000-0000F72F0000}"/>
    <cellStyle name="Positive 2 2 2 10 2 8 2" xfId="12267" xr:uid="{00000000-0005-0000-0000-0000F82F0000}"/>
    <cellStyle name="Positive 2 2 2 10 2 9" xfId="12268" xr:uid="{00000000-0005-0000-0000-0000F92F0000}"/>
    <cellStyle name="Positive 2 2 2 10 2 9 2" xfId="12269" xr:uid="{00000000-0005-0000-0000-0000FA2F0000}"/>
    <cellStyle name="Positive 2 2 2 10 20" xfId="12270" xr:uid="{00000000-0005-0000-0000-0000FB2F0000}"/>
    <cellStyle name="Positive 2 2 2 10 20 2" xfId="12271" xr:uid="{00000000-0005-0000-0000-0000FC2F0000}"/>
    <cellStyle name="Positive 2 2 2 10 21" xfId="12272" xr:uid="{00000000-0005-0000-0000-0000FD2F0000}"/>
    <cellStyle name="Positive 2 2 2 10 21 2" xfId="12273" xr:uid="{00000000-0005-0000-0000-0000FE2F0000}"/>
    <cellStyle name="Positive 2 2 2 10 22" xfId="12274" xr:uid="{00000000-0005-0000-0000-0000FF2F0000}"/>
    <cellStyle name="Positive 2 2 2 10 22 2" xfId="12275" xr:uid="{00000000-0005-0000-0000-000000300000}"/>
    <cellStyle name="Positive 2 2 2 10 23" xfId="12276" xr:uid="{00000000-0005-0000-0000-000001300000}"/>
    <cellStyle name="Positive 2 2 2 10 3" xfId="12277" xr:uid="{00000000-0005-0000-0000-000002300000}"/>
    <cellStyle name="Positive 2 2 2 10 3 10" xfId="12278" xr:uid="{00000000-0005-0000-0000-000003300000}"/>
    <cellStyle name="Positive 2 2 2 10 3 10 2" xfId="12279" xr:uid="{00000000-0005-0000-0000-000004300000}"/>
    <cellStyle name="Positive 2 2 2 10 3 11" xfId="12280" xr:uid="{00000000-0005-0000-0000-000005300000}"/>
    <cellStyle name="Positive 2 2 2 10 3 11 2" xfId="12281" xr:uid="{00000000-0005-0000-0000-000006300000}"/>
    <cellStyle name="Positive 2 2 2 10 3 12" xfId="12282" xr:uid="{00000000-0005-0000-0000-000007300000}"/>
    <cellStyle name="Positive 2 2 2 10 3 12 2" xfId="12283" xr:uid="{00000000-0005-0000-0000-000008300000}"/>
    <cellStyle name="Positive 2 2 2 10 3 13" xfId="12284" xr:uid="{00000000-0005-0000-0000-000009300000}"/>
    <cellStyle name="Positive 2 2 2 10 3 13 2" xfId="12285" xr:uid="{00000000-0005-0000-0000-00000A300000}"/>
    <cellStyle name="Positive 2 2 2 10 3 14" xfId="12286" xr:uid="{00000000-0005-0000-0000-00000B300000}"/>
    <cellStyle name="Positive 2 2 2 10 3 14 2" xfId="12287" xr:uid="{00000000-0005-0000-0000-00000C300000}"/>
    <cellStyle name="Positive 2 2 2 10 3 15" xfId="12288" xr:uid="{00000000-0005-0000-0000-00000D300000}"/>
    <cellStyle name="Positive 2 2 2 10 3 15 2" xfId="12289" xr:uid="{00000000-0005-0000-0000-00000E300000}"/>
    <cellStyle name="Positive 2 2 2 10 3 16" xfId="12290" xr:uid="{00000000-0005-0000-0000-00000F300000}"/>
    <cellStyle name="Positive 2 2 2 10 3 16 2" xfId="12291" xr:uid="{00000000-0005-0000-0000-000010300000}"/>
    <cellStyle name="Positive 2 2 2 10 3 17" xfId="12292" xr:uid="{00000000-0005-0000-0000-000011300000}"/>
    <cellStyle name="Positive 2 2 2 10 3 17 2" xfId="12293" xr:uid="{00000000-0005-0000-0000-000012300000}"/>
    <cellStyle name="Positive 2 2 2 10 3 18" xfId="12294" xr:uid="{00000000-0005-0000-0000-000013300000}"/>
    <cellStyle name="Positive 2 2 2 10 3 18 2" xfId="12295" xr:uid="{00000000-0005-0000-0000-000014300000}"/>
    <cellStyle name="Positive 2 2 2 10 3 19" xfId="12296" xr:uid="{00000000-0005-0000-0000-000015300000}"/>
    <cellStyle name="Positive 2 2 2 10 3 19 2" xfId="12297" xr:uid="{00000000-0005-0000-0000-000016300000}"/>
    <cellStyle name="Positive 2 2 2 10 3 2" xfId="12298" xr:uid="{00000000-0005-0000-0000-000017300000}"/>
    <cellStyle name="Positive 2 2 2 10 3 2 10" xfId="12299" xr:uid="{00000000-0005-0000-0000-000018300000}"/>
    <cellStyle name="Positive 2 2 2 10 3 2 10 2" xfId="12300" xr:uid="{00000000-0005-0000-0000-000019300000}"/>
    <cellStyle name="Positive 2 2 2 10 3 2 11" xfId="12301" xr:uid="{00000000-0005-0000-0000-00001A300000}"/>
    <cellStyle name="Positive 2 2 2 10 3 2 11 2" xfId="12302" xr:uid="{00000000-0005-0000-0000-00001B300000}"/>
    <cellStyle name="Positive 2 2 2 10 3 2 12" xfId="12303" xr:uid="{00000000-0005-0000-0000-00001C300000}"/>
    <cellStyle name="Positive 2 2 2 10 3 2 12 2" xfId="12304" xr:uid="{00000000-0005-0000-0000-00001D300000}"/>
    <cellStyle name="Positive 2 2 2 10 3 2 13" xfId="12305" xr:uid="{00000000-0005-0000-0000-00001E300000}"/>
    <cellStyle name="Positive 2 2 2 10 3 2 13 2" xfId="12306" xr:uid="{00000000-0005-0000-0000-00001F300000}"/>
    <cellStyle name="Positive 2 2 2 10 3 2 14" xfId="12307" xr:uid="{00000000-0005-0000-0000-000020300000}"/>
    <cellStyle name="Positive 2 2 2 10 3 2 14 2" xfId="12308" xr:uid="{00000000-0005-0000-0000-000021300000}"/>
    <cellStyle name="Positive 2 2 2 10 3 2 15" xfId="12309" xr:uid="{00000000-0005-0000-0000-000022300000}"/>
    <cellStyle name="Positive 2 2 2 10 3 2 15 2" xfId="12310" xr:uid="{00000000-0005-0000-0000-000023300000}"/>
    <cellStyle name="Positive 2 2 2 10 3 2 16" xfId="12311" xr:uid="{00000000-0005-0000-0000-000024300000}"/>
    <cellStyle name="Positive 2 2 2 10 3 2 16 2" xfId="12312" xr:uid="{00000000-0005-0000-0000-000025300000}"/>
    <cellStyle name="Positive 2 2 2 10 3 2 17" xfId="12313" xr:uid="{00000000-0005-0000-0000-000026300000}"/>
    <cellStyle name="Positive 2 2 2 10 3 2 2" xfId="12314" xr:uid="{00000000-0005-0000-0000-000027300000}"/>
    <cellStyle name="Positive 2 2 2 10 3 2 2 2" xfId="12315" xr:uid="{00000000-0005-0000-0000-000028300000}"/>
    <cellStyle name="Positive 2 2 2 10 3 2 3" xfId="12316" xr:uid="{00000000-0005-0000-0000-000029300000}"/>
    <cellStyle name="Positive 2 2 2 10 3 2 3 2" xfId="12317" xr:uid="{00000000-0005-0000-0000-00002A300000}"/>
    <cellStyle name="Positive 2 2 2 10 3 2 4" xfId="12318" xr:uid="{00000000-0005-0000-0000-00002B300000}"/>
    <cellStyle name="Positive 2 2 2 10 3 2 4 2" xfId="12319" xr:uid="{00000000-0005-0000-0000-00002C300000}"/>
    <cellStyle name="Positive 2 2 2 10 3 2 5" xfId="12320" xr:uid="{00000000-0005-0000-0000-00002D300000}"/>
    <cellStyle name="Positive 2 2 2 10 3 2 5 2" xfId="12321" xr:uid="{00000000-0005-0000-0000-00002E300000}"/>
    <cellStyle name="Positive 2 2 2 10 3 2 6" xfId="12322" xr:uid="{00000000-0005-0000-0000-00002F300000}"/>
    <cellStyle name="Positive 2 2 2 10 3 2 6 2" xfId="12323" xr:uid="{00000000-0005-0000-0000-000030300000}"/>
    <cellStyle name="Positive 2 2 2 10 3 2 7" xfId="12324" xr:uid="{00000000-0005-0000-0000-000031300000}"/>
    <cellStyle name="Positive 2 2 2 10 3 2 7 2" xfId="12325" xr:uid="{00000000-0005-0000-0000-000032300000}"/>
    <cellStyle name="Positive 2 2 2 10 3 2 8" xfId="12326" xr:uid="{00000000-0005-0000-0000-000033300000}"/>
    <cellStyle name="Positive 2 2 2 10 3 2 8 2" xfId="12327" xr:uid="{00000000-0005-0000-0000-000034300000}"/>
    <cellStyle name="Positive 2 2 2 10 3 2 9" xfId="12328" xr:uid="{00000000-0005-0000-0000-000035300000}"/>
    <cellStyle name="Positive 2 2 2 10 3 2 9 2" xfId="12329" xr:uid="{00000000-0005-0000-0000-000036300000}"/>
    <cellStyle name="Positive 2 2 2 10 3 20" xfId="12330" xr:uid="{00000000-0005-0000-0000-000037300000}"/>
    <cellStyle name="Positive 2 2 2 10 3 3" xfId="12331" xr:uid="{00000000-0005-0000-0000-000038300000}"/>
    <cellStyle name="Positive 2 2 2 10 3 3 2" xfId="12332" xr:uid="{00000000-0005-0000-0000-000039300000}"/>
    <cellStyle name="Positive 2 2 2 10 3 3 2 2" xfId="12333" xr:uid="{00000000-0005-0000-0000-00003A300000}"/>
    <cellStyle name="Positive 2 2 2 10 3 3 3" xfId="12334" xr:uid="{00000000-0005-0000-0000-00003B300000}"/>
    <cellStyle name="Positive 2 2 2 10 3 4" xfId="12335" xr:uid="{00000000-0005-0000-0000-00003C300000}"/>
    <cellStyle name="Positive 2 2 2 10 3 4 2" xfId="12336" xr:uid="{00000000-0005-0000-0000-00003D300000}"/>
    <cellStyle name="Positive 2 2 2 10 3 4 2 2" xfId="12337" xr:uid="{00000000-0005-0000-0000-00003E300000}"/>
    <cellStyle name="Positive 2 2 2 10 3 4 3" xfId="12338" xr:uid="{00000000-0005-0000-0000-00003F300000}"/>
    <cellStyle name="Positive 2 2 2 10 3 5" xfId="12339" xr:uid="{00000000-0005-0000-0000-000040300000}"/>
    <cellStyle name="Positive 2 2 2 10 3 5 2" xfId="12340" xr:uid="{00000000-0005-0000-0000-000041300000}"/>
    <cellStyle name="Positive 2 2 2 10 3 6" xfId="12341" xr:uid="{00000000-0005-0000-0000-000042300000}"/>
    <cellStyle name="Positive 2 2 2 10 3 6 2" xfId="12342" xr:uid="{00000000-0005-0000-0000-000043300000}"/>
    <cellStyle name="Positive 2 2 2 10 3 7" xfId="12343" xr:uid="{00000000-0005-0000-0000-000044300000}"/>
    <cellStyle name="Positive 2 2 2 10 3 7 2" xfId="12344" xr:uid="{00000000-0005-0000-0000-000045300000}"/>
    <cellStyle name="Positive 2 2 2 10 3 8" xfId="12345" xr:uid="{00000000-0005-0000-0000-000046300000}"/>
    <cellStyle name="Positive 2 2 2 10 3 8 2" xfId="12346" xr:uid="{00000000-0005-0000-0000-000047300000}"/>
    <cellStyle name="Positive 2 2 2 10 3 9" xfId="12347" xr:uid="{00000000-0005-0000-0000-000048300000}"/>
    <cellStyle name="Positive 2 2 2 10 3 9 2" xfId="12348" xr:uid="{00000000-0005-0000-0000-000049300000}"/>
    <cellStyle name="Positive 2 2 2 10 4" xfId="12349" xr:uid="{00000000-0005-0000-0000-00004A300000}"/>
    <cellStyle name="Positive 2 2 2 10 4 10" xfId="12350" xr:uid="{00000000-0005-0000-0000-00004B300000}"/>
    <cellStyle name="Positive 2 2 2 10 4 10 2" xfId="12351" xr:uid="{00000000-0005-0000-0000-00004C300000}"/>
    <cellStyle name="Positive 2 2 2 10 4 11" xfId="12352" xr:uid="{00000000-0005-0000-0000-00004D300000}"/>
    <cellStyle name="Positive 2 2 2 10 4 11 2" xfId="12353" xr:uid="{00000000-0005-0000-0000-00004E300000}"/>
    <cellStyle name="Positive 2 2 2 10 4 12" xfId="12354" xr:uid="{00000000-0005-0000-0000-00004F300000}"/>
    <cellStyle name="Positive 2 2 2 10 4 12 2" xfId="12355" xr:uid="{00000000-0005-0000-0000-000050300000}"/>
    <cellStyle name="Positive 2 2 2 10 4 13" xfId="12356" xr:uid="{00000000-0005-0000-0000-000051300000}"/>
    <cellStyle name="Positive 2 2 2 10 4 13 2" xfId="12357" xr:uid="{00000000-0005-0000-0000-000052300000}"/>
    <cellStyle name="Positive 2 2 2 10 4 14" xfId="12358" xr:uid="{00000000-0005-0000-0000-000053300000}"/>
    <cellStyle name="Positive 2 2 2 10 4 14 2" xfId="12359" xr:uid="{00000000-0005-0000-0000-000054300000}"/>
    <cellStyle name="Positive 2 2 2 10 4 15" xfId="12360" xr:uid="{00000000-0005-0000-0000-000055300000}"/>
    <cellStyle name="Positive 2 2 2 10 4 15 2" xfId="12361" xr:uid="{00000000-0005-0000-0000-000056300000}"/>
    <cellStyle name="Positive 2 2 2 10 4 16" xfId="12362" xr:uid="{00000000-0005-0000-0000-000057300000}"/>
    <cellStyle name="Positive 2 2 2 10 4 16 2" xfId="12363" xr:uid="{00000000-0005-0000-0000-000058300000}"/>
    <cellStyle name="Positive 2 2 2 10 4 17" xfId="12364" xr:uid="{00000000-0005-0000-0000-000059300000}"/>
    <cellStyle name="Positive 2 2 2 10 4 17 2" xfId="12365" xr:uid="{00000000-0005-0000-0000-00005A300000}"/>
    <cellStyle name="Positive 2 2 2 10 4 18" xfId="12366" xr:uid="{00000000-0005-0000-0000-00005B300000}"/>
    <cellStyle name="Positive 2 2 2 10 4 18 2" xfId="12367" xr:uid="{00000000-0005-0000-0000-00005C300000}"/>
    <cellStyle name="Positive 2 2 2 10 4 19" xfId="12368" xr:uid="{00000000-0005-0000-0000-00005D300000}"/>
    <cellStyle name="Positive 2 2 2 10 4 19 2" xfId="12369" xr:uid="{00000000-0005-0000-0000-00005E300000}"/>
    <cellStyle name="Positive 2 2 2 10 4 2" xfId="12370" xr:uid="{00000000-0005-0000-0000-00005F300000}"/>
    <cellStyle name="Positive 2 2 2 10 4 2 10" xfId="12371" xr:uid="{00000000-0005-0000-0000-000060300000}"/>
    <cellStyle name="Positive 2 2 2 10 4 2 10 2" xfId="12372" xr:uid="{00000000-0005-0000-0000-000061300000}"/>
    <cellStyle name="Positive 2 2 2 10 4 2 11" xfId="12373" xr:uid="{00000000-0005-0000-0000-000062300000}"/>
    <cellStyle name="Positive 2 2 2 10 4 2 11 2" xfId="12374" xr:uid="{00000000-0005-0000-0000-000063300000}"/>
    <cellStyle name="Positive 2 2 2 10 4 2 12" xfId="12375" xr:uid="{00000000-0005-0000-0000-000064300000}"/>
    <cellStyle name="Positive 2 2 2 10 4 2 12 2" xfId="12376" xr:uid="{00000000-0005-0000-0000-000065300000}"/>
    <cellStyle name="Positive 2 2 2 10 4 2 13" xfId="12377" xr:uid="{00000000-0005-0000-0000-000066300000}"/>
    <cellStyle name="Positive 2 2 2 10 4 2 13 2" xfId="12378" xr:uid="{00000000-0005-0000-0000-000067300000}"/>
    <cellStyle name="Positive 2 2 2 10 4 2 14" xfId="12379" xr:uid="{00000000-0005-0000-0000-000068300000}"/>
    <cellStyle name="Positive 2 2 2 10 4 2 14 2" xfId="12380" xr:uid="{00000000-0005-0000-0000-000069300000}"/>
    <cellStyle name="Positive 2 2 2 10 4 2 15" xfId="12381" xr:uid="{00000000-0005-0000-0000-00006A300000}"/>
    <cellStyle name="Positive 2 2 2 10 4 2 15 2" xfId="12382" xr:uid="{00000000-0005-0000-0000-00006B300000}"/>
    <cellStyle name="Positive 2 2 2 10 4 2 16" xfId="12383" xr:uid="{00000000-0005-0000-0000-00006C300000}"/>
    <cellStyle name="Positive 2 2 2 10 4 2 16 2" xfId="12384" xr:uid="{00000000-0005-0000-0000-00006D300000}"/>
    <cellStyle name="Positive 2 2 2 10 4 2 17" xfId="12385" xr:uid="{00000000-0005-0000-0000-00006E300000}"/>
    <cellStyle name="Positive 2 2 2 10 4 2 2" xfId="12386" xr:uid="{00000000-0005-0000-0000-00006F300000}"/>
    <cellStyle name="Positive 2 2 2 10 4 2 2 2" xfId="12387" xr:uid="{00000000-0005-0000-0000-000070300000}"/>
    <cellStyle name="Positive 2 2 2 10 4 2 3" xfId="12388" xr:uid="{00000000-0005-0000-0000-000071300000}"/>
    <cellStyle name="Positive 2 2 2 10 4 2 3 2" xfId="12389" xr:uid="{00000000-0005-0000-0000-000072300000}"/>
    <cellStyle name="Positive 2 2 2 10 4 2 4" xfId="12390" xr:uid="{00000000-0005-0000-0000-000073300000}"/>
    <cellStyle name="Positive 2 2 2 10 4 2 4 2" xfId="12391" xr:uid="{00000000-0005-0000-0000-000074300000}"/>
    <cellStyle name="Positive 2 2 2 10 4 2 5" xfId="12392" xr:uid="{00000000-0005-0000-0000-000075300000}"/>
    <cellStyle name="Positive 2 2 2 10 4 2 5 2" xfId="12393" xr:uid="{00000000-0005-0000-0000-000076300000}"/>
    <cellStyle name="Positive 2 2 2 10 4 2 6" xfId="12394" xr:uid="{00000000-0005-0000-0000-000077300000}"/>
    <cellStyle name="Positive 2 2 2 10 4 2 6 2" xfId="12395" xr:uid="{00000000-0005-0000-0000-000078300000}"/>
    <cellStyle name="Positive 2 2 2 10 4 2 7" xfId="12396" xr:uid="{00000000-0005-0000-0000-000079300000}"/>
    <cellStyle name="Positive 2 2 2 10 4 2 7 2" xfId="12397" xr:uid="{00000000-0005-0000-0000-00007A300000}"/>
    <cellStyle name="Positive 2 2 2 10 4 2 8" xfId="12398" xr:uid="{00000000-0005-0000-0000-00007B300000}"/>
    <cellStyle name="Positive 2 2 2 10 4 2 8 2" xfId="12399" xr:uid="{00000000-0005-0000-0000-00007C300000}"/>
    <cellStyle name="Positive 2 2 2 10 4 2 9" xfId="12400" xr:uid="{00000000-0005-0000-0000-00007D300000}"/>
    <cellStyle name="Positive 2 2 2 10 4 2 9 2" xfId="12401" xr:uid="{00000000-0005-0000-0000-00007E300000}"/>
    <cellStyle name="Positive 2 2 2 10 4 20" xfId="12402" xr:uid="{00000000-0005-0000-0000-00007F300000}"/>
    <cellStyle name="Positive 2 2 2 10 4 3" xfId="12403" xr:uid="{00000000-0005-0000-0000-000080300000}"/>
    <cellStyle name="Positive 2 2 2 10 4 3 2" xfId="12404" xr:uid="{00000000-0005-0000-0000-000081300000}"/>
    <cellStyle name="Positive 2 2 2 10 4 3 2 2" xfId="12405" xr:uid="{00000000-0005-0000-0000-000082300000}"/>
    <cellStyle name="Positive 2 2 2 10 4 3 3" xfId="12406" xr:uid="{00000000-0005-0000-0000-000083300000}"/>
    <cellStyle name="Positive 2 2 2 10 4 4" xfId="12407" xr:uid="{00000000-0005-0000-0000-000084300000}"/>
    <cellStyle name="Positive 2 2 2 10 4 4 2" xfId="12408" xr:uid="{00000000-0005-0000-0000-000085300000}"/>
    <cellStyle name="Positive 2 2 2 10 4 4 2 2" xfId="12409" xr:uid="{00000000-0005-0000-0000-000086300000}"/>
    <cellStyle name="Positive 2 2 2 10 4 4 3" xfId="12410" xr:uid="{00000000-0005-0000-0000-000087300000}"/>
    <cellStyle name="Positive 2 2 2 10 4 5" xfId="12411" xr:uid="{00000000-0005-0000-0000-000088300000}"/>
    <cellStyle name="Positive 2 2 2 10 4 5 2" xfId="12412" xr:uid="{00000000-0005-0000-0000-000089300000}"/>
    <cellStyle name="Positive 2 2 2 10 4 6" xfId="12413" xr:uid="{00000000-0005-0000-0000-00008A300000}"/>
    <cellStyle name="Positive 2 2 2 10 4 6 2" xfId="12414" xr:uid="{00000000-0005-0000-0000-00008B300000}"/>
    <cellStyle name="Positive 2 2 2 10 4 7" xfId="12415" xr:uid="{00000000-0005-0000-0000-00008C300000}"/>
    <cellStyle name="Positive 2 2 2 10 4 7 2" xfId="12416" xr:uid="{00000000-0005-0000-0000-00008D300000}"/>
    <cellStyle name="Positive 2 2 2 10 4 8" xfId="12417" xr:uid="{00000000-0005-0000-0000-00008E300000}"/>
    <cellStyle name="Positive 2 2 2 10 4 8 2" xfId="12418" xr:uid="{00000000-0005-0000-0000-00008F300000}"/>
    <cellStyle name="Positive 2 2 2 10 4 9" xfId="12419" xr:uid="{00000000-0005-0000-0000-000090300000}"/>
    <cellStyle name="Positive 2 2 2 10 4 9 2" xfId="12420" xr:uid="{00000000-0005-0000-0000-000091300000}"/>
    <cellStyle name="Positive 2 2 2 10 5" xfId="12421" xr:uid="{00000000-0005-0000-0000-000092300000}"/>
    <cellStyle name="Positive 2 2 2 10 5 10" xfId="12422" xr:uid="{00000000-0005-0000-0000-000093300000}"/>
    <cellStyle name="Positive 2 2 2 10 5 10 2" xfId="12423" xr:uid="{00000000-0005-0000-0000-000094300000}"/>
    <cellStyle name="Positive 2 2 2 10 5 11" xfId="12424" xr:uid="{00000000-0005-0000-0000-000095300000}"/>
    <cellStyle name="Positive 2 2 2 10 5 11 2" xfId="12425" xr:uid="{00000000-0005-0000-0000-000096300000}"/>
    <cellStyle name="Positive 2 2 2 10 5 12" xfId="12426" xr:uid="{00000000-0005-0000-0000-000097300000}"/>
    <cellStyle name="Positive 2 2 2 10 5 12 2" xfId="12427" xr:uid="{00000000-0005-0000-0000-000098300000}"/>
    <cellStyle name="Positive 2 2 2 10 5 13" xfId="12428" xr:uid="{00000000-0005-0000-0000-000099300000}"/>
    <cellStyle name="Positive 2 2 2 10 5 13 2" xfId="12429" xr:uid="{00000000-0005-0000-0000-00009A300000}"/>
    <cellStyle name="Positive 2 2 2 10 5 14" xfId="12430" xr:uid="{00000000-0005-0000-0000-00009B300000}"/>
    <cellStyle name="Positive 2 2 2 10 5 14 2" xfId="12431" xr:uid="{00000000-0005-0000-0000-00009C300000}"/>
    <cellStyle name="Positive 2 2 2 10 5 15" xfId="12432" xr:uid="{00000000-0005-0000-0000-00009D300000}"/>
    <cellStyle name="Positive 2 2 2 10 5 15 2" xfId="12433" xr:uid="{00000000-0005-0000-0000-00009E300000}"/>
    <cellStyle name="Positive 2 2 2 10 5 16" xfId="12434" xr:uid="{00000000-0005-0000-0000-00009F300000}"/>
    <cellStyle name="Positive 2 2 2 10 5 16 2" xfId="12435" xr:uid="{00000000-0005-0000-0000-0000A0300000}"/>
    <cellStyle name="Positive 2 2 2 10 5 17" xfId="12436" xr:uid="{00000000-0005-0000-0000-0000A1300000}"/>
    <cellStyle name="Positive 2 2 2 10 5 2" xfId="12437" xr:uid="{00000000-0005-0000-0000-0000A2300000}"/>
    <cellStyle name="Positive 2 2 2 10 5 2 2" xfId="12438" xr:uid="{00000000-0005-0000-0000-0000A3300000}"/>
    <cellStyle name="Positive 2 2 2 10 5 3" xfId="12439" xr:uid="{00000000-0005-0000-0000-0000A4300000}"/>
    <cellStyle name="Positive 2 2 2 10 5 3 2" xfId="12440" xr:uid="{00000000-0005-0000-0000-0000A5300000}"/>
    <cellStyle name="Positive 2 2 2 10 5 4" xfId="12441" xr:uid="{00000000-0005-0000-0000-0000A6300000}"/>
    <cellStyle name="Positive 2 2 2 10 5 4 2" xfId="12442" xr:uid="{00000000-0005-0000-0000-0000A7300000}"/>
    <cellStyle name="Positive 2 2 2 10 5 5" xfId="12443" xr:uid="{00000000-0005-0000-0000-0000A8300000}"/>
    <cellStyle name="Positive 2 2 2 10 5 5 2" xfId="12444" xr:uid="{00000000-0005-0000-0000-0000A9300000}"/>
    <cellStyle name="Positive 2 2 2 10 5 6" xfId="12445" xr:uid="{00000000-0005-0000-0000-0000AA300000}"/>
    <cellStyle name="Positive 2 2 2 10 5 6 2" xfId="12446" xr:uid="{00000000-0005-0000-0000-0000AB300000}"/>
    <cellStyle name="Positive 2 2 2 10 5 7" xfId="12447" xr:uid="{00000000-0005-0000-0000-0000AC300000}"/>
    <cellStyle name="Positive 2 2 2 10 5 7 2" xfId="12448" xr:uid="{00000000-0005-0000-0000-0000AD300000}"/>
    <cellStyle name="Positive 2 2 2 10 5 8" xfId="12449" xr:uid="{00000000-0005-0000-0000-0000AE300000}"/>
    <cellStyle name="Positive 2 2 2 10 5 8 2" xfId="12450" xr:uid="{00000000-0005-0000-0000-0000AF300000}"/>
    <cellStyle name="Positive 2 2 2 10 5 9" xfId="12451" xr:uid="{00000000-0005-0000-0000-0000B0300000}"/>
    <cellStyle name="Positive 2 2 2 10 5 9 2" xfId="12452" xr:uid="{00000000-0005-0000-0000-0000B1300000}"/>
    <cellStyle name="Positive 2 2 2 10 6" xfId="12453" xr:uid="{00000000-0005-0000-0000-0000B2300000}"/>
    <cellStyle name="Positive 2 2 2 10 6 2" xfId="12454" xr:uid="{00000000-0005-0000-0000-0000B3300000}"/>
    <cellStyle name="Positive 2 2 2 10 6 2 2" xfId="12455" xr:uid="{00000000-0005-0000-0000-0000B4300000}"/>
    <cellStyle name="Positive 2 2 2 10 6 3" xfId="12456" xr:uid="{00000000-0005-0000-0000-0000B5300000}"/>
    <cellStyle name="Positive 2 2 2 10 7" xfId="12457" xr:uid="{00000000-0005-0000-0000-0000B6300000}"/>
    <cellStyle name="Positive 2 2 2 10 7 2" xfId="12458" xr:uid="{00000000-0005-0000-0000-0000B7300000}"/>
    <cellStyle name="Positive 2 2 2 10 7 2 2" xfId="12459" xr:uid="{00000000-0005-0000-0000-0000B8300000}"/>
    <cellStyle name="Positive 2 2 2 10 7 3" xfId="12460" xr:uid="{00000000-0005-0000-0000-0000B9300000}"/>
    <cellStyle name="Positive 2 2 2 10 8" xfId="12461" xr:uid="{00000000-0005-0000-0000-0000BA300000}"/>
    <cellStyle name="Positive 2 2 2 10 8 2" xfId="12462" xr:uid="{00000000-0005-0000-0000-0000BB300000}"/>
    <cellStyle name="Positive 2 2 2 10 9" xfId="12463" xr:uid="{00000000-0005-0000-0000-0000BC300000}"/>
    <cellStyle name="Positive 2 2 2 10 9 2" xfId="12464" xr:uid="{00000000-0005-0000-0000-0000BD300000}"/>
    <cellStyle name="Positive 2 2 2 11" xfId="12465" xr:uid="{00000000-0005-0000-0000-0000BE300000}"/>
    <cellStyle name="Positive 2 2 2 11 10" xfId="12466" xr:uid="{00000000-0005-0000-0000-0000BF300000}"/>
    <cellStyle name="Positive 2 2 2 11 10 2" xfId="12467" xr:uid="{00000000-0005-0000-0000-0000C0300000}"/>
    <cellStyle name="Positive 2 2 2 11 11" xfId="12468" xr:uid="{00000000-0005-0000-0000-0000C1300000}"/>
    <cellStyle name="Positive 2 2 2 11 11 2" xfId="12469" xr:uid="{00000000-0005-0000-0000-0000C2300000}"/>
    <cellStyle name="Positive 2 2 2 11 12" xfId="12470" xr:uid="{00000000-0005-0000-0000-0000C3300000}"/>
    <cellStyle name="Positive 2 2 2 11 12 2" xfId="12471" xr:uid="{00000000-0005-0000-0000-0000C4300000}"/>
    <cellStyle name="Positive 2 2 2 11 13" xfId="12472" xr:uid="{00000000-0005-0000-0000-0000C5300000}"/>
    <cellStyle name="Positive 2 2 2 11 13 2" xfId="12473" xr:uid="{00000000-0005-0000-0000-0000C6300000}"/>
    <cellStyle name="Positive 2 2 2 11 14" xfId="12474" xr:uid="{00000000-0005-0000-0000-0000C7300000}"/>
    <cellStyle name="Positive 2 2 2 11 14 2" xfId="12475" xr:uid="{00000000-0005-0000-0000-0000C8300000}"/>
    <cellStyle name="Positive 2 2 2 11 15" xfId="12476" xr:uid="{00000000-0005-0000-0000-0000C9300000}"/>
    <cellStyle name="Positive 2 2 2 11 15 2" xfId="12477" xr:uid="{00000000-0005-0000-0000-0000CA300000}"/>
    <cellStyle name="Positive 2 2 2 11 16" xfId="12478" xr:uid="{00000000-0005-0000-0000-0000CB300000}"/>
    <cellStyle name="Positive 2 2 2 11 16 2" xfId="12479" xr:uid="{00000000-0005-0000-0000-0000CC300000}"/>
    <cellStyle name="Positive 2 2 2 11 17" xfId="12480" xr:uid="{00000000-0005-0000-0000-0000CD300000}"/>
    <cellStyle name="Positive 2 2 2 11 17 2" xfId="12481" xr:uid="{00000000-0005-0000-0000-0000CE300000}"/>
    <cellStyle name="Positive 2 2 2 11 18" xfId="12482" xr:uid="{00000000-0005-0000-0000-0000CF300000}"/>
    <cellStyle name="Positive 2 2 2 11 18 2" xfId="12483" xr:uid="{00000000-0005-0000-0000-0000D0300000}"/>
    <cellStyle name="Positive 2 2 2 11 19" xfId="12484" xr:uid="{00000000-0005-0000-0000-0000D1300000}"/>
    <cellStyle name="Positive 2 2 2 11 19 2" xfId="12485" xr:uid="{00000000-0005-0000-0000-0000D2300000}"/>
    <cellStyle name="Positive 2 2 2 11 2" xfId="12486" xr:uid="{00000000-0005-0000-0000-0000D3300000}"/>
    <cellStyle name="Positive 2 2 2 11 2 10" xfId="12487" xr:uid="{00000000-0005-0000-0000-0000D4300000}"/>
    <cellStyle name="Positive 2 2 2 11 2 10 2" xfId="12488" xr:uid="{00000000-0005-0000-0000-0000D5300000}"/>
    <cellStyle name="Positive 2 2 2 11 2 11" xfId="12489" xr:uid="{00000000-0005-0000-0000-0000D6300000}"/>
    <cellStyle name="Positive 2 2 2 11 2 11 2" xfId="12490" xr:uid="{00000000-0005-0000-0000-0000D7300000}"/>
    <cellStyle name="Positive 2 2 2 11 2 12" xfId="12491" xr:uid="{00000000-0005-0000-0000-0000D8300000}"/>
    <cellStyle name="Positive 2 2 2 11 2 12 2" xfId="12492" xr:uid="{00000000-0005-0000-0000-0000D9300000}"/>
    <cellStyle name="Positive 2 2 2 11 2 13" xfId="12493" xr:uid="{00000000-0005-0000-0000-0000DA300000}"/>
    <cellStyle name="Positive 2 2 2 11 2 13 2" xfId="12494" xr:uid="{00000000-0005-0000-0000-0000DB300000}"/>
    <cellStyle name="Positive 2 2 2 11 2 14" xfId="12495" xr:uid="{00000000-0005-0000-0000-0000DC300000}"/>
    <cellStyle name="Positive 2 2 2 11 2 14 2" xfId="12496" xr:uid="{00000000-0005-0000-0000-0000DD300000}"/>
    <cellStyle name="Positive 2 2 2 11 2 15" xfId="12497" xr:uid="{00000000-0005-0000-0000-0000DE300000}"/>
    <cellStyle name="Positive 2 2 2 11 2 15 2" xfId="12498" xr:uid="{00000000-0005-0000-0000-0000DF300000}"/>
    <cellStyle name="Positive 2 2 2 11 2 16" xfId="12499" xr:uid="{00000000-0005-0000-0000-0000E0300000}"/>
    <cellStyle name="Positive 2 2 2 11 2 16 2" xfId="12500" xr:uid="{00000000-0005-0000-0000-0000E1300000}"/>
    <cellStyle name="Positive 2 2 2 11 2 17" xfId="12501" xr:uid="{00000000-0005-0000-0000-0000E2300000}"/>
    <cellStyle name="Positive 2 2 2 11 2 17 2" xfId="12502" xr:uid="{00000000-0005-0000-0000-0000E3300000}"/>
    <cellStyle name="Positive 2 2 2 11 2 18" xfId="12503" xr:uid="{00000000-0005-0000-0000-0000E4300000}"/>
    <cellStyle name="Positive 2 2 2 11 2 18 2" xfId="12504" xr:uid="{00000000-0005-0000-0000-0000E5300000}"/>
    <cellStyle name="Positive 2 2 2 11 2 19" xfId="12505" xr:uid="{00000000-0005-0000-0000-0000E6300000}"/>
    <cellStyle name="Positive 2 2 2 11 2 19 2" xfId="12506" xr:uid="{00000000-0005-0000-0000-0000E7300000}"/>
    <cellStyle name="Positive 2 2 2 11 2 2" xfId="12507" xr:uid="{00000000-0005-0000-0000-0000E8300000}"/>
    <cellStyle name="Positive 2 2 2 11 2 2 10" xfId="12508" xr:uid="{00000000-0005-0000-0000-0000E9300000}"/>
    <cellStyle name="Positive 2 2 2 11 2 2 10 2" xfId="12509" xr:uid="{00000000-0005-0000-0000-0000EA300000}"/>
    <cellStyle name="Positive 2 2 2 11 2 2 11" xfId="12510" xr:uid="{00000000-0005-0000-0000-0000EB300000}"/>
    <cellStyle name="Positive 2 2 2 11 2 2 11 2" xfId="12511" xr:uid="{00000000-0005-0000-0000-0000EC300000}"/>
    <cellStyle name="Positive 2 2 2 11 2 2 12" xfId="12512" xr:uid="{00000000-0005-0000-0000-0000ED300000}"/>
    <cellStyle name="Positive 2 2 2 11 2 2 12 2" xfId="12513" xr:uid="{00000000-0005-0000-0000-0000EE300000}"/>
    <cellStyle name="Positive 2 2 2 11 2 2 13" xfId="12514" xr:uid="{00000000-0005-0000-0000-0000EF300000}"/>
    <cellStyle name="Positive 2 2 2 11 2 2 13 2" xfId="12515" xr:uid="{00000000-0005-0000-0000-0000F0300000}"/>
    <cellStyle name="Positive 2 2 2 11 2 2 14" xfId="12516" xr:uid="{00000000-0005-0000-0000-0000F1300000}"/>
    <cellStyle name="Positive 2 2 2 11 2 2 14 2" xfId="12517" xr:uid="{00000000-0005-0000-0000-0000F2300000}"/>
    <cellStyle name="Positive 2 2 2 11 2 2 15" xfId="12518" xr:uid="{00000000-0005-0000-0000-0000F3300000}"/>
    <cellStyle name="Positive 2 2 2 11 2 2 15 2" xfId="12519" xr:uid="{00000000-0005-0000-0000-0000F4300000}"/>
    <cellStyle name="Positive 2 2 2 11 2 2 16" xfId="12520" xr:uid="{00000000-0005-0000-0000-0000F5300000}"/>
    <cellStyle name="Positive 2 2 2 11 2 2 16 2" xfId="12521" xr:uid="{00000000-0005-0000-0000-0000F6300000}"/>
    <cellStyle name="Positive 2 2 2 11 2 2 17" xfId="12522" xr:uid="{00000000-0005-0000-0000-0000F7300000}"/>
    <cellStyle name="Positive 2 2 2 11 2 2 2" xfId="12523" xr:uid="{00000000-0005-0000-0000-0000F8300000}"/>
    <cellStyle name="Positive 2 2 2 11 2 2 2 2" xfId="12524" xr:uid="{00000000-0005-0000-0000-0000F9300000}"/>
    <cellStyle name="Positive 2 2 2 11 2 2 3" xfId="12525" xr:uid="{00000000-0005-0000-0000-0000FA300000}"/>
    <cellStyle name="Positive 2 2 2 11 2 2 3 2" xfId="12526" xr:uid="{00000000-0005-0000-0000-0000FB300000}"/>
    <cellStyle name="Positive 2 2 2 11 2 2 4" xfId="12527" xr:uid="{00000000-0005-0000-0000-0000FC300000}"/>
    <cellStyle name="Positive 2 2 2 11 2 2 4 2" xfId="12528" xr:uid="{00000000-0005-0000-0000-0000FD300000}"/>
    <cellStyle name="Positive 2 2 2 11 2 2 5" xfId="12529" xr:uid="{00000000-0005-0000-0000-0000FE300000}"/>
    <cellStyle name="Positive 2 2 2 11 2 2 5 2" xfId="12530" xr:uid="{00000000-0005-0000-0000-0000FF300000}"/>
    <cellStyle name="Positive 2 2 2 11 2 2 6" xfId="12531" xr:uid="{00000000-0005-0000-0000-000000310000}"/>
    <cellStyle name="Positive 2 2 2 11 2 2 6 2" xfId="12532" xr:uid="{00000000-0005-0000-0000-000001310000}"/>
    <cellStyle name="Positive 2 2 2 11 2 2 7" xfId="12533" xr:uid="{00000000-0005-0000-0000-000002310000}"/>
    <cellStyle name="Positive 2 2 2 11 2 2 7 2" xfId="12534" xr:uid="{00000000-0005-0000-0000-000003310000}"/>
    <cellStyle name="Positive 2 2 2 11 2 2 8" xfId="12535" xr:uid="{00000000-0005-0000-0000-000004310000}"/>
    <cellStyle name="Positive 2 2 2 11 2 2 8 2" xfId="12536" xr:uid="{00000000-0005-0000-0000-000005310000}"/>
    <cellStyle name="Positive 2 2 2 11 2 2 9" xfId="12537" xr:uid="{00000000-0005-0000-0000-000006310000}"/>
    <cellStyle name="Positive 2 2 2 11 2 2 9 2" xfId="12538" xr:uid="{00000000-0005-0000-0000-000007310000}"/>
    <cellStyle name="Positive 2 2 2 11 2 20" xfId="12539" xr:uid="{00000000-0005-0000-0000-000008310000}"/>
    <cellStyle name="Positive 2 2 2 11 2 3" xfId="12540" xr:uid="{00000000-0005-0000-0000-000009310000}"/>
    <cellStyle name="Positive 2 2 2 11 2 3 2" xfId="12541" xr:uid="{00000000-0005-0000-0000-00000A310000}"/>
    <cellStyle name="Positive 2 2 2 11 2 3 2 2" xfId="12542" xr:uid="{00000000-0005-0000-0000-00000B310000}"/>
    <cellStyle name="Positive 2 2 2 11 2 3 3" xfId="12543" xr:uid="{00000000-0005-0000-0000-00000C310000}"/>
    <cellStyle name="Positive 2 2 2 11 2 4" xfId="12544" xr:uid="{00000000-0005-0000-0000-00000D310000}"/>
    <cellStyle name="Positive 2 2 2 11 2 4 2" xfId="12545" xr:uid="{00000000-0005-0000-0000-00000E310000}"/>
    <cellStyle name="Positive 2 2 2 11 2 4 2 2" xfId="12546" xr:uid="{00000000-0005-0000-0000-00000F310000}"/>
    <cellStyle name="Positive 2 2 2 11 2 4 3" xfId="12547" xr:uid="{00000000-0005-0000-0000-000010310000}"/>
    <cellStyle name="Positive 2 2 2 11 2 5" xfId="12548" xr:uid="{00000000-0005-0000-0000-000011310000}"/>
    <cellStyle name="Positive 2 2 2 11 2 5 2" xfId="12549" xr:uid="{00000000-0005-0000-0000-000012310000}"/>
    <cellStyle name="Positive 2 2 2 11 2 6" xfId="12550" xr:uid="{00000000-0005-0000-0000-000013310000}"/>
    <cellStyle name="Positive 2 2 2 11 2 6 2" xfId="12551" xr:uid="{00000000-0005-0000-0000-000014310000}"/>
    <cellStyle name="Positive 2 2 2 11 2 7" xfId="12552" xr:uid="{00000000-0005-0000-0000-000015310000}"/>
    <cellStyle name="Positive 2 2 2 11 2 7 2" xfId="12553" xr:uid="{00000000-0005-0000-0000-000016310000}"/>
    <cellStyle name="Positive 2 2 2 11 2 8" xfId="12554" xr:uid="{00000000-0005-0000-0000-000017310000}"/>
    <cellStyle name="Positive 2 2 2 11 2 8 2" xfId="12555" xr:uid="{00000000-0005-0000-0000-000018310000}"/>
    <cellStyle name="Positive 2 2 2 11 2 9" xfId="12556" xr:uid="{00000000-0005-0000-0000-000019310000}"/>
    <cellStyle name="Positive 2 2 2 11 2 9 2" xfId="12557" xr:uid="{00000000-0005-0000-0000-00001A310000}"/>
    <cellStyle name="Positive 2 2 2 11 20" xfId="12558" xr:uid="{00000000-0005-0000-0000-00001B310000}"/>
    <cellStyle name="Positive 2 2 2 11 20 2" xfId="12559" xr:uid="{00000000-0005-0000-0000-00001C310000}"/>
    <cellStyle name="Positive 2 2 2 11 21" xfId="12560" xr:uid="{00000000-0005-0000-0000-00001D310000}"/>
    <cellStyle name="Positive 2 2 2 11 21 2" xfId="12561" xr:uid="{00000000-0005-0000-0000-00001E310000}"/>
    <cellStyle name="Positive 2 2 2 11 22" xfId="12562" xr:uid="{00000000-0005-0000-0000-00001F310000}"/>
    <cellStyle name="Positive 2 2 2 11 22 2" xfId="12563" xr:uid="{00000000-0005-0000-0000-000020310000}"/>
    <cellStyle name="Positive 2 2 2 11 23" xfId="12564" xr:uid="{00000000-0005-0000-0000-000021310000}"/>
    <cellStyle name="Positive 2 2 2 11 3" xfId="12565" xr:uid="{00000000-0005-0000-0000-000022310000}"/>
    <cellStyle name="Positive 2 2 2 11 3 10" xfId="12566" xr:uid="{00000000-0005-0000-0000-000023310000}"/>
    <cellStyle name="Positive 2 2 2 11 3 10 2" xfId="12567" xr:uid="{00000000-0005-0000-0000-000024310000}"/>
    <cellStyle name="Positive 2 2 2 11 3 11" xfId="12568" xr:uid="{00000000-0005-0000-0000-000025310000}"/>
    <cellStyle name="Positive 2 2 2 11 3 11 2" xfId="12569" xr:uid="{00000000-0005-0000-0000-000026310000}"/>
    <cellStyle name="Positive 2 2 2 11 3 12" xfId="12570" xr:uid="{00000000-0005-0000-0000-000027310000}"/>
    <cellStyle name="Positive 2 2 2 11 3 12 2" xfId="12571" xr:uid="{00000000-0005-0000-0000-000028310000}"/>
    <cellStyle name="Positive 2 2 2 11 3 13" xfId="12572" xr:uid="{00000000-0005-0000-0000-000029310000}"/>
    <cellStyle name="Positive 2 2 2 11 3 13 2" xfId="12573" xr:uid="{00000000-0005-0000-0000-00002A310000}"/>
    <cellStyle name="Positive 2 2 2 11 3 14" xfId="12574" xr:uid="{00000000-0005-0000-0000-00002B310000}"/>
    <cellStyle name="Positive 2 2 2 11 3 14 2" xfId="12575" xr:uid="{00000000-0005-0000-0000-00002C310000}"/>
    <cellStyle name="Positive 2 2 2 11 3 15" xfId="12576" xr:uid="{00000000-0005-0000-0000-00002D310000}"/>
    <cellStyle name="Positive 2 2 2 11 3 15 2" xfId="12577" xr:uid="{00000000-0005-0000-0000-00002E310000}"/>
    <cellStyle name="Positive 2 2 2 11 3 16" xfId="12578" xr:uid="{00000000-0005-0000-0000-00002F310000}"/>
    <cellStyle name="Positive 2 2 2 11 3 16 2" xfId="12579" xr:uid="{00000000-0005-0000-0000-000030310000}"/>
    <cellStyle name="Positive 2 2 2 11 3 17" xfId="12580" xr:uid="{00000000-0005-0000-0000-000031310000}"/>
    <cellStyle name="Positive 2 2 2 11 3 17 2" xfId="12581" xr:uid="{00000000-0005-0000-0000-000032310000}"/>
    <cellStyle name="Positive 2 2 2 11 3 18" xfId="12582" xr:uid="{00000000-0005-0000-0000-000033310000}"/>
    <cellStyle name="Positive 2 2 2 11 3 18 2" xfId="12583" xr:uid="{00000000-0005-0000-0000-000034310000}"/>
    <cellStyle name="Positive 2 2 2 11 3 19" xfId="12584" xr:uid="{00000000-0005-0000-0000-000035310000}"/>
    <cellStyle name="Positive 2 2 2 11 3 19 2" xfId="12585" xr:uid="{00000000-0005-0000-0000-000036310000}"/>
    <cellStyle name="Positive 2 2 2 11 3 2" xfId="12586" xr:uid="{00000000-0005-0000-0000-000037310000}"/>
    <cellStyle name="Positive 2 2 2 11 3 2 10" xfId="12587" xr:uid="{00000000-0005-0000-0000-000038310000}"/>
    <cellStyle name="Positive 2 2 2 11 3 2 10 2" xfId="12588" xr:uid="{00000000-0005-0000-0000-000039310000}"/>
    <cellStyle name="Positive 2 2 2 11 3 2 11" xfId="12589" xr:uid="{00000000-0005-0000-0000-00003A310000}"/>
    <cellStyle name="Positive 2 2 2 11 3 2 11 2" xfId="12590" xr:uid="{00000000-0005-0000-0000-00003B310000}"/>
    <cellStyle name="Positive 2 2 2 11 3 2 12" xfId="12591" xr:uid="{00000000-0005-0000-0000-00003C310000}"/>
    <cellStyle name="Positive 2 2 2 11 3 2 12 2" xfId="12592" xr:uid="{00000000-0005-0000-0000-00003D310000}"/>
    <cellStyle name="Positive 2 2 2 11 3 2 13" xfId="12593" xr:uid="{00000000-0005-0000-0000-00003E310000}"/>
    <cellStyle name="Positive 2 2 2 11 3 2 13 2" xfId="12594" xr:uid="{00000000-0005-0000-0000-00003F310000}"/>
    <cellStyle name="Positive 2 2 2 11 3 2 14" xfId="12595" xr:uid="{00000000-0005-0000-0000-000040310000}"/>
    <cellStyle name="Positive 2 2 2 11 3 2 14 2" xfId="12596" xr:uid="{00000000-0005-0000-0000-000041310000}"/>
    <cellStyle name="Positive 2 2 2 11 3 2 15" xfId="12597" xr:uid="{00000000-0005-0000-0000-000042310000}"/>
    <cellStyle name="Positive 2 2 2 11 3 2 15 2" xfId="12598" xr:uid="{00000000-0005-0000-0000-000043310000}"/>
    <cellStyle name="Positive 2 2 2 11 3 2 16" xfId="12599" xr:uid="{00000000-0005-0000-0000-000044310000}"/>
    <cellStyle name="Positive 2 2 2 11 3 2 16 2" xfId="12600" xr:uid="{00000000-0005-0000-0000-000045310000}"/>
    <cellStyle name="Positive 2 2 2 11 3 2 17" xfId="12601" xr:uid="{00000000-0005-0000-0000-000046310000}"/>
    <cellStyle name="Positive 2 2 2 11 3 2 2" xfId="12602" xr:uid="{00000000-0005-0000-0000-000047310000}"/>
    <cellStyle name="Positive 2 2 2 11 3 2 2 2" xfId="12603" xr:uid="{00000000-0005-0000-0000-000048310000}"/>
    <cellStyle name="Positive 2 2 2 11 3 2 3" xfId="12604" xr:uid="{00000000-0005-0000-0000-000049310000}"/>
    <cellStyle name="Positive 2 2 2 11 3 2 3 2" xfId="12605" xr:uid="{00000000-0005-0000-0000-00004A310000}"/>
    <cellStyle name="Positive 2 2 2 11 3 2 4" xfId="12606" xr:uid="{00000000-0005-0000-0000-00004B310000}"/>
    <cellStyle name="Positive 2 2 2 11 3 2 4 2" xfId="12607" xr:uid="{00000000-0005-0000-0000-00004C310000}"/>
    <cellStyle name="Positive 2 2 2 11 3 2 5" xfId="12608" xr:uid="{00000000-0005-0000-0000-00004D310000}"/>
    <cellStyle name="Positive 2 2 2 11 3 2 5 2" xfId="12609" xr:uid="{00000000-0005-0000-0000-00004E310000}"/>
    <cellStyle name="Positive 2 2 2 11 3 2 6" xfId="12610" xr:uid="{00000000-0005-0000-0000-00004F310000}"/>
    <cellStyle name="Positive 2 2 2 11 3 2 6 2" xfId="12611" xr:uid="{00000000-0005-0000-0000-000050310000}"/>
    <cellStyle name="Positive 2 2 2 11 3 2 7" xfId="12612" xr:uid="{00000000-0005-0000-0000-000051310000}"/>
    <cellStyle name="Positive 2 2 2 11 3 2 7 2" xfId="12613" xr:uid="{00000000-0005-0000-0000-000052310000}"/>
    <cellStyle name="Positive 2 2 2 11 3 2 8" xfId="12614" xr:uid="{00000000-0005-0000-0000-000053310000}"/>
    <cellStyle name="Positive 2 2 2 11 3 2 8 2" xfId="12615" xr:uid="{00000000-0005-0000-0000-000054310000}"/>
    <cellStyle name="Positive 2 2 2 11 3 2 9" xfId="12616" xr:uid="{00000000-0005-0000-0000-000055310000}"/>
    <cellStyle name="Positive 2 2 2 11 3 2 9 2" xfId="12617" xr:uid="{00000000-0005-0000-0000-000056310000}"/>
    <cellStyle name="Positive 2 2 2 11 3 20" xfId="12618" xr:uid="{00000000-0005-0000-0000-000057310000}"/>
    <cellStyle name="Positive 2 2 2 11 3 3" xfId="12619" xr:uid="{00000000-0005-0000-0000-000058310000}"/>
    <cellStyle name="Positive 2 2 2 11 3 3 2" xfId="12620" xr:uid="{00000000-0005-0000-0000-000059310000}"/>
    <cellStyle name="Positive 2 2 2 11 3 3 2 2" xfId="12621" xr:uid="{00000000-0005-0000-0000-00005A310000}"/>
    <cellStyle name="Positive 2 2 2 11 3 3 3" xfId="12622" xr:uid="{00000000-0005-0000-0000-00005B310000}"/>
    <cellStyle name="Positive 2 2 2 11 3 4" xfId="12623" xr:uid="{00000000-0005-0000-0000-00005C310000}"/>
    <cellStyle name="Positive 2 2 2 11 3 4 2" xfId="12624" xr:uid="{00000000-0005-0000-0000-00005D310000}"/>
    <cellStyle name="Positive 2 2 2 11 3 4 2 2" xfId="12625" xr:uid="{00000000-0005-0000-0000-00005E310000}"/>
    <cellStyle name="Positive 2 2 2 11 3 4 3" xfId="12626" xr:uid="{00000000-0005-0000-0000-00005F310000}"/>
    <cellStyle name="Positive 2 2 2 11 3 5" xfId="12627" xr:uid="{00000000-0005-0000-0000-000060310000}"/>
    <cellStyle name="Positive 2 2 2 11 3 5 2" xfId="12628" xr:uid="{00000000-0005-0000-0000-000061310000}"/>
    <cellStyle name="Positive 2 2 2 11 3 6" xfId="12629" xr:uid="{00000000-0005-0000-0000-000062310000}"/>
    <cellStyle name="Positive 2 2 2 11 3 6 2" xfId="12630" xr:uid="{00000000-0005-0000-0000-000063310000}"/>
    <cellStyle name="Positive 2 2 2 11 3 7" xfId="12631" xr:uid="{00000000-0005-0000-0000-000064310000}"/>
    <cellStyle name="Positive 2 2 2 11 3 7 2" xfId="12632" xr:uid="{00000000-0005-0000-0000-000065310000}"/>
    <cellStyle name="Positive 2 2 2 11 3 8" xfId="12633" xr:uid="{00000000-0005-0000-0000-000066310000}"/>
    <cellStyle name="Positive 2 2 2 11 3 8 2" xfId="12634" xr:uid="{00000000-0005-0000-0000-000067310000}"/>
    <cellStyle name="Positive 2 2 2 11 3 9" xfId="12635" xr:uid="{00000000-0005-0000-0000-000068310000}"/>
    <cellStyle name="Positive 2 2 2 11 3 9 2" xfId="12636" xr:uid="{00000000-0005-0000-0000-000069310000}"/>
    <cellStyle name="Positive 2 2 2 11 4" xfId="12637" xr:uid="{00000000-0005-0000-0000-00006A310000}"/>
    <cellStyle name="Positive 2 2 2 11 4 10" xfId="12638" xr:uid="{00000000-0005-0000-0000-00006B310000}"/>
    <cellStyle name="Positive 2 2 2 11 4 10 2" xfId="12639" xr:uid="{00000000-0005-0000-0000-00006C310000}"/>
    <cellStyle name="Positive 2 2 2 11 4 11" xfId="12640" xr:uid="{00000000-0005-0000-0000-00006D310000}"/>
    <cellStyle name="Positive 2 2 2 11 4 11 2" xfId="12641" xr:uid="{00000000-0005-0000-0000-00006E310000}"/>
    <cellStyle name="Positive 2 2 2 11 4 12" xfId="12642" xr:uid="{00000000-0005-0000-0000-00006F310000}"/>
    <cellStyle name="Positive 2 2 2 11 4 12 2" xfId="12643" xr:uid="{00000000-0005-0000-0000-000070310000}"/>
    <cellStyle name="Positive 2 2 2 11 4 13" xfId="12644" xr:uid="{00000000-0005-0000-0000-000071310000}"/>
    <cellStyle name="Positive 2 2 2 11 4 13 2" xfId="12645" xr:uid="{00000000-0005-0000-0000-000072310000}"/>
    <cellStyle name="Positive 2 2 2 11 4 14" xfId="12646" xr:uid="{00000000-0005-0000-0000-000073310000}"/>
    <cellStyle name="Positive 2 2 2 11 4 14 2" xfId="12647" xr:uid="{00000000-0005-0000-0000-000074310000}"/>
    <cellStyle name="Positive 2 2 2 11 4 15" xfId="12648" xr:uid="{00000000-0005-0000-0000-000075310000}"/>
    <cellStyle name="Positive 2 2 2 11 4 15 2" xfId="12649" xr:uid="{00000000-0005-0000-0000-000076310000}"/>
    <cellStyle name="Positive 2 2 2 11 4 16" xfId="12650" xr:uid="{00000000-0005-0000-0000-000077310000}"/>
    <cellStyle name="Positive 2 2 2 11 4 16 2" xfId="12651" xr:uid="{00000000-0005-0000-0000-000078310000}"/>
    <cellStyle name="Positive 2 2 2 11 4 17" xfId="12652" xr:uid="{00000000-0005-0000-0000-000079310000}"/>
    <cellStyle name="Positive 2 2 2 11 4 17 2" xfId="12653" xr:uid="{00000000-0005-0000-0000-00007A310000}"/>
    <cellStyle name="Positive 2 2 2 11 4 18" xfId="12654" xr:uid="{00000000-0005-0000-0000-00007B310000}"/>
    <cellStyle name="Positive 2 2 2 11 4 18 2" xfId="12655" xr:uid="{00000000-0005-0000-0000-00007C310000}"/>
    <cellStyle name="Positive 2 2 2 11 4 19" xfId="12656" xr:uid="{00000000-0005-0000-0000-00007D310000}"/>
    <cellStyle name="Positive 2 2 2 11 4 19 2" xfId="12657" xr:uid="{00000000-0005-0000-0000-00007E310000}"/>
    <cellStyle name="Positive 2 2 2 11 4 2" xfId="12658" xr:uid="{00000000-0005-0000-0000-00007F310000}"/>
    <cellStyle name="Positive 2 2 2 11 4 2 10" xfId="12659" xr:uid="{00000000-0005-0000-0000-000080310000}"/>
    <cellStyle name="Positive 2 2 2 11 4 2 10 2" xfId="12660" xr:uid="{00000000-0005-0000-0000-000081310000}"/>
    <cellStyle name="Positive 2 2 2 11 4 2 11" xfId="12661" xr:uid="{00000000-0005-0000-0000-000082310000}"/>
    <cellStyle name="Positive 2 2 2 11 4 2 11 2" xfId="12662" xr:uid="{00000000-0005-0000-0000-000083310000}"/>
    <cellStyle name="Positive 2 2 2 11 4 2 12" xfId="12663" xr:uid="{00000000-0005-0000-0000-000084310000}"/>
    <cellStyle name="Positive 2 2 2 11 4 2 12 2" xfId="12664" xr:uid="{00000000-0005-0000-0000-000085310000}"/>
    <cellStyle name="Positive 2 2 2 11 4 2 13" xfId="12665" xr:uid="{00000000-0005-0000-0000-000086310000}"/>
    <cellStyle name="Positive 2 2 2 11 4 2 13 2" xfId="12666" xr:uid="{00000000-0005-0000-0000-000087310000}"/>
    <cellStyle name="Positive 2 2 2 11 4 2 14" xfId="12667" xr:uid="{00000000-0005-0000-0000-000088310000}"/>
    <cellStyle name="Positive 2 2 2 11 4 2 14 2" xfId="12668" xr:uid="{00000000-0005-0000-0000-000089310000}"/>
    <cellStyle name="Positive 2 2 2 11 4 2 15" xfId="12669" xr:uid="{00000000-0005-0000-0000-00008A310000}"/>
    <cellStyle name="Positive 2 2 2 11 4 2 15 2" xfId="12670" xr:uid="{00000000-0005-0000-0000-00008B310000}"/>
    <cellStyle name="Positive 2 2 2 11 4 2 16" xfId="12671" xr:uid="{00000000-0005-0000-0000-00008C310000}"/>
    <cellStyle name="Positive 2 2 2 11 4 2 16 2" xfId="12672" xr:uid="{00000000-0005-0000-0000-00008D310000}"/>
    <cellStyle name="Positive 2 2 2 11 4 2 17" xfId="12673" xr:uid="{00000000-0005-0000-0000-00008E310000}"/>
    <cellStyle name="Positive 2 2 2 11 4 2 2" xfId="12674" xr:uid="{00000000-0005-0000-0000-00008F310000}"/>
    <cellStyle name="Positive 2 2 2 11 4 2 2 2" xfId="12675" xr:uid="{00000000-0005-0000-0000-000090310000}"/>
    <cellStyle name="Positive 2 2 2 11 4 2 3" xfId="12676" xr:uid="{00000000-0005-0000-0000-000091310000}"/>
    <cellStyle name="Positive 2 2 2 11 4 2 3 2" xfId="12677" xr:uid="{00000000-0005-0000-0000-000092310000}"/>
    <cellStyle name="Positive 2 2 2 11 4 2 4" xfId="12678" xr:uid="{00000000-0005-0000-0000-000093310000}"/>
    <cellStyle name="Positive 2 2 2 11 4 2 4 2" xfId="12679" xr:uid="{00000000-0005-0000-0000-000094310000}"/>
    <cellStyle name="Positive 2 2 2 11 4 2 5" xfId="12680" xr:uid="{00000000-0005-0000-0000-000095310000}"/>
    <cellStyle name="Positive 2 2 2 11 4 2 5 2" xfId="12681" xr:uid="{00000000-0005-0000-0000-000096310000}"/>
    <cellStyle name="Positive 2 2 2 11 4 2 6" xfId="12682" xr:uid="{00000000-0005-0000-0000-000097310000}"/>
    <cellStyle name="Positive 2 2 2 11 4 2 6 2" xfId="12683" xr:uid="{00000000-0005-0000-0000-000098310000}"/>
    <cellStyle name="Positive 2 2 2 11 4 2 7" xfId="12684" xr:uid="{00000000-0005-0000-0000-000099310000}"/>
    <cellStyle name="Positive 2 2 2 11 4 2 7 2" xfId="12685" xr:uid="{00000000-0005-0000-0000-00009A310000}"/>
    <cellStyle name="Positive 2 2 2 11 4 2 8" xfId="12686" xr:uid="{00000000-0005-0000-0000-00009B310000}"/>
    <cellStyle name="Positive 2 2 2 11 4 2 8 2" xfId="12687" xr:uid="{00000000-0005-0000-0000-00009C310000}"/>
    <cellStyle name="Positive 2 2 2 11 4 2 9" xfId="12688" xr:uid="{00000000-0005-0000-0000-00009D310000}"/>
    <cellStyle name="Positive 2 2 2 11 4 2 9 2" xfId="12689" xr:uid="{00000000-0005-0000-0000-00009E310000}"/>
    <cellStyle name="Positive 2 2 2 11 4 20" xfId="12690" xr:uid="{00000000-0005-0000-0000-00009F310000}"/>
    <cellStyle name="Positive 2 2 2 11 4 3" xfId="12691" xr:uid="{00000000-0005-0000-0000-0000A0310000}"/>
    <cellStyle name="Positive 2 2 2 11 4 3 2" xfId="12692" xr:uid="{00000000-0005-0000-0000-0000A1310000}"/>
    <cellStyle name="Positive 2 2 2 11 4 3 2 2" xfId="12693" xr:uid="{00000000-0005-0000-0000-0000A2310000}"/>
    <cellStyle name="Positive 2 2 2 11 4 3 3" xfId="12694" xr:uid="{00000000-0005-0000-0000-0000A3310000}"/>
    <cellStyle name="Positive 2 2 2 11 4 4" xfId="12695" xr:uid="{00000000-0005-0000-0000-0000A4310000}"/>
    <cellStyle name="Positive 2 2 2 11 4 4 2" xfId="12696" xr:uid="{00000000-0005-0000-0000-0000A5310000}"/>
    <cellStyle name="Positive 2 2 2 11 4 4 2 2" xfId="12697" xr:uid="{00000000-0005-0000-0000-0000A6310000}"/>
    <cellStyle name="Positive 2 2 2 11 4 4 3" xfId="12698" xr:uid="{00000000-0005-0000-0000-0000A7310000}"/>
    <cellStyle name="Positive 2 2 2 11 4 5" xfId="12699" xr:uid="{00000000-0005-0000-0000-0000A8310000}"/>
    <cellStyle name="Positive 2 2 2 11 4 5 2" xfId="12700" xr:uid="{00000000-0005-0000-0000-0000A9310000}"/>
    <cellStyle name="Positive 2 2 2 11 4 6" xfId="12701" xr:uid="{00000000-0005-0000-0000-0000AA310000}"/>
    <cellStyle name="Positive 2 2 2 11 4 6 2" xfId="12702" xr:uid="{00000000-0005-0000-0000-0000AB310000}"/>
    <cellStyle name="Positive 2 2 2 11 4 7" xfId="12703" xr:uid="{00000000-0005-0000-0000-0000AC310000}"/>
    <cellStyle name="Positive 2 2 2 11 4 7 2" xfId="12704" xr:uid="{00000000-0005-0000-0000-0000AD310000}"/>
    <cellStyle name="Positive 2 2 2 11 4 8" xfId="12705" xr:uid="{00000000-0005-0000-0000-0000AE310000}"/>
    <cellStyle name="Positive 2 2 2 11 4 8 2" xfId="12706" xr:uid="{00000000-0005-0000-0000-0000AF310000}"/>
    <cellStyle name="Positive 2 2 2 11 4 9" xfId="12707" xr:uid="{00000000-0005-0000-0000-0000B0310000}"/>
    <cellStyle name="Positive 2 2 2 11 4 9 2" xfId="12708" xr:uid="{00000000-0005-0000-0000-0000B1310000}"/>
    <cellStyle name="Positive 2 2 2 11 5" xfId="12709" xr:uid="{00000000-0005-0000-0000-0000B2310000}"/>
    <cellStyle name="Positive 2 2 2 11 5 10" xfId="12710" xr:uid="{00000000-0005-0000-0000-0000B3310000}"/>
    <cellStyle name="Positive 2 2 2 11 5 10 2" xfId="12711" xr:uid="{00000000-0005-0000-0000-0000B4310000}"/>
    <cellStyle name="Positive 2 2 2 11 5 11" xfId="12712" xr:uid="{00000000-0005-0000-0000-0000B5310000}"/>
    <cellStyle name="Positive 2 2 2 11 5 11 2" xfId="12713" xr:uid="{00000000-0005-0000-0000-0000B6310000}"/>
    <cellStyle name="Positive 2 2 2 11 5 12" xfId="12714" xr:uid="{00000000-0005-0000-0000-0000B7310000}"/>
    <cellStyle name="Positive 2 2 2 11 5 12 2" xfId="12715" xr:uid="{00000000-0005-0000-0000-0000B8310000}"/>
    <cellStyle name="Positive 2 2 2 11 5 13" xfId="12716" xr:uid="{00000000-0005-0000-0000-0000B9310000}"/>
    <cellStyle name="Positive 2 2 2 11 5 13 2" xfId="12717" xr:uid="{00000000-0005-0000-0000-0000BA310000}"/>
    <cellStyle name="Positive 2 2 2 11 5 14" xfId="12718" xr:uid="{00000000-0005-0000-0000-0000BB310000}"/>
    <cellStyle name="Positive 2 2 2 11 5 14 2" xfId="12719" xr:uid="{00000000-0005-0000-0000-0000BC310000}"/>
    <cellStyle name="Positive 2 2 2 11 5 15" xfId="12720" xr:uid="{00000000-0005-0000-0000-0000BD310000}"/>
    <cellStyle name="Positive 2 2 2 11 5 15 2" xfId="12721" xr:uid="{00000000-0005-0000-0000-0000BE310000}"/>
    <cellStyle name="Positive 2 2 2 11 5 16" xfId="12722" xr:uid="{00000000-0005-0000-0000-0000BF310000}"/>
    <cellStyle name="Positive 2 2 2 11 5 16 2" xfId="12723" xr:uid="{00000000-0005-0000-0000-0000C0310000}"/>
    <cellStyle name="Positive 2 2 2 11 5 17" xfId="12724" xr:uid="{00000000-0005-0000-0000-0000C1310000}"/>
    <cellStyle name="Positive 2 2 2 11 5 2" xfId="12725" xr:uid="{00000000-0005-0000-0000-0000C2310000}"/>
    <cellStyle name="Positive 2 2 2 11 5 2 2" xfId="12726" xr:uid="{00000000-0005-0000-0000-0000C3310000}"/>
    <cellStyle name="Positive 2 2 2 11 5 3" xfId="12727" xr:uid="{00000000-0005-0000-0000-0000C4310000}"/>
    <cellStyle name="Positive 2 2 2 11 5 3 2" xfId="12728" xr:uid="{00000000-0005-0000-0000-0000C5310000}"/>
    <cellStyle name="Positive 2 2 2 11 5 4" xfId="12729" xr:uid="{00000000-0005-0000-0000-0000C6310000}"/>
    <cellStyle name="Positive 2 2 2 11 5 4 2" xfId="12730" xr:uid="{00000000-0005-0000-0000-0000C7310000}"/>
    <cellStyle name="Positive 2 2 2 11 5 5" xfId="12731" xr:uid="{00000000-0005-0000-0000-0000C8310000}"/>
    <cellStyle name="Positive 2 2 2 11 5 5 2" xfId="12732" xr:uid="{00000000-0005-0000-0000-0000C9310000}"/>
    <cellStyle name="Positive 2 2 2 11 5 6" xfId="12733" xr:uid="{00000000-0005-0000-0000-0000CA310000}"/>
    <cellStyle name="Positive 2 2 2 11 5 6 2" xfId="12734" xr:uid="{00000000-0005-0000-0000-0000CB310000}"/>
    <cellStyle name="Positive 2 2 2 11 5 7" xfId="12735" xr:uid="{00000000-0005-0000-0000-0000CC310000}"/>
    <cellStyle name="Positive 2 2 2 11 5 7 2" xfId="12736" xr:uid="{00000000-0005-0000-0000-0000CD310000}"/>
    <cellStyle name="Positive 2 2 2 11 5 8" xfId="12737" xr:uid="{00000000-0005-0000-0000-0000CE310000}"/>
    <cellStyle name="Positive 2 2 2 11 5 8 2" xfId="12738" xr:uid="{00000000-0005-0000-0000-0000CF310000}"/>
    <cellStyle name="Positive 2 2 2 11 5 9" xfId="12739" xr:uid="{00000000-0005-0000-0000-0000D0310000}"/>
    <cellStyle name="Positive 2 2 2 11 5 9 2" xfId="12740" xr:uid="{00000000-0005-0000-0000-0000D1310000}"/>
    <cellStyle name="Positive 2 2 2 11 6" xfId="12741" xr:uid="{00000000-0005-0000-0000-0000D2310000}"/>
    <cellStyle name="Positive 2 2 2 11 6 2" xfId="12742" xr:uid="{00000000-0005-0000-0000-0000D3310000}"/>
    <cellStyle name="Positive 2 2 2 11 6 2 2" xfId="12743" xr:uid="{00000000-0005-0000-0000-0000D4310000}"/>
    <cellStyle name="Positive 2 2 2 11 6 3" xfId="12744" xr:uid="{00000000-0005-0000-0000-0000D5310000}"/>
    <cellStyle name="Positive 2 2 2 11 7" xfId="12745" xr:uid="{00000000-0005-0000-0000-0000D6310000}"/>
    <cellStyle name="Positive 2 2 2 11 7 2" xfId="12746" xr:uid="{00000000-0005-0000-0000-0000D7310000}"/>
    <cellStyle name="Positive 2 2 2 11 7 2 2" xfId="12747" xr:uid="{00000000-0005-0000-0000-0000D8310000}"/>
    <cellStyle name="Positive 2 2 2 11 7 3" xfId="12748" xr:uid="{00000000-0005-0000-0000-0000D9310000}"/>
    <cellStyle name="Positive 2 2 2 11 8" xfId="12749" xr:uid="{00000000-0005-0000-0000-0000DA310000}"/>
    <cellStyle name="Positive 2 2 2 11 8 2" xfId="12750" xr:uid="{00000000-0005-0000-0000-0000DB310000}"/>
    <cellStyle name="Positive 2 2 2 11 9" xfId="12751" xr:uid="{00000000-0005-0000-0000-0000DC310000}"/>
    <cellStyle name="Positive 2 2 2 11 9 2" xfId="12752" xr:uid="{00000000-0005-0000-0000-0000DD310000}"/>
    <cellStyle name="Positive 2 2 2 12" xfId="12753" xr:uid="{00000000-0005-0000-0000-0000DE310000}"/>
    <cellStyle name="Positive 2 2 2 12 10" xfId="12754" xr:uid="{00000000-0005-0000-0000-0000DF310000}"/>
    <cellStyle name="Positive 2 2 2 12 10 2" xfId="12755" xr:uid="{00000000-0005-0000-0000-0000E0310000}"/>
    <cellStyle name="Positive 2 2 2 12 11" xfId="12756" xr:uid="{00000000-0005-0000-0000-0000E1310000}"/>
    <cellStyle name="Positive 2 2 2 12 11 2" xfId="12757" xr:uid="{00000000-0005-0000-0000-0000E2310000}"/>
    <cellStyle name="Positive 2 2 2 12 12" xfId="12758" xr:uid="{00000000-0005-0000-0000-0000E3310000}"/>
    <cellStyle name="Positive 2 2 2 12 12 2" xfId="12759" xr:uid="{00000000-0005-0000-0000-0000E4310000}"/>
    <cellStyle name="Positive 2 2 2 12 13" xfId="12760" xr:uid="{00000000-0005-0000-0000-0000E5310000}"/>
    <cellStyle name="Positive 2 2 2 12 13 2" xfId="12761" xr:uid="{00000000-0005-0000-0000-0000E6310000}"/>
    <cellStyle name="Positive 2 2 2 12 14" xfId="12762" xr:uid="{00000000-0005-0000-0000-0000E7310000}"/>
    <cellStyle name="Positive 2 2 2 12 14 2" xfId="12763" xr:uid="{00000000-0005-0000-0000-0000E8310000}"/>
    <cellStyle name="Positive 2 2 2 12 15" xfId="12764" xr:uid="{00000000-0005-0000-0000-0000E9310000}"/>
    <cellStyle name="Positive 2 2 2 12 15 2" xfId="12765" xr:uid="{00000000-0005-0000-0000-0000EA310000}"/>
    <cellStyle name="Positive 2 2 2 12 16" xfId="12766" xr:uid="{00000000-0005-0000-0000-0000EB310000}"/>
    <cellStyle name="Positive 2 2 2 12 16 2" xfId="12767" xr:uid="{00000000-0005-0000-0000-0000EC310000}"/>
    <cellStyle name="Positive 2 2 2 12 17" xfId="12768" xr:uid="{00000000-0005-0000-0000-0000ED310000}"/>
    <cellStyle name="Positive 2 2 2 12 17 2" xfId="12769" xr:uid="{00000000-0005-0000-0000-0000EE310000}"/>
    <cellStyle name="Positive 2 2 2 12 18" xfId="12770" xr:uid="{00000000-0005-0000-0000-0000EF310000}"/>
    <cellStyle name="Positive 2 2 2 12 18 2" xfId="12771" xr:uid="{00000000-0005-0000-0000-0000F0310000}"/>
    <cellStyle name="Positive 2 2 2 12 19" xfId="12772" xr:uid="{00000000-0005-0000-0000-0000F1310000}"/>
    <cellStyle name="Positive 2 2 2 12 19 2" xfId="12773" xr:uid="{00000000-0005-0000-0000-0000F2310000}"/>
    <cellStyle name="Positive 2 2 2 12 2" xfId="12774" xr:uid="{00000000-0005-0000-0000-0000F3310000}"/>
    <cellStyle name="Positive 2 2 2 12 2 10" xfId="12775" xr:uid="{00000000-0005-0000-0000-0000F4310000}"/>
    <cellStyle name="Positive 2 2 2 12 2 10 2" xfId="12776" xr:uid="{00000000-0005-0000-0000-0000F5310000}"/>
    <cellStyle name="Positive 2 2 2 12 2 11" xfId="12777" xr:uid="{00000000-0005-0000-0000-0000F6310000}"/>
    <cellStyle name="Positive 2 2 2 12 2 11 2" xfId="12778" xr:uid="{00000000-0005-0000-0000-0000F7310000}"/>
    <cellStyle name="Positive 2 2 2 12 2 12" xfId="12779" xr:uid="{00000000-0005-0000-0000-0000F8310000}"/>
    <cellStyle name="Positive 2 2 2 12 2 12 2" xfId="12780" xr:uid="{00000000-0005-0000-0000-0000F9310000}"/>
    <cellStyle name="Positive 2 2 2 12 2 13" xfId="12781" xr:uid="{00000000-0005-0000-0000-0000FA310000}"/>
    <cellStyle name="Positive 2 2 2 12 2 13 2" xfId="12782" xr:uid="{00000000-0005-0000-0000-0000FB310000}"/>
    <cellStyle name="Positive 2 2 2 12 2 14" xfId="12783" xr:uid="{00000000-0005-0000-0000-0000FC310000}"/>
    <cellStyle name="Positive 2 2 2 12 2 14 2" xfId="12784" xr:uid="{00000000-0005-0000-0000-0000FD310000}"/>
    <cellStyle name="Positive 2 2 2 12 2 15" xfId="12785" xr:uid="{00000000-0005-0000-0000-0000FE310000}"/>
    <cellStyle name="Positive 2 2 2 12 2 15 2" xfId="12786" xr:uid="{00000000-0005-0000-0000-0000FF310000}"/>
    <cellStyle name="Positive 2 2 2 12 2 16" xfId="12787" xr:uid="{00000000-0005-0000-0000-000000320000}"/>
    <cellStyle name="Positive 2 2 2 12 2 16 2" xfId="12788" xr:uid="{00000000-0005-0000-0000-000001320000}"/>
    <cellStyle name="Positive 2 2 2 12 2 17" xfId="12789" xr:uid="{00000000-0005-0000-0000-000002320000}"/>
    <cellStyle name="Positive 2 2 2 12 2 17 2" xfId="12790" xr:uid="{00000000-0005-0000-0000-000003320000}"/>
    <cellStyle name="Positive 2 2 2 12 2 18" xfId="12791" xr:uid="{00000000-0005-0000-0000-000004320000}"/>
    <cellStyle name="Positive 2 2 2 12 2 18 2" xfId="12792" xr:uid="{00000000-0005-0000-0000-000005320000}"/>
    <cellStyle name="Positive 2 2 2 12 2 19" xfId="12793" xr:uid="{00000000-0005-0000-0000-000006320000}"/>
    <cellStyle name="Positive 2 2 2 12 2 19 2" xfId="12794" xr:uid="{00000000-0005-0000-0000-000007320000}"/>
    <cellStyle name="Positive 2 2 2 12 2 2" xfId="12795" xr:uid="{00000000-0005-0000-0000-000008320000}"/>
    <cellStyle name="Positive 2 2 2 12 2 2 10" xfId="12796" xr:uid="{00000000-0005-0000-0000-000009320000}"/>
    <cellStyle name="Positive 2 2 2 12 2 2 10 2" xfId="12797" xr:uid="{00000000-0005-0000-0000-00000A320000}"/>
    <cellStyle name="Positive 2 2 2 12 2 2 11" xfId="12798" xr:uid="{00000000-0005-0000-0000-00000B320000}"/>
    <cellStyle name="Positive 2 2 2 12 2 2 11 2" xfId="12799" xr:uid="{00000000-0005-0000-0000-00000C320000}"/>
    <cellStyle name="Positive 2 2 2 12 2 2 12" xfId="12800" xr:uid="{00000000-0005-0000-0000-00000D320000}"/>
    <cellStyle name="Positive 2 2 2 12 2 2 12 2" xfId="12801" xr:uid="{00000000-0005-0000-0000-00000E320000}"/>
    <cellStyle name="Positive 2 2 2 12 2 2 13" xfId="12802" xr:uid="{00000000-0005-0000-0000-00000F320000}"/>
    <cellStyle name="Positive 2 2 2 12 2 2 13 2" xfId="12803" xr:uid="{00000000-0005-0000-0000-000010320000}"/>
    <cellStyle name="Positive 2 2 2 12 2 2 14" xfId="12804" xr:uid="{00000000-0005-0000-0000-000011320000}"/>
    <cellStyle name="Positive 2 2 2 12 2 2 14 2" xfId="12805" xr:uid="{00000000-0005-0000-0000-000012320000}"/>
    <cellStyle name="Positive 2 2 2 12 2 2 15" xfId="12806" xr:uid="{00000000-0005-0000-0000-000013320000}"/>
    <cellStyle name="Positive 2 2 2 12 2 2 15 2" xfId="12807" xr:uid="{00000000-0005-0000-0000-000014320000}"/>
    <cellStyle name="Positive 2 2 2 12 2 2 16" xfId="12808" xr:uid="{00000000-0005-0000-0000-000015320000}"/>
    <cellStyle name="Positive 2 2 2 12 2 2 16 2" xfId="12809" xr:uid="{00000000-0005-0000-0000-000016320000}"/>
    <cellStyle name="Positive 2 2 2 12 2 2 17" xfId="12810" xr:uid="{00000000-0005-0000-0000-000017320000}"/>
    <cellStyle name="Positive 2 2 2 12 2 2 2" xfId="12811" xr:uid="{00000000-0005-0000-0000-000018320000}"/>
    <cellStyle name="Positive 2 2 2 12 2 2 2 2" xfId="12812" xr:uid="{00000000-0005-0000-0000-000019320000}"/>
    <cellStyle name="Positive 2 2 2 12 2 2 3" xfId="12813" xr:uid="{00000000-0005-0000-0000-00001A320000}"/>
    <cellStyle name="Positive 2 2 2 12 2 2 3 2" xfId="12814" xr:uid="{00000000-0005-0000-0000-00001B320000}"/>
    <cellStyle name="Positive 2 2 2 12 2 2 4" xfId="12815" xr:uid="{00000000-0005-0000-0000-00001C320000}"/>
    <cellStyle name="Positive 2 2 2 12 2 2 4 2" xfId="12816" xr:uid="{00000000-0005-0000-0000-00001D320000}"/>
    <cellStyle name="Positive 2 2 2 12 2 2 5" xfId="12817" xr:uid="{00000000-0005-0000-0000-00001E320000}"/>
    <cellStyle name="Positive 2 2 2 12 2 2 5 2" xfId="12818" xr:uid="{00000000-0005-0000-0000-00001F320000}"/>
    <cellStyle name="Positive 2 2 2 12 2 2 6" xfId="12819" xr:uid="{00000000-0005-0000-0000-000020320000}"/>
    <cellStyle name="Positive 2 2 2 12 2 2 6 2" xfId="12820" xr:uid="{00000000-0005-0000-0000-000021320000}"/>
    <cellStyle name="Positive 2 2 2 12 2 2 7" xfId="12821" xr:uid="{00000000-0005-0000-0000-000022320000}"/>
    <cellStyle name="Positive 2 2 2 12 2 2 7 2" xfId="12822" xr:uid="{00000000-0005-0000-0000-000023320000}"/>
    <cellStyle name="Positive 2 2 2 12 2 2 8" xfId="12823" xr:uid="{00000000-0005-0000-0000-000024320000}"/>
    <cellStyle name="Positive 2 2 2 12 2 2 8 2" xfId="12824" xr:uid="{00000000-0005-0000-0000-000025320000}"/>
    <cellStyle name="Positive 2 2 2 12 2 2 9" xfId="12825" xr:uid="{00000000-0005-0000-0000-000026320000}"/>
    <cellStyle name="Positive 2 2 2 12 2 2 9 2" xfId="12826" xr:uid="{00000000-0005-0000-0000-000027320000}"/>
    <cellStyle name="Positive 2 2 2 12 2 20" xfId="12827" xr:uid="{00000000-0005-0000-0000-000028320000}"/>
    <cellStyle name="Positive 2 2 2 12 2 3" xfId="12828" xr:uid="{00000000-0005-0000-0000-000029320000}"/>
    <cellStyle name="Positive 2 2 2 12 2 3 2" xfId="12829" xr:uid="{00000000-0005-0000-0000-00002A320000}"/>
    <cellStyle name="Positive 2 2 2 12 2 3 2 2" xfId="12830" xr:uid="{00000000-0005-0000-0000-00002B320000}"/>
    <cellStyle name="Positive 2 2 2 12 2 3 3" xfId="12831" xr:uid="{00000000-0005-0000-0000-00002C320000}"/>
    <cellStyle name="Positive 2 2 2 12 2 4" xfId="12832" xr:uid="{00000000-0005-0000-0000-00002D320000}"/>
    <cellStyle name="Positive 2 2 2 12 2 4 2" xfId="12833" xr:uid="{00000000-0005-0000-0000-00002E320000}"/>
    <cellStyle name="Positive 2 2 2 12 2 4 2 2" xfId="12834" xr:uid="{00000000-0005-0000-0000-00002F320000}"/>
    <cellStyle name="Positive 2 2 2 12 2 4 3" xfId="12835" xr:uid="{00000000-0005-0000-0000-000030320000}"/>
    <cellStyle name="Positive 2 2 2 12 2 5" xfId="12836" xr:uid="{00000000-0005-0000-0000-000031320000}"/>
    <cellStyle name="Positive 2 2 2 12 2 5 2" xfId="12837" xr:uid="{00000000-0005-0000-0000-000032320000}"/>
    <cellStyle name="Positive 2 2 2 12 2 6" xfId="12838" xr:uid="{00000000-0005-0000-0000-000033320000}"/>
    <cellStyle name="Positive 2 2 2 12 2 6 2" xfId="12839" xr:uid="{00000000-0005-0000-0000-000034320000}"/>
    <cellStyle name="Positive 2 2 2 12 2 7" xfId="12840" xr:uid="{00000000-0005-0000-0000-000035320000}"/>
    <cellStyle name="Positive 2 2 2 12 2 7 2" xfId="12841" xr:uid="{00000000-0005-0000-0000-000036320000}"/>
    <cellStyle name="Positive 2 2 2 12 2 8" xfId="12842" xr:uid="{00000000-0005-0000-0000-000037320000}"/>
    <cellStyle name="Positive 2 2 2 12 2 8 2" xfId="12843" xr:uid="{00000000-0005-0000-0000-000038320000}"/>
    <cellStyle name="Positive 2 2 2 12 2 9" xfId="12844" xr:uid="{00000000-0005-0000-0000-000039320000}"/>
    <cellStyle name="Positive 2 2 2 12 2 9 2" xfId="12845" xr:uid="{00000000-0005-0000-0000-00003A320000}"/>
    <cellStyle name="Positive 2 2 2 12 20" xfId="12846" xr:uid="{00000000-0005-0000-0000-00003B320000}"/>
    <cellStyle name="Positive 2 2 2 12 20 2" xfId="12847" xr:uid="{00000000-0005-0000-0000-00003C320000}"/>
    <cellStyle name="Positive 2 2 2 12 21" xfId="12848" xr:uid="{00000000-0005-0000-0000-00003D320000}"/>
    <cellStyle name="Positive 2 2 2 12 21 2" xfId="12849" xr:uid="{00000000-0005-0000-0000-00003E320000}"/>
    <cellStyle name="Positive 2 2 2 12 22" xfId="12850" xr:uid="{00000000-0005-0000-0000-00003F320000}"/>
    <cellStyle name="Positive 2 2 2 12 22 2" xfId="12851" xr:uid="{00000000-0005-0000-0000-000040320000}"/>
    <cellStyle name="Positive 2 2 2 12 23" xfId="12852" xr:uid="{00000000-0005-0000-0000-000041320000}"/>
    <cellStyle name="Positive 2 2 2 12 3" xfId="12853" xr:uid="{00000000-0005-0000-0000-000042320000}"/>
    <cellStyle name="Positive 2 2 2 12 3 10" xfId="12854" xr:uid="{00000000-0005-0000-0000-000043320000}"/>
    <cellStyle name="Positive 2 2 2 12 3 10 2" xfId="12855" xr:uid="{00000000-0005-0000-0000-000044320000}"/>
    <cellStyle name="Positive 2 2 2 12 3 11" xfId="12856" xr:uid="{00000000-0005-0000-0000-000045320000}"/>
    <cellStyle name="Positive 2 2 2 12 3 11 2" xfId="12857" xr:uid="{00000000-0005-0000-0000-000046320000}"/>
    <cellStyle name="Positive 2 2 2 12 3 12" xfId="12858" xr:uid="{00000000-0005-0000-0000-000047320000}"/>
    <cellStyle name="Positive 2 2 2 12 3 12 2" xfId="12859" xr:uid="{00000000-0005-0000-0000-000048320000}"/>
    <cellStyle name="Positive 2 2 2 12 3 13" xfId="12860" xr:uid="{00000000-0005-0000-0000-000049320000}"/>
    <cellStyle name="Positive 2 2 2 12 3 13 2" xfId="12861" xr:uid="{00000000-0005-0000-0000-00004A320000}"/>
    <cellStyle name="Positive 2 2 2 12 3 14" xfId="12862" xr:uid="{00000000-0005-0000-0000-00004B320000}"/>
    <cellStyle name="Positive 2 2 2 12 3 14 2" xfId="12863" xr:uid="{00000000-0005-0000-0000-00004C320000}"/>
    <cellStyle name="Positive 2 2 2 12 3 15" xfId="12864" xr:uid="{00000000-0005-0000-0000-00004D320000}"/>
    <cellStyle name="Positive 2 2 2 12 3 15 2" xfId="12865" xr:uid="{00000000-0005-0000-0000-00004E320000}"/>
    <cellStyle name="Positive 2 2 2 12 3 16" xfId="12866" xr:uid="{00000000-0005-0000-0000-00004F320000}"/>
    <cellStyle name="Positive 2 2 2 12 3 16 2" xfId="12867" xr:uid="{00000000-0005-0000-0000-000050320000}"/>
    <cellStyle name="Positive 2 2 2 12 3 17" xfId="12868" xr:uid="{00000000-0005-0000-0000-000051320000}"/>
    <cellStyle name="Positive 2 2 2 12 3 17 2" xfId="12869" xr:uid="{00000000-0005-0000-0000-000052320000}"/>
    <cellStyle name="Positive 2 2 2 12 3 18" xfId="12870" xr:uid="{00000000-0005-0000-0000-000053320000}"/>
    <cellStyle name="Positive 2 2 2 12 3 18 2" xfId="12871" xr:uid="{00000000-0005-0000-0000-000054320000}"/>
    <cellStyle name="Positive 2 2 2 12 3 19" xfId="12872" xr:uid="{00000000-0005-0000-0000-000055320000}"/>
    <cellStyle name="Positive 2 2 2 12 3 19 2" xfId="12873" xr:uid="{00000000-0005-0000-0000-000056320000}"/>
    <cellStyle name="Positive 2 2 2 12 3 2" xfId="12874" xr:uid="{00000000-0005-0000-0000-000057320000}"/>
    <cellStyle name="Positive 2 2 2 12 3 2 10" xfId="12875" xr:uid="{00000000-0005-0000-0000-000058320000}"/>
    <cellStyle name="Positive 2 2 2 12 3 2 10 2" xfId="12876" xr:uid="{00000000-0005-0000-0000-000059320000}"/>
    <cellStyle name="Positive 2 2 2 12 3 2 11" xfId="12877" xr:uid="{00000000-0005-0000-0000-00005A320000}"/>
    <cellStyle name="Positive 2 2 2 12 3 2 11 2" xfId="12878" xr:uid="{00000000-0005-0000-0000-00005B320000}"/>
    <cellStyle name="Positive 2 2 2 12 3 2 12" xfId="12879" xr:uid="{00000000-0005-0000-0000-00005C320000}"/>
    <cellStyle name="Positive 2 2 2 12 3 2 12 2" xfId="12880" xr:uid="{00000000-0005-0000-0000-00005D320000}"/>
    <cellStyle name="Positive 2 2 2 12 3 2 13" xfId="12881" xr:uid="{00000000-0005-0000-0000-00005E320000}"/>
    <cellStyle name="Positive 2 2 2 12 3 2 13 2" xfId="12882" xr:uid="{00000000-0005-0000-0000-00005F320000}"/>
    <cellStyle name="Positive 2 2 2 12 3 2 14" xfId="12883" xr:uid="{00000000-0005-0000-0000-000060320000}"/>
    <cellStyle name="Positive 2 2 2 12 3 2 14 2" xfId="12884" xr:uid="{00000000-0005-0000-0000-000061320000}"/>
    <cellStyle name="Positive 2 2 2 12 3 2 15" xfId="12885" xr:uid="{00000000-0005-0000-0000-000062320000}"/>
    <cellStyle name="Positive 2 2 2 12 3 2 15 2" xfId="12886" xr:uid="{00000000-0005-0000-0000-000063320000}"/>
    <cellStyle name="Positive 2 2 2 12 3 2 16" xfId="12887" xr:uid="{00000000-0005-0000-0000-000064320000}"/>
    <cellStyle name="Positive 2 2 2 12 3 2 16 2" xfId="12888" xr:uid="{00000000-0005-0000-0000-000065320000}"/>
    <cellStyle name="Positive 2 2 2 12 3 2 17" xfId="12889" xr:uid="{00000000-0005-0000-0000-000066320000}"/>
    <cellStyle name="Positive 2 2 2 12 3 2 2" xfId="12890" xr:uid="{00000000-0005-0000-0000-000067320000}"/>
    <cellStyle name="Positive 2 2 2 12 3 2 2 2" xfId="12891" xr:uid="{00000000-0005-0000-0000-000068320000}"/>
    <cellStyle name="Positive 2 2 2 12 3 2 3" xfId="12892" xr:uid="{00000000-0005-0000-0000-000069320000}"/>
    <cellStyle name="Positive 2 2 2 12 3 2 3 2" xfId="12893" xr:uid="{00000000-0005-0000-0000-00006A320000}"/>
    <cellStyle name="Positive 2 2 2 12 3 2 4" xfId="12894" xr:uid="{00000000-0005-0000-0000-00006B320000}"/>
    <cellStyle name="Positive 2 2 2 12 3 2 4 2" xfId="12895" xr:uid="{00000000-0005-0000-0000-00006C320000}"/>
    <cellStyle name="Positive 2 2 2 12 3 2 5" xfId="12896" xr:uid="{00000000-0005-0000-0000-00006D320000}"/>
    <cellStyle name="Positive 2 2 2 12 3 2 5 2" xfId="12897" xr:uid="{00000000-0005-0000-0000-00006E320000}"/>
    <cellStyle name="Positive 2 2 2 12 3 2 6" xfId="12898" xr:uid="{00000000-0005-0000-0000-00006F320000}"/>
    <cellStyle name="Positive 2 2 2 12 3 2 6 2" xfId="12899" xr:uid="{00000000-0005-0000-0000-000070320000}"/>
    <cellStyle name="Positive 2 2 2 12 3 2 7" xfId="12900" xr:uid="{00000000-0005-0000-0000-000071320000}"/>
    <cellStyle name="Positive 2 2 2 12 3 2 7 2" xfId="12901" xr:uid="{00000000-0005-0000-0000-000072320000}"/>
    <cellStyle name="Positive 2 2 2 12 3 2 8" xfId="12902" xr:uid="{00000000-0005-0000-0000-000073320000}"/>
    <cellStyle name="Positive 2 2 2 12 3 2 8 2" xfId="12903" xr:uid="{00000000-0005-0000-0000-000074320000}"/>
    <cellStyle name="Positive 2 2 2 12 3 2 9" xfId="12904" xr:uid="{00000000-0005-0000-0000-000075320000}"/>
    <cellStyle name="Positive 2 2 2 12 3 2 9 2" xfId="12905" xr:uid="{00000000-0005-0000-0000-000076320000}"/>
    <cellStyle name="Positive 2 2 2 12 3 20" xfId="12906" xr:uid="{00000000-0005-0000-0000-000077320000}"/>
    <cellStyle name="Positive 2 2 2 12 3 3" xfId="12907" xr:uid="{00000000-0005-0000-0000-000078320000}"/>
    <cellStyle name="Positive 2 2 2 12 3 3 2" xfId="12908" xr:uid="{00000000-0005-0000-0000-000079320000}"/>
    <cellStyle name="Positive 2 2 2 12 3 3 2 2" xfId="12909" xr:uid="{00000000-0005-0000-0000-00007A320000}"/>
    <cellStyle name="Positive 2 2 2 12 3 3 3" xfId="12910" xr:uid="{00000000-0005-0000-0000-00007B320000}"/>
    <cellStyle name="Positive 2 2 2 12 3 4" xfId="12911" xr:uid="{00000000-0005-0000-0000-00007C320000}"/>
    <cellStyle name="Positive 2 2 2 12 3 4 2" xfId="12912" xr:uid="{00000000-0005-0000-0000-00007D320000}"/>
    <cellStyle name="Positive 2 2 2 12 3 4 2 2" xfId="12913" xr:uid="{00000000-0005-0000-0000-00007E320000}"/>
    <cellStyle name="Positive 2 2 2 12 3 4 3" xfId="12914" xr:uid="{00000000-0005-0000-0000-00007F320000}"/>
    <cellStyle name="Positive 2 2 2 12 3 5" xfId="12915" xr:uid="{00000000-0005-0000-0000-000080320000}"/>
    <cellStyle name="Positive 2 2 2 12 3 5 2" xfId="12916" xr:uid="{00000000-0005-0000-0000-000081320000}"/>
    <cellStyle name="Positive 2 2 2 12 3 6" xfId="12917" xr:uid="{00000000-0005-0000-0000-000082320000}"/>
    <cellStyle name="Positive 2 2 2 12 3 6 2" xfId="12918" xr:uid="{00000000-0005-0000-0000-000083320000}"/>
    <cellStyle name="Positive 2 2 2 12 3 7" xfId="12919" xr:uid="{00000000-0005-0000-0000-000084320000}"/>
    <cellStyle name="Positive 2 2 2 12 3 7 2" xfId="12920" xr:uid="{00000000-0005-0000-0000-000085320000}"/>
    <cellStyle name="Positive 2 2 2 12 3 8" xfId="12921" xr:uid="{00000000-0005-0000-0000-000086320000}"/>
    <cellStyle name="Positive 2 2 2 12 3 8 2" xfId="12922" xr:uid="{00000000-0005-0000-0000-000087320000}"/>
    <cellStyle name="Positive 2 2 2 12 3 9" xfId="12923" xr:uid="{00000000-0005-0000-0000-000088320000}"/>
    <cellStyle name="Positive 2 2 2 12 3 9 2" xfId="12924" xr:uid="{00000000-0005-0000-0000-000089320000}"/>
    <cellStyle name="Positive 2 2 2 12 4" xfId="12925" xr:uid="{00000000-0005-0000-0000-00008A320000}"/>
    <cellStyle name="Positive 2 2 2 12 4 10" xfId="12926" xr:uid="{00000000-0005-0000-0000-00008B320000}"/>
    <cellStyle name="Positive 2 2 2 12 4 10 2" xfId="12927" xr:uid="{00000000-0005-0000-0000-00008C320000}"/>
    <cellStyle name="Positive 2 2 2 12 4 11" xfId="12928" xr:uid="{00000000-0005-0000-0000-00008D320000}"/>
    <cellStyle name="Positive 2 2 2 12 4 11 2" xfId="12929" xr:uid="{00000000-0005-0000-0000-00008E320000}"/>
    <cellStyle name="Positive 2 2 2 12 4 12" xfId="12930" xr:uid="{00000000-0005-0000-0000-00008F320000}"/>
    <cellStyle name="Positive 2 2 2 12 4 12 2" xfId="12931" xr:uid="{00000000-0005-0000-0000-000090320000}"/>
    <cellStyle name="Positive 2 2 2 12 4 13" xfId="12932" xr:uid="{00000000-0005-0000-0000-000091320000}"/>
    <cellStyle name="Positive 2 2 2 12 4 13 2" xfId="12933" xr:uid="{00000000-0005-0000-0000-000092320000}"/>
    <cellStyle name="Positive 2 2 2 12 4 14" xfId="12934" xr:uid="{00000000-0005-0000-0000-000093320000}"/>
    <cellStyle name="Positive 2 2 2 12 4 14 2" xfId="12935" xr:uid="{00000000-0005-0000-0000-000094320000}"/>
    <cellStyle name="Positive 2 2 2 12 4 15" xfId="12936" xr:uid="{00000000-0005-0000-0000-000095320000}"/>
    <cellStyle name="Positive 2 2 2 12 4 15 2" xfId="12937" xr:uid="{00000000-0005-0000-0000-000096320000}"/>
    <cellStyle name="Positive 2 2 2 12 4 16" xfId="12938" xr:uid="{00000000-0005-0000-0000-000097320000}"/>
    <cellStyle name="Positive 2 2 2 12 4 16 2" xfId="12939" xr:uid="{00000000-0005-0000-0000-000098320000}"/>
    <cellStyle name="Positive 2 2 2 12 4 17" xfId="12940" xr:uid="{00000000-0005-0000-0000-000099320000}"/>
    <cellStyle name="Positive 2 2 2 12 4 17 2" xfId="12941" xr:uid="{00000000-0005-0000-0000-00009A320000}"/>
    <cellStyle name="Positive 2 2 2 12 4 18" xfId="12942" xr:uid="{00000000-0005-0000-0000-00009B320000}"/>
    <cellStyle name="Positive 2 2 2 12 4 18 2" xfId="12943" xr:uid="{00000000-0005-0000-0000-00009C320000}"/>
    <cellStyle name="Positive 2 2 2 12 4 19" xfId="12944" xr:uid="{00000000-0005-0000-0000-00009D320000}"/>
    <cellStyle name="Positive 2 2 2 12 4 19 2" xfId="12945" xr:uid="{00000000-0005-0000-0000-00009E320000}"/>
    <cellStyle name="Positive 2 2 2 12 4 2" xfId="12946" xr:uid="{00000000-0005-0000-0000-00009F320000}"/>
    <cellStyle name="Positive 2 2 2 12 4 2 10" xfId="12947" xr:uid="{00000000-0005-0000-0000-0000A0320000}"/>
    <cellStyle name="Positive 2 2 2 12 4 2 10 2" xfId="12948" xr:uid="{00000000-0005-0000-0000-0000A1320000}"/>
    <cellStyle name="Positive 2 2 2 12 4 2 11" xfId="12949" xr:uid="{00000000-0005-0000-0000-0000A2320000}"/>
    <cellStyle name="Positive 2 2 2 12 4 2 11 2" xfId="12950" xr:uid="{00000000-0005-0000-0000-0000A3320000}"/>
    <cellStyle name="Positive 2 2 2 12 4 2 12" xfId="12951" xr:uid="{00000000-0005-0000-0000-0000A4320000}"/>
    <cellStyle name="Positive 2 2 2 12 4 2 12 2" xfId="12952" xr:uid="{00000000-0005-0000-0000-0000A5320000}"/>
    <cellStyle name="Positive 2 2 2 12 4 2 13" xfId="12953" xr:uid="{00000000-0005-0000-0000-0000A6320000}"/>
    <cellStyle name="Positive 2 2 2 12 4 2 13 2" xfId="12954" xr:uid="{00000000-0005-0000-0000-0000A7320000}"/>
    <cellStyle name="Positive 2 2 2 12 4 2 14" xfId="12955" xr:uid="{00000000-0005-0000-0000-0000A8320000}"/>
    <cellStyle name="Positive 2 2 2 12 4 2 14 2" xfId="12956" xr:uid="{00000000-0005-0000-0000-0000A9320000}"/>
    <cellStyle name="Positive 2 2 2 12 4 2 15" xfId="12957" xr:uid="{00000000-0005-0000-0000-0000AA320000}"/>
    <cellStyle name="Positive 2 2 2 12 4 2 15 2" xfId="12958" xr:uid="{00000000-0005-0000-0000-0000AB320000}"/>
    <cellStyle name="Positive 2 2 2 12 4 2 16" xfId="12959" xr:uid="{00000000-0005-0000-0000-0000AC320000}"/>
    <cellStyle name="Positive 2 2 2 12 4 2 16 2" xfId="12960" xr:uid="{00000000-0005-0000-0000-0000AD320000}"/>
    <cellStyle name="Positive 2 2 2 12 4 2 17" xfId="12961" xr:uid="{00000000-0005-0000-0000-0000AE320000}"/>
    <cellStyle name="Positive 2 2 2 12 4 2 2" xfId="12962" xr:uid="{00000000-0005-0000-0000-0000AF320000}"/>
    <cellStyle name="Positive 2 2 2 12 4 2 2 2" xfId="12963" xr:uid="{00000000-0005-0000-0000-0000B0320000}"/>
    <cellStyle name="Positive 2 2 2 12 4 2 3" xfId="12964" xr:uid="{00000000-0005-0000-0000-0000B1320000}"/>
    <cellStyle name="Positive 2 2 2 12 4 2 3 2" xfId="12965" xr:uid="{00000000-0005-0000-0000-0000B2320000}"/>
    <cellStyle name="Positive 2 2 2 12 4 2 4" xfId="12966" xr:uid="{00000000-0005-0000-0000-0000B3320000}"/>
    <cellStyle name="Positive 2 2 2 12 4 2 4 2" xfId="12967" xr:uid="{00000000-0005-0000-0000-0000B4320000}"/>
    <cellStyle name="Positive 2 2 2 12 4 2 5" xfId="12968" xr:uid="{00000000-0005-0000-0000-0000B5320000}"/>
    <cellStyle name="Positive 2 2 2 12 4 2 5 2" xfId="12969" xr:uid="{00000000-0005-0000-0000-0000B6320000}"/>
    <cellStyle name="Positive 2 2 2 12 4 2 6" xfId="12970" xr:uid="{00000000-0005-0000-0000-0000B7320000}"/>
    <cellStyle name="Positive 2 2 2 12 4 2 6 2" xfId="12971" xr:uid="{00000000-0005-0000-0000-0000B8320000}"/>
    <cellStyle name="Positive 2 2 2 12 4 2 7" xfId="12972" xr:uid="{00000000-0005-0000-0000-0000B9320000}"/>
    <cellStyle name="Positive 2 2 2 12 4 2 7 2" xfId="12973" xr:uid="{00000000-0005-0000-0000-0000BA320000}"/>
    <cellStyle name="Positive 2 2 2 12 4 2 8" xfId="12974" xr:uid="{00000000-0005-0000-0000-0000BB320000}"/>
    <cellStyle name="Positive 2 2 2 12 4 2 8 2" xfId="12975" xr:uid="{00000000-0005-0000-0000-0000BC320000}"/>
    <cellStyle name="Positive 2 2 2 12 4 2 9" xfId="12976" xr:uid="{00000000-0005-0000-0000-0000BD320000}"/>
    <cellStyle name="Positive 2 2 2 12 4 2 9 2" xfId="12977" xr:uid="{00000000-0005-0000-0000-0000BE320000}"/>
    <cellStyle name="Positive 2 2 2 12 4 20" xfId="12978" xr:uid="{00000000-0005-0000-0000-0000BF320000}"/>
    <cellStyle name="Positive 2 2 2 12 4 3" xfId="12979" xr:uid="{00000000-0005-0000-0000-0000C0320000}"/>
    <cellStyle name="Positive 2 2 2 12 4 3 2" xfId="12980" xr:uid="{00000000-0005-0000-0000-0000C1320000}"/>
    <cellStyle name="Positive 2 2 2 12 4 3 2 2" xfId="12981" xr:uid="{00000000-0005-0000-0000-0000C2320000}"/>
    <cellStyle name="Positive 2 2 2 12 4 3 3" xfId="12982" xr:uid="{00000000-0005-0000-0000-0000C3320000}"/>
    <cellStyle name="Positive 2 2 2 12 4 4" xfId="12983" xr:uid="{00000000-0005-0000-0000-0000C4320000}"/>
    <cellStyle name="Positive 2 2 2 12 4 4 2" xfId="12984" xr:uid="{00000000-0005-0000-0000-0000C5320000}"/>
    <cellStyle name="Positive 2 2 2 12 4 4 2 2" xfId="12985" xr:uid="{00000000-0005-0000-0000-0000C6320000}"/>
    <cellStyle name="Positive 2 2 2 12 4 4 3" xfId="12986" xr:uid="{00000000-0005-0000-0000-0000C7320000}"/>
    <cellStyle name="Positive 2 2 2 12 4 5" xfId="12987" xr:uid="{00000000-0005-0000-0000-0000C8320000}"/>
    <cellStyle name="Positive 2 2 2 12 4 5 2" xfId="12988" xr:uid="{00000000-0005-0000-0000-0000C9320000}"/>
    <cellStyle name="Positive 2 2 2 12 4 6" xfId="12989" xr:uid="{00000000-0005-0000-0000-0000CA320000}"/>
    <cellStyle name="Positive 2 2 2 12 4 6 2" xfId="12990" xr:uid="{00000000-0005-0000-0000-0000CB320000}"/>
    <cellStyle name="Positive 2 2 2 12 4 7" xfId="12991" xr:uid="{00000000-0005-0000-0000-0000CC320000}"/>
    <cellStyle name="Positive 2 2 2 12 4 7 2" xfId="12992" xr:uid="{00000000-0005-0000-0000-0000CD320000}"/>
    <cellStyle name="Positive 2 2 2 12 4 8" xfId="12993" xr:uid="{00000000-0005-0000-0000-0000CE320000}"/>
    <cellStyle name="Positive 2 2 2 12 4 8 2" xfId="12994" xr:uid="{00000000-0005-0000-0000-0000CF320000}"/>
    <cellStyle name="Positive 2 2 2 12 4 9" xfId="12995" xr:uid="{00000000-0005-0000-0000-0000D0320000}"/>
    <cellStyle name="Positive 2 2 2 12 4 9 2" xfId="12996" xr:uid="{00000000-0005-0000-0000-0000D1320000}"/>
    <cellStyle name="Positive 2 2 2 12 5" xfId="12997" xr:uid="{00000000-0005-0000-0000-0000D2320000}"/>
    <cellStyle name="Positive 2 2 2 12 5 10" xfId="12998" xr:uid="{00000000-0005-0000-0000-0000D3320000}"/>
    <cellStyle name="Positive 2 2 2 12 5 10 2" xfId="12999" xr:uid="{00000000-0005-0000-0000-0000D4320000}"/>
    <cellStyle name="Positive 2 2 2 12 5 11" xfId="13000" xr:uid="{00000000-0005-0000-0000-0000D5320000}"/>
    <cellStyle name="Positive 2 2 2 12 5 11 2" xfId="13001" xr:uid="{00000000-0005-0000-0000-0000D6320000}"/>
    <cellStyle name="Positive 2 2 2 12 5 12" xfId="13002" xr:uid="{00000000-0005-0000-0000-0000D7320000}"/>
    <cellStyle name="Positive 2 2 2 12 5 12 2" xfId="13003" xr:uid="{00000000-0005-0000-0000-0000D8320000}"/>
    <cellStyle name="Positive 2 2 2 12 5 13" xfId="13004" xr:uid="{00000000-0005-0000-0000-0000D9320000}"/>
    <cellStyle name="Positive 2 2 2 12 5 13 2" xfId="13005" xr:uid="{00000000-0005-0000-0000-0000DA320000}"/>
    <cellStyle name="Positive 2 2 2 12 5 14" xfId="13006" xr:uid="{00000000-0005-0000-0000-0000DB320000}"/>
    <cellStyle name="Positive 2 2 2 12 5 14 2" xfId="13007" xr:uid="{00000000-0005-0000-0000-0000DC320000}"/>
    <cellStyle name="Positive 2 2 2 12 5 15" xfId="13008" xr:uid="{00000000-0005-0000-0000-0000DD320000}"/>
    <cellStyle name="Positive 2 2 2 12 5 15 2" xfId="13009" xr:uid="{00000000-0005-0000-0000-0000DE320000}"/>
    <cellStyle name="Positive 2 2 2 12 5 16" xfId="13010" xr:uid="{00000000-0005-0000-0000-0000DF320000}"/>
    <cellStyle name="Positive 2 2 2 12 5 16 2" xfId="13011" xr:uid="{00000000-0005-0000-0000-0000E0320000}"/>
    <cellStyle name="Positive 2 2 2 12 5 17" xfId="13012" xr:uid="{00000000-0005-0000-0000-0000E1320000}"/>
    <cellStyle name="Positive 2 2 2 12 5 2" xfId="13013" xr:uid="{00000000-0005-0000-0000-0000E2320000}"/>
    <cellStyle name="Positive 2 2 2 12 5 2 2" xfId="13014" xr:uid="{00000000-0005-0000-0000-0000E3320000}"/>
    <cellStyle name="Positive 2 2 2 12 5 3" xfId="13015" xr:uid="{00000000-0005-0000-0000-0000E4320000}"/>
    <cellStyle name="Positive 2 2 2 12 5 3 2" xfId="13016" xr:uid="{00000000-0005-0000-0000-0000E5320000}"/>
    <cellStyle name="Positive 2 2 2 12 5 4" xfId="13017" xr:uid="{00000000-0005-0000-0000-0000E6320000}"/>
    <cellStyle name="Positive 2 2 2 12 5 4 2" xfId="13018" xr:uid="{00000000-0005-0000-0000-0000E7320000}"/>
    <cellStyle name="Positive 2 2 2 12 5 5" xfId="13019" xr:uid="{00000000-0005-0000-0000-0000E8320000}"/>
    <cellStyle name="Positive 2 2 2 12 5 5 2" xfId="13020" xr:uid="{00000000-0005-0000-0000-0000E9320000}"/>
    <cellStyle name="Positive 2 2 2 12 5 6" xfId="13021" xr:uid="{00000000-0005-0000-0000-0000EA320000}"/>
    <cellStyle name="Positive 2 2 2 12 5 6 2" xfId="13022" xr:uid="{00000000-0005-0000-0000-0000EB320000}"/>
    <cellStyle name="Positive 2 2 2 12 5 7" xfId="13023" xr:uid="{00000000-0005-0000-0000-0000EC320000}"/>
    <cellStyle name="Positive 2 2 2 12 5 7 2" xfId="13024" xr:uid="{00000000-0005-0000-0000-0000ED320000}"/>
    <cellStyle name="Positive 2 2 2 12 5 8" xfId="13025" xr:uid="{00000000-0005-0000-0000-0000EE320000}"/>
    <cellStyle name="Positive 2 2 2 12 5 8 2" xfId="13026" xr:uid="{00000000-0005-0000-0000-0000EF320000}"/>
    <cellStyle name="Positive 2 2 2 12 5 9" xfId="13027" xr:uid="{00000000-0005-0000-0000-0000F0320000}"/>
    <cellStyle name="Positive 2 2 2 12 5 9 2" xfId="13028" xr:uid="{00000000-0005-0000-0000-0000F1320000}"/>
    <cellStyle name="Positive 2 2 2 12 6" xfId="13029" xr:uid="{00000000-0005-0000-0000-0000F2320000}"/>
    <cellStyle name="Positive 2 2 2 12 6 2" xfId="13030" xr:uid="{00000000-0005-0000-0000-0000F3320000}"/>
    <cellStyle name="Positive 2 2 2 12 6 2 2" xfId="13031" xr:uid="{00000000-0005-0000-0000-0000F4320000}"/>
    <cellStyle name="Positive 2 2 2 12 6 3" xfId="13032" xr:uid="{00000000-0005-0000-0000-0000F5320000}"/>
    <cellStyle name="Positive 2 2 2 12 7" xfId="13033" xr:uid="{00000000-0005-0000-0000-0000F6320000}"/>
    <cellStyle name="Positive 2 2 2 12 7 2" xfId="13034" xr:uid="{00000000-0005-0000-0000-0000F7320000}"/>
    <cellStyle name="Positive 2 2 2 12 7 2 2" xfId="13035" xr:uid="{00000000-0005-0000-0000-0000F8320000}"/>
    <cellStyle name="Positive 2 2 2 12 7 3" xfId="13036" xr:uid="{00000000-0005-0000-0000-0000F9320000}"/>
    <cellStyle name="Positive 2 2 2 12 8" xfId="13037" xr:uid="{00000000-0005-0000-0000-0000FA320000}"/>
    <cellStyle name="Positive 2 2 2 12 8 2" xfId="13038" xr:uid="{00000000-0005-0000-0000-0000FB320000}"/>
    <cellStyle name="Positive 2 2 2 12 9" xfId="13039" xr:uid="{00000000-0005-0000-0000-0000FC320000}"/>
    <cellStyle name="Positive 2 2 2 12 9 2" xfId="13040" xr:uid="{00000000-0005-0000-0000-0000FD320000}"/>
    <cellStyle name="Positive 2 2 2 13" xfId="13041" xr:uid="{00000000-0005-0000-0000-0000FE320000}"/>
    <cellStyle name="Positive 2 2 2 13 10" xfId="13042" xr:uid="{00000000-0005-0000-0000-0000FF320000}"/>
    <cellStyle name="Positive 2 2 2 13 10 2" xfId="13043" xr:uid="{00000000-0005-0000-0000-000000330000}"/>
    <cellStyle name="Positive 2 2 2 13 11" xfId="13044" xr:uid="{00000000-0005-0000-0000-000001330000}"/>
    <cellStyle name="Positive 2 2 2 13 11 2" xfId="13045" xr:uid="{00000000-0005-0000-0000-000002330000}"/>
    <cellStyle name="Positive 2 2 2 13 12" xfId="13046" xr:uid="{00000000-0005-0000-0000-000003330000}"/>
    <cellStyle name="Positive 2 2 2 13 12 2" xfId="13047" xr:uid="{00000000-0005-0000-0000-000004330000}"/>
    <cellStyle name="Positive 2 2 2 13 13" xfId="13048" xr:uid="{00000000-0005-0000-0000-000005330000}"/>
    <cellStyle name="Positive 2 2 2 13 13 2" xfId="13049" xr:uid="{00000000-0005-0000-0000-000006330000}"/>
    <cellStyle name="Positive 2 2 2 13 14" xfId="13050" xr:uid="{00000000-0005-0000-0000-000007330000}"/>
    <cellStyle name="Positive 2 2 2 13 14 2" xfId="13051" xr:uid="{00000000-0005-0000-0000-000008330000}"/>
    <cellStyle name="Positive 2 2 2 13 15" xfId="13052" xr:uid="{00000000-0005-0000-0000-000009330000}"/>
    <cellStyle name="Positive 2 2 2 13 15 2" xfId="13053" xr:uid="{00000000-0005-0000-0000-00000A330000}"/>
    <cellStyle name="Positive 2 2 2 13 16" xfId="13054" xr:uid="{00000000-0005-0000-0000-00000B330000}"/>
    <cellStyle name="Positive 2 2 2 13 16 2" xfId="13055" xr:uid="{00000000-0005-0000-0000-00000C330000}"/>
    <cellStyle name="Positive 2 2 2 13 17" xfId="13056" xr:uid="{00000000-0005-0000-0000-00000D330000}"/>
    <cellStyle name="Positive 2 2 2 13 17 2" xfId="13057" xr:uid="{00000000-0005-0000-0000-00000E330000}"/>
    <cellStyle name="Positive 2 2 2 13 18" xfId="13058" xr:uid="{00000000-0005-0000-0000-00000F330000}"/>
    <cellStyle name="Positive 2 2 2 13 18 2" xfId="13059" xr:uid="{00000000-0005-0000-0000-000010330000}"/>
    <cellStyle name="Positive 2 2 2 13 19" xfId="13060" xr:uid="{00000000-0005-0000-0000-000011330000}"/>
    <cellStyle name="Positive 2 2 2 13 19 2" xfId="13061" xr:uid="{00000000-0005-0000-0000-000012330000}"/>
    <cellStyle name="Positive 2 2 2 13 2" xfId="13062" xr:uid="{00000000-0005-0000-0000-000013330000}"/>
    <cellStyle name="Positive 2 2 2 13 2 10" xfId="13063" xr:uid="{00000000-0005-0000-0000-000014330000}"/>
    <cellStyle name="Positive 2 2 2 13 2 10 2" xfId="13064" xr:uid="{00000000-0005-0000-0000-000015330000}"/>
    <cellStyle name="Positive 2 2 2 13 2 11" xfId="13065" xr:uid="{00000000-0005-0000-0000-000016330000}"/>
    <cellStyle name="Positive 2 2 2 13 2 11 2" xfId="13066" xr:uid="{00000000-0005-0000-0000-000017330000}"/>
    <cellStyle name="Positive 2 2 2 13 2 12" xfId="13067" xr:uid="{00000000-0005-0000-0000-000018330000}"/>
    <cellStyle name="Positive 2 2 2 13 2 12 2" xfId="13068" xr:uid="{00000000-0005-0000-0000-000019330000}"/>
    <cellStyle name="Positive 2 2 2 13 2 13" xfId="13069" xr:uid="{00000000-0005-0000-0000-00001A330000}"/>
    <cellStyle name="Positive 2 2 2 13 2 13 2" xfId="13070" xr:uid="{00000000-0005-0000-0000-00001B330000}"/>
    <cellStyle name="Positive 2 2 2 13 2 14" xfId="13071" xr:uid="{00000000-0005-0000-0000-00001C330000}"/>
    <cellStyle name="Positive 2 2 2 13 2 14 2" xfId="13072" xr:uid="{00000000-0005-0000-0000-00001D330000}"/>
    <cellStyle name="Positive 2 2 2 13 2 15" xfId="13073" xr:uid="{00000000-0005-0000-0000-00001E330000}"/>
    <cellStyle name="Positive 2 2 2 13 2 15 2" xfId="13074" xr:uid="{00000000-0005-0000-0000-00001F330000}"/>
    <cellStyle name="Positive 2 2 2 13 2 16" xfId="13075" xr:uid="{00000000-0005-0000-0000-000020330000}"/>
    <cellStyle name="Positive 2 2 2 13 2 16 2" xfId="13076" xr:uid="{00000000-0005-0000-0000-000021330000}"/>
    <cellStyle name="Positive 2 2 2 13 2 17" xfId="13077" xr:uid="{00000000-0005-0000-0000-000022330000}"/>
    <cellStyle name="Positive 2 2 2 13 2 17 2" xfId="13078" xr:uid="{00000000-0005-0000-0000-000023330000}"/>
    <cellStyle name="Positive 2 2 2 13 2 18" xfId="13079" xr:uid="{00000000-0005-0000-0000-000024330000}"/>
    <cellStyle name="Positive 2 2 2 13 2 18 2" xfId="13080" xr:uid="{00000000-0005-0000-0000-000025330000}"/>
    <cellStyle name="Positive 2 2 2 13 2 19" xfId="13081" xr:uid="{00000000-0005-0000-0000-000026330000}"/>
    <cellStyle name="Positive 2 2 2 13 2 19 2" xfId="13082" xr:uid="{00000000-0005-0000-0000-000027330000}"/>
    <cellStyle name="Positive 2 2 2 13 2 2" xfId="13083" xr:uid="{00000000-0005-0000-0000-000028330000}"/>
    <cellStyle name="Positive 2 2 2 13 2 2 10" xfId="13084" xr:uid="{00000000-0005-0000-0000-000029330000}"/>
    <cellStyle name="Positive 2 2 2 13 2 2 10 2" xfId="13085" xr:uid="{00000000-0005-0000-0000-00002A330000}"/>
    <cellStyle name="Positive 2 2 2 13 2 2 11" xfId="13086" xr:uid="{00000000-0005-0000-0000-00002B330000}"/>
    <cellStyle name="Positive 2 2 2 13 2 2 11 2" xfId="13087" xr:uid="{00000000-0005-0000-0000-00002C330000}"/>
    <cellStyle name="Positive 2 2 2 13 2 2 12" xfId="13088" xr:uid="{00000000-0005-0000-0000-00002D330000}"/>
    <cellStyle name="Positive 2 2 2 13 2 2 12 2" xfId="13089" xr:uid="{00000000-0005-0000-0000-00002E330000}"/>
    <cellStyle name="Positive 2 2 2 13 2 2 13" xfId="13090" xr:uid="{00000000-0005-0000-0000-00002F330000}"/>
    <cellStyle name="Positive 2 2 2 13 2 2 13 2" xfId="13091" xr:uid="{00000000-0005-0000-0000-000030330000}"/>
    <cellStyle name="Positive 2 2 2 13 2 2 14" xfId="13092" xr:uid="{00000000-0005-0000-0000-000031330000}"/>
    <cellStyle name="Positive 2 2 2 13 2 2 14 2" xfId="13093" xr:uid="{00000000-0005-0000-0000-000032330000}"/>
    <cellStyle name="Positive 2 2 2 13 2 2 15" xfId="13094" xr:uid="{00000000-0005-0000-0000-000033330000}"/>
    <cellStyle name="Positive 2 2 2 13 2 2 15 2" xfId="13095" xr:uid="{00000000-0005-0000-0000-000034330000}"/>
    <cellStyle name="Positive 2 2 2 13 2 2 16" xfId="13096" xr:uid="{00000000-0005-0000-0000-000035330000}"/>
    <cellStyle name="Positive 2 2 2 13 2 2 16 2" xfId="13097" xr:uid="{00000000-0005-0000-0000-000036330000}"/>
    <cellStyle name="Positive 2 2 2 13 2 2 17" xfId="13098" xr:uid="{00000000-0005-0000-0000-000037330000}"/>
    <cellStyle name="Positive 2 2 2 13 2 2 2" xfId="13099" xr:uid="{00000000-0005-0000-0000-000038330000}"/>
    <cellStyle name="Positive 2 2 2 13 2 2 2 2" xfId="13100" xr:uid="{00000000-0005-0000-0000-000039330000}"/>
    <cellStyle name="Positive 2 2 2 13 2 2 3" xfId="13101" xr:uid="{00000000-0005-0000-0000-00003A330000}"/>
    <cellStyle name="Positive 2 2 2 13 2 2 3 2" xfId="13102" xr:uid="{00000000-0005-0000-0000-00003B330000}"/>
    <cellStyle name="Positive 2 2 2 13 2 2 4" xfId="13103" xr:uid="{00000000-0005-0000-0000-00003C330000}"/>
    <cellStyle name="Positive 2 2 2 13 2 2 4 2" xfId="13104" xr:uid="{00000000-0005-0000-0000-00003D330000}"/>
    <cellStyle name="Positive 2 2 2 13 2 2 5" xfId="13105" xr:uid="{00000000-0005-0000-0000-00003E330000}"/>
    <cellStyle name="Positive 2 2 2 13 2 2 5 2" xfId="13106" xr:uid="{00000000-0005-0000-0000-00003F330000}"/>
    <cellStyle name="Positive 2 2 2 13 2 2 6" xfId="13107" xr:uid="{00000000-0005-0000-0000-000040330000}"/>
    <cellStyle name="Positive 2 2 2 13 2 2 6 2" xfId="13108" xr:uid="{00000000-0005-0000-0000-000041330000}"/>
    <cellStyle name="Positive 2 2 2 13 2 2 7" xfId="13109" xr:uid="{00000000-0005-0000-0000-000042330000}"/>
    <cellStyle name="Positive 2 2 2 13 2 2 7 2" xfId="13110" xr:uid="{00000000-0005-0000-0000-000043330000}"/>
    <cellStyle name="Positive 2 2 2 13 2 2 8" xfId="13111" xr:uid="{00000000-0005-0000-0000-000044330000}"/>
    <cellStyle name="Positive 2 2 2 13 2 2 8 2" xfId="13112" xr:uid="{00000000-0005-0000-0000-000045330000}"/>
    <cellStyle name="Positive 2 2 2 13 2 2 9" xfId="13113" xr:uid="{00000000-0005-0000-0000-000046330000}"/>
    <cellStyle name="Positive 2 2 2 13 2 2 9 2" xfId="13114" xr:uid="{00000000-0005-0000-0000-000047330000}"/>
    <cellStyle name="Positive 2 2 2 13 2 20" xfId="13115" xr:uid="{00000000-0005-0000-0000-000048330000}"/>
    <cellStyle name="Positive 2 2 2 13 2 3" xfId="13116" xr:uid="{00000000-0005-0000-0000-000049330000}"/>
    <cellStyle name="Positive 2 2 2 13 2 3 2" xfId="13117" xr:uid="{00000000-0005-0000-0000-00004A330000}"/>
    <cellStyle name="Positive 2 2 2 13 2 3 2 2" xfId="13118" xr:uid="{00000000-0005-0000-0000-00004B330000}"/>
    <cellStyle name="Positive 2 2 2 13 2 3 3" xfId="13119" xr:uid="{00000000-0005-0000-0000-00004C330000}"/>
    <cellStyle name="Positive 2 2 2 13 2 4" xfId="13120" xr:uid="{00000000-0005-0000-0000-00004D330000}"/>
    <cellStyle name="Positive 2 2 2 13 2 4 2" xfId="13121" xr:uid="{00000000-0005-0000-0000-00004E330000}"/>
    <cellStyle name="Positive 2 2 2 13 2 4 2 2" xfId="13122" xr:uid="{00000000-0005-0000-0000-00004F330000}"/>
    <cellStyle name="Positive 2 2 2 13 2 4 3" xfId="13123" xr:uid="{00000000-0005-0000-0000-000050330000}"/>
    <cellStyle name="Positive 2 2 2 13 2 5" xfId="13124" xr:uid="{00000000-0005-0000-0000-000051330000}"/>
    <cellStyle name="Positive 2 2 2 13 2 5 2" xfId="13125" xr:uid="{00000000-0005-0000-0000-000052330000}"/>
    <cellStyle name="Positive 2 2 2 13 2 6" xfId="13126" xr:uid="{00000000-0005-0000-0000-000053330000}"/>
    <cellStyle name="Positive 2 2 2 13 2 6 2" xfId="13127" xr:uid="{00000000-0005-0000-0000-000054330000}"/>
    <cellStyle name="Positive 2 2 2 13 2 7" xfId="13128" xr:uid="{00000000-0005-0000-0000-000055330000}"/>
    <cellStyle name="Positive 2 2 2 13 2 7 2" xfId="13129" xr:uid="{00000000-0005-0000-0000-000056330000}"/>
    <cellStyle name="Positive 2 2 2 13 2 8" xfId="13130" xr:uid="{00000000-0005-0000-0000-000057330000}"/>
    <cellStyle name="Positive 2 2 2 13 2 8 2" xfId="13131" xr:uid="{00000000-0005-0000-0000-000058330000}"/>
    <cellStyle name="Positive 2 2 2 13 2 9" xfId="13132" xr:uid="{00000000-0005-0000-0000-000059330000}"/>
    <cellStyle name="Positive 2 2 2 13 2 9 2" xfId="13133" xr:uid="{00000000-0005-0000-0000-00005A330000}"/>
    <cellStyle name="Positive 2 2 2 13 20" xfId="13134" xr:uid="{00000000-0005-0000-0000-00005B330000}"/>
    <cellStyle name="Positive 2 2 2 13 20 2" xfId="13135" xr:uid="{00000000-0005-0000-0000-00005C330000}"/>
    <cellStyle name="Positive 2 2 2 13 21" xfId="13136" xr:uid="{00000000-0005-0000-0000-00005D330000}"/>
    <cellStyle name="Positive 2 2 2 13 21 2" xfId="13137" xr:uid="{00000000-0005-0000-0000-00005E330000}"/>
    <cellStyle name="Positive 2 2 2 13 22" xfId="13138" xr:uid="{00000000-0005-0000-0000-00005F330000}"/>
    <cellStyle name="Positive 2 2 2 13 22 2" xfId="13139" xr:uid="{00000000-0005-0000-0000-000060330000}"/>
    <cellStyle name="Positive 2 2 2 13 23" xfId="13140" xr:uid="{00000000-0005-0000-0000-000061330000}"/>
    <cellStyle name="Positive 2 2 2 13 3" xfId="13141" xr:uid="{00000000-0005-0000-0000-000062330000}"/>
    <cellStyle name="Positive 2 2 2 13 3 10" xfId="13142" xr:uid="{00000000-0005-0000-0000-000063330000}"/>
    <cellStyle name="Positive 2 2 2 13 3 10 2" xfId="13143" xr:uid="{00000000-0005-0000-0000-000064330000}"/>
    <cellStyle name="Positive 2 2 2 13 3 11" xfId="13144" xr:uid="{00000000-0005-0000-0000-000065330000}"/>
    <cellStyle name="Positive 2 2 2 13 3 11 2" xfId="13145" xr:uid="{00000000-0005-0000-0000-000066330000}"/>
    <cellStyle name="Positive 2 2 2 13 3 12" xfId="13146" xr:uid="{00000000-0005-0000-0000-000067330000}"/>
    <cellStyle name="Positive 2 2 2 13 3 12 2" xfId="13147" xr:uid="{00000000-0005-0000-0000-000068330000}"/>
    <cellStyle name="Positive 2 2 2 13 3 13" xfId="13148" xr:uid="{00000000-0005-0000-0000-000069330000}"/>
    <cellStyle name="Positive 2 2 2 13 3 13 2" xfId="13149" xr:uid="{00000000-0005-0000-0000-00006A330000}"/>
    <cellStyle name="Positive 2 2 2 13 3 14" xfId="13150" xr:uid="{00000000-0005-0000-0000-00006B330000}"/>
    <cellStyle name="Positive 2 2 2 13 3 14 2" xfId="13151" xr:uid="{00000000-0005-0000-0000-00006C330000}"/>
    <cellStyle name="Positive 2 2 2 13 3 15" xfId="13152" xr:uid="{00000000-0005-0000-0000-00006D330000}"/>
    <cellStyle name="Positive 2 2 2 13 3 15 2" xfId="13153" xr:uid="{00000000-0005-0000-0000-00006E330000}"/>
    <cellStyle name="Positive 2 2 2 13 3 16" xfId="13154" xr:uid="{00000000-0005-0000-0000-00006F330000}"/>
    <cellStyle name="Positive 2 2 2 13 3 16 2" xfId="13155" xr:uid="{00000000-0005-0000-0000-000070330000}"/>
    <cellStyle name="Positive 2 2 2 13 3 17" xfId="13156" xr:uid="{00000000-0005-0000-0000-000071330000}"/>
    <cellStyle name="Positive 2 2 2 13 3 17 2" xfId="13157" xr:uid="{00000000-0005-0000-0000-000072330000}"/>
    <cellStyle name="Positive 2 2 2 13 3 18" xfId="13158" xr:uid="{00000000-0005-0000-0000-000073330000}"/>
    <cellStyle name="Positive 2 2 2 13 3 18 2" xfId="13159" xr:uid="{00000000-0005-0000-0000-000074330000}"/>
    <cellStyle name="Positive 2 2 2 13 3 19" xfId="13160" xr:uid="{00000000-0005-0000-0000-000075330000}"/>
    <cellStyle name="Positive 2 2 2 13 3 19 2" xfId="13161" xr:uid="{00000000-0005-0000-0000-000076330000}"/>
    <cellStyle name="Positive 2 2 2 13 3 2" xfId="13162" xr:uid="{00000000-0005-0000-0000-000077330000}"/>
    <cellStyle name="Positive 2 2 2 13 3 2 10" xfId="13163" xr:uid="{00000000-0005-0000-0000-000078330000}"/>
    <cellStyle name="Positive 2 2 2 13 3 2 10 2" xfId="13164" xr:uid="{00000000-0005-0000-0000-000079330000}"/>
    <cellStyle name="Positive 2 2 2 13 3 2 11" xfId="13165" xr:uid="{00000000-0005-0000-0000-00007A330000}"/>
    <cellStyle name="Positive 2 2 2 13 3 2 11 2" xfId="13166" xr:uid="{00000000-0005-0000-0000-00007B330000}"/>
    <cellStyle name="Positive 2 2 2 13 3 2 12" xfId="13167" xr:uid="{00000000-0005-0000-0000-00007C330000}"/>
    <cellStyle name="Positive 2 2 2 13 3 2 12 2" xfId="13168" xr:uid="{00000000-0005-0000-0000-00007D330000}"/>
    <cellStyle name="Positive 2 2 2 13 3 2 13" xfId="13169" xr:uid="{00000000-0005-0000-0000-00007E330000}"/>
    <cellStyle name="Positive 2 2 2 13 3 2 13 2" xfId="13170" xr:uid="{00000000-0005-0000-0000-00007F330000}"/>
    <cellStyle name="Positive 2 2 2 13 3 2 14" xfId="13171" xr:uid="{00000000-0005-0000-0000-000080330000}"/>
    <cellStyle name="Positive 2 2 2 13 3 2 14 2" xfId="13172" xr:uid="{00000000-0005-0000-0000-000081330000}"/>
    <cellStyle name="Positive 2 2 2 13 3 2 15" xfId="13173" xr:uid="{00000000-0005-0000-0000-000082330000}"/>
    <cellStyle name="Positive 2 2 2 13 3 2 15 2" xfId="13174" xr:uid="{00000000-0005-0000-0000-000083330000}"/>
    <cellStyle name="Positive 2 2 2 13 3 2 16" xfId="13175" xr:uid="{00000000-0005-0000-0000-000084330000}"/>
    <cellStyle name="Positive 2 2 2 13 3 2 16 2" xfId="13176" xr:uid="{00000000-0005-0000-0000-000085330000}"/>
    <cellStyle name="Positive 2 2 2 13 3 2 17" xfId="13177" xr:uid="{00000000-0005-0000-0000-000086330000}"/>
    <cellStyle name="Positive 2 2 2 13 3 2 2" xfId="13178" xr:uid="{00000000-0005-0000-0000-000087330000}"/>
    <cellStyle name="Positive 2 2 2 13 3 2 2 2" xfId="13179" xr:uid="{00000000-0005-0000-0000-000088330000}"/>
    <cellStyle name="Positive 2 2 2 13 3 2 3" xfId="13180" xr:uid="{00000000-0005-0000-0000-000089330000}"/>
    <cellStyle name="Positive 2 2 2 13 3 2 3 2" xfId="13181" xr:uid="{00000000-0005-0000-0000-00008A330000}"/>
    <cellStyle name="Positive 2 2 2 13 3 2 4" xfId="13182" xr:uid="{00000000-0005-0000-0000-00008B330000}"/>
    <cellStyle name="Positive 2 2 2 13 3 2 4 2" xfId="13183" xr:uid="{00000000-0005-0000-0000-00008C330000}"/>
    <cellStyle name="Positive 2 2 2 13 3 2 5" xfId="13184" xr:uid="{00000000-0005-0000-0000-00008D330000}"/>
    <cellStyle name="Positive 2 2 2 13 3 2 5 2" xfId="13185" xr:uid="{00000000-0005-0000-0000-00008E330000}"/>
    <cellStyle name="Positive 2 2 2 13 3 2 6" xfId="13186" xr:uid="{00000000-0005-0000-0000-00008F330000}"/>
    <cellStyle name="Positive 2 2 2 13 3 2 6 2" xfId="13187" xr:uid="{00000000-0005-0000-0000-000090330000}"/>
    <cellStyle name="Positive 2 2 2 13 3 2 7" xfId="13188" xr:uid="{00000000-0005-0000-0000-000091330000}"/>
    <cellStyle name="Positive 2 2 2 13 3 2 7 2" xfId="13189" xr:uid="{00000000-0005-0000-0000-000092330000}"/>
    <cellStyle name="Positive 2 2 2 13 3 2 8" xfId="13190" xr:uid="{00000000-0005-0000-0000-000093330000}"/>
    <cellStyle name="Positive 2 2 2 13 3 2 8 2" xfId="13191" xr:uid="{00000000-0005-0000-0000-000094330000}"/>
    <cellStyle name="Positive 2 2 2 13 3 2 9" xfId="13192" xr:uid="{00000000-0005-0000-0000-000095330000}"/>
    <cellStyle name="Positive 2 2 2 13 3 2 9 2" xfId="13193" xr:uid="{00000000-0005-0000-0000-000096330000}"/>
    <cellStyle name="Positive 2 2 2 13 3 20" xfId="13194" xr:uid="{00000000-0005-0000-0000-000097330000}"/>
    <cellStyle name="Positive 2 2 2 13 3 3" xfId="13195" xr:uid="{00000000-0005-0000-0000-000098330000}"/>
    <cellStyle name="Positive 2 2 2 13 3 3 2" xfId="13196" xr:uid="{00000000-0005-0000-0000-000099330000}"/>
    <cellStyle name="Positive 2 2 2 13 3 3 2 2" xfId="13197" xr:uid="{00000000-0005-0000-0000-00009A330000}"/>
    <cellStyle name="Positive 2 2 2 13 3 3 3" xfId="13198" xr:uid="{00000000-0005-0000-0000-00009B330000}"/>
    <cellStyle name="Positive 2 2 2 13 3 4" xfId="13199" xr:uid="{00000000-0005-0000-0000-00009C330000}"/>
    <cellStyle name="Positive 2 2 2 13 3 4 2" xfId="13200" xr:uid="{00000000-0005-0000-0000-00009D330000}"/>
    <cellStyle name="Positive 2 2 2 13 3 4 2 2" xfId="13201" xr:uid="{00000000-0005-0000-0000-00009E330000}"/>
    <cellStyle name="Positive 2 2 2 13 3 4 3" xfId="13202" xr:uid="{00000000-0005-0000-0000-00009F330000}"/>
    <cellStyle name="Positive 2 2 2 13 3 5" xfId="13203" xr:uid="{00000000-0005-0000-0000-0000A0330000}"/>
    <cellStyle name="Positive 2 2 2 13 3 5 2" xfId="13204" xr:uid="{00000000-0005-0000-0000-0000A1330000}"/>
    <cellStyle name="Positive 2 2 2 13 3 6" xfId="13205" xr:uid="{00000000-0005-0000-0000-0000A2330000}"/>
    <cellStyle name="Positive 2 2 2 13 3 6 2" xfId="13206" xr:uid="{00000000-0005-0000-0000-0000A3330000}"/>
    <cellStyle name="Positive 2 2 2 13 3 7" xfId="13207" xr:uid="{00000000-0005-0000-0000-0000A4330000}"/>
    <cellStyle name="Positive 2 2 2 13 3 7 2" xfId="13208" xr:uid="{00000000-0005-0000-0000-0000A5330000}"/>
    <cellStyle name="Positive 2 2 2 13 3 8" xfId="13209" xr:uid="{00000000-0005-0000-0000-0000A6330000}"/>
    <cellStyle name="Positive 2 2 2 13 3 8 2" xfId="13210" xr:uid="{00000000-0005-0000-0000-0000A7330000}"/>
    <cellStyle name="Positive 2 2 2 13 3 9" xfId="13211" xr:uid="{00000000-0005-0000-0000-0000A8330000}"/>
    <cellStyle name="Positive 2 2 2 13 3 9 2" xfId="13212" xr:uid="{00000000-0005-0000-0000-0000A9330000}"/>
    <cellStyle name="Positive 2 2 2 13 4" xfId="13213" xr:uid="{00000000-0005-0000-0000-0000AA330000}"/>
    <cellStyle name="Positive 2 2 2 13 4 10" xfId="13214" xr:uid="{00000000-0005-0000-0000-0000AB330000}"/>
    <cellStyle name="Positive 2 2 2 13 4 10 2" xfId="13215" xr:uid="{00000000-0005-0000-0000-0000AC330000}"/>
    <cellStyle name="Positive 2 2 2 13 4 11" xfId="13216" xr:uid="{00000000-0005-0000-0000-0000AD330000}"/>
    <cellStyle name="Positive 2 2 2 13 4 11 2" xfId="13217" xr:uid="{00000000-0005-0000-0000-0000AE330000}"/>
    <cellStyle name="Positive 2 2 2 13 4 12" xfId="13218" xr:uid="{00000000-0005-0000-0000-0000AF330000}"/>
    <cellStyle name="Positive 2 2 2 13 4 12 2" xfId="13219" xr:uid="{00000000-0005-0000-0000-0000B0330000}"/>
    <cellStyle name="Positive 2 2 2 13 4 13" xfId="13220" xr:uid="{00000000-0005-0000-0000-0000B1330000}"/>
    <cellStyle name="Positive 2 2 2 13 4 13 2" xfId="13221" xr:uid="{00000000-0005-0000-0000-0000B2330000}"/>
    <cellStyle name="Positive 2 2 2 13 4 14" xfId="13222" xr:uid="{00000000-0005-0000-0000-0000B3330000}"/>
    <cellStyle name="Positive 2 2 2 13 4 14 2" xfId="13223" xr:uid="{00000000-0005-0000-0000-0000B4330000}"/>
    <cellStyle name="Positive 2 2 2 13 4 15" xfId="13224" xr:uid="{00000000-0005-0000-0000-0000B5330000}"/>
    <cellStyle name="Positive 2 2 2 13 4 15 2" xfId="13225" xr:uid="{00000000-0005-0000-0000-0000B6330000}"/>
    <cellStyle name="Positive 2 2 2 13 4 16" xfId="13226" xr:uid="{00000000-0005-0000-0000-0000B7330000}"/>
    <cellStyle name="Positive 2 2 2 13 4 16 2" xfId="13227" xr:uid="{00000000-0005-0000-0000-0000B8330000}"/>
    <cellStyle name="Positive 2 2 2 13 4 17" xfId="13228" xr:uid="{00000000-0005-0000-0000-0000B9330000}"/>
    <cellStyle name="Positive 2 2 2 13 4 17 2" xfId="13229" xr:uid="{00000000-0005-0000-0000-0000BA330000}"/>
    <cellStyle name="Positive 2 2 2 13 4 18" xfId="13230" xr:uid="{00000000-0005-0000-0000-0000BB330000}"/>
    <cellStyle name="Positive 2 2 2 13 4 18 2" xfId="13231" xr:uid="{00000000-0005-0000-0000-0000BC330000}"/>
    <cellStyle name="Positive 2 2 2 13 4 19" xfId="13232" xr:uid="{00000000-0005-0000-0000-0000BD330000}"/>
    <cellStyle name="Positive 2 2 2 13 4 19 2" xfId="13233" xr:uid="{00000000-0005-0000-0000-0000BE330000}"/>
    <cellStyle name="Positive 2 2 2 13 4 2" xfId="13234" xr:uid="{00000000-0005-0000-0000-0000BF330000}"/>
    <cellStyle name="Positive 2 2 2 13 4 2 10" xfId="13235" xr:uid="{00000000-0005-0000-0000-0000C0330000}"/>
    <cellStyle name="Positive 2 2 2 13 4 2 10 2" xfId="13236" xr:uid="{00000000-0005-0000-0000-0000C1330000}"/>
    <cellStyle name="Positive 2 2 2 13 4 2 11" xfId="13237" xr:uid="{00000000-0005-0000-0000-0000C2330000}"/>
    <cellStyle name="Positive 2 2 2 13 4 2 11 2" xfId="13238" xr:uid="{00000000-0005-0000-0000-0000C3330000}"/>
    <cellStyle name="Positive 2 2 2 13 4 2 12" xfId="13239" xr:uid="{00000000-0005-0000-0000-0000C4330000}"/>
    <cellStyle name="Positive 2 2 2 13 4 2 12 2" xfId="13240" xr:uid="{00000000-0005-0000-0000-0000C5330000}"/>
    <cellStyle name="Positive 2 2 2 13 4 2 13" xfId="13241" xr:uid="{00000000-0005-0000-0000-0000C6330000}"/>
    <cellStyle name="Positive 2 2 2 13 4 2 13 2" xfId="13242" xr:uid="{00000000-0005-0000-0000-0000C7330000}"/>
    <cellStyle name="Positive 2 2 2 13 4 2 14" xfId="13243" xr:uid="{00000000-0005-0000-0000-0000C8330000}"/>
    <cellStyle name="Positive 2 2 2 13 4 2 14 2" xfId="13244" xr:uid="{00000000-0005-0000-0000-0000C9330000}"/>
    <cellStyle name="Positive 2 2 2 13 4 2 15" xfId="13245" xr:uid="{00000000-0005-0000-0000-0000CA330000}"/>
    <cellStyle name="Positive 2 2 2 13 4 2 15 2" xfId="13246" xr:uid="{00000000-0005-0000-0000-0000CB330000}"/>
    <cellStyle name="Positive 2 2 2 13 4 2 16" xfId="13247" xr:uid="{00000000-0005-0000-0000-0000CC330000}"/>
    <cellStyle name="Positive 2 2 2 13 4 2 16 2" xfId="13248" xr:uid="{00000000-0005-0000-0000-0000CD330000}"/>
    <cellStyle name="Positive 2 2 2 13 4 2 17" xfId="13249" xr:uid="{00000000-0005-0000-0000-0000CE330000}"/>
    <cellStyle name="Positive 2 2 2 13 4 2 2" xfId="13250" xr:uid="{00000000-0005-0000-0000-0000CF330000}"/>
    <cellStyle name="Positive 2 2 2 13 4 2 2 2" xfId="13251" xr:uid="{00000000-0005-0000-0000-0000D0330000}"/>
    <cellStyle name="Positive 2 2 2 13 4 2 3" xfId="13252" xr:uid="{00000000-0005-0000-0000-0000D1330000}"/>
    <cellStyle name="Positive 2 2 2 13 4 2 3 2" xfId="13253" xr:uid="{00000000-0005-0000-0000-0000D2330000}"/>
    <cellStyle name="Positive 2 2 2 13 4 2 4" xfId="13254" xr:uid="{00000000-0005-0000-0000-0000D3330000}"/>
    <cellStyle name="Positive 2 2 2 13 4 2 4 2" xfId="13255" xr:uid="{00000000-0005-0000-0000-0000D4330000}"/>
    <cellStyle name="Positive 2 2 2 13 4 2 5" xfId="13256" xr:uid="{00000000-0005-0000-0000-0000D5330000}"/>
    <cellStyle name="Positive 2 2 2 13 4 2 5 2" xfId="13257" xr:uid="{00000000-0005-0000-0000-0000D6330000}"/>
    <cellStyle name="Positive 2 2 2 13 4 2 6" xfId="13258" xr:uid="{00000000-0005-0000-0000-0000D7330000}"/>
    <cellStyle name="Positive 2 2 2 13 4 2 6 2" xfId="13259" xr:uid="{00000000-0005-0000-0000-0000D8330000}"/>
    <cellStyle name="Positive 2 2 2 13 4 2 7" xfId="13260" xr:uid="{00000000-0005-0000-0000-0000D9330000}"/>
    <cellStyle name="Positive 2 2 2 13 4 2 7 2" xfId="13261" xr:uid="{00000000-0005-0000-0000-0000DA330000}"/>
    <cellStyle name="Positive 2 2 2 13 4 2 8" xfId="13262" xr:uid="{00000000-0005-0000-0000-0000DB330000}"/>
    <cellStyle name="Positive 2 2 2 13 4 2 8 2" xfId="13263" xr:uid="{00000000-0005-0000-0000-0000DC330000}"/>
    <cellStyle name="Positive 2 2 2 13 4 2 9" xfId="13264" xr:uid="{00000000-0005-0000-0000-0000DD330000}"/>
    <cellStyle name="Positive 2 2 2 13 4 2 9 2" xfId="13265" xr:uid="{00000000-0005-0000-0000-0000DE330000}"/>
    <cellStyle name="Positive 2 2 2 13 4 20" xfId="13266" xr:uid="{00000000-0005-0000-0000-0000DF330000}"/>
    <cellStyle name="Positive 2 2 2 13 4 3" xfId="13267" xr:uid="{00000000-0005-0000-0000-0000E0330000}"/>
    <cellStyle name="Positive 2 2 2 13 4 3 2" xfId="13268" xr:uid="{00000000-0005-0000-0000-0000E1330000}"/>
    <cellStyle name="Positive 2 2 2 13 4 3 2 2" xfId="13269" xr:uid="{00000000-0005-0000-0000-0000E2330000}"/>
    <cellStyle name="Positive 2 2 2 13 4 3 3" xfId="13270" xr:uid="{00000000-0005-0000-0000-0000E3330000}"/>
    <cellStyle name="Positive 2 2 2 13 4 4" xfId="13271" xr:uid="{00000000-0005-0000-0000-0000E4330000}"/>
    <cellStyle name="Positive 2 2 2 13 4 4 2" xfId="13272" xr:uid="{00000000-0005-0000-0000-0000E5330000}"/>
    <cellStyle name="Positive 2 2 2 13 4 4 2 2" xfId="13273" xr:uid="{00000000-0005-0000-0000-0000E6330000}"/>
    <cellStyle name="Positive 2 2 2 13 4 4 3" xfId="13274" xr:uid="{00000000-0005-0000-0000-0000E7330000}"/>
    <cellStyle name="Positive 2 2 2 13 4 5" xfId="13275" xr:uid="{00000000-0005-0000-0000-0000E8330000}"/>
    <cellStyle name="Positive 2 2 2 13 4 5 2" xfId="13276" xr:uid="{00000000-0005-0000-0000-0000E9330000}"/>
    <cellStyle name="Positive 2 2 2 13 4 6" xfId="13277" xr:uid="{00000000-0005-0000-0000-0000EA330000}"/>
    <cellStyle name="Positive 2 2 2 13 4 6 2" xfId="13278" xr:uid="{00000000-0005-0000-0000-0000EB330000}"/>
    <cellStyle name="Positive 2 2 2 13 4 7" xfId="13279" xr:uid="{00000000-0005-0000-0000-0000EC330000}"/>
    <cellStyle name="Positive 2 2 2 13 4 7 2" xfId="13280" xr:uid="{00000000-0005-0000-0000-0000ED330000}"/>
    <cellStyle name="Positive 2 2 2 13 4 8" xfId="13281" xr:uid="{00000000-0005-0000-0000-0000EE330000}"/>
    <cellStyle name="Positive 2 2 2 13 4 8 2" xfId="13282" xr:uid="{00000000-0005-0000-0000-0000EF330000}"/>
    <cellStyle name="Positive 2 2 2 13 4 9" xfId="13283" xr:uid="{00000000-0005-0000-0000-0000F0330000}"/>
    <cellStyle name="Positive 2 2 2 13 4 9 2" xfId="13284" xr:uid="{00000000-0005-0000-0000-0000F1330000}"/>
    <cellStyle name="Positive 2 2 2 13 5" xfId="13285" xr:uid="{00000000-0005-0000-0000-0000F2330000}"/>
    <cellStyle name="Positive 2 2 2 13 5 10" xfId="13286" xr:uid="{00000000-0005-0000-0000-0000F3330000}"/>
    <cellStyle name="Positive 2 2 2 13 5 10 2" xfId="13287" xr:uid="{00000000-0005-0000-0000-0000F4330000}"/>
    <cellStyle name="Positive 2 2 2 13 5 11" xfId="13288" xr:uid="{00000000-0005-0000-0000-0000F5330000}"/>
    <cellStyle name="Positive 2 2 2 13 5 11 2" xfId="13289" xr:uid="{00000000-0005-0000-0000-0000F6330000}"/>
    <cellStyle name="Positive 2 2 2 13 5 12" xfId="13290" xr:uid="{00000000-0005-0000-0000-0000F7330000}"/>
    <cellStyle name="Positive 2 2 2 13 5 12 2" xfId="13291" xr:uid="{00000000-0005-0000-0000-0000F8330000}"/>
    <cellStyle name="Positive 2 2 2 13 5 13" xfId="13292" xr:uid="{00000000-0005-0000-0000-0000F9330000}"/>
    <cellStyle name="Positive 2 2 2 13 5 13 2" xfId="13293" xr:uid="{00000000-0005-0000-0000-0000FA330000}"/>
    <cellStyle name="Positive 2 2 2 13 5 14" xfId="13294" xr:uid="{00000000-0005-0000-0000-0000FB330000}"/>
    <cellStyle name="Positive 2 2 2 13 5 14 2" xfId="13295" xr:uid="{00000000-0005-0000-0000-0000FC330000}"/>
    <cellStyle name="Positive 2 2 2 13 5 15" xfId="13296" xr:uid="{00000000-0005-0000-0000-0000FD330000}"/>
    <cellStyle name="Positive 2 2 2 13 5 15 2" xfId="13297" xr:uid="{00000000-0005-0000-0000-0000FE330000}"/>
    <cellStyle name="Positive 2 2 2 13 5 16" xfId="13298" xr:uid="{00000000-0005-0000-0000-0000FF330000}"/>
    <cellStyle name="Positive 2 2 2 13 5 16 2" xfId="13299" xr:uid="{00000000-0005-0000-0000-000000340000}"/>
    <cellStyle name="Positive 2 2 2 13 5 17" xfId="13300" xr:uid="{00000000-0005-0000-0000-000001340000}"/>
    <cellStyle name="Positive 2 2 2 13 5 2" xfId="13301" xr:uid="{00000000-0005-0000-0000-000002340000}"/>
    <cellStyle name="Positive 2 2 2 13 5 2 2" xfId="13302" xr:uid="{00000000-0005-0000-0000-000003340000}"/>
    <cellStyle name="Positive 2 2 2 13 5 3" xfId="13303" xr:uid="{00000000-0005-0000-0000-000004340000}"/>
    <cellStyle name="Positive 2 2 2 13 5 3 2" xfId="13304" xr:uid="{00000000-0005-0000-0000-000005340000}"/>
    <cellStyle name="Positive 2 2 2 13 5 4" xfId="13305" xr:uid="{00000000-0005-0000-0000-000006340000}"/>
    <cellStyle name="Positive 2 2 2 13 5 4 2" xfId="13306" xr:uid="{00000000-0005-0000-0000-000007340000}"/>
    <cellStyle name="Positive 2 2 2 13 5 5" xfId="13307" xr:uid="{00000000-0005-0000-0000-000008340000}"/>
    <cellStyle name="Positive 2 2 2 13 5 5 2" xfId="13308" xr:uid="{00000000-0005-0000-0000-000009340000}"/>
    <cellStyle name="Positive 2 2 2 13 5 6" xfId="13309" xr:uid="{00000000-0005-0000-0000-00000A340000}"/>
    <cellStyle name="Positive 2 2 2 13 5 6 2" xfId="13310" xr:uid="{00000000-0005-0000-0000-00000B340000}"/>
    <cellStyle name="Positive 2 2 2 13 5 7" xfId="13311" xr:uid="{00000000-0005-0000-0000-00000C340000}"/>
    <cellStyle name="Positive 2 2 2 13 5 7 2" xfId="13312" xr:uid="{00000000-0005-0000-0000-00000D340000}"/>
    <cellStyle name="Positive 2 2 2 13 5 8" xfId="13313" xr:uid="{00000000-0005-0000-0000-00000E340000}"/>
    <cellStyle name="Positive 2 2 2 13 5 8 2" xfId="13314" xr:uid="{00000000-0005-0000-0000-00000F340000}"/>
    <cellStyle name="Positive 2 2 2 13 5 9" xfId="13315" xr:uid="{00000000-0005-0000-0000-000010340000}"/>
    <cellStyle name="Positive 2 2 2 13 5 9 2" xfId="13316" xr:uid="{00000000-0005-0000-0000-000011340000}"/>
    <cellStyle name="Positive 2 2 2 13 6" xfId="13317" xr:uid="{00000000-0005-0000-0000-000012340000}"/>
    <cellStyle name="Positive 2 2 2 13 6 2" xfId="13318" xr:uid="{00000000-0005-0000-0000-000013340000}"/>
    <cellStyle name="Positive 2 2 2 13 6 2 2" xfId="13319" xr:uid="{00000000-0005-0000-0000-000014340000}"/>
    <cellStyle name="Positive 2 2 2 13 6 3" xfId="13320" xr:uid="{00000000-0005-0000-0000-000015340000}"/>
    <cellStyle name="Positive 2 2 2 13 7" xfId="13321" xr:uid="{00000000-0005-0000-0000-000016340000}"/>
    <cellStyle name="Positive 2 2 2 13 7 2" xfId="13322" xr:uid="{00000000-0005-0000-0000-000017340000}"/>
    <cellStyle name="Positive 2 2 2 13 7 2 2" xfId="13323" xr:uid="{00000000-0005-0000-0000-000018340000}"/>
    <cellStyle name="Positive 2 2 2 13 7 3" xfId="13324" xr:uid="{00000000-0005-0000-0000-000019340000}"/>
    <cellStyle name="Positive 2 2 2 13 8" xfId="13325" xr:uid="{00000000-0005-0000-0000-00001A340000}"/>
    <cellStyle name="Positive 2 2 2 13 8 2" xfId="13326" xr:uid="{00000000-0005-0000-0000-00001B340000}"/>
    <cellStyle name="Positive 2 2 2 13 9" xfId="13327" xr:uid="{00000000-0005-0000-0000-00001C340000}"/>
    <cellStyle name="Positive 2 2 2 13 9 2" xfId="13328" xr:uid="{00000000-0005-0000-0000-00001D340000}"/>
    <cellStyle name="Positive 2 2 2 14" xfId="13329" xr:uid="{00000000-0005-0000-0000-00001E340000}"/>
    <cellStyle name="Positive 2 2 2 14 10" xfId="13330" xr:uid="{00000000-0005-0000-0000-00001F340000}"/>
    <cellStyle name="Positive 2 2 2 14 10 2" xfId="13331" xr:uid="{00000000-0005-0000-0000-000020340000}"/>
    <cellStyle name="Positive 2 2 2 14 11" xfId="13332" xr:uid="{00000000-0005-0000-0000-000021340000}"/>
    <cellStyle name="Positive 2 2 2 14 11 2" xfId="13333" xr:uid="{00000000-0005-0000-0000-000022340000}"/>
    <cellStyle name="Positive 2 2 2 14 12" xfId="13334" xr:uid="{00000000-0005-0000-0000-000023340000}"/>
    <cellStyle name="Positive 2 2 2 14 12 2" xfId="13335" xr:uid="{00000000-0005-0000-0000-000024340000}"/>
    <cellStyle name="Positive 2 2 2 14 13" xfId="13336" xr:uid="{00000000-0005-0000-0000-000025340000}"/>
    <cellStyle name="Positive 2 2 2 14 13 2" xfId="13337" xr:uid="{00000000-0005-0000-0000-000026340000}"/>
    <cellStyle name="Positive 2 2 2 14 14" xfId="13338" xr:uid="{00000000-0005-0000-0000-000027340000}"/>
    <cellStyle name="Positive 2 2 2 14 14 2" xfId="13339" xr:uid="{00000000-0005-0000-0000-000028340000}"/>
    <cellStyle name="Positive 2 2 2 14 15" xfId="13340" xr:uid="{00000000-0005-0000-0000-000029340000}"/>
    <cellStyle name="Positive 2 2 2 14 15 2" xfId="13341" xr:uid="{00000000-0005-0000-0000-00002A340000}"/>
    <cellStyle name="Positive 2 2 2 14 16" xfId="13342" xr:uid="{00000000-0005-0000-0000-00002B340000}"/>
    <cellStyle name="Positive 2 2 2 14 16 2" xfId="13343" xr:uid="{00000000-0005-0000-0000-00002C340000}"/>
    <cellStyle name="Positive 2 2 2 14 17" xfId="13344" xr:uid="{00000000-0005-0000-0000-00002D340000}"/>
    <cellStyle name="Positive 2 2 2 14 17 2" xfId="13345" xr:uid="{00000000-0005-0000-0000-00002E340000}"/>
    <cellStyle name="Positive 2 2 2 14 18" xfId="13346" xr:uid="{00000000-0005-0000-0000-00002F340000}"/>
    <cellStyle name="Positive 2 2 2 14 18 2" xfId="13347" xr:uid="{00000000-0005-0000-0000-000030340000}"/>
    <cellStyle name="Positive 2 2 2 14 19" xfId="13348" xr:uid="{00000000-0005-0000-0000-000031340000}"/>
    <cellStyle name="Positive 2 2 2 14 19 2" xfId="13349" xr:uid="{00000000-0005-0000-0000-000032340000}"/>
    <cellStyle name="Positive 2 2 2 14 2" xfId="13350" xr:uid="{00000000-0005-0000-0000-000033340000}"/>
    <cellStyle name="Positive 2 2 2 14 2 10" xfId="13351" xr:uid="{00000000-0005-0000-0000-000034340000}"/>
    <cellStyle name="Positive 2 2 2 14 2 10 2" xfId="13352" xr:uid="{00000000-0005-0000-0000-000035340000}"/>
    <cellStyle name="Positive 2 2 2 14 2 11" xfId="13353" xr:uid="{00000000-0005-0000-0000-000036340000}"/>
    <cellStyle name="Positive 2 2 2 14 2 11 2" xfId="13354" xr:uid="{00000000-0005-0000-0000-000037340000}"/>
    <cellStyle name="Positive 2 2 2 14 2 12" xfId="13355" xr:uid="{00000000-0005-0000-0000-000038340000}"/>
    <cellStyle name="Positive 2 2 2 14 2 12 2" xfId="13356" xr:uid="{00000000-0005-0000-0000-000039340000}"/>
    <cellStyle name="Positive 2 2 2 14 2 13" xfId="13357" xr:uid="{00000000-0005-0000-0000-00003A340000}"/>
    <cellStyle name="Positive 2 2 2 14 2 13 2" xfId="13358" xr:uid="{00000000-0005-0000-0000-00003B340000}"/>
    <cellStyle name="Positive 2 2 2 14 2 14" xfId="13359" xr:uid="{00000000-0005-0000-0000-00003C340000}"/>
    <cellStyle name="Positive 2 2 2 14 2 14 2" xfId="13360" xr:uid="{00000000-0005-0000-0000-00003D340000}"/>
    <cellStyle name="Positive 2 2 2 14 2 15" xfId="13361" xr:uid="{00000000-0005-0000-0000-00003E340000}"/>
    <cellStyle name="Positive 2 2 2 14 2 15 2" xfId="13362" xr:uid="{00000000-0005-0000-0000-00003F340000}"/>
    <cellStyle name="Positive 2 2 2 14 2 16" xfId="13363" xr:uid="{00000000-0005-0000-0000-000040340000}"/>
    <cellStyle name="Positive 2 2 2 14 2 16 2" xfId="13364" xr:uid="{00000000-0005-0000-0000-000041340000}"/>
    <cellStyle name="Positive 2 2 2 14 2 17" xfId="13365" xr:uid="{00000000-0005-0000-0000-000042340000}"/>
    <cellStyle name="Positive 2 2 2 14 2 17 2" xfId="13366" xr:uid="{00000000-0005-0000-0000-000043340000}"/>
    <cellStyle name="Positive 2 2 2 14 2 18" xfId="13367" xr:uid="{00000000-0005-0000-0000-000044340000}"/>
    <cellStyle name="Positive 2 2 2 14 2 18 2" xfId="13368" xr:uid="{00000000-0005-0000-0000-000045340000}"/>
    <cellStyle name="Positive 2 2 2 14 2 19" xfId="13369" xr:uid="{00000000-0005-0000-0000-000046340000}"/>
    <cellStyle name="Positive 2 2 2 14 2 19 2" xfId="13370" xr:uid="{00000000-0005-0000-0000-000047340000}"/>
    <cellStyle name="Positive 2 2 2 14 2 2" xfId="13371" xr:uid="{00000000-0005-0000-0000-000048340000}"/>
    <cellStyle name="Positive 2 2 2 14 2 2 10" xfId="13372" xr:uid="{00000000-0005-0000-0000-000049340000}"/>
    <cellStyle name="Positive 2 2 2 14 2 2 10 2" xfId="13373" xr:uid="{00000000-0005-0000-0000-00004A340000}"/>
    <cellStyle name="Positive 2 2 2 14 2 2 11" xfId="13374" xr:uid="{00000000-0005-0000-0000-00004B340000}"/>
    <cellStyle name="Positive 2 2 2 14 2 2 11 2" xfId="13375" xr:uid="{00000000-0005-0000-0000-00004C340000}"/>
    <cellStyle name="Positive 2 2 2 14 2 2 12" xfId="13376" xr:uid="{00000000-0005-0000-0000-00004D340000}"/>
    <cellStyle name="Positive 2 2 2 14 2 2 12 2" xfId="13377" xr:uid="{00000000-0005-0000-0000-00004E340000}"/>
    <cellStyle name="Positive 2 2 2 14 2 2 13" xfId="13378" xr:uid="{00000000-0005-0000-0000-00004F340000}"/>
    <cellStyle name="Positive 2 2 2 14 2 2 13 2" xfId="13379" xr:uid="{00000000-0005-0000-0000-000050340000}"/>
    <cellStyle name="Positive 2 2 2 14 2 2 14" xfId="13380" xr:uid="{00000000-0005-0000-0000-000051340000}"/>
    <cellStyle name="Positive 2 2 2 14 2 2 14 2" xfId="13381" xr:uid="{00000000-0005-0000-0000-000052340000}"/>
    <cellStyle name="Positive 2 2 2 14 2 2 15" xfId="13382" xr:uid="{00000000-0005-0000-0000-000053340000}"/>
    <cellStyle name="Positive 2 2 2 14 2 2 15 2" xfId="13383" xr:uid="{00000000-0005-0000-0000-000054340000}"/>
    <cellStyle name="Positive 2 2 2 14 2 2 16" xfId="13384" xr:uid="{00000000-0005-0000-0000-000055340000}"/>
    <cellStyle name="Positive 2 2 2 14 2 2 16 2" xfId="13385" xr:uid="{00000000-0005-0000-0000-000056340000}"/>
    <cellStyle name="Positive 2 2 2 14 2 2 17" xfId="13386" xr:uid="{00000000-0005-0000-0000-000057340000}"/>
    <cellStyle name="Positive 2 2 2 14 2 2 2" xfId="13387" xr:uid="{00000000-0005-0000-0000-000058340000}"/>
    <cellStyle name="Positive 2 2 2 14 2 2 2 2" xfId="13388" xr:uid="{00000000-0005-0000-0000-000059340000}"/>
    <cellStyle name="Positive 2 2 2 14 2 2 3" xfId="13389" xr:uid="{00000000-0005-0000-0000-00005A340000}"/>
    <cellStyle name="Positive 2 2 2 14 2 2 3 2" xfId="13390" xr:uid="{00000000-0005-0000-0000-00005B340000}"/>
    <cellStyle name="Positive 2 2 2 14 2 2 4" xfId="13391" xr:uid="{00000000-0005-0000-0000-00005C340000}"/>
    <cellStyle name="Positive 2 2 2 14 2 2 4 2" xfId="13392" xr:uid="{00000000-0005-0000-0000-00005D340000}"/>
    <cellStyle name="Positive 2 2 2 14 2 2 5" xfId="13393" xr:uid="{00000000-0005-0000-0000-00005E340000}"/>
    <cellStyle name="Positive 2 2 2 14 2 2 5 2" xfId="13394" xr:uid="{00000000-0005-0000-0000-00005F340000}"/>
    <cellStyle name="Positive 2 2 2 14 2 2 6" xfId="13395" xr:uid="{00000000-0005-0000-0000-000060340000}"/>
    <cellStyle name="Positive 2 2 2 14 2 2 6 2" xfId="13396" xr:uid="{00000000-0005-0000-0000-000061340000}"/>
    <cellStyle name="Positive 2 2 2 14 2 2 7" xfId="13397" xr:uid="{00000000-0005-0000-0000-000062340000}"/>
    <cellStyle name="Positive 2 2 2 14 2 2 7 2" xfId="13398" xr:uid="{00000000-0005-0000-0000-000063340000}"/>
    <cellStyle name="Positive 2 2 2 14 2 2 8" xfId="13399" xr:uid="{00000000-0005-0000-0000-000064340000}"/>
    <cellStyle name="Positive 2 2 2 14 2 2 8 2" xfId="13400" xr:uid="{00000000-0005-0000-0000-000065340000}"/>
    <cellStyle name="Positive 2 2 2 14 2 2 9" xfId="13401" xr:uid="{00000000-0005-0000-0000-000066340000}"/>
    <cellStyle name="Positive 2 2 2 14 2 2 9 2" xfId="13402" xr:uid="{00000000-0005-0000-0000-000067340000}"/>
    <cellStyle name="Positive 2 2 2 14 2 20" xfId="13403" xr:uid="{00000000-0005-0000-0000-000068340000}"/>
    <cellStyle name="Positive 2 2 2 14 2 3" xfId="13404" xr:uid="{00000000-0005-0000-0000-000069340000}"/>
    <cellStyle name="Positive 2 2 2 14 2 3 2" xfId="13405" xr:uid="{00000000-0005-0000-0000-00006A340000}"/>
    <cellStyle name="Positive 2 2 2 14 2 3 2 2" xfId="13406" xr:uid="{00000000-0005-0000-0000-00006B340000}"/>
    <cellStyle name="Positive 2 2 2 14 2 3 3" xfId="13407" xr:uid="{00000000-0005-0000-0000-00006C340000}"/>
    <cellStyle name="Positive 2 2 2 14 2 4" xfId="13408" xr:uid="{00000000-0005-0000-0000-00006D340000}"/>
    <cellStyle name="Positive 2 2 2 14 2 4 2" xfId="13409" xr:uid="{00000000-0005-0000-0000-00006E340000}"/>
    <cellStyle name="Positive 2 2 2 14 2 4 2 2" xfId="13410" xr:uid="{00000000-0005-0000-0000-00006F340000}"/>
    <cellStyle name="Positive 2 2 2 14 2 4 3" xfId="13411" xr:uid="{00000000-0005-0000-0000-000070340000}"/>
    <cellStyle name="Positive 2 2 2 14 2 5" xfId="13412" xr:uid="{00000000-0005-0000-0000-000071340000}"/>
    <cellStyle name="Positive 2 2 2 14 2 5 2" xfId="13413" xr:uid="{00000000-0005-0000-0000-000072340000}"/>
    <cellStyle name="Positive 2 2 2 14 2 6" xfId="13414" xr:uid="{00000000-0005-0000-0000-000073340000}"/>
    <cellStyle name="Positive 2 2 2 14 2 6 2" xfId="13415" xr:uid="{00000000-0005-0000-0000-000074340000}"/>
    <cellStyle name="Positive 2 2 2 14 2 7" xfId="13416" xr:uid="{00000000-0005-0000-0000-000075340000}"/>
    <cellStyle name="Positive 2 2 2 14 2 7 2" xfId="13417" xr:uid="{00000000-0005-0000-0000-000076340000}"/>
    <cellStyle name="Positive 2 2 2 14 2 8" xfId="13418" xr:uid="{00000000-0005-0000-0000-000077340000}"/>
    <cellStyle name="Positive 2 2 2 14 2 8 2" xfId="13419" xr:uid="{00000000-0005-0000-0000-000078340000}"/>
    <cellStyle name="Positive 2 2 2 14 2 9" xfId="13420" xr:uid="{00000000-0005-0000-0000-000079340000}"/>
    <cellStyle name="Positive 2 2 2 14 2 9 2" xfId="13421" xr:uid="{00000000-0005-0000-0000-00007A340000}"/>
    <cellStyle name="Positive 2 2 2 14 20" xfId="13422" xr:uid="{00000000-0005-0000-0000-00007B340000}"/>
    <cellStyle name="Positive 2 2 2 14 20 2" xfId="13423" xr:uid="{00000000-0005-0000-0000-00007C340000}"/>
    <cellStyle name="Positive 2 2 2 14 21" xfId="13424" xr:uid="{00000000-0005-0000-0000-00007D340000}"/>
    <cellStyle name="Positive 2 2 2 14 21 2" xfId="13425" xr:uid="{00000000-0005-0000-0000-00007E340000}"/>
    <cellStyle name="Positive 2 2 2 14 22" xfId="13426" xr:uid="{00000000-0005-0000-0000-00007F340000}"/>
    <cellStyle name="Positive 2 2 2 14 22 2" xfId="13427" xr:uid="{00000000-0005-0000-0000-000080340000}"/>
    <cellStyle name="Positive 2 2 2 14 23" xfId="13428" xr:uid="{00000000-0005-0000-0000-000081340000}"/>
    <cellStyle name="Positive 2 2 2 14 3" xfId="13429" xr:uid="{00000000-0005-0000-0000-000082340000}"/>
    <cellStyle name="Positive 2 2 2 14 3 10" xfId="13430" xr:uid="{00000000-0005-0000-0000-000083340000}"/>
    <cellStyle name="Positive 2 2 2 14 3 10 2" xfId="13431" xr:uid="{00000000-0005-0000-0000-000084340000}"/>
    <cellStyle name="Positive 2 2 2 14 3 11" xfId="13432" xr:uid="{00000000-0005-0000-0000-000085340000}"/>
    <cellStyle name="Positive 2 2 2 14 3 11 2" xfId="13433" xr:uid="{00000000-0005-0000-0000-000086340000}"/>
    <cellStyle name="Positive 2 2 2 14 3 12" xfId="13434" xr:uid="{00000000-0005-0000-0000-000087340000}"/>
    <cellStyle name="Positive 2 2 2 14 3 12 2" xfId="13435" xr:uid="{00000000-0005-0000-0000-000088340000}"/>
    <cellStyle name="Positive 2 2 2 14 3 13" xfId="13436" xr:uid="{00000000-0005-0000-0000-000089340000}"/>
    <cellStyle name="Positive 2 2 2 14 3 13 2" xfId="13437" xr:uid="{00000000-0005-0000-0000-00008A340000}"/>
    <cellStyle name="Positive 2 2 2 14 3 14" xfId="13438" xr:uid="{00000000-0005-0000-0000-00008B340000}"/>
    <cellStyle name="Positive 2 2 2 14 3 14 2" xfId="13439" xr:uid="{00000000-0005-0000-0000-00008C340000}"/>
    <cellStyle name="Positive 2 2 2 14 3 15" xfId="13440" xr:uid="{00000000-0005-0000-0000-00008D340000}"/>
    <cellStyle name="Positive 2 2 2 14 3 15 2" xfId="13441" xr:uid="{00000000-0005-0000-0000-00008E340000}"/>
    <cellStyle name="Positive 2 2 2 14 3 16" xfId="13442" xr:uid="{00000000-0005-0000-0000-00008F340000}"/>
    <cellStyle name="Positive 2 2 2 14 3 16 2" xfId="13443" xr:uid="{00000000-0005-0000-0000-000090340000}"/>
    <cellStyle name="Positive 2 2 2 14 3 17" xfId="13444" xr:uid="{00000000-0005-0000-0000-000091340000}"/>
    <cellStyle name="Positive 2 2 2 14 3 17 2" xfId="13445" xr:uid="{00000000-0005-0000-0000-000092340000}"/>
    <cellStyle name="Positive 2 2 2 14 3 18" xfId="13446" xr:uid="{00000000-0005-0000-0000-000093340000}"/>
    <cellStyle name="Positive 2 2 2 14 3 18 2" xfId="13447" xr:uid="{00000000-0005-0000-0000-000094340000}"/>
    <cellStyle name="Positive 2 2 2 14 3 19" xfId="13448" xr:uid="{00000000-0005-0000-0000-000095340000}"/>
    <cellStyle name="Positive 2 2 2 14 3 19 2" xfId="13449" xr:uid="{00000000-0005-0000-0000-000096340000}"/>
    <cellStyle name="Positive 2 2 2 14 3 2" xfId="13450" xr:uid="{00000000-0005-0000-0000-000097340000}"/>
    <cellStyle name="Positive 2 2 2 14 3 2 10" xfId="13451" xr:uid="{00000000-0005-0000-0000-000098340000}"/>
    <cellStyle name="Positive 2 2 2 14 3 2 10 2" xfId="13452" xr:uid="{00000000-0005-0000-0000-000099340000}"/>
    <cellStyle name="Positive 2 2 2 14 3 2 11" xfId="13453" xr:uid="{00000000-0005-0000-0000-00009A340000}"/>
    <cellStyle name="Positive 2 2 2 14 3 2 11 2" xfId="13454" xr:uid="{00000000-0005-0000-0000-00009B340000}"/>
    <cellStyle name="Positive 2 2 2 14 3 2 12" xfId="13455" xr:uid="{00000000-0005-0000-0000-00009C340000}"/>
    <cellStyle name="Positive 2 2 2 14 3 2 12 2" xfId="13456" xr:uid="{00000000-0005-0000-0000-00009D340000}"/>
    <cellStyle name="Positive 2 2 2 14 3 2 13" xfId="13457" xr:uid="{00000000-0005-0000-0000-00009E340000}"/>
    <cellStyle name="Positive 2 2 2 14 3 2 13 2" xfId="13458" xr:uid="{00000000-0005-0000-0000-00009F340000}"/>
    <cellStyle name="Positive 2 2 2 14 3 2 14" xfId="13459" xr:uid="{00000000-0005-0000-0000-0000A0340000}"/>
    <cellStyle name="Positive 2 2 2 14 3 2 14 2" xfId="13460" xr:uid="{00000000-0005-0000-0000-0000A1340000}"/>
    <cellStyle name="Positive 2 2 2 14 3 2 15" xfId="13461" xr:uid="{00000000-0005-0000-0000-0000A2340000}"/>
    <cellStyle name="Positive 2 2 2 14 3 2 15 2" xfId="13462" xr:uid="{00000000-0005-0000-0000-0000A3340000}"/>
    <cellStyle name="Positive 2 2 2 14 3 2 16" xfId="13463" xr:uid="{00000000-0005-0000-0000-0000A4340000}"/>
    <cellStyle name="Positive 2 2 2 14 3 2 16 2" xfId="13464" xr:uid="{00000000-0005-0000-0000-0000A5340000}"/>
    <cellStyle name="Positive 2 2 2 14 3 2 17" xfId="13465" xr:uid="{00000000-0005-0000-0000-0000A6340000}"/>
    <cellStyle name="Positive 2 2 2 14 3 2 2" xfId="13466" xr:uid="{00000000-0005-0000-0000-0000A7340000}"/>
    <cellStyle name="Positive 2 2 2 14 3 2 2 2" xfId="13467" xr:uid="{00000000-0005-0000-0000-0000A8340000}"/>
    <cellStyle name="Positive 2 2 2 14 3 2 3" xfId="13468" xr:uid="{00000000-0005-0000-0000-0000A9340000}"/>
    <cellStyle name="Positive 2 2 2 14 3 2 3 2" xfId="13469" xr:uid="{00000000-0005-0000-0000-0000AA340000}"/>
    <cellStyle name="Positive 2 2 2 14 3 2 4" xfId="13470" xr:uid="{00000000-0005-0000-0000-0000AB340000}"/>
    <cellStyle name="Positive 2 2 2 14 3 2 4 2" xfId="13471" xr:uid="{00000000-0005-0000-0000-0000AC340000}"/>
    <cellStyle name="Positive 2 2 2 14 3 2 5" xfId="13472" xr:uid="{00000000-0005-0000-0000-0000AD340000}"/>
    <cellStyle name="Positive 2 2 2 14 3 2 5 2" xfId="13473" xr:uid="{00000000-0005-0000-0000-0000AE340000}"/>
    <cellStyle name="Positive 2 2 2 14 3 2 6" xfId="13474" xr:uid="{00000000-0005-0000-0000-0000AF340000}"/>
    <cellStyle name="Positive 2 2 2 14 3 2 6 2" xfId="13475" xr:uid="{00000000-0005-0000-0000-0000B0340000}"/>
    <cellStyle name="Positive 2 2 2 14 3 2 7" xfId="13476" xr:uid="{00000000-0005-0000-0000-0000B1340000}"/>
    <cellStyle name="Positive 2 2 2 14 3 2 7 2" xfId="13477" xr:uid="{00000000-0005-0000-0000-0000B2340000}"/>
    <cellStyle name="Positive 2 2 2 14 3 2 8" xfId="13478" xr:uid="{00000000-0005-0000-0000-0000B3340000}"/>
    <cellStyle name="Positive 2 2 2 14 3 2 8 2" xfId="13479" xr:uid="{00000000-0005-0000-0000-0000B4340000}"/>
    <cellStyle name="Positive 2 2 2 14 3 2 9" xfId="13480" xr:uid="{00000000-0005-0000-0000-0000B5340000}"/>
    <cellStyle name="Positive 2 2 2 14 3 2 9 2" xfId="13481" xr:uid="{00000000-0005-0000-0000-0000B6340000}"/>
    <cellStyle name="Positive 2 2 2 14 3 20" xfId="13482" xr:uid="{00000000-0005-0000-0000-0000B7340000}"/>
    <cellStyle name="Positive 2 2 2 14 3 3" xfId="13483" xr:uid="{00000000-0005-0000-0000-0000B8340000}"/>
    <cellStyle name="Positive 2 2 2 14 3 3 2" xfId="13484" xr:uid="{00000000-0005-0000-0000-0000B9340000}"/>
    <cellStyle name="Positive 2 2 2 14 3 3 2 2" xfId="13485" xr:uid="{00000000-0005-0000-0000-0000BA340000}"/>
    <cellStyle name="Positive 2 2 2 14 3 3 3" xfId="13486" xr:uid="{00000000-0005-0000-0000-0000BB340000}"/>
    <cellStyle name="Positive 2 2 2 14 3 4" xfId="13487" xr:uid="{00000000-0005-0000-0000-0000BC340000}"/>
    <cellStyle name="Positive 2 2 2 14 3 4 2" xfId="13488" xr:uid="{00000000-0005-0000-0000-0000BD340000}"/>
    <cellStyle name="Positive 2 2 2 14 3 4 2 2" xfId="13489" xr:uid="{00000000-0005-0000-0000-0000BE340000}"/>
    <cellStyle name="Positive 2 2 2 14 3 4 3" xfId="13490" xr:uid="{00000000-0005-0000-0000-0000BF340000}"/>
    <cellStyle name="Positive 2 2 2 14 3 5" xfId="13491" xr:uid="{00000000-0005-0000-0000-0000C0340000}"/>
    <cellStyle name="Positive 2 2 2 14 3 5 2" xfId="13492" xr:uid="{00000000-0005-0000-0000-0000C1340000}"/>
    <cellStyle name="Positive 2 2 2 14 3 6" xfId="13493" xr:uid="{00000000-0005-0000-0000-0000C2340000}"/>
    <cellStyle name="Positive 2 2 2 14 3 6 2" xfId="13494" xr:uid="{00000000-0005-0000-0000-0000C3340000}"/>
    <cellStyle name="Positive 2 2 2 14 3 7" xfId="13495" xr:uid="{00000000-0005-0000-0000-0000C4340000}"/>
    <cellStyle name="Positive 2 2 2 14 3 7 2" xfId="13496" xr:uid="{00000000-0005-0000-0000-0000C5340000}"/>
    <cellStyle name="Positive 2 2 2 14 3 8" xfId="13497" xr:uid="{00000000-0005-0000-0000-0000C6340000}"/>
    <cellStyle name="Positive 2 2 2 14 3 8 2" xfId="13498" xr:uid="{00000000-0005-0000-0000-0000C7340000}"/>
    <cellStyle name="Positive 2 2 2 14 3 9" xfId="13499" xr:uid="{00000000-0005-0000-0000-0000C8340000}"/>
    <cellStyle name="Positive 2 2 2 14 3 9 2" xfId="13500" xr:uid="{00000000-0005-0000-0000-0000C9340000}"/>
    <cellStyle name="Positive 2 2 2 14 4" xfId="13501" xr:uid="{00000000-0005-0000-0000-0000CA340000}"/>
    <cellStyle name="Positive 2 2 2 14 4 10" xfId="13502" xr:uid="{00000000-0005-0000-0000-0000CB340000}"/>
    <cellStyle name="Positive 2 2 2 14 4 10 2" xfId="13503" xr:uid="{00000000-0005-0000-0000-0000CC340000}"/>
    <cellStyle name="Positive 2 2 2 14 4 11" xfId="13504" xr:uid="{00000000-0005-0000-0000-0000CD340000}"/>
    <cellStyle name="Positive 2 2 2 14 4 11 2" xfId="13505" xr:uid="{00000000-0005-0000-0000-0000CE340000}"/>
    <cellStyle name="Positive 2 2 2 14 4 12" xfId="13506" xr:uid="{00000000-0005-0000-0000-0000CF340000}"/>
    <cellStyle name="Positive 2 2 2 14 4 12 2" xfId="13507" xr:uid="{00000000-0005-0000-0000-0000D0340000}"/>
    <cellStyle name="Positive 2 2 2 14 4 13" xfId="13508" xr:uid="{00000000-0005-0000-0000-0000D1340000}"/>
    <cellStyle name="Positive 2 2 2 14 4 13 2" xfId="13509" xr:uid="{00000000-0005-0000-0000-0000D2340000}"/>
    <cellStyle name="Positive 2 2 2 14 4 14" xfId="13510" xr:uid="{00000000-0005-0000-0000-0000D3340000}"/>
    <cellStyle name="Positive 2 2 2 14 4 14 2" xfId="13511" xr:uid="{00000000-0005-0000-0000-0000D4340000}"/>
    <cellStyle name="Positive 2 2 2 14 4 15" xfId="13512" xr:uid="{00000000-0005-0000-0000-0000D5340000}"/>
    <cellStyle name="Positive 2 2 2 14 4 15 2" xfId="13513" xr:uid="{00000000-0005-0000-0000-0000D6340000}"/>
    <cellStyle name="Positive 2 2 2 14 4 16" xfId="13514" xr:uid="{00000000-0005-0000-0000-0000D7340000}"/>
    <cellStyle name="Positive 2 2 2 14 4 16 2" xfId="13515" xr:uid="{00000000-0005-0000-0000-0000D8340000}"/>
    <cellStyle name="Positive 2 2 2 14 4 17" xfId="13516" xr:uid="{00000000-0005-0000-0000-0000D9340000}"/>
    <cellStyle name="Positive 2 2 2 14 4 17 2" xfId="13517" xr:uid="{00000000-0005-0000-0000-0000DA340000}"/>
    <cellStyle name="Positive 2 2 2 14 4 18" xfId="13518" xr:uid="{00000000-0005-0000-0000-0000DB340000}"/>
    <cellStyle name="Positive 2 2 2 14 4 18 2" xfId="13519" xr:uid="{00000000-0005-0000-0000-0000DC340000}"/>
    <cellStyle name="Positive 2 2 2 14 4 19" xfId="13520" xr:uid="{00000000-0005-0000-0000-0000DD340000}"/>
    <cellStyle name="Positive 2 2 2 14 4 19 2" xfId="13521" xr:uid="{00000000-0005-0000-0000-0000DE340000}"/>
    <cellStyle name="Positive 2 2 2 14 4 2" xfId="13522" xr:uid="{00000000-0005-0000-0000-0000DF340000}"/>
    <cellStyle name="Positive 2 2 2 14 4 2 10" xfId="13523" xr:uid="{00000000-0005-0000-0000-0000E0340000}"/>
    <cellStyle name="Positive 2 2 2 14 4 2 10 2" xfId="13524" xr:uid="{00000000-0005-0000-0000-0000E1340000}"/>
    <cellStyle name="Positive 2 2 2 14 4 2 11" xfId="13525" xr:uid="{00000000-0005-0000-0000-0000E2340000}"/>
    <cellStyle name="Positive 2 2 2 14 4 2 11 2" xfId="13526" xr:uid="{00000000-0005-0000-0000-0000E3340000}"/>
    <cellStyle name="Positive 2 2 2 14 4 2 12" xfId="13527" xr:uid="{00000000-0005-0000-0000-0000E4340000}"/>
    <cellStyle name="Positive 2 2 2 14 4 2 12 2" xfId="13528" xr:uid="{00000000-0005-0000-0000-0000E5340000}"/>
    <cellStyle name="Positive 2 2 2 14 4 2 13" xfId="13529" xr:uid="{00000000-0005-0000-0000-0000E6340000}"/>
    <cellStyle name="Positive 2 2 2 14 4 2 13 2" xfId="13530" xr:uid="{00000000-0005-0000-0000-0000E7340000}"/>
    <cellStyle name="Positive 2 2 2 14 4 2 14" xfId="13531" xr:uid="{00000000-0005-0000-0000-0000E8340000}"/>
    <cellStyle name="Positive 2 2 2 14 4 2 14 2" xfId="13532" xr:uid="{00000000-0005-0000-0000-0000E9340000}"/>
    <cellStyle name="Positive 2 2 2 14 4 2 15" xfId="13533" xr:uid="{00000000-0005-0000-0000-0000EA340000}"/>
    <cellStyle name="Positive 2 2 2 14 4 2 15 2" xfId="13534" xr:uid="{00000000-0005-0000-0000-0000EB340000}"/>
    <cellStyle name="Positive 2 2 2 14 4 2 16" xfId="13535" xr:uid="{00000000-0005-0000-0000-0000EC340000}"/>
    <cellStyle name="Positive 2 2 2 14 4 2 16 2" xfId="13536" xr:uid="{00000000-0005-0000-0000-0000ED340000}"/>
    <cellStyle name="Positive 2 2 2 14 4 2 17" xfId="13537" xr:uid="{00000000-0005-0000-0000-0000EE340000}"/>
    <cellStyle name="Positive 2 2 2 14 4 2 2" xfId="13538" xr:uid="{00000000-0005-0000-0000-0000EF340000}"/>
    <cellStyle name="Positive 2 2 2 14 4 2 2 2" xfId="13539" xr:uid="{00000000-0005-0000-0000-0000F0340000}"/>
    <cellStyle name="Positive 2 2 2 14 4 2 3" xfId="13540" xr:uid="{00000000-0005-0000-0000-0000F1340000}"/>
    <cellStyle name="Positive 2 2 2 14 4 2 3 2" xfId="13541" xr:uid="{00000000-0005-0000-0000-0000F2340000}"/>
    <cellStyle name="Positive 2 2 2 14 4 2 4" xfId="13542" xr:uid="{00000000-0005-0000-0000-0000F3340000}"/>
    <cellStyle name="Positive 2 2 2 14 4 2 4 2" xfId="13543" xr:uid="{00000000-0005-0000-0000-0000F4340000}"/>
    <cellStyle name="Positive 2 2 2 14 4 2 5" xfId="13544" xr:uid="{00000000-0005-0000-0000-0000F5340000}"/>
    <cellStyle name="Positive 2 2 2 14 4 2 5 2" xfId="13545" xr:uid="{00000000-0005-0000-0000-0000F6340000}"/>
    <cellStyle name="Positive 2 2 2 14 4 2 6" xfId="13546" xr:uid="{00000000-0005-0000-0000-0000F7340000}"/>
    <cellStyle name="Positive 2 2 2 14 4 2 6 2" xfId="13547" xr:uid="{00000000-0005-0000-0000-0000F8340000}"/>
    <cellStyle name="Positive 2 2 2 14 4 2 7" xfId="13548" xr:uid="{00000000-0005-0000-0000-0000F9340000}"/>
    <cellStyle name="Positive 2 2 2 14 4 2 7 2" xfId="13549" xr:uid="{00000000-0005-0000-0000-0000FA340000}"/>
    <cellStyle name="Positive 2 2 2 14 4 2 8" xfId="13550" xr:uid="{00000000-0005-0000-0000-0000FB340000}"/>
    <cellStyle name="Positive 2 2 2 14 4 2 8 2" xfId="13551" xr:uid="{00000000-0005-0000-0000-0000FC340000}"/>
    <cellStyle name="Positive 2 2 2 14 4 2 9" xfId="13552" xr:uid="{00000000-0005-0000-0000-0000FD340000}"/>
    <cellStyle name="Positive 2 2 2 14 4 2 9 2" xfId="13553" xr:uid="{00000000-0005-0000-0000-0000FE340000}"/>
    <cellStyle name="Positive 2 2 2 14 4 20" xfId="13554" xr:uid="{00000000-0005-0000-0000-0000FF340000}"/>
    <cellStyle name="Positive 2 2 2 14 4 3" xfId="13555" xr:uid="{00000000-0005-0000-0000-000000350000}"/>
    <cellStyle name="Positive 2 2 2 14 4 3 2" xfId="13556" xr:uid="{00000000-0005-0000-0000-000001350000}"/>
    <cellStyle name="Positive 2 2 2 14 4 3 2 2" xfId="13557" xr:uid="{00000000-0005-0000-0000-000002350000}"/>
    <cellStyle name="Positive 2 2 2 14 4 3 3" xfId="13558" xr:uid="{00000000-0005-0000-0000-000003350000}"/>
    <cellStyle name="Positive 2 2 2 14 4 4" xfId="13559" xr:uid="{00000000-0005-0000-0000-000004350000}"/>
    <cellStyle name="Positive 2 2 2 14 4 4 2" xfId="13560" xr:uid="{00000000-0005-0000-0000-000005350000}"/>
    <cellStyle name="Positive 2 2 2 14 4 4 2 2" xfId="13561" xr:uid="{00000000-0005-0000-0000-000006350000}"/>
    <cellStyle name="Positive 2 2 2 14 4 4 3" xfId="13562" xr:uid="{00000000-0005-0000-0000-000007350000}"/>
    <cellStyle name="Positive 2 2 2 14 4 5" xfId="13563" xr:uid="{00000000-0005-0000-0000-000008350000}"/>
    <cellStyle name="Positive 2 2 2 14 4 5 2" xfId="13564" xr:uid="{00000000-0005-0000-0000-000009350000}"/>
    <cellStyle name="Positive 2 2 2 14 4 6" xfId="13565" xr:uid="{00000000-0005-0000-0000-00000A350000}"/>
    <cellStyle name="Positive 2 2 2 14 4 6 2" xfId="13566" xr:uid="{00000000-0005-0000-0000-00000B350000}"/>
    <cellStyle name="Positive 2 2 2 14 4 7" xfId="13567" xr:uid="{00000000-0005-0000-0000-00000C350000}"/>
    <cellStyle name="Positive 2 2 2 14 4 7 2" xfId="13568" xr:uid="{00000000-0005-0000-0000-00000D350000}"/>
    <cellStyle name="Positive 2 2 2 14 4 8" xfId="13569" xr:uid="{00000000-0005-0000-0000-00000E350000}"/>
    <cellStyle name="Positive 2 2 2 14 4 8 2" xfId="13570" xr:uid="{00000000-0005-0000-0000-00000F350000}"/>
    <cellStyle name="Positive 2 2 2 14 4 9" xfId="13571" xr:uid="{00000000-0005-0000-0000-000010350000}"/>
    <cellStyle name="Positive 2 2 2 14 4 9 2" xfId="13572" xr:uid="{00000000-0005-0000-0000-000011350000}"/>
    <cellStyle name="Positive 2 2 2 14 5" xfId="13573" xr:uid="{00000000-0005-0000-0000-000012350000}"/>
    <cellStyle name="Positive 2 2 2 14 5 10" xfId="13574" xr:uid="{00000000-0005-0000-0000-000013350000}"/>
    <cellStyle name="Positive 2 2 2 14 5 10 2" xfId="13575" xr:uid="{00000000-0005-0000-0000-000014350000}"/>
    <cellStyle name="Positive 2 2 2 14 5 11" xfId="13576" xr:uid="{00000000-0005-0000-0000-000015350000}"/>
    <cellStyle name="Positive 2 2 2 14 5 11 2" xfId="13577" xr:uid="{00000000-0005-0000-0000-000016350000}"/>
    <cellStyle name="Positive 2 2 2 14 5 12" xfId="13578" xr:uid="{00000000-0005-0000-0000-000017350000}"/>
    <cellStyle name="Positive 2 2 2 14 5 12 2" xfId="13579" xr:uid="{00000000-0005-0000-0000-000018350000}"/>
    <cellStyle name="Positive 2 2 2 14 5 13" xfId="13580" xr:uid="{00000000-0005-0000-0000-000019350000}"/>
    <cellStyle name="Positive 2 2 2 14 5 13 2" xfId="13581" xr:uid="{00000000-0005-0000-0000-00001A350000}"/>
    <cellStyle name="Positive 2 2 2 14 5 14" xfId="13582" xr:uid="{00000000-0005-0000-0000-00001B350000}"/>
    <cellStyle name="Positive 2 2 2 14 5 14 2" xfId="13583" xr:uid="{00000000-0005-0000-0000-00001C350000}"/>
    <cellStyle name="Positive 2 2 2 14 5 15" xfId="13584" xr:uid="{00000000-0005-0000-0000-00001D350000}"/>
    <cellStyle name="Positive 2 2 2 14 5 15 2" xfId="13585" xr:uid="{00000000-0005-0000-0000-00001E350000}"/>
    <cellStyle name="Positive 2 2 2 14 5 16" xfId="13586" xr:uid="{00000000-0005-0000-0000-00001F350000}"/>
    <cellStyle name="Positive 2 2 2 14 5 16 2" xfId="13587" xr:uid="{00000000-0005-0000-0000-000020350000}"/>
    <cellStyle name="Positive 2 2 2 14 5 17" xfId="13588" xr:uid="{00000000-0005-0000-0000-000021350000}"/>
    <cellStyle name="Positive 2 2 2 14 5 2" xfId="13589" xr:uid="{00000000-0005-0000-0000-000022350000}"/>
    <cellStyle name="Positive 2 2 2 14 5 2 2" xfId="13590" xr:uid="{00000000-0005-0000-0000-000023350000}"/>
    <cellStyle name="Positive 2 2 2 14 5 3" xfId="13591" xr:uid="{00000000-0005-0000-0000-000024350000}"/>
    <cellStyle name="Positive 2 2 2 14 5 3 2" xfId="13592" xr:uid="{00000000-0005-0000-0000-000025350000}"/>
    <cellStyle name="Positive 2 2 2 14 5 4" xfId="13593" xr:uid="{00000000-0005-0000-0000-000026350000}"/>
    <cellStyle name="Positive 2 2 2 14 5 4 2" xfId="13594" xr:uid="{00000000-0005-0000-0000-000027350000}"/>
    <cellStyle name="Positive 2 2 2 14 5 5" xfId="13595" xr:uid="{00000000-0005-0000-0000-000028350000}"/>
    <cellStyle name="Positive 2 2 2 14 5 5 2" xfId="13596" xr:uid="{00000000-0005-0000-0000-000029350000}"/>
    <cellStyle name="Positive 2 2 2 14 5 6" xfId="13597" xr:uid="{00000000-0005-0000-0000-00002A350000}"/>
    <cellStyle name="Positive 2 2 2 14 5 6 2" xfId="13598" xr:uid="{00000000-0005-0000-0000-00002B350000}"/>
    <cellStyle name="Positive 2 2 2 14 5 7" xfId="13599" xr:uid="{00000000-0005-0000-0000-00002C350000}"/>
    <cellStyle name="Positive 2 2 2 14 5 7 2" xfId="13600" xr:uid="{00000000-0005-0000-0000-00002D350000}"/>
    <cellStyle name="Positive 2 2 2 14 5 8" xfId="13601" xr:uid="{00000000-0005-0000-0000-00002E350000}"/>
    <cellStyle name="Positive 2 2 2 14 5 8 2" xfId="13602" xr:uid="{00000000-0005-0000-0000-00002F350000}"/>
    <cellStyle name="Positive 2 2 2 14 5 9" xfId="13603" xr:uid="{00000000-0005-0000-0000-000030350000}"/>
    <cellStyle name="Positive 2 2 2 14 5 9 2" xfId="13604" xr:uid="{00000000-0005-0000-0000-000031350000}"/>
    <cellStyle name="Positive 2 2 2 14 6" xfId="13605" xr:uid="{00000000-0005-0000-0000-000032350000}"/>
    <cellStyle name="Positive 2 2 2 14 6 2" xfId="13606" xr:uid="{00000000-0005-0000-0000-000033350000}"/>
    <cellStyle name="Positive 2 2 2 14 6 2 2" xfId="13607" xr:uid="{00000000-0005-0000-0000-000034350000}"/>
    <cellStyle name="Positive 2 2 2 14 6 3" xfId="13608" xr:uid="{00000000-0005-0000-0000-000035350000}"/>
    <cellStyle name="Positive 2 2 2 14 7" xfId="13609" xr:uid="{00000000-0005-0000-0000-000036350000}"/>
    <cellStyle name="Positive 2 2 2 14 7 2" xfId="13610" xr:uid="{00000000-0005-0000-0000-000037350000}"/>
    <cellStyle name="Positive 2 2 2 14 7 2 2" xfId="13611" xr:uid="{00000000-0005-0000-0000-000038350000}"/>
    <cellStyle name="Positive 2 2 2 14 7 3" xfId="13612" xr:uid="{00000000-0005-0000-0000-000039350000}"/>
    <cellStyle name="Positive 2 2 2 14 8" xfId="13613" xr:uid="{00000000-0005-0000-0000-00003A350000}"/>
    <cellStyle name="Positive 2 2 2 14 8 2" xfId="13614" xr:uid="{00000000-0005-0000-0000-00003B350000}"/>
    <cellStyle name="Positive 2 2 2 14 9" xfId="13615" xr:uid="{00000000-0005-0000-0000-00003C350000}"/>
    <cellStyle name="Positive 2 2 2 14 9 2" xfId="13616" xr:uid="{00000000-0005-0000-0000-00003D350000}"/>
    <cellStyle name="Positive 2 2 2 15" xfId="13617" xr:uid="{00000000-0005-0000-0000-00003E350000}"/>
    <cellStyle name="Positive 2 2 2 15 10" xfId="13618" xr:uid="{00000000-0005-0000-0000-00003F350000}"/>
    <cellStyle name="Positive 2 2 2 15 10 2" xfId="13619" xr:uid="{00000000-0005-0000-0000-000040350000}"/>
    <cellStyle name="Positive 2 2 2 15 11" xfId="13620" xr:uid="{00000000-0005-0000-0000-000041350000}"/>
    <cellStyle name="Positive 2 2 2 15 11 2" xfId="13621" xr:uid="{00000000-0005-0000-0000-000042350000}"/>
    <cellStyle name="Positive 2 2 2 15 12" xfId="13622" xr:uid="{00000000-0005-0000-0000-000043350000}"/>
    <cellStyle name="Positive 2 2 2 15 12 2" xfId="13623" xr:uid="{00000000-0005-0000-0000-000044350000}"/>
    <cellStyle name="Positive 2 2 2 15 13" xfId="13624" xr:uid="{00000000-0005-0000-0000-000045350000}"/>
    <cellStyle name="Positive 2 2 2 15 13 2" xfId="13625" xr:uid="{00000000-0005-0000-0000-000046350000}"/>
    <cellStyle name="Positive 2 2 2 15 14" xfId="13626" xr:uid="{00000000-0005-0000-0000-000047350000}"/>
    <cellStyle name="Positive 2 2 2 15 14 2" xfId="13627" xr:uid="{00000000-0005-0000-0000-000048350000}"/>
    <cellStyle name="Positive 2 2 2 15 15" xfId="13628" xr:uid="{00000000-0005-0000-0000-000049350000}"/>
    <cellStyle name="Positive 2 2 2 15 15 2" xfId="13629" xr:uid="{00000000-0005-0000-0000-00004A350000}"/>
    <cellStyle name="Positive 2 2 2 15 16" xfId="13630" xr:uid="{00000000-0005-0000-0000-00004B350000}"/>
    <cellStyle name="Positive 2 2 2 15 16 2" xfId="13631" xr:uid="{00000000-0005-0000-0000-00004C350000}"/>
    <cellStyle name="Positive 2 2 2 15 17" xfId="13632" xr:uid="{00000000-0005-0000-0000-00004D350000}"/>
    <cellStyle name="Positive 2 2 2 15 17 2" xfId="13633" xr:uid="{00000000-0005-0000-0000-00004E350000}"/>
    <cellStyle name="Positive 2 2 2 15 18" xfId="13634" xr:uid="{00000000-0005-0000-0000-00004F350000}"/>
    <cellStyle name="Positive 2 2 2 15 18 2" xfId="13635" xr:uid="{00000000-0005-0000-0000-000050350000}"/>
    <cellStyle name="Positive 2 2 2 15 19" xfId="13636" xr:uid="{00000000-0005-0000-0000-000051350000}"/>
    <cellStyle name="Positive 2 2 2 15 19 2" xfId="13637" xr:uid="{00000000-0005-0000-0000-000052350000}"/>
    <cellStyle name="Positive 2 2 2 15 2" xfId="13638" xr:uid="{00000000-0005-0000-0000-000053350000}"/>
    <cellStyle name="Positive 2 2 2 15 2 10" xfId="13639" xr:uid="{00000000-0005-0000-0000-000054350000}"/>
    <cellStyle name="Positive 2 2 2 15 2 10 2" xfId="13640" xr:uid="{00000000-0005-0000-0000-000055350000}"/>
    <cellStyle name="Positive 2 2 2 15 2 11" xfId="13641" xr:uid="{00000000-0005-0000-0000-000056350000}"/>
    <cellStyle name="Positive 2 2 2 15 2 11 2" xfId="13642" xr:uid="{00000000-0005-0000-0000-000057350000}"/>
    <cellStyle name="Positive 2 2 2 15 2 12" xfId="13643" xr:uid="{00000000-0005-0000-0000-000058350000}"/>
    <cellStyle name="Positive 2 2 2 15 2 12 2" xfId="13644" xr:uid="{00000000-0005-0000-0000-000059350000}"/>
    <cellStyle name="Positive 2 2 2 15 2 13" xfId="13645" xr:uid="{00000000-0005-0000-0000-00005A350000}"/>
    <cellStyle name="Positive 2 2 2 15 2 13 2" xfId="13646" xr:uid="{00000000-0005-0000-0000-00005B350000}"/>
    <cellStyle name="Positive 2 2 2 15 2 14" xfId="13647" xr:uid="{00000000-0005-0000-0000-00005C350000}"/>
    <cellStyle name="Positive 2 2 2 15 2 14 2" xfId="13648" xr:uid="{00000000-0005-0000-0000-00005D350000}"/>
    <cellStyle name="Positive 2 2 2 15 2 15" xfId="13649" xr:uid="{00000000-0005-0000-0000-00005E350000}"/>
    <cellStyle name="Positive 2 2 2 15 2 15 2" xfId="13650" xr:uid="{00000000-0005-0000-0000-00005F350000}"/>
    <cellStyle name="Positive 2 2 2 15 2 16" xfId="13651" xr:uid="{00000000-0005-0000-0000-000060350000}"/>
    <cellStyle name="Positive 2 2 2 15 2 16 2" xfId="13652" xr:uid="{00000000-0005-0000-0000-000061350000}"/>
    <cellStyle name="Positive 2 2 2 15 2 17" xfId="13653" xr:uid="{00000000-0005-0000-0000-000062350000}"/>
    <cellStyle name="Positive 2 2 2 15 2 17 2" xfId="13654" xr:uid="{00000000-0005-0000-0000-000063350000}"/>
    <cellStyle name="Positive 2 2 2 15 2 18" xfId="13655" xr:uid="{00000000-0005-0000-0000-000064350000}"/>
    <cellStyle name="Positive 2 2 2 15 2 18 2" xfId="13656" xr:uid="{00000000-0005-0000-0000-000065350000}"/>
    <cellStyle name="Positive 2 2 2 15 2 19" xfId="13657" xr:uid="{00000000-0005-0000-0000-000066350000}"/>
    <cellStyle name="Positive 2 2 2 15 2 19 2" xfId="13658" xr:uid="{00000000-0005-0000-0000-000067350000}"/>
    <cellStyle name="Positive 2 2 2 15 2 2" xfId="13659" xr:uid="{00000000-0005-0000-0000-000068350000}"/>
    <cellStyle name="Positive 2 2 2 15 2 2 10" xfId="13660" xr:uid="{00000000-0005-0000-0000-000069350000}"/>
    <cellStyle name="Positive 2 2 2 15 2 2 10 2" xfId="13661" xr:uid="{00000000-0005-0000-0000-00006A350000}"/>
    <cellStyle name="Positive 2 2 2 15 2 2 11" xfId="13662" xr:uid="{00000000-0005-0000-0000-00006B350000}"/>
    <cellStyle name="Positive 2 2 2 15 2 2 11 2" xfId="13663" xr:uid="{00000000-0005-0000-0000-00006C350000}"/>
    <cellStyle name="Positive 2 2 2 15 2 2 12" xfId="13664" xr:uid="{00000000-0005-0000-0000-00006D350000}"/>
    <cellStyle name="Positive 2 2 2 15 2 2 12 2" xfId="13665" xr:uid="{00000000-0005-0000-0000-00006E350000}"/>
    <cellStyle name="Positive 2 2 2 15 2 2 13" xfId="13666" xr:uid="{00000000-0005-0000-0000-00006F350000}"/>
    <cellStyle name="Positive 2 2 2 15 2 2 13 2" xfId="13667" xr:uid="{00000000-0005-0000-0000-000070350000}"/>
    <cellStyle name="Positive 2 2 2 15 2 2 14" xfId="13668" xr:uid="{00000000-0005-0000-0000-000071350000}"/>
    <cellStyle name="Positive 2 2 2 15 2 2 14 2" xfId="13669" xr:uid="{00000000-0005-0000-0000-000072350000}"/>
    <cellStyle name="Positive 2 2 2 15 2 2 15" xfId="13670" xr:uid="{00000000-0005-0000-0000-000073350000}"/>
    <cellStyle name="Positive 2 2 2 15 2 2 15 2" xfId="13671" xr:uid="{00000000-0005-0000-0000-000074350000}"/>
    <cellStyle name="Positive 2 2 2 15 2 2 16" xfId="13672" xr:uid="{00000000-0005-0000-0000-000075350000}"/>
    <cellStyle name="Positive 2 2 2 15 2 2 16 2" xfId="13673" xr:uid="{00000000-0005-0000-0000-000076350000}"/>
    <cellStyle name="Positive 2 2 2 15 2 2 17" xfId="13674" xr:uid="{00000000-0005-0000-0000-000077350000}"/>
    <cellStyle name="Positive 2 2 2 15 2 2 2" xfId="13675" xr:uid="{00000000-0005-0000-0000-000078350000}"/>
    <cellStyle name="Positive 2 2 2 15 2 2 2 2" xfId="13676" xr:uid="{00000000-0005-0000-0000-000079350000}"/>
    <cellStyle name="Positive 2 2 2 15 2 2 3" xfId="13677" xr:uid="{00000000-0005-0000-0000-00007A350000}"/>
    <cellStyle name="Positive 2 2 2 15 2 2 3 2" xfId="13678" xr:uid="{00000000-0005-0000-0000-00007B350000}"/>
    <cellStyle name="Positive 2 2 2 15 2 2 4" xfId="13679" xr:uid="{00000000-0005-0000-0000-00007C350000}"/>
    <cellStyle name="Positive 2 2 2 15 2 2 4 2" xfId="13680" xr:uid="{00000000-0005-0000-0000-00007D350000}"/>
    <cellStyle name="Positive 2 2 2 15 2 2 5" xfId="13681" xr:uid="{00000000-0005-0000-0000-00007E350000}"/>
    <cellStyle name="Positive 2 2 2 15 2 2 5 2" xfId="13682" xr:uid="{00000000-0005-0000-0000-00007F350000}"/>
    <cellStyle name="Positive 2 2 2 15 2 2 6" xfId="13683" xr:uid="{00000000-0005-0000-0000-000080350000}"/>
    <cellStyle name="Positive 2 2 2 15 2 2 6 2" xfId="13684" xr:uid="{00000000-0005-0000-0000-000081350000}"/>
    <cellStyle name="Positive 2 2 2 15 2 2 7" xfId="13685" xr:uid="{00000000-0005-0000-0000-000082350000}"/>
    <cellStyle name="Positive 2 2 2 15 2 2 7 2" xfId="13686" xr:uid="{00000000-0005-0000-0000-000083350000}"/>
    <cellStyle name="Positive 2 2 2 15 2 2 8" xfId="13687" xr:uid="{00000000-0005-0000-0000-000084350000}"/>
    <cellStyle name="Positive 2 2 2 15 2 2 8 2" xfId="13688" xr:uid="{00000000-0005-0000-0000-000085350000}"/>
    <cellStyle name="Positive 2 2 2 15 2 2 9" xfId="13689" xr:uid="{00000000-0005-0000-0000-000086350000}"/>
    <cellStyle name="Positive 2 2 2 15 2 2 9 2" xfId="13690" xr:uid="{00000000-0005-0000-0000-000087350000}"/>
    <cellStyle name="Positive 2 2 2 15 2 20" xfId="13691" xr:uid="{00000000-0005-0000-0000-000088350000}"/>
    <cellStyle name="Positive 2 2 2 15 2 3" xfId="13692" xr:uid="{00000000-0005-0000-0000-000089350000}"/>
    <cellStyle name="Positive 2 2 2 15 2 3 2" xfId="13693" xr:uid="{00000000-0005-0000-0000-00008A350000}"/>
    <cellStyle name="Positive 2 2 2 15 2 3 2 2" xfId="13694" xr:uid="{00000000-0005-0000-0000-00008B350000}"/>
    <cellStyle name="Positive 2 2 2 15 2 3 3" xfId="13695" xr:uid="{00000000-0005-0000-0000-00008C350000}"/>
    <cellStyle name="Positive 2 2 2 15 2 4" xfId="13696" xr:uid="{00000000-0005-0000-0000-00008D350000}"/>
    <cellStyle name="Positive 2 2 2 15 2 4 2" xfId="13697" xr:uid="{00000000-0005-0000-0000-00008E350000}"/>
    <cellStyle name="Positive 2 2 2 15 2 4 2 2" xfId="13698" xr:uid="{00000000-0005-0000-0000-00008F350000}"/>
    <cellStyle name="Positive 2 2 2 15 2 4 3" xfId="13699" xr:uid="{00000000-0005-0000-0000-000090350000}"/>
    <cellStyle name="Positive 2 2 2 15 2 5" xfId="13700" xr:uid="{00000000-0005-0000-0000-000091350000}"/>
    <cellStyle name="Positive 2 2 2 15 2 5 2" xfId="13701" xr:uid="{00000000-0005-0000-0000-000092350000}"/>
    <cellStyle name="Positive 2 2 2 15 2 6" xfId="13702" xr:uid="{00000000-0005-0000-0000-000093350000}"/>
    <cellStyle name="Positive 2 2 2 15 2 6 2" xfId="13703" xr:uid="{00000000-0005-0000-0000-000094350000}"/>
    <cellStyle name="Positive 2 2 2 15 2 7" xfId="13704" xr:uid="{00000000-0005-0000-0000-000095350000}"/>
    <cellStyle name="Positive 2 2 2 15 2 7 2" xfId="13705" xr:uid="{00000000-0005-0000-0000-000096350000}"/>
    <cellStyle name="Positive 2 2 2 15 2 8" xfId="13706" xr:uid="{00000000-0005-0000-0000-000097350000}"/>
    <cellStyle name="Positive 2 2 2 15 2 8 2" xfId="13707" xr:uid="{00000000-0005-0000-0000-000098350000}"/>
    <cellStyle name="Positive 2 2 2 15 2 9" xfId="13708" xr:uid="{00000000-0005-0000-0000-000099350000}"/>
    <cellStyle name="Positive 2 2 2 15 2 9 2" xfId="13709" xr:uid="{00000000-0005-0000-0000-00009A350000}"/>
    <cellStyle name="Positive 2 2 2 15 20" xfId="13710" xr:uid="{00000000-0005-0000-0000-00009B350000}"/>
    <cellStyle name="Positive 2 2 2 15 20 2" xfId="13711" xr:uid="{00000000-0005-0000-0000-00009C350000}"/>
    <cellStyle name="Positive 2 2 2 15 21" xfId="13712" xr:uid="{00000000-0005-0000-0000-00009D350000}"/>
    <cellStyle name="Positive 2 2 2 15 21 2" xfId="13713" xr:uid="{00000000-0005-0000-0000-00009E350000}"/>
    <cellStyle name="Positive 2 2 2 15 22" xfId="13714" xr:uid="{00000000-0005-0000-0000-00009F350000}"/>
    <cellStyle name="Positive 2 2 2 15 22 2" xfId="13715" xr:uid="{00000000-0005-0000-0000-0000A0350000}"/>
    <cellStyle name="Positive 2 2 2 15 23" xfId="13716" xr:uid="{00000000-0005-0000-0000-0000A1350000}"/>
    <cellStyle name="Positive 2 2 2 15 3" xfId="13717" xr:uid="{00000000-0005-0000-0000-0000A2350000}"/>
    <cellStyle name="Positive 2 2 2 15 3 10" xfId="13718" xr:uid="{00000000-0005-0000-0000-0000A3350000}"/>
    <cellStyle name="Positive 2 2 2 15 3 10 2" xfId="13719" xr:uid="{00000000-0005-0000-0000-0000A4350000}"/>
    <cellStyle name="Positive 2 2 2 15 3 11" xfId="13720" xr:uid="{00000000-0005-0000-0000-0000A5350000}"/>
    <cellStyle name="Positive 2 2 2 15 3 11 2" xfId="13721" xr:uid="{00000000-0005-0000-0000-0000A6350000}"/>
    <cellStyle name="Positive 2 2 2 15 3 12" xfId="13722" xr:uid="{00000000-0005-0000-0000-0000A7350000}"/>
    <cellStyle name="Positive 2 2 2 15 3 12 2" xfId="13723" xr:uid="{00000000-0005-0000-0000-0000A8350000}"/>
    <cellStyle name="Positive 2 2 2 15 3 13" xfId="13724" xr:uid="{00000000-0005-0000-0000-0000A9350000}"/>
    <cellStyle name="Positive 2 2 2 15 3 13 2" xfId="13725" xr:uid="{00000000-0005-0000-0000-0000AA350000}"/>
    <cellStyle name="Positive 2 2 2 15 3 14" xfId="13726" xr:uid="{00000000-0005-0000-0000-0000AB350000}"/>
    <cellStyle name="Positive 2 2 2 15 3 14 2" xfId="13727" xr:uid="{00000000-0005-0000-0000-0000AC350000}"/>
    <cellStyle name="Positive 2 2 2 15 3 15" xfId="13728" xr:uid="{00000000-0005-0000-0000-0000AD350000}"/>
    <cellStyle name="Positive 2 2 2 15 3 15 2" xfId="13729" xr:uid="{00000000-0005-0000-0000-0000AE350000}"/>
    <cellStyle name="Positive 2 2 2 15 3 16" xfId="13730" xr:uid="{00000000-0005-0000-0000-0000AF350000}"/>
    <cellStyle name="Positive 2 2 2 15 3 16 2" xfId="13731" xr:uid="{00000000-0005-0000-0000-0000B0350000}"/>
    <cellStyle name="Positive 2 2 2 15 3 17" xfId="13732" xr:uid="{00000000-0005-0000-0000-0000B1350000}"/>
    <cellStyle name="Positive 2 2 2 15 3 17 2" xfId="13733" xr:uid="{00000000-0005-0000-0000-0000B2350000}"/>
    <cellStyle name="Positive 2 2 2 15 3 18" xfId="13734" xr:uid="{00000000-0005-0000-0000-0000B3350000}"/>
    <cellStyle name="Positive 2 2 2 15 3 18 2" xfId="13735" xr:uid="{00000000-0005-0000-0000-0000B4350000}"/>
    <cellStyle name="Positive 2 2 2 15 3 19" xfId="13736" xr:uid="{00000000-0005-0000-0000-0000B5350000}"/>
    <cellStyle name="Positive 2 2 2 15 3 19 2" xfId="13737" xr:uid="{00000000-0005-0000-0000-0000B6350000}"/>
    <cellStyle name="Positive 2 2 2 15 3 2" xfId="13738" xr:uid="{00000000-0005-0000-0000-0000B7350000}"/>
    <cellStyle name="Positive 2 2 2 15 3 2 10" xfId="13739" xr:uid="{00000000-0005-0000-0000-0000B8350000}"/>
    <cellStyle name="Positive 2 2 2 15 3 2 10 2" xfId="13740" xr:uid="{00000000-0005-0000-0000-0000B9350000}"/>
    <cellStyle name="Positive 2 2 2 15 3 2 11" xfId="13741" xr:uid="{00000000-0005-0000-0000-0000BA350000}"/>
    <cellStyle name="Positive 2 2 2 15 3 2 11 2" xfId="13742" xr:uid="{00000000-0005-0000-0000-0000BB350000}"/>
    <cellStyle name="Positive 2 2 2 15 3 2 12" xfId="13743" xr:uid="{00000000-0005-0000-0000-0000BC350000}"/>
    <cellStyle name="Positive 2 2 2 15 3 2 12 2" xfId="13744" xr:uid="{00000000-0005-0000-0000-0000BD350000}"/>
    <cellStyle name="Positive 2 2 2 15 3 2 13" xfId="13745" xr:uid="{00000000-0005-0000-0000-0000BE350000}"/>
    <cellStyle name="Positive 2 2 2 15 3 2 13 2" xfId="13746" xr:uid="{00000000-0005-0000-0000-0000BF350000}"/>
    <cellStyle name="Positive 2 2 2 15 3 2 14" xfId="13747" xr:uid="{00000000-0005-0000-0000-0000C0350000}"/>
    <cellStyle name="Positive 2 2 2 15 3 2 14 2" xfId="13748" xr:uid="{00000000-0005-0000-0000-0000C1350000}"/>
    <cellStyle name="Positive 2 2 2 15 3 2 15" xfId="13749" xr:uid="{00000000-0005-0000-0000-0000C2350000}"/>
    <cellStyle name="Positive 2 2 2 15 3 2 15 2" xfId="13750" xr:uid="{00000000-0005-0000-0000-0000C3350000}"/>
    <cellStyle name="Positive 2 2 2 15 3 2 16" xfId="13751" xr:uid="{00000000-0005-0000-0000-0000C4350000}"/>
    <cellStyle name="Positive 2 2 2 15 3 2 16 2" xfId="13752" xr:uid="{00000000-0005-0000-0000-0000C5350000}"/>
    <cellStyle name="Positive 2 2 2 15 3 2 17" xfId="13753" xr:uid="{00000000-0005-0000-0000-0000C6350000}"/>
    <cellStyle name="Positive 2 2 2 15 3 2 2" xfId="13754" xr:uid="{00000000-0005-0000-0000-0000C7350000}"/>
    <cellStyle name="Positive 2 2 2 15 3 2 2 2" xfId="13755" xr:uid="{00000000-0005-0000-0000-0000C8350000}"/>
    <cellStyle name="Positive 2 2 2 15 3 2 3" xfId="13756" xr:uid="{00000000-0005-0000-0000-0000C9350000}"/>
    <cellStyle name="Positive 2 2 2 15 3 2 3 2" xfId="13757" xr:uid="{00000000-0005-0000-0000-0000CA350000}"/>
    <cellStyle name="Positive 2 2 2 15 3 2 4" xfId="13758" xr:uid="{00000000-0005-0000-0000-0000CB350000}"/>
    <cellStyle name="Positive 2 2 2 15 3 2 4 2" xfId="13759" xr:uid="{00000000-0005-0000-0000-0000CC350000}"/>
    <cellStyle name="Positive 2 2 2 15 3 2 5" xfId="13760" xr:uid="{00000000-0005-0000-0000-0000CD350000}"/>
    <cellStyle name="Positive 2 2 2 15 3 2 5 2" xfId="13761" xr:uid="{00000000-0005-0000-0000-0000CE350000}"/>
    <cellStyle name="Positive 2 2 2 15 3 2 6" xfId="13762" xr:uid="{00000000-0005-0000-0000-0000CF350000}"/>
    <cellStyle name="Positive 2 2 2 15 3 2 6 2" xfId="13763" xr:uid="{00000000-0005-0000-0000-0000D0350000}"/>
    <cellStyle name="Positive 2 2 2 15 3 2 7" xfId="13764" xr:uid="{00000000-0005-0000-0000-0000D1350000}"/>
    <cellStyle name="Positive 2 2 2 15 3 2 7 2" xfId="13765" xr:uid="{00000000-0005-0000-0000-0000D2350000}"/>
    <cellStyle name="Positive 2 2 2 15 3 2 8" xfId="13766" xr:uid="{00000000-0005-0000-0000-0000D3350000}"/>
    <cellStyle name="Positive 2 2 2 15 3 2 8 2" xfId="13767" xr:uid="{00000000-0005-0000-0000-0000D4350000}"/>
    <cellStyle name="Positive 2 2 2 15 3 2 9" xfId="13768" xr:uid="{00000000-0005-0000-0000-0000D5350000}"/>
    <cellStyle name="Positive 2 2 2 15 3 2 9 2" xfId="13769" xr:uid="{00000000-0005-0000-0000-0000D6350000}"/>
    <cellStyle name="Positive 2 2 2 15 3 20" xfId="13770" xr:uid="{00000000-0005-0000-0000-0000D7350000}"/>
    <cellStyle name="Positive 2 2 2 15 3 3" xfId="13771" xr:uid="{00000000-0005-0000-0000-0000D8350000}"/>
    <cellStyle name="Positive 2 2 2 15 3 3 2" xfId="13772" xr:uid="{00000000-0005-0000-0000-0000D9350000}"/>
    <cellStyle name="Positive 2 2 2 15 3 3 2 2" xfId="13773" xr:uid="{00000000-0005-0000-0000-0000DA350000}"/>
    <cellStyle name="Positive 2 2 2 15 3 3 3" xfId="13774" xr:uid="{00000000-0005-0000-0000-0000DB350000}"/>
    <cellStyle name="Positive 2 2 2 15 3 4" xfId="13775" xr:uid="{00000000-0005-0000-0000-0000DC350000}"/>
    <cellStyle name="Positive 2 2 2 15 3 4 2" xfId="13776" xr:uid="{00000000-0005-0000-0000-0000DD350000}"/>
    <cellStyle name="Positive 2 2 2 15 3 4 2 2" xfId="13777" xr:uid="{00000000-0005-0000-0000-0000DE350000}"/>
    <cellStyle name="Positive 2 2 2 15 3 4 3" xfId="13778" xr:uid="{00000000-0005-0000-0000-0000DF350000}"/>
    <cellStyle name="Positive 2 2 2 15 3 5" xfId="13779" xr:uid="{00000000-0005-0000-0000-0000E0350000}"/>
    <cellStyle name="Positive 2 2 2 15 3 5 2" xfId="13780" xr:uid="{00000000-0005-0000-0000-0000E1350000}"/>
    <cellStyle name="Positive 2 2 2 15 3 6" xfId="13781" xr:uid="{00000000-0005-0000-0000-0000E2350000}"/>
    <cellStyle name="Positive 2 2 2 15 3 6 2" xfId="13782" xr:uid="{00000000-0005-0000-0000-0000E3350000}"/>
    <cellStyle name="Positive 2 2 2 15 3 7" xfId="13783" xr:uid="{00000000-0005-0000-0000-0000E4350000}"/>
    <cellStyle name="Positive 2 2 2 15 3 7 2" xfId="13784" xr:uid="{00000000-0005-0000-0000-0000E5350000}"/>
    <cellStyle name="Positive 2 2 2 15 3 8" xfId="13785" xr:uid="{00000000-0005-0000-0000-0000E6350000}"/>
    <cellStyle name="Positive 2 2 2 15 3 8 2" xfId="13786" xr:uid="{00000000-0005-0000-0000-0000E7350000}"/>
    <cellStyle name="Positive 2 2 2 15 3 9" xfId="13787" xr:uid="{00000000-0005-0000-0000-0000E8350000}"/>
    <cellStyle name="Positive 2 2 2 15 3 9 2" xfId="13788" xr:uid="{00000000-0005-0000-0000-0000E9350000}"/>
    <cellStyle name="Positive 2 2 2 15 4" xfId="13789" xr:uid="{00000000-0005-0000-0000-0000EA350000}"/>
    <cellStyle name="Positive 2 2 2 15 4 10" xfId="13790" xr:uid="{00000000-0005-0000-0000-0000EB350000}"/>
    <cellStyle name="Positive 2 2 2 15 4 10 2" xfId="13791" xr:uid="{00000000-0005-0000-0000-0000EC350000}"/>
    <cellStyle name="Positive 2 2 2 15 4 11" xfId="13792" xr:uid="{00000000-0005-0000-0000-0000ED350000}"/>
    <cellStyle name="Positive 2 2 2 15 4 11 2" xfId="13793" xr:uid="{00000000-0005-0000-0000-0000EE350000}"/>
    <cellStyle name="Positive 2 2 2 15 4 12" xfId="13794" xr:uid="{00000000-0005-0000-0000-0000EF350000}"/>
    <cellStyle name="Positive 2 2 2 15 4 12 2" xfId="13795" xr:uid="{00000000-0005-0000-0000-0000F0350000}"/>
    <cellStyle name="Positive 2 2 2 15 4 13" xfId="13796" xr:uid="{00000000-0005-0000-0000-0000F1350000}"/>
    <cellStyle name="Positive 2 2 2 15 4 13 2" xfId="13797" xr:uid="{00000000-0005-0000-0000-0000F2350000}"/>
    <cellStyle name="Positive 2 2 2 15 4 14" xfId="13798" xr:uid="{00000000-0005-0000-0000-0000F3350000}"/>
    <cellStyle name="Positive 2 2 2 15 4 14 2" xfId="13799" xr:uid="{00000000-0005-0000-0000-0000F4350000}"/>
    <cellStyle name="Positive 2 2 2 15 4 15" xfId="13800" xr:uid="{00000000-0005-0000-0000-0000F5350000}"/>
    <cellStyle name="Positive 2 2 2 15 4 15 2" xfId="13801" xr:uid="{00000000-0005-0000-0000-0000F6350000}"/>
    <cellStyle name="Positive 2 2 2 15 4 16" xfId="13802" xr:uid="{00000000-0005-0000-0000-0000F7350000}"/>
    <cellStyle name="Positive 2 2 2 15 4 16 2" xfId="13803" xr:uid="{00000000-0005-0000-0000-0000F8350000}"/>
    <cellStyle name="Positive 2 2 2 15 4 17" xfId="13804" xr:uid="{00000000-0005-0000-0000-0000F9350000}"/>
    <cellStyle name="Positive 2 2 2 15 4 17 2" xfId="13805" xr:uid="{00000000-0005-0000-0000-0000FA350000}"/>
    <cellStyle name="Positive 2 2 2 15 4 18" xfId="13806" xr:uid="{00000000-0005-0000-0000-0000FB350000}"/>
    <cellStyle name="Positive 2 2 2 15 4 18 2" xfId="13807" xr:uid="{00000000-0005-0000-0000-0000FC350000}"/>
    <cellStyle name="Positive 2 2 2 15 4 19" xfId="13808" xr:uid="{00000000-0005-0000-0000-0000FD350000}"/>
    <cellStyle name="Positive 2 2 2 15 4 19 2" xfId="13809" xr:uid="{00000000-0005-0000-0000-0000FE350000}"/>
    <cellStyle name="Positive 2 2 2 15 4 2" xfId="13810" xr:uid="{00000000-0005-0000-0000-0000FF350000}"/>
    <cellStyle name="Positive 2 2 2 15 4 2 10" xfId="13811" xr:uid="{00000000-0005-0000-0000-000000360000}"/>
    <cellStyle name="Positive 2 2 2 15 4 2 10 2" xfId="13812" xr:uid="{00000000-0005-0000-0000-000001360000}"/>
    <cellStyle name="Positive 2 2 2 15 4 2 11" xfId="13813" xr:uid="{00000000-0005-0000-0000-000002360000}"/>
    <cellStyle name="Positive 2 2 2 15 4 2 11 2" xfId="13814" xr:uid="{00000000-0005-0000-0000-000003360000}"/>
    <cellStyle name="Positive 2 2 2 15 4 2 12" xfId="13815" xr:uid="{00000000-0005-0000-0000-000004360000}"/>
    <cellStyle name="Positive 2 2 2 15 4 2 12 2" xfId="13816" xr:uid="{00000000-0005-0000-0000-000005360000}"/>
    <cellStyle name="Positive 2 2 2 15 4 2 13" xfId="13817" xr:uid="{00000000-0005-0000-0000-000006360000}"/>
    <cellStyle name="Positive 2 2 2 15 4 2 13 2" xfId="13818" xr:uid="{00000000-0005-0000-0000-000007360000}"/>
    <cellStyle name="Positive 2 2 2 15 4 2 14" xfId="13819" xr:uid="{00000000-0005-0000-0000-000008360000}"/>
    <cellStyle name="Positive 2 2 2 15 4 2 14 2" xfId="13820" xr:uid="{00000000-0005-0000-0000-000009360000}"/>
    <cellStyle name="Positive 2 2 2 15 4 2 15" xfId="13821" xr:uid="{00000000-0005-0000-0000-00000A360000}"/>
    <cellStyle name="Positive 2 2 2 15 4 2 15 2" xfId="13822" xr:uid="{00000000-0005-0000-0000-00000B360000}"/>
    <cellStyle name="Positive 2 2 2 15 4 2 16" xfId="13823" xr:uid="{00000000-0005-0000-0000-00000C360000}"/>
    <cellStyle name="Positive 2 2 2 15 4 2 16 2" xfId="13824" xr:uid="{00000000-0005-0000-0000-00000D360000}"/>
    <cellStyle name="Positive 2 2 2 15 4 2 17" xfId="13825" xr:uid="{00000000-0005-0000-0000-00000E360000}"/>
    <cellStyle name="Positive 2 2 2 15 4 2 2" xfId="13826" xr:uid="{00000000-0005-0000-0000-00000F360000}"/>
    <cellStyle name="Positive 2 2 2 15 4 2 2 2" xfId="13827" xr:uid="{00000000-0005-0000-0000-000010360000}"/>
    <cellStyle name="Positive 2 2 2 15 4 2 3" xfId="13828" xr:uid="{00000000-0005-0000-0000-000011360000}"/>
    <cellStyle name="Positive 2 2 2 15 4 2 3 2" xfId="13829" xr:uid="{00000000-0005-0000-0000-000012360000}"/>
    <cellStyle name="Positive 2 2 2 15 4 2 4" xfId="13830" xr:uid="{00000000-0005-0000-0000-000013360000}"/>
    <cellStyle name="Positive 2 2 2 15 4 2 4 2" xfId="13831" xr:uid="{00000000-0005-0000-0000-000014360000}"/>
    <cellStyle name="Positive 2 2 2 15 4 2 5" xfId="13832" xr:uid="{00000000-0005-0000-0000-000015360000}"/>
    <cellStyle name="Positive 2 2 2 15 4 2 5 2" xfId="13833" xr:uid="{00000000-0005-0000-0000-000016360000}"/>
    <cellStyle name="Positive 2 2 2 15 4 2 6" xfId="13834" xr:uid="{00000000-0005-0000-0000-000017360000}"/>
    <cellStyle name="Positive 2 2 2 15 4 2 6 2" xfId="13835" xr:uid="{00000000-0005-0000-0000-000018360000}"/>
    <cellStyle name="Positive 2 2 2 15 4 2 7" xfId="13836" xr:uid="{00000000-0005-0000-0000-000019360000}"/>
    <cellStyle name="Positive 2 2 2 15 4 2 7 2" xfId="13837" xr:uid="{00000000-0005-0000-0000-00001A360000}"/>
    <cellStyle name="Positive 2 2 2 15 4 2 8" xfId="13838" xr:uid="{00000000-0005-0000-0000-00001B360000}"/>
    <cellStyle name="Positive 2 2 2 15 4 2 8 2" xfId="13839" xr:uid="{00000000-0005-0000-0000-00001C360000}"/>
    <cellStyle name="Positive 2 2 2 15 4 2 9" xfId="13840" xr:uid="{00000000-0005-0000-0000-00001D360000}"/>
    <cellStyle name="Positive 2 2 2 15 4 2 9 2" xfId="13841" xr:uid="{00000000-0005-0000-0000-00001E360000}"/>
    <cellStyle name="Positive 2 2 2 15 4 20" xfId="13842" xr:uid="{00000000-0005-0000-0000-00001F360000}"/>
    <cellStyle name="Positive 2 2 2 15 4 3" xfId="13843" xr:uid="{00000000-0005-0000-0000-000020360000}"/>
    <cellStyle name="Positive 2 2 2 15 4 3 2" xfId="13844" xr:uid="{00000000-0005-0000-0000-000021360000}"/>
    <cellStyle name="Positive 2 2 2 15 4 3 2 2" xfId="13845" xr:uid="{00000000-0005-0000-0000-000022360000}"/>
    <cellStyle name="Positive 2 2 2 15 4 3 3" xfId="13846" xr:uid="{00000000-0005-0000-0000-000023360000}"/>
    <cellStyle name="Positive 2 2 2 15 4 4" xfId="13847" xr:uid="{00000000-0005-0000-0000-000024360000}"/>
    <cellStyle name="Positive 2 2 2 15 4 4 2" xfId="13848" xr:uid="{00000000-0005-0000-0000-000025360000}"/>
    <cellStyle name="Positive 2 2 2 15 4 4 2 2" xfId="13849" xr:uid="{00000000-0005-0000-0000-000026360000}"/>
    <cellStyle name="Positive 2 2 2 15 4 4 3" xfId="13850" xr:uid="{00000000-0005-0000-0000-000027360000}"/>
    <cellStyle name="Positive 2 2 2 15 4 5" xfId="13851" xr:uid="{00000000-0005-0000-0000-000028360000}"/>
    <cellStyle name="Positive 2 2 2 15 4 5 2" xfId="13852" xr:uid="{00000000-0005-0000-0000-000029360000}"/>
    <cellStyle name="Positive 2 2 2 15 4 6" xfId="13853" xr:uid="{00000000-0005-0000-0000-00002A360000}"/>
    <cellStyle name="Positive 2 2 2 15 4 6 2" xfId="13854" xr:uid="{00000000-0005-0000-0000-00002B360000}"/>
    <cellStyle name="Positive 2 2 2 15 4 7" xfId="13855" xr:uid="{00000000-0005-0000-0000-00002C360000}"/>
    <cellStyle name="Positive 2 2 2 15 4 7 2" xfId="13856" xr:uid="{00000000-0005-0000-0000-00002D360000}"/>
    <cellStyle name="Positive 2 2 2 15 4 8" xfId="13857" xr:uid="{00000000-0005-0000-0000-00002E360000}"/>
    <cellStyle name="Positive 2 2 2 15 4 8 2" xfId="13858" xr:uid="{00000000-0005-0000-0000-00002F360000}"/>
    <cellStyle name="Positive 2 2 2 15 4 9" xfId="13859" xr:uid="{00000000-0005-0000-0000-000030360000}"/>
    <cellStyle name="Positive 2 2 2 15 4 9 2" xfId="13860" xr:uid="{00000000-0005-0000-0000-000031360000}"/>
    <cellStyle name="Positive 2 2 2 15 5" xfId="13861" xr:uid="{00000000-0005-0000-0000-000032360000}"/>
    <cellStyle name="Positive 2 2 2 15 5 10" xfId="13862" xr:uid="{00000000-0005-0000-0000-000033360000}"/>
    <cellStyle name="Positive 2 2 2 15 5 10 2" xfId="13863" xr:uid="{00000000-0005-0000-0000-000034360000}"/>
    <cellStyle name="Positive 2 2 2 15 5 11" xfId="13864" xr:uid="{00000000-0005-0000-0000-000035360000}"/>
    <cellStyle name="Positive 2 2 2 15 5 11 2" xfId="13865" xr:uid="{00000000-0005-0000-0000-000036360000}"/>
    <cellStyle name="Positive 2 2 2 15 5 12" xfId="13866" xr:uid="{00000000-0005-0000-0000-000037360000}"/>
    <cellStyle name="Positive 2 2 2 15 5 12 2" xfId="13867" xr:uid="{00000000-0005-0000-0000-000038360000}"/>
    <cellStyle name="Positive 2 2 2 15 5 13" xfId="13868" xr:uid="{00000000-0005-0000-0000-000039360000}"/>
    <cellStyle name="Positive 2 2 2 15 5 13 2" xfId="13869" xr:uid="{00000000-0005-0000-0000-00003A360000}"/>
    <cellStyle name="Positive 2 2 2 15 5 14" xfId="13870" xr:uid="{00000000-0005-0000-0000-00003B360000}"/>
    <cellStyle name="Positive 2 2 2 15 5 14 2" xfId="13871" xr:uid="{00000000-0005-0000-0000-00003C360000}"/>
    <cellStyle name="Positive 2 2 2 15 5 15" xfId="13872" xr:uid="{00000000-0005-0000-0000-00003D360000}"/>
    <cellStyle name="Positive 2 2 2 15 5 15 2" xfId="13873" xr:uid="{00000000-0005-0000-0000-00003E360000}"/>
    <cellStyle name="Positive 2 2 2 15 5 16" xfId="13874" xr:uid="{00000000-0005-0000-0000-00003F360000}"/>
    <cellStyle name="Positive 2 2 2 15 5 16 2" xfId="13875" xr:uid="{00000000-0005-0000-0000-000040360000}"/>
    <cellStyle name="Positive 2 2 2 15 5 17" xfId="13876" xr:uid="{00000000-0005-0000-0000-000041360000}"/>
    <cellStyle name="Positive 2 2 2 15 5 2" xfId="13877" xr:uid="{00000000-0005-0000-0000-000042360000}"/>
    <cellStyle name="Positive 2 2 2 15 5 2 2" xfId="13878" xr:uid="{00000000-0005-0000-0000-000043360000}"/>
    <cellStyle name="Positive 2 2 2 15 5 3" xfId="13879" xr:uid="{00000000-0005-0000-0000-000044360000}"/>
    <cellStyle name="Positive 2 2 2 15 5 3 2" xfId="13880" xr:uid="{00000000-0005-0000-0000-000045360000}"/>
    <cellStyle name="Positive 2 2 2 15 5 4" xfId="13881" xr:uid="{00000000-0005-0000-0000-000046360000}"/>
    <cellStyle name="Positive 2 2 2 15 5 4 2" xfId="13882" xr:uid="{00000000-0005-0000-0000-000047360000}"/>
    <cellStyle name="Positive 2 2 2 15 5 5" xfId="13883" xr:uid="{00000000-0005-0000-0000-000048360000}"/>
    <cellStyle name="Positive 2 2 2 15 5 5 2" xfId="13884" xr:uid="{00000000-0005-0000-0000-000049360000}"/>
    <cellStyle name="Positive 2 2 2 15 5 6" xfId="13885" xr:uid="{00000000-0005-0000-0000-00004A360000}"/>
    <cellStyle name="Positive 2 2 2 15 5 6 2" xfId="13886" xr:uid="{00000000-0005-0000-0000-00004B360000}"/>
    <cellStyle name="Positive 2 2 2 15 5 7" xfId="13887" xr:uid="{00000000-0005-0000-0000-00004C360000}"/>
    <cellStyle name="Positive 2 2 2 15 5 7 2" xfId="13888" xr:uid="{00000000-0005-0000-0000-00004D360000}"/>
    <cellStyle name="Positive 2 2 2 15 5 8" xfId="13889" xr:uid="{00000000-0005-0000-0000-00004E360000}"/>
    <cellStyle name="Positive 2 2 2 15 5 8 2" xfId="13890" xr:uid="{00000000-0005-0000-0000-00004F360000}"/>
    <cellStyle name="Positive 2 2 2 15 5 9" xfId="13891" xr:uid="{00000000-0005-0000-0000-000050360000}"/>
    <cellStyle name="Positive 2 2 2 15 5 9 2" xfId="13892" xr:uid="{00000000-0005-0000-0000-000051360000}"/>
    <cellStyle name="Positive 2 2 2 15 6" xfId="13893" xr:uid="{00000000-0005-0000-0000-000052360000}"/>
    <cellStyle name="Positive 2 2 2 15 6 2" xfId="13894" xr:uid="{00000000-0005-0000-0000-000053360000}"/>
    <cellStyle name="Positive 2 2 2 15 6 2 2" xfId="13895" xr:uid="{00000000-0005-0000-0000-000054360000}"/>
    <cellStyle name="Positive 2 2 2 15 6 3" xfId="13896" xr:uid="{00000000-0005-0000-0000-000055360000}"/>
    <cellStyle name="Positive 2 2 2 15 7" xfId="13897" xr:uid="{00000000-0005-0000-0000-000056360000}"/>
    <cellStyle name="Positive 2 2 2 15 7 2" xfId="13898" xr:uid="{00000000-0005-0000-0000-000057360000}"/>
    <cellStyle name="Positive 2 2 2 15 7 2 2" xfId="13899" xr:uid="{00000000-0005-0000-0000-000058360000}"/>
    <cellStyle name="Positive 2 2 2 15 7 3" xfId="13900" xr:uid="{00000000-0005-0000-0000-000059360000}"/>
    <cellStyle name="Positive 2 2 2 15 8" xfId="13901" xr:uid="{00000000-0005-0000-0000-00005A360000}"/>
    <cellStyle name="Positive 2 2 2 15 8 2" xfId="13902" xr:uid="{00000000-0005-0000-0000-00005B360000}"/>
    <cellStyle name="Positive 2 2 2 15 9" xfId="13903" xr:uid="{00000000-0005-0000-0000-00005C360000}"/>
    <cellStyle name="Positive 2 2 2 15 9 2" xfId="13904" xr:uid="{00000000-0005-0000-0000-00005D360000}"/>
    <cellStyle name="Positive 2 2 2 16" xfId="13905" xr:uid="{00000000-0005-0000-0000-00005E360000}"/>
    <cellStyle name="Positive 2 2 2 16 10" xfId="13906" xr:uid="{00000000-0005-0000-0000-00005F360000}"/>
    <cellStyle name="Positive 2 2 2 16 10 2" xfId="13907" xr:uid="{00000000-0005-0000-0000-000060360000}"/>
    <cellStyle name="Positive 2 2 2 16 11" xfId="13908" xr:uid="{00000000-0005-0000-0000-000061360000}"/>
    <cellStyle name="Positive 2 2 2 16 11 2" xfId="13909" xr:uid="{00000000-0005-0000-0000-000062360000}"/>
    <cellStyle name="Positive 2 2 2 16 12" xfId="13910" xr:uid="{00000000-0005-0000-0000-000063360000}"/>
    <cellStyle name="Positive 2 2 2 16 12 2" xfId="13911" xr:uid="{00000000-0005-0000-0000-000064360000}"/>
    <cellStyle name="Positive 2 2 2 16 13" xfId="13912" xr:uid="{00000000-0005-0000-0000-000065360000}"/>
    <cellStyle name="Positive 2 2 2 16 13 2" xfId="13913" xr:uid="{00000000-0005-0000-0000-000066360000}"/>
    <cellStyle name="Positive 2 2 2 16 14" xfId="13914" xr:uid="{00000000-0005-0000-0000-000067360000}"/>
    <cellStyle name="Positive 2 2 2 16 14 2" xfId="13915" xr:uid="{00000000-0005-0000-0000-000068360000}"/>
    <cellStyle name="Positive 2 2 2 16 15" xfId="13916" xr:uid="{00000000-0005-0000-0000-000069360000}"/>
    <cellStyle name="Positive 2 2 2 16 15 2" xfId="13917" xr:uid="{00000000-0005-0000-0000-00006A360000}"/>
    <cellStyle name="Positive 2 2 2 16 16" xfId="13918" xr:uid="{00000000-0005-0000-0000-00006B360000}"/>
    <cellStyle name="Positive 2 2 2 16 16 2" xfId="13919" xr:uid="{00000000-0005-0000-0000-00006C360000}"/>
    <cellStyle name="Positive 2 2 2 16 17" xfId="13920" xr:uid="{00000000-0005-0000-0000-00006D360000}"/>
    <cellStyle name="Positive 2 2 2 16 17 2" xfId="13921" xr:uid="{00000000-0005-0000-0000-00006E360000}"/>
    <cellStyle name="Positive 2 2 2 16 18" xfId="13922" xr:uid="{00000000-0005-0000-0000-00006F360000}"/>
    <cellStyle name="Positive 2 2 2 16 18 2" xfId="13923" xr:uid="{00000000-0005-0000-0000-000070360000}"/>
    <cellStyle name="Positive 2 2 2 16 19" xfId="13924" xr:uid="{00000000-0005-0000-0000-000071360000}"/>
    <cellStyle name="Positive 2 2 2 16 19 2" xfId="13925" xr:uid="{00000000-0005-0000-0000-000072360000}"/>
    <cellStyle name="Positive 2 2 2 16 2" xfId="13926" xr:uid="{00000000-0005-0000-0000-000073360000}"/>
    <cellStyle name="Positive 2 2 2 16 2 10" xfId="13927" xr:uid="{00000000-0005-0000-0000-000074360000}"/>
    <cellStyle name="Positive 2 2 2 16 2 10 2" xfId="13928" xr:uid="{00000000-0005-0000-0000-000075360000}"/>
    <cellStyle name="Positive 2 2 2 16 2 11" xfId="13929" xr:uid="{00000000-0005-0000-0000-000076360000}"/>
    <cellStyle name="Positive 2 2 2 16 2 11 2" xfId="13930" xr:uid="{00000000-0005-0000-0000-000077360000}"/>
    <cellStyle name="Positive 2 2 2 16 2 12" xfId="13931" xr:uid="{00000000-0005-0000-0000-000078360000}"/>
    <cellStyle name="Positive 2 2 2 16 2 12 2" xfId="13932" xr:uid="{00000000-0005-0000-0000-000079360000}"/>
    <cellStyle name="Positive 2 2 2 16 2 13" xfId="13933" xr:uid="{00000000-0005-0000-0000-00007A360000}"/>
    <cellStyle name="Positive 2 2 2 16 2 13 2" xfId="13934" xr:uid="{00000000-0005-0000-0000-00007B360000}"/>
    <cellStyle name="Positive 2 2 2 16 2 14" xfId="13935" xr:uid="{00000000-0005-0000-0000-00007C360000}"/>
    <cellStyle name="Positive 2 2 2 16 2 14 2" xfId="13936" xr:uid="{00000000-0005-0000-0000-00007D360000}"/>
    <cellStyle name="Positive 2 2 2 16 2 15" xfId="13937" xr:uid="{00000000-0005-0000-0000-00007E360000}"/>
    <cellStyle name="Positive 2 2 2 16 2 15 2" xfId="13938" xr:uid="{00000000-0005-0000-0000-00007F360000}"/>
    <cellStyle name="Positive 2 2 2 16 2 16" xfId="13939" xr:uid="{00000000-0005-0000-0000-000080360000}"/>
    <cellStyle name="Positive 2 2 2 16 2 16 2" xfId="13940" xr:uid="{00000000-0005-0000-0000-000081360000}"/>
    <cellStyle name="Positive 2 2 2 16 2 17" xfId="13941" xr:uid="{00000000-0005-0000-0000-000082360000}"/>
    <cellStyle name="Positive 2 2 2 16 2 2" xfId="13942" xr:uid="{00000000-0005-0000-0000-000083360000}"/>
    <cellStyle name="Positive 2 2 2 16 2 2 2" xfId="13943" xr:uid="{00000000-0005-0000-0000-000084360000}"/>
    <cellStyle name="Positive 2 2 2 16 2 3" xfId="13944" xr:uid="{00000000-0005-0000-0000-000085360000}"/>
    <cellStyle name="Positive 2 2 2 16 2 3 2" xfId="13945" xr:uid="{00000000-0005-0000-0000-000086360000}"/>
    <cellStyle name="Positive 2 2 2 16 2 4" xfId="13946" xr:uid="{00000000-0005-0000-0000-000087360000}"/>
    <cellStyle name="Positive 2 2 2 16 2 4 2" xfId="13947" xr:uid="{00000000-0005-0000-0000-000088360000}"/>
    <cellStyle name="Positive 2 2 2 16 2 5" xfId="13948" xr:uid="{00000000-0005-0000-0000-000089360000}"/>
    <cellStyle name="Positive 2 2 2 16 2 5 2" xfId="13949" xr:uid="{00000000-0005-0000-0000-00008A360000}"/>
    <cellStyle name="Positive 2 2 2 16 2 6" xfId="13950" xr:uid="{00000000-0005-0000-0000-00008B360000}"/>
    <cellStyle name="Positive 2 2 2 16 2 6 2" xfId="13951" xr:uid="{00000000-0005-0000-0000-00008C360000}"/>
    <cellStyle name="Positive 2 2 2 16 2 7" xfId="13952" xr:uid="{00000000-0005-0000-0000-00008D360000}"/>
    <cellStyle name="Positive 2 2 2 16 2 7 2" xfId="13953" xr:uid="{00000000-0005-0000-0000-00008E360000}"/>
    <cellStyle name="Positive 2 2 2 16 2 8" xfId="13954" xr:uid="{00000000-0005-0000-0000-00008F360000}"/>
    <cellStyle name="Positive 2 2 2 16 2 8 2" xfId="13955" xr:uid="{00000000-0005-0000-0000-000090360000}"/>
    <cellStyle name="Positive 2 2 2 16 2 9" xfId="13956" xr:uid="{00000000-0005-0000-0000-000091360000}"/>
    <cellStyle name="Positive 2 2 2 16 2 9 2" xfId="13957" xr:uid="{00000000-0005-0000-0000-000092360000}"/>
    <cellStyle name="Positive 2 2 2 16 20" xfId="13958" xr:uid="{00000000-0005-0000-0000-000093360000}"/>
    <cellStyle name="Positive 2 2 2 16 3" xfId="13959" xr:uid="{00000000-0005-0000-0000-000094360000}"/>
    <cellStyle name="Positive 2 2 2 16 3 2" xfId="13960" xr:uid="{00000000-0005-0000-0000-000095360000}"/>
    <cellStyle name="Positive 2 2 2 16 3 2 2" xfId="13961" xr:uid="{00000000-0005-0000-0000-000096360000}"/>
    <cellStyle name="Positive 2 2 2 16 3 3" xfId="13962" xr:uid="{00000000-0005-0000-0000-000097360000}"/>
    <cellStyle name="Positive 2 2 2 16 4" xfId="13963" xr:uid="{00000000-0005-0000-0000-000098360000}"/>
    <cellStyle name="Positive 2 2 2 16 4 2" xfId="13964" xr:uid="{00000000-0005-0000-0000-000099360000}"/>
    <cellStyle name="Positive 2 2 2 16 4 2 2" xfId="13965" xr:uid="{00000000-0005-0000-0000-00009A360000}"/>
    <cellStyle name="Positive 2 2 2 16 4 3" xfId="13966" xr:uid="{00000000-0005-0000-0000-00009B360000}"/>
    <cellStyle name="Positive 2 2 2 16 5" xfId="13967" xr:uid="{00000000-0005-0000-0000-00009C360000}"/>
    <cellStyle name="Positive 2 2 2 16 5 2" xfId="13968" xr:uid="{00000000-0005-0000-0000-00009D360000}"/>
    <cellStyle name="Positive 2 2 2 16 6" xfId="13969" xr:uid="{00000000-0005-0000-0000-00009E360000}"/>
    <cellStyle name="Positive 2 2 2 16 6 2" xfId="13970" xr:uid="{00000000-0005-0000-0000-00009F360000}"/>
    <cellStyle name="Positive 2 2 2 16 7" xfId="13971" xr:uid="{00000000-0005-0000-0000-0000A0360000}"/>
    <cellStyle name="Positive 2 2 2 16 7 2" xfId="13972" xr:uid="{00000000-0005-0000-0000-0000A1360000}"/>
    <cellStyle name="Positive 2 2 2 16 8" xfId="13973" xr:uid="{00000000-0005-0000-0000-0000A2360000}"/>
    <cellStyle name="Positive 2 2 2 16 8 2" xfId="13974" xr:uid="{00000000-0005-0000-0000-0000A3360000}"/>
    <cellStyle name="Positive 2 2 2 16 9" xfId="13975" xr:uid="{00000000-0005-0000-0000-0000A4360000}"/>
    <cellStyle name="Positive 2 2 2 16 9 2" xfId="13976" xr:uid="{00000000-0005-0000-0000-0000A5360000}"/>
    <cellStyle name="Positive 2 2 2 17" xfId="13977" xr:uid="{00000000-0005-0000-0000-0000A6360000}"/>
    <cellStyle name="Positive 2 2 2 17 10" xfId="13978" xr:uid="{00000000-0005-0000-0000-0000A7360000}"/>
    <cellStyle name="Positive 2 2 2 17 10 2" xfId="13979" xr:uid="{00000000-0005-0000-0000-0000A8360000}"/>
    <cellStyle name="Positive 2 2 2 17 11" xfId="13980" xr:uid="{00000000-0005-0000-0000-0000A9360000}"/>
    <cellStyle name="Positive 2 2 2 17 11 2" xfId="13981" xr:uid="{00000000-0005-0000-0000-0000AA360000}"/>
    <cellStyle name="Positive 2 2 2 17 12" xfId="13982" xr:uid="{00000000-0005-0000-0000-0000AB360000}"/>
    <cellStyle name="Positive 2 2 2 17 12 2" xfId="13983" xr:uid="{00000000-0005-0000-0000-0000AC360000}"/>
    <cellStyle name="Positive 2 2 2 17 13" xfId="13984" xr:uid="{00000000-0005-0000-0000-0000AD360000}"/>
    <cellStyle name="Positive 2 2 2 17 13 2" xfId="13985" xr:uid="{00000000-0005-0000-0000-0000AE360000}"/>
    <cellStyle name="Positive 2 2 2 17 14" xfId="13986" xr:uid="{00000000-0005-0000-0000-0000AF360000}"/>
    <cellStyle name="Positive 2 2 2 17 14 2" xfId="13987" xr:uid="{00000000-0005-0000-0000-0000B0360000}"/>
    <cellStyle name="Positive 2 2 2 17 15" xfId="13988" xr:uid="{00000000-0005-0000-0000-0000B1360000}"/>
    <cellStyle name="Positive 2 2 2 17 15 2" xfId="13989" xr:uid="{00000000-0005-0000-0000-0000B2360000}"/>
    <cellStyle name="Positive 2 2 2 17 16" xfId="13990" xr:uid="{00000000-0005-0000-0000-0000B3360000}"/>
    <cellStyle name="Positive 2 2 2 17 16 2" xfId="13991" xr:uid="{00000000-0005-0000-0000-0000B4360000}"/>
    <cellStyle name="Positive 2 2 2 17 17" xfId="13992" xr:uid="{00000000-0005-0000-0000-0000B5360000}"/>
    <cellStyle name="Positive 2 2 2 17 17 2" xfId="13993" xr:uid="{00000000-0005-0000-0000-0000B6360000}"/>
    <cellStyle name="Positive 2 2 2 17 18" xfId="13994" xr:uid="{00000000-0005-0000-0000-0000B7360000}"/>
    <cellStyle name="Positive 2 2 2 17 18 2" xfId="13995" xr:uid="{00000000-0005-0000-0000-0000B8360000}"/>
    <cellStyle name="Positive 2 2 2 17 19" xfId="13996" xr:uid="{00000000-0005-0000-0000-0000B9360000}"/>
    <cellStyle name="Positive 2 2 2 17 19 2" xfId="13997" xr:uid="{00000000-0005-0000-0000-0000BA360000}"/>
    <cellStyle name="Positive 2 2 2 17 2" xfId="13998" xr:uid="{00000000-0005-0000-0000-0000BB360000}"/>
    <cellStyle name="Positive 2 2 2 17 2 10" xfId="13999" xr:uid="{00000000-0005-0000-0000-0000BC360000}"/>
    <cellStyle name="Positive 2 2 2 17 2 10 2" xfId="14000" xr:uid="{00000000-0005-0000-0000-0000BD360000}"/>
    <cellStyle name="Positive 2 2 2 17 2 11" xfId="14001" xr:uid="{00000000-0005-0000-0000-0000BE360000}"/>
    <cellStyle name="Positive 2 2 2 17 2 11 2" xfId="14002" xr:uid="{00000000-0005-0000-0000-0000BF360000}"/>
    <cellStyle name="Positive 2 2 2 17 2 12" xfId="14003" xr:uid="{00000000-0005-0000-0000-0000C0360000}"/>
    <cellStyle name="Positive 2 2 2 17 2 12 2" xfId="14004" xr:uid="{00000000-0005-0000-0000-0000C1360000}"/>
    <cellStyle name="Positive 2 2 2 17 2 13" xfId="14005" xr:uid="{00000000-0005-0000-0000-0000C2360000}"/>
    <cellStyle name="Positive 2 2 2 17 2 13 2" xfId="14006" xr:uid="{00000000-0005-0000-0000-0000C3360000}"/>
    <cellStyle name="Positive 2 2 2 17 2 14" xfId="14007" xr:uid="{00000000-0005-0000-0000-0000C4360000}"/>
    <cellStyle name="Positive 2 2 2 17 2 14 2" xfId="14008" xr:uid="{00000000-0005-0000-0000-0000C5360000}"/>
    <cellStyle name="Positive 2 2 2 17 2 15" xfId="14009" xr:uid="{00000000-0005-0000-0000-0000C6360000}"/>
    <cellStyle name="Positive 2 2 2 17 2 15 2" xfId="14010" xr:uid="{00000000-0005-0000-0000-0000C7360000}"/>
    <cellStyle name="Positive 2 2 2 17 2 16" xfId="14011" xr:uid="{00000000-0005-0000-0000-0000C8360000}"/>
    <cellStyle name="Positive 2 2 2 17 2 16 2" xfId="14012" xr:uid="{00000000-0005-0000-0000-0000C9360000}"/>
    <cellStyle name="Positive 2 2 2 17 2 17" xfId="14013" xr:uid="{00000000-0005-0000-0000-0000CA360000}"/>
    <cellStyle name="Positive 2 2 2 17 2 2" xfId="14014" xr:uid="{00000000-0005-0000-0000-0000CB360000}"/>
    <cellStyle name="Positive 2 2 2 17 2 2 2" xfId="14015" xr:uid="{00000000-0005-0000-0000-0000CC360000}"/>
    <cellStyle name="Positive 2 2 2 17 2 3" xfId="14016" xr:uid="{00000000-0005-0000-0000-0000CD360000}"/>
    <cellStyle name="Positive 2 2 2 17 2 3 2" xfId="14017" xr:uid="{00000000-0005-0000-0000-0000CE360000}"/>
    <cellStyle name="Positive 2 2 2 17 2 4" xfId="14018" xr:uid="{00000000-0005-0000-0000-0000CF360000}"/>
    <cellStyle name="Positive 2 2 2 17 2 4 2" xfId="14019" xr:uid="{00000000-0005-0000-0000-0000D0360000}"/>
    <cellStyle name="Positive 2 2 2 17 2 5" xfId="14020" xr:uid="{00000000-0005-0000-0000-0000D1360000}"/>
    <cellStyle name="Positive 2 2 2 17 2 5 2" xfId="14021" xr:uid="{00000000-0005-0000-0000-0000D2360000}"/>
    <cellStyle name="Positive 2 2 2 17 2 6" xfId="14022" xr:uid="{00000000-0005-0000-0000-0000D3360000}"/>
    <cellStyle name="Positive 2 2 2 17 2 6 2" xfId="14023" xr:uid="{00000000-0005-0000-0000-0000D4360000}"/>
    <cellStyle name="Positive 2 2 2 17 2 7" xfId="14024" xr:uid="{00000000-0005-0000-0000-0000D5360000}"/>
    <cellStyle name="Positive 2 2 2 17 2 7 2" xfId="14025" xr:uid="{00000000-0005-0000-0000-0000D6360000}"/>
    <cellStyle name="Positive 2 2 2 17 2 8" xfId="14026" xr:uid="{00000000-0005-0000-0000-0000D7360000}"/>
    <cellStyle name="Positive 2 2 2 17 2 8 2" xfId="14027" xr:uid="{00000000-0005-0000-0000-0000D8360000}"/>
    <cellStyle name="Positive 2 2 2 17 2 9" xfId="14028" xr:uid="{00000000-0005-0000-0000-0000D9360000}"/>
    <cellStyle name="Positive 2 2 2 17 2 9 2" xfId="14029" xr:uid="{00000000-0005-0000-0000-0000DA360000}"/>
    <cellStyle name="Positive 2 2 2 17 20" xfId="14030" xr:uid="{00000000-0005-0000-0000-0000DB360000}"/>
    <cellStyle name="Positive 2 2 2 17 3" xfId="14031" xr:uid="{00000000-0005-0000-0000-0000DC360000}"/>
    <cellStyle name="Positive 2 2 2 17 3 2" xfId="14032" xr:uid="{00000000-0005-0000-0000-0000DD360000}"/>
    <cellStyle name="Positive 2 2 2 17 3 2 2" xfId="14033" xr:uid="{00000000-0005-0000-0000-0000DE360000}"/>
    <cellStyle name="Positive 2 2 2 17 3 3" xfId="14034" xr:uid="{00000000-0005-0000-0000-0000DF360000}"/>
    <cellStyle name="Positive 2 2 2 17 4" xfId="14035" xr:uid="{00000000-0005-0000-0000-0000E0360000}"/>
    <cellStyle name="Positive 2 2 2 17 4 2" xfId="14036" xr:uid="{00000000-0005-0000-0000-0000E1360000}"/>
    <cellStyle name="Positive 2 2 2 17 4 2 2" xfId="14037" xr:uid="{00000000-0005-0000-0000-0000E2360000}"/>
    <cellStyle name="Positive 2 2 2 17 4 3" xfId="14038" xr:uid="{00000000-0005-0000-0000-0000E3360000}"/>
    <cellStyle name="Positive 2 2 2 17 5" xfId="14039" xr:uid="{00000000-0005-0000-0000-0000E4360000}"/>
    <cellStyle name="Positive 2 2 2 17 5 2" xfId="14040" xr:uid="{00000000-0005-0000-0000-0000E5360000}"/>
    <cellStyle name="Positive 2 2 2 17 6" xfId="14041" xr:uid="{00000000-0005-0000-0000-0000E6360000}"/>
    <cellStyle name="Positive 2 2 2 17 6 2" xfId="14042" xr:uid="{00000000-0005-0000-0000-0000E7360000}"/>
    <cellStyle name="Positive 2 2 2 17 7" xfId="14043" xr:uid="{00000000-0005-0000-0000-0000E8360000}"/>
    <cellStyle name="Positive 2 2 2 17 7 2" xfId="14044" xr:uid="{00000000-0005-0000-0000-0000E9360000}"/>
    <cellStyle name="Positive 2 2 2 17 8" xfId="14045" xr:uid="{00000000-0005-0000-0000-0000EA360000}"/>
    <cellStyle name="Positive 2 2 2 17 8 2" xfId="14046" xr:uid="{00000000-0005-0000-0000-0000EB360000}"/>
    <cellStyle name="Positive 2 2 2 17 9" xfId="14047" xr:uid="{00000000-0005-0000-0000-0000EC360000}"/>
    <cellStyle name="Positive 2 2 2 17 9 2" xfId="14048" xr:uid="{00000000-0005-0000-0000-0000ED360000}"/>
    <cellStyle name="Positive 2 2 2 18" xfId="14049" xr:uid="{00000000-0005-0000-0000-0000EE360000}"/>
    <cellStyle name="Positive 2 2 2 18 10" xfId="14050" xr:uid="{00000000-0005-0000-0000-0000EF360000}"/>
    <cellStyle name="Positive 2 2 2 18 10 2" xfId="14051" xr:uid="{00000000-0005-0000-0000-0000F0360000}"/>
    <cellStyle name="Positive 2 2 2 18 11" xfId="14052" xr:uid="{00000000-0005-0000-0000-0000F1360000}"/>
    <cellStyle name="Positive 2 2 2 18 11 2" xfId="14053" xr:uid="{00000000-0005-0000-0000-0000F2360000}"/>
    <cellStyle name="Positive 2 2 2 18 12" xfId="14054" xr:uid="{00000000-0005-0000-0000-0000F3360000}"/>
    <cellStyle name="Positive 2 2 2 18 12 2" xfId="14055" xr:uid="{00000000-0005-0000-0000-0000F4360000}"/>
    <cellStyle name="Positive 2 2 2 18 13" xfId="14056" xr:uid="{00000000-0005-0000-0000-0000F5360000}"/>
    <cellStyle name="Positive 2 2 2 18 13 2" xfId="14057" xr:uid="{00000000-0005-0000-0000-0000F6360000}"/>
    <cellStyle name="Positive 2 2 2 18 14" xfId="14058" xr:uid="{00000000-0005-0000-0000-0000F7360000}"/>
    <cellStyle name="Positive 2 2 2 18 14 2" xfId="14059" xr:uid="{00000000-0005-0000-0000-0000F8360000}"/>
    <cellStyle name="Positive 2 2 2 18 15" xfId="14060" xr:uid="{00000000-0005-0000-0000-0000F9360000}"/>
    <cellStyle name="Positive 2 2 2 18 15 2" xfId="14061" xr:uid="{00000000-0005-0000-0000-0000FA360000}"/>
    <cellStyle name="Positive 2 2 2 18 16" xfId="14062" xr:uid="{00000000-0005-0000-0000-0000FB360000}"/>
    <cellStyle name="Positive 2 2 2 18 16 2" xfId="14063" xr:uid="{00000000-0005-0000-0000-0000FC360000}"/>
    <cellStyle name="Positive 2 2 2 18 17" xfId="14064" xr:uid="{00000000-0005-0000-0000-0000FD360000}"/>
    <cellStyle name="Positive 2 2 2 18 17 2" xfId="14065" xr:uid="{00000000-0005-0000-0000-0000FE360000}"/>
    <cellStyle name="Positive 2 2 2 18 18" xfId="14066" xr:uid="{00000000-0005-0000-0000-0000FF360000}"/>
    <cellStyle name="Positive 2 2 2 18 18 2" xfId="14067" xr:uid="{00000000-0005-0000-0000-000000370000}"/>
    <cellStyle name="Positive 2 2 2 18 19" xfId="14068" xr:uid="{00000000-0005-0000-0000-000001370000}"/>
    <cellStyle name="Positive 2 2 2 18 19 2" xfId="14069" xr:uid="{00000000-0005-0000-0000-000002370000}"/>
    <cellStyle name="Positive 2 2 2 18 2" xfId="14070" xr:uid="{00000000-0005-0000-0000-000003370000}"/>
    <cellStyle name="Positive 2 2 2 18 2 10" xfId="14071" xr:uid="{00000000-0005-0000-0000-000004370000}"/>
    <cellStyle name="Positive 2 2 2 18 2 10 2" xfId="14072" xr:uid="{00000000-0005-0000-0000-000005370000}"/>
    <cellStyle name="Positive 2 2 2 18 2 11" xfId="14073" xr:uid="{00000000-0005-0000-0000-000006370000}"/>
    <cellStyle name="Positive 2 2 2 18 2 11 2" xfId="14074" xr:uid="{00000000-0005-0000-0000-000007370000}"/>
    <cellStyle name="Positive 2 2 2 18 2 12" xfId="14075" xr:uid="{00000000-0005-0000-0000-000008370000}"/>
    <cellStyle name="Positive 2 2 2 18 2 12 2" xfId="14076" xr:uid="{00000000-0005-0000-0000-000009370000}"/>
    <cellStyle name="Positive 2 2 2 18 2 13" xfId="14077" xr:uid="{00000000-0005-0000-0000-00000A370000}"/>
    <cellStyle name="Positive 2 2 2 18 2 13 2" xfId="14078" xr:uid="{00000000-0005-0000-0000-00000B370000}"/>
    <cellStyle name="Positive 2 2 2 18 2 14" xfId="14079" xr:uid="{00000000-0005-0000-0000-00000C370000}"/>
    <cellStyle name="Positive 2 2 2 18 2 14 2" xfId="14080" xr:uid="{00000000-0005-0000-0000-00000D370000}"/>
    <cellStyle name="Positive 2 2 2 18 2 15" xfId="14081" xr:uid="{00000000-0005-0000-0000-00000E370000}"/>
    <cellStyle name="Positive 2 2 2 18 2 15 2" xfId="14082" xr:uid="{00000000-0005-0000-0000-00000F370000}"/>
    <cellStyle name="Positive 2 2 2 18 2 16" xfId="14083" xr:uid="{00000000-0005-0000-0000-000010370000}"/>
    <cellStyle name="Positive 2 2 2 18 2 16 2" xfId="14084" xr:uid="{00000000-0005-0000-0000-000011370000}"/>
    <cellStyle name="Positive 2 2 2 18 2 17" xfId="14085" xr:uid="{00000000-0005-0000-0000-000012370000}"/>
    <cellStyle name="Positive 2 2 2 18 2 2" xfId="14086" xr:uid="{00000000-0005-0000-0000-000013370000}"/>
    <cellStyle name="Positive 2 2 2 18 2 2 2" xfId="14087" xr:uid="{00000000-0005-0000-0000-000014370000}"/>
    <cellStyle name="Positive 2 2 2 18 2 3" xfId="14088" xr:uid="{00000000-0005-0000-0000-000015370000}"/>
    <cellStyle name="Positive 2 2 2 18 2 3 2" xfId="14089" xr:uid="{00000000-0005-0000-0000-000016370000}"/>
    <cellStyle name="Positive 2 2 2 18 2 4" xfId="14090" xr:uid="{00000000-0005-0000-0000-000017370000}"/>
    <cellStyle name="Positive 2 2 2 18 2 4 2" xfId="14091" xr:uid="{00000000-0005-0000-0000-000018370000}"/>
    <cellStyle name="Positive 2 2 2 18 2 5" xfId="14092" xr:uid="{00000000-0005-0000-0000-000019370000}"/>
    <cellStyle name="Positive 2 2 2 18 2 5 2" xfId="14093" xr:uid="{00000000-0005-0000-0000-00001A370000}"/>
    <cellStyle name="Positive 2 2 2 18 2 6" xfId="14094" xr:uid="{00000000-0005-0000-0000-00001B370000}"/>
    <cellStyle name="Positive 2 2 2 18 2 6 2" xfId="14095" xr:uid="{00000000-0005-0000-0000-00001C370000}"/>
    <cellStyle name="Positive 2 2 2 18 2 7" xfId="14096" xr:uid="{00000000-0005-0000-0000-00001D370000}"/>
    <cellStyle name="Positive 2 2 2 18 2 7 2" xfId="14097" xr:uid="{00000000-0005-0000-0000-00001E370000}"/>
    <cellStyle name="Positive 2 2 2 18 2 8" xfId="14098" xr:uid="{00000000-0005-0000-0000-00001F370000}"/>
    <cellStyle name="Positive 2 2 2 18 2 8 2" xfId="14099" xr:uid="{00000000-0005-0000-0000-000020370000}"/>
    <cellStyle name="Positive 2 2 2 18 2 9" xfId="14100" xr:uid="{00000000-0005-0000-0000-000021370000}"/>
    <cellStyle name="Positive 2 2 2 18 2 9 2" xfId="14101" xr:uid="{00000000-0005-0000-0000-000022370000}"/>
    <cellStyle name="Positive 2 2 2 18 20" xfId="14102" xr:uid="{00000000-0005-0000-0000-000023370000}"/>
    <cellStyle name="Positive 2 2 2 18 3" xfId="14103" xr:uid="{00000000-0005-0000-0000-000024370000}"/>
    <cellStyle name="Positive 2 2 2 18 3 2" xfId="14104" xr:uid="{00000000-0005-0000-0000-000025370000}"/>
    <cellStyle name="Positive 2 2 2 18 3 2 2" xfId="14105" xr:uid="{00000000-0005-0000-0000-000026370000}"/>
    <cellStyle name="Positive 2 2 2 18 3 3" xfId="14106" xr:uid="{00000000-0005-0000-0000-000027370000}"/>
    <cellStyle name="Positive 2 2 2 18 4" xfId="14107" xr:uid="{00000000-0005-0000-0000-000028370000}"/>
    <cellStyle name="Positive 2 2 2 18 4 2" xfId="14108" xr:uid="{00000000-0005-0000-0000-000029370000}"/>
    <cellStyle name="Positive 2 2 2 18 4 2 2" xfId="14109" xr:uid="{00000000-0005-0000-0000-00002A370000}"/>
    <cellStyle name="Positive 2 2 2 18 4 3" xfId="14110" xr:uid="{00000000-0005-0000-0000-00002B370000}"/>
    <cellStyle name="Positive 2 2 2 18 5" xfId="14111" xr:uid="{00000000-0005-0000-0000-00002C370000}"/>
    <cellStyle name="Positive 2 2 2 18 5 2" xfId="14112" xr:uid="{00000000-0005-0000-0000-00002D370000}"/>
    <cellStyle name="Positive 2 2 2 18 6" xfId="14113" xr:uid="{00000000-0005-0000-0000-00002E370000}"/>
    <cellStyle name="Positive 2 2 2 18 6 2" xfId="14114" xr:uid="{00000000-0005-0000-0000-00002F370000}"/>
    <cellStyle name="Positive 2 2 2 18 7" xfId="14115" xr:uid="{00000000-0005-0000-0000-000030370000}"/>
    <cellStyle name="Positive 2 2 2 18 7 2" xfId="14116" xr:uid="{00000000-0005-0000-0000-000031370000}"/>
    <cellStyle name="Positive 2 2 2 18 8" xfId="14117" xr:uid="{00000000-0005-0000-0000-000032370000}"/>
    <cellStyle name="Positive 2 2 2 18 8 2" xfId="14118" xr:uid="{00000000-0005-0000-0000-000033370000}"/>
    <cellStyle name="Positive 2 2 2 18 9" xfId="14119" xr:uid="{00000000-0005-0000-0000-000034370000}"/>
    <cellStyle name="Positive 2 2 2 18 9 2" xfId="14120" xr:uid="{00000000-0005-0000-0000-000035370000}"/>
    <cellStyle name="Positive 2 2 2 19" xfId="14121" xr:uid="{00000000-0005-0000-0000-000036370000}"/>
    <cellStyle name="Positive 2 2 2 19 10" xfId="14122" xr:uid="{00000000-0005-0000-0000-000037370000}"/>
    <cellStyle name="Positive 2 2 2 19 10 2" xfId="14123" xr:uid="{00000000-0005-0000-0000-000038370000}"/>
    <cellStyle name="Positive 2 2 2 19 11" xfId="14124" xr:uid="{00000000-0005-0000-0000-000039370000}"/>
    <cellStyle name="Positive 2 2 2 19 11 2" xfId="14125" xr:uid="{00000000-0005-0000-0000-00003A370000}"/>
    <cellStyle name="Positive 2 2 2 19 12" xfId="14126" xr:uid="{00000000-0005-0000-0000-00003B370000}"/>
    <cellStyle name="Positive 2 2 2 19 12 2" xfId="14127" xr:uid="{00000000-0005-0000-0000-00003C370000}"/>
    <cellStyle name="Positive 2 2 2 19 13" xfId="14128" xr:uid="{00000000-0005-0000-0000-00003D370000}"/>
    <cellStyle name="Positive 2 2 2 19 13 2" xfId="14129" xr:uid="{00000000-0005-0000-0000-00003E370000}"/>
    <cellStyle name="Positive 2 2 2 19 14" xfId="14130" xr:uid="{00000000-0005-0000-0000-00003F370000}"/>
    <cellStyle name="Positive 2 2 2 19 14 2" xfId="14131" xr:uid="{00000000-0005-0000-0000-000040370000}"/>
    <cellStyle name="Positive 2 2 2 19 15" xfId="14132" xr:uid="{00000000-0005-0000-0000-000041370000}"/>
    <cellStyle name="Positive 2 2 2 19 15 2" xfId="14133" xr:uid="{00000000-0005-0000-0000-000042370000}"/>
    <cellStyle name="Positive 2 2 2 19 16" xfId="14134" xr:uid="{00000000-0005-0000-0000-000043370000}"/>
    <cellStyle name="Positive 2 2 2 19 16 2" xfId="14135" xr:uid="{00000000-0005-0000-0000-000044370000}"/>
    <cellStyle name="Positive 2 2 2 19 17" xfId="14136" xr:uid="{00000000-0005-0000-0000-000045370000}"/>
    <cellStyle name="Positive 2 2 2 19 2" xfId="14137" xr:uid="{00000000-0005-0000-0000-000046370000}"/>
    <cellStyle name="Positive 2 2 2 19 2 2" xfId="14138" xr:uid="{00000000-0005-0000-0000-000047370000}"/>
    <cellStyle name="Positive 2 2 2 19 3" xfId="14139" xr:uid="{00000000-0005-0000-0000-000048370000}"/>
    <cellStyle name="Positive 2 2 2 19 3 2" xfId="14140" xr:uid="{00000000-0005-0000-0000-000049370000}"/>
    <cellStyle name="Positive 2 2 2 19 4" xfId="14141" xr:uid="{00000000-0005-0000-0000-00004A370000}"/>
    <cellStyle name="Positive 2 2 2 19 4 2" xfId="14142" xr:uid="{00000000-0005-0000-0000-00004B370000}"/>
    <cellStyle name="Positive 2 2 2 19 5" xfId="14143" xr:uid="{00000000-0005-0000-0000-00004C370000}"/>
    <cellStyle name="Positive 2 2 2 19 5 2" xfId="14144" xr:uid="{00000000-0005-0000-0000-00004D370000}"/>
    <cellStyle name="Positive 2 2 2 19 6" xfId="14145" xr:uid="{00000000-0005-0000-0000-00004E370000}"/>
    <cellStyle name="Positive 2 2 2 19 6 2" xfId="14146" xr:uid="{00000000-0005-0000-0000-00004F370000}"/>
    <cellStyle name="Positive 2 2 2 19 7" xfId="14147" xr:uid="{00000000-0005-0000-0000-000050370000}"/>
    <cellStyle name="Positive 2 2 2 19 7 2" xfId="14148" xr:uid="{00000000-0005-0000-0000-000051370000}"/>
    <cellStyle name="Positive 2 2 2 19 8" xfId="14149" xr:uid="{00000000-0005-0000-0000-000052370000}"/>
    <cellStyle name="Positive 2 2 2 19 8 2" xfId="14150" xr:uid="{00000000-0005-0000-0000-000053370000}"/>
    <cellStyle name="Positive 2 2 2 19 9" xfId="14151" xr:uid="{00000000-0005-0000-0000-000054370000}"/>
    <cellStyle name="Positive 2 2 2 19 9 2" xfId="14152" xr:uid="{00000000-0005-0000-0000-000055370000}"/>
    <cellStyle name="Positive 2 2 2 2" xfId="14153" xr:uid="{00000000-0005-0000-0000-000056370000}"/>
    <cellStyle name="Positive 2 2 2 2 10" xfId="14154" xr:uid="{00000000-0005-0000-0000-000057370000}"/>
    <cellStyle name="Positive 2 2 2 2 10 2" xfId="14155" xr:uid="{00000000-0005-0000-0000-000058370000}"/>
    <cellStyle name="Positive 2 2 2 2 11" xfId="14156" xr:uid="{00000000-0005-0000-0000-000059370000}"/>
    <cellStyle name="Positive 2 2 2 2 11 2" xfId="14157" xr:uid="{00000000-0005-0000-0000-00005A370000}"/>
    <cellStyle name="Positive 2 2 2 2 12" xfId="14158" xr:uid="{00000000-0005-0000-0000-00005B370000}"/>
    <cellStyle name="Positive 2 2 2 2 12 2" xfId="14159" xr:uid="{00000000-0005-0000-0000-00005C370000}"/>
    <cellStyle name="Positive 2 2 2 2 13" xfId="14160" xr:uid="{00000000-0005-0000-0000-00005D370000}"/>
    <cellStyle name="Positive 2 2 2 2 13 2" xfId="14161" xr:uid="{00000000-0005-0000-0000-00005E370000}"/>
    <cellStyle name="Positive 2 2 2 2 14" xfId="14162" xr:uid="{00000000-0005-0000-0000-00005F370000}"/>
    <cellStyle name="Positive 2 2 2 2 14 2" xfId="14163" xr:uid="{00000000-0005-0000-0000-000060370000}"/>
    <cellStyle name="Positive 2 2 2 2 15" xfId="14164" xr:uid="{00000000-0005-0000-0000-000061370000}"/>
    <cellStyle name="Positive 2 2 2 2 15 2" xfId="14165" xr:uid="{00000000-0005-0000-0000-000062370000}"/>
    <cellStyle name="Positive 2 2 2 2 16" xfId="14166" xr:uid="{00000000-0005-0000-0000-000063370000}"/>
    <cellStyle name="Positive 2 2 2 2 16 2" xfId="14167" xr:uid="{00000000-0005-0000-0000-000064370000}"/>
    <cellStyle name="Positive 2 2 2 2 17" xfId="14168" xr:uid="{00000000-0005-0000-0000-000065370000}"/>
    <cellStyle name="Positive 2 2 2 2 17 2" xfId="14169" xr:uid="{00000000-0005-0000-0000-000066370000}"/>
    <cellStyle name="Positive 2 2 2 2 18" xfId="14170" xr:uid="{00000000-0005-0000-0000-000067370000}"/>
    <cellStyle name="Positive 2 2 2 2 18 2" xfId="14171" xr:uid="{00000000-0005-0000-0000-000068370000}"/>
    <cellStyle name="Positive 2 2 2 2 19" xfId="14172" xr:uid="{00000000-0005-0000-0000-000069370000}"/>
    <cellStyle name="Positive 2 2 2 2 19 2" xfId="14173" xr:uid="{00000000-0005-0000-0000-00006A370000}"/>
    <cellStyle name="Positive 2 2 2 2 2" xfId="14174" xr:uid="{00000000-0005-0000-0000-00006B370000}"/>
    <cellStyle name="Positive 2 2 2 2 2 10" xfId="14175" xr:uid="{00000000-0005-0000-0000-00006C370000}"/>
    <cellStyle name="Positive 2 2 2 2 2 10 2" xfId="14176" xr:uid="{00000000-0005-0000-0000-00006D370000}"/>
    <cellStyle name="Positive 2 2 2 2 2 11" xfId="14177" xr:uid="{00000000-0005-0000-0000-00006E370000}"/>
    <cellStyle name="Positive 2 2 2 2 2 11 2" xfId="14178" xr:uid="{00000000-0005-0000-0000-00006F370000}"/>
    <cellStyle name="Positive 2 2 2 2 2 12" xfId="14179" xr:uid="{00000000-0005-0000-0000-000070370000}"/>
    <cellStyle name="Positive 2 2 2 2 2 12 2" xfId="14180" xr:uid="{00000000-0005-0000-0000-000071370000}"/>
    <cellStyle name="Positive 2 2 2 2 2 13" xfId="14181" xr:uid="{00000000-0005-0000-0000-000072370000}"/>
    <cellStyle name="Positive 2 2 2 2 2 13 2" xfId="14182" xr:uid="{00000000-0005-0000-0000-000073370000}"/>
    <cellStyle name="Positive 2 2 2 2 2 14" xfId="14183" xr:uid="{00000000-0005-0000-0000-000074370000}"/>
    <cellStyle name="Positive 2 2 2 2 2 14 2" xfId="14184" xr:uid="{00000000-0005-0000-0000-000075370000}"/>
    <cellStyle name="Positive 2 2 2 2 2 15" xfId="14185" xr:uid="{00000000-0005-0000-0000-000076370000}"/>
    <cellStyle name="Positive 2 2 2 2 2 15 2" xfId="14186" xr:uid="{00000000-0005-0000-0000-000077370000}"/>
    <cellStyle name="Positive 2 2 2 2 2 16" xfId="14187" xr:uid="{00000000-0005-0000-0000-000078370000}"/>
    <cellStyle name="Positive 2 2 2 2 2 16 2" xfId="14188" xr:uid="{00000000-0005-0000-0000-000079370000}"/>
    <cellStyle name="Positive 2 2 2 2 2 17" xfId="14189" xr:uid="{00000000-0005-0000-0000-00007A370000}"/>
    <cellStyle name="Positive 2 2 2 2 2 17 2" xfId="14190" xr:uid="{00000000-0005-0000-0000-00007B370000}"/>
    <cellStyle name="Positive 2 2 2 2 2 18" xfId="14191" xr:uid="{00000000-0005-0000-0000-00007C370000}"/>
    <cellStyle name="Positive 2 2 2 2 2 18 2" xfId="14192" xr:uid="{00000000-0005-0000-0000-00007D370000}"/>
    <cellStyle name="Positive 2 2 2 2 2 19" xfId="14193" xr:uid="{00000000-0005-0000-0000-00007E370000}"/>
    <cellStyle name="Positive 2 2 2 2 2 19 2" xfId="14194" xr:uid="{00000000-0005-0000-0000-00007F370000}"/>
    <cellStyle name="Positive 2 2 2 2 2 2" xfId="14195" xr:uid="{00000000-0005-0000-0000-000080370000}"/>
    <cellStyle name="Positive 2 2 2 2 2 2 10" xfId="14196" xr:uid="{00000000-0005-0000-0000-000081370000}"/>
    <cellStyle name="Positive 2 2 2 2 2 2 10 2" xfId="14197" xr:uid="{00000000-0005-0000-0000-000082370000}"/>
    <cellStyle name="Positive 2 2 2 2 2 2 11" xfId="14198" xr:uid="{00000000-0005-0000-0000-000083370000}"/>
    <cellStyle name="Positive 2 2 2 2 2 2 11 2" xfId="14199" xr:uid="{00000000-0005-0000-0000-000084370000}"/>
    <cellStyle name="Positive 2 2 2 2 2 2 12" xfId="14200" xr:uid="{00000000-0005-0000-0000-000085370000}"/>
    <cellStyle name="Positive 2 2 2 2 2 2 12 2" xfId="14201" xr:uid="{00000000-0005-0000-0000-000086370000}"/>
    <cellStyle name="Positive 2 2 2 2 2 2 13" xfId="14202" xr:uid="{00000000-0005-0000-0000-000087370000}"/>
    <cellStyle name="Positive 2 2 2 2 2 2 13 2" xfId="14203" xr:uid="{00000000-0005-0000-0000-000088370000}"/>
    <cellStyle name="Positive 2 2 2 2 2 2 14" xfId="14204" xr:uid="{00000000-0005-0000-0000-000089370000}"/>
    <cellStyle name="Positive 2 2 2 2 2 2 14 2" xfId="14205" xr:uid="{00000000-0005-0000-0000-00008A370000}"/>
    <cellStyle name="Positive 2 2 2 2 2 2 15" xfId="14206" xr:uid="{00000000-0005-0000-0000-00008B370000}"/>
    <cellStyle name="Positive 2 2 2 2 2 2 15 2" xfId="14207" xr:uid="{00000000-0005-0000-0000-00008C370000}"/>
    <cellStyle name="Positive 2 2 2 2 2 2 16" xfId="14208" xr:uid="{00000000-0005-0000-0000-00008D370000}"/>
    <cellStyle name="Positive 2 2 2 2 2 2 16 2" xfId="14209" xr:uid="{00000000-0005-0000-0000-00008E370000}"/>
    <cellStyle name="Positive 2 2 2 2 2 2 17" xfId="14210" xr:uid="{00000000-0005-0000-0000-00008F370000}"/>
    <cellStyle name="Positive 2 2 2 2 2 2 2" xfId="14211" xr:uid="{00000000-0005-0000-0000-000090370000}"/>
    <cellStyle name="Positive 2 2 2 2 2 2 2 2" xfId="14212" xr:uid="{00000000-0005-0000-0000-000091370000}"/>
    <cellStyle name="Positive 2 2 2 2 2 2 3" xfId="14213" xr:uid="{00000000-0005-0000-0000-000092370000}"/>
    <cellStyle name="Positive 2 2 2 2 2 2 3 2" xfId="14214" xr:uid="{00000000-0005-0000-0000-000093370000}"/>
    <cellStyle name="Positive 2 2 2 2 2 2 4" xfId="14215" xr:uid="{00000000-0005-0000-0000-000094370000}"/>
    <cellStyle name="Positive 2 2 2 2 2 2 4 2" xfId="14216" xr:uid="{00000000-0005-0000-0000-000095370000}"/>
    <cellStyle name="Positive 2 2 2 2 2 2 5" xfId="14217" xr:uid="{00000000-0005-0000-0000-000096370000}"/>
    <cellStyle name="Positive 2 2 2 2 2 2 5 2" xfId="14218" xr:uid="{00000000-0005-0000-0000-000097370000}"/>
    <cellStyle name="Positive 2 2 2 2 2 2 6" xfId="14219" xr:uid="{00000000-0005-0000-0000-000098370000}"/>
    <cellStyle name="Positive 2 2 2 2 2 2 6 2" xfId="14220" xr:uid="{00000000-0005-0000-0000-000099370000}"/>
    <cellStyle name="Positive 2 2 2 2 2 2 7" xfId="14221" xr:uid="{00000000-0005-0000-0000-00009A370000}"/>
    <cellStyle name="Positive 2 2 2 2 2 2 7 2" xfId="14222" xr:uid="{00000000-0005-0000-0000-00009B370000}"/>
    <cellStyle name="Positive 2 2 2 2 2 2 8" xfId="14223" xr:uid="{00000000-0005-0000-0000-00009C370000}"/>
    <cellStyle name="Positive 2 2 2 2 2 2 8 2" xfId="14224" xr:uid="{00000000-0005-0000-0000-00009D370000}"/>
    <cellStyle name="Positive 2 2 2 2 2 2 9" xfId="14225" xr:uid="{00000000-0005-0000-0000-00009E370000}"/>
    <cellStyle name="Positive 2 2 2 2 2 2 9 2" xfId="14226" xr:uid="{00000000-0005-0000-0000-00009F370000}"/>
    <cellStyle name="Positive 2 2 2 2 2 20" xfId="14227" xr:uid="{00000000-0005-0000-0000-0000A0370000}"/>
    <cellStyle name="Positive 2 2 2 2 2 3" xfId="14228" xr:uid="{00000000-0005-0000-0000-0000A1370000}"/>
    <cellStyle name="Positive 2 2 2 2 2 3 2" xfId="14229" xr:uid="{00000000-0005-0000-0000-0000A2370000}"/>
    <cellStyle name="Positive 2 2 2 2 2 3 2 2" xfId="14230" xr:uid="{00000000-0005-0000-0000-0000A3370000}"/>
    <cellStyle name="Positive 2 2 2 2 2 3 3" xfId="14231" xr:uid="{00000000-0005-0000-0000-0000A4370000}"/>
    <cellStyle name="Positive 2 2 2 2 2 4" xfId="14232" xr:uid="{00000000-0005-0000-0000-0000A5370000}"/>
    <cellStyle name="Positive 2 2 2 2 2 4 2" xfId="14233" xr:uid="{00000000-0005-0000-0000-0000A6370000}"/>
    <cellStyle name="Positive 2 2 2 2 2 4 2 2" xfId="14234" xr:uid="{00000000-0005-0000-0000-0000A7370000}"/>
    <cellStyle name="Positive 2 2 2 2 2 4 3" xfId="14235" xr:uid="{00000000-0005-0000-0000-0000A8370000}"/>
    <cellStyle name="Positive 2 2 2 2 2 5" xfId="14236" xr:uid="{00000000-0005-0000-0000-0000A9370000}"/>
    <cellStyle name="Positive 2 2 2 2 2 5 2" xfId="14237" xr:uid="{00000000-0005-0000-0000-0000AA370000}"/>
    <cellStyle name="Positive 2 2 2 2 2 6" xfId="14238" xr:uid="{00000000-0005-0000-0000-0000AB370000}"/>
    <cellStyle name="Positive 2 2 2 2 2 6 2" xfId="14239" xr:uid="{00000000-0005-0000-0000-0000AC370000}"/>
    <cellStyle name="Positive 2 2 2 2 2 7" xfId="14240" xr:uid="{00000000-0005-0000-0000-0000AD370000}"/>
    <cellStyle name="Positive 2 2 2 2 2 7 2" xfId="14241" xr:uid="{00000000-0005-0000-0000-0000AE370000}"/>
    <cellStyle name="Positive 2 2 2 2 2 8" xfId="14242" xr:uid="{00000000-0005-0000-0000-0000AF370000}"/>
    <cellStyle name="Positive 2 2 2 2 2 8 2" xfId="14243" xr:uid="{00000000-0005-0000-0000-0000B0370000}"/>
    <cellStyle name="Positive 2 2 2 2 2 9" xfId="14244" xr:uid="{00000000-0005-0000-0000-0000B1370000}"/>
    <cellStyle name="Positive 2 2 2 2 2 9 2" xfId="14245" xr:uid="{00000000-0005-0000-0000-0000B2370000}"/>
    <cellStyle name="Positive 2 2 2 2 20" xfId="14246" xr:uid="{00000000-0005-0000-0000-0000B3370000}"/>
    <cellStyle name="Positive 2 2 2 2 20 2" xfId="14247" xr:uid="{00000000-0005-0000-0000-0000B4370000}"/>
    <cellStyle name="Positive 2 2 2 2 21" xfId="14248" xr:uid="{00000000-0005-0000-0000-0000B5370000}"/>
    <cellStyle name="Positive 2 2 2 2 21 2" xfId="14249" xr:uid="{00000000-0005-0000-0000-0000B6370000}"/>
    <cellStyle name="Positive 2 2 2 2 22" xfId="14250" xr:uid="{00000000-0005-0000-0000-0000B7370000}"/>
    <cellStyle name="Positive 2 2 2 2 22 2" xfId="14251" xr:uid="{00000000-0005-0000-0000-0000B8370000}"/>
    <cellStyle name="Positive 2 2 2 2 23" xfId="14252" xr:uid="{00000000-0005-0000-0000-0000B9370000}"/>
    <cellStyle name="Positive 2 2 2 2 3" xfId="14253" xr:uid="{00000000-0005-0000-0000-0000BA370000}"/>
    <cellStyle name="Positive 2 2 2 2 3 10" xfId="14254" xr:uid="{00000000-0005-0000-0000-0000BB370000}"/>
    <cellStyle name="Positive 2 2 2 2 3 10 2" xfId="14255" xr:uid="{00000000-0005-0000-0000-0000BC370000}"/>
    <cellStyle name="Positive 2 2 2 2 3 11" xfId="14256" xr:uid="{00000000-0005-0000-0000-0000BD370000}"/>
    <cellStyle name="Positive 2 2 2 2 3 11 2" xfId="14257" xr:uid="{00000000-0005-0000-0000-0000BE370000}"/>
    <cellStyle name="Positive 2 2 2 2 3 12" xfId="14258" xr:uid="{00000000-0005-0000-0000-0000BF370000}"/>
    <cellStyle name="Positive 2 2 2 2 3 12 2" xfId="14259" xr:uid="{00000000-0005-0000-0000-0000C0370000}"/>
    <cellStyle name="Positive 2 2 2 2 3 13" xfId="14260" xr:uid="{00000000-0005-0000-0000-0000C1370000}"/>
    <cellStyle name="Positive 2 2 2 2 3 13 2" xfId="14261" xr:uid="{00000000-0005-0000-0000-0000C2370000}"/>
    <cellStyle name="Positive 2 2 2 2 3 14" xfId="14262" xr:uid="{00000000-0005-0000-0000-0000C3370000}"/>
    <cellStyle name="Positive 2 2 2 2 3 14 2" xfId="14263" xr:uid="{00000000-0005-0000-0000-0000C4370000}"/>
    <cellStyle name="Positive 2 2 2 2 3 15" xfId="14264" xr:uid="{00000000-0005-0000-0000-0000C5370000}"/>
    <cellStyle name="Positive 2 2 2 2 3 15 2" xfId="14265" xr:uid="{00000000-0005-0000-0000-0000C6370000}"/>
    <cellStyle name="Positive 2 2 2 2 3 16" xfId="14266" xr:uid="{00000000-0005-0000-0000-0000C7370000}"/>
    <cellStyle name="Positive 2 2 2 2 3 16 2" xfId="14267" xr:uid="{00000000-0005-0000-0000-0000C8370000}"/>
    <cellStyle name="Positive 2 2 2 2 3 17" xfId="14268" xr:uid="{00000000-0005-0000-0000-0000C9370000}"/>
    <cellStyle name="Positive 2 2 2 2 3 17 2" xfId="14269" xr:uid="{00000000-0005-0000-0000-0000CA370000}"/>
    <cellStyle name="Positive 2 2 2 2 3 18" xfId="14270" xr:uid="{00000000-0005-0000-0000-0000CB370000}"/>
    <cellStyle name="Positive 2 2 2 2 3 18 2" xfId="14271" xr:uid="{00000000-0005-0000-0000-0000CC370000}"/>
    <cellStyle name="Positive 2 2 2 2 3 19" xfId="14272" xr:uid="{00000000-0005-0000-0000-0000CD370000}"/>
    <cellStyle name="Positive 2 2 2 2 3 19 2" xfId="14273" xr:uid="{00000000-0005-0000-0000-0000CE370000}"/>
    <cellStyle name="Positive 2 2 2 2 3 2" xfId="14274" xr:uid="{00000000-0005-0000-0000-0000CF370000}"/>
    <cellStyle name="Positive 2 2 2 2 3 2 10" xfId="14275" xr:uid="{00000000-0005-0000-0000-0000D0370000}"/>
    <cellStyle name="Positive 2 2 2 2 3 2 10 2" xfId="14276" xr:uid="{00000000-0005-0000-0000-0000D1370000}"/>
    <cellStyle name="Positive 2 2 2 2 3 2 11" xfId="14277" xr:uid="{00000000-0005-0000-0000-0000D2370000}"/>
    <cellStyle name="Positive 2 2 2 2 3 2 11 2" xfId="14278" xr:uid="{00000000-0005-0000-0000-0000D3370000}"/>
    <cellStyle name="Positive 2 2 2 2 3 2 12" xfId="14279" xr:uid="{00000000-0005-0000-0000-0000D4370000}"/>
    <cellStyle name="Positive 2 2 2 2 3 2 12 2" xfId="14280" xr:uid="{00000000-0005-0000-0000-0000D5370000}"/>
    <cellStyle name="Positive 2 2 2 2 3 2 13" xfId="14281" xr:uid="{00000000-0005-0000-0000-0000D6370000}"/>
    <cellStyle name="Positive 2 2 2 2 3 2 13 2" xfId="14282" xr:uid="{00000000-0005-0000-0000-0000D7370000}"/>
    <cellStyle name="Positive 2 2 2 2 3 2 14" xfId="14283" xr:uid="{00000000-0005-0000-0000-0000D8370000}"/>
    <cellStyle name="Positive 2 2 2 2 3 2 14 2" xfId="14284" xr:uid="{00000000-0005-0000-0000-0000D9370000}"/>
    <cellStyle name="Positive 2 2 2 2 3 2 15" xfId="14285" xr:uid="{00000000-0005-0000-0000-0000DA370000}"/>
    <cellStyle name="Positive 2 2 2 2 3 2 15 2" xfId="14286" xr:uid="{00000000-0005-0000-0000-0000DB370000}"/>
    <cellStyle name="Positive 2 2 2 2 3 2 16" xfId="14287" xr:uid="{00000000-0005-0000-0000-0000DC370000}"/>
    <cellStyle name="Positive 2 2 2 2 3 2 16 2" xfId="14288" xr:uid="{00000000-0005-0000-0000-0000DD370000}"/>
    <cellStyle name="Positive 2 2 2 2 3 2 17" xfId="14289" xr:uid="{00000000-0005-0000-0000-0000DE370000}"/>
    <cellStyle name="Positive 2 2 2 2 3 2 2" xfId="14290" xr:uid="{00000000-0005-0000-0000-0000DF370000}"/>
    <cellStyle name="Positive 2 2 2 2 3 2 2 2" xfId="14291" xr:uid="{00000000-0005-0000-0000-0000E0370000}"/>
    <cellStyle name="Positive 2 2 2 2 3 2 3" xfId="14292" xr:uid="{00000000-0005-0000-0000-0000E1370000}"/>
    <cellStyle name="Positive 2 2 2 2 3 2 3 2" xfId="14293" xr:uid="{00000000-0005-0000-0000-0000E2370000}"/>
    <cellStyle name="Positive 2 2 2 2 3 2 4" xfId="14294" xr:uid="{00000000-0005-0000-0000-0000E3370000}"/>
    <cellStyle name="Positive 2 2 2 2 3 2 4 2" xfId="14295" xr:uid="{00000000-0005-0000-0000-0000E4370000}"/>
    <cellStyle name="Positive 2 2 2 2 3 2 5" xfId="14296" xr:uid="{00000000-0005-0000-0000-0000E5370000}"/>
    <cellStyle name="Positive 2 2 2 2 3 2 5 2" xfId="14297" xr:uid="{00000000-0005-0000-0000-0000E6370000}"/>
    <cellStyle name="Positive 2 2 2 2 3 2 6" xfId="14298" xr:uid="{00000000-0005-0000-0000-0000E7370000}"/>
    <cellStyle name="Positive 2 2 2 2 3 2 6 2" xfId="14299" xr:uid="{00000000-0005-0000-0000-0000E8370000}"/>
    <cellStyle name="Positive 2 2 2 2 3 2 7" xfId="14300" xr:uid="{00000000-0005-0000-0000-0000E9370000}"/>
    <cellStyle name="Positive 2 2 2 2 3 2 7 2" xfId="14301" xr:uid="{00000000-0005-0000-0000-0000EA370000}"/>
    <cellStyle name="Positive 2 2 2 2 3 2 8" xfId="14302" xr:uid="{00000000-0005-0000-0000-0000EB370000}"/>
    <cellStyle name="Positive 2 2 2 2 3 2 8 2" xfId="14303" xr:uid="{00000000-0005-0000-0000-0000EC370000}"/>
    <cellStyle name="Positive 2 2 2 2 3 2 9" xfId="14304" xr:uid="{00000000-0005-0000-0000-0000ED370000}"/>
    <cellStyle name="Positive 2 2 2 2 3 2 9 2" xfId="14305" xr:uid="{00000000-0005-0000-0000-0000EE370000}"/>
    <cellStyle name="Positive 2 2 2 2 3 20" xfId="14306" xr:uid="{00000000-0005-0000-0000-0000EF370000}"/>
    <cellStyle name="Positive 2 2 2 2 3 3" xfId="14307" xr:uid="{00000000-0005-0000-0000-0000F0370000}"/>
    <cellStyle name="Positive 2 2 2 2 3 3 2" xfId="14308" xr:uid="{00000000-0005-0000-0000-0000F1370000}"/>
    <cellStyle name="Positive 2 2 2 2 3 3 2 2" xfId="14309" xr:uid="{00000000-0005-0000-0000-0000F2370000}"/>
    <cellStyle name="Positive 2 2 2 2 3 3 3" xfId="14310" xr:uid="{00000000-0005-0000-0000-0000F3370000}"/>
    <cellStyle name="Positive 2 2 2 2 3 4" xfId="14311" xr:uid="{00000000-0005-0000-0000-0000F4370000}"/>
    <cellStyle name="Positive 2 2 2 2 3 4 2" xfId="14312" xr:uid="{00000000-0005-0000-0000-0000F5370000}"/>
    <cellStyle name="Positive 2 2 2 2 3 4 2 2" xfId="14313" xr:uid="{00000000-0005-0000-0000-0000F6370000}"/>
    <cellStyle name="Positive 2 2 2 2 3 4 3" xfId="14314" xr:uid="{00000000-0005-0000-0000-0000F7370000}"/>
    <cellStyle name="Positive 2 2 2 2 3 5" xfId="14315" xr:uid="{00000000-0005-0000-0000-0000F8370000}"/>
    <cellStyle name="Positive 2 2 2 2 3 5 2" xfId="14316" xr:uid="{00000000-0005-0000-0000-0000F9370000}"/>
    <cellStyle name="Positive 2 2 2 2 3 6" xfId="14317" xr:uid="{00000000-0005-0000-0000-0000FA370000}"/>
    <cellStyle name="Positive 2 2 2 2 3 6 2" xfId="14318" xr:uid="{00000000-0005-0000-0000-0000FB370000}"/>
    <cellStyle name="Positive 2 2 2 2 3 7" xfId="14319" xr:uid="{00000000-0005-0000-0000-0000FC370000}"/>
    <cellStyle name="Positive 2 2 2 2 3 7 2" xfId="14320" xr:uid="{00000000-0005-0000-0000-0000FD370000}"/>
    <cellStyle name="Positive 2 2 2 2 3 8" xfId="14321" xr:uid="{00000000-0005-0000-0000-0000FE370000}"/>
    <cellStyle name="Positive 2 2 2 2 3 8 2" xfId="14322" xr:uid="{00000000-0005-0000-0000-0000FF370000}"/>
    <cellStyle name="Positive 2 2 2 2 3 9" xfId="14323" xr:uid="{00000000-0005-0000-0000-000000380000}"/>
    <cellStyle name="Positive 2 2 2 2 3 9 2" xfId="14324" xr:uid="{00000000-0005-0000-0000-000001380000}"/>
    <cellStyle name="Positive 2 2 2 2 4" xfId="14325" xr:uid="{00000000-0005-0000-0000-000002380000}"/>
    <cellStyle name="Positive 2 2 2 2 4 10" xfId="14326" xr:uid="{00000000-0005-0000-0000-000003380000}"/>
    <cellStyle name="Positive 2 2 2 2 4 10 2" xfId="14327" xr:uid="{00000000-0005-0000-0000-000004380000}"/>
    <cellStyle name="Positive 2 2 2 2 4 11" xfId="14328" xr:uid="{00000000-0005-0000-0000-000005380000}"/>
    <cellStyle name="Positive 2 2 2 2 4 11 2" xfId="14329" xr:uid="{00000000-0005-0000-0000-000006380000}"/>
    <cellStyle name="Positive 2 2 2 2 4 12" xfId="14330" xr:uid="{00000000-0005-0000-0000-000007380000}"/>
    <cellStyle name="Positive 2 2 2 2 4 12 2" xfId="14331" xr:uid="{00000000-0005-0000-0000-000008380000}"/>
    <cellStyle name="Positive 2 2 2 2 4 13" xfId="14332" xr:uid="{00000000-0005-0000-0000-000009380000}"/>
    <cellStyle name="Positive 2 2 2 2 4 13 2" xfId="14333" xr:uid="{00000000-0005-0000-0000-00000A380000}"/>
    <cellStyle name="Positive 2 2 2 2 4 14" xfId="14334" xr:uid="{00000000-0005-0000-0000-00000B380000}"/>
    <cellStyle name="Positive 2 2 2 2 4 14 2" xfId="14335" xr:uid="{00000000-0005-0000-0000-00000C380000}"/>
    <cellStyle name="Positive 2 2 2 2 4 15" xfId="14336" xr:uid="{00000000-0005-0000-0000-00000D380000}"/>
    <cellStyle name="Positive 2 2 2 2 4 15 2" xfId="14337" xr:uid="{00000000-0005-0000-0000-00000E380000}"/>
    <cellStyle name="Positive 2 2 2 2 4 16" xfId="14338" xr:uid="{00000000-0005-0000-0000-00000F380000}"/>
    <cellStyle name="Positive 2 2 2 2 4 16 2" xfId="14339" xr:uid="{00000000-0005-0000-0000-000010380000}"/>
    <cellStyle name="Positive 2 2 2 2 4 17" xfId="14340" xr:uid="{00000000-0005-0000-0000-000011380000}"/>
    <cellStyle name="Positive 2 2 2 2 4 17 2" xfId="14341" xr:uid="{00000000-0005-0000-0000-000012380000}"/>
    <cellStyle name="Positive 2 2 2 2 4 18" xfId="14342" xr:uid="{00000000-0005-0000-0000-000013380000}"/>
    <cellStyle name="Positive 2 2 2 2 4 18 2" xfId="14343" xr:uid="{00000000-0005-0000-0000-000014380000}"/>
    <cellStyle name="Positive 2 2 2 2 4 19" xfId="14344" xr:uid="{00000000-0005-0000-0000-000015380000}"/>
    <cellStyle name="Positive 2 2 2 2 4 19 2" xfId="14345" xr:uid="{00000000-0005-0000-0000-000016380000}"/>
    <cellStyle name="Positive 2 2 2 2 4 2" xfId="14346" xr:uid="{00000000-0005-0000-0000-000017380000}"/>
    <cellStyle name="Positive 2 2 2 2 4 2 10" xfId="14347" xr:uid="{00000000-0005-0000-0000-000018380000}"/>
    <cellStyle name="Positive 2 2 2 2 4 2 10 2" xfId="14348" xr:uid="{00000000-0005-0000-0000-000019380000}"/>
    <cellStyle name="Positive 2 2 2 2 4 2 11" xfId="14349" xr:uid="{00000000-0005-0000-0000-00001A380000}"/>
    <cellStyle name="Positive 2 2 2 2 4 2 11 2" xfId="14350" xr:uid="{00000000-0005-0000-0000-00001B380000}"/>
    <cellStyle name="Positive 2 2 2 2 4 2 12" xfId="14351" xr:uid="{00000000-0005-0000-0000-00001C380000}"/>
    <cellStyle name="Positive 2 2 2 2 4 2 12 2" xfId="14352" xr:uid="{00000000-0005-0000-0000-00001D380000}"/>
    <cellStyle name="Positive 2 2 2 2 4 2 13" xfId="14353" xr:uid="{00000000-0005-0000-0000-00001E380000}"/>
    <cellStyle name="Positive 2 2 2 2 4 2 13 2" xfId="14354" xr:uid="{00000000-0005-0000-0000-00001F380000}"/>
    <cellStyle name="Positive 2 2 2 2 4 2 14" xfId="14355" xr:uid="{00000000-0005-0000-0000-000020380000}"/>
    <cellStyle name="Positive 2 2 2 2 4 2 14 2" xfId="14356" xr:uid="{00000000-0005-0000-0000-000021380000}"/>
    <cellStyle name="Positive 2 2 2 2 4 2 15" xfId="14357" xr:uid="{00000000-0005-0000-0000-000022380000}"/>
    <cellStyle name="Positive 2 2 2 2 4 2 15 2" xfId="14358" xr:uid="{00000000-0005-0000-0000-000023380000}"/>
    <cellStyle name="Positive 2 2 2 2 4 2 16" xfId="14359" xr:uid="{00000000-0005-0000-0000-000024380000}"/>
    <cellStyle name="Positive 2 2 2 2 4 2 16 2" xfId="14360" xr:uid="{00000000-0005-0000-0000-000025380000}"/>
    <cellStyle name="Positive 2 2 2 2 4 2 17" xfId="14361" xr:uid="{00000000-0005-0000-0000-000026380000}"/>
    <cellStyle name="Positive 2 2 2 2 4 2 2" xfId="14362" xr:uid="{00000000-0005-0000-0000-000027380000}"/>
    <cellStyle name="Positive 2 2 2 2 4 2 2 2" xfId="14363" xr:uid="{00000000-0005-0000-0000-000028380000}"/>
    <cellStyle name="Positive 2 2 2 2 4 2 3" xfId="14364" xr:uid="{00000000-0005-0000-0000-000029380000}"/>
    <cellStyle name="Positive 2 2 2 2 4 2 3 2" xfId="14365" xr:uid="{00000000-0005-0000-0000-00002A380000}"/>
    <cellStyle name="Positive 2 2 2 2 4 2 4" xfId="14366" xr:uid="{00000000-0005-0000-0000-00002B380000}"/>
    <cellStyle name="Positive 2 2 2 2 4 2 4 2" xfId="14367" xr:uid="{00000000-0005-0000-0000-00002C380000}"/>
    <cellStyle name="Positive 2 2 2 2 4 2 5" xfId="14368" xr:uid="{00000000-0005-0000-0000-00002D380000}"/>
    <cellStyle name="Positive 2 2 2 2 4 2 5 2" xfId="14369" xr:uid="{00000000-0005-0000-0000-00002E380000}"/>
    <cellStyle name="Positive 2 2 2 2 4 2 6" xfId="14370" xr:uid="{00000000-0005-0000-0000-00002F380000}"/>
    <cellStyle name="Positive 2 2 2 2 4 2 6 2" xfId="14371" xr:uid="{00000000-0005-0000-0000-000030380000}"/>
    <cellStyle name="Positive 2 2 2 2 4 2 7" xfId="14372" xr:uid="{00000000-0005-0000-0000-000031380000}"/>
    <cellStyle name="Positive 2 2 2 2 4 2 7 2" xfId="14373" xr:uid="{00000000-0005-0000-0000-000032380000}"/>
    <cellStyle name="Positive 2 2 2 2 4 2 8" xfId="14374" xr:uid="{00000000-0005-0000-0000-000033380000}"/>
    <cellStyle name="Positive 2 2 2 2 4 2 8 2" xfId="14375" xr:uid="{00000000-0005-0000-0000-000034380000}"/>
    <cellStyle name="Positive 2 2 2 2 4 2 9" xfId="14376" xr:uid="{00000000-0005-0000-0000-000035380000}"/>
    <cellStyle name="Positive 2 2 2 2 4 2 9 2" xfId="14377" xr:uid="{00000000-0005-0000-0000-000036380000}"/>
    <cellStyle name="Positive 2 2 2 2 4 20" xfId="14378" xr:uid="{00000000-0005-0000-0000-000037380000}"/>
    <cellStyle name="Positive 2 2 2 2 4 3" xfId="14379" xr:uid="{00000000-0005-0000-0000-000038380000}"/>
    <cellStyle name="Positive 2 2 2 2 4 3 2" xfId="14380" xr:uid="{00000000-0005-0000-0000-000039380000}"/>
    <cellStyle name="Positive 2 2 2 2 4 3 2 2" xfId="14381" xr:uid="{00000000-0005-0000-0000-00003A380000}"/>
    <cellStyle name="Positive 2 2 2 2 4 3 3" xfId="14382" xr:uid="{00000000-0005-0000-0000-00003B380000}"/>
    <cellStyle name="Positive 2 2 2 2 4 4" xfId="14383" xr:uid="{00000000-0005-0000-0000-00003C380000}"/>
    <cellStyle name="Positive 2 2 2 2 4 4 2" xfId="14384" xr:uid="{00000000-0005-0000-0000-00003D380000}"/>
    <cellStyle name="Positive 2 2 2 2 4 4 2 2" xfId="14385" xr:uid="{00000000-0005-0000-0000-00003E380000}"/>
    <cellStyle name="Positive 2 2 2 2 4 4 3" xfId="14386" xr:uid="{00000000-0005-0000-0000-00003F380000}"/>
    <cellStyle name="Positive 2 2 2 2 4 5" xfId="14387" xr:uid="{00000000-0005-0000-0000-000040380000}"/>
    <cellStyle name="Positive 2 2 2 2 4 5 2" xfId="14388" xr:uid="{00000000-0005-0000-0000-000041380000}"/>
    <cellStyle name="Positive 2 2 2 2 4 6" xfId="14389" xr:uid="{00000000-0005-0000-0000-000042380000}"/>
    <cellStyle name="Positive 2 2 2 2 4 6 2" xfId="14390" xr:uid="{00000000-0005-0000-0000-000043380000}"/>
    <cellStyle name="Positive 2 2 2 2 4 7" xfId="14391" xr:uid="{00000000-0005-0000-0000-000044380000}"/>
    <cellStyle name="Positive 2 2 2 2 4 7 2" xfId="14392" xr:uid="{00000000-0005-0000-0000-000045380000}"/>
    <cellStyle name="Positive 2 2 2 2 4 8" xfId="14393" xr:uid="{00000000-0005-0000-0000-000046380000}"/>
    <cellStyle name="Positive 2 2 2 2 4 8 2" xfId="14394" xr:uid="{00000000-0005-0000-0000-000047380000}"/>
    <cellStyle name="Positive 2 2 2 2 4 9" xfId="14395" xr:uid="{00000000-0005-0000-0000-000048380000}"/>
    <cellStyle name="Positive 2 2 2 2 4 9 2" xfId="14396" xr:uid="{00000000-0005-0000-0000-000049380000}"/>
    <cellStyle name="Positive 2 2 2 2 5" xfId="14397" xr:uid="{00000000-0005-0000-0000-00004A380000}"/>
    <cellStyle name="Positive 2 2 2 2 5 10" xfId="14398" xr:uid="{00000000-0005-0000-0000-00004B380000}"/>
    <cellStyle name="Positive 2 2 2 2 5 10 2" xfId="14399" xr:uid="{00000000-0005-0000-0000-00004C380000}"/>
    <cellStyle name="Positive 2 2 2 2 5 11" xfId="14400" xr:uid="{00000000-0005-0000-0000-00004D380000}"/>
    <cellStyle name="Positive 2 2 2 2 5 11 2" xfId="14401" xr:uid="{00000000-0005-0000-0000-00004E380000}"/>
    <cellStyle name="Positive 2 2 2 2 5 12" xfId="14402" xr:uid="{00000000-0005-0000-0000-00004F380000}"/>
    <cellStyle name="Positive 2 2 2 2 5 12 2" xfId="14403" xr:uid="{00000000-0005-0000-0000-000050380000}"/>
    <cellStyle name="Positive 2 2 2 2 5 13" xfId="14404" xr:uid="{00000000-0005-0000-0000-000051380000}"/>
    <cellStyle name="Positive 2 2 2 2 5 13 2" xfId="14405" xr:uid="{00000000-0005-0000-0000-000052380000}"/>
    <cellStyle name="Positive 2 2 2 2 5 14" xfId="14406" xr:uid="{00000000-0005-0000-0000-000053380000}"/>
    <cellStyle name="Positive 2 2 2 2 5 14 2" xfId="14407" xr:uid="{00000000-0005-0000-0000-000054380000}"/>
    <cellStyle name="Positive 2 2 2 2 5 15" xfId="14408" xr:uid="{00000000-0005-0000-0000-000055380000}"/>
    <cellStyle name="Positive 2 2 2 2 5 15 2" xfId="14409" xr:uid="{00000000-0005-0000-0000-000056380000}"/>
    <cellStyle name="Positive 2 2 2 2 5 16" xfId="14410" xr:uid="{00000000-0005-0000-0000-000057380000}"/>
    <cellStyle name="Positive 2 2 2 2 5 16 2" xfId="14411" xr:uid="{00000000-0005-0000-0000-000058380000}"/>
    <cellStyle name="Positive 2 2 2 2 5 17" xfId="14412" xr:uid="{00000000-0005-0000-0000-000059380000}"/>
    <cellStyle name="Positive 2 2 2 2 5 2" xfId="14413" xr:uid="{00000000-0005-0000-0000-00005A380000}"/>
    <cellStyle name="Positive 2 2 2 2 5 2 2" xfId="14414" xr:uid="{00000000-0005-0000-0000-00005B380000}"/>
    <cellStyle name="Positive 2 2 2 2 5 3" xfId="14415" xr:uid="{00000000-0005-0000-0000-00005C380000}"/>
    <cellStyle name="Positive 2 2 2 2 5 3 2" xfId="14416" xr:uid="{00000000-0005-0000-0000-00005D380000}"/>
    <cellStyle name="Positive 2 2 2 2 5 4" xfId="14417" xr:uid="{00000000-0005-0000-0000-00005E380000}"/>
    <cellStyle name="Positive 2 2 2 2 5 4 2" xfId="14418" xr:uid="{00000000-0005-0000-0000-00005F380000}"/>
    <cellStyle name="Positive 2 2 2 2 5 5" xfId="14419" xr:uid="{00000000-0005-0000-0000-000060380000}"/>
    <cellStyle name="Positive 2 2 2 2 5 5 2" xfId="14420" xr:uid="{00000000-0005-0000-0000-000061380000}"/>
    <cellStyle name="Positive 2 2 2 2 5 6" xfId="14421" xr:uid="{00000000-0005-0000-0000-000062380000}"/>
    <cellStyle name="Positive 2 2 2 2 5 6 2" xfId="14422" xr:uid="{00000000-0005-0000-0000-000063380000}"/>
    <cellStyle name="Positive 2 2 2 2 5 7" xfId="14423" xr:uid="{00000000-0005-0000-0000-000064380000}"/>
    <cellStyle name="Positive 2 2 2 2 5 7 2" xfId="14424" xr:uid="{00000000-0005-0000-0000-000065380000}"/>
    <cellStyle name="Positive 2 2 2 2 5 8" xfId="14425" xr:uid="{00000000-0005-0000-0000-000066380000}"/>
    <cellStyle name="Positive 2 2 2 2 5 8 2" xfId="14426" xr:uid="{00000000-0005-0000-0000-000067380000}"/>
    <cellStyle name="Positive 2 2 2 2 5 9" xfId="14427" xr:uid="{00000000-0005-0000-0000-000068380000}"/>
    <cellStyle name="Positive 2 2 2 2 5 9 2" xfId="14428" xr:uid="{00000000-0005-0000-0000-000069380000}"/>
    <cellStyle name="Positive 2 2 2 2 6" xfId="14429" xr:uid="{00000000-0005-0000-0000-00006A380000}"/>
    <cellStyle name="Positive 2 2 2 2 6 2" xfId="14430" xr:uid="{00000000-0005-0000-0000-00006B380000}"/>
    <cellStyle name="Positive 2 2 2 2 6 2 2" xfId="14431" xr:uid="{00000000-0005-0000-0000-00006C380000}"/>
    <cellStyle name="Positive 2 2 2 2 6 3" xfId="14432" xr:uid="{00000000-0005-0000-0000-00006D380000}"/>
    <cellStyle name="Positive 2 2 2 2 7" xfId="14433" xr:uid="{00000000-0005-0000-0000-00006E380000}"/>
    <cellStyle name="Positive 2 2 2 2 7 2" xfId="14434" xr:uid="{00000000-0005-0000-0000-00006F380000}"/>
    <cellStyle name="Positive 2 2 2 2 7 2 2" xfId="14435" xr:uid="{00000000-0005-0000-0000-000070380000}"/>
    <cellStyle name="Positive 2 2 2 2 7 3" xfId="14436" xr:uid="{00000000-0005-0000-0000-000071380000}"/>
    <cellStyle name="Positive 2 2 2 2 8" xfId="14437" xr:uid="{00000000-0005-0000-0000-000072380000}"/>
    <cellStyle name="Positive 2 2 2 2 8 2" xfId="14438" xr:uid="{00000000-0005-0000-0000-000073380000}"/>
    <cellStyle name="Positive 2 2 2 2 9" xfId="14439" xr:uid="{00000000-0005-0000-0000-000074380000}"/>
    <cellStyle name="Positive 2 2 2 2 9 2" xfId="14440" xr:uid="{00000000-0005-0000-0000-000075380000}"/>
    <cellStyle name="Positive 2 2 2 20" xfId="14441" xr:uid="{00000000-0005-0000-0000-000076380000}"/>
    <cellStyle name="Positive 2 2 2 20 2" xfId="14442" xr:uid="{00000000-0005-0000-0000-000077380000}"/>
    <cellStyle name="Positive 2 2 2 20 2 2" xfId="14443" xr:uid="{00000000-0005-0000-0000-000078380000}"/>
    <cellStyle name="Positive 2 2 2 20 3" xfId="14444" xr:uid="{00000000-0005-0000-0000-000079380000}"/>
    <cellStyle name="Positive 2 2 2 21" xfId="14445" xr:uid="{00000000-0005-0000-0000-00007A380000}"/>
    <cellStyle name="Positive 2 2 2 21 2" xfId="14446" xr:uid="{00000000-0005-0000-0000-00007B380000}"/>
    <cellStyle name="Positive 2 2 2 21 2 2" xfId="14447" xr:uid="{00000000-0005-0000-0000-00007C380000}"/>
    <cellStyle name="Positive 2 2 2 21 3" xfId="14448" xr:uid="{00000000-0005-0000-0000-00007D380000}"/>
    <cellStyle name="Positive 2 2 2 22" xfId="14449" xr:uid="{00000000-0005-0000-0000-00007E380000}"/>
    <cellStyle name="Positive 2 2 2 22 2" xfId="14450" xr:uid="{00000000-0005-0000-0000-00007F380000}"/>
    <cellStyle name="Positive 2 2 2 23" xfId="14451" xr:uid="{00000000-0005-0000-0000-000080380000}"/>
    <cellStyle name="Positive 2 2 2 23 2" xfId="14452" xr:uid="{00000000-0005-0000-0000-000081380000}"/>
    <cellStyle name="Positive 2 2 2 24" xfId="14453" xr:uid="{00000000-0005-0000-0000-000082380000}"/>
    <cellStyle name="Positive 2 2 2 24 2" xfId="14454" xr:uid="{00000000-0005-0000-0000-000083380000}"/>
    <cellStyle name="Positive 2 2 2 25" xfId="14455" xr:uid="{00000000-0005-0000-0000-000084380000}"/>
    <cellStyle name="Positive 2 2 2 25 2" xfId="14456" xr:uid="{00000000-0005-0000-0000-000085380000}"/>
    <cellStyle name="Positive 2 2 2 26" xfId="14457" xr:uid="{00000000-0005-0000-0000-000086380000}"/>
    <cellStyle name="Positive 2 2 2 26 2" xfId="14458" xr:uid="{00000000-0005-0000-0000-000087380000}"/>
    <cellStyle name="Positive 2 2 2 27" xfId="14459" xr:uid="{00000000-0005-0000-0000-000088380000}"/>
    <cellStyle name="Positive 2 2 2 27 2" xfId="14460" xr:uid="{00000000-0005-0000-0000-000089380000}"/>
    <cellStyle name="Positive 2 2 2 28" xfId="14461" xr:uid="{00000000-0005-0000-0000-00008A380000}"/>
    <cellStyle name="Positive 2 2 2 28 2" xfId="14462" xr:uid="{00000000-0005-0000-0000-00008B380000}"/>
    <cellStyle name="Positive 2 2 2 29" xfId="14463" xr:uid="{00000000-0005-0000-0000-00008C380000}"/>
    <cellStyle name="Positive 2 2 2 29 2" xfId="14464" xr:uid="{00000000-0005-0000-0000-00008D380000}"/>
    <cellStyle name="Positive 2 2 2 3" xfId="14465" xr:uid="{00000000-0005-0000-0000-00008E380000}"/>
    <cellStyle name="Positive 2 2 2 3 10" xfId="14466" xr:uid="{00000000-0005-0000-0000-00008F380000}"/>
    <cellStyle name="Positive 2 2 2 3 10 2" xfId="14467" xr:uid="{00000000-0005-0000-0000-000090380000}"/>
    <cellStyle name="Positive 2 2 2 3 11" xfId="14468" xr:uid="{00000000-0005-0000-0000-000091380000}"/>
    <cellStyle name="Positive 2 2 2 3 11 2" xfId="14469" xr:uid="{00000000-0005-0000-0000-000092380000}"/>
    <cellStyle name="Positive 2 2 2 3 12" xfId="14470" xr:uid="{00000000-0005-0000-0000-000093380000}"/>
    <cellStyle name="Positive 2 2 2 3 12 2" xfId="14471" xr:uid="{00000000-0005-0000-0000-000094380000}"/>
    <cellStyle name="Positive 2 2 2 3 13" xfId="14472" xr:uid="{00000000-0005-0000-0000-000095380000}"/>
    <cellStyle name="Positive 2 2 2 3 13 2" xfId="14473" xr:uid="{00000000-0005-0000-0000-000096380000}"/>
    <cellStyle name="Positive 2 2 2 3 14" xfId="14474" xr:uid="{00000000-0005-0000-0000-000097380000}"/>
    <cellStyle name="Positive 2 2 2 3 14 2" xfId="14475" xr:uid="{00000000-0005-0000-0000-000098380000}"/>
    <cellStyle name="Positive 2 2 2 3 15" xfId="14476" xr:uid="{00000000-0005-0000-0000-000099380000}"/>
    <cellStyle name="Positive 2 2 2 3 15 2" xfId="14477" xr:uid="{00000000-0005-0000-0000-00009A380000}"/>
    <cellStyle name="Positive 2 2 2 3 16" xfId="14478" xr:uid="{00000000-0005-0000-0000-00009B380000}"/>
    <cellStyle name="Positive 2 2 2 3 16 2" xfId="14479" xr:uid="{00000000-0005-0000-0000-00009C380000}"/>
    <cellStyle name="Positive 2 2 2 3 17" xfId="14480" xr:uid="{00000000-0005-0000-0000-00009D380000}"/>
    <cellStyle name="Positive 2 2 2 3 17 2" xfId="14481" xr:uid="{00000000-0005-0000-0000-00009E380000}"/>
    <cellStyle name="Positive 2 2 2 3 18" xfId="14482" xr:uid="{00000000-0005-0000-0000-00009F380000}"/>
    <cellStyle name="Positive 2 2 2 3 18 2" xfId="14483" xr:uid="{00000000-0005-0000-0000-0000A0380000}"/>
    <cellStyle name="Positive 2 2 2 3 19" xfId="14484" xr:uid="{00000000-0005-0000-0000-0000A1380000}"/>
    <cellStyle name="Positive 2 2 2 3 19 2" xfId="14485" xr:uid="{00000000-0005-0000-0000-0000A2380000}"/>
    <cellStyle name="Positive 2 2 2 3 2" xfId="14486" xr:uid="{00000000-0005-0000-0000-0000A3380000}"/>
    <cellStyle name="Positive 2 2 2 3 2 10" xfId="14487" xr:uid="{00000000-0005-0000-0000-0000A4380000}"/>
    <cellStyle name="Positive 2 2 2 3 2 10 2" xfId="14488" xr:uid="{00000000-0005-0000-0000-0000A5380000}"/>
    <cellStyle name="Positive 2 2 2 3 2 11" xfId="14489" xr:uid="{00000000-0005-0000-0000-0000A6380000}"/>
    <cellStyle name="Positive 2 2 2 3 2 11 2" xfId="14490" xr:uid="{00000000-0005-0000-0000-0000A7380000}"/>
    <cellStyle name="Positive 2 2 2 3 2 12" xfId="14491" xr:uid="{00000000-0005-0000-0000-0000A8380000}"/>
    <cellStyle name="Positive 2 2 2 3 2 12 2" xfId="14492" xr:uid="{00000000-0005-0000-0000-0000A9380000}"/>
    <cellStyle name="Positive 2 2 2 3 2 13" xfId="14493" xr:uid="{00000000-0005-0000-0000-0000AA380000}"/>
    <cellStyle name="Positive 2 2 2 3 2 13 2" xfId="14494" xr:uid="{00000000-0005-0000-0000-0000AB380000}"/>
    <cellStyle name="Positive 2 2 2 3 2 14" xfId="14495" xr:uid="{00000000-0005-0000-0000-0000AC380000}"/>
    <cellStyle name="Positive 2 2 2 3 2 14 2" xfId="14496" xr:uid="{00000000-0005-0000-0000-0000AD380000}"/>
    <cellStyle name="Positive 2 2 2 3 2 15" xfId="14497" xr:uid="{00000000-0005-0000-0000-0000AE380000}"/>
    <cellStyle name="Positive 2 2 2 3 2 15 2" xfId="14498" xr:uid="{00000000-0005-0000-0000-0000AF380000}"/>
    <cellStyle name="Positive 2 2 2 3 2 16" xfId="14499" xr:uid="{00000000-0005-0000-0000-0000B0380000}"/>
    <cellStyle name="Positive 2 2 2 3 2 16 2" xfId="14500" xr:uid="{00000000-0005-0000-0000-0000B1380000}"/>
    <cellStyle name="Positive 2 2 2 3 2 17" xfId="14501" xr:uid="{00000000-0005-0000-0000-0000B2380000}"/>
    <cellStyle name="Positive 2 2 2 3 2 17 2" xfId="14502" xr:uid="{00000000-0005-0000-0000-0000B3380000}"/>
    <cellStyle name="Positive 2 2 2 3 2 18" xfId="14503" xr:uid="{00000000-0005-0000-0000-0000B4380000}"/>
    <cellStyle name="Positive 2 2 2 3 2 18 2" xfId="14504" xr:uid="{00000000-0005-0000-0000-0000B5380000}"/>
    <cellStyle name="Positive 2 2 2 3 2 19" xfId="14505" xr:uid="{00000000-0005-0000-0000-0000B6380000}"/>
    <cellStyle name="Positive 2 2 2 3 2 19 2" xfId="14506" xr:uid="{00000000-0005-0000-0000-0000B7380000}"/>
    <cellStyle name="Positive 2 2 2 3 2 2" xfId="14507" xr:uid="{00000000-0005-0000-0000-0000B8380000}"/>
    <cellStyle name="Positive 2 2 2 3 2 2 10" xfId="14508" xr:uid="{00000000-0005-0000-0000-0000B9380000}"/>
    <cellStyle name="Positive 2 2 2 3 2 2 10 2" xfId="14509" xr:uid="{00000000-0005-0000-0000-0000BA380000}"/>
    <cellStyle name="Positive 2 2 2 3 2 2 11" xfId="14510" xr:uid="{00000000-0005-0000-0000-0000BB380000}"/>
    <cellStyle name="Positive 2 2 2 3 2 2 11 2" xfId="14511" xr:uid="{00000000-0005-0000-0000-0000BC380000}"/>
    <cellStyle name="Positive 2 2 2 3 2 2 12" xfId="14512" xr:uid="{00000000-0005-0000-0000-0000BD380000}"/>
    <cellStyle name="Positive 2 2 2 3 2 2 12 2" xfId="14513" xr:uid="{00000000-0005-0000-0000-0000BE380000}"/>
    <cellStyle name="Positive 2 2 2 3 2 2 13" xfId="14514" xr:uid="{00000000-0005-0000-0000-0000BF380000}"/>
    <cellStyle name="Positive 2 2 2 3 2 2 13 2" xfId="14515" xr:uid="{00000000-0005-0000-0000-0000C0380000}"/>
    <cellStyle name="Positive 2 2 2 3 2 2 14" xfId="14516" xr:uid="{00000000-0005-0000-0000-0000C1380000}"/>
    <cellStyle name="Positive 2 2 2 3 2 2 14 2" xfId="14517" xr:uid="{00000000-0005-0000-0000-0000C2380000}"/>
    <cellStyle name="Positive 2 2 2 3 2 2 15" xfId="14518" xr:uid="{00000000-0005-0000-0000-0000C3380000}"/>
    <cellStyle name="Positive 2 2 2 3 2 2 15 2" xfId="14519" xr:uid="{00000000-0005-0000-0000-0000C4380000}"/>
    <cellStyle name="Positive 2 2 2 3 2 2 16" xfId="14520" xr:uid="{00000000-0005-0000-0000-0000C5380000}"/>
    <cellStyle name="Positive 2 2 2 3 2 2 16 2" xfId="14521" xr:uid="{00000000-0005-0000-0000-0000C6380000}"/>
    <cellStyle name="Positive 2 2 2 3 2 2 17" xfId="14522" xr:uid="{00000000-0005-0000-0000-0000C7380000}"/>
    <cellStyle name="Positive 2 2 2 3 2 2 2" xfId="14523" xr:uid="{00000000-0005-0000-0000-0000C8380000}"/>
    <cellStyle name="Positive 2 2 2 3 2 2 2 2" xfId="14524" xr:uid="{00000000-0005-0000-0000-0000C9380000}"/>
    <cellStyle name="Positive 2 2 2 3 2 2 3" xfId="14525" xr:uid="{00000000-0005-0000-0000-0000CA380000}"/>
    <cellStyle name="Positive 2 2 2 3 2 2 3 2" xfId="14526" xr:uid="{00000000-0005-0000-0000-0000CB380000}"/>
    <cellStyle name="Positive 2 2 2 3 2 2 4" xfId="14527" xr:uid="{00000000-0005-0000-0000-0000CC380000}"/>
    <cellStyle name="Positive 2 2 2 3 2 2 4 2" xfId="14528" xr:uid="{00000000-0005-0000-0000-0000CD380000}"/>
    <cellStyle name="Positive 2 2 2 3 2 2 5" xfId="14529" xr:uid="{00000000-0005-0000-0000-0000CE380000}"/>
    <cellStyle name="Positive 2 2 2 3 2 2 5 2" xfId="14530" xr:uid="{00000000-0005-0000-0000-0000CF380000}"/>
    <cellStyle name="Positive 2 2 2 3 2 2 6" xfId="14531" xr:uid="{00000000-0005-0000-0000-0000D0380000}"/>
    <cellStyle name="Positive 2 2 2 3 2 2 6 2" xfId="14532" xr:uid="{00000000-0005-0000-0000-0000D1380000}"/>
    <cellStyle name="Positive 2 2 2 3 2 2 7" xfId="14533" xr:uid="{00000000-0005-0000-0000-0000D2380000}"/>
    <cellStyle name="Positive 2 2 2 3 2 2 7 2" xfId="14534" xr:uid="{00000000-0005-0000-0000-0000D3380000}"/>
    <cellStyle name="Positive 2 2 2 3 2 2 8" xfId="14535" xr:uid="{00000000-0005-0000-0000-0000D4380000}"/>
    <cellStyle name="Positive 2 2 2 3 2 2 8 2" xfId="14536" xr:uid="{00000000-0005-0000-0000-0000D5380000}"/>
    <cellStyle name="Positive 2 2 2 3 2 2 9" xfId="14537" xr:uid="{00000000-0005-0000-0000-0000D6380000}"/>
    <cellStyle name="Positive 2 2 2 3 2 2 9 2" xfId="14538" xr:uid="{00000000-0005-0000-0000-0000D7380000}"/>
    <cellStyle name="Positive 2 2 2 3 2 20" xfId="14539" xr:uid="{00000000-0005-0000-0000-0000D8380000}"/>
    <cellStyle name="Positive 2 2 2 3 2 3" xfId="14540" xr:uid="{00000000-0005-0000-0000-0000D9380000}"/>
    <cellStyle name="Positive 2 2 2 3 2 3 2" xfId="14541" xr:uid="{00000000-0005-0000-0000-0000DA380000}"/>
    <cellStyle name="Positive 2 2 2 3 2 3 2 2" xfId="14542" xr:uid="{00000000-0005-0000-0000-0000DB380000}"/>
    <cellStyle name="Positive 2 2 2 3 2 3 3" xfId="14543" xr:uid="{00000000-0005-0000-0000-0000DC380000}"/>
    <cellStyle name="Positive 2 2 2 3 2 4" xfId="14544" xr:uid="{00000000-0005-0000-0000-0000DD380000}"/>
    <cellStyle name="Positive 2 2 2 3 2 4 2" xfId="14545" xr:uid="{00000000-0005-0000-0000-0000DE380000}"/>
    <cellStyle name="Positive 2 2 2 3 2 4 2 2" xfId="14546" xr:uid="{00000000-0005-0000-0000-0000DF380000}"/>
    <cellStyle name="Positive 2 2 2 3 2 4 3" xfId="14547" xr:uid="{00000000-0005-0000-0000-0000E0380000}"/>
    <cellStyle name="Positive 2 2 2 3 2 5" xfId="14548" xr:uid="{00000000-0005-0000-0000-0000E1380000}"/>
    <cellStyle name="Positive 2 2 2 3 2 5 2" xfId="14549" xr:uid="{00000000-0005-0000-0000-0000E2380000}"/>
    <cellStyle name="Positive 2 2 2 3 2 6" xfId="14550" xr:uid="{00000000-0005-0000-0000-0000E3380000}"/>
    <cellStyle name="Positive 2 2 2 3 2 6 2" xfId="14551" xr:uid="{00000000-0005-0000-0000-0000E4380000}"/>
    <cellStyle name="Positive 2 2 2 3 2 7" xfId="14552" xr:uid="{00000000-0005-0000-0000-0000E5380000}"/>
    <cellStyle name="Positive 2 2 2 3 2 7 2" xfId="14553" xr:uid="{00000000-0005-0000-0000-0000E6380000}"/>
    <cellStyle name="Positive 2 2 2 3 2 8" xfId="14554" xr:uid="{00000000-0005-0000-0000-0000E7380000}"/>
    <cellStyle name="Positive 2 2 2 3 2 8 2" xfId="14555" xr:uid="{00000000-0005-0000-0000-0000E8380000}"/>
    <cellStyle name="Positive 2 2 2 3 2 9" xfId="14556" xr:uid="{00000000-0005-0000-0000-0000E9380000}"/>
    <cellStyle name="Positive 2 2 2 3 2 9 2" xfId="14557" xr:uid="{00000000-0005-0000-0000-0000EA380000}"/>
    <cellStyle name="Positive 2 2 2 3 20" xfId="14558" xr:uid="{00000000-0005-0000-0000-0000EB380000}"/>
    <cellStyle name="Positive 2 2 2 3 20 2" xfId="14559" xr:uid="{00000000-0005-0000-0000-0000EC380000}"/>
    <cellStyle name="Positive 2 2 2 3 21" xfId="14560" xr:uid="{00000000-0005-0000-0000-0000ED380000}"/>
    <cellStyle name="Positive 2 2 2 3 21 2" xfId="14561" xr:uid="{00000000-0005-0000-0000-0000EE380000}"/>
    <cellStyle name="Positive 2 2 2 3 22" xfId="14562" xr:uid="{00000000-0005-0000-0000-0000EF380000}"/>
    <cellStyle name="Positive 2 2 2 3 22 2" xfId="14563" xr:uid="{00000000-0005-0000-0000-0000F0380000}"/>
    <cellStyle name="Positive 2 2 2 3 23" xfId="14564" xr:uid="{00000000-0005-0000-0000-0000F1380000}"/>
    <cellStyle name="Positive 2 2 2 3 3" xfId="14565" xr:uid="{00000000-0005-0000-0000-0000F2380000}"/>
    <cellStyle name="Positive 2 2 2 3 3 10" xfId="14566" xr:uid="{00000000-0005-0000-0000-0000F3380000}"/>
    <cellStyle name="Positive 2 2 2 3 3 10 2" xfId="14567" xr:uid="{00000000-0005-0000-0000-0000F4380000}"/>
    <cellStyle name="Positive 2 2 2 3 3 11" xfId="14568" xr:uid="{00000000-0005-0000-0000-0000F5380000}"/>
    <cellStyle name="Positive 2 2 2 3 3 11 2" xfId="14569" xr:uid="{00000000-0005-0000-0000-0000F6380000}"/>
    <cellStyle name="Positive 2 2 2 3 3 12" xfId="14570" xr:uid="{00000000-0005-0000-0000-0000F7380000}"/>
    <cellStyle name="Positive 2 2 2 3 3 12 2" xfId="14571" xr:uid="{00000000-0005-0000-0000-0000F8380000}"/>
    <cellStyle name="Positive 2 2 2 3 3 13" xfId="14572" xr:uid="{00000000-0005-0000-0000-0000F9380000}"/>
    <cellStyle name="Positive 2 2 2 3 3 13 2" xfId="14573" xr:uid="{00000000-0005-0000-0000-0000FA380000}"/>
    <cellStyle name="Positive 2 2 2 3 3 14" xfId="14574" xr:uid="{00000000-0005-0000-0000-0000FB380000}"/>
    <cellStyle name="Positive 2 2 2 3 3 14 2" xfId="14575" xr:uid="{00000000-0005-0000-0000-0000FC380000}"/>
    <cellStyle name="Positive 2 2 2 3 3 15" xfId="14576" xr:uid="{00000000-0005-0000-0000-0000FD380000}"/>
    <cellStyle name="Positive 2 2 2 3 3 15 2" xfId="14577" xr:uid="{00000000-0005-0000-0000-0000FE380000}"/>
    <cellStyle name="Positive 2 2 2 3 3 16" xfId="14578" xr:uid="{00000000-0005-0000-0000-0000FF380000}"/>
    <cellStyle name="Positive 2 2 2 3 3 16 2" xfId="14579" xr:uid="{00000000-0005-0000-0000-000000390000}"/>
    <cellStyle name="Positive 2 2 2 3 3 17" xfId="14580" xr:uid="{00000000-0005-0000-0000-000001390000}"/>
    <cellStyle name="Positive 2 2 2 3 3 17 2" xfId="14581" xr:uid="{00000000-0005-0000-0000-000002390000}"/>
    <cellStyle name="Positive 2 2 2 3 3 18" xfId="14582" xr:uid="{00000000-0005-0000-0000-000003390000}"/>
    <cellStyle name="Positive 2 2 2 3 3 18 2" xfId="14583" xr:uid="{00000000-0005-0000-0000-000004390000}"/>
    <cellStyle name="Positive 2 2 2 3 3 19" xfId="14584" xr:uid="{00000000-0005-0000-0000-000005390000}"/>
    <cellStyle name="Positive 2 2 2 3 3 19 2" xfId="14585" xr:uid="{00000000-0005-0000-0000-000006390000}"/>
    <cellStyle name="Positive 2 2 2 3 3 2" xfId="14586" xr:uid="{00000000-0005-0000-0000-000007390000}"/>
    <cellStyle name="Positive 2 2 2 3 3 2 10" xfId="14587" xr:uid="{00000000-0005-0000-0000-000008390000}"/>
    <cellStyle name="Positive 2 2 2 3 3 2 10 2" xfId="14588" xr:uid="{00000000-0005-0000-0000-000009390000}"/>
    <cellStyle name="Positive 2 2 2 3 3 2 11" xfId="14589" xr:uid="{00000000-0005-0000-0000-00000A390000}"/>
    <cellStyle name="Positive 2 2 2 3 3 2 11 2" xfId="14590" xr:uid="{00000000-0005-0000-0000-00000B390000}"/>
    <cellStyle name="Positive 2 2 2 3 3 2 12" xfId="14591" xr:uid="{00000000-0005-0000-0000-00000C390000}"/>
    <cellStyle name="Positive 2 2 2 3 3 2 12 2" xfId="14592" xr:uid="{00000000-0005-0000-0000-00000D390000}"/>
    <cellStyle name="Positive 2 2 2 3 3 2 13" xfId="14593" xr:uid="{00000000-0005-0000-0000-00000E390000}"/>
    <cellStyle name="Positive 2 2 2 3 3 2 13 2" xfId="14594" xr:uid="{00000000-0005-0000-0000-00000F390000}"/>
    <cellStyle name="Positive 2 2 2 3 3 2 14" xfId="14595" xr:uid="{00000000-0005-0000-0000-000010390000}"/>
    <cellStyle name="Positive 2 2 2 3 3 2 14 2" xfId="14596" xr:uid="{00000000-0005-0000-0000-000011390000}"/>
    <cellStyle name="Positive 2 2 2 3 3 2 15" xfId="14597" xr:uid="{00000000-0005-0000-0000-000012390000}"/>
    <cellStyle name="Positive 2 2 2 3 3 2 15 2" xfId="14598" xr:uid="{00000000-0005-0000-0000-000013390000}"/>
    <cellStyle name="Positive 2 2 2 3 3 2 16" xfId="14599" xr:uid="{00000000-0005-0000-0000-000014390000}"/>
    <cellStyle name="Positive 2 2 2 3 3 2 16 2" xfId="14600" xr:uid="{00000000-0005-0000-0000-000015390000}"/>
    <cellStyle name="Positive 2 2 2 3 3 2 17" xfId="14601" xr:uid="{00000000-0005-0000-0000-000016390000}"/>
    <cellStyle name="Positive 2 2 2 3 3 2 2" xfId="14602" xr:uid="{00000000-0005-0000-0000-000017390000}"/>
    <cellStyle name="Positive 2 2 2 3 3 2 2 2" xfId="14603" xr:uid="{00000000-0005-0000-0000-000018390000}"/>
    <cellStyle name="Positive 2 2 2 3 3 2 3" xfId="14604" xr:uid="{00000000-0005-0000-0000-000019390000}"/>
    <cellStyle name="Positive 2 2 2 3 3 2 3 2" xfId="14605" xr:uid="{00000000-0005-0000-0000-00001A390000}"/>
    <cellStyle name="Positive 2 2 2 3 3 2 4" xfId="14606" xr:uid="{00000000-0005-0000-0000-00001B390000}"/>
    <cellStyle name="Positive 2 2 2 3 3 2 4 2" xfId="14607" xr:uid="{00000000-0005-0000-0000-00001C390000}"/>
    <cellStyle name="Positive 2 2 2 3 3 2 5" xfId="14608" xr:uid="{00000000-0005-0000-0000-00001D390000}"/>
    <cellStyle name="Positive 2 2 2 3 3 2 5 2" xfId="14609" xr:uid="{00000000-0005-0000-0000-00001E390000}"/>
    <cellStyle name="Positive 2 2 2 3 3 2 6" xfId="14610" xr:uid="{00000000-0005-0000-0000-00001F390000}"/>
    <cellStyle name="Positive 2 2 2 3 3 2 6 2" xfId="14611" xr:uid="{00000000-0005-0000-0000-000020390000}"/>
    <cellStyle name="Positive 2 2 2 3 3 2 7" xfId="14612" xr:uid="{00000000-0005-0000-0000-000021390000}"/>
    <cellStyle name="Positive 2 2 2 3 3 2 7 2" xfId="14613" xr:uid="{00000000-0005-0000-0000-000022390000}"/>
    <cellStyle name="Positive 2 2 2 3 3 2 8" xfId="14614" xr:uid="{00000000-0005-0000-0000-000023390000}"/>
    <cellStyle name="Positive 2 2 2 3 3 2 8 2" xfId="14615" xr:uid="{00000000-0005-0000-0000-000024390000}"/>
    <cellStyle name="Positive 2 2 2 3 3 2 9" xfId="14616" xr:uid="{00000000-0005-0000-0000-000025390000}"/>
    <cellStyle name="Positive 2 2 2 3 3 2 9 2" xfId="14617" xr:uid="{00000000-0005-0000-0000-000026390000}"/>
    <cellStyle name="Positive 2 2 2 3 3 20" xfId="14618" xr:uid="{00000000-0005-0000-0000-000027390000}"/>
    <cellStyle name="Positive 2 2 2 3 3 3" xfId="14619" xr:uid="{00000000-0005-0000-0000-000028390000}"/>
    <cellStyle name="Positive 2 2 2 3 3 3 2" xfId="14620" xr:uid="{00000000-0005-0000-0000-000029390000}"/>
    <cellStyle name="Positive 2 2 2 3 3 3 2 2" xfId="14621" xr:uid="{00000000-0005-0000-0000-00002A390000}"/>
    <cellStyle name="Positive 2 2 2 3 3 3 3" xfId="14622" xr:uid="{00000000-0005-0000-0000-00002B390000}"/>
    <cellStyle name="Positive 2 2 2 3 3 4" xfId="14623" xr:uid="{00000000-0005-0000-0000-00002C390000}"/>
    <cellStyle name="Positive 2 2 2 3 3 4 2" xfId="14624" xr:uid="{00000000-0005-0000-0000-00002D390000}"/>
    <cellStyle name="Positive 2 2 2 3 3 4 2 2" xfId="14625" xr:uid="{00000000-0005-0000-0000-00002E390000}"/>
    <cellStyle name="Positive 2 2 2 3 3 4 3" xfId="14626" xr:uid="{00000000-0005-0000-0000-00002F390000}"/>
    <cellStyle name="Positive 2 2 2 3 3 5" xfId="14627" xr:uid="{00000000-0005-0000-0000-000030390000}"/>
    <cellStyle name="Positive 2 2 2 3 3 5 2" xfId="14628" xr:uid="{00000000-0005-0000-0000-000031390000}"/>
    <cellStyle name="Positive 2 2 2 3 3 6" xfId="14629" xr:uid="{00000000-0005-0000-0000-000032390000}"/>
    <cellStyle name="Positive 2 2 2 3 3 6 2" xfId="14630" xr:uid="{00000000-0005-0000-0000-000033390000}"/>
    <cellStyle name="Positive 2 2 2 3 3 7" xfId="14631" xr:uid="{00000000-0005-0000-0000-000034390000}"/>
    <cellStyle name="Positive 2 2 2 3 3 7 2" xfId="14632" xr:uid="{00000000-0005-0000-0000-000035390000}"/>
    <cellStyle name="Positive 2 2 2 3 3 8" xfId="14633" xr:uid="{00000000-0005-0000-0000-000036390000}"/>
    <cellStyle name="Positive 2 2 2 3 3 8 2" xfId="14634" xr:uid="{00000000-0005-0000-0000-000037390000}"/>
    <cellStyle name="Positive 2 2 2 3 3 9" xfId="14635" xr:uid="{00000000-0005-0000-0000-000038390000}"/>
    <cellStyle name="Positive 2 2 2 3 3 9 2" xfId="14636" xr:uid="{00000000-0005-0000-0000-000039390000}"/>
    <cellStyle name="Positive 2 2 2 3 4" xfId="14637" xr:uid="{00000000-0005-0000-0000-00003A390000}"/>
    <cellStyle name="Positive 2 2 2 3 4 10" xfId="14638" xr:uid="{00000000-0005-0000-0000-00003B390000}"/>
    <cellStyle name="Positive 2 2 2 3 4 10 2" xfId="14639" xr:uid="{00000000-0005-0000-0000-00003C390000}"/>
    <cellStyle name="Positive 2 2 2 3 4 11" xfId="14640" xr:uid="{00000000-0005-0000-0000-00003D390000}"/>
    <cellStyle name="Positive 2 2 2 3 4 11 2" xfId="14641" xr:uid="{00000000-0005-0000-0000-00003E390000}"/>
    <cellStyle name="Positive 2 2 2 3 4 12" xfId="14642" xr:uid="{00000000-0005-0000-0000-00003F390000}"/>
    <cellStyle name="Positive 2 2 2 3 4 12 2" xfId="14643" xr:uid="{00000000-0005-0000-0000-000040390000}"/>
    <cellStyle name="Positive 2 2 2 3 4 13" xfId="14644" xr:uid="{00000000-0005-0000-0000-000041390000}"/>
    <cellStyle name="Positive 2 2 2 3 4 13 2" xfId="14645" xr:uid="{00000000-0005-0000-0000-000042390000}"/>
    <cellStyle name="Positive 2 2 2 3 4 14" xfId="14646" xr:uid="{00000000-0005-0000-0000-000043390000}"/>
    <cellStyle name="Positive 2 2 2 3 4 14 2" xfId="14647" xr:uid="{00000000-0005-0000-0000-000044390000}"/>
    <cellStyle name="Positive 2 2 2 3 4 15" xfId="14648" xr:uid="{00000000-0005-0000-0000-000045390000}"/>
    <cellStyle name="Positive 2 2 2 3 4 15 2" xfId="14649" xr:uid="{00000000-0005-0000-0000-000046390000}"/>
    <cellStyle name="Positive 2 2 2 3 4 16" xfId="14650" xr:uid="{00000000-0005-0000-0000-000047390000}"/>
    <cellStyle name="Positive 2 2 2 3 4 16 2" xfId="14651" xr:uid="{00000000-0005-0000-0000-000048390000}"/>
    <cellStyle name="Positive 2 2 2 3 4 17" xfId="14652" xr:uid="{00000000-0005-0000-0000-000049390000}"/>
    <cellStyle name="Positive 2 2 2 3 4 17 2" xfId="14653" xr:uid="{00000000-0005-0000-0000-00004A390000}"/>
    <cellStyle name="Positive 2 2 2 3 4 18" xfId="14654" xr:uid="{00000000-0005-0000-0000-00004B390000}"/>
    <cellStyle name="Positive 2 2 2 3 4 18 2" xfId="14655" xr:uid="{00000000-0005-0000-0000-00004C390000}"/>
    <cellStyle name="Positive 2 2 2 3 4 19" xfId="14656" xr:uid="{00000000-0005-0000-0000-00004D390000}"/>
    <cellStyle name="Positive 2 2 2 3 4 19 2" xfId="14657" xr:uid="{00000000-0005-0000-0000-00004E390000}"/>
    <cellStyle name="Positive 2 2 2 3 4 2" xfId="14658" xr:uid="{00000000-0005-0000-0000-00004F390000}"/>
    <cellStyle name="Positive 2 2 2 3 4 2 10" xfId="14659" xr:uid="{00000000-0005-0000-0000-000050390000}"/>
    <cellStyle name="Positive 2 2 2 3 4 2 10 2" xfId="14660" xr:uid="{00000000-0005-0000-0000-000051390000}"/>
    <cellStyle name="Positive 2 2 2 3 4 2 11" xfId="14661" xr:uid="{00000000-0005-0000-0000-000052390000}"/>
    <cellStyle name="Positive 2 2 2 3 4 2 11 2" xfId="14662" xr:uid="{00000000-0005-0000-0000-000053390000}"/>
    <cellStyle name="Positive 2 2 2 3 4 2 12" xfId="14663" xr:uid="{00000000-0005-0000-0000-000054390000}"/>
    <cellStyle name="Positive 2 2 2 3 4 2 12 2" xfId="14664" xr:uid="{00000000-0005-0000-0000-000055390000}"/>
    <cellStyle name="Positive 2 2 2 3 4 2 13" xfId="14665" xr:uid="{00000000-0005-0000-0000-000056390000}"/>
    <cellStyle name="Positive 2 2 2 3 4 2 13 2" xfId="14666" xr:uid="{00000000-0005-0000-0000-000057390000}"/>
    <cellStyle name="Positive 2 2 2 3 4 2 14" xfId="14667" xr:uid="{00000000-0005-0000-0000-000058390000}"/>
    <cellStyle name="Positive 2 2 2 3 4 2 14 2" xfId="14668" xr:uid="{00000000-0005-0000-0000-000059390000}"/>
    <cellStyle name="Positive 2 2 2 3 4 2 15" xfId="14669" xr:uid="{00000000-0005-0000-0000-00005A390000}"/>
    <cellStyle name="Positive 2 2 2 3 4 2 15 2" xfId="14670" xr:uid="{00000000-0005-0000-0000-00005B390000}"/>
    <cellStyle name="Positive 2 2 2 3 4 2 16" xfId="14671" xr:uid="{00000000-0005-0000-0000-00005C390000}"/>
    <cellStyle name="Positive 2 2 2 3 4 2 16 2" xfId="14672" xr:uid="{00000000-0005-0000-0000-00005D390000}"/>
    <cellStyle name="Positive 2 2 2 3 4 2 17" xfId="14673" xr:uid="{00000000-0005-0000-0000-00005E390000}"/>
    <cellStyle name="Positive 2 2 2 3 4 2 2" xfId="14674" xr:uid="{00000000-0005-0000-0000-00005F390000}"/>
    <cellStyle name="Positive 2 2 2 3 4 2 2 2" xfId="14675" xr:uid="{00000000-0005-0000-0000-000060390000}"/>
    <cellStyle name="Positive 2 2 2 3 4 2 3" xfId="14676" xr:uid="{00000000-0005-0000-0000-000061390000}"/>
    <cellStyle name="Positive 2 2 2 3 4 2 3 2" xfId="14677" xr:uid="{00000000-0005-0000-0000-000062390000}"/>
    <cellStyle name="Positive 2 2 2 3 4 2 4" xfId="14678" xr:uid="{00000000-0005-0000-0000-000063390000}"/>
    <cellStyle name="Positive 2 2 2 3 4 2 4 2" xfId="14679" xr:uid="{00000000-0005-0000-0000-000064390000}"/>
    <cellStyle name="Positive 2 2 2 3 4 2 5" xfId="14680" xr:uid="{00000000-0005-0000-0000-000065390000}"/>
    <cellStyle name="Positive 2 2 2 3 4 2 5 2" xfId="14681" xr:uid="{00000000-0005-0000-0000-000066390000}"/>
    <cellStyle name="Positive 2 2 2 3 4 2 6" xfId="14682" xr:uid="{00000000-0005-0000-0000-000067390000}"/>
    <cellStyle name="Positive 2 2 2 3 4 2 6 2" xfId="14683" xr:uid="{00000000-0005-0000-0000-000068390000}"/>
    <cellStyle name="Positive 2 2 2 3 4 2 7" xfId="14684" xr:uid="{00000000-0005-0000-0000-000069390000}"/>
    <cellStyle name="Positive 2 2 2 3 4 2 7 2" xfId="14685" xr:uid="{00000000-0005-0000-0000-00006A390000}"/>
    <cellStyle name="Positive 2 2 2 3 4 2 8" xfId="14686" xr:uid="{00000000-0005-0000-0000-00006B390000}"/>
    <cellStyle name="Positive 2 2 2 3 4 2 8 2" xfId="14687" xr:uid="{00000000-0005-0000-0000-00006C390000}"/>
    <cellStyle name="Positive 2 2 2 3 4 2 9" xfId="14688" xr:uid="{00000000-0005-0000-0000-00006D390000}"/>
    <cellStyle name="Positive 2 2 2 3 4 2 9 2" xfId="14689" xr:uid="{00000000-0005-0000-0000-00006E390000}"/>
    <cellStyle name="Positive 2 2 2 3 4 20" xfId="14690" xr:uid="{00000000-0005-0000-0000-00006F390000}"/>
    <cellStyle name="Positive 2 2 2 3 4 3" xfId="14691" xr:uid="{00000000-0005-0000-0000-000070390000}"/>
    <cellStyle name="Positive 2 2 2 3 4 3 2" xfId="14692" xr:uid="{00000000-0005-0000-0000-000071390000}"/>
    <cellStyle name="Positive 2 2 2 3 4 3 2 2" xfId="14693" xr:uid="{00000000-0005-0000-0000-000072390000}"/>
    <cellStyle name="Positive 2 2 2 3 4 3 3" xfId="14694" xr:uid="{00000000-0005-0000-0000-000073390000}"/>
    <cellStyle name="Positive 2 2 2 3 4 4" xfId="14695" xr:uid="{00000000-0005-0000-0000-000074390000}"/>
    <cellStyle name="Positive 2 2 2 3 4 4 2" xfId="14696" xr:uid="{00000000-0005-0000-0000-000075390000}"/>
    <cellStyle name="Positive 2 2 2 3 4 4 2 2" xfId="14697" xr:uid="{00000000-0005-0000-0000-000076390000}"/>
    <cellStyle name="Positive 2 2 2 3 4 4 3" xfId="14698" xr:uid="{00000000-0005-0000-0000-000077390000}"/>
    <cellStyle name="Positive 2 2 2 3 4 5" xfId="14699" xr:uid="{00000000-0005-0000-0000-000078390000}"/>
    <cellStyle name="Positive 2 2 2 3 4 5 2" xfId="14700" xr:uid="{00000000-0005-0000-0000-000079390000}"/>
    <cellStyle name="Positive 2 2 2 3 4 6" xfId="14701" xr:uid="{00000000-0005-0000-0000-00007A390000}"/>
    <cellStyle name="Positive 2 2 2 3 4 6 2" xfId="14702" xr:uid="{00000000-0005-0000-0000-00007B390000}"/>
    <cellStyle name="Positive 2 2 2 3 4 7" xfId="14703" xr:uid="{00000000-0005-0000-0000-00007C390000}"/>
    <cellStyle name="Positive 2 2 2 3 4 7 2" xfId="14704" xr:uid="{00000000-0005-0000-0000-00007D390000}"/>
    <cellStyle name="Positive 2 2 2 3 4 8" xfId="14705" xr:uid="{00000000-0005-0000-0000-00007E390000}"/>
    <cellStyle name="Positive 2 2 2 3 4 8 2" xfId="14706" xr:uid="{00000000-0005-0000-0000-00007F390000}"/>
    <cellStyle name="Positive 2 2 2 3 4 9" xfId="14707" xr:uid="{00000000-0005-0000-0000-000080390000}"/>
    <cellStyle name="Positive 2 2 2 3 4 9 2" xfId="14708" xr:uid="{00000000-0005-0000-0000-000081390000}"/>
    <cellStyle name="Positive 2 2 2 3 5" xfId="14709" xr:uid="{00000000-0005-0000-0000-000082390000}"/>
    <cellStyle name="Positive 2 2 2 3 5 10" xfId="14710" xr:uid="{00000000-0005-0000-0000-000083390000}"/>
    <cellStyle name="Positive 2 2 2 3 5 10 2" xfId="14711" xr:uid="{00000000-0005-0000-0000-000084390000}"/>
    <cellStyle name="Positive 2 2 2 3 5 11" xfId="14712" xr:uid="{00000000-0005-0000-0000-000085390000}"/>
    <cellStyle name="Positive 2 2 2 3 5 11 2" xfId="14713" xr:uid="{00000000-0005-0000-0000-000086390000}"/>
    <cellStyle name="Positive 2 2 2 3 5 12" xfId="14714" xr:uid="{00000000-0005-0000-0000-000087390000}"/>
    <cellStyle name="Positive 2 2 2 3 5 12 2" xfId="14715" xr:uid="{00000000-0005-0000-0000-000088390000}"/>
    <cellStyle name="Positive 2 2 2 3 5 13" xfId="14716" xr:uid="{00000000-0005-0000-0000-000089390000}"/>
    <cellStyle name="Positive 2 2 2 3 5 13 2" xfId="14717" xr:uid="{00000000-0005-0000-0000-00008A390000}"/>
    <cellStyle name="Positive 2 2 2 3 5 14" xfId="14718" xr:uid="{00000000-0005-0000-0000-00008B390000}"/>
    <cellStyle name="Positive 2 2 2 3 5 14 2" xfId="14719" xr:uid="{00000000-0005-0000-0000-00008C390000}"/>
    <cellStyle name="Positive 2 2 2 3 5 15" xfId="14720" xr:uid="{00000000-0005-0000-0000-00008D390000}"/>
    <cellStyle name="Positive 2 2 2 3 5 15 2" xfId="14721" xr:uid="{00000000-0005-0000-0000-00008E390000}"/>
    <cellStyle name="Positive 2 2 2 3 5 16" xfId="14722" xr:uid="{00000000-0005-0000-0000-00008F390000}"/>
    <cellStyle name="Positive 2 2 2 3 5 16 2" xfId="14723" xr:uid="{00000000-0005-0000-0000-000090390000}"/>
    <cellStyle name="Positive 2 2 2 3 5 17" xfId="14724" xr:uid="{00000000-0005-0000-0000-000091390000}"/>
    <cellStyle name="Positive 2 2 2 3 5 2" xfId="14725" xr:uid="{00000000-0005-0000-0000-000092390000}"/>
    <cellStyle name="Positive 2 2 2 3 5 2 2" xfId="14726" xr:uid="{00000000-0005-0000-0000-000093390000}"/>
    <cellStyle name="Positive 2 2 2 3 5 3" xfId="14727" xr:uid="{00000000-0005-0000-0000-000094390000}"/>
    <cellStyle name="Positive 2 2 2 3 5 3 2" xfId="14728" xr:uid="{00000000-0005-0000-0000-000095390000}"/>
    <cellStyle name="Positive 2 2 2 3 5 4" xfId="14729" xr:uid="{00000000-0005-0000-0000-000096390000}"/>
    <cellStyle name="Positive 2 2 2 3 5 4 2" xfId="14730" xr:uid="{00000000-0005-0000-0000-000097390000}"/>
    <cellStyle name="Positive 2 2 2 3 5 5" xfId="14731" xr:uid="{00000000-0005-0000-0000-000098390000}"/>
    <cellStyle name="Positive 2 2 2 3 5 5 2" xfId="14732" xr:uid="{00000000-0005-0000-0000-000099390000}"/>
    <cellStyle name="Positive 2 2 2 3 5 6" xfId="14733" xr:uid="{00000000-0005-0000-0000-00009A390000}"/>
    <cellStyle name="Positive 2 2 2 3 5 6 2" xfId="14734" xr:uid="{00000000-0005-0000-0000-00009B390000}"/>
    <cellStyle name="Positive 2 2 2 3 5 7" xfId="14735" xr:uid="{00000000-0005-0000-0000-00009C390000}"/>
    <cellStyle name="Positive 2 2 2 3 5 7 2" xfId="14736" xr:uid="{00000000-0005-0000-0000-00009D390000}"/>
    <cellStyle name="Positive 2 2 2 3 5 8" xfId="14737" xr:uid="{00000000-0005-0000-0000-00009E390000}"/>
    <cellStyle name="Positive 2 2 2 3 5 8 2" xfId="14738" xr:uid="{00000000-0005-0000-0000-00009F390000}"/>
    <cellStyle name="Positive 2 2 2 3 5 9" xfId="14739" xr:uid="{00000000-0005-0000-0000-0000A0390000}"/>
    <cellStyle name="Positive 2 2 2 3 5 9 2" xfId="14740" xr:uid="{00000000-0005-0000-0000-0000A1390000}"/>
    <cellStyle name="Positive 2 2 2 3 6" xfId="14741" xr:uid="{00000000-0005-0000-0000-0000A2390000}"/>
    <cellStyle name="Positive 2 2 2 3 6 2" xfId="14742" xr:uid="{00000000-0005-0000-0000-0000A3390000}"/>
    <cellStyle name="Positive 2 2 2 3 6 2 2" xfId="14743" xr:uid="{00000000-0005-0000-0000-0000A4390000}"/>
    <cellStyle name="Positive 2 2 2 3 6 3" xfId="14744" xr:uid="{00000000-0005-0000-0000-0000A5390000}"/>
    <cellStyle name="Positive 2 2 2 3 7" xfId="14745" xr:uid="{00000000-0005-0000-0000-0000A6390000}"/>
    <cellStyle name="Positive 2 2 2 3 7 2" xfId="14746" xr:uid="{00000000-0005-0000-0000-0000A7390000}"/>
    <cellStyle name="Positive 2 2 2 3 7 2 2" xfId="14747" xr:uid="{00000000-0005-0000-0000-0000A8390000}"/>
    <cellStyle name="Positive 2 2 2 3 7 3" xfId="14748" xr:uid="{00000000-0005-0000-0000-0000A9390000}"/>
    <cellStyle name="Positive 2 2 2 3 8" xfId="14749" xr:uid="{00000000-0005-0000-0000-0000AA390000}"/>
    <cellStyle name="Positive 2 2 2 3 8 2" xfId="14750" xr:uid="{00000000-0005-0000-0000-0000AB390000}"/>
    <cellStyle name="Positive 2 2 2 3 9" xfId="14751" xr:uid="{00000000-0005-0000-0000-0000AC390000}"/>
    <cellStyle name="Positive 2 2 2 3 9 2" xfId="14752" xr:uid="{00000000-0005-0000-0000-0000AD390000}"/>
    <cellStyle name="Positive 2 2 2 30" xfId="14753" xr:uid="{00000000-0005-0000-0000-0000AE390000}"/>
    <cellStyle name="Positive 2 2 2 30 2" xfId="14754" xr:uid="{00000000-0005-0000-0000-0000AF390000}"/>
    <cellStyle name="Positive 2 2 2 31" xfId="14755" xr:uid="{00000000-0005-0000-0000-0000B0390000}"/>
    <cellStyle name="Positive 2 2 2 31 2" xfId="14756" xr:uid="{00000000-0005-0000-0000-0000B1390000}"/>
    <cellStyle name="Positive 2 2 2 32" xfId="14757" xr:uid="{00000000-0005-0000-0000-0000B2390000}"/>
    <cellStyle name="Positive 2 2 2 32 2" xfId="14758" xr:uid="{00000000-0005-0000-0000-0000B3390000}"/>
    <cellStyle name="Positive 2 2 2 33" xfId="14759" xr:uid="{00000000-0005-0000-0000-0000B4390000}"/>
    <cellStyle name="Positive 2 2 2 33 2" xfId="14760" xr:uid="{00000000-0005-0000-0000-0000B5390000}"/>
    <cellStyle name="Positive 2 2 2 34" xfId="14761" xr:uid="{00000000-0005-0000-0000-0000B6390000}"/>
    <cellStyle name="Positive 2 2 2 34 2" xfId="14762" xr:uid="{00000000-0005-0000-0000-0000B7390000}"/>
    <cellStyle name="Positive 2 2 2 35" xfId="14763" xr:uid="{00000000-0005-0000-0000-0000B8390000}"/>
    <cellStyle name="Positive 2 2 2 35 2" xfId="14764" xr:uid="{00000000-0005-0000-0000-0000B9390000}"/>
    <cellStyle name="Positive 2 2 2 36" xfId="14765" xr:uid="{00000000-0005-0000-0000-0000BA390000}"/>
    <cellStyle name="Positive 2 2 2 36 2" xfId="14766" xr:uid="{00000000-0005-0000-0000-0000BB390000}"/>
    <cellStyle name="Positive 2 2 2 37" xfId="14767" xr:uid="{00000000-0005-0000-0000-0000BC390000}"/>
    <cellStyle name="Positive 2 2 2 4" xfId="14768" xr:uid="{00000000-0005-0000-0000-0000BD390000}"/>
    <cellStyle name="Positive 2 2 2 4 10" xfId="14769" xr:uid="{00000000-0005-0000-0000-0000BE390000}"/>
    <cellStyle name="Positive 2 2 2 4 10 2" xfId="14770" xr:uid="{00000000-0005-0000-0000-0000BF390000}"/>
    <cellStyle name="Positive 2 2 2 4 11" xfId="14771" xr:uid="{00000000-0005-0000-0000-0000C0390000}"/>
    <cellStyle name="Positive 2 2 2 4 11 2" xfId="14772" xr:uid="{00000000-0005-0000-0000-0000C1390000}"/>
    <cellStyle name="Positive 2 2 2 4 12" xfId="14773" xr:uid="{00000000-0005-0000-0000-0000C2390000}"/>
    <cellStyle name="Positive 2 2 2 4 12 2" xfId="14774" xr:uid="{00000000-0005-0000-0000-0000C3390000}"/>
    <cellStyle name="Positive 2 2 2 4 13" xfId="14775" xr:uid="{00000000-0005-0000-0000-0000C4390000}"/>
    <cellStyle name="Positive 2 2 2 4 13 2" xfId="14776" xr:uid="{00000000-0005-0000-0000-0000C5390000}"/>
    <cellStyle name="Positive 2 2 2 4 14" xfId="14777" xr:uid="{00000000-0005-0000-0000-0000C6390000}"/>
    <cellStyle name="Positive 2 2 2 4 14 2" xfId="14778" xr:uid="{00000000-0005-0000-0000-0000C7390000}"/>
    <cellStyle name="Positive 2 2 2 4 15" xfId="14779" xr:uid="{00000000-0005-0000-0000-0000C8390000}"/>
    <cellStyle name="Positive 2 2 2 4 15 2" xfId="14780" xr:uid="{00000000-0005-0000-0000-0000C9390000}"/>
    <cellStyle name="Positive 2 2 2 4 16" xfId="14781" xr:uid="{00000000-0005-0000-0000-0000CA390000}"/>
    <cellStyle name="Positive 2 2 2 4 16 2" xfId="14782" xr:uid="{00000000-0005-0000-0000-0000CB390000}"/>
    <cellStyle name="Positive 2 2 2 4 17" xfId="14783" xr:uid="{00000000-0005-0000-0000-0000CC390000}"/>
    <cellStyle name="Positive 2 2 2 4 17 2" xfId="14784" xr:uid="{00000000-0005-0000-0000-0000CD390000}"/>
    <cellStyle name="Positive 2 2 2 4 18" xfId="14785" xr:uid="{00000000-0005-0000-0000-0000CE390000}"/>
    <cellStyle name="Positive 2 2 2 4 18 2" xfId="14786" xr:uid="{00000000-0005-0000-0000-0000CF390000}"/>
    <cellStyle name="Positive 2 2 2 4 19" xfId="14787" xr:uid="{00000000-0005-0000-0000-0000D0390000}"/>
    <cellStyle name="Positive 2 2 2 4 19 2" xfId="14788" xr:uid="{00000000-0005-0000-0000-0000D1390000}"/>
    <cellStyle name="Positive 2 2 2 4 2" xfId="14789" xr:uid="{00000000-0005-0000-0000-0000D2390000}"/>
    <cellStyle name="Positive 2 2 2 4 2 10" xfId="14790" xr:uid="{00000000-0005-0000-0000-0000D3390000}"/>
    <cellStyle name="Positive 2 2 2 4 2 10 2" xfId="14791" xr:uid="{00000000-0005-0000-0000-0000D4390000}"/>
    <cellStyle name="Positive 2 2 2 4 2 11" xfId="14792" xr:uid="{00000000-0005-0000-0000-0000D5390000}"/>
    <cellStyle name="Positive 2 2 2 4 2 11 2" xfId="14793" xr:uid="{00000000-0005-0000-0000-0000D6390000}"/>
    <cellStyle name="Positive 2 2 2 4 2 12" xfId="14794" xr:uid="{00000000-0005-0000-0000-0000D7390000}"/>
    <cellStyle name="Positive 2 2 2 4 2 12 2" xfId="14795" xr:uid="{00000000-0005-0000-0000-0000D8390000}"/>
    <cellStyle name="Positive 2 2 2 4 2 13" xfId="14796" xr:uid="{00000000-0005-0000-0000-0000D9390000}"/>
    <cellStyle name="Positive 2 2 2 4 2 13 2" xfId="14797" xr:uid="{00000000-0005-0000-0000-0000DA390000}"/>
    <cellStyle name="Positive 2 2 2 4 2 14" xfId="14798" xr:uid="{00000000-0005-0000-0000-0000DB390000}"/>
    <cellStyle name="Positive 2 2 2 4 2 14 2" xfId="14799" xr:uid="{00000000-0005-0000-0000-0000DC390000}"/>
    <cellStyle name="Positive 2 2 2 4 2 15" xfId="14800" xr:uid="{00000000-0005-0000-0000-0000DD390000}"/>
    <cellStyle name="Positive 2 2 2 4 2 15 2" xfId="14801" xr:uid="{00000000-0005-0000-0000-0000DE390000}"/>
    <cellStyle name="Positive 2 2 2 4 2 16" xfId="14802" xr:uid="{00000000-0005-0000-0000-0000DF390000}"/>
    <cellStyle name="Positive 2 2 2 4 2 16 2" xfId="14803" xr:uid="{00000000-0005-0000-0000-0000E0390000}"/>
    <cellStyle name="Positive 2 2 2 4 2 17" xfId="14804" xr:uid="{00000000-0005-0000-0000-0000E1390000}"/>
    <cellStyle name="Positive 2 2 2 4 2 17 2" xfId="14805" xr:uid="{00000000-0005-0000-0000-0000E2390000}"/>
    <cellStyle name="Positive 2 2 2 4 2 18" xfId="14806" xr:uid="{00000000-0005-0000-0000-0000E3390000}"/>
    <cellStyle name="Positive 2 2 2 4 2 18 2" xfId="14807" xr:uid="{00000000-0005-0000-0000-0000E4390000}"/>
    <cellStyle name="Positive 2 2 2 4 2 19" xfId="14808" xr:uid="{00000000-0005-0000-0000-0000E5390000}"/>
    <cellStyle name="Positive 2 2 2 4 2 19 2" xfId="14809" xr:uid="{00000000-0005-0000-0000-0000E6390000}"/>
    <cellStyle name="Positive 2 2 2 4 2 2" xfId="14810" xr:uid="{00000000-0005-0000-0000-0000E7390000}"/>
    <cellStyle name="Positive 2 2 2 4 2 2 10" xfId="14811" xr:uid="{00000000-0005-0000-0000-0000E8390000}"/>
    <cellStyle name="Positive 2 2 2 4 2 2 10 2" xfId="14812" xr:uid="{00000000-0005-0000-0000-0000E9390000}"/>
    <cellStyle name="Positive 2 2 2 4 2 2 11" xfId="14813" xr:uid="{00000000-0005-0000-0000-0000EA390000}"/>
    <cellStyle name="Positive 2 2 2 4 2 2 11 2" xfId="14814" xr:uid="{00000000-0005-0000-0000-0000EB390000}"/>
    <cellStyle name="Positive 2 2 2 4 2 2 12" xfId="14815" xr:uid="{00000000-0005-0000-0000-0000EC390000}"/>
    <cellStyle name="Positive 2 2 2 4 2 2 12 2" xfId="14816" xr:uid="{00000000-0005-0000-0000-0000ED390000}"/>
    <cellStyle name="Positive 2 2 2 4 2 2 13" xfId="14817" xr:uid="{00000000-0005-0000-0000-0000EE390000}"/>
    <cellStyle name="Positive 2 2 2 4 2 2 13 2" xfId="14818" xr:uid="{00000000-0005-0000-0000-0000EF390000}"/>
    <cellStyle name="Positive 2 2 2 4 2 2 14" xfId="14819" xr:uid="{00000000-0005-0000-0000-0000F0390000}"/>
    <cellStyle name="Positive 2 2 2 4 2 2 14 2" xfId="14820" xr:uid="{00000000-0005-0000-0000-0000F1390000}"/>
    <cellStyle name="Positive 2 2 2 4 2 2 15" xfId="14821" xr:uid="{00000000-0005-0000-0000-0000F2390000}"/>
    <cellStyle name="Positive 2 2 2 4 2 2 15 2" xfId="14822" xr:uid="{00000000-0005-0000-0000-0000F3390000}"/>
    <cellStyle name="Positive 2 2 2 4 2 2 16" xfId="14823" xr:uid="{00000000-0005-0000-0000-0000F4390000}"/>
    <cellStyle name="Positive 2 2 2 4 2 2 16 2" xfId="14824" xr:uid="{00000000-0005-0000-0000-0000F5390000}"/>
    <cellStyle name="Positive 2 2 2 4 2 2 17" xfId="14825" xr:uid="{00000000-0005-0000-0000-0000F6390000}"/>
    <cellStyle name="Positive 2 2 2 4 2 2 2" xfId="14826" xr:uid="{00000000-0005-0000-0000-0000F7390000}"/>
    <cellStyle name="Positive 2 2 2 4 2 2 2 2" xfId="14827" xr:uid="{00000000-0005-0000-0000-0000F8390000}"/>
    <cellStyle name="Positive 2 2 2 4 2 2 3" xfId="14828" xr:uid="{00000000-0005-0000-0000-0000F9390000}"/>
    <cellStyle name="Positive 2 2 2 4 2 2 3 2" xfId="14829" xr:uid="{00000000-0005-0000-0000-0000FA390000}"/>
    <cellStyle name="Positive 2 2 2 4 2 2 4" xfId="14830" xr:uid="{00000000-0005-0000-0000-0000FB390000}"/>
    <cellStyle name="Positive 2 2 2 4 2 2 4 2" xfId="14831" xr:uid="{00000000-0005-0000-0000-0000FC390000}"/>
    <cellStyle name="Positive 2 2 2 4 2 2 5" xfId="14832" xr:uid="{00000000-0005-0000-0000-0000FD390000}"/>
    <cellStyle name="Positive 2 2 2 4 2 2 5 2" xfId="14833" xr:uid="{00000000-0005-0000-0000-0000FE390000}"/>
    <cellStyle name="Positive 2 2 2 4 2 2 6" xfId="14834" xr:uid="{00000000-0005-0000-0000-0000FF390000}"/>
    <cellStyle name="Positive 2 2 2 4 2 2 6 2" xfId="14835" xr:uid="{00000000-0005-0000-0000-0000003A0000}"/>
    <cellStyle name="Positive 2 2 2 4 2 2 7" xfId="14836" xr:uid="{00000000-0005-0000-0000-0000013A0000}"/>
    <cellStyle name="Positive 2 2 2 4 2 2 7 2" xfId="14837" xr:uid="{00000000-0005-0000-0000-0000023A0000}"/>
    <cellStyle name="Positive 2 2 2 4 2 2 8" xfId="14838" xr:uid="{00000000-0005-0000-0000-0000033A0000}"/>
    <cellStyle name="Positive 2 2 2 4 2 2 8 2" xfId="14839" xr:uid="{00000000-0005-0000-0000-0000043A0000}"/>
    <cellStyle name="Positive 2 2 2 4 2 2 9" xfId="14840" xr:uid="{00000000-0005-0000-0000-0000053A0000}"/>
    <cellStyle name="Positive 2 2 2 4 2 2 9 2" xfId="14841" xr:uid="{00000000-0005-0000-0000-0000063A0000}"/>
    <cellStyle name="Positive 2 2 2 4 2 20" xfId="14842" xr:uid="{00000000-0005-0000-0000-0000073A0000}"/>
    <cellStyle name="Positive 2 2 2 4 2 3" xfId="14843" xr:uid="{00000000-0005-0000-0000-0000083A0000}"/>
    <cellStyle name="Positive 2 2 2 4 2 3 2" xfId="14844" xr:uid="{00000000-0005-0000-0000-0000093A0000}"/>
    <cellStyle name="Positive 2 2 2 4 2 3 2 2" xfId="14845" xr:uid="{00000000-0005-0000-0000-00000A3A0000}"/>
    <cellStyle name="Positive 2 2 2 4 2 3 3" xfId="14846" xr:uid="{00000000-0005-0000-0000-00000B3A0000}"/>
    <cellStyle name="Positive 2 2 2 4 2 4" xfId="14847" xr:uid="{00000000-0005-0000-0000-00000C3A0000}"/>
    <cellStyle name="Positive 2 2 2 4 2 4 2" xfId="14848" xr:uid="{00000000-0005-0000-0000-00000D3A0000}"/>
    <cellStyle name="Positive 2 2 2 4 2 4 2 2" xfId="14849" xr:uid="{00000000-0005-0000-0000-00000E3A0000}"/>
    <cellStyle name="Positive 2 2 2 4 2 4 3" xfId="14850" xr:uid="{00000000-0005-0000-0000-00000F3A0000}"/>
    <cellStyle name="Positive 2 2 2 4 2 5" xfId="14851" xr:uid="{00000000-0005-0000-0000-0000103A0000}"/>
    <cellStyle name="Positive 2 2 2 4 2 5 2" xfId="14852" xr:uid="{00000000-0005-0000-0000-0000113A0000}"/>
    <cellStyle name="Positive 2 2 2 4 2 6" xfId="14853" xr:uid="{00000000-0005-0000-0000-0000123A0000}"/>
    <cellStyle name="Positive 2 2 2 4 2 6 2" xfId="14854" xr:uid="{00000000-0005-0000-0000-0000133A0000}"/>
    <cellStyle name="Positive 2 2 2 4 2 7" xfId="14855" xr:uid="{00000000-0005-0000-0000-0000143A0000}"/>
    <cellStyle name="Positive 2 2 2 4 2 7 2" xfId="14856" xr:uid="{00000000-0005-0000-0000-0000153A0000}"/>
    <cellStyle name="Positive 2 2 2 4 2 8" xfId="14857" xr:uid="{00000000-0005-0000-0000-0000163A0000}"/>
    <cellStyle name="Positive 2 2 2 4 2 8 2" xfId="14858" xr:uid="{00000000-0005-0000-0000-0000173A0000}"/>
    <cellStyle name="Positive 2 2 2 4 2 9" xfId="14859" xr:uid="{00000000-0005-0000-0000-0000183A0000}"/>
    <cellStyle name="Positive 2 2 2 4 2 9 2" xfId="14860" xr:uid="{00000000-0005-0000-0000-0000193A0000}"/>
    <cellStyle name="Positive 2 2 2 4 20" xfId="14861" xr:uid="{00000000-0005-0000-0000-00001A3A0000}"/>
    <cellStyle name="Positive 2 2 2 4 20 2" xfId="14862" xr:uid="{00000000-0005-0000-0000-00001B3A0000}"/>
    <cellStyle name="Positive 2 2 2 4 21" xfId="14863" xr:uid="{00000000-0005-0000-0000-00001C3A0000}"/>
    <cellStyle name="Positive 2 2 2 4 21 2" xfId="14864" xr:uid="{00000000-0005-0000-0000-00001D3A0000}"/>
    <cellStyle name="Positive 2 2 2 4 22" xfId="14865" xr:uid="{00000000-0005-0000-0000-00001E3A0000}"/>
    <cellStyle name="Positive 2 2 2 4 22 2" xfId="14866" xr:uid="{00000000-0005-0000-0000-00001F3A0000}"/>
    <cellStyle name="Positive 2 2 2 4 23" xfId="14867" xr:uid="{00000000-0005-0000-0000-0000203A0000}"/>
    <cellStyle name="Positive 2 2 2 4 3" xfId="14868" xr:uid="{00000000-0005-0000-0000-0000213A0000}"/>
    <cellStyle name="Positive 2 2 2 4 3 10" xfId="14869" xr:uid="{00000000-0005-0000-0000-0000223A0000}"/>
    <cellStyle name="Positive 2 2 2 4 3 10 2" xfId="14870" xr:uid="{00000000-0005-0000-0000-0000233A0000}"/>
    <cellStyle name="Positive 2 2 2 4 3 11" xfId="14871" xr:uid="{00000000-0005-0000-0000-0000243A0000}"/>
    <cellStyle name="Positive 2 2 2 4 3 11 2" xfId="14872" xr:uid="{00000000-0005-0000-0000-0000253A0000}"/>
    <cellStyle name="Positive 2 2 2 4 3 12" xfId="14873" xr:uid="{00000000-0005-0000-0000-0000263A0000}"/>
    <cellStyle name="Positive 2 2 2 4 3 12 2" xfId="14874" xr:uid="{00000000-0005-0000-0000-0000273A0000}"/>
    <cellStyle name="Positive 2 2 2 4 3 13" xfId="14875" xr:uid="{00000000-0005-0000-0000-0000283A0000}"/>
    <cellStyle name="Positive 2 2 2 4 3 13 2" xfId="14876" xr:uid="{00000000-0005-0000-0000-0000293A0000}"/>
    <cellStyle name="Positive 2 2 2 4 3 14" xfId="14877" xr:uid="{00000000-0005-0000-0000-00002A3A0000}"/>
    <cellStyle name="Positive 2 2 2 4 3 14 2" xfId="14878" xr:uid="{00000000-0005-0000-0000-00002B3A0000}"/>
    <cellStyle name="Positive 2 2 2 4 3 15" xfId="14879" xr:uid="{00000000-0005-0000-0000-00002C3A0000}"/>
    <cellStyle name="Positive 2 2 2 4 3 15 2" xfId="14880" xr:uid="{00000000-0005-0000-0000-00002D3A0000}"/>
    <cellStyle name="Positive 2 2 2 4 3 16" xfId="14881" xr:uid="{00000000-0005-0000-0000-00002E3A0000}"/>
    <cellStyle name="Positive 2 2 2 4 3 16 2" xfId="14882" xr:uid="{00000000-0005-0000-0000-00002F3A0000}"/>
    <cellStyle name="Positive 2 2 2 4 3 17" xfId="14883" xr:uid="{00000000-0005-0000-0000-0000303A0000}"/>
    <cellStyle name="Positive 2 2 2 4 3 17 2" xfId="14884" xr:uid="{00000000-0005-0000-0000-0000313A0000}"/>
    <cellStyle name="Positive 2 2 2 4 3 18" xfId="14885" xr:uid="{00000000-0005-0000-0000-0000323A0000}"/>
    <cellStyle name="Positive 2 2 2 4 3 18 2" xfId="14886" xr:uid="{00000000-0005-0000-0000-0000333A0000}"/>
    <cellStyle name="Positive 2 2 2 4 3 19" xfId="14887" xr:uid="{00000000-0005-0000-0000-0000343A0000}"/>
    <cellStyle name="Positive 2 2 2 4 3 19 2" xfId="14888" xr:uid="{00000000-0005-0000-0000-0000353A0000}"/>
    <cellStyle name="Positive 2 2 2 4 3 2" xfId="14889" xr:uid="{00000000-0005-0000-0000-0000363A0000}"/>
    <cellStyle name="Positive 2 2 2 4 3 2 10" xfId="14890" xr:uid="{00000000-0005-0000-0000-0000373A0000}"/>
    <cellStyle name="Positive 2 2 2 4 3 2 10 2" xfId="14891" xr:uid="{00000000-0005-0000-0000-0000383A0000}"/>
    <cellStyle name="Positive 2 2 2 4 3 2 11" xfId="14892" xr:uid="{00000000-0005-0000-0000-0000393A0000}"/>
    <cellStyle name="Positive 2 2 2 4 3 2 11 2" xfId="14893" xr:uid="{00000000-0005-0000-0000-00003A3A0000}"/>
    <cellStyle name="Positive 2 2 2 4 3 2 12" xfId="14894" xr:uid="{00000000-0005-0000-0000-00003B3A0000}"/>
    <cellStyle name="Positive 2 2 2 4 3 2 12 2" xfId="14895" xr:uid="{00000000-0005-0000-0000-00003C3A0000}"/>
    <cellStyle name="Positive 2 2 2 4 3 2 13" xfId="14896" xr:uid="{00000000-0005-0000-0000-00003D3A0000}"/>
    <cellStyle name="Positive 2 2 2 4 3 2 13 2" xfId="14897" xr:uid="{00000000-0005-0000-0000-00003E3A0000}"/>
    <cellStyle name="Positive 2 2 2 4 3 2 14" xfId="14898" xr:uid="{00000000-0005-0000-0000-00003F3A0000}"/>
    <cellStyle name="Positive 2 2 2 4 3 2 14 2" xfId="14899" xr:uid="{00000000-0005-0000-0000-0000403A0000}"/>
    <cellStyle name="Positive 2 2 2 4 3 2 15" xfId="14900" xr:uid="{00000000-0005-0000-0000-0000413A0000}"/>
    <cellStyle name="Positive 2 2 2 4 3 2 15 2" xfId="14901" xr:uid="{00000000-0005-0000-0000-0000423A0000}"/>
    <cellStyle name="Positive 2 2 2 4 3 2 16" xfId="14902" xr:uid="{00000000-0005-0000-0000-0000433A0000}"/>
    <cellStyle name="Positive 2 2 2 4 3 2 16 2" xfId="14903" xr:uid="{00000000-0005-0000-0000-0000443A0000}"/>
    <cellStyle name="Positive 2 2 2 4 3 2 17" xfId="14904" xr:uid="{00000000-0005-0000-0000-0000453A0000}"/>
    <cellStyle name="Positive 2 2 2 4 3 2 2" xfId="14905" xr:uid="{00000000-0005-0000-0000-0000463A0000}"/>
    <cellStyle name="Positive 2 2 2 4 3 2 2 2" xfId="14906" xr:uid="{00000000-0005-0000-0000-0000473A0000}"/>
    <cellStyle name="Positive 2 2 2 4 3 2 3" xfId="14907" xr:uid="{00000000-0005-0000-0000-0000483A0000}"/>
    <cellStyle name="Positive 2 2 2 4 3 2 3 2" xfId="14908" xr:uid="{00000000-0005-0000-0000-0000493A0000}"/>
    <cellStyle name="Positive 2 2 2 4 3 2 4" xfId="14909" xr:uid="{00000000-0005-0000-0000-00004A3A0000}"/>
    <cellStyle name="Positive 2 2 2 4 3 2 4 2" xfId="14910" xr:uid="{00000000-0005-0000-0000-00004B3A0000}"/>
    <cellStyle name="Positive 2 2 2 4 3 2 5" xfId="14911" xr:uid="{00000000-0005-0000-0000-00004C3A0000}"/>
    <cellStyle name="Positive 2 2 2 4 3 2 5 2" xfId="14912" xr:uid="{00000000-0005-0000-0000-00004D3A0000}"/>
    <cellStyle name="Positive 2 2 2 4 3 2 6" xfId="14913" xr:uid="{00000000-0005-0000-0000-00004E3A0000}"/>
    <cellStyle name="Positive 2 2 2 4 3 2 6 2" xfId="14914" xr:uid="{00000000-0005-0000-0000-00004F3A0000}"/>
    <cellStyle name="Positive 2 2 2 4 3 2 7" xfId="14915" xr:uid="{00000000-0005-0000-0000-0000503A0000}"/>
    <cellStyle name="Positive 2 2 2 4 3 2 7 2" xfId="14916" xr:uid="{00000000-0005-0000-0000-0000513A0000}"/>
    <cellStyle name="Positive 2 2 2 4 3 2 8" xfId="14917" xr:uid="{00000000-0005-0000-0000-0000523A0000}"/>
    <cellStyle name="Positive 2 2 2 4 3 2 8 2" xfId="14918" xr:uid="{00000000-0005-0000-0000-0000533A0000}"/>
    <cellStyle name="Positive 2 2 2 4 3 2 9" xfId="14919" xr:uid="{00000000-0005-0000-0000-0000543A0000}"/>
    <cellStyle name="Positive 2 2 2 4 3 2 9 2" xfId="14920" xr:uid="{00000000-0005-0000-0000-0000553A0000}"/>
    <cellStyle name="Positive 2 2 2 4 3 20" xfId="14921" xr:uid="{00000000-0005-0000-0000-0000563A0000}"/>
    <cellStyle name="Positive 2 2 2 4 3 3" xfId="14922" xr:uid="{00000000-0005-0000-0000-0000573A0000}"/>
    <cellStyle name="Positive 2 2 2 4 3 3 2" xfId="14923" xr:uid="{00000000-0005-0000-0000-0000583A0000}"/>
    <cellStyle name="Positive 2 2 2 4 3 3 2 2" xfId="14924" xr:uid="{00000000-0005-0000-0000-0000593A0000}"/>
    <cellStyle name="Positive 2 2 2 4 3 3 3" xfId="14925" xr:uid="{00000000-0005-0000-0000-00005A3A0000}"/>
    <cellStyle name="Positive 2 2 2 4 3 4" xfId="14926" xr:uid="{00000000-0005-0000-0000-00005B3A0000}"/>
    <cellStyle name="Positive 2 2 2 4 3 4 2" xfId="14927" xr:uid="{00000000-0005-0000-0000-00005C3A0000}"/>
    <cellStyle name="Positive 2 2 2 4 3 4 2 2" xfId="14928" xr:uid="{00000000-0005-0000-0000-00005D3A0000}"/>
    <cellStyle name="Positive 2 2 2 4 3 4 3" xfId="14929" xr:uid="{00000000-0005-0000-0000-00005E3A0000}"/>
    <cellStyle name="Positive 2 2 2 4 3 5" xfId="14930" xr:uid="{00000000-0005-0000-0000-00005F3A0000}"/>
    <cellStyle name="Positive 2 2 2 4 3 5 2" xfId="14931" xr:uid="{00000000-0005-0000-0000-0000603A0000}"/>
    <cellStyle name="Positive 2 2 2 4 3 6" xfId="14932" xr:uid="{00000000-0005-0000-0000-0000613A0000}"/>
    <cellStyle name="Positive 2 2 2 4 3 6 2" xfId="14933" xr:uid="{00000000-0005-0000-0000-0000623A0000}"/>
    <cellStyle name="Positive 2 2 2 4 3 7" xfId="14934" xr:uid="{00000000-0005-0000-0000-0000633A0000}"/>
    <cellStyle name="Positive 2 2 2 4 3 7 2" xfId="14935" xr:uid="{00000000-0005-0000-0000-0000643A0000}"/>
    <cellStyle name="Positive 2 2 2 4 3 8" xfId="14936" xr:uid="{00000000-0005-0000-0000-0000653A0000}"/>
    <cellStyle name="Positive 2 2 2 4 3 8 2" xfId="14937" xr:uid="{00000000-0005-0000-0000-0000663A0000}"/>
    <cellStyle name="Positive 2 2 2 4 3 9" xfId="14938" xr:uid="{00000000-0005-0000-0000-0000673A0000}"/>
    <cellStyle name="Positive 2 2 2 4 3 9 2" xfId="14939" xr:uid="{00000000-0005-0000-0000-0000683A0000}"/>
    <cellStyle name="Positive 2 2 2 4 4" xfId="14940" xr:uid="{00000000-0005-0000-0000-0000693A0000}"/>
    <cellStyle name="Positive 2 2 2 4 4 10" xfId="14941" xr:uid="{00000000-0005-0000-0000-00006A3A0000}"/>
    <cellStyle name="Positive 2 2 2 4 4 10 2" xfId="14942" xr:uid="{00000000-0005-0000-0000-00006B3A0000}"/>
    <cellStyle name="Positive 2 2 2 4 4 11" xfId="14943" xr:uid="{00000000-0005-0000-0000-00006C3A0000}"/>
    <cellStyle name="Positive 2 2 2 4 4 11 2" xfId="14944" xr:uid="{00000000-0005-0000-0000-00006D3A0000}"/>
    <cellStyle name="Positive 2 2 2 4 4 12" xfId="14945" xr:uid="{00000000-0005-0000-0000-00006E3A0000}"/>
    <cellStyle name="Positive 2 2 2 4 4 12 2" xfId="14946" xr:uid="{00000000-0005-0000-0000-00006F3A0000}"/>
    <cellStyle name="Positive 2 2 2 4 4 13" xfId="14947" xr:uid="{00000000-0005-0000-0000-0000703A0000}"/>
    <cellStyle name="Positive 2 2 2 4 4 13 2" xfId="14948" xr:uid="{00000000-0005-0000-0000-0000713A0000}"/>
    <cellStyle name="Positive 2 2 2 4 4 14" xfId="14949" xr:uid="{00000000-0005-0000-0000-0000723A0000}"/>
    <cellStyle name="Positive 2 2 2 4 4 14 2" xfId="14950" xr:uid="{00000000-0005-0000-0000-0000733A0000}"/>
    <cellStyle name="Positive 2 2 2 4 4 15" xfId="14951" xr:uid="{00000000-0005-0000-0000-0000743A0000}"/>
    <cellStyle name="Positive 2 2 2 4 4 15 2" xfId="14952" xr:uid="{00000000-0005-0000-0000-0000753A0000}"/>
    <cellStyle name="Positive 2 2 2 4 4 16" xfId="14953" xr:uid="{00000000-0005-0000-0000-0000763A0000}"/>
    <cellStyle name="Positive 2 2 2 4 4 16 2" xfId="14954" xr:uid="{00000000-0005-0000-0000-0000773A0000}"/>
    <cellStyle name="Positive 2 2 2 4 4 17" xfId="14955" xr:uid="{00000000-0005-0000-0000-0000783A0000}"/>
    <cellStyle name="Positive 2 2 2 4 4 17 2" xfId="14956" xr:uid="{00000000-0005-0000-0000-0000793A0000}"/>
    <cellStyle name="Positive 2 2 2 4 4 18" xfId="14957" xr:uid="{00000000-0005-0000-0000-00007A3A0000}"/>
    <cellStyle name="Positive 2 2 2 4 4 18 2" xfId="14958" xr:uid="{00000000-0005-0000-0000-00007B3A0000}"/>
    <cellStyle name="Positive 2 2 2 4 4 19" xfId="14959" xr:uid="{00000000-0005-0000-0000-00007C3A0000}"/>
    <cellStyle name="Positive 2 2 2 4 4 19 2" xfId="14960" xr:uid="{00000000-0005-0000-0000-00007D3A0000}"/>
    <cellStyle name="Positive 2 2 2 4 4 2" xfId="14961" xr:uid="{00000000-0005-0000-0000-00007E3A0000}"/>
    <cellStyle name="Positive 2 2 2 4 4 2 10" xfId="14962" xr:uid="{00000000-0005-0000-0000-00007F3A0000}"/>
    <cellStyle name="Positive 2 2 2 4 4 2 10 2" xfId="14963" xr:uid="{00000000-0005-0000-0000-0000803A0000}"/>
    <cellStyle name="Positive 2 2 2 4 4 2 11" xfId="14964" xr:uid="{00000000-0005-0000-0000-0000813A0000}"/>
    <cellStyle name="Positive 2 2 2 4 4 2 11 2" xfId="14965" xr:uid="{00000000-0005-0000-0000-0000823A0000}"/>
    <cellStyle name="Positive 2 2 2 4 4 2 12" xfId="14966" xr:uid="{00000000-0005-0000-0000-0000833A0000}"/>
    <cellStyle name="Positive 2 2 2 4 4 2 12 2" xfId="14967" xr:uid="{00000000-0005-0000-0000-0000843A0000}"/>
    <cellStyle name="Positive 2 2 2 4 4 2 13" xfId="14968" xr:uid="{00000000-0005-0000-0000-0000853A0000}"/>
    <cellStyle name="Positive 2 2 2 4 4 2 13 2" xfId="14969" xr:uid="{00000000-0005-0000-0000-0000863A0000}"/>
    <cellStyle name="Positive 2 2 2 4 4 2 14" xfId="14970" xr:uid="{00000000-0005-0000-0000-0000873A0000}"/>
    <cellStyle name="Positive 2 2 2 4 4 2 14 2" xfId="14971" xr:uid="{00000000-0005-0000-0000-0000883A0000}"/>
    <cellStyle name="Positive 2 2 2 4 4 2 15" xfId="14972" xr:uid="{00000000-0005-0000-0000-0000893A0000}"/>
    <cellStyle name="Positive 2 2 2 4 4 2 15 2" xfId="14973" xr:uid="{00000000-0005-0000-0000-00008A3A0000}"/>
    <cellStyle name="Positive 2 2 2 4 4 2 16" xfId="14974" xr:uid="{00000000-0005-0000-0000-00008B3A0000}"/>
    <cellStyle name="Positive 2 2 2 4 4 2 16 2" xfId="14975" xr:uid="{00000000-0005-0000-0000-00008C3A0000}"/>
    <cellStyle name="Positive 2 2 2 4 4 2 17" xfId="14976" xr:uid="{00000000-0005-0000-0000-00008D3A0000}"/>
    <cellStyle name="Positive 2 2 2 4 4 2 2" xfId="14977" xr:uid="{00000000-0005-0000-0000-00008E3A0000}"/>
    <cellStyle name="Positive 2 2 2 4 4 2 2 2" xfId="14978" xr:uid="{00000000-0005-0000-0000-00008F3A0000}"/>
    <cellStyle name="Positive 2 2 2 4 4 2 3" xfId="14979" xr:uid="{00000000-0005-0000-0000-0000903A0000}"/>
    <cellStyle name="Positive 2 2 2 4 4 2 3 2" xfId="14980" xr:uid="{00000000-0005-0000-0000-0000913A0000}"/>
    <cellStyle name="Positive 2 2 2 4 4 2 4" xfId="14981" xr:uid="{00000000-0005-0000-0000-0000923A0000}"/>
    <cellStyle name="Positive 2 2 2 4 4 2 4 2" xfId="14982" xr:uid="{00000000-0005-0000-0000-0000933A0000}"/>
    <cellStyle name="Positive 2 2 2 4 4 2 5" xfId="14983" xr:uid="{00000000-0005-0000-0000-0000943A0000}"/>
    <cellStyle name="Positive 2 2 2 4 4 2 5 2" xfId="14984" xr:uid="{00000000-0005-0000-0000-0000953A0000}"/>
    <cellStyle name="Positive 2 2 2 4 4 2 6" xfId="14985" xr:uid="{00000000-0005-0000-0000-0000963A0000}"/>
    <cellStyle name="Positive 2 2 2 4 4 2 6 2" xfId="14986" xr:uid="{00000000-0005-0000-0000-0000973A0000}"/>
    <cellStyle name="Positive 2 2 2 4 4 2 7" xfId="14987" xr:uid="{00000000-0005-0000-0000-0000983A0000}"/>
    <cellStyle name="Positive 2 2 2 4 4 2 7 2" xfId="14988" xr:uid="{00000000-0005-0000-0000-0000993A0000}"/>
    <cellStyle name="Positive 2 2 2 4 4 2 8" xfId="14989" xr:uid="{00000000-0005-0000-0000-00009A3A0000}"/>
    <cellStyle name="Positive 2 2 2 4 4 2 8 2" xfId="14990" xr:uid="{00000000-0005-0000-0000-00009B3A0000}"/>
    <cellStyle name="Positive 2 2 2 4 4 2 9" xfId="14991" xr:uid="{00000000-0005-0000-0000-00009C3A0000}"/>
    <cellStyle name="Positive 2 2 2 4 4 2 9 2" xfId="14992" xr:uid="{00000000-0005-0000-0000-00009D3A0000}"/>
    <cellStyle name="Positive 2 2 2 4 4 20" xfId="14993" xr:uid="{00000000-0005-0000-0000-00009E3A0000}"/>
    <cellStyle name="Positive 2 2 2 4 4 3" xfId="14994" xr:uid="{00000000-0005-0000-0000-00009F3A0000}"/>
    <cellStyle name="Positive 2 2 2 4 4 3 2" xfId="14995" xr:uid="{00000000-0005-0000-0000-0000A03A0000}"/>
    <cellStyle name="Positive 2 2 2 4 4 3 2 2" xfId="14996" xr:uid="{00000000-0005-0000-0000-0000A13A0000}"/>
    <cellStyle name="Positive 2 2 2 4 4 3 3" xfId="14997" xr:uid="{00000000-0005-0000-0000-0000A23A0000}"/>
    <cellStyle name="Positive 2 2 2 4 4 4" xfId="14998" xr:uid="{00000000-0005-0000-0000-0000A33A0000}"/>
    <cellStyle name="Positive 2 2 2 4 4 4 2" xfId="14999" xr:uid="{00000000-0005-0000-0000-0000A43A0000}"/>
    <cellStyle name="Positive 2 2 2 4 4 4 2 2" xfId="15000" xr:uid="{00000000-0005-0000-0000-0000A53A0000}"/>
    <cellStyle name="Positive 2 2 2 4 4 4 3" xfId="15001" xr:uid="{00000000-0005-0000-0000-0000A63A0000}"/>
    <cellStyle name="Positive 2 2 2 4 4 5" xfId="15002" xr:uid="{00000000-0005-0000-0000-0000A73A0000}"/>
    <cellStyle name="Positive 2 2 2 4 4 5 2" xfId="15003" xr:uid="{00000000-0005-0000-0000-0000A83A0000}"/>
    <cellStyle name="Positive 2 2 2 4 4 6" xfId="15004" xr:uid="{00000000-0005-0000-0000-0000A93A0000}"/>
    <cellStyle name="Positive 2 2 2 4 4 6 2" xfId="15005" xr:uid="{00000000-0005-0000-0000-0000AA3A0000}"/>
    <cellStyle name="Positive 2 2 2 4 4 7" xfId="15006" xr:uid="{00000000-0005-0000-0000-0000AB3A0000}"/>
    <cellStyle name="Positive 2 2 2 4 4 7 2" xfId="15007" xr:uid="{00000000-0005-0000-0000-0000AC3A0000}"/>
    <cellStyle name="Positive 2 2 2 4 4 8" xfId="15008" xr:uid="{00000000-0005-0000-0000-0000AD3A0000}"/>
    <cellStyle name="Positive 2 2 2 4 4 8 2" xfId="15009" xr:uid="{00000000-0005-0000-0000-0000AE3A0000}"/>
    <cellStyle name="Positive 2 2 2 4 4 9" xfId="15010" xr:uid="{00000000-0005-0000-0000-0000AF3A0000}"/>
    <cellStyle name="Positive 2 2 2 4 4 9 2" xfId="15011" xr:uid="{00000000-0005-0000-0000-0000B03A0000}"/>
    <cellStyle name="Positive 2 2 2 4 5" xfId="15012" xr:uid="{00000000-0005-0000-0000-0000B13A0000}"/>
    <cellStyle name="Positive 2 2 2 4 5 10" xfId="15013" xr:uid="{00000000-0005-0000-0000-0000B23A0000}"/>
    <cellStyle name="Positive 2 2 2 4 5 10 2" xfId="15014" xr:uid="{00000000-0005-0000-0000-0000B33A0000}"/>
    <cellStyle name="Positive 2 2 2 4 5 11" xfId="15015" xr:uid="{00000000-0005-0000-0000-0000B43A0000}"/>
    <cellStyle name="Positive 2 2 2 4 5 11 2" xfId="15016" xr:uid="{00000000-0005-0000-0000-0000B53A0000}"/>
    <cellStyle name="Positive 2 2 2 4 5 12" xfId="15017" xr:uid="{00000000-0005-0000-0000-0000B63A0000}"/>
    <cellStyle name="Positive 2 2 2 4 5 12 2" xfId="15018" xr:uid="{00000000-0005-0000-0000-0000B73A0000}"/>
    <cellStyle name="Positive 2 2 2 4 5 13" xfId="15019" xr:uid="{00000000-0005-0000-0000-0000B83A0000}"/>
    <cellStyle name="Positive 2 2 2 4 5 13 2" xfId="15020" xr:uid="{00000000-0005-0000-0000-0000B93A0000}"/>
    <cellStyle name="Positive 2 2 2 4 5 14" xfId="15021" xr:uid="{00000000-0005-0000-0000-0000BA3A0000}"/>
    <cellStyle name="Positive 2 2 2 4 5 14 2" xfId="15022" xr:uid="{00000000-0005-0000-0000-0000BB3A0000}"/>
    <cellStyle name="Positive 2 2 2 4 5 15" xfId="15023" xr:uid="{00000000-0005-0000-0000-0000BC3A0000}"/>
    <cellStyle name="Positive 2 2 2 4 5 15 2" xfId="15024" xr:uid="{00000000-0005-0000-0000-0000BD3A0000}"/>
    <cellStyle name="Positive 2 2 2 4 5 16" xfId="15025" xr:uid="{00000000-0005-0000-0000-0000BE3A0000}"/>
    <cellStyle name="Positive 2 2 2 4 5 16 2" xfId="15026" xr:uid="{00000000-0005-0000-0000-0000BF3A0000}"/>
    <cellStyle name="Positive 2 2 2 4 5 17" xfId="15027" xr:uid="{00000000-0005-0000-0000-0000C03A0000}"/>
    <cellStyle name="Positive 2 2 2 4 5 2" xfId="15028" xr:uid="{00000000-0005-0000-0000-0000C13A0000}"/>
    <cellStyle name="Positive 2 2 2 4 5 2 2" xfId="15029" xr:uid="{00000000-0005-0000-0000-0000C23A0000}"/>
    <cellStyle name="Positive 2 2 2 4 5 3" xfId="15030" xr:uid="{00000000-0005-0000-0000-0000C33A0000}"/>
    <cellStyle name="Positive 2 2 2 4 5 3 2" xfId="15031" xr:uid="{00000000-0005-0000-0000-0000C43A0000}"/>
    <cellStyle name="Positive 2 2 2 4 5 4" xfId="15032" xr:uid="{00000000-0005-0000-0000-0000C53A0000}"/>
    <cellStyle name="Positive 2 2 2 4 5 4 2" xfId="15033" xr:uid="{00000000-0005-0000-0000-0000C63A0000}"/>
    <cellStyle name="Positive 2 2 2 4 5 5" xfId="15034" xr:uid="{00000000-0005-0000-0000-0000C73A0000}"/>
    <cellStyle name="Positive 2 2 2 4 5 5 2" xfId="15035" xr:uid="{00000000-0005-0000-0000-0000C83A0000}"/>
    <cellStyle name="Positive 2 2 2 4 5 6" xfId="15036" xr:uid="{00000000-0005-0000-0000-0000C93A0000}"/>
    <cellStyle name="Positive 2 2 2 4 5 6 2" xfId="15037" xr:uid="{00000000-0005-0000-0000-0000CA3A0000}"/>
    <cellStyle name="Positive 2 2 2 4 5 7" xfId="15038" xr:uid="{00000000-0005-0000-0000-0000CB3A0000}"/>
    <cellStyle name="Positive 2 2 2 4 5 7 2" xfId="15039" xr:uid="{00000000-0005-0000-0000-0000CC3A0000}"/>
    <cellStyle name="Positive 2 2 2 4 5 8" xfId="15040" xr:uid="{00000000-0005-0000-0000-0000CD3A0000}"/>
    <cellStyle name="Positive 2 2 2 4 5 8 2" xfId="15041" xr:uid="{00000000-0005-0000-0000-0000CE3A0000}"/>
    <cellStyle name="Positive 2 2 2 4 5 9" xfId="15042" xr:uid="{00000000-0005-0000-0000-0000CF3A0000}"/>
    <cellStyle name="Positive 2 2 2 4 5 9 2" xfId="15043" xr:uid="{00000000-0005-0000-0000-0000D03A0000}"/>
    <cellStyle name="Positive 2 2 2 4 6" xfId="15044" xr:uid="{00000000-0005-0000-0000-0000D13A0000}"/>
    <cellStyle name="Positive 2 2 2 4 6 2" xfId="15045" xr:uid="{00000000-0005-0000-0000-0000D23A0000}"/>
    <cellStyle name="Positive 2 2 2 4 6 2 2" xfId="15046" xr:uid="{00000000-0005-0000-0000-0000D33A0000}"/>
    <cellStyle name="Positive 2 2 2 4 6 3" xfId="15047" xr:uid="{00000000-0005-0000-0000-0000D43A0000}"/>
    <cellStyle name="Positive 2 2 2 4 7" xfId="15048" xr:uid="{00000000-0005-0000-0000-0000D53A0000}"/>
    <cellStyle name="Positive 2 2 2 4 7 2" xfId="15049" xr:uid="{00000000-0005-0000-0000-0000D63A0000}"/>
    <cellStyle name="Positive 2 2 2 4 7 2 2" xfId="15050" xr:uid="{00000000-0005-0000-0000-0000D73A0000}"/>
    <cellStyle name="Positive 2 2 2 4 7 3" xfId="15051" xr:uid="{00000000-0005-0000-0000-0000D83A0000}"/>
    <cellStyle name="Positive 2 2 2 4 8" xfId="15052" xr:uid="{00000000-0005-0000-0000-0000D93A0000}"/>
    <cellStyle name="Positive 2 2 2 4 8 2" xfId="15053" xr:uid="{00000000-0005-0000-0000-0000DA3A0000}"/>
    <cellStyle name="Positive 2 2 2 4 9" xfId="15054" xr:uid="{00000000-0005-0000-0000-0000DB3A0000}"/>
    <cellStyle name="Positive 2 2 2 4 9 2" xfId="15055" xr:uid="{00000000-0005-0000-0000-0000DC3A0000}"/>
    <cellStyle name="Positive 2 2 2 5" xfId="15056" xr:uid="{00000000-0005-0000-0000-0000DD3A0000}"/>
    <cellStyle name="Positive 2 2 2 5 10" xfId="15057" xr:uid="{00000000-0005-0000-0000-0000DE3A0000}"/>
    <cellStyle name="Positive 2 2 2 5 10 2" xfId="15058" xr:uid="{00000000-0005-0000-0000-0000DF3A0000}"/>
    <cellStyle name="Positive 2 2 2 5 11" xfId="15059" xr:uid="{00000000-0005-0000-0000-0000E03A0000}"/>
    <cellStyle name="Positive 2 2 2 5 11 2" xfId="15060" xr:uid="{00000000-0005-0000-0000-0000E13A0000}"/>
    <cellStyle name="Positive 2 2 2 5 12" xfId="15061" xr:uid="{00000000-0005-0000-0000-0000E23A0000}"/>
    <cellStyle name="Positive 2 2 2 5 12 2" xfId="15062" xr:uid="{00000000-0005-0000-0000-0000E33A0000}"/>
    <cellStyle name="Positive 2 2 2 5 13" xfId="15063" xr:uid="{00000000-0005-0000-0000-0000E43A0000}"/>
    <cellStyle name="Positive 2 2 2 5 13 2" xfId="15064" xr:uid="{00000000-0005-0000-0000-0000E53A0000}"/>
    <cellStyle name="Positive 2 2 2 5 14" xfId="15065" xr:uid="{00000000-0005-0000-0000-0000E63A0000}"/>
    <cellStyle name="Positive 2 2 2 5 14 2" xfId="15066" xr:uid="{00000000-0005-0000-0000-0000E73A0000}"/>
    <cellStyle name="Positive 2 2 2 5 15" xfId="15067" xr:uid="{00000000-0005-0000-0000-0000E83A0000}"/>
    <cellStyle name="Positive 2 2 2 5 15 2" xfId="15068" xr:uid="{00000000-0005-0000-0000-0000E93A0000}"/>
    <cellStyle name="Positive 2 2 2 5 16" xfId="15069" xr:uid="{00000000-0005-0000-0000-0000EA3A0000}"/>
    <cellStyle name="Positive 2 2 2 5 16 2" xfId="15070" xr:uid="{00000000-0005-0000-0000-0000EB3A0000}"/>
    <cellStyle name="Positive 2 2 2 5 17" xfId="15071" xr:uid="{00000000-0005-0000-0000-0000EC3A0000}"/>
    <cellStyle name="Positive 2 2 2 5 17 2" xfId="15072" xr:uid="{00000000-0005-0000-0000-0000ED3A0000}"/>
    <cellStyle name="Positive 2 2 2 5 18" xfId="15073" xr:uid="{00000000-0005-0000-0000-0000EE3A0000}"/>
    <cellStyle name="Positive 2 2 2 5 18 2" xfId="15074" xr:uid="{00000000-0005-0000-0000-0000EF3A0000}"/>
    <cellStyle name="Positive 2 2 2 5 19" xfId="15075" xr:uid="{00000000-0005-0000-0000-0000F03A0000}"/>
    <cellStyle name="Positive 2 2 2 5 19 2" xfId="15076" xr:uid="{00000000-0005-0000-0000-0000F13A0000}"/>
    <cellStyle name="Positive 2 2 2 5 2" xfId="15077" xr:uid="{00000000-0005-0000-0000-0000F23A0000}"/>
    <cellStyle name="Positive 2 2 2 5 2 10" xfId="15078" xr:uid="{00000000-0005-0000-0000-0000F33A0000}"/>
    <cellStyle name="Positive 2 2 2 5 2 10 2" xfId="15079" xr:uid="{00000000-0005-0000-0000-0000F43A0000}"/>
    <cellStyle name="Positive 2 2 2 5 2 11" xfId="15080" xr:uid="{00000000-0005-0000-0000-0000F53A0000}"/>
    <cellStyle name="Positive 2 2 2 5 2 11 2" xfId="15081" xr:uid="{00000000-0005-0000-0000-0000F63A0000}"/>
    <cellStyle name="Positive 2 2 2 5 2 12" xfId="15082" xr:uid="{00000000-0005-0000-0000-0000F73A0000}"/>
    <cellStyle name="Positive 2 2 2 5 2 12 2" xfId="15083" xr:uid="{00000000-0005-0000-0000-0000F83A0000}"/>
    <cellStyle name="Positive 2 2 2 5 2 13" xfId="15084" xr:uid="{00000000-0005-0000-0000-0000F93A0000}"/>
    <cellStyle name="Positive 2 2 2 5 2 13 2" xfId="15085" xr:uid="{00000000-0005-0000-0000-0000FA3A0000}"/>
    <cellStyle name="Positive 2 2 2 5 2 14" xfId="15086" xr:uid="{00000000-0005-0000-0000-0000FB3A0000}"/>
    <cellStyle name="Positive 2 2 2 5 2 14 2" xfId="15087" xr:uid="{00000000-0005-0000-0000-0000FC3A0000}"/>
    <cellStyle name="Positive 2 2 2 5 2 15" xfId="15088" xr:uid="{00000000-0005-0000-0000-0000FD3A0000}"/>
    <cellStyle name="Positive 2 2 2 5 2 15 2" xfId="15089" xr:uid="{00000000-0005-0000-0000-0000FE3A0000}"/>
    <cellStyle name="Positive 2 2 2 5 2 16" xfId="15090" xr:uid="{00000000-0005-0000-0000-0000FF3A0000}"/>
    <cellStyle name="Positive 2 2 2 5 2 16 2" xfId="15091" xr:uid="{00000000-0005-0000-0000-0000003B0000}"/>
    <cellStyle name="Positive 2 2 2 5 2 17" xfId="15092" xr:uid="{00000000-0005-0000-0000-0000013B0000}"/>
    <cellStyle name="Positive 2 2 2 5 2 17 2" xfId="15093" xr:uid="{00000000-0005-0000-0000-0000023B0000}"/>
    <cellStyle name="Positive 2 2 2 5 2 18" xfId="15094" xr:uid="{00000000-0005-0000-0000-0000033B0000}"/>
    <cellStyle name="Positive 2 2 2 5 2 18 2" xfId="15095" xr:uid="{00000000-0005-0000-0000-0000043B0000}"/>
    <cellStyle name="Positive 2 2 2 5 2 19" xfId="15096" xr:uid="{00000000-0005-0000-0000-0000053B0000}"/>
    <cellStyle name="Positive 2 2 2 5 2 19 2" xfId="15097" xr:uid="{00000000-0005-0000-0000-0000063B0000}"/>
    <cellStyle name="Positive 2 2 2 5 2 2" xfId="15098" xr:uid="{00000000-0005-0000-0000-0000073B0000}"/>
    <cellStyle name="Positive 2 2 2 5 2 2 10" xfId="15099" xr:uid="{00000000-0005-0000-0000-0000083B0000}"/>
    <cellStyle name="Positive 2 2 2 5 2 2 10 2" xfId="15100" xr:uid="{00000000-0005-0000-0000-0000093B0000}"/>
    <cellStyle name="Positive 2 2 2 5 2 2 11" xfId="15101" xr:uid="{00000000-0005-0000-0000-00000A3B0000}"/>
    <cellStyle name="Positive 2 2 2 5 2 2 11 2" xfId="15102" xr:uid="{00000000-0005-0000-0000-00000B3B0000}"/>
    <cellStyle name="Positive 2 2 2 5 2 2 12" xfId="15103" xr:uid="{00000000-0005-0000-0000-00000C3B0000}"/>
    <cellStyle name="Positive 2 2 2 5 2 2 12 2" xfId="15104" xr:uid="{00000000-0005-0000-0000-00000D3B0000}"/>
    <cellStyle name="Positive 2 2 2 5 2 2 13" xfId="15105" xr:uid="{00000000-0005-0000-0000-00000E3B0000}"/>
    <cellStyle name="Positive 2 2 2 5 2 2 13 2" xfId="15106" xr:uid="{00000000-0005-0000-0000-00000F3B0000}"/>
    <cellStyle name="Positive 2 2 2 5 2 2 14" xfId="15107" xr:uid="{00000000-0005-0000-0000-0000103B0000}"/>
    <cellStyle name="Positive 2 2 2 5 2 2 14 2" xfId="15108" xr:uid="{00000000-0005-0000-0000-0000113B0000}"/>
    <cellStyle name="Positive 2 2 2 5 2 2 15" xfId="15109" xr:uid="{00000000-0005-0000-0000-0000123B0000}"/>
    <cellStyle name="Positive 2 2 2 5 2 2 15 2" xfId="15110" xr:uid="{00000000-0005-0000-0000-0000133B0000}"/>
    <cellStyle name="Positive 2 2 2 5 2 2 16" xfId="15111" xr:uid="{00000000-0005-0000-0000-0000143B0000}"/>
    <cellStyle name="Positive 2 2 2 5 2 2 16 2" xfId="15112" xr:uid="{00000000-0005-0000-0000-0000153B0000}"/>
    <cellStyle name="Positive 2 2 2 5 2 2 17" xfId="15113" xr:uid="{00000000-0005-0000-0000-0000163B0000}"/>
    <cellStyle name="Positive 2 2 2 5 2 2 2" xfId="15114" xr:uid="{00000000-0005-0000-0000-0000173B0000}"/>
    <cellStyle name="Positive 2 2 2 5 2 2 2 2" xfId="15115" xr:uid="{00000000-0005-0000-0000-0000183B0000}"/>
    <cellStyle name="Positive 2 2 2 5 2 2 3" xfId="15116" xr:uid="{00000000-0005-0000-0000-0000193B0000}"/>
    <cellStyle name="Positive 2 2 2 5 2 2 3 2" xfId="15117" xr:uid="{00000000-0005-0000-0000-00001A3B0000}"/>
    <cellStyle name="Positive 2 2 2 5 2 2 4" xfId="15118" xr:uid="{00000000-0005-0000-0000-00001B3B0000}"/>
    <cellStyle name="Positive 2 2 2 5 2 2 4 2" xfId="15119" xr:uid="{00000000-0005-0000-0000-00001C3B0000}"/>
    <cellStyle name="Positive 2 2 2 5 2 2 5" xfId="15120" xr:uid="{00000000-0005-0000-0000-00001D3B0000}"/>
    <cellStyle name="Positive 2 2 2 5 2 2 5 2" xfId="15121" xr:uid="{00000000-0005-0000-0000-00001E3B0000}"/>
    <cellStyle name="Positive 2 2 2 5 2 2 6" xfId="15122" xr:uid="{00000000-0005-0000-0000-00001F3B0000}"/>
    <cellStyle name="Positive 2 2 2 5 2 2 6 2" xfId="15123" xr:uid="{00000000-0005-0000-0000-0000203B0000}"/>
    <cellStyle name="Positive 2 2 2 5 2 2 7" xfId="15124" xr:uid="{00000000-0005-0000-0000-0000213B0000}"/>
    <cellStyle name="Positive 2 2 2 5 2 2 7 2" xfId="15125" xr:uid="{00000000-0005-0000-0000-0000223B0000}"/>
    <cellStyle name="Positive 2 2 2 5 2 2 8" xfId="15126" xr:uid="{00000000-0005-0000-0000-0000233B0000}"/>
    <cellStyle name="Positive 2 2 2 5 2 2 8 2" xfId="15127" xr:uid="{00000000-0005-0000-0000-0000243B0000}"/>
    <cellStyle name="Positive 2 2 2 5 2 2 9" xfId="15128" xr:uid="{00000000-0005-0000-0000-0000253B0000}"/>
    <cellStyle name="Positive 2 2 2 5 2 2 9 2" xfId="15129" xr:uid="{00000000-0005-0000-0000-0000263B0000}"/>
    <cellStyle name="Positive 2 2 2 5 2 20" xfId="15130" xr:uid="{00000000-0005-0000-0000-0000273B0000}"/>
    <cellStyle name="Positive 2 2 2 5 2 3" xfId="15131" xr:uid="{00000000-0005-0000-0000-0000283B0000}"/>
    <cellStyle name="Positive 2 2 2 5 2 3 2" xfId="15132" xr:uid="{00000000-0005-0000-0000-0000293B0000}"/>
    <cellStyle name="Positive 2 2 2 5 2 3 2 2" xfId="15133" xr:uid="{00000000-0005-0000-0000-00002A3B0000}"/>
    <cellStyle name="Positive 2 2 2 5 2 3 3" xfId="15134" xr:uid="{00000000-0005-0000-0000-00002B3B0000}"/>
    <cellStyle name="Positive 2 2 2 5 2 4" xfId="15135" xr:uid="{00000000-0005-0000-0000-00002C3B0000}"/>
    <cellStyle name="Positive 2 2 2 5 2 4 2" xfId="15136" xr:uid="{00000000-0005-0000-0000-00002D3B0000}"/>
    <cellStyle name="Positive 2 2 2 5 2 4 2 2" xfId="15137" xr:uid="{00000000-0005-0000-0000-00002E3B0000}"/>
    <cellStyle name="Positive 2 2 2 5 2 4 3" xfId="15138" xr:uid="{00000000-0005-0000-0000-00002F3B0000}"/>
    <cellStyle name="Positive 2 2 2 5 2 5" xfId="15139" xr:uid="{00000000-0005-0000-0000-0000303B0000}"/>
    <cellStyle name="Positive 2 2 2 5 2 5 2" xfId="15140" xr:uid="{00000000-0005-0000-0000-0000313B0000}"/>
    <cellStyle name="Positive 2 2 2 5 2 6" xfId="15141" xr:uid="{00000000-0005-0000-0000-0000323B0000}"/>
    <cellStyle name="Positive 2 2 2 5 2 6 2" xfId="15142" xr:uid="{00000000-0005-0000-0000-0000333B0000}"/>
    <cellStyle name="Positive 2 2 2 5 2 7" xfId="15143" xr:uid="{00000000-0005-0000-0000-0000343B0000}"/>
    <cellStyle name="Positive 2 2 2 5 2 7 2" xfId="15144" xr:uid="{00000000-0005-0000-0000-0000353B0000}"/>
    <cellStyle name="Positive 2 2 2 5 2 8" xfId="15145" xr:uid="{00000000-0005-0000-0000-0000363B0000}"/>
    <cellStyle name="Positive 2 2 2 5 2 8 2" xfId="15146" xr:uid="{00000000-0005-0000-0000-0000373B0000}"/>
    <cellStyle name="Positive 2 2 2 5 2 9" xfId="15147" xr:uid="{00000000-0005-0000-0000-0000383B0000}"/>
    <cellStyle name="Positive 2 2 2 5 2 9 2" xfId="15148" xr:uid="{00000000-0005-0000-0000-0000393B0000}"/>
    <cellStyle name="Positive 2 2 2 5 20" xfId="15149" xr:uid="{00000000-0005-0000-0000-00003A3B0000}"/>
    <cellStyle name="Positive 2 2 2 5 20 2" xfId="15150" xr:uid="{00000000-0005-0000-0000-00003B3B0000}"/>
    <cellStyle name="Positive 2 2 2 5 21" xfId="15151" xr:uid="{00000000-0005-0000-0000-00003C3B0000}"/>
    <cellStyle name="Positive 2 2 2 5 21 2" xfId="15152" xr:uid="{00000000-0005-0000-0000-00003D3B0000}"/>
    <cellStyle name="Positive 2 2 2 5 22" xfId="15153" xr:uid="{00000000-0005-0000-0000-00003E3B0000}"/>
    <cellStyle name="Positive 2 2 2 5 22 2" xfId="15154" xr:uid="{00000000-0005-0000-0000-00003F3B0000}"/>
    <cellStyle name="Positive 2 2 2 5 23" xfId="15155" xr:uid="{00000000-0005-0000-0000-0000403B0000}"/>
    <cellStyle name="Positive 2 2 2 5 3" xfId="15156" xr:uid="{00000000-0005-0000-0000-0000413B0000}"/>
    <cellStyle name="Positive 2 2 2 5 3 10" xfId="15157" xr:uid="{00000000-0005-0000-0000-0000423B0000}"/>
    <cellStyle name="Positive 2 2 2 5 3 10 2" xfId="15158" xr:uid="{00000000-0005-0000-0000-0000433B0000}"/>
    <cellStyle name="Positive 2 2 2 5 3 11" xfId="15159" xr:uid="{00000000-0005-0000-0000-0000443B0000}"/>
    <cellStyle name="Positive 2 2 2 5 3 11 2" xfId="15160" xr:uid="{00000000-0005-0000-0000-0000453B0000}"/>
    <cellStyle name="Positive 2 2 2 5 3 12" xfId="15161" xr:uid="{00000000-0005-0000-0000-0000463B0000}"/>
    <cellStyle name="Positive 2 2 2 5 3 12 2" xfId="15162" xr:uid="{00000000-0005-0000-0000-0000473B0000}"/>
    <cellStyle name="Positive 2 2 2 5 3 13" xfId="15163" xr:uid="{00000000-0005-0000-0000-0000483B0000}"/>
    <cellStyle name="Positive 2 2 2 5 3 13 2" xfId="15164" xr:uid="{00000000-0005-0000-0000-0000493B0000}"/>
    <cellStyle name="Positive 2 2 2 5 3 14" xfId="15165" xr:uid="{00000000-0005-0000-0000-00004A3B0000}"/>
    <cellStyle name="Positive 2 2 2 5 3 14 2" xfId="15166" xr:uid="{00000000-0005-0000-0000-00004B3B0000}"/>
    <cellStyle name="Positive 2 2 2 5 3 15" xfId="15167" xr:uid="{00000000-0005-0000-0000-00004C3B0000}"/>
    <cellStyle name="Positive 2 2 2 5 3 15 2" xfId="15168" xr:uid="{00000000-0005-0000-0000-00004D3B0000}"/>
    <cellStyle name="Positive 2 2 2 5 3 16" xfId="15169" xr:uid="{00000000-0005-0000-0000-00004E3B0000}"/>
    <cellStyle name="Positive 2 2 2 5 3 16 2" xfId="15170" xr:uid="{00000000-0005-0000-0000-00004F3B0000}"/>
    <cellStyle name="Positive 2 2 2 5 3 17" xfId="15171" xr:uid="{00000000-0005-0000-0000-0000503B0000}"/>
    <cellStyle name="Positive 2 2 2 5 3 17 2" xfId="15172" xr:uid="{00000000-0005-0000-0000-0000513B0000}"/>
    <cellStyle name="Positive 2 2 2 5 3 18" xfId="15173" xr:uid="{00000000-0005-0000-0000-0000523B0000}"/>
    <cellStyle name="Positive 2 2 2 5 3 18 2" xfId="15174" xr:uid="{00000000-0005-0000-0000-0000533B0000}"/>
    <cellStyle name="Positive 2 2 2 5 3 19" xfId="15175" xr:uid="{00000000-0005-0000-0000-0000543B0000}"/>
    <cellStyle name="Positive 2 2 2 5 3 19 2" xfId="15176" xr:uid="{00000000-0005-0000-0000-0000553B0000}"/>
    <cellStyle name="Positive 2 2 2 5 3 2" xfId="15177" xr:uid="{00000000-0005-0000-0000-0000563B0000}"/>
    <cellStyle name="Positive 2 2 2 5 3 2 10" xfId="15178" xr:uid="{00000000-0005-0000-0000-0000573B0000}"/>
    <cellStyle name="Positive 2 2 2 5 3 2 10 2" xfId="15179" xr:uid="{00000000-0005-0000-0000-0000583B0000}"/>
    <cellStyle name="Positive 2 2 2 5 3 2 11" xfId="15180" xr:uid="{00000000-0005-0000-0000-0000593B0000}"/>
    <cellStyle name="Positive 2 2 2 5 3 2 11 2" xfId="15181" xr:uid="{00000000-0005-0000-0000-00005A3B0000}"/>
    <cellStyle name="Positive 2 2 2 5 3 2 12" xfId="15182" xr:uid="{00000000-0005-0000-0000-00005B3B0000}"/>
    <cellStyle name="Positive 2 2 2 5 3 2 12 2" xfId="15183" xr:uid="{00000000-0005-0000-0000-00005C3B0000}"/>
    <cellStyle name="Positive 2 2 2 5 3 2 13" xfId="15184" xr:uid="{00000000-0005-0000-0000-00005D3B0000}"/>
    <cellStyle name="Positive 2 2 2 5 3 2 13 2" xfId="15185" xr:uid="{00000000-0005-0000-0000-00005E3B0000}"/>
    <cellStyle name="Positive 2 2 2 5 3 2 14" xfId="15186" xr:uid="{00000000-0005-0000-0000-00005F3B0000}"/>
    <cellStyle name="Positive 2 2 2 5 3 2 14 2" xfId="15187" xr:uid="{00000000-0005-0000-0000-0000603B0000}"/>
    <cellStyle name="Positive 2 2 2 5 3 2 15" xfId="15188" xr:uid="{00000000-0005-0000-0000-0000613B0000}"/>
    <cellStyle name="Positive 2 2 2 5 3 2 15 2" xfId="15189" xr:uid="{00000000-0005-0000-0000-0000623B0000}"/>
    <cellStyle name="Positive 2 2 2 5 3 2 16" xfId="15190" xr:uid="{00000000-0005-0000-0000-0000633B0000}"/>
    <cellStyle name="Positive 2 2 2 5 3 2 16 2" xfId="15191" xr:uid="{00000000-0005-0000-0000-0000643B0000}"/>
    <cellStyle name="Positive 2 2 2 5 3 2 17" xfId="15192" xr:uid="{00000000-0005-0000-0000-0000653B0000}"/>
    <cellStyle name="Positive 2 2 2 5 3 2 2" xfId="15193" xr:uid="{00000000-0005-0000-0000-0000663B0000}"/>
    <cellStyle name="Positive 2 2 2 5 3 2 2 2" xfId="15194" xr:uid="{00000000-0005-0000-0000-0000673B0000}"/>
    <cellStyle name="Positive 2 2 2 5 3 2 3" xfId="15195" xr:uid="{00000000-0005-0000-0000-0000683B0000}"/>
    <cellStyle name="Positive 2 2 2 5 3 2 3 2" xfId="15196" xr:uid="{00000000-0005-0000-0000-0000693B0000}"/>
    <cellStyle name="Positive 2 2 2 5 3 2 4" xfId="15197" xr:uid="{00000000-0005-0000-0000-00006A3B0000}"/>
    <cellStyle name="Positive 2 2 2 5 3 2 4 2" xfId="15198" xr:uid="{00000000-0005-0000-0000-00006B3B0000}"/>
    <cellStyle name="Positive 2 2 2 5 3 2 5" xfId="15199" xr:uid="{00000000-0005-0000-0000-00006C3B0000}"/>
    <cellStyle name="Positive 2 2 2 5 3 2 5 2" xfId="15200" xr:uid="{00000000-0005-0000-0000-00006D3B0000}"/>
    <cellStyle name="Positive 2 2 2 5 3 2 6" xfId="15201" xr:uid="{00000000-0005-0000-0000-00006E3B0000}"/>
    <cellStyle name="Positive 2 2 2 5 3 2 6 2" xfId="15202" xr:uid="{00000000-0005-0000-0000-00006F3B0000}"/>
    <cellStyle name="Positive 2 2 2 5 3 2 7" xfId="15203" xr:uid="{00000000-0005-0000-0000-0000703B0000}"/>
    <cellStyle name="Positive 2 2 2 5 3 2 7 2" xfId="15204" xr:uid="{00000000-0005-0000-0000-0000713B0000}"/>
    <cellStyle name="Positive 2 2 2 5 3 2 8" xfId="15205" xr:uid="{00000000-0005-0000-0000-0000723B0000}"/>
    <cellStyle name="Positive 2 2 2 5 3 2 8 2" xfId="15206" xr:uid="{00000000-0005-0000-0000-0000733B0000}"/>
    <cellStyle name="Positive 2 2 2 5 3 2 9" xfId="15207" xr:uid="{00000000-0005-0000-0000-0000743B0000}"/>
    <cellStyle name="Positive 2 2 2 5 3 2 9 2" xfId="15208" xr:uid="{00000000-0005-0000-0000-0000753B0000}"/>
    <cellStyle name="Positive 2 2 2 5 3 20" xfId="15209" xr:uid="{00000000-0005-0000-0000-0000763B0000}"/>
    <cellStyle name="Positive 2 2 2 5 3 3" xfId="15210" xr:uid="{00000000-0005-0000-0000-0000773B0000}"/>
    <cellStyle name="Positive 2 2 2 5 3 3 2" xfId="15211" xr:uid="{00000000-0005-0000-0000-0000783B0000}"/>
    <cellStyle name="Positive 2 2 2 5 3 3 2 2" xfId="15212" xr:uid="{00000000-0005-0000-0000-0000793B0000}"/>
    <cellStyle name="Positive 2 2 2 5 3 3 3" xfId="15213" xr:uid="{00000000-0005-0000-0000-00007A3B0000}"/>
    <cellStyle name="Positive 2 2 2 5 3 4" xfId="15214" xr:uid="{00000000-0005-0000-0000-00007B3B0000}"/>
    <cellStyle name="Positive 2 2 2 5 3 4 2" xfId="15215" xr:uid="{00000000-0005-0000-0000-00007C3B0000}"/>
    <cellStyle name="Positive 2 2 2 5 3 4 2 2" xfId="15216" xr:uid="{00000000-0005-0000-0000-00007D3B0000}"/>
    <cellStyle name="Positive 2 2 2 5 3 4 3" xfId="15217" xr:uid="{00000000-0005-0000-0000-00007E3B0000}"/>
    <cellStyle name="Positive 2 2 2 5 3 5" xfId="15218" xr:uid="{00000000-0005-0000-0000-00007F3B0000}"/>
    <cellStyle name="Positive 2 2 2 5 3 5 2" xfId="15219" xr:uid="{00000000-0005-0000-0000-0000803B0000}"/>
    <cellStyle name="Positive 2 2 2 5 3 6" xfId="15220" xr:uid="{00000000-0005-0000-0000-0000813B0000}"/>
    <cellStyle name="Positive 2 2 2 5 3 6 2" xfId="15221" xr:uid="{00000000-0005-0000-0000-0000823B0000}"/>
    <cellStyle name="Positive 2 2 2 5 3 7" xfId="15222" xr:uid="{00000000-0005-0000-0000-0000833B0000}"/>
    <cellStyle name="Positive 2 2 2 5 3 7 2" xfId="15223" xr:uid="{00000000-0005-0000-0000-0000843B0000}"/>
    <cellStyle name="Positive 2 2 2 5 3 8" xfId="15224" xr:uid="{00000000-0005-0000-0000-0000853B0000}"/>
    <cellStyle name="Positive 2 2 2 5 3 8 2" xfId="15225" xr:uid="{00000000-0005-0000-0000-0000863B0000}"/>
    <cellStyle name="Positive 2 2 2 5 3 9" xfId="15226" xr:uid="{00000000-0005-0000-0000-0000873B0000}"/>
    <cellStyle name="Positive 2 2 2 5 3 9 2" xfId="15227" xr:uid="{00000000-0005-0000-0000-0000883B0000}"/>
    <cellStyle name="Positive 2 2 2 5 4" xfId="15228" xr:uid="{00000000-0005-0000-0000-0000893B0000}"/>
    <cellStyle name="Positive 2 2 2 5 4 10" xfId="15229" xr:uid="{00000000-0005-0000-0000-00008A3B0000}"/>
    <cellStyle name="Positive 2 2 2 5 4 10 2" xfId="15230" xr:uid="{00000000-0005-0000-0000-00008B3B0000}"/>
    <cellStyle name="Positive 2 2 2 5 4 11" xfId="15231" xr:uid="{00000000-0005-0000-0000-00008C3B0000}"/>
    <cellStyle name="Positive 2 2 2 5 4 11 2" xfId="15232" xr:uid="{00000000-0005-0000-0000-00008D3B0000}"/>
    <cellStyle name="Positive 2 2 2 5 4 12" xfId="15233" xr:uid="{00000000-0005-0000-0000-00008E3B0000}"/>
    <cellStyle name="Positive 2 2 2 5 4 12 2" xfId="15234" xr:uid="{00000000-0005-0000-0000-00008F3B0000}"/>
    <cellStyle name="Positive 2 2 2 5 4 13" xfId="15235" xr:uid="{00000000-0005-0000-0000-0000903B0000}"/>
    <cellStyle name="Positive 2 2 2 5 4 13 2" xfId="15236" xr:uid="{00000000-0005-0000-0000-0000913B0000}"/>
    <cellStyle name="Positive 2 2 2 5 4 14" xfId="15237" xr:uid="{00000000-0005-0000-0000-0000923B0000}"/>
    <cellStyle name="Positive 2 2 2 5 4 14 2" xfId="15238" xr:uid="{00000000-0005-0000-0000-0000933B0000}"/>
    <cellStyle name="Positive 2 2 2 5 4 15" xfId="15239" xr:uid="{00000000-0005-0000-0000-0000943B0000}"/>
    <cellStyle name="Positive 2 2 2 5 4 15 2" xfId="15240" xr:uid="{00000000-0005-0000-0000-0000953B0000}"/>
    <cellStyle name="Positive 2 2 2 5 4 16" xfId="15241" xr:uid="{00000000-0005-0000-0000-0000963B0000}"/>
    <cellStyle name="Positive 2 2 2 5 4 16 2" xfId="15242" xr:uid="{00000000-0005-0000-0000-0000973B0000}"/>
    <cellStyle name="Positive 2 2 2 5 4 17" xfId="15243" xr:uid="{00000000-0005-0000-0000-0000983B0000}"/>
    <cellStyle name="Positive 2 2 2 5 4 17 2" xfId="15244" xr:uid="{00000000-0005-0000-0000-0000993B0000}"/>
    <cellStyle name="Positive 2 2 2 5 4 18" xfId="15245" xr:uid="{00000000-0005-0000-0000-00009A3B0000}"/>
    <cellStyle name="Positive 2 2 2 5 4 18 2" xfId="15246" xr:uid="{00000000-0005-0000-0000-00009B3B0000}"/>
    <cellStyle name="Positive 2 2 2 5 4 19" xfId="15247" xr:uid="{00000000-0005-0000-0000-00009C3B0000}"/>
    <cellStyle name="Positive 2 2 2 5 4 19 2" xfId="15248" xr:uid="{00000000-0005-0000-0000-00009D3B0000}"/>
    <cellStyle name="Positive 2 2 2 5 4 2" xfId="15249" xr:uid="{00000000-0005-0000-0000-00009E3B0000}"/>
    <cellStyle name="Positive 2 2 2 5 4 2 10" xfId="15250" xr:uid="{00000000-0005-0000-0000-00009F3B0000}"/>
    <cellStyle name="Positive 2 2 2 5 4 2 10 2" xfId="15251" xr:uid="{00000000-0005-0000-0000-0000A03B0000}"/>
    <cellStyle name="Positive 2 2 2 5 4 2 11" xfId="15252" xr:uid="{00000000-0005-0000-0000-0000A13B0000}"/>
    <cellStyle name="Positive 2 2 2 5 4 2 11 2" xfId="15253" xr:uid="{00000000-0005-0000-0000-0000A23B0000}"/>
    <cellStyle name="Positive 2 2 2 5 4 2 12" xfId="15254" xr:uid="{00000000-0005-0000-0000-0000A33B0000}"/>
    <cellStyle name="Positive 2 2 2 5 4 2 12 2" xfId="15255" xr:uid="{00000000-0005-0000-0000-0000A43B0000}"/>
    <cellStyle name="Positive 2 2 2 5 4 2 13" xfId="15256" xr:uid="{00000000-0005-0000-0000-0000A53B0000}"/>
    <cellStyle name="Positive 2 2 2 5 4 2 13 2" xfId="15257" xr:uid="{00000000-0005-0000-0000-0000A63B0000}"/>
    <cellStyle name="Positive 2 2 2 5 4 2 14" xfId="15258" xr:uid="{00000000-0005-0000-0000-0000A73B0000}"/>
    <cellStyle name="Positive 2 2 2 5 4 2 14 2" xfId="15259" xr:uid="{00000000-0005-0000-0000-0000A83B0000}"/>
    <cellStyle name="Positive 2 2 2 5 4 2 15" xfId="15260" xr:uid="{00000000-0005-0000-0000-0000A93B0000}"/>
    <cellStyle name="Positive 2 2 2 5 4 2 15 2" xfId="15261" xr:uid="{00000000-0005-0000-0000-0000AA3B0000}"/>
    <cellStyle name="Positive 2 2 2 5 4 2 16" xfId="15262" xr:uid="{00000000-0005-0000-0000-0000AB3B0000}"/>
    <cellStyle name="Positive 2 2 2 5 4 2 16 2" xfId="15263" xr:uid="{00000000-0005-0000-0000-0000AC3B0000}"/>
    <cellStyle name="Positive 2 2 2 5 4 2 17" xfId="15264" xr:uid="{00000000-0005-0000-0000-0000AD3B0000}"/>
    <cellStyle name="Positive 2 2 2 5 4 2 2" xfId="15265" xr:uid="{00000000-0005-0000-0000-0000AE3B0000}"/>
    <cellStyle name="Positive 2 2 2 5 4 2 2 2" xfId="15266" xr:uid="{00000000-0005-0000-0000-0000AF3B0000}"/>
    <cellStyle name="Positive 2 2 2 5 4 2 3" xfId="15267" xr:uid="{00000000-0005-0000-0000-0000B03B0000}"/>
    <cellStyle name="Positive 2 2 2 5 4 2 3 2" xfId="15268" xr:uid="{00000000-0005-0000-0000-0000B13B0000}"/>
    <cellStyle name="Positive 2 2 2 5 4 2 4" xfId="15269" xr:uid="{00000000-0005-0000-0000-0000B23B0000}"/>
    <cellStyle name="Positive 2 2 2 5 4 2 4 2" xfId="15270" xr:uid="{00000000-0005-0000-0000-0000B33B0000}"/>
    <cellStyle name="Positive 2 2 2 5 4 2 5" xfId="15271" xr:uid="{00000000-0005-0000-0000-0000B43B0000}"/>
    <cellStyle name="Positive 2 2 2 5 4 2 5 2" xfId="15272" xr:uid="{00000000-0005-0000-0000-0000B53B0000}"/>
    <cellStyle name="Positive 2 2 2 5 4 2 6" xfId="15273" xr:uid="{00000000-0005-0000-0000-0000B63B0000}"/>
    <cellStyle name="Positive 2 2 2 5 4 2 6 2" xfId="15274" xr:uid="{00000000-0005-0000-0000-0000B73B0000}"/>
    <cellStyle name="Positive 2 2 2 5 4 2 7" xfId="15275" xr:uid="{00000000-0005-0000-0000-0000B83B0000}"/>
    <cellStyle name="Positive 2 2 2 5 4 2 7 2" xfId="15276" xr:uid="{00000000-0005-0000-0000-0000B93B0000}"/>
    <cellStyle name="Positive 2 2 2 5 4 2 8" xfId="15277" xr:uid="{00000000-0005-0000-0000-0000BA3B0000}"/>
    <cellStyle name="Positive 2 2 2 5 4 2 8 2" xfId="15278" xr:uid="{00000000-0005-0000-0000-0000BB3B0000}"/>
    <cellStyle name="Positive 2 2 2 5 4 2 9" xfId="15279" xr:uid="{00000000-0005-0000-0000-0000BC3B0000}"/>
    <cellStyle name="Positive 2 2 2 5 4 2 9 2" xfId="15280" xr:uid="{00000000-0005-0000-0000-0000BD3B0000}"/>
    <cellStyle name="Positive 2 2 2 5 4 20" xfId="15281" xr:uid="{00000000-0005-0000-0000-0000BE3B0000}"/>
    <cellStyle name="Positive 2 2 2 5 4 3" xfId="15282" xr:uid="{00000000-0005-0000-0000-0000BF3B0000}"/>
    <cellStyle name="Positive 2 2 2 5 4 3 2" xfId="15283" xr:uid="{00000000-0005-0000-0000-0000C03B0000}"/>
    <cellStyle name="Positive 2 2 2 5 4 3 2 2" xfId="15284" xr:uid="{00000000-0005-0000-0000-0000C13B0000}"/>
    <cellStyle name="Positive 2 2 2 5 4 3 3" xfId="15285" xr:uid="{00000000-0005-0000-0000-0000C23B0000}"/>
    <cellStyle name="Positive 2 2 2 5 4 4" xfId="15286" xr:uid="{00000000-0005-0000-0000-0000C33B0000}"/>
    <cellStyle name="Positive 2 2 2 5 4 4 2" xfId="15287" xr:uid="{00000000-0005-0000-0000-0000C43B0000}"/>
    <cellStyle name="Positive 2 2 2 5 4 4 2 2" xfId="15288" xr:uid="{00000000-0005-0000-0000-0000C53B0000}"/>
    <cellStyle name="Positive 2 2 2 5 4 4 3" xfId="15289" xr:uid="{00000000-0005-0000-0000-0000C63B0000}"/>
    <cellStyle name="Positive 2 2 2 5 4 5" xfId="15290" xr:uid="{00000000-0005-0000-0000-0000C73B0000}"/>
    <cellStyle name="Positive 2 2 2 5 4 5 2" xfId="15291" xr:uid="{00000000-0005-0000-0000-0000C83B0000}"/>
    <cellStyle name="Positive 2 2 2 5 4 6" xfId="15292" xr:uid="{00000000-0005-0000-0000-0000C93B0000}"/>
    <cellStyle name="Positive 2 2 2 5 4 6 2" xfId="15293" xr:uid="{00000000-0005-0000-0000-0000CA3B0000}"/>
    <cellStyle name="Positive 2 2 2 5 4 7" xfId="15294" xr:uid="{00000000-0005-0000-0000-0000CB3B0000}"/>
    <cellStyle name="Positive 2 2 2 5 4 7 2" xfId="15295" xr:uid="{00000000-0005-0000-0000-0000CC3B0000}"/>
    <cellStyle name="Positive 2 2 2 5 4 8" xfId="15296" xr:uid="{00000000-0005-0000-0000-0000CD3B0000}"/>
    <cellStyle name="Positive 2 2 2 5 4 8 2" xfId="15297" xr:uid="{00000000-0005-0000-0000-0000CE3B0000}"/>
    <cellStyle name="Positive 2 2 2 5 4 9" xfId="15298" xr:uid="{00000000-0005-0000-0000-0000CF3B0000}"/>
    <cellStyle name="Positive 2 2 2 5 4 9 2" xfId="15299" xr:uid="{00000000-0005-0000-0000-0000D03B0000}"/>
    <cellStyle name="Positive 2 2 2 5 5" xfId="15300" xr:uid="{00000000-0005-0000-0000-0000D13B0000}"/>
    <cellStyle name="Positive 2 2 2 5 5 10" xfId="15301" xr:uid="{00000000-0005-0000-0000-0000D23B0000}"/>
    <cellStyle name="Positive 2 2 2 5 5 10 2" xfId="15302" xr:uid="{00000000-0005-0000-0000-0000D33B0000}"/>
    <cellStyle name="Positive 2 2 2 5 5 11" xfId="15303" xr:uid="{00000000-0005-0000-0000-0000D43B0000}"/>
    <cellStyle name="Positive 2 2 2 5 5 11 2" xfId="15304" xr:uid="{00000000-0005-0000-0000-0000D53B0000}"/>
    <cellStyle name="Positive 2 2 2 5 5 12" xfId="15305" xr:uid="{00000000-0005-0000-0000-0000D63B0000}"/>
    <cellStyle name="Positive 2 2 2 5 5 12 2" xfId="15306" xr:uid="{00000000-0005-0000-0000-0000D73B0000}"/>
    <cellStyle name="Positive 2 2 2 5 5 13" xfId="15307" xr:uid="{00000000-0005-0000-0000-0000D83B0000}"/>
    <cellStyle name="Positive 2 2 2 5 5 13 2" xfId="15308" xr:uid="{00000000-0005-0000-0000-0000D93B0000}"/>
    <cellStyle name="Positive 2 2 2 5 5 14" xfId="15309" xr:uid="{00000000-0005-0000-0000-0000DA3B0000}"/>
    <cellStyle name="Positive 2 2 2 5 5 14 2" xfId="15310" xr:uid="{00000000-0005-0000-0000-0000DB3B0000}"/>
    <cellStyle name="Positive 2 2 2 5 5 15" xfId="15311" xr:uid="{00000000-0005-0000-0000-0000DC3B0000}"/>
    <cellStyle name="Positive 2 2 2 5 5 15 2" xfId="15312" xr:uid="{00000000-0005-0000-0000-0000DD3B0000}"/>
    <cellStyle name="Positive 2 2 2 5 5 16" xfId="15313" xr:uid="{00000000-0005-0000-0000-0000DE3B0000}"/>
    <cellStyle name="Positive 2 2 2 5 5 16 2" xfId="15314" xr:uid="{00000000-0005-0000-0000-0000DF3B0000}"/>
    <cellStyle name="Positive 2 2 2 5 5 17" xfId="15315" xr:uid="{00000000-0005-0000-0000-0000E03B0000}"/>
    <cellStyle name="Positive 2 2 2 5 5 2" xfId="15316" xr:uid="{00000000-0005-0000-0000-0000E13B0000}"/>
    <cellStyle name="Positive 2 2 2 5 5 2 2" xfId="15317" xr:uid="{00000000-0005-0000-0000-0000E23B0000}"/>
    <cellStyle name="Positive 2 2 2 5 5 3" xfId="15318" xr:uid="{00000000-0005-0000-0000-0000E33B0000}"/>
    <cellStyle name="Positive 2 2 2 5 5 3 2" xfId="15319" xr:uid="{00000000-0005-0000-0000-0000E43B0000}"/>
    <cellStyle name="Positive 2 2 2 5 5 4" xfId="15320" xr:uid="{00000000-0005-0000-0000-0000E53B0000}"/>
    <cellStyle name="Positive 2 2 2 5 5 4 2" xfId="15321" xr:uid="{00000000-0005-0000-0000-0000E63B0000}"/>
    <cellStyle name="Positive 2 2 2 5 5 5" xfId="15322" xr:uid="{00000000-0005-0000-0000-0000E73B0000}"/>
    <cellStyle name="Positive 2 2 2 5 5 5 2" xfId="15323" xr:uid="{00000000-0005-0000-0000-0000E83B0000}"/>
    <cellStyle name="Positive 2 2 2 5 5 6" xfId="15324" xr:uid="{00000000-0005-0000-0000-0000E93B0000}"/>
    <cellStyle name="Positive 2 2 2 5 5 6 2" xfId="15325" xr:uid="{00000000-0005-0000-0000-0000EA3B0000}"/>
    <cellStyle name="Positive 2 2 2 5 5 7" xfId="15326" xr:uid="{00000000-0005-0000-0000-0000EB3B0000}"/>
    <cellStyle name="Positive 2 2 2 5 5 7 2" xfId="15327" xr:uid="{00000000-0005-0000-0000-0000EC3B0000}"/>
    <cellStyle name="Positive 2 2 2 5 5 8" xfId="15328" xr:uid="{00000000-0005-0000-0000-0000ED3B0000}"/>
    <cellStyle name="Positive 2 2 2 5 5 8 2" xfId="15329" xr:uid="{00000000-0005-0000-0000-0000EE3B0000}"/>
    <cellStyle name="Positive 2 2 2 5 5 9" xfId="15330" xr:uid="{00000000-0005-0000-0000-0000EF3B0000}"/>
    <cellStyle name="Positive 2 2 2 5 5 9 2" xfId="15331" xr:uid="{00000000-0005-0000-0000-0000F03B0000}"/>
    <cellStyle name="Positive 2 2 2 5 6" xfId="15332" xr:uid="{00000000-0005-0000-0000-0000F13B0000}"/>
    <cellStyle name="Positive 2 2 2 5 6 2" xfId="15333" xr:uid="{00000000-0005-0000-0000-0000F23B0000}"/>
    <cellStyle name="Positive 2 2 2 5 6 2 2" xfId="15334" xr:uid="{00000000-0005-0000-0000-0000F33B0000}"/>
    <cellStyle name="Positive 2 2 2 5 6 3" xfId="15335" xr:uid="{00000000-0005-0000-0000-0000F43B0000}"/>
    <cellStyle name="Positive 2 2 2 5 7" xfId="15336" xr:uid="{00000000-0005-0000-0000-0000F53B0000}"/>
    <cellStyle name="Positive 2 2 2 5 7 2" xfId="15337" xr:uid="{00000000-0005-0000-0000-0000F63B0000}"/>
    <cellStyle name="Positive 2 2 2 5 7 2 2" xfId="15338" xr:uid="{00000000-0005-0000-0000-0000F73B0000}"/>
    <cellStyle name="Positive 2 2 2 5 7 3" xfId="15339" xr:uid="{00000000-0005-0000-0000-0000F83B0000}"/>
    <cellStyle name="Positive 2 2 2 5 8" xfId="15340" xr:uid="{00000000-0005-0000-0000-0000F93B0000}"/>
    <cellStyle name="Positive 2 2 2 5 8 2" xfId="15341" xr:uid="{00000000-0005-0000-0000-0000FA3B0000}"/>
    <cellStyle name="Positive 2 2 2 5 9" xfId="15342" xr:uid="{00000000-0005-0000-0000-0000FB3B0000}"/>
    <cellStyle name="Positive 2 2 2 5 9 2" xfId="15343" xr:uid="{00000000-0005-0000-0000-0000FC3B0000}"/>
    <cellStyle name="Positive 2 2 2 6" xfId="15344" xr:uid="{00000000-0005-0000-0000-0000FD3B0000}"/>
    <cellStyle name="Positive 2 2 2 6 10" xfId="15345" xr:uid="{00000000-0005-0000-0000-0000FE3B0000}"/>
    <cellStyle name="Positive 2 2 2 6 10 2" xfId="15346" xr:uid="{00000000-0005-0000-0000-0000FF3B0000}"/>
    <cellStyle name="Positive 2 2 2 6 11" xfId="15347" xr:uid="{00000000-0005-0000-0000-0000003C0000}"/>
    <cellStyle name="Positive 2 2 2 6 11 2" xfId="15348" xr:uid="{00000000-0005-0000-0000-0000013C0000}"/>
    <cellStyle name="Positive 2 2 2 6 12" xfId="15349" xr:uid="{00000000-0005-0000-0000-0000023C0000}"/>
    <cellStyle name="Positive 2 2 2 6 12 2" xfId="15350" xr:uid="{00000000-0005-0000-0000-0000033C0000}"/>
    <cellStyle name="Positive 2 2 2 6 13" xfId="15351" xr:uid="{00000000-0005-0000-0000-0000043C0000}"/>
    <cellStyle name="Positive 2 2 2 6 13 2" xfId="15352" xr:uid="{00000000-0005-0000-0000-0000053C0000}"/>
    <cellStyle name="Positive 2 2 2 6 14" xfId="15353" xr:uid="{00000000-0005-0000-0000-0000063C0000}"/>
    <cellStyle name="Positive 2 2 2 6 14 2" xfId="15354" xr:uid="{00000000-0005-0000-0000-0000073C0000}"/>
    <cellStyle name="Positive 2 2 2 6 15" xfId="15355" xr:uid="{00000000-0005-0000-0000-0000083C0000}"/>
    <cellStyle name="Positive 2 2 2 6 15 2" xfId="15356" xr:uid="{00000000-0005-0000-0000-0000093C0000}"/>
    <cellStyle name="Positive 2 2 2 6 16" xfId="15357" xr:uid="{00000000-0005-0000-0000-00000A3C0000}"/>
    <cellStyle name="Positive 2 2 2 6 16 2" xfId="15358" xr:uid="{00000000-0005-0000-0000-00000B3C0000}"/>
    <cellStyle name="Positive 2 2 2 6 17" xfId="15359" xr:uid="{00000000-0005-0000-0000-00000C3C0000}"/>
    <cellStyle name="Positive 2 2 2 6 17 2" xfId="15360" xr:uid="{00000000-0005-0000-0000-00000D3C0000}"/>
    <cellStyle name="Positive 2 2 2 6 18" xfId="15361" xr:uid="{00000000-0005-0000-0000-00000E3C0000}"/>
    <cellStyle name="Positive 2 2 2 6 18 2" xfId="15362" xr:uid="{00000000-0005-0000-0000-00000F3C0000}"/>
    <cellStyle name="Positive 2 2 2 6 19" xfId="15363" xr:uid="{00000000-0005-0000-0000-0000103C0000}"/>
    <cellStyle name="Positive 2 2 2 6 19 2" xfId="15364" xr:uid="{00000000-0005-0000-0000-0000113C0000}"/>
    <cellStyle name="Positive 2 2 2 6 2" xfId="15365" xr:uid="{00000000-0005-0000-0000-0000123C0000}"/>
    <cellStyle name="Positive 2 2 2 6 2 10" xfId="15366" xr:uid="{00000000-0005-0000-0000-0000133C0000}"/>
    <cellStyle name="Positive 2 2 2 6 2 10 2" xfId="15367" xr:uid="{00000000-0005-0000-0000-0000143C0000}"/>
    <cellStyle name="Positive 2 2 2 6 2 11" xfId="15368" xr:uid="{00000000-0005-0000-0000-0000153C0000}"/>
    <cellStyle name="Positive 2 2 2 6 2 11 2" xfId="15369" xr:uid="{00000000-0005-0000-0000-0000163C0000}"/>
    <cellStyle name="Positive 2 2 2 6 2 12" xfId="15370" xr:uid="{00000000-0005-0000-0000-0000173C0000}"/>
    <cellStyle name="Positive 2 2 2 6 2 12 2" xfId="15371" xr:uid="{00000000-0005-0000-0000-0000183C0000}"/>
    <cellStyle name="Positive 2 2 2 6 2 13" xfId="15372" xr:uid="{00000000-0005-0000-0000-0000193C0000}"/>
    <cellStyle name="Positive 2 2 2 6 2 13 2" xfId="15373" xr:uid="{00000000-0005-0000-0000-00001A3C0000}"/>
    <cellStyle name="Positive 2 2 2 6 2 14" xfId="15374" xr:uid="{00000000-0005-0000-0000-00001B3C0000}"/>
    <cellStyle name="Positive 2 2 2 6 2 14 2" xfId="15375" xr:uid="{00000000-0005-0000-0000-00001C3C0000}"/>
    <cellStyle name="Positive 2 2 2 6 2 15" xfId="15376" xr:uid="{00000000-0005-0000-0000-00001D3C0000}"/>
    <cellStyle name="Positive 2 2 2 6 2 15 2" xfId="15377" xr:uid="{00000000-0005-0000-0000-00001E3C0000}"/>
    <cellStyle name="Positive 2 2 2 6 2 16" xfId="15378" xr:uid="{00000000-0005-0000-0000-00001F3C0000}"/>
    <cellStyle name="Positive 2 2 2 6 2 16 2" xfId="15379" xr:uid="{00000000-0005-0000-0000-0000203C0000}"/>
    <cellStyle name="Positive 2 2 2 6 2 17" xfId="15380" xr:uid="{00000000-0005-0000-0000-0000213C0000}"/>
    <cellStyle name="Positive 2 2 2 6 2 17 2" xfId="15381" xr:uid="{00000000-0005-0000-0000-0000223C0000}"/>
    <cellStyle name="Positive 2 2 2 6 2 18" xfId="15382" xr:uid="{00000000-0005-0000-0000-0000233C0000}"/>
    <cellStyle name="Positive 2 2 2 6 2 18 2" xfId="15383" xr:uid="{00000000-0005-0000-0000-0000243C0000}"/>
    <cellStyle name="Positive 2 2 2 6 2 19" xfId="15384" xr:uid="{00000000-0005-0000-0000-0000253C0000}"/>
    <cellStyle name="Positive 2 2 2 6 2 19 2" xfId="15385" xr:uid="{00000000-0005-0000-0000-0000263C0000}"/>
    <cellStyle name="Positive 2 2 2 6 2 2" xfId="15386" xr:uid="{00000000-0005-0000-0000-0000273C0000}"/>
    <cellStyle name="Positive 2 2 2 6 2 2 10" xfId="15387" xr:uid="{00000000-0005-0000-0000-0000283C0000}"/>
    <cellStyle name="Positive 2 2 2 6 2 2 10 2" xfId="15388" xr:uid="{00000000-0005-0000-0000-0000293C0000}"/>
    <cellStyle name="Positive 2 2 2 6 2 2 11" xfId="15389" xr:uid="{00000000-0005-0000-0000-00002A3C0000}"/>
    <cellStyle name="Positive 2 2 2 6 2 2 11 2" xfId="15390" xr:uid="{00000000-0005-0000-0000-00002B3C0000}"/>
    <cellStyle name="Positive 2 2 2 6 2 2 12" xfId="15391" xr:uid="{00000000-0005-0000-0000-00002C3C0000}"/>
    <cellStyle name="Positive 2 2 2 6 2 2 12 2" xfId="15392" xr:uid="{00000000-0005-0000-0000-00002D3C0000}"/>
    <cellStyle name="Positive 2 2 2 6 2 2 13" xfId="15393" xr:uid="{00000000-0005-0000-0000-00002E3C0000}"/>
    <cellStyle name="Positive 2 2 2 6 2 2 13 2" xfId="15394" xr:uid="{00000000-0005-0000-0000-00002F3C0000}"/>
    <cellStyle name="Positive 2 2 2 6 2 2 14" xfId="15395" xr:uid="{00000000-0005-0000-0000-0000303C0000}"/>
    <cellStyle name="Positive 2 2 2 6 2 2 14 2" xfId="15396" xr:uid="{00000000-0005-0000-0000-0000313C0000}"/>
    <cellStyle name="Positive 2 2 2 6 2 2 15" xfId="15397" xr:uid="{00000000-0005-0000-0000-0000323C0000}"/>
    <cellStyle name="Positive 2 2 2 6 2 2 15 2" xfId="15398" xr:uid="{00000000-0005-0000-0000-0000333C0000}"/>
    <cellStyle name="Positive 2 2 2 6 2 2 16" xfId="15399" xr:uid="{00000000-0005-0000-0000-0000343C0000}"/>
    <cellStyle name="Positive 2 2 2 6 2 2 16 2" xfId="15400" xr:uid="{00000000-0005-0000-0000-0000353C0000}"/>
    <cellStyle name="Positive 2 2 2 6 2 2 17" xfId="15401" xr:uid="{00000000-0005-0000-0000-0000363C0000}"/>
    <cellStyle name="Positive 2 2 2 6 2 2 2" xfId="15402" xr:uid="{00000000-0005-0000-0000-0000373C0000}"/>
    <cellStyle name="Positive 2 2 2 6 2 2 2 2" xfId="15403" xr:uid="{00000000-0005-0000-0000-0000383C0000}"/>
    <cellStyle name="Positive 2 2 2 6 2 2 3" xfId="15404" xr:uid="{00000000-0005-0000-0000-0000393C0000}"/>
    <cellStyle name="Positive 2 2 2 6 2 2 3 2" xfId="15405" xr:uid="{00000000-0005-0000-0000-00003A3C0000}"/>
    <cellStyle name="Positive 2 2 2 6 2 2 4" xfId="15406" xr:uid="{00000000-0005-0000-0000-00003B3C0000}"/>
    <cellStyle name="Positive 2 2 2 6 2 2 4 2" xfId="15407" xr:uid="{00000000-0005-0000-0000-00003C3C0000}"/>
    <cellStyle name="Positive 2 2 2 6 2 2 5" xfId="15408" xr:uid="{00000000-0005-0000-0000-00003D3C0000}"/>
    <cellStyle name="Positive 2 2 2 6 2 2 5 2" xfId="15409" xr:uid="{00000000-0005-0000-0000-00003E3C0000}"/>
    <cellStyle name="Positive 2 2 2 6 2 2 6" xfId="15410" xr:uid="{00000000-0005-0000-0000-00003F3C0000}"/>
    <cellStyle name="Positive 2 2 2 6 2 2 6 2" xfId="15411" xr:uid="{00000000-0005-0000-0000-0000403C0000}"/>
    <cellStyle name="Positive 2 2 2 6 2 2 7" xfId="15412" xr:uid="{00000000-0005-0000-0000-0000413C0000}"/>
    <cellStyle name="Positive 2 2 2 6 2 2 7 2" xfId="15413" xr:uid="{00000000-0005-0000-0000-0000423C0000}"/>
    <cellStyle name="Positive 2 2 2 6 2 2 8" xfId="15414" xr:uid="{00000000-0005-0000-0000-0000433C0000}"/>
    <cellStyle name="Positive 2 2 2 6 2 2 8 2" xfId="15415" xr:uid="{00000000-0005-0000-0000-0000443C0000}"/>
    <cellStyle name="Positive 2 2 2 6 2 2 9" xfId="15416" xr:uid="{00000000-0005-0000-0000-0000453C0000}"/>
    <cellStyle name="Positive 2 2 2 6 2 2 9 2" xfId="15417" xr:uid="{00000000-0005-0000-0000-0000463C0000}"/>
    <cellStyle name="Positive 2 2 2 6 2 20" xfId="15418" xr:uid="{00000000-0005-0000-0000-0000473C0000}"/>
    <cellStyle name="Positive 2 2 2 6 2 3" xfId="15419" xr:uid="{00000000-0005-0000-0000-0000483C0000}"/>
    <cellStyle name="Positive 2 2 2 6 2 3 2" xfId="15420" xr:uid="{00000000-0005-0000-0000-0000493C0000}"/>
    <cellStyle name="Positive 2 2 2 6 2 3 2 2" xfId="15421" xr:uid="{00000000-0005-0000-0000-00004A3C0000}"/>
    <cellStyle name="Positive 2 2 2 6 2 3 3" xfId="15422" xr:uid="{00000000-0005-0000-0000-00004B3C0000}"/>
    <cellStyle name="Positive 2 2 2 6 2 4" xfId="15423" xr:uid="{00000000-0005-0000-0000-00004C3C0000}"/>
    <cellStyle name="Positive 2 2 2 6 2 4 2" xfId="15424" xr:uid="{00000000-0005-0000-0000-00004D3C0000}"/>
    <cellStyle name="Positive 2 2 2 6 2 4 2 2" xfId="15425" xr:uid="{00000000-0005-0000-0000-00004E3C0000}"/>
    <cellStyle name="Positive 2 2 2 6 2 4 3" xfId="15426" xr:uid="{00000000-0005-0000-0000-00004F3C0000}"/>
    <cellStyle name="Positive 2 2 2 6 2 5" xfId="15427" xr:uid="{00000000-0005-0000-0000-0000503C0000}"/>
    <cellStyle name="Positive 2 2 2 6 2 5 2" xfId="15428" xr:uid="{00000000-0005-0000-0000-0000513C0000}"/>
    <cellStyle name="Positive 2 2 2 6 2 6" xfId="15429" xr:uid="{00000000-0005-0000-0000-0000523C0000}"/>
    <cellStyle name="Positive 2 2 2 6 2 6 2" xfId="15430" xr:uid="{00000000-0005-0000-0000-0000533C0000}"/>
    <cellStyle name="Positive 2 2 2 6 2 7" xfId="15431" xr:uid="{00000000-0005-0000-0000-0000543C0000}"/>
    <cellStyle name="Positive 2 2 2 6 2 7 2" xfId="15432" xr:uid="{00000000-0005-0000-0000-0000553C0000}"/>
    <cellStyle name="Positive 2 2 2 6 2 8" xfId="15433" xr:uid="{00000000-0005-0000-0000-0000563C0000}"/>
    <cellStyle name="Positive 2 2 2 6 2 8 2" xfId="15434" xr:uid="{00000000-0005-0000-0000-0000573C0000}"/>
    <cellStyle name="Positive 2 2 2 6 2 9" xfId="15435" xr:uid="{00000000-0005-0000-0000-0000583C0000}"/>
    <cellStyle name="Positive 2 2 2 6 2 9 2" xfId="15436" xr:uid="{00000000-0005-0000-0000-0000593C0000}"/>
    <cellStyle name="Positive 2 2 2 6 20" xfId="15437" xr:uid="{00000000-0005-0000-0000-00005A3C0000}"/>
    <cellStyle name="Positive 2 2 2 6 20 2" xfId="15438" xr:uid="{00000000-0005-0000-0000-00005B3C0000}"/>
    <cellStyle name="Positive 2 2 2 6 21" xfId="15439" xr:uid="{00000000-0005-0000-0000-00005C3C0000}"/>
    <cellStyle name="Positive 2 2 2 6 21 2" xfId="15440" xr:uid="{00000000-0005-0000-0000-00005D3C0000}"/>
    <cellStyle name="Positive 2 2 2 6 22" xfId="15441" xr:uid="{00000000-0005-0000-0000-00005E3C0000}"/>
    <cellStyle name="Positive 2 2 2 6 22 2" xfId="15442" xr:uid="{00000000-0005-0000-0000-00005F3C0000}"/>
    <cellStyle name="Positive 2 2 2 6 23" xfId="15443" xr:uid="{00000000-0005-0000-0000-0000603C0000}"/>
    <cellStyle name="Positive 2 2 2 6 3" xfId="15444" xr:uid="{00000000-0005-0000-0000-0000613C0000}"/>
    <cellStyle name="Positive 2 2 2 6 3 10" xfId="15445" xr:uid="{00000000-0005-0000-0000-0000623C0000}"/>
    <cellStyle name="Positive 2 2 2 6 3 10 2" xfId="15446" xr:uid="{00000000-0005-0000-0000-0000633C0000}"/>
    <cellStyle name="Positive 2 2 2 6 3 11" xfId="15447" xr:uid="{00000000-0005-0000-0000-0000643C0000}"/>
    <cellStyle name="Positive 2 2 2 6 3 11 2" xfId="15448" xr:uid="{00000000-0005-0000-0000-0000653C0000}"/>
    <cellStyle name="Positive 2 2 2 6 3 12" xfId="15449" xr:uid="{00000000-0005-0000-0000-0000663C0000}"/>
    <cellStyle name="Positive 2 2 2 6 3 12 2" xfId="15450" xr:uid="{00000000-0005-0000-0000-0000673C0000}"/>
    <cellStyle name="Positive 2 2 2 6 3 13" xfId="15451" xr:uid="{00000000-0005-0000-0000-0000683C0000}"/>
    <cellStyle name="Positive 2 2 2 6 3 13 2" xfId="15452" xr:uid="{00000000-0005-0000-0000-0000693C0000}"/>
    <cellStyle name="Positive 2 2 2 6 3 14" xfId="15453" xr:uid="{00000000-0005-0000-0000-00006A3C0000}"/>
    <cellStyle name="Positive 2 2 2 6 3 14 2" xfId="15454" xr:uid="{00000000-0005-0000-0000-00006B3C0000}"/>
    <cellStyle name="Positive 2 2 2 6 3 15" xfId="15455" xr:uid="{00000000-0005-0000-0000-00006C3C0000}"/>
    <cellStyle name="Positive 2 2 2 6 3 15 2" xfId="15456" xr:uid="{00000000-0005-0000-0000-00006D3C0000}"/>
    <cellStyle name="Positive 2 2 2 6 3 16" xfId="15457" xr:uid="{00000000-0005-0000-0000-00006E3C0000}"/>
    <cellStyle name="Positive 2 2 2 6 3 16 2" xfId="15458" xr:uid="{00000000-0005-0000-0000-00006F3C0000}"/>
    <cellStyle name="Positive 2 2 2 6 3 17" xfId="15459" xr:uid="{00000000-0005-0000-0000-0000703C0000}"/>
    <cellStyle name="Positive 2 2 2 6 3 17 2" xfId="15460" xr:uid="{00000000-0005-0000-0000-0000713C0000}"/>
    <cellStyle name="Positive 2 2 2 6 3 18" xfId="15461" xr:uid="{00000000-0005-0000-0000-0000723C0000}"/>
    <cellStyle name="Positive 2 2 2 6 3 18 2" xfId="15462" xr:uid="{00000000-0005-0000-0000-0000733C0000}"/>
    <cellStyle name="Positive 2 2 2 6 3 19" xfId="15463" xr:uid="{00000000-0005-0000-0000-0000743C0000}"/>
    <cellStyle name="Positive 2 2 2 6 3 19 2" xfId="15464" xr:uid="{00000000-0005-0000-0000-0000753C0000}"/>
    <cellStyle name="Positive 2 2 2 6 3 2" xfId="15465" xr:uid="{00000000-0005-0000-0000-0000763C0000}"/>
    <cellStyle name="Positive 2 2 2 6 3 2 10" xfId="15466" xr:uid="{00000000-0005-0000-0000-0000773C0000}"/>
    <cellStyle name="Positive 2 2 2 6 3 2 10 2" xfId="15467" xr:uid="{00000000-0005-0000-0000-0000783C0000}"/>
    <cellStyle name="Positive 2 2 2 6 3 2 11" xfId="15468" xr:uid="{00000000-0005-0000-0000-0000793C0000}"/>
    <cellStyle name="Positive 2 2 2 6 3 2 11 2" xfId="15469" xr:uid="{00000000-0005-0000-0000-00007A3C0000}"/>
    <cellStyle name="Positive 2 2 2 6 3 2 12" xfId="15470" xr:uid="{00000000-0005-0000-0000-00007B3C0000}"/>
    <cellStyle name="Positive 2 2 2 6 3 2 12 2" xfId="15471" xr:uid="{00000000-0005-0000-0000-00007C3C0000}"/>
    <cellStyle name="Positive 2 2 2 6 3 2 13" xfId="15472" xr:uid="{00000000-0005-0000-0000-00007D3C0000}"/>
    <cellStyle name="Positive 2 2 2 6 3 2 13 2" xfId="15473" xr:uid="{00000000-0005-0000-0000-00007E3C0000}"/>
    <cellStyle name="Positive 2 2 2 6 3 2 14" xfId="15474" xr:uid="{00000000-0005-0000-0000-00007F3C0000}"/>
    <cellStyle name="Positive 2 2 2 6 3 2 14 2" xfId="15475" xr:uid="{00000000-0005-0000-0000-0000803C0000}"/>
    <cellStyle name="Positive 2 2 2 6 3 2 15" xfId="15476" xr:uid="{00000000-0005-0000-0000-0000813C0000}"/>
    <cellStyle name="Positive 2 2 2 6 3 2 15 2" xfId="15477" xr:uid="{00000000-0005-0000-0000-0000823C0000}"/>
    <cellStyle name="Positive 2 2 2 6 3 2 16" xfId="15478" xr:uid="{00000000-0005-0000-0000-0000833C0000}"/>
    <cellStyle name="Positive 2 2 2 6 3 2 16 2" xfId="15479" xr:uid="{00000000-0005-0000-0000-0000843C0000}"/>
    <cellStyle name="Positive 2 2 2 6 3 2 17" xfId="15480" xr:uid="{00000000-0005-0000-0000-0000853C0000}"/>
    <cellStyle name="Positive 2 2 2 6 3 2 2" xfId="15481" xr:uid="{00000000-0005-0000-0000-0000863C0000}"/>
    <cellStyle name="Positive 2 2 2 6 3 2 2 2" xfId="15482" xr:uid="{00000000-0005-0000-0000-0000873C0000}"/>
    <cellStyle name="Positive 2 2 2 6 3 2 3" xfId="15483" xr:uid="{00000000-0005-0000-0000-0000883C0000}"/>
    <cellStyle name="Positive 2 2 2 6 3 2 3 2" xfId="15484" xr:uid="{00000000-0005-0000-0000-0000893C0000}"/>
    <cellStyle name="Positive 2 2 2 6 3 2 4" xfId="15485" xr:uid="{00000000-0005-0000-0000-00008A3C0000}"/>
    <cellStyle name="Positive 2 2 2 6 3 2 4 2" xfId="15486" xr:uid="{00000000-0005-0000-0000-00008B3C0000}"/>
    <cellStyle name="Positive 2 2 2 6 3 2 5" xfId="15487" xr:uid="{00000000-0005-0000-0000-00008C3C0000}"/>
    <cellStyle name="Positive 2 2 2 6 3 2 5 2" xfId="15488" xr:uid="{00000000-0005-0000-0000-00008D3C0000}"/>
    <cellStyle name="Positive 2 2 2 6 3 2 6" xfId="15489" xr:uid="{00000000-0005-0000-0000-00008E3C0000}"/>
    <cellStyle name="Positive 2 2 2 6 3 2 6 2" xfId="15490" xr:uid="{00000000-0005-0000-0000-00008F3C0000}"/>
    <cellStyle name="Positive 2 2 2 6 3 2 7" xfId="15491" xr:uid="{00000000-0005-0000-0000-0000903C0000}"/>
    <cellStyle name="Positive 2 2 2 6 3 2 7 2" xfId="15492" xr:uid="{00000000-0005-0000-0000-0000913C0000}"/>
    <cellStyle name="Positive 2 2 2 6 3 2 8" xfId="15493" xr:uid="{00000000-0005-0000-0000-0000923C0000}"/>
    <cellStyle name="Positive 2 2 2 6 3 2 8 2" xfId="15494" xr:uid="{00000000-0005-0000-0000-0000933C0000}"/>
    <cellStyle name="Positive 2 2 2 6 3 2 9" xfId="15495" xr:uid="{00000000-0005-0000-0000-0000943C0000}"/>
    <cellStyle name="Positive 2 2 2 6 3 2 9 2" xfId="15496" xr:uid="{00000000-0005-0000-0000-0000953C0000}"/>
    <cellStyle name="Positive 2 2 2 6 3 20" xfId="15497" xr:uid="{00000000-0005-0000-0000-0000963C0000}"/>
    <cellStyle name="Positive 2 2 2 6 3 3" xfId="15498" xr:uid="{00000000-0005-0000-0000-0000973C0000}"/>
    <cellStyle name="Positive 2 2 2 6 3 3 2" xfId="15499" xr:uid="{00000000-0005-0000-0000-0000983C0000}"/>
    <cellStyle name="Positive 2 2 2 6 3 3 2 2" xfId="15500" xr:uid="{00000000-0005-0000-0000-0000993C0000}"/>
    <cellStyle name="Positive 2 2 2 6 3 3 3" xfId="15501" xr:uid="{00000000-0005-0000-0000-00009A3C0000}"/>
    <cellStyle name="Positive 2 2 2 6 3 4" xfId="15502" xr:uid="{00000000-0005-0000-0000-00009B3C0000}"/>
    <cellStyle name="Positive 2 2 2 6 3 4 2" xfId="15503" xr:uid="{00000000-0005-0000-0000-00009C3C0000}"/>
    <cellStyle name="Positive 2 2 2 6 3 4 2 2" xfId="15504" xr:uid="{00000000-0005-0000-0000-00009D3C0000}"/>
    <cellStyle name="Positive 2 2 2 6 3 4 3" xfId="15505" xr:uid="{00000000-0005-0000-0000-00009E3C0000}"/>
    <cellStyle name="Positive 2 2 2 6 3 5" xfId="15506" xr:uid="{00000000-0005-0000-0000-00009F3C0000}"/>
    <cellStyle name="Positive 2 2 2 6 3 5 2" xfId="15507" xr:uid="{00000000-0005-0000-0000-0000A03C0000}"/>
    <cellStyle name="Positive 2 2 2 6 3 6" xfId="15508" xr:uid="{00000000-0005-0000-0000-0000A13C0000}"/>
    <cellStyle name="Positive 2 2 2 6 3 6 2" xfId="15509" xr:uid="{00000000-0005-0000-0000-0000A23C0000}"/>
    <cellStyle name="Positive 2 2 2 6 3 7" xfId="15510" xr:uid="{00000000-0005-0000-0000-0000A33C0000}"/>
    <cellStyle name="Positive 2 2 2 6 3 7 2" xfId="15511" xr:uid="{00000000-0005-0000-0000-0000A43C0000}"/>
    <cellStyle name="Positive 2 2 2 6 3 8" xfId="15512" xr:uid="{00000000-0005-0000-0000-0000A53C0000}"/>
    <cellStyle name="Positive 2 2 2 6 3 8 2" xfId="15513" xr:uid="{00000000-0005-0000-0000-0000A63C0000}"/>
    <cellStyle name="Positive 2 2 2 6 3 9" xfId="15514" xr:uid="{00000000-0005-0000-0000-0000A73C0000}"/>
    <cellStyle name="Positive 2 2 2 6 3 9 2" xfId="15515" xr:uid="{00000000-0005-0000-0000-0000A83C0000}"/>
    <cellStyle name="Positive 2 2 2 6 4" xfId="15516" xr:uid="{00000000-0005-0000-0000-0000A93C0000}"/>
    <cellStyle name="Positive 2 2 2 6 4 10" xfId="15517" xr:uid="{00000000-0005-0000-0000-0000AA3C0000}"/>
    <cellStyle name="Positive 2 2 2 6 4 10 2" xfId="15518" xr:uid="{00000000-0005-0000-0000-0000AB3C0000}"/>
    <cellStyle name="Positive 2 2 2 6 4 11" xfId="15519" xr:uid="{00000000-0005-0000-0000-0000AC3C0000}"/>
    <cellStyle name="Positive 2 2 2 6 4 11 2" xfId="15520" xr:uid="{00000000-0005-0000-0000-0000AD3C0000}"/>
    <cellStyle name="Positive 2 2 2 6 4 12" xfId="15521" xr:uid="{00000000-0005-0000-0000-0000AE3C0000}"/>
    <cellStyle name="Positive 2 2 2 6 4 12 2" xfId="15522" xr:uid="{00000000-0005-0000-0000-0000AF3C0000}"/>
    <cellStyle name="Positive 2 2 2 6 4 13" xfId="15523" xr:uid="{00000000-0005-0000-0000-0000B03C0000}"/>
    <cellStyle name="Positive 2 2 2 6 4 13 2" xfId="15524" xr:uid="{00000000-0005-0000-0000-0000B13C0000}"/>
    <cellStyle name="Positive 2 2 2 6 4 14" xfId="15525" xr:uid="{00000000-0005-0000-0000-0000B23C0000}"/>
    <cellStyle name="Positive 2 2 2 6 4 14 2" xfId="15526" xr:uid="{00000000-0005-0000-0000-0000B33C0000}"/>
    <cellStyle name="Positive 2 2 2 6 4 15" xfId="15527" xr:uid="{00000000-0005-0000-0000-0000B43C0000}"/>
    <cellStyle name="Positive 2 2 2 6 4 15 2" xfId="15528" xr:uid="{00000000-0005-0000-0000-0000B53C0000}"/>
    <cellStyle name="Positive 2 2 2 6 4 16" xfId="15529" xr:uid="{00000000-0005-0000-0000-0000B63C0000}"/>
    <cellStyle name="Positive 2 2 2 6 4 16 2" xfId="15530" xr:uid="{00000000-0005-0000-0000-0000B73C0000}"/>
    <cellStyle name="Positive 2 2 2 6 4 17" xfId="15531" xr:uid="{00000000-0005-0000-0000-0000B83C0000}"/>
    <cellStyle name="Positive 2 2 2 6 4 17 2" xfId="15532" xr:uid="{00000000-0005-0000-0000-0000B93C0000}"/>
    <cellStyle name="Positive 2 2 2 6 4 18" xfId="15533" xr:uid="{00000000-0005-0000-0000-0000BA3C0000}"/>
    <cellStyle name="Positive 2 2 2 6 4 18 2" xfId="15534" xr:uid="{00000000-0005-0000-0000-0000BB3C0000}"/>
    <cellStyle name="Positive 2 2 2 6 4 19" xfId="15535" xr:uid="{00000000-0005-0000-0000-0000BC3C0000}"/>
    <cellStyle name="Positive 2 2 2 6 4 19 2" xfId="15536" xr:uid="{00000000-0005-0000-0000-0000BD3C0000}"/>
    <cellStyle name="Positive 2 2 2 6 4 2" xfId="15537" xr:uid="{00000000-0005-0000-0000-0000BE3C0000}"/>
    <cellStyle name="Positive 2 2 2 6 4 2 10" xfId="15538" xr:uid="{00000000-0005-0000-0000-0000BF3C0000}"/>
    <cellStyle name="Positive 2 2 2 6 4 2 10 2" xfId="15539" xr:uid="{00000000-0005-0000-0000-0000C03C0000}"/>
    <cellStyle name="Positive 2 2 2 6 4 2 11" xfId="15540" xr:uid="{00000000-0005-0000-0000-0000C13C0000}"/>
    <cellStyle name="Positive 2 2 2 6 4 2 11 2" xfId="15541" xr:uid="{00000000-0005-0000-0000-0000C23C0000}"/>
    <cellStyle name="Positive 2 2 2 6 4 2 12" xfId="15542" xr:uid="{00000000-0005-0000-0000-0000C33C0000}"/>
    <cellStyle name="Positive 2 2 2 6 4 2 12 2" xfId="15543" xr:uid="{00000000-0005-0000-0000-0000C43C0000}"/>
    <cellStyle name="Positive 2 2 2 6 4 2 13" xfId="15544" xr:uid="{00000000-0005-0000-0000-0000C53C0000}"/>
    <cellStyle name="Positive 2 2 2 6 4 2 13 2" xfId="15545" xr:uid="{00000000-0005-0000-0000-0000C63C0000}"/>
    <cellStyle name="Positive 2 2 2 6 4 2 14" xfId="15546" xr:uid="{00000000-0005-0000-0000-0000C73C0000}"/>
    <cellStyle name="Positive 2 2 2 6 4 2 14 2" xfId="15547" xr:uid="{00000000-0005-0000-0000-0000C83C0000}"/>
    <cellStyle name="Positive 2 2 2 6 4 2 15" xfId="15548" xr:uid="{00000000-0005-0000-0000-0000C93C0000}"/>
    <cellStyle name="Positive 2 2 2 6 4 2 15 2" xfId="15549" xr:uid="{00000000-0005-0000-0000-0000CA3C0000}"/>
    <cellStyle name="Positive 2 2 2 6 4 2 16" xfId="15550" xr:uid="{00000000-0005-0000-0000-0000CB3C0000}"/>
    <cellStyle name="Positive 2 2 2 6 4 2 16 2" xfId="15551" xr:uid="{00000000-0005-0000-0000-0000CC3C0000}"/>
    <cellStyle name="Positive 2 2 2 6 4 2 17" xfId="15552" xr:uid="{00000000-0005-0000-0000-0000CD3C0000}"/>
    <cellStyle name="Positive 2 2 2 6 4 2 2" xfId="15553" xr:uid="{00000000-0005-0000-0000-0000CE3C0000}"/>
    <cellStyle name="Positive 2 2 2 6 4 2 2 2" xfId="15554" xr:uid="{00000000-0005-0000-0000-0000CF3C0000}"/>
    <cellStyle name="Positive 2 2 2 6 4 2 3" xfId="15555" xr:uid="{00000000-0005-0000-0000-0000D03C0000}"/>
    <cellStyle name="Positive 2 2 2 6 4 2 3 2" xfId="15556" xr:uid="{00000000-0005-0000-0000-0000D13C0000}"/>
    <cellStyle name="Positive 2 2 2 6 4 2 4" xfId="15557" xr:uid="{00000000-0005-0000-0000-0000D23C0000}"/>
    <cellStyle name="Positive 2 2 2 6 4 2 4 2" xfId="15558" xr:uid="{00000000-0005-0000-0000-0000D33C0000}"/>
    <cellStyle name="Positive 2 2 2 6 4 2 5" xfId="15559" xr:uid="{00000000-0005-0000-0000-0000D43C0000}"/>
    <cellStyle name="Positive 2 2 2 6 4 2 5 2" xfId="15560" xr:uid="{00000000-0005-0000-0000-0000D53C0000}"/>
    <cellStyle name="Positive 2 2 2 6 4 2 6" xfId="15561" xr:uid="{00000000-0005-0000-0000-0000D63C0000}"/>
    <cellStyle name="Positive 2 2 2 6 4 2 6 2" xfId="15562" xr:uid="{00000000-0005-0000-0000-0000D73C0000}"/>
    <cellStyle name="Positive 2 2 2 6 4 2 7" xfId="15563" xr:uid="{00000000-0005-0000-0000-0000D83C0000}"/>
    <cellStyle name="Positive 2 2 2 6 4 2 7 2" xfId="15564" xr:uid="{00000000-0005-0000-0000-0000D93C0000}"/>
    <cellStyle name="Positive 2 2 2 6 4 2 8" xfId="15565" xr:uid="{00000000-0005-0000-0000-0000DA3C0000}"/>
    <cellStyle name="Positive 2 2 2 6 4 2 8 2" xfId="15566" xr:uid="{00000000-0005-0000-0000-0000DB3C0000}"/>
    <cellStyle name="Positive 2 2 2 6 4 2 9" xfId="15567" xr:uid="{00000000-0005-0000-0000-0000DC3C0000}"/>
    <cellStyle name="Positive 2 2 2 6 4 2 9 2" xfId="15568" xr:uid="{00000000-0005-0000-0000-0000DD3C0000}"/>
    <cellStyle name="Positive 2 2 2 6 4 20" xfId="15569" xr:uid="{00000000-0005-0000-0000-0000DE3C0000}"/>
    <cellStyle name="Positive 2 2 2 6 4 3" xfId="15570" xr:uid="{00000000-0005-0000-0000-0000DF3C0000}"/>
    <cellStyle name="Positive 2 2 2 6 4 3 2" xfId="15571" xr:uid="{00000000-0005-0000-0000-0000E03C0000}"/>
    <cellStyle name="Positive 2 2 2 6 4 3 2 2" xfId="15572" xr:uid="{00000000-0005-0000-0000-0000E13C0000}"/>
    <cellStyle name="Positive 2 2 2 6 4 3 3" xfId="15573" xr:uid="{00000000-0005-0000-0000-0000E23C0000}"/>
    <cellStyle name="Positive 2 2 2 6 4 4" xfId="15574" xr:uid="{00000000-0005-0000-0000-0000E33C0000}"/>
    <cellStyle name="Positive 2 2 2 6 4 4 2" xfId="15575" xr:uid="{00000000-0005-0000-0000-0000E43C0000}"/>
    <cellStyle name="Positive 2 2 2 6 4 4 2 2" xfId="15576" xr:uid="{00000000-0005-0000-0000-0000E53C0000}"/>
    <cellStyle name="Positive 2 2 2 6 4 4 3" xfId="15577" xr:uid="{00000000-0005-0000-0000-0000E63C0000}"/>
    <cellStyle name="Positive 2 2 2 6 4 5" xfId="15578" xr:uid="{00000000-0005-0000-0000-0000E73C0000}"/>
    <cellStyle name="Positive 2 2 2 6 4 5 2" xfId="15579" xr:uid="{00000000-0005-0000-0000-0000E83C0000}"/>
    <cellStyle name="Positive 2 2 2 6 4 6" xfId="15580" xr:uid="{00000000-0005-0000-0000-0000E93C0000}"/>
    <cellStyle name="Positive 2 2 2 6 4 6 2" xfId="15581" xr:uid="{00000000-0005-0000-0000-0000EA3C0000}"/>
    <cellStyle name="Positive 2 2 2 6 4 7" xfId="15582" xr:uid="{00000000-0005-0000-0000-0000EB3C0000}"/>
    <cellStyle name="Positive 2 2 2 6 4 7 2" xfId="15583" xr:uid="{00000000-0005-0000-0000-0000EC3C0000}"/>
    <cellStyle name="Positive 2 2 2 6 4 8" xfId="15584" xr:uid="{00000000-0005-0000-0000-0000ED3C0000}"/>
    <cellStyle name="Positive 2 2 2 6 4 8 2" xfId="15585" xr:uid="{00000000-0005-0000-0000-0000EE3C0000}"/>
    <cellStyle name="Positive 2 2 2 6 4 9" xfId="15586" xr:uid="{00000000-0005-0000-0000-0000EF3C0000}"/>
    <cellStyle name="Positive 2 2 2 6 4 9 2" xfId="15587" xr:uid="{00000000-0005-0000-0000-0000F03C0000}"/>
    <cellStyle name="Positive 2 2 2 6 5" xfId="15588" xr:uid="{00000000-0005-0000-0000-0000F13C0000}"/>
    <cellStyle name="Positive 2 2 2 6 5 10" xfId="15589" xr:uid="{00000000-0005-0000-0000-0000F23C0000}"/>
    <cellStyle name="Positive 2 2 2 6 5 10 2" xfId="15590" xr:uid="{00000000-0005-0000-0000-0000F33C0000}"/>
    <cellStyle name="Positive 2 2 2 6 5 11" xfId="15591" xr:uid="{00000000-0005-0000-0000-0000F43C0000}"/>
    <cellStyle name="Positive 2 2 2 6 5 11 2" xfId="15592" xr:uid="{00000000-0005-0000-0000-0000F53C0000}"/>
    <cellStyle name="Positive 2 2 2 6 5 12" xfId="15593" xr:uid="{00000000-0005-0000-0000-0000F63C0000}"/>
    <cellStyle name="Positive 2 2 2 6 5 12 2" xfId="15594" xr:uid="{00000000-0005-0000-0000-0000F73C0000}"/>
    <cellStyle name="Positive 2 2 2 6 5 13" xfId="15595" xr:uid="{00000000-0005-0000-0000-0000F83C0000}"/>
    <cellStyle name="Positive 2 2 2 6 5 13 2" xfId="15596" xr:uid="{00000000-0005-0000-0000-0000F93C0000}"/>
    <cellStyle name="Positive 2 2 2 6 5 14" xfId="15597" xr:uid="{00000000-0005-0000-0000-0000FA3C0000}"/>
    <cellStyle name="Positive 2 2 2 6 5 14 2" xfId="15598" xr:uid="{00000000-0005-0000-0000-0000FB3C0000}"/>
    <cellStyle name="Positive 2 2 2 6 5 15" xfId="15599" xr:uid="{00000000-0005-0000-0000-0000FC3C0000}"/>
    <cellStyle name="Positive 2 2 2 6 5 15 2" xfId="15600" xr:uid="{00000000-0005-0000-0000-0000FD3C0000}"/>
    <cellStyle name="Positive 2 2 2 6 5 16" xfId="15601" xr:uid="{00000000-0005-0000-0000-0000FE3C0000}"/>
    <cellStyle name="Positive 2 2 2 6 5 16 2" xfId="15602" xr:uid="{00000000-0005-0000-0000-0000FF3C0000}"/>
    <cellStyle name="Positive 2 2 2 6 5 17" xfId="15603" xr:uid="{00000000-0005-0000-0000-0000003D0000}"/>
    <cellStyle name="Positive 2 2 2 6 5 2" xfId="15604" xr:uid="{00000000-0005-0000-0000-0000013D0000}"/>
    <cellStyle name="Positive 2 2 2 6 5 2 2" xfId="15605" xr:uid="{00000000-0005-0000-0000-0000023D0000}"/>
    <cellStyle name="Positive 2 2 2 6 5 3" xfId="15606" xr:uid="{00000000-0005-0000-0000-0000033D0000}"/>
    <cellStyle name="Positive 2 2 2 6 5 3 2" xfId="15607" xr:uid="{00000000-0005-0000-0000-0000043D0000}"/>
    <cellStyle name="Positive 2 2 2 6 5 4" xfId="15608" xr:uid="{00000000-0005-0000-0000-0000053D0000}"/>
    <cellStyle name="Positive 2 2 2 6 5 4 2" xfId="15609" xr:uid="{00000000-0005-0000-0000-0000063D0000}"/>
    <cellStyle name="Positive 2 2 2 6 5 5" xfId="15610" xr:uid="{00000000-0005-0000-0000-0000073D0000}"/>
    <cellStyle name="Positive 2 2 2 6 5 5 2" xfId="15611" xr:uid="{00000000-0005-0000-0000-0000083D0000}"/>
    <cellStyle name="Positive 2 2 2 6 5 6" xfId="15612" xr:uid="{00000000-0005-0000-0000-0000093D0000}"/>
    <cellStyle name="Positive 2 2 2 6 5 6 2" xfId="15613" xr:uid="{00000000-0005-0000-0000-00000A3D0000}"/>
    <cellStyle name="Positive 2 2 2 6 5 7" xfId="15614" xr:uid="{00000000-0005-0000-0000-00000B3D0000}"/>
    <cellStyle name="Positive 2 2 2 6 5 7 2" xfId="15615" xr:uid="{00000000-0005-0000-0000-00000C3D0000}"/>
    <cellStyle name="Positive 2 2 2 6 5 8" xfId="15616" xr:uid="{00000000-0005-0000-0000-00000D3D0000}"/>
    <cellStyle name="Positive 2 2 2 6 5 8 2" xfId="15617" xr:uid="{00000000-0005-0000-0000-00000E3D0000}"/>
    <cellStyle name="Positive 2 2 2 6 5 9" xfId="15618" xr:uid="{00000000-0005-0000-0000-00000F3D0000}"/>
    <cellStyle name="Positive 2 2 2 6 5 9 2" xfId="15619" xr:uid="{00000000-0005-0000-0000-0000103D0000}"/>
    <cellStyle name="Positive 2 2 2 6 6" xfId="15620" xr:uid="{00000000-0005-0000-0000-0000113D0000}"/>
    <cellStyle name="Positive 2 2 2 6 6 2" xfId="15621" xr:uid="{00000000-0005-0000-0000-0000123D0000}"/>
    <cellStyle name="Positive 2 2 2 6 6 2 2" xfId="15622" xr:uid="{00000000-0005-0000-0000-0000133D0000}"/>
    <cellStyle name="Positive 2 2 2 6 6 3" xfId="15623" xr:uid="{00000000-0005-0000-0000-0000143D0000}"/>
    <cellStyle name="Positive 2 2 2 6 7" xfId="15624" xr:uid="{00000000-0005-0000-0000-0000153D0000}"/>
    <cellStyle name="Positive 2 2 2 6 7 2" xfId="15625" xr:uid="{00000000-0005-0000-0000-0000163D0000}"/>
    <cellStyle name="Positive 2 2 2 6 7 2 2" xfId="15626" xr:uid="{00000000-0005-0000-0000-0000173D0000}"/>
    <cellStyle name="Positive 2 2 2 6 7 3" xfId="15627" xr:uid="{00000000-0005-0000-0000-0000183D0000}"/>
    <cellStyle name="Positive 2 2 2 6 8" xfId="15628" xr:uid="{00000000-0005-0000-0000-0000193D0000}"/>
    <cellStyle name="Positive 2 2 2 6 8 2" xfId="15629" xr:uid="{00000000-0005-0000-0000-00001A3D0000}"/>
    <cellStyle name="Positive 2 2 2 6 9" xfId="15630" xr:uid="{00000000-0005-0000-0000-00001B3D0000}"/>
    <cellStyle name="Positive 2 2 2 6 9 2" xfId="15631" xr:uid="{00000000-0005-0000-0000-00001C3D0000}"/>
    <cellStyle name="Positive 2 2 2 7" xfId="15632" xr:uid="{00000000-0005-0000-0000-00001D3D0000}"/>
    <cellStyle name="Positive 2 2 2 7 10" xfId="15633" xr:uid="{00000000-0005-0000-0000-00001E3D0000}"/>
    <cellStyle name="Positive 2 2 2 7 10 2" xfId="15634" xr:uid="{00000000-0005-0000-0000-00001F3D0000}"/>
    <cellStyle name="Positive 2 2 2 7 11" xfId="15635" xr:uid="{00000000-0005-0000-0000-0000203D0000}"/>
    <cellStyle name="Positive 2 2 2 7 11 2" xfId="15636" xr:uid="{00000000-0005-0000-0000-0000213D0000}"/>
    <cellStyle name="Positive 2 2 2 7 12" xfId="15637" xr:uid="{00000000-0005-0000-0000-0000223D0000}"/>
    <cellStyle name="Positive 2 2 2 7 12 2" xfId="15638" xr:uid="{00000000-0005-0000-0000-0000233D0000}"/>
    <cellStyle name="Positive 2 2 2 7 13" xfId="15639" xr:uid="{00000000-0005-0000-0000-0000243D0000}"/>
    <cellStyle name="Positive 2 2 2 7 13 2" xfId="15640" xr:uid="{00000000-0005-0000-0000-0000253D0000}"/>
    <cellStyle name="Positive 2 2 2 7 14" xfId="15641" xr:uid="{00000000-0005-0000-0000-0000263D0000}"/>
    <cellStyle name="Positive 2 2 2 7 14 2" xfId="15642" xr:uid="{00000000-0005-0000-0000-0000273D0000}"/>
    <cellStyle name="Positive 2 2 2 7 15" xfId="15643" xr:uid="{00000000-0005-0000-0000-0000283D0000}"/>
    <cellStyle name="Positive 2 2 2 7 15 2" xfId="15644" xr:uid="{00000000-0005-0000-0000-0000293D0000}"/>
    <cellStyle name="Positive 2 2 2 7 16" xfId="15645" xr:uid="{00000000-0005-0000-0000-00002A3D0000}"/>
    <cellStyle name="Positive 2 2 2 7 16 2" xfId="15646" xr:uid="{00000000-0005-0000-0000-00002B3D0000}"/>
    <cellStyle name="Positive 2 2 2 7 17" xfId="15647" xr:uid="{00000000-0005-0000-0000-00002C3D0000}"/>
    <cellStyle name="Positive 2 2 2 7 17 2" xfId="15648" xr:uid="{00000000-0005-0000-0000-00002D3D0000}"/>
    <cellStyle name="Positive 2 2 2 7 18" xfId="15649" xr:uid="{00000000-0005-0000-0000-00002E3D0000}"/>
    <cellStyle name="Positive 2 2 2 7 18 2" xfId="15650" xr:uid="{00000000-0005-0000-0000-00002F3D0000}"/>
    <cellStyle name="Positive 2 2 2 7 19" xfId="15651" xr:uid="{00000000-0005-0000-0000-0000303D0000}"/>
    <cellStyle name="Positive 2 2 2 7 19 2" xfId="15652" xr:uid="{00000000-0005-0000-0000-0000313D0000}"/>
    <cellStyle name="Positive 2 2 2 7 2" xfId="15653" xr:uid="{00000000-0005-0000-0000-0000323D0000}"/>
    <cellStyle name="Positive 2 2 2 7 2 10" xfId="15654" xr:uid="{00000000-0005-0000-0000-0000333D0000}"/>
    <cellStyle name="Positive 2 2 2 7 2 10 2" xfId="15655" xr:uid="{00000000-0005-0000-0000-0000343D0000}"/>
    <cellStyle name="Positive 2 2 2 7 2 11" xfId="15656" xr:uid="{00000000-0005-0000-0000-0000353D0000}"/>
    <cellStyle name="Positive 2 2 2 7 2 11 2" xfId="15657" xr:uid="{00000000-0005-0000-0000-0000363D0000}"/>
    <cellStyle name="Positive 2 2 2 7 2 12" xfId="15658" xr:uid="{00000000-0005-0000-0000-0000373D0000}"/>
    <cellStyle name="Positive 2 2 2 7 2 12 2" xfId="15659" xr:uid="{00000000-0005-0000-0000-0000383D0000}"/>
    <cellStyle name="Positive 2 2 2 7 2 13" xfId="15660" xr:uid="{00000000-0005-0000-0000-0000393D0000}"/>
    <cellStyle name="Positive 2 2 2 7 2 13 2" xfId="15661" xr:uid="{00000000-0005-0000-0000-00003A3D0000}"/>
    <cellStyle name="Positive 2 2 2 7 2 14" xfId="15662" xr:uid="{00000000-0005-0000-0000-00003B3D0000}"/>
    <cellStyle name="Positive 2 2 2 7 2 14 2" xfId="15663" xr:uid="{00000000-0005-0000-0000-00003C3D0000}"/>
    <cellStyle name="Positive 2 2 2 7 2 15" xfId="15664" xr:uid="{00000000-0005-0000-0000-00003D3D0000}"/>
    <cellStyle name="Positive 2 2 2 7 2 15 2" xfId="15665" xr:uid="{00000000-0005-0000-0000-00003E3D0000}"/>
    <cellStyle name="Positive 2 2 2 7 2 16" xfId="15666" xr:uid="{00000000-0005-0000-0000-00003F3D0000}"/>
    <cellStyle name="Positive 2 2 2 7 2 16 2" xfId="15667" xr:uid="{00000000-0005-0000-0000-0000403D0000}"/>
    <cellStyle name="Positive 2 2 2 7 2 17" xfId="15668" xr:uid="{00000000-0005-0000-0000-0000413D0000}"/>
    <cellStyle name="Positive 2 2 2 7 2 17 2" xfId="15669" xr:uid="{00000000-0005-0000-0000-0000423D0000}"/>
    <cellStyle name="Positive 2 2 2 7 2 18" xfId="15670" xr:uid="{00000000-0005-0000-0000-0000433D0000}"/>
    <cellStyle name="Positive 2 2 2 7 2 18 2" xfId="15671" xr:uid="{00000000-0005-0000-0000-0000443D0000}"/>
    <cellStyle name="Positive 2 2 2 7 2 19" xfId="15672" xr:uid="{00000000-0005-0000-0000-0000453D0000}"/>
    <cellStyle name="Positive 2 2 2 7 2 19 2" xfId="15673" xr:uid="{00000000-0005-0000-0000-0000463D0000}"/>
    <cellStyle name="Positive 2 2 2 7 2 2" xfId="15674" xr:uid="{00000000-0005-0000-0000-0000473D0000}"/>
    <cellStyle name="Positive 2 2 2 7 2 2 10" xfId="15675" xr:uid="{00000000-0005-0000-0000-0000483D0000}"/>
    <cellStyle name="Positive 2 2 2 7 2 2 10 2" xfId="15676" xr:uid="{00000000-0005-0000-0000-0000493D0000}"/>
    <cellStyle name="Positive 2 2 2 7 2 2 11" xfId="15677" xr:uid="{00000000-0005-0000-0000-00004A3D0000}"/>
    <cellStyle name="Positive 2 2 2 7 2 2 11 2" xfId="15678" xr:uid="{00000000-0005-0000-0000-00004B3D0000}"/>
    <cellStyle name="Positive 2 2 2 7 2 2 12" xfId="15679" xr:uid="{00000000-0005-0000-0000-00004C3D0000}"/>
    <cellStyle name="Positive 2 2 2 7 2 2 12 2" xfId="15680" xr:uid="{00000000-0005-0000-0000-00004D3D0000}"/>
    <cellStyle name="Positive 2 2 2 7 2 2 13" xfId="15681" xr:uid="{00000000-0005-0000-0000-00004E3D0000}"/>
    <cellStyle name="Positive 2 2 2 7 2 2 13 2" xfId="15682" xr:uid="{00000000-0005-0000-0000-00004F3D0000}"/>
    <cellStyle name="Positive 2 2 2 7 2 2 14" xfId="15683" xr:uid="{00000000-0005-0000-0000-0000503D0000}"/>
    <cellStyle name="Positive 2 2 2 7 2 2 14 2" xfId="15684" xr:uid="{00000000-0005-0000-0000-0000513D0000}"/>
    <cellStyle name="Positive 2 2 2 7 2 2 15" xfId="15685" xr:uid="{00000000-0005-0000-0000-0000523D0000}"/>
    <cellStyle name="Positive 2 2 2 7 2 2 15 2" xfId="15686" xr:uid="{00000000-0005-0000-0000-0000533D0000}"/>
    <cellStyle name="Positive 2 2 2 7 2 2 16" xfId="15687" xr:uid="{00000000-0005-0000-0000-0000543D0000}"/>
    <cellStyle name="Positive 2 2 2 7 2 2 16 2" xfId="15688" xr:uid="{00000000-0005-0000-0000-0000553D0000}"/>
    <cellStyle name="Positive 2 2 2 7 2 2 17" xfId="15689" xr:uid="{00000000-0005-0000-0000-0000563D0000}"/>
    <cellStyle name="Positive 2 2 2 7 2 2 2" xfId="15690" xr:uid="{00000000-0005-0000-0000-0000573D0000}"/>
    <cellStyle name="Positive 2 2 2 7 2 2 2 2" xfId="15691" xr:uid="{00000000-0005-0000-0000-0000583D0000}"/>
    <cellStyle name="Positive 2 2 2 7 2 2 3" xfId="15692" xr:uid="{00000000-0005-0000-0000-0000593D0000}"/>
    <cellStyle name="Positive 2 2 2 7 2 2 3 2" xfId="15693" xr:uid="{00000000-0005-0000-0000-00005A3D0000}"/>
    <cellStyle name="Positive 2 2 2 7 2 2 4" xfId="15694" xr:uid="{00000000-0005-0000-0000-00005B3D0000}"/>
    <cellStyle name="Positive 2 2 2 7 2 2 4 2" xfId="15695" xr:uid="{00000000-0005-0000-0000-00005C3D0000}"/>
    <cellStyle name="Positive 2 2 2 7 2 2 5" xfId="15696" xr:uid="{00000000-0005-0000-0000-00005D3D0000}"/>
    <cellStyle name="Positive 2 2 2 7 2 2 5 2" xfId="15697" xr:uid="{00000000-0005-0000-0000-00005E3D0000}"/>
    <cellStyle name="Positive 2 2 2 7 2 2 6" xfId="15698" xr:uid="{00000000-0005-0000-0000-00005F3D0000}"/>
    <cellStyle name="Positive 2 2 2 7 2 2 6 2" xfId="15699" xr:uid="{00000000-0005-0000-0000-0000603D0000}"/>
    <cellStyle name="Positive 2 2 2 7 2 2 7" xfId="15700" xr:uid="{00000000-0005-0000-0000-0000613D0000}"/>
    <cellStyle name="Positive 2 2 2 7 2 2 7 2" xfId="15701" xr:uid="{00000000-0005-0000-0000-0000623D0000}"/>
    <cellStyle name="Positive 2 2 2 7 2 2 8" xfId="15702" xr:uid="{00000000-0005-0000-0000-0000633D0000}"/>
    <cellStyle name="Positive 2 2 2 7 2 2 8 2" xfId="15703" xr:uid="{00000000-0005-0000-0000-0000643D0000}"/>
    <cellStyle name="Positive 2 2 2 7 2 2 9" xfId="15704" xr:uid="{00000000-0005-0000-0000-0000653D0000}"/>
    <cellStyle name="Positive 2 2 2 7 2 2 9 2" xfId="15705" xr:uid="{00000000-0005-0000-0000-0000663D0000}"/>
    <cellStyle name="Positive 2 2 2 7 2 20" xfId="15706" xr:uid="{00000000-0005-0000-0000-0000673D0000}"/>
    <cellStyle name="Positive 2 2 2 7 2 3" xfId="15707" xr:uid="{00000000-0005-0000-0000-0000683D0000}"/>
    <cellStyle name="Positive 2 2 2 7 2 3 2" xfId="15708" xr:uid="{00000000-0005-0000-0000-0000693D0000}"/>
    <cellStyle name="Positive 2 2 2 7 2 3 2 2" xfId="15709" xr:uid="{00000000-0005-0000-0000-00006A3D0000}"/>
    <cellStyle name="Positive 2 2 2 7 2 3 3" xfId="15710" xr:uid="{00000000-0005-0000-0000-00006B3D0000}"/>
    <cellStyle name="Positive 2 2 2 7 2 4" xfId="15711" xr:uid="{00000000-0005-0000-0000-00006C3D0000}"/>
    <cellStyle name="Positive 2 2 2 7 2 4 2" xfId="15712" xr:uid="{00000000-0005-0000-0000-00006D3D0000}"/>
    <cellStyle name="Positive 2 2 2 7 2 4 2 2" xfId="15713" xr:uid="{00000000-0005-0000-0000-00006E3D0000}"/>
    <cellStyle name="Positive 2 2 2 7 2 4 3" xfId="15714" xr:uid="{00000000-0005-0000-0000-00006F3D0000}"/>
    <cellStyle name="Positive 2 2 2 7 2 5" xfId="15715" xr:uid="{00000000-0005-0000-0000-0000703D0000}"/>
    <cellStyle name="Positive 2 2 2 7 2 5 2" xfId="15716" xr:uid="{00000000-0005-0000-0000-0000713D0000}"/>
    <cellStyle name="Positive 2 2 2 7 2 6" xfId="15717" xr:uid="{00000000-0005-0000-0000-0000723D0000}"/>
    <cellStyle name="Positive 2 2 2 7 2 6 2" xfId="15718" xr:uid="{00000000-0005-0000-0000-0000733D0000}"/>
    <cellStyle name="Positive 2 2 2 7 2 7" xfId="15719" xr:uid="{00000000-0005-0000-0000-0000743D0000}"/>
    <cellStyle name="Positive 2 2 2 7 2 7 2" xfId="15720" xr:uid="{00000000-0005-0000-0000-0000753D0000}"/>
    <cellStyle name="Positive 2 2 2 7 2 8" xfId="15721" xr:uid="{00000000-0005-0000-0000-0000763D0000}"/>
    <cellStyle name="Positive 2 2 2 7 2 8 2" xfId="15722" xr:uid="{00000000-0005-0000-0000-0000773D0000}"/>
    <cellStyle name="Positive 2 2 2 7 2 9" xfId="15723" xr:uid="{00000000-0005-0000-0000-0000783D0000}"/>
    <cellStyle name="Positive 2 2 2 7 2 9 2" xfId="15724" xr:uid="{00000000-0005-0000-0000-0000793D0000}"/>
    <cellStyle name="Positive 2 2 2 7 20" xfId="15725" xr:uid="{00000000-0005-0000-0000-00007A3D0000}"/>
    <cellStyle name="Positive 2 2 2 7 20 2" xfId="15726" xr:uid="{00000000-0005-0000-0000-00007B3D0000}"/>
    <cellStyle name="Positive 2 2 2 7 21" xfId="15727" xr:uid="{00000000-0005-0000-0000-00007C3D0000}"/>
    <cellStyle name="Positive 2 2 2 7 21 2" xfId="15728" xr:uid="{00000000-0005-0000-0000-00007D3D0000}"/>
    <cellStyle name="Positive 2 2 2 7 22" xfId="15729" xr:uid="{00000000-0005-0000-0000-00007E3D0000}"/>
    <cellStyle name="Positive 2 2 2 7 22 2" xfId="15730" xr:uid="{00000000-0005-0000-0000-00007F3D0000}"/>
    <cellStyle name="Positive 2 2 2 7 23" xfId="15731" xr:uid="{00000000-0005-0000-0000-0000803D0000}"/>
    <cellStyle name="Positive 2 2 2 7 3" xfId="15732" xr:uid="{00000000-0005-0000-0000-0000813D0000}"/>
    <cellStyle name="Positive 2 2 2 7 3 10" xfId="15733" xr:uid="{00000000-0005-0000-0000-0000823D0000}"/>
    <cellStyle name="Positive 2 2 2 7 3 10 2" xfId="15734" xr:uid="{00000000-0005-0000-0000-0000833D0000}"/>
    <cellStyle name="Positive 2 2 2 7 3 11" xfId="15735" xr:uid="{00000000-0005-0000-0000-0000843D0000}"/>
    <cellStyle name="Positive 2 2 2 7 3 11 2" xfId="15736" xr:uid="{00000000-0005-0000-0000-0000853D0000}"/>
    <cellStyle name="Positive 2 2 2 7 3 12" xfId="15737" xr:uid="{00000000-0005-0000-0000-0000863D0000}"/>
    <cellStyle name="Positive 2 2 2 7 3 12 2" xfId="15738" xr:uid="{00000000-0005-0000-0000-0000873D0000}"/>
    <cellStyle name="Positive 2 2 2 7 3 13" xfId="15739" xr:uid="{00000000-0005-0000-0000-0000883D0000}"/>
    <cellStyle name="Positive 2 2 2 7 3 13 2" xfId="15740" xr:uid="{00000000-0005-0000-0000-0000893D0000}"/>
    <cellStyle name="Positive 2 2 2 7 3 14" xfId="15741" xr:uid="{00000000-0005-0000-0000-00008A3D0000}"/>
    <cellStyle name="Positive 2 2 2 7 3 14 2" xfId="15742" xr:uid="{00000000-0005-0000-0000-00008B3D0000}"/>
    <cellStyle name="Positive 2 2 2 7 3 15" xfId="15743" xr:uid="{00000000-0005-0000-0000-00008C3D0000}"/>
    <cellStyle name="Positive 2 2 2 7 3 15 2" xfId="15744" xr:uid="{00000000-0005-0000-0000-00008D3D0000}"/>
    <cellStyle name="Positive 2 2 2 7 3 16" xfId="15745" xr:uid="{00000000-0005-0000-0000-00008E3D0000}"/>
    <cellStyle name="Positive 2 2 2 7 3 16 2" xfId="15746" xr:uid="{00000000-0005-0000-0000-00008F3D0000}"/>
    <cellStyle name="Positive 2 2 2 7 3 17" xfId="15747" xr:uid="{00000000-0005-0000-0000-0000903D0000}"/>
    <cellStyle name="Positive 2 2 2 7 3 17 2" xfId="15748" xr:uid="{00000000-0005-0000-0000-0000913D0000}"/>
    <cellStyle name="Positive 2 2 2 7 3 18" xfId="15749" xr:uid="{00000000-0005-0000-0000-0000923D0000}"/>
    <cellStyle name="Positive 2 2 2 7 3 18 2" xfId="15750" xr:uid="{00000000-0005-0000-0000-0000933D0000}"/>
    <cellStyle name="Positive 2 2 2 7 3 19" xfId="15751" xr:uid="{00000000-0005-0000-0000-0000943D0000}"/>
    <cellStyle name="Positive 2 2 2 7 3 19 2" xfId="15752" xr:uid="{00000000-0005-0000-0000-0000953D0000}"/>
    <cellStyle name="Positive 2 2 2 7 3 2" xfId="15753" xr:uid="{00000000-0005-0000-0000-0000963D0000}"/>
    <cellStyle name="Positive 2 2 2 7 3 2 10" xfId="15754" xr:uid="{00000000-0005-0000-0000-0000973D0000}"/>
    <cellStyle name="Positive 2 2 2 7 3 2 10 2" xfId="15755" xr:uid="{00000000-0005-0000-0000-0000983D0000}"/>
    <cellStyle name="Positive 2 2 2 7 3 2 11" xfId="15756" xr:uid="{00000000-0005-0000-0000-0000993D0000}"/>
    <cellStyle name="Positive 2 2 2 7 3 2 11 2" xfId="15757" xr:uid="{00000000-0005-0000-0000-00009A3D0000}"/>
    <cellStyle name="Positive 2 2 2 7 3 2 12" xfId="15758" xr:uid="{00000000-0005-0000-0000-00009B3D0000}"/>
    <cellStyle name="Positive 2 2 2 7 3 2 12 2" xfId="15759" xr:uid="{00000000-0005-0000-0000-00009C3D0000}"/>
    <cellStyle name="Positive 2 2 2 7 3 2 13" xfId="15760" xr:uid="{00000000-0005-0000-0000-00009D3D0000}"/>
    <cellStyle name="Positive 2 2 2 7 3 2 13 2" xfId="15761" xr:uid="{00000000-0005-0000-0000-00009E3D0000}"/>
    <cellStyle name="Positive 2 2 2 7 3 2 14" xfId="15762" xr:uid="{00000000-0005-0000-0000-00009F3D0000}"/>
    <cellStyle name="Positive 2 2 2 7 3 2 14 2" xfId="15763" xr:uid="{00000000-0005-0000-0000-0000A03D0000}"/>
    <cellStyle name="Positive 2 2 2 7 3 2 15" xfId="15764" xr:uid="{00000000-0005-0000-0000-0000A13D0000}"/>
    <cellStyle name="Positive 2 2 2 7 3 2 15 2" xfId="15765" xr:uid="{00000000-0005-0000-0000-0000A23D0000}"/>
    <cellStyle name="Positive 2 2 2 7 3 2 16" xfId="15766" xr:uid="{00000000-0005-0000-0000-0000A33D0000}"/>
    <cellStyle name="Positive 2 2 2 7 3 2 16 2" xfId="15767" xr:uid="{00000000-0005-0000-0000-0000A43D0000}"/>
    <cellStyle name="Positive 2 2 2 7 3 2 17" xfId="15768" xr:uid="{00000000-0005-0000-0000-0000A53D0000}"/>
    <cellStyle name="Positive 2 2 2 7 3 2 2" xfId="15769" xr:uid="{00000000-0005-0000-0000-0000A63D0000}"/>
    <cellStyle name="Positive 2 2 2 7 3 2 2 2" xfId="15770" xr:uid="{00000000-0005-0000-0000-0000A73D0000}"/>
    <cellStyle name="Positive 2 2 2 7 3 2 3" xfId="15771" xr:uid="{00000000-0005-0000-0000-0000A83D0000}"/>
    <cellStyle name="Positive 2 2 2 7 3 2 3 2" xfId="15772" xr:uid="{00000000-0005-0000-0000-0000A93D0000}"/>
    <cellStyle name="Positive 2 2 2 7 3 2 4" xfId="15773" xr:uid="{00000000-0005-0000-0000-0000AA3D0000}"/>
    <cellStyle name="Positive 2 2 2 7 3 2 4 2" xfId="15774" xr:uid="{00000000-0005-0000-0000-0000AB3D0000}"/>
    <cellStyle name="Positive 2 2 2 7 3 2 5" xfId="15775" xr:uid="{00000000-0005-0000-0000-0000AC3D0000}"/>
    <cellStyle name="Positive 2 2 2 7 3 2 5 2" xfId="15776" xr:uid="{00000000-0005-0000-0000-0000AD3D0000}"/>
    <cellStyle name="Positive 2 2 2 7 3 2 6" xfId="15777" xr:uid="{00000000-0005-0000-0000-0000AE3D0000}"/>
    <cellStyle name="Positive 2 2 2 7 3 2 6 2" xfId="15778" xr:uid="{00000000-0005-0000-0000-0000AF3D0000}"/>
    <cellStyle name="Positive 2 2 2 7 3 2 7" xfId="15779" xr:uid="{00000000-0005-0000-0000-0000B03D0000}"/>
    <cellStyle name="Positive 2 2 2 7 3 2 7 2" xfId="15780" xr:uid="{00000000-0005-0000-0000-0000B13D0000}"/>
    <cellStyle name="Positive 2 2 2 7 3 2 8" xfId="15781" xr:uid="{00000000-0005-0000-0000-0000B23D0000}"/>
    <cellStyle name="Positive 2 2 2 7 3 2 8 2" xfId="15782" xr:uid="{00000000-0005-0000-0000-0000B33D0000}"/>
    <cellStyle name="Positive 2 2 2 7 3 2 9" xfId="15783" xr:uid="{00000000-0005-0000-0000-0000B43D0000}"/>
    <cellStyle name="Positive 2 2 2 7 3 2 9 2" xfId="15784" xr:uid="{00000000-0005-0000-0000-0000B53D0000}"/>
    <cellStyle name="Positive 2 2 2 7 3 20" xfId="15785" xr:uid="{00000000-0005-0000-0000-0000B63D0000}"/>
    <cellStyle name="Positive 2 2 2 7 3 3" xfId="15786" xr:uid="{00000000-0005-0000-0000-0000B73D0000}"/>
    <cellStyle name="Positive 2 2 2 7 3 3 2" xfId="15787" xr:uid="{00000000-0005-0000-0000-0000B83D0000}"/>
    <cellStyle name="Positive 2 2 2 7 3 3 2 2" xfId="15788" xr:uid="{00000000-0005-0000-0000-0000B93D0000}"/>
    <cellStyle name="Positive 2 2 2 7 3 3 3" xfId="15789" xr:uid="{00000000-0005-0000-0000-0000BA3D0000}"/>
    <cellStyle name="Positive 2 2 2 7 3 4" xfId="15790" xr:uid="{00000000-0005-0000-0000-0000BB3D0000}"/>
    <cellStyle name="Positive 2 2 2 7 3 4 2" xfId="15791" xr:uid="{00000000-0005-0000-0000-0000BC3D0000}"/>
    <cellStyle name="Positive 2 2 2 7 3 4 2 2" xfId="15792" xr:uid="{00000000-0005-0000-0000-0000BD3D0000}"/>
    <cellStyle name="Positive 2 2 2 7 3 4 3" xfId="15793" xr:uid="{00000000-0005-0000-0000-0000BE3D0000}"/>
    <cellStyle name="Positive 2 2 2 7 3 5" xfId="15794" xr:uid="{00000000-0005-0000-0000-0000BF3D0000}"/>
    <cellStyle name="Positive 2 2 2 7 3 5 2" xfId="15795" xr:uid="{00000000-0005-0000-0000-0000C03D0000}"/>
    <cellStyle name="Positive 2 2 2 7 3 6" xfId="15796" xr:uid="{00000000-0005-0000-0000-0000C13D0000}"/>
    <cellStyle name="Positive 2 2 2 7 3 6 2" xfId="15797" xr:uid="{00000000-0005-0000-0000-0000C23D0000}"/>
    <cellStyle name="Positive 2 2 2 7 3 7" xfId="15798" xr:uid="{00000000-0005-0000-0000-0000C33D0000}"/>
    <cellStyle name="Positive 2 2 2 7 3 7 2" xfId="15799" xr:uid="{00000000-0005-0000-0000-0000C43D0000}"/>
    <cellStyle name="Positive 2 2 2 7 3 8" xfId="15800" xr:uid="{00000000-0005-0000-0000-0000C53D0000}"/>
    <cellStyle name="Positive 2 2 2 7 3 8 2" xfId="15801" xr:uid="{00000000-0005-0000-0000-0000C63D0000}"/>
    <cellStyle name="Positive 2 2 2 7 3 9" xfId="15802" xr:uid="{00000000-0005-0000-0000-0000C73D0000}"/>
    <cellStyle name="Positive 2 2 2 7 3 9 2" xfId="15803" xr:uid="{00000000-0005-0000-0000-0000C83D0000}"/>
    <cellStyle name="Positive 2 2 2 7 4" xfId="15804" xr:uid="{00000000-0005-0000-0000-0000C93D0000}"/>
    <cellStyle name="Positive 2 2 2 7 4 10" xfId="15805" xr:uid="{00000000-0005-0000-0000-0000CA3D0000}"/>
    <cellStyle name="Positive 2 2 2 7 4 10 2" xfId="15806" xr:uid="{00000000-0005-0000-0000-0000CB3D0000}"/>
    <cellStyle name="Positive 2 2 2 7 4 11" xfId="15807" xr:uid="{00000000-0005-0000-0000-0000CC3D0000}"/>
    <cellStyle name="Positive 2 2 2 7 4 11 2" xfId="15808" xr:uid="{00000000-0005-0000-0000-0000CD3D0000}"/>
    <cellStyle name="Positive 2 2 2 7 4 12" xfId="15809" xr:uid="{00000000-0005-0000-0000-0000CE3D0000}"/>
    <cellStyle name="Positive 2 2 2 7 4 12 2" xfId="15810" xr:uid="{00000000-0005-0000-0000-0000CF3D0000}"/>
    <cellStyle name="Positive 2 2 2 7 4 13" xfId="15811" xr:uid="{00000000-0005-0000-0000-0000D03D0000}"/>
    <cellStyle name="Positive 2 2 2 7 4 13 2" xfId="15812" xr:uid="{00000000-0005-0000-0000-0000D13D0000}"/>
    <cellStyle name="Positive 2 2 2 7 4 14" xfId="15813" xr:uid="{00000000-0005-0000-0000-0000D23D0000}"/>
    <cellStyle name="Positive 2 2 2 7 4 14 2" xfId="15814" xr:uid="{00000000-0005-0000-0000-0000D33D0000}"/>
    <cellStyle name="Positive 2 2 2 7 4 15" xfId="15815" xr:uid="{00000000-0005-0000-0000-0000D43D0000}"/>
    <cellStyle name="Positive 2 2 2 7 4 15 2" xfId="15816" xr:uid="{00000000-0005-0000-0000-0000D53D0000}"/>
    <cellStyle name="Positive 2 2 2 7 4 16" xfId="15817" xr:uid="{00000000-0005-0000-0000-0000D63D0000}"/>
    <cellStyle name="Positive 2 2 2 7 4 16 2" xfId="15818" xr:uid="{00000000-0005-0000-0000-0000D73D0000}"/>
    <cellStyle name="Positive 2 2 2 7 4 17" xfId="15819" xr:uid="{00000000-0005-0000-0000-0000D83D0000}"/>
    <cellStyle name="Positive 2 2 2 7 4 17 2" xfId="15820" xr:uid="{00000000-0005-0000-0000-0000D93D0000}"/>
    <cellStyle name="Positive 2 2 2 7 4 18" xfId="15821" xr:uid="{00000000-0005-0000-0000-0000DA3D0000}"/>
    <cellStyle name="Positive 2 2 2 7 4 18 2" xfId="15822" xr:uid="{00000000-0005-0000-0000-0000DB3D0000}"/>
    <cellStyle name="Positive 2 2 2 7 4 19" xfId="15823" xr:uid="{00000000-0005-0000-0000-0000DC3D0000}"/>
    <cellStyle name="Positive 2 2 2 7 4 19 2" xfId="15824" xr:uid="{00000000-0005-0000-0000-0000DD3D0000}"/>
    <cellStyle name="Positive 2 2 2 7 4 2" xfId="15825" xr:uid="{00000000-0005-0000-0000-0000DE3D0000}"/>
    <cellStyle name="Positive 2 2 2 7 4 2 10" xfId="15826" xr:uid="{00000000-0005-0000-0000-0000DF3D0000}"/>
    <cellStyle name="Positive 2 2 2 7 4 2 10 2" xfId="15827" xr:uid="{00000000-0005-0000-0000-0000E03D0000}"/>
    <cellStyle name="Positive 2 2 2 7 4 2 11" xfId="15828" xr:uid="{00000000-0005-0000-0000-0000E13D0000}"/>
    <cellStyle name="Positive 2 2 2 7 4 2 11 2" xfId="15829" xr:uid="{00000000-0005-0000-0000-0000E23D0000}"/>
    <cellStyle name="Positive 2 2 2 7 4 2 12" xfId="15830" xr:uid="{00000000-0005-0000-0000-0000E33D0000}"/>
    <cellStyle name="Positive 2 2 2 7 4 2 12 2" xfId="15831" xr:uid="{00000000-0005-0000-0000-0000E43D0000}"/>
    <cellStyle name="Positive 2 2 2 7 4 2 13" xfId="15832" xr:uid="{00000000-0005-0000-0000-0000E53D0000}"/>
    <cellStyle name="Positive 2 2 2 7 4 2 13 2" xfId="15833" xr:uid="{00000000-0005-0000-0000-0000E63D0000}"/>
    <cellStyle name="Positive 2 2 2 7 4 2 14" xfId="15834" xr:uid="{00000000-0005-0000-0000-0000E73D0000}"/>
    <cellStyle name="Positive 2 2 2 7 4 2 14 2" xfId="15835" xr:uid="{00000000-0005-0000-0000-0000E83D0000}"/>
    <cellStyle name="Positive 2 2 2 7 4 2 15" xfId="15836" xr:uid="{00000000-0005-0000-0000-0000E93D0000}"/>
    <cellStyle name="Positive 2 2 2 7 4 2 15 2" xfId="15837" xr:uid="{00000000-0005-0000-0000-0000EA3D0000}"/>
    <cellStyle name="Positive 2 2 2 7 4 2 16" xfId="15838" xr:uid="{00000000-0005-0000-0000-0000EB3D0000}"/>
    <cellStyle name="Positive 2 2 2 7 4 2 16 2" xfId="15839" xr:uid="{00000000-0005-0000-0000-0000EC3D0000}"/>
    <cellStyle name="Positive 2 2 2 7 4 2 17" xfId="15840" xr:uid="{00000000-0005-0000-0000-0000ED3D0000}"/>
    <cellStyle name="Positive 2 2 2 7 4 2 2" xfId="15841" xr:uid="{00000000-0005-0000-0000-0000EE3D0000}"/>
    <cellStyle name="Positive 2 2 2 7 4 2 2 2" xfId="15842" xr:uid="{00000000-0005-0000-0000-0000EF3D0000}"/>
    <cellStyle name="Positive 2 2 2 7 4 2 3" xfId="15843" xr:uid="{00000000-0005-0000-0000-0000F03D0000}"/>
    <cellStyle name="Positive 2 2 2 7 4 2 3 2" xfId="15844" xr:uid="{00000000-0005-0000-0000-0000F13D0000}"/>
    <cellStyle name="Positive 2 2 2 7 4 2 4" xfId="15845" xr:uid="{00000000-0005-0000-0000-0000F23D0000}"/>
    <cellStyle name="Positive 2 2 2 7 4 2 4 2" xfId="15846" xr:uid="{00000000-0005-0000-0000-0000F33D0000}"/>
    <cellStyle name="Positive 2 2 2 7 4 2 5" xfId="15847" xr:uid="{00000000-0005-0000-0000-0000F43D0000}"/>
    <cellStyle name="Positive 2 2 2 7 4 2 5 2" xfId="15848" xr:uid="{00000000-0005-0000-0000-0000F53D0000}"/>
    <cellStyle name="Positive 2 2 2 7 4 2 6" xfId="15849" xr:uid="{00000000-0005-0000-0000-0000F63D0000}"/>
    <cellStyle name="Positive 2 2 2 7 4 2 6 2" xfId="15850" xr:uid="{00000000-0005-0000-0000-0000F73D0000}"/>
    <cellStyle name="Positive 2 2 2 7 4 2 7" xfId="15851" xr:uid="{00000000-0005-0000-0000-0000F83D0000}"/>
    <cellStyle name="Positive 2 2 2 7 4 2 7 2" xfId="15852" xr:uid="{00000000-0005-0000-0000-0000F93D0000}"/>
    <cellStyle name="Positive 2 2 2 7 4 2 8" xfId="15853" xr:uid="{00000000-0005-0000-0000-0000FA3D0000}"/>
    <cellStyle name="Positive 2 2 2 7 4 2 8 2" xfId="15854" xr:uid="{00000000-0005-0000-0000-0000FB3D0000}"/>
    <cellStyle name="Positive 2 2 2 7 4 2 9" xfId="15855" xr:uid="{00000000-0005-0000-0000-0000FC3D0000}"/>
    <cellStyle name="Positive 2 2 2 7 4 2 9 2" xfId="15856" xr:uid="{00000000-0005-0000-0000-0000FD3D0000}"/>
    <cellStyle name="Positive 2 2 2 7 4 20" xfId="15857" xr:uid="{00000000-0005-0000-0000-0000FE3D0000}"/>
    <cellStyle name="Positive 2 2 2 7 4 3" xfId="15858" xr:uid="{00000000-0005-0000-0000-0000FF3D0000}"/>
    <cellStyle name="Positive 2 2 2 7 4 3 2" xfId="15859" xr:uid="{00000000-0005-0000-0000-0000003E0000}"/>
    <cellStyle name="Positive 2 2 2 7 4 3 2 2" xfId="15860" xr:uid="{00000000-0005-0000-0000-0000013E0000}"/>
    <cellStyle name="Positive 2 2 2 7 4 3 3" xfId="15861" xr:uid="{00000000-0005-0000-0000-0000023E0000}"/>
    <cellStyle name="Positive 2 2 2 7 4 4" xfId="15862" xr:uid="{00000000-0005-0000-0000-0000033E0000}"/>
    <cellStyle name="Positive 2 2 2 7 4 4 2" xfId="15863" xr:uid="{00000000-0005-0000-0000-0000043E0000}"/>
    <cellStyle name="Positive 2 2 2 7 4 4 2 2" xfId="15864" xr:uid="{00000000-0005-0000-0000-0000053E0000}"/>
    <cellStyle name="Positive 2 2 2 7 4 4 3" xfId="15865" xr:uid="{00000000-0005-0000-0000-0000063E0000}"/>
    <cellStyle name="Positive 2 2 2 7 4 5" xfId="15866" xr:uid="{00000000-0005-0000-0000-0000073E0000}"/>
    <cellStyle name="Positive 2 2 2 7 4 5 2" xfId="15867" xr:uid="{00000000-0005-0000-0000-0000083E0000}"/>
    <cellStyle name="Positive 2 2 2 7 4 6" xfId="15868" xr:uid="{00000000-0005-0000-0000-0000093E0000}"/>
    <cellStyle name="Positive 2 2 2 7 4 6 2" xfId="15869" xr:uid="{00000000-0005-0000-0000-00000A3E0000}"/>
    <cellStyle name="Positive 2 2 2 7 4 7" xfId="15870" xr:uid="{00000000-0005-0000-0000-00000B3E0000}"/>
    <cellStyle name="Positive 2 2 2 7 4 7 2" xfId="15871" xr:uid="{00000000-0005-0000-0000-00000C3E0000}"/>
    <cellStyle name="Positive 2 2 2 7 4 8" xfId="15872" xr:uid="{00000000-0005-0000-0000-00000D3E0000}"/>
    <cellStyle name="Positive 2 2 2 7 4 8 2" xfId="15873" xr:uid="{00000000-0005-0000-0000-00000E3E0000}"/>
    <cellStyle name="Positive 2 2 2 7 4 9" xfId="15874" xr:uid="{00000000-0005-0000-0000-00000F3E0000}"/>
    <cellStyle name="Positive 2 2 2 7 4 9 2" xfId="15875" xr:uid="{00000000-0005-0000-0000-0000103E0000}"/>
    <cellStyle name="Positive 2 2 2 7 5" xfId="15876" xr:uid="{00000000-0005-0000-0000-0000113E0000}"/>
    <cellStyle name="Positive 2 2 2 7 5 10" xfId="15877" xr:uid="{00000000-0005-0000-0000-0000123E0000}"/>
    <cellStyle name="Positive 2 2 2 7 5 10 2" xfId="15878" xr:uid="{00000000-0005-0000-0000-0000133E0000}"/>
    <cellStyle name="Positive 2 2 2 7 5 11" xfId="15879" xr:uid="{00000000-0005-0000-0000-0000143E0000}"/>
    <cellStyle name="Positive 2 2 2 7 5 11 2" xfId="15880" xr:uid="{00000000-0005-0000-0000-0000153E0000}"/>
    <cellStyle name="Positive 2 2 2 7 5 12" xfId="15881" xr:uid="{00000000-0005-0000-0000-0000163E0000}"/>
    <cellStyle name="Positive 2 2 2 7 5 12 2" xfId="15882" xr:uid="{00000000-0005-0000-0000-0000173E0000}"/>
    <cellStyle name="Positive 2 2 2 7 5 13" xfId="15883" xr:uid="{00000000-0005-0000-0000-0000183E0000}"/>
    <cellStyle name="Positive 2 2 2 7 5 13 2" xfId="15884" xr:uid="{00000000-0005-0000-0000-0000193E0000}"/>
    <cellStyle name="Positive 2 2 2 7 5 14" xfId="15885" xr:uid="{00000000-0005-0000-0000-00001A3E0000}"/>
    <cellStyle name="Positive 2 2 2 7 5 14 2" xfId="15886" xr:uid="{00000000-0005-0000-0000-00001B3E0000}"/>
    <cellStyle name="Positive 2 2 2 7 5 15" xfId="15887" xr:uid="{00000000-0005-0000-0000-00001C3E0000}"/>
    <cellStyle name="Positive 2 2 2 7 5 15 2" xfId="15888" xr:uid="{00000000-0005-0000-0000-00001D3E0000}"/>
    <cellStyle name="Positive 2 2 2 7 5 16" xfId="15889" xr:uid="{00000000-0005-0000-0000-00001E3E0000}"/>
    <cellStyle name="Positive 2 2 2 7 5 16 2" xfId="15890" xr:uid="{00000000-0005-0000-0000-00001F3E0000}"/>
    <cellStyle name="Positive 2 2 2 7 5 17" xfId="15891" xr:uid="{00000000-0005-0000-0000-0000203E0000}"/>
    <cellStyle name="Positive 2 2 2 7 5 2" xfId="15892" xr:uid="{00000000-0005-0000-0000-0000213E0000}"/>
    <cellStyle name="Positive 2 2 2 7 5 2 2" xfId="15893" xr:uid="{00000000-0005-0000-0000-0000223E0000}"/>
    <cellStyle name="Positive 2 2 2 7 5 3" xfId="15894" xr:uid="{00000000-0005-0000-0000-0000233E0000}"/>
    <cellStyle name="Positive 2 2 2 7 5 3 2" xfId="15895" xr:uid="{00000000-0005-0000-0000-0000243E0000}"/>
    <cellStyle name="Positive 2 2 2 7 5 4" xfId="15896" xr:uid="{00000000-0005-0000-0000-0000253E0000}"/>
    <cellStyle name="Positive 2 2 2 7 5 4 2" xfId="15897" xr:uid="{00000000-0005-0000-0000-0000263E0000}"/>
    <cellStyle name="Positive 2 2 2 7 5 5" xfId="15898" xr:uid="{00000000-0005-0000-0000-0000273E0000}"/>
    <cellStyle name="Positive 2 2 2 7 5 5 2" xfId="15899" xr:uid="{00000000-0005-0000-0000-0000283E0000}"/>
    <cellStyle name="Positive 2 2 2 7 5 6" xfId="15900" xr:uid="{00000000-0005-0000-0000-0000293E0000}"/>
    <cellStyle name="Positive 2 2 2 7 5 6 2" xfId="15901" xr:uid="{00000000-0005-0000-0000-00002A3E0000}"/>
    <cellStyle name="Positive 2 2 2 7 5 7" xfId="15902" xr:uid="{00000000-0005-0000-0000-00002B3E0000}"/>
    <cellStyle name="Positive 2 2 2 7 5 7 2" xfId="15903" xr:uid="{00000000-0005-0000-0000-00002C3E0000}"/>
    <cellStyle name="Positive 2 2 2 7 5 8" xfId="15904" xr:uid="{00000000-0005-0000-0000-00002D3E0000}"/>
    <cellStyle name="Positive 2 2 2 7 5 8 2" xfId="15905" xr:uid="{00000000-0005-0000-0000-00002E3E0000}"/>
    <cellStyle name="Positive 2 2 2 7 5 9" xfId="15906" xr:uid="{00000000-0005-0000-0000-00002F3E0000}"/>
    <cellStyle name="Positive 2 2 2 7 5 9 2" xfId="15907" xr:uid="{00000000-0005-0000-0000-0000303E0000}"/>
    <cellStyle name="Positive 2 2 2 7 6" xfId="15908" xr:uid="{00000000-0005-0000-0000-0000313E0000}"/>
    <cellStyle name="Positive 2 2 2 7 6 2" xfId="15909" xr:uid="{00000000-0005-0000-0000-0000323E0000}"/>
    <cellStyle name="Positive 2 2 2 7 6 2 2" xfId="15910" xr:uid="{00000000-0005-0000-0000-0000333E0000}"/>
    <cellStyle name="Positive 2 2 2 7 6 3" xfId="15911" xr:uid="{00000000-0005-0000-0000-0000343E0000}"/>
    <cellStyle name="Positive 2 2 2 7 7" xfId="15912" xr:uid="{00000000-0005-0000-0000-0000353E0000}"/>
    <cellStyle name="Positive 2 2 2 7 7 2" xfId="15913" xr:uid="{00000000-0005-0000-0000-0000363E0000}"/>
    <cellStyle name="Positive 2 2 2 7 7 2 2" xfId="15914" xr:uid="{00000000-0005-0000-0000-0000373E0000}"/>
    <cellStyle name="Positive 2 2 2 7 7 3" xfId="15915" xr:uid="{00000000-0005-0000-0000-0000383E0000}"/>
    <cellStyle name="Positive 2 2 2 7 8" xfId="15916" xr:uid="{00000000-0005-0000-0000-0000393E0000}"/>
    <cellStyle name="Positive 2 2 2 7 8 2" xfId="15917" xr:uid="{00000000-0005-0000-0000-00003A3E0000}"/>
    <cellStyle name="Positive 2 2 2 7 9" xfId="15918" xr:uid="{00000000-0005-0000-0000-00003B3E0000}"/>
    <cellStyle name="Positive 2 2 2 7 9 2" xfId="15919" xr:uid="{00000000-0005-0000-0000-00003C3E0000}"/>
    <cellStyle name="Positive 2 2 2 8" xfId="15920" xr:uid="{00000000-0005-0000-0000-00003D3E0000}"/>
    <cellStyle name="Positive 2 2 2 8 10" xfId="15921" xr:uid="{00000000-0005-0000-0000-00003E3E0000}"/>
    <cellStyle name="Positive 2 2 2 8 10 2" xfId="15922" xr:uid="{00000000-0005-0000-0000-00003F3E0000}"/>
    <cellStyle name="Positive 2 2 2 8 11" xfId="15923" xr:uid="{00000000-0005-0000-0000-0000403E0000}"/>
    <cellStyle name="Positive 2 2 2 8 11 2" xfId="15924" xr:uid="{00000000-0005-0000-0000-0000413E0000}"/>
    <cellStyle name="Positive 2 2 2 8 12" xfId="15925" xr:uid="{00000000-0005-0000-0000-0000423E0000}"/>
    <cellStyle name="Positive 2 2 2 8 12 2" xfId="15926" xr:uid="{00000000-0005-0000-0000-0000433E0000}"/>
    <cellStyle name="Positive 2 2 2 8 13" xfId="15927" xr:uid="{00000000-0005-0000-0000-0000443E0000}"/>
    <cellStyle name="Positive 2 2 2 8 13 2" xfId="15928" xr:uid="{00000000-0005-0000-0000-0000453E0000}"/>
    <cellStyle name="Positive 2 2 2 8 14" xfId="15929" xr:uid="{00000000-0005-0000-0000-0000463E0000}"/>
    <cellStyle name="Positive 2 2 2 8 14 2" xfId="15930" xr:uid="{00000000-0005-0000-0000-0000473E0000}"/>
    <cellStyle name="Positive 2 2 2 8 15" xfId="15931" xr:uid="{00000000-0005-0000-0000-0000483E0000}"/>
    <cellStyle name="Positive 2 2 2 8 15 2" xfId="15932" xr:uid="{00000000-0005-0000-0000-0000493E0000}"/>
    <cellStyle name="Positive 2 2 2 8 16" xfId="15933" xr:uid="{00000000-0005-0000-0000-00004A3E0000}"/>
    <cellStyle name="Positive 2 2 2 8 16 2" xfId="15934" xr:uid="{00000000-0005-0000-0000-00004B3E0000}"/>
    <cellStyle name="Positive 2 2 2 8 17" xfId="15935" xr:uid="{00000000-0005-0000-0000-00004C3E0000}"/>
    <cellStyle name="Positive 2 2 2 8 17 2" xfId="15936" xr:uid="{00000000-0005-0000-0000-00004D3E0000}"/>
    <cellStyle name="Positive 2 2 2 8 18" xfId="15937" xr:uid="{00000000-0005-0000-0000-00004E3E0000}"/>
    <cellStyle name="Positive 2 2 2 8 18 2" xfId="15938" xr:uid="{00000000-0005-0000-0000-00004F3E0000}"/>
    <cellStyle name="Positive 2 2 2 8 19" xfId="15939" xr:uid="{00000000-0005-0000-0000-0000503E0000}"/>
    <cellStyle name="Positive 2 2 2 8 19 2" xfId="15940" xr:uid="{00000000-0005-0000-0000-0000513E0000}"/>
    <cellStyle name="Positive 2 2 2 8 2" xfId="15941" xr:uid="{00000000-0005-0000-0000-0000523E0000}"/>
    <cellStyle name="Positive 2 2 2 8 2 10" xfId="15942" xr:uid="{00000000-0005-0000-0000-0000533E0000}"/>
    <cellStyle name="Positive 2 2 2 8 2 10 2" xfId="15943" xr:uid="{00000000-0005-0000-0000-0000543E0000}"/>
    <cellStyle name="Positive 2 2 2 8 2 11" xfId="15944" xr:uid="{00000000-0005-0000-0000-0000553E0000}"/>
    <cellStyle name="Positive 2 2 2 8 2 11 2" xfId="15945" xr:uid="{00000000-0005-0000-0000-0000563E0000}"/>
    <cellStyle name="Positive 2 2 2 8 2 12" xfId="15946" xr:uid="{00000000-0005-0000-0000-0000573E0000}"/>
    <cellStyle name="Positive 2 2 2 8 2 12 2" xfId="15947" xr:uid="{00000000-0005-0000-0000-0000583E0000}"/>
    <cellStyle name="Positive 2 2 2 8 2 13" xfId="15948" xr:uid="{00000000-0005-0000-0000-0000593E0000}"/>
    <cellStyle name="Positive 2 2 2 8 2 13 2" xfId="15949" xr:uid="{00000000-0005-0000-0000-00005A3E0000}"/>
    <cellStyle name="Positive 2 2 2 8 2 14" xfId="15950" xr:uid="{00000000-0005-0000-0000-00005B3E0000}"/>
    <cellStyle name="Positive 2 2 2 8 2 14 2" xfId="15951" xr:uid="{00000000-0005-0000-0000-00005C3E0000}"/>
    <cellStyle name="Positive 2 2 2 8 2 15" xfId="15952" xr:uid="{00000000-0005-0000-0000-00005D3E0000}"/>
    <cellStyle name="Positive 2 2 2 8 2 15 2" xfId="15953" xr:uid="{00000000-0005-0000-0000-00005E3E0000}"/>
    <cellStyle name="Positive 2 2 2 8 2 16" xfId="15954" xr:uid="{00000000-0005-0000-0000-00005F3E0000}"/>
    <cellStyle name="Positive 2 2 2 8 2 16 2" xfId="15955" xr:uid="{00000000-0005-0000-0000-0000603E0000}"/>
    <cellStyle name="Positive 2 2 2 8 2 17" xfId="15956" xr:uid="{00000000-0005-0000-0000-0000613E0000}"/>
    <cellStyle name="Positive 2 2 2 8 2 17 2" xfId="15957" xr:uid="{00000000-0005-0000-0000-0000623E0000}"/>
    <cellStyle name="Positive 2 2 2 8 2 18" xfId="15958" xr:uid="{00000000-0005-0000-0000-0000633E0000}"/>
    <cellStyle name="Positive 2 2 2 8 2 18 2" xfId="15959" xr:uid="{00000000-0005-0000-0000-0000643E0000}"/>
    <cellStyle name="Positive 2 2 2 8 2 19" xfId="15960" xr:uid="{00000000-0005-0000-0000-0000653E0000}"/>
    <cellStyle name="Positive 2 2 2 8 2 19 2" xfId="15961" xr:uid="{00000000-0005-0000-0000-0000663E0000}"/>
    <cellStyle name="Positive 2 2 2 8 2 2" xfId="15962" xr:uid="{00000000-0005-0000-0000-0000673E0000}"/>
    <cellStyle name="Positive 2 2 2 8 2 2 10" xfId="15963" xr:uid="{00000000-0005-0000-0000-0000683E0000}"/>
    <cellStyle name="Positive 2 2 2 8 2 2 10 2" xfId="15964" xr:uid="{00000000-0005-0000-0000-0000693E0000}"/>
    <cellStyle name="Positive 2 2 2 8 2 2 11" xfId="15965" xr:uid="{00000000-0005-0000-0000-00006A3E0000}"/>
    <cellStyle name="Positive 2 2 2 8 2 2 11 2" xfId="15966" xr:uid="{00000000-0005-0000-0000-00006B3E0000}"/>
    <cellStyle name="Positive 2 2 2 8 2 2 12" xfId="15967" xr:uid="{00000000-0005-0000-0000-00006C3E0000}"/>
    <cellStyle name="Positive 2 2 2 8 2 2 12 2" xfId="15968" xr:uid="{00000000-0005-0000-0000-00006D3E0000}"/>
    <cellStyle name="Positive 2 2 2 8 2 2 13" xfId="15969" xr:uid="{00000000-0005-0000-0000-00006E3E0000}"/>
    <cellStyle name="Positive 2 2 2 8 2 2 13 2" xfId="15970" xr:uid="{00000000-0005-0000-0000-00006F3E0000}"/>
    <cellStyle name="Positive 2 2 2 8 2 2 14" xfId="15971" xr:uid="{00000000-0005-0000-0000-0000703E0000}"/>
    <cellStyle name="Positive 2 2 2 8 2 2 14 2" xfId="15972" xr:uid="{00000000-0005-0000-0000-0000713E0000}"/>
    <cellStyle name="Positive 2 2 2 8 2 2 15" xfId="15973" xr:uid="{00000000-0005-0000-0000-0000723E0000}"/>
    <cellStyle name="Positive 2 2 2 8 2 2 15 2" xfId="15974" xr:uid="{00000000-0005-0000-0000-0000733E0000}"/>
    <cellStyle name="Positive 2 2 2 8 2 2 16" xfId="15975" xr:uid="{00000000-0005-0000-0000-0000743E0000}"/>
    <cellStyle name="Positive 2 2 2 8 2 2 16 2" xfId="15976" xr:uid="{00000000-0005-0000-0000-0000753E0000}"/>
    <cellStyle name="Positive 2 2 2 8 2 2 17" xfId="15977" xr:uid="{00000000-0005-0000-0000-0000763E0000}"/>
    <cellStyle name="Positive 2 2 2 8 2 2 2" xfId="15978" xr:uid="{00000000-0005-0000-0000-0000773E0000}"/>
    <cellStyle name="Positive 2 2 2 8 2 2 2 2" xfId="15979" xr:uid="{00000000-0005-0000-0000-0000783E0000}"/>
    <cellStyle name="Positive 2 2 2 8 2 2 3" xfId="15980" xr:uid="{00000000-0005-0000-0000-0000793E0000}"/>
    <cellStyle name="Positive 2 2 2 8 2 2 3 2" xfId="15981" xr:uid="{00000000-0005-0000-0000-00007A3E0000}"/>
    <cellStyle name="Positive 2 2 2 8 2 2 4" xfId="15982" xr:uid="{00000000-0005-0000-0000-00007B3E0000}"/>
    <cellStyle name="Positive 2 2 2 8 2 2 4 2" xfId="15983" xr:uid="{00000000-0005-0000-0000-00007C3E0000}"/>
    <cellStyle name="Positive 2 2 2 8 2 2 5" xfId="15984" xr:uid="{00000000-0005-0000-0000-00007D3E0000}"/>
    <cellStyle name="Positive 2 2 2 8 2 2 5 2" xfId="15985" xr:uid="{00000000-0005-0000-0000-00007E3E0000}"/>
    <cellStyle name="Positive 2 2 2 8 2 2 6" xfId="15986" xr:uid="{00000000-0005-0000-0000-00007F3E0000}"/>
    <cellStyle name="Positive 2 2 2 8 2 2 6 2" xfId="15987" xr:uid="{00000000-0005-0000-0000-0000803E0000}"/>
    <cellStyle name="Positive 2 2 2 8 2 2 7" xfId="15988" xr:uid="{00000000-0005-0000-0000-0000813E0000}"/>
    <cellStyle name="Positive 2 2 2 8 2 2 7 2" xfId="15989" xr:uid="{00000000-0005-0000-0000-0000823E0000}"/>
    <cellStyle name="Positive 2 2 2 8 2 2 8" xfId="15990" xr:uid="{00000000-0005-0000-0000-0000833E0000}"/>
    <cellStyle name="Positive 2 2 2 8 2 2 8 2" xfId="15991" xr:uid="{00000000-0005-0000-0000-0000843E0000}"/>
    <cellStyle name="Positive 2 2 2 8 2 2 9" xfId="15992" xr:uid="{00000000-0005-0000-0000-0000853E0000}"/>
    <cellStyle name="Positive 2 2 2 8 2 2 9 2" xfId="15993" xr:uid="{00000000-0005-0000-0000-0000863E0000}"/>
    <cellStyle name="Positive 2 2 2 8 2 20" xfId="15994" xr:uid="{00000000-0005-0000-0000-0000873E0000}"/>
    <cellStyle name="Positive 2 2 2 8 2 3" xfId="15995" xr:uid="{00000000-0005-0000-0000-0000883E0000}"/>
    <cellStyle name="Positive 2 2 2 8 2 3 2" xfId="15996" xr:uid="{00000000-0005-0000-0000-0000893E0000}"/>
    <cellStyle name="Positive 2 2 2 8 2 3 2 2" xfId="15997" xr:uid="{00000000-0005-0000-0000-00008A3E0000}"/>
    <cellStyle name="Positive 2 2 2 8 2 3 3" xfId="15998" xr:uid="{00000000-0005-0000-0000-00008B3E0000}"/>
    <cellStyle name="Positive 2 2 2 8 2 4" xfId="15999" xr:uid="{00000000-0005-0000-0000-00008C3E0000}"/>
    <cellStyle name="Positive 2 2 2 8 2 4 2" xfId="16000" xr:uid="{00000000-0005-0000-0000-00008D3E0000}"/>
    <cellStyle name="Positive 2 2 2 8 2 4 2 2" xfId="16001" xr:uid="{00000000-0005-0000-0000-00008E3E0000}"/>
    <cellStyle name="Positive 2 2 2 8 2 4 3" xfId="16002" xr:uid="{00000000-0005-0000-0000-00008F3E0000}"/>
    <cellStyle name="Positive 2 2 2 8 2 5" xfId="16003" xr:uid="{00000000-0005-0000-0000-0000903E0000}"/>
    <cellStyle name="Positive 2 2 2 8 2 5 2" xfId="16004" xr:uid="{00000000-0005-0000-0000-0000913E0000}"/>
    <cellStyle name="Positive 2 2 2 8 2 6" xfId="16005" xr:uid="{00000000-0005-0000-0000-0000923E0000}"/>
    <cellStyle name="Positive 2 2 2 8 2 6 2" xfId="16006" xr:uid="{00000000-0005-0000-0000-0000933E0000}"/>
    <cellStyle name="Positive 2 2 2 8 2 7" xfId="16007" xr:uid="{00000000-0005-0000-0000-0000943E0000}"/>
    <cellStyle name="Positive 2 2 2 8 2 7 2" xfId="16008" xr:uid="{00000000-0005-0000-0000-0000953E0000}"/>
    <cellStyle name="Positive 2 2 2 8 2 8" xfId="16009" xr:uid="{00000000-0005-0000-0000-0000963E0000}"/>
    <cellStyle name="Positive 2 2 2 8 2 8 2" xfId="16010" xr:uid="{00000000-0005-0000-0000-0000973E0000}"/>
    <cellStyle name="Positive 2 2 2 8 2 9" xfId="16011" xr:uid="{00000000-0005-0000-0000-0000983E0000}"/>
    <cellStyle name="Positive 2 2 2 8 2 9 2" xfId="16012" xr:uid="{00000000-0005-0000-0000-0000993E0000}"/>
    <cellStyle name="Positive 2 2 2 8 20" xfId="16013" xr:uid="{00000000-0005-0000-0000-00009A3E0000}"/>
    <cellStyle name="Positive 2 2 2 8 20 2" xfId="16014" xr:uid="{00000000-0005-0000-0000-00009B3E0000}"/>
    <cellStyle name="Positive 2 2 2 8 21" xfId="16015" xr:uid="{00000000-0005-0000-0000-00009C3E0000}"/>
    <cellStyle name="Positive 2 2 2 8 21 2" xfId="16016" xr:uid="{00000000-0005-0000-0000-00009D3E0000}"/>
    <cellStyle name="Positive 2 2 2 8 22" xfId="16017" xr:uid="{00000000-0005-0000-0000-00009E3E0000}"/>
    <cellStyle name="Positive 2 2 2 8 22 2" xfId="16018" xr:uid="{00000000-0005-0000-0000-00009F3E0000}"/>
    <cellStyle name="Positive 2 2 2 8 23" xfId="16019" xr:uid="{00000000-0005-0000-0000-0000A03E0000}"/>
    <cellStyle name="Positive 2 2 2 8 3" xfId="16020" xr:uid="{00000000-0005-0000-0000-0000A13E0000}"/>
    <cellStyle name="Positive 2 2 2 8 3 10" xfId="16021" xr:uid="{00000000-0005-0000-0000-0000A23E0000}"/>
    <cellStyle name="Positive 2 2 2 8 3 10 2" xfId="16022" xr:uid="{00000000-0005-0000-0000-0000A33E0000}"/>
    <cellStyle name="Positive 2 2 2 8 3 11" xfId="16023" xr:uid="{00000000-0005-0000-0000-0000A43E0000}"/>
    <cellStyle name="Positive 2 2 2 8 3 11 2" xfId="16024" xr:uid="{00000000-0005-0000-0000-0000A53E0000}"/>
    <cellStyle name="Positive 2 2 2 8 3 12" xfId="16025" xr:uid="{00000000-0005-0000-0000-0000A63E0000}"/>
    <cellStyle name="Positive 2 2 2 8 3 12 2" xfId="16026" xr:uid="{00000000-0005-0000-0000-0000A73E0000}"/>
    <cellStyle name="Positive 2 2 2 8 3 13" xfId="16027" xr:uid="{00000000-0005-0000-0000-0000A83E0000}"/>
    <cellStyle name="Positive 2 2 2 8 3 13 2" xfId="16028" xr:uid="{00000000-0005-0000-0000-0000A93E0000}"/>
    <cellStyle name="Positive 2 2 2 8 3 14" xfId="16029" xr:uid="{00000000-0005-0000-0000-0000AA3E0000}"/>
    <cellStyle name="Positive 2 2 2 8 3 14 2" xfId="16030" xr:uid="{00000000-0005-0000-0000-0000AB3E0000}"/>
    <cellStyle name="Positive 2 2 2 8 3 15" xfId="16031" xr:uid="{00000000-0005-0000-0000-0000AC3E0000}"/>
    <cellStyle name="Positive 2 2 2 8 3 15 2" xfId="16032" xr:uid="{00000000-0005-0000-0000-0000AD3E0000}"/>
    <cellStyle name="Positive 2 2 2 8 3 16" xfId="16033" xr:uid="{00000000-0005-0000-0000-0000AE3E0000}"/>
    <cellStyle name="Positive 2 2 2 8 3 16 2" xfId="16034" xr:uid="{00000000-0005-0000-0000-0000AF3E0000}"/>
    <cellStyle name="Positive 2 2 2 8 3 17" xfId="16035" xr:uid="{00000000-0005-0000-0000-0000B03E0000}"/>
    <cellStyle name="Positive 2 2 2 8 3 17 2" xfId="16036" xr:uid="{00000000-0005-0000-0000-0000B13E0000}"/>
    <cellStyle name="Positive 2 2 2 8 3 18" xfId="16037" xr:uid="{00000000-0005-0000-0000-0000B23E0000}"/>
    <cellStyle name="Positive 2 2 2 8 3 18 2" xfId="16038" xr:uid="{00000000-0005-0000-0000-0000B33E0000}"/>
    <cellStyle name="Positive 2 2 2 8 3 19" xfId="16039" xr:uid="{00000000-0005-0000-0000-0000B43E0000}"/>
    <cellStyle name="Positive 2 2 2 8 3 19 2" xfId="16040" xr:uid="{00000000-0005-0000-0000-0000B53E0000}"/>
    <cellStyle name="Positive 2 2 2 8 3 2" xfId="16041" xr:uid="{00000000-0005-0000-0000-0000B63E0000}"/>
    <cellStyle name="Positive 2 2 2 8 3 2 10" xfId="16042" xr:uid="{00000000-0005-0000-0000-0000B73E0000}"/>
    <cellStyle name="Positive 2 2 2 8 3 2 10 2" xfId="16043" xr:uid="{00000000-0005-0000-0000-0000B83E0000}"/>
    <cellStyle name="Positive 2 2 2 8 3 2 11" xfId="16044" xr:uid="{00000000-0005-0000-0000-0000B93E0000}"/>
    <cellStyle name="Positive 2 2 2 8 3 2 11 2" xfId="16045" xr:uid="{00000000-0005-0000-0000-0000BA3E0000}"/>
    <cellStyle name="Positive 2 2 2 8 3 2 12" xfId="16046" xr:uid="{00000000-0005-0000-0000-0000BB3E0000}"/>
    <cellStyle name="Positive 2 2 2 8 3 2 12 2" xfId="16047" xr:uid="{00000000-0005-0000-0000-0000BC3E0000}"/>
    <cellStyle name="Positive 2 2 2 8 3 2 13" xfId="16048" xr:uid="{00000000-0005-0000-0000-0000BD3E0000}"/>
    <cellStyle name="Positive 2 2 2 8 3 2 13 2" xfId="16049" xr:uid="{00000000-0005-0000-0000-0000BE3E0000}"/>
    <cellStyle name="Positive 2 2 2 8 3 2 14" xfId="16050" xr:uid="{00000000-0005-0000-0000-0000BF3E0000}"/>
    <cellStyle name="Positive 2 2 2 8 3 2 14 2" xfId="16051" xr:uid="{00000000-0005-0000-0000-0000C03E0000}"/>
    <cellStyle name="Positive 2 2 2 8 3 2 15" xfId="16052" xr:uid="{00000000-0005-0000-0000-0000C13E0000}"/>
    <cellStyle name="Positive 2 2 2 8 3 2 15 2" xfId="16053" xr:uid="{00000000-0005-0000-0000-0000C23E0000}"/>
    <cellStyle name="Positive 2 2 2 8 3 2 16" xfId="16054" xr:uid="{00000000-0005-0000-0000-0000C33E0000}"/>
    <cellStyle name="Positive 2 2 2 8 3 2 16 2" xfId="16055" xr:uid="{00000000-0005-0000-0000-0000C43E0000}"/>
    <cellStyle name="Positive 2 2 2 8 3 2 17" xfId="16056" xr:uid="{00000000-0005-0000-0000-0000C53E0000}"/>
    <cellStyle name="Positive 2 2 2 8 3 2 2" xfId="16057" xr:uid="{00000000-0005-0000-0000-0000C63E0000}"/>
    <cellStyle name="Positive 2 2 2 8 3 2 2 2" xfId="16058" xr:uid="{00000000-0005-0000-0000-0000C73E0000}"/>
    <cellStyle name="Positive 2 2 2 8 3 2 3" xfId="16059" xr:uid="{00000000-0005-0000-0000-0000C83E0000}"/>
    <cellStyle name="Positive 2 2 2 8 3 2 3 2" xfId="16060" xr:uid="{00000000-0005-0000-0000-0000C93E0000}"/>
    <cellStyle name="Positive 2 2 2 8 3 2 4" xfId="16061" xr:uid="{00000000-0005-0000-0000-0000CA3E0000}"/>
    <cellStyle name="Positive 2 2 2 8 3 2 4 2" xfId="16062" xr:uid="{00000000-0005-0000-0000-0000CB3E0000}"/>
    <cellStyle name="Positive 2 2 2 8 3 2 5" xfId="16063" xr:uid="{00000000-0005-0000-0000-0000CC3E0000}"/>
    <cellStyle name="Positive 2 2 2 8 3 2 5 2" xfId="16064" xr:uid="{00000000-0005-0000-0000-0000CD3E0000}"/>
    <cellStyle name="Positive 2 2 2 8 3 2 6" xfId="16065" xr:uid="{00000000-0005-0000-0000-0000CE3E0000}"/>
    <cellStyle name="Positive 2 2 2 8 3 2 6 2" xfId="16066" xr:uid="{00000000-0005-0000-0000-0000CF3E0000}"/>
    <cellStyle name="Positive 2 2 2 8 3 2 7" xfId="16067" xr:uid="{00000000-0005-0000-0000-0000D03E0000}"/>
    <cellStyle name="Positive 2 2 2 8 3 2 7 2" xfId="16068" xr:uid="{00000000-0005-0000-0000-0000D13E0000}"/>
    <cellStyle name="Positive 2 2 2 8 3 2 8" xfId="16069" xr:uid="{00000000-0005-0000-0000-0000D23E0000}"/>
    <cellStyle name="Positive 2 2 2 8 3 2 8 2" xfId="16070" xr:uid="{00000000-0005-0000-0000-0000D33E0000}"/>
    <cellStyle name="Positive 2 2 2 8 3 2 9" xfId="16071" xr:uid="{00000000-0005-0000-0000-0000D43E0000}"/>
    <cellStyle name="Positive 2 2 2 8 3 2 9 2" xfId="16072" xr:uid="{00000000-0005-0000-0000-0000D53E0000}"/>
    <cellStyle name="Positive 2 2 2 8 3 20" xfId="16073" xr:uid="{00000000-0005-0000-0000-0000D63E0000}"/>
    <cellStyle name="Positive 2 2 2 8 3 3" xfId="16074" xr:uid="{00000000-0005-0000-0000-0000D73E0000}"/>
    <cellStyle name="Positive 2 2 2 8 3 3 2" xfId="16075" xr:uid="{00000000-0005-0000-0000-0000D83E0000}"/>
    <cellStyle name="Positive 2 2 2 8 3 3 2 2" xfId="16076" xr:uid="{00000000-0005-0000-0000-0000D93E0000}"/>
    <cellStyle name="Positive 2 2 2 8 3 3 3" xfId="16077" xr:uid="{00000000-0005-0000-0000-0000DA3E0000}"/>
    <cellStyle name="Positive 2 2 2 8 3 4" xfId="16078" xr:uid="{00000000-0005-0000-0000-0000DB3E0000}"/>
    <cellStyle name="Positive 2 2 2 8 3 4 2" xfId="16079" xr:uid="{00000000-0005-0000-0000-0000DC3E0000}"/>
    <cellStyle name="Positive 2 2 2 8 3 4 2 2" xfId="16080" xr:uid="{00000000-0005-0000-0000-0000DD3E0000}"/>
    <cellStyle name="Positive 2 2 2 8 3 4 3" xfId="16081" xr:uid="{00000000-0005-0000-0000-0000DE3E0000}"/>
    <cellStyle name="Positive 2 2 2 8 3 5" xfId="16082" xr:uid="{00000000-0005-0000-0000-0000DF3E0000}"/>
    <cellStyle name="Positive 2 2 2 8 3 5 2" xfId="16083" xr:uid="{00000000-0005-0000-0000-0000E03E0000}"/>
    <cellStyle name="Positive 2 2 2 8 3 6" xfId="16084" xr:uid="{00000000-0005-0000-0000-0000E13E0000}"/>
    <cellStyle name="Positive 2 2 2 8 3 6 2" xfId="16085" xr:uid="{00000000-0005-0000-0000-0000E23E0000}"/>
    <cellStyle name="Positive 2 2 2 8 3 7" xfId="16086" xr:uid="{00000000-0005-0000-0000-0000E33E0000}"/>
    <cellStyle name="Positive 2 2 2 8 3 7 2" xfId="16087" xr:uid="{00000000-0005-0000-0000-0000E43E0000}"/>
    <cellStyle name="Positive 2 2 2 8 3 8" xfId="16088" xr:uid="{00000000-0005-0000-0000-0000E53E0000}"/>
    <cellStyle name="Positive 2 2 2 8 3 8 2" xfId="16089" xr:uid="{00000000-0005-0000-0000-0000E63E0000}"/>
    <cellStyle name="Positive 2 2 2 8 3 9" xfId="16090" xr:uid="{00000000-0005-0000-0000-0000E73E0000}"/>
    <cellStyle name="Positive 2 2 2 8 3 9 2" xfId="16091" xr:uid="{00000000-0005-0000-0000-0000E83E0000}"/>
    <cellStyle name="Positive 2 2 2 8 4" xfId="16092" xr:uid="{00000000-0005-0000-0000-0000E93E0000}"/>
    <cellStyle name="Positive 2 2 2 8 4 10" xfId="16093" xr:uid="{00000000-0005-0000-0000-0000EA3E0000}"/>
    <cellStyle name="Positive 2 2 2 8 4 10 2" xfId="16094" xr:uid="{00000000-0005-0000-0000-0000EB3E0000}"/>
    <cellStyle name="Positive 2 2 2 8 4 11" xfId="16095" xr:uid="{00000000-0005-0000-0000-0000EC3E0000}"/>
    <cellStyle name="Positive 2 2 2 8 4 11 2" xfId="16096" xr:uid="{00000000-0005-0000-0000-0000ED3E0000}"/>
    <cellStyle name="Positive 2 2 2 8 4 12" xfId="16097" xr:uid="{00000000-0005-0000-0000-0000EE3E0000}"/>
    <cellStyle name="Positive 2 2 2 8 4 12 2" xfId="16098" xr:uid="{00000000-0005-0000-0000-0000EF3E0000}"/>
    <cellStyle name="Positive 2 2 2 8 4 13" xfId="16099" xr:uid="{00000000-0005-0000-0000-0000F03E0000}"/>
    <cellStyle name="Positive 2 2 2 8 4 13 2" xfId="16100" xr:uid="{00000000-0005-0000-0000-0000F13E0000}"/>
    <cellStyle name="Positive 2 2 2 8 4 14" xfId="16101" xr:uid="{00000000-0005-0000-0000-0000F23E0000}"/>
    <cellStyle name="Positive 2 2 2 8 4 14 2" xfId="16102" xr:uid="{00000000-0005-0000-0000-0000F33E0000}"/>
    <cellStyle name="Positive 2 2 2 8 4 15" xfId="16103" xr:uid="{00000000-0005-0000-0000-0000F43E0000}"/>
    <cellStyle name="Positive 2 2 2 8 4 15 2" xfId="16104" xr:uid="{00000000-0005-0000-0000-0000F53E0000}"/>
    <cellStyle name="Positive 2 2 2 8 4 16" xfId="16105" xr:uid="{00000000-0005-0000-0000-0000F63E0000}"/>
    <cellStyle name="Positive 2 2 2 8 4 16 2" xfId="16106" xr:uid="{00000000-0005-0000-0000-0000F73E0000}"/>
    <cellStyle name="Positive 2 2 2 8 4 17" xfId="16107" xr:uid="{00000000-0005-0000-0000-0000F83E0000}"/>
    <cellStyle name="Positive 2 2 2 8 4 17 2" xfId="16108" xr:uid="{00000000-0005-0000-0000-0000F93E0000}"/>
    <cellStyle name="Positive 2 2 2 8 4 18" xfId="16109" xr:uid="{00000000-0005-0000-0000-0000FA3E0000}"/>
    <cellStyle name="Positive 2 2 2 8 4 18 2" xfId="16110" xr:uid="{00000000-0005-0000-0000-0000FB3E0000}"/>
    <cellStyle name="Positive 2 2 2 8 4 19" xfId="16111" xr:uid="{00000000-0005-0000-0000-0000FC3E0000}"/>
    <cellStyle name="Positive 2 2 2 8 4 19 2" xfId="16112" xr:uid="{00000000-0005-0000-0000-0000FD3E0000}"/>
    <cellStyle name="Positive 2 2 2 8 4 2" xfId="16113" xr:uid="{00000000-0005-0000-0000-0000FE3E0000}"/>
    <cellStyle name="Positive 2 2 2 8 4 2 10" xfId="16114" xr:uid="{00000000-0005-0000-0000-0000FF3E0000}"/>
    <cellStyle name="Positive 2 2 2 8 4 2 10 2" xfId="16115" xr:uid="{00000000-0005-0000-0000-0000003F0000}"/>
    <cellStyle name="Positive 2 2 2 8 4 2 11" xfId="16116" xr:uid="{00000000-0005-0000-0000-0000013F0000}"/>
    <cellStyle name="Positive 2 2 2 8 4 2 11 2" xfId="16117" xr:uid="{00000000-0005-0000-0000-0000023F0000}"/>
    <cellStyle name="Positive 2 2 2 8 4 2 12" xfId="16118" xr:uid="{00000000-0005-0000-0000-0000033F0000}"/>
    <cellStyle name="Positive 2 2 2 8 4 2 12 2" xfId="16119" xr:uid="{00000000-0005-0000-0000-0000043F0000}"/>
    <cellStyle name="Positive 2 2 2 8 4 2 13" xfId="16120" xr:uid="{00000000-0005-0000-0000-0000053F0000}"/>
    <cellStyle name="Positive 2 2 2 8 4 2 13 2" xfId="16121" xr:uid="{00000000-0005-0000-0000-0000063F0000}"/>
    <cellStyle name="Positive 2 2 2 8 4 2 14" xfId="16122" xr:uid="{00000000-0005-0000-0000-0000073F0000}"/>
    <cellStyle name="Positive 2 2 2 8 4 2 14 2" xfId="16123" xr:uid="{00000000-0005-0000-0000-0000083F0000}"/>
    <cellStyle name="Positive 2 2 2 8 4 2 15" xfId="16124" xr:uid="{00000000-0005-0000-0000-0000093F0000}"/>
    <cellStyle name="Positive 2 2 2 8 4 2 15 2" xfId="16125" xr:uid="{00000000-0005-0000-0000-00000A3F0000}"/>
    <cellStyle name="Positive 2 2 2 8 4 2 16" xfId="16126" xr:uid="{00000000-0005-0000-0000-00000B3F0000}"/>
    <cellStyle name="Positive 2 2 2 8 4 2 16 2" xfId="16127" xr:uid="{00000000-0005-0000-0000-00000C3F0000}"/>
    <cellStyle name="Positive 2 2 2 8 4 2 17" xfId="16128" xr:uid="{00000000-0005-0000-0000-00000D3F0000}"/>
    <cellStyle name="Positive 2 2 2 8 4 2 2" xfId="16129" xr:uid="{00000000-0005-0000-0000-00000E3F0000}"/>
    <cellStyle name="Positive 2 2 2 8 4 2 2 2" xfId="16130" xr:uid="{00000000-0005-0000-0000-00000F3F0000}"/>
    <cellStyle name="Positive 2 2 2 8 4 2 3" xfId="16131" xr:uid="{00000000-0005-0000-0000-0000103F0000}"/>
    <cellStyle name="Positive 2 2 2 8 4 2 3 2" xfId="16132" xr:uid="{00000000-0005-0000-0000-0000113F0000}"/>
    <cellStyle name="Positive 2 2 2 8 4 2 4" xfId="16133" xr:uid="{00000000-0005-0000-0000-0000123F0000}"/>
    <cellStyle name="Positive 2 2 2 8 4 2 4 2" xfId="16134" xr:uid="{00000000-0005-0000-0000-0000133F0000}"/>
    <cellStyle name="Positive 2 2 2 8 4 2 5" xfId="16135" xr:uid="{00000000-0005-0000-0000-0000143F0000}"/>
    <cellStyle name="Positive 2 2 2 8 4 2 5 2" xfId="16136" xr:uid="{00000000-0005-0000-0000-0000153F0000}"/>
    <cellStyle name="Positive 2 2 2 8 4 2 6" xfId="16137" xr:uid="{00000000-0005-0000-0000-0000163F0000}"/>
    <cellStyle name="Positive 2 2 2 8 4 2 6 2" xfId="16138" xr:uid="{00000000-0005-0000-0000-0000173F0000}"/>
    <cellStyle name="Positive 2 2 2 8 4 2 7" xfId="16139" xr:uid="{00000000-0005-0000-0000-0000183F0000}"/>
    <cellStyle name="Positive 2 2 2 8 4 2 7 2" xfId="16140" xr:uid="{00000000-0005-0000-0000-0000193F0000}"/>
    <cellStyle name="Positive 2 2 2 8 4 2 8" xfId="16141" xr:uid="{00000000-0005-0000-0000-00001A3F0000}"/>
    <cellStyle name="Positive 2 2 2 8 4 2 8 2" xfId="16142" xr:uid="{00000000-0005-0000-0000-00001B3F0000}"/>
    <cellStyle name="Positive 2 2 2 8 4 2 9" xfId="16143" xr:uid="{00000000-0005-0000-0000-00001C3F0000}"/>
    <cellStyle name="Positive 2 2 2 8 4 2 9 2" xfId="16144" xr:uid="{00000000-0005-0000-0000-00001D3F0000}"/>
    <cellStyle name="Positive 2 2 2 8 4 20" xfId="16145" xr:uid="{00000000-0005-0000-0000-00001E3F0000}"/>
    <cellStyle name="Positive 2 2 2 8 4 3" xfId="16146" xr:uid="{00000000-0005-0000-0000-00001F3F0000}"/>
    <cellStyle name="Positive 2 2 2 8 4 3 2" xfId="16147" xr:uid="{00000000-0005-0000-0000-0000203F0000}"/>
    <cellStyle name="Positive 2 2 2 8 4 3 2 2" xfId="16148" xr:uid="{00000000-0005-0000-0000-0000213F0000}"/>
    <cellStyle name="Positive 2 2 2 8 4 3 3" xfId="16149" xr:uid="{00000000-0005-0000-0000-0000223F0000}"/>
    <cellStyle name="Positive 2 2 2 8 4 4" xfId="16150" xr:uid="{00000000-0005-0000-0000-0000233F0000}"/>
    <cellStyle name="Positive 2 2 2 8 4 4 2" xfId="16151" xr:uid="{00000000-0005-0000-0000-0000243F0000}"/>
    <cellStyle name="Positive 2 2 2 8 4 4 2 2" xfId="16152" xr:uid="{00000000-0005-0000-0000-0000253F0000}"/>
    <cellStyle name="Positive 2 2 2 8 4 4 3" xfId="16153" xr:uid="{00000000-0005-0000-0000-0000263F0000}"/>
    <cellStyle name="Positive 2 2 2 8 4 5" xfId="16154" xr:uid="{00000000-0005-0000-0000-0000273F0000}"/>
    <cellStyle name="Positive 2 2 2 8 4 5 2" xfId="16155" xr:uid="{00000000-0005-0000-0000-0000283F0000}"/>
    <cellStyle name="Positive 2 2 2 8 4 6" xfId="16156" xr:uid="{00000000-0005-0000-0000-0000293F0000}"/>
    <cellStyle name="Positive 2 2 2 8 4 6 2" xfId="16157" xr:uid="{00000000-0005-0000-0000-00002A3F0000}"/>
    <cellStyle name="Positive 2 2 2 8 4 7" xfId="16158" xr:uid="{00000000-0005-0000-0000-00002B3F0000}"/>
    <cellStyle name="Positive 2 2 2 8 4 7 2" xfId="16159" xr:uid="{00000000-0005-0000-0000-00002C3F0000}"/>
    <cellStyle name="Positive 2 2 2 8 4 8" xfId="16160" xr:uid="{00000000-0005-0000-0000-00002D3F0000}"/>
    <cellStyle name="Positive 2 2 2 8 4 8 2" xfId="16161" xr:uid="{00000000-0005-0000-0000-00002E3F0000}"/>
    <cellStyle name="Positive 2 2 2 8 4 9" xfId="16162" xr:uid="{00000000-0005-0000-0000-00002F3F0000}"/>
    <cellStyle name="Positive 2 2 2 8 4 9 2" xfId="16163" xr:uid="{00000000-0005-0000-0000-0000303F0000}"/>
    <cellStyle name="Positive 2 2 2 8 5" xfId="16164" xr:uid="{00000000-0005-0000-0000-0000313F0000}"/>
    <cellStyle name="Positive 2 2 2 8 5 10" xfId="16165" xr:uid="{00000000-0005-0000-0000-0000323F0000}"/>
    <cellStyle name="Positive 2 2 2 8 5 10 2" xfId="16166" xr:uid="{00000000-0005-0000-0000-0000333F0000}"/>
    <cellStyle name="Positive 2 2 2 8 5 11" xfId="16167" xr:uid="{00000000-0005-0000-0000-0000343F0000}"/>
    <cellStyle name="Positive 2 2 2 8 5 11 2" xfId="16168" xr:uid="{00000000-0005-0000-0000-0000353F0000}"/>
    <cellStyle name="Positive 2 2 2 8 5 12" xfId="16169" xr:uid="{00000000-0005-0000-0000-0000363F0000}"/>
    <cellStyle name="Positive 2 2 2 8 5 12 2" xfId="16170" xr:uid="{00000000-0005-0000-0000-0000373F0000}"/>
    <cellStyle name="Positive 2 2 2 8 5 13" xfId="16171" xr:uid="{00000000-0005-0000-0000-0000383F0000}"/>
    <cellStyle name="Positive 2 2 2 8 5 13 2" xfId="16172" xr:uid="{00000000-0005-0000-0000-0000393F0000}"/>
    <cellStyle name="Positive 2 2 2 8 5 14" xfId="16173" xr:uid="{00000000-0005-0000-0000-00003A3F0000}"/>
    <cellStyle name="Positive 2 2 2 8 5 14 2" xfId="16174" xr:uid="{00000000-0005-0000-0000-00003B3F0000}"/>
    <cellStyle name="Positive 2 2 2 8 5 15" xfId="16175" xr:uid="{00000000-0005-0000-0000-00003C3F0000}"/>
    <cellStyle name="Positive 2 2 2 8 5 15 2" xfId="16176" xr:uid="{00000000-0005-0000-0000-00003D3F0000}"/>
    <cellStyle name="Positive 2 2 2 8 5 16" xfId="16177" xr:uid="{00000000-0005-0000-0000-00003E3F0000}"/>
    <cellStyle name="Positive 2 2 2 8 5 16 2" xfId="16178" xr:uid="{00000000-0005-0000-0000-00003F3F0000}"/>
    <cellStyle name="Positive 2 2 2 8 5 17" xfId="16179" xr:uid="{00000000-0005-0000-0000-0000403F0000}"/>
    <cellStyle name="Positive 2 2 2 8 5 2" xfId="16180" xr:uid="{00000000-0005-0000-0000-0000413F0000}"/>
    <cellStyle name="Positive 2 2 2 8 5 2 2" xfId="16181" xr:uid="{00000000-0005-0000-0000-0000423F0000}"/>
    <cellStyle name="Positive 2 2 2 8 5 3" xfId="16182" xr:uid="{00000000-0005-0000-0000-0000433F0000}"/>
    <cellStyle name="Positive 2 2 2 8 5 3 2" xfId="16183" xr:uid="{00000000-0005-0000-0000-0000443F0000}"/>
    <cellStyle name="Positive 2 2 2 8 5 4" xfId="16184" xr:uid="{00000000-0005-0000-0000-0000453F0000}"/>
    <cellStyle name="Positive 2 2 2 8 5 4 2" xfId="16185" xr:uid="{00000000-0005-0000-0000-0000463F0000}"/>
    <cellStyle name="Positive 2 2 2 8 5 5" xfId="16186" xr:uid="{00000000-0005-0000-0000-0000473F0000}"/>
    <cellStyle name="Positive 2 2 2 8 5 5 2" xfId="16187" xr:uid="{00000000-0005-0000-0000-0000483F0000}"/>
    <cellStyle name="Positive 2 2 2 8 5 6" xfId="16188" xr:uid="{00000000-0005-0000-0000-0000493F0000}"/>
    <cellStyle name="Positive 2 2 2 8 5 6 2" xfId="16189" xr:uid="{00000000-0005-0000-0000-00004A3F0000}"/>
    <cellStyle name="Positive 2 2 2 8 5 7" xfId="16190" xr:uid="{00000000-0005-0000-0000-00004B3F0000}"/>
    <cellStyle name="Positive 2 2 2 8 5 7 2" xfId="16191" xr:uid="{00000000-0005-0000-0000-00004C3F0000}"/>
    <cellStyle name="Positive 2 2 2 8 5 8" xfId="16192" xr:uid="{00000000-0005-0000-0000-00004D3F0000}"/>
    <cellStyle name="Positive 2 2 2 8 5 8 2" xfId="16193" xr:uid="{00000000-0005-0000-0000-00004E3F0000}"/>
    <cellStyle name="Positive 2 2 2 8 5 9" xfId="16194" xr:uid="{00000000-0005-0000-0000-00004F3F0000}"/>
    <cellStyle name="Positive 2 2 2 8 5 9 2" xfId="16195" xr:uid="{00000000-0005-0000-0000-0000503F0000}"/>
    <cellStyle name="Positive 2 2 2 8 6" xfId="16196" xr:uid="{00000000-0005-0000-0000-0000513F0000}"/>
    <cellStyle name="Positive 2 2 2 8 6 2" xfId="16197" xr:uid="{00000000-0005-0000-0000-0000523F0000}"/>
    <cellStyle name="Positive 2 2 2 8 6 2 2" xfId="16198" xr:uid="{00000000-0005-0000-0000-0000533F0000}"/>
    <cellStyle name="Positive 2 2 2 8 6 3" xfId="16199" xr:uid="{00000000-0005-0000-0000-0000543F0000}"/>
    <cellStyle name="Positive 2 2 2 8 7" xfId="16200" xr:uid="{00000000-0005-0000-0000-0000553F0000}"/>
    <cellStyle name="Positive 2 2 2 8 7 2" xfId="16201" xr:uid="{00000000-0005-0000-0000-0000563F0000}"/>
    <cellStyle name="Positive 2 2 2 8 7 2 2" xfId="16202" xr:uid="{00000000-0005-0000-0000-0000573F0000}"/>
    <cellStyle name="Positive 2 2 2 8 7 3" xfId="16203" xr:uid="{00000000-0005-0000-0000-0000583F0000}"/>
    <cellStyle name="Positive 2 2 2 8 8" xfId="16204" xr:uid="{00000000-0005-0000-0000-0000593F0000}"/>
    <cellStyle name="Positive 2 2 2 8 8 2" xfId="16205" xr:uid="{00000000-0005-0000-0000-00005A3F0000}"/>
    <cellStyle name="Positive 2 2 2 8 9" xfId="16206" xr:uid="{00000000-0005-0000-0000-00005B3F0000}"/>
    <cellStyle name="Positive 2 2 2 8 9 2" xfId="16207" xr:uid="{00000000-0005-0000-0000-00005C3F0000}"/>
    <cellStyle name="Positive 2 2 2 9" xfId="16208" xr:uid="{00000000-0005-0000-0000-00005D3F0000}"/>
    <cellStyle name="Positive 2 2 2 9 10" xfId="16209" xr:uid="{00000000-0005-0000-0000-00005E3F0000}"/>
    <cellStyle name="Positive 2 2 2 9 10 2" xfId="16210" xr:uid="{00000000-0005-0000-0000-00005F3F0000}"/>
    <cellStyle name="Positive 2 2 2 9 11" xfId="16211" xr:uid="{00000000-0005-0000-0000-0000603F0000}"/>
    <cellStyle name="Positive 2 2 2 9 11 2" xfId="16212" xr:uid="{00000000-0005-0000-0000-0000613F0000}"/>
    <cellStyle name="Positive 2 2 2 9 12" xfId="16213" xr:uid="{00000000-0005-0000-0000-0000623F0000}"/>
    <cellStyle name="Positive 2 2 2 9 12 2" xfId="16214" xr:uid="{00000000-0005-0000-0000-0000633F0000}"/>
    <cellStyle name="Positive 2 2 2 9 13" xfId="16215" xr:uid="{00000000-0005-0000-0000-0000643F0000}"/>
    <cellStyle name="Positive 2 2 2 9 13 2" xfId="16216" xr:uid="{00000000-0005-0000-0000-0000653F0000}"/>
    <cellStyle name="Positive 2 2 2 9 14" xfId="16217" xr:uid="{00000000-0005-0000-0000-0000663F0000}"/>
    <cellStyle name="Positive 2 2 2 9 14 2" xfId="16218" xr:uid="{00000000-0005-0000-0000-0000673F0000}"/>
    <cellStyle name="Positive 2 2 2 9 15" xfId="16219" xr:uid="{00000000-0005-0000-0000-0000683F0000}"/>
    <cellStyle name="Positive 2 2 2 9 15 2" xfId="16220" xr:uid="{00000000-0005-0000-0000-0000693F0000}"/>
    <cellStyle name="Positive 2 2 2 9 16" xfId="16221" xr:uid="{00000000-0005-0000-0000-00006A3F0000}"/>
    <cellStyle name="Positive 2 2 2 9 16 2" xfId="16222" xr:uid="{00000000-0005-0000-0000-00006B3F0000}"/>
    <cellStyle name="Positive 2 2 2 9 17" xfId="16223" xr:uid="{00000000-0005-0000-0000-00006C3F0000}"/>
    <cellStyle name="Positive 2 2 2 9 17 2" xfId="16224" xr:uid="{00000000-0005-0000-0000-00006D3F0000}"/>
    <cellStyle name="Positive 2 2 2 9 18" xfId="16225" xr:uid="{00000000-0005-0000-0000-00006E3F0000}"/>
    <cellStyle name="Positive 2 2 2 9 18 2" xfId="16226" xr:uid="{00000000-0005-0000-0000-00006F3F0000}"/>
    <cellStyle name="Positive 2 2 2 9 19" xfId="16227" xr:uid="{00000000-0005-0000-0000-0000703F0000}"/>
    <cellStyle name="Positive 2 2 2 9 19 2" xfId="16228" xr:uid="{00000000-0005-0000-0000-0000713F0000}"/>
    <cellStyle name="Positive 2 2 2 9 2" xfId="16229" xr:uid="{00000000-0005-0000-0000-0000723F0000}"/>
    <cellStyle name="Positive 2 2 2 9 2 10" xfId="16230" xr:uid="{00000000-0005-0000-0000-0000733F0000}"/>
    <cellStyle name="Positive 2 2 2 9 2 10 2" xfId="16231" xr:uid="{00000000-0005-0000-0000-0000743F0000}"/>
    <cellStyle name="Positive 2 2 2 9 2 11" xfId="16232" xr:uid="{00000000-0005-0000-0000-0000753F0000}"/>
    <cellStyle name="Positive 2 2 2 9 2 11 2" xfId="16233" xr:uid="{00000000-0005-0000-0000-0000763F0000}"/>
    <cellStyle name="Positive 2 2 2 9 2 12" xfId="16234" xr:uid="{00000000-0005-0000-0000-0000773F0000}"/>
    <cellStyle name="Positive 2 2 2 9 2 12 2" xfId="16235" xr:uid="{00000000-0005-0000-0000-0000783F0000}"/>
    <cellStyle name="Positive 2 2 2 9 2 13" xfId="16236" xr:uid="{00000000-0005-0000-0000-0000793F0000}"/>
    <cellStyle name="Positive 2 2 2 9 2 13 2" xfId="16237" xr:uid="{00000000-0005-0000-0000-00007A3F0000}"/>
    <cellStyle name="Positive 2 2 2 9 2 14" xfId="16238" xr:uid="{00000000-0005-0000-0000-00007B3F0000}"/>
    <cellStyle name="Positive 2 2 2 9 2 14 2" xfId="16239" xr:uid="{00000000-0005-0000-0000-00007C3F0000}"/>
    <cellStyle name="Positive 2 2 2 9 2 15" xfId="16240" xr:uid="{00000000-0005-0000-0000-00007D3F0000}"/>
    <cellStyle name="Positive 2 2 2 9 2 15 2" xfId="16241" xr:uid="{00000000-0005-0000-0000-00007E3F0000}"/>
    <cellStyle name="Positive 2 2 2 9 2 16" xfId="16242" xr:uid="{00000000-0005-0000-0000-00007F3F0000}"/>
    <cellStyle name="Positive 2 2 2 9 2 16 2" xfId="16243" xr:uid="{00000000-0005-0000-0000-0000803F0000}"/>
    <cellStyle name="Positive 2 2 2 9 2 17" xfId="16244" xr:uid="{00000000-0005-0000-0000-0000813F0000}"/>
    <cellStyle name="Positive 2 2 2 9 2 17 2" xfId="16245" xr:uid="{00000000-0005-0000-0000-0000823F0000}"/>
    <cellStyle name="Positive 2 2 2 9 2 18" xfId="16246" xr:uid="{00000000-0005-0000-0000-0000833F0000}"/>
    <cellStyle name="Positive 2 2 2 9 2 18 2" xfId="16247" xr:uid="{00000000-0005-0000-0000-0000843F0000}"/>
    <cellStyle name="Positive 2 2 2 9 2 19" xfId="16248" xr:uid="{00000000-0005-0000-0000-0000853F0000}"/>
    <cellStyle name="Positive 2 2 2 9 2 19 2" xfId="16249" xr:uid="{00000000-0005-0000-0000-0000863F0000}"/>
    <cellStyle name="Positive 2 2 2 9 2 2" xfId="16250" xr:uid="{00000000-0005-0000-0000-0000873F0000}"/>
    <cellStyle name="Positive 2 2 2 9 2 2 10" xfId="16251" xr:uid="{00000000-0005-0000-0000-0000883F0000}"/>
    <cellStyle name="Positive 2 2 2 9 2 2 10 2" xfId="16252" xr:uid="{00000000-0005-0000-0000-0000893F0000}"/>
    <cellStyle name="Positive 2 2 2 9 2 2 11" xfId="16253" xr:uid="{00000000-0005-0000-0000-00008A3F0000}"/>
    <cellStyle name="Positive 2 2 2 9 2 2 11 2" xfId="16254" xr:uid="{00000000-0005-0000-0000-00008B3F0000}"/>
    <cellStyle name="Positive 2 2 2 9 2 2 12" xfId="16255" xr:uid="{00000000-0005-0000-0000-00008C3F0000}"/>
    <cellStyle name="Positive 2 2 2 9 2 2 12 2" xfId="16256" xr:uid="{00000000-0005-0000-0000-00008D3F0000}"/>
    <cellStyle name="Positive 2 2 2 9 2 2 13" xfId="16257" xr:uid="{00000000-0005-0000-0000-00008E3F0000}"/>
    <cellStyle name="Positive 2 2 2 9 2 2 13 2" xfId="16258" xr:uid="{00000000-0005-0000-0000-00008F3F0000}"/>
    <cellStyle name="Positive 2 2 2 9 2 2 14" xfId="16259" xr:uid="{00000000-0005-0000-0000-0000903F0000}"/>
    <cellStyle name="Positive 2 2 2 9 2 2 14 2" xfId="16260" xr:uid="{00000000-0005-0000-0000-0000913F0000}"/>
    <cellStyle name="Positive 2 2 2 9 2 2 15" xfId="16261" xr:uid="{00000000-0005-0000-0000-0000923F0000}"/>
    <cellStyle name="Positive 2 2 2 9 2 2 15 2" xfId="16262" xr:uid="{00000000-0005-0000-0000-0000933F0000}"/>
    <cellStyle name="Positive 2 2 2 9 2 2 16" xfId="16263" xr:uid="{00000000-0005-0000-0000-0000943F0000}"/>
    <cellStyle name="Positive 2 2 2 9 2 2 16 2" xfId="16264" xr:uid="{00000000-0005-0000-0000-0000953F0000}"/>
    <cellStyle name="Positive 2 2 2 9 2 2 17" xfId="16265" xr:uid="{00000000-0005-0000-0000-0000963F0000}"/>
    <cellStyle name="Positive 2 2 2 9 2 2 2" xfId="16266" xr:uid="{00000000-0005-0000-0000-0000973F0000}"/>
    <cellStyle name="Positive 2 2 2 9 2 2 2 2" xfId="16267" xr:uid="{00000000-0005-0000-0000-0000983F0000}"/>
    <cellStyle name="Positive 2 2 2 9 2 2 3" xfId="16268" xr:uid="{00000000-0005-0000-0000-0000993F0000}"/>
    <cellStyle name="Positive 2 2 2 9 2 2 3 2" xfId="16269" xr:uid="{00000000-0005-0000-0000-00009A3F0000}"/>
    <cellStyle name="Positive 2 2 2 9 2 2 4" xfId="16270" xr:uid="{00000000-0005-0000-0000-00009B3F0000}"/>
    <cellStyle name="Positive 2 2 2 9 2 2 4 2" xfId="16271" xr:uid="{00000000-0005-0000-0000-00009C3F0000}"/>
    <cellStyle name="Positive 2 2 2 9 2 2 5" xfId="16272" xr:uid="{00000000-0005-0000-0000-00009D3F0000}"/>
    <cellStyle name="Positive 2 2 2 9 2 2 5 2" xfId="16273" xr:uid="{00000000-0005-0000-0000-00009E3F0000}"/>
    <cellStyle name="Positive 2 2 2 9 2 2 6" xfId="16274" xr:uid="{00000000-0005-0000-0000-00009F3F0000}"/>
    <cellStyle name="Positive 2 2 2 9 2 2 6 2" xfId="16275" xr:uid="{00000000-0005-0000-0000-0000A03F0000}"/>
    <cellStyle name="Positive 2 2 2 9 2 2 7" xfId="16276" xr:uid="{00000000-0005-0000-0000-0000A13F0000}"/>
    <cellStyle name="Positive 2 2 2 9 2 2 7 2" xfId="16277" xr:uid="{00000000-0005-0000-0000-0000A23F0000}"/>
    <cellStyle name="Positive 2 2 2 9 2 2 8" xfId="16278" xr:uid="{00000000-0005-0000-0000-0000A33F0000}"/>
    <cellStyle name="Positive 2 2 2 9 2 2 8 2" xfId="16279" xr:uid="{00000000-0005-0000-0000-0000A43F0000}"/>
    <cellStyle name="Positive 2 2 2 9 2 2 9" xfId="16280" xr:uid="{00000000-0005-0000-0000-0000A53F0000}"/>
    <cellStyle name="Positive 2 2 2 9 2 2 9 2" xfId="16281" xr:uid="{00000000-0005-0000-0000-0000A63F0000}"/>
    <cellStyle name="Positive 2 2 2 9 2 20" xfId="16282" xr:uid="{00000000-0005-0000-0000-0000A73F0000}"/>
    <cellStyle name="Positive 2 2 2 9 2 3" xfId="16283" xr:uid="{00000000-0005-0000-0000-0000A83F0000}"/>
    <cellStyle name="Positive 2 2 2 9 2 3 2" xfId="16284" xr:uid="{00000000-0005-0000-0000-0000A93F0000}"/>
    <cellStyle name="Positive 2 2 2 9 2 3 2 2" xfId="16285" xr:uid="{00000000-0005-0000-0000-0000AA3F0000}"/>
    <cellStyle name="Positive 2 2 2 9 2 3 3" xfId="16286" xr:uid="{00000000-0005-0000-0000-0000AB3F0000}"/>
    <cellStyle name="Positive 2 2 2 9 2 4" xfId="16287" xr:uid="{00000000-0005-0000-0000-0000AC3F0000}"/>
    <cellStyle name="Positive 2 2 2 9 2 4 2" xfId="16288" xr:uid="{00000000-0005-0000-0000-0000AD3F0000}"/>
    <cellStyle name="Positive 2 2 2 9 2 4 2 2" xfId="16289" xr:uid="{00000000-0005-0000-0000-0000AE3F0000}"/>
    <cellStyle name="Positive 2 2 2 9 2 4 3" xfId="16290" xr:uid="{00000000-0005-0000-0000-0000AF3F0000}"/>
    <cellStyle name="Positive 2 2 2 9 2 5" xfId="16291" xr:uid="{00000000-0005-0000-0000-0000B03F0000}"/>
    <cellStyle name="Positive 2 2 2 9 2 5 2" xfId="16292" xr:uid="{00000000-0005-0000-0000-0000B13F0000}"/>
    <cellStyle name="Positive 2 2 2 9 2 6" xfId="16293" xr:uid="{00000000-0005-0000-0000-0000B23F0000}"/>
    <cellStyle name="Positive 2 2 2 9 2 6 2" xfId="16294" xr:uid="{00000000-0005-0000-0000-0000B33F0000}"/>
    <cellStyle name="Positive 2 2 2 9 2 7" xfId="16295" xr:uid="{00000000-0005-0000-0000-0000B43F0000}"/>
    <cellStyle name="Positive 2 2 2 9 2 7 2" xfId="16296" xr:uid="{00000000-0005-0000-0000-0000B53F0000}"/>
    <cellStyle name="Positive 2 2 2 9 2 8" xfId="16297" xr:uid="{00000000-0005-0000-0000-0000B63F0000}"/>
    <cellStyle name="Positive 2 2 2 9 2 8 2" xfId="16298" xr:uid="{00000000-0005-0000-0000-0000B73F0000}"/>
    <cellStyle name="Positive 2 2 2 9 2 9" xfId="16299" xr:uid="{00000000-0005-0000-0000-0000B83F0000}"/>
    <cellStyle name="Positive 2 2 2 9 2 9 2" xfId="16300" xr:uid="{00000000-0005-0000-0000-0000B93F0000}"/>
    <cellStyle name="Positive 2 2 2 9 20" xfId="16301" xr:uid="{00000000-0005-0000-0000-0000BA3F0000}"/>
    <cellStyle name="Positive 2 2 2 9 20 2" xfId="16302" xr:uid="{00000000-0005-0000-0000-0000BB3F0000}"/>
    <cellStyle name="Positive 2 2 2 9 21" xfId="16303" xr:uid="{00000000-0005-0000-0000-0000BC3F0000}"/>
    <cellStyle name="Positive 2 2 2 9 21 2" xfId="16304" xr:uid="{00000000-0005-0000-0000-0000BD3F0000}"/>
    <cellStyle name="Positive 2 2 2 9 22" xfId="16305" xr:uid="{00000000-0005-0000-0000-0000BE3F0000}"/>
    <cellStyle name="Positive 2 2 2 9 22 2" xfId="16306" xr:uid="{00000000-0005-0000-0000-0000BF3F0000}"/>
    <cellStyle name="Positive 2 2 2 9 23" xfId="16307" xr:uid="{00000000-0005-0000-0000-0000C03F0000}"/>
    <cellStyle name="Positive 2 2 2 9 3" xfId="16308" xr:uid="{00000000-0005-0000-0000-0000C13F0000}"/>
    <cellStyle name="Positive 2 2 2 9 3 10" xfId="16309" xr:uid="{00000000-0005-0000-0000-0000C23F0000}"/>
    <cellStyle name="Positive 2 2 2 9 3 10 2" xfId="16310" xr:uid="{00000000-0005-0000-0000-0000C33F0000}"/>
    <cellStyle name="Positive 2 2 2 9 3 11" xfId="16311" xr:uid="{00000000-0005-0000-0000-0000C43F0000}"/>
    <cellStyle name="Positive 2 2 2 9 3 11 2" xfId="16312" xr:uid="{00000000-0005-0000-0000-0000C53F0000}"/>
    <cellStyle name="Positive 2 2 2 9 3 12" xfId="16313" xr:uid="{00000000-0005-0000-0000-0000C63F0000}"/>
    <cellStyle name="Positive 2 2 2 9 3 12 2" xfId="16314" xr:uid="{00000000-0005-0000-0000-0000C73F0000}"/>
    <cellStyle name="Positive 2 2 2 9 3 13" xfId="16315" xr:uid="{00000000-0005-0000-0000-0000C83F0000}"/>
    <cellStyle name="Positive 2 2 2 9 3 13 2" xfId="16316" xr:uid="{00000000-0005-0000-0000-0000C93F0000}"/>
    <cellStyle name="Positive 2 2 2 9 3 14" xfId="16317" xr:uid="{00000000-0005-0000-0000-0000CA3F0000}"/>
    <cellStyle name="Positive 2 2 2 9 3 14 2" xfId="16318" xr:uid="{00000000-0005-0000-0000-0000CB3F0000}"/>
    <cellStyle name="Positive 2 2 2 9 3 15" xfId="16319" xr:uid="{00000000-0005-0000-0000-0000CC3F0000}"/>
    <cellStyle name="Positive 2 2 2 9 3 15 2" xfId="16320" xr:uid="{00000000-0005-0000-0000-0000CD3F0000}"/>
    <cellStyle name="Positive 2 2 2 9 3 16" xfId="16321" xr:uid="{00000000-0005-0000-0000-0000CE3F0000}"/>
    <cellStyle name="Positive 2 2 2 9 3 16 2" xfId="16322" xr:uid="{00000000-0005-0000-0000-0000CF3F0000}"/>
    <cellStyle name="Positive 2 2 2 9 3 17" xfId="16323" xr:uid="{00000000-0005-0000-0000-0000D03F0000}"/>
    <cellStyle name="Positive 2 2 2 9 3 17 2" xfId="16324" xr:uid="{00000000-0005-0000-0000-0000D13F0000}"/>
    <cellStyle name="Positive 2 2 2 9 3 18" xfId="16325" xr:uid="{00000000-0005-0000-0000-0000D23F0000}"/>
    <cellStyle name="Positive 2 2 2 9 3 18 2" xfId="16326" xr:uid="{00000000-0005-0000-0000-0000D33F0000}"/>
    <cellStyle name="Positive 2 2 2 9 3 19" xfId="16327" xr:uid="{00000000-0005-0000-0000-0000D43F0000}"/>
    <cellStyle name="Positive 2 2 2 9 3 19 2" xfId="16328" xr:uid="{00000000-0005-0000-0000-0000D53F0000}"/>
    <cellStyle name="Positive 2 2 2 9 3 2" xfId="16329" xr:uid="{00000000-0005-0000-0000-0000D63F0000}"/>
    <cellStyle name="Positive 2 2 2 9 3 2 10" xfId="16330" xr:uid="{00000000-0005-0000-0000-0000D73F0000}"/>
    <cellStyle name="Positive 2 2 2 9 3 2 10 2" xfId="16331" xr:uid="{00000000-0005-0000-0000-0000D83F0000}"/>
    <cellStyle name="Positive 2 2 2 9 3 2 11" xfId="16332" xr:uid="{00000000-0005-0000-0000-0000D93F0000}"/>
    <cellStyle name="Positive 2 2 2 9 3 2 11 2" xfId="16333" xr:uid="{00000000-0005-0000-0000-0000DA3F0000}"/>
    <cellStyle name="Positive 2 2 2 9 3 2 12" xfId="16334" xr:uid="{00000000-0005-0000-0000-0000DB3F0000}"/>
    <cellStyle name="Positive 2 2 2 9 3 2 12 2" xfId="16335" xr:uid="{00000000-0005-0000-0000-0000DC3F0000}"/>
    <cellStyle name="Positive 2 2 2 9 3 2 13" xfId="16336" xr:uid="{00000000-0005-0000-0000-0000DD3F0000}"/>
    <cellStyle name="Positive 2 2 2 9 3 2 13 2" xfId="16337" xr:uid="{00000000-0005-0000-0000-0000DE3F0000}"/>
    <cellStyle name="Positive 2 2 2 9 3 2 14" xfId="16338" xr:uid="{00000000-0005-0000-0000-0000DF3F0000}"/>
    <cellStyle name="Positive 2 2 2 9 3 2 14 2" xfId="16339" xr:uid="{00000000-0005-0000-0000-0000E03F0000}"/>
    <cellStyle name="Positive 2 2 2 9 3 2 15" xfId="16340" xr:uid="{00000000-0005-0000-0000-0000E13F0000}"/>
    <cellStyle name="Positive 2 2 2 9 3 2 15 2" xfId="16341" xr:uid="{00000000-0005-0000-0000-0000E23F0000}"/>
    <cellStyle name="Positive 2 2 2 9 3 2 16" xfId="16342" xr:uid="{00000000-0005-0000-0000-0000E33F0000}"/>
    <cellStyle name="Positive 2 2 2 9 3 2 16 2" xfId="16343" xr:uid="{00000000-0005-0000-0000-0000E43F0000}"/>
    <cellStyle name="Positive 2 2 2 9 3 2 17" xfId="16344" xr:uid="{00000000-0005-0000-0000-0000E53F0000}"/>
    <cellStyle name="Positive 2 2 2 9 3 2 2" xfId="16345" xr:uid="{00000000-0005-0000-0000-0000E63F0000}"/>
    <cellStyle name="Positive 2 2 2 9 3 2 2 2" xfId="16346" xr:uid="{00000000-0005-0000-0000-0000E73F0000}"/>
    <cellStyle name="Positive 2 2 2 9 3 2 3" xfId="16347" xr:uid="{00000000-0005-0000-0000-0000E83F0000}"/>
    <cellStyle name="Positive 2 2 2 9 3 2 3 2" xfId="16348" xr:uid="{00000000-0005-0000-0000-0000E93F0000}"/>
    <cellStyle name="Positive 2 2 2 9 3 2 4" xfId="16349" xr:uid="{00000000-0005-0000-0000-0000EA3F0000}"/>
    <cellStyle name="Positive 2 2 2 9 3 2 4 2" xfId="16350" xr:uid="{00000000-0005-0000-0000-0000EB3F0000}"/>
    <cellStyle name="Positive 2 2 2 9 3 2 5" xfId="16351" xr:uid="{00000000-0005-0000-0000-0000EC3F0000}"/>
    <cellStyle name="Positive 2 2 2 9 3 2 5 2" xfId="16352" xr:uid="{00000000-0005-0000-0000-0000ED3F0000}"/>
    <cellStyle name="Positive 2 2 2 9 3 2 6" xfId="16353" xr:uid="{00000000-0005-0000-0000-0000EE3F0000}"/>
    <cellStyle name="Positive 2 2 2 9 3 2 6 2" xfId="16354" xr:uid="{00000000-0005-0000-0000-0000EF3F0000}"/>
    <cellStyle name="Positive 2 2 2 9 3 2 7" xfId="16355" xr:uid="{00000000-0005-0000-0000-0000F03F0000}"/>
    <cellStyle name="Positive 2 2 2 9 3 2 7 2" xfId="16356" xr:uid="{00000000-0005-0000-0000-0000F13F0000}"/>
    <cellStyle name="Positive 2 2 2 9 3 2 8" xfId="16357" xr:uid="{00000000-0005-0000-0000-0000F23F0000}"/>
    <cellStyle name="Positive 2 2 2 9 3 2 8 2" xfId="16358" xr:uid="{00000000-0005-0000-0000-0000F33F0000}"/>
    <cellStyle name="Positive 2 2 2 9 3 2 9" xfId="16359" xr:uid="{00000000-0005-0000-0000-0000F43F0000}"/>
    <cellStyle name="Positive 2 2 2 9 3 2 9 2" xfId="16360" xr:uid="{00000000-0005-0000-0000-0000F53F0000}"/>
    <cellStyle name="Positive 2 2 2 9 3 20" xfId="16361" xr:uid="{00000000-0005-0000-0000-0000F63F0000}"/>
    <cellStyle name="Positive 2 2 2 9 3 3" xfId="16362" xr:uid="{00000000-0005-0000-0000-0000F73F0000}"/>
    <cellStyle name="Positive 2 2 2 9 3 3 2" xfId="16363" xr:uid="{00000000-0005-0000-0000-0000F83F0000}"/>
    <cellStyle name="Positive 2 2 2 9 3 3 2 2" xfId="16364" xr:uid="{00000000-0005-0000-0000-0000F93F0000}"/>
    <cellStyle name="Positive 2 2 2 9 3 3 3" xfId="16365" xr:uid="{00000000-0005-0000-0000-0000FA3F0000}"/>
    <cellStyle name="Positive 2 2 2 9 3 4" xfId="16366" xr:uid="{00000000-0005-0000-0000-0000FB3F0000}"/>
    <cellStyle name="Positive 2 2 2 9 3 4 2" xfId="16367" xr:uid="{00000000-0005-0000-0000-0000FC3F0000}"/>
    <cellStyle name="Positive 2 2 2 9 3 4 2 2" xfId="16368" xr:uid="{00000000-0005-0000-0000-0000FD3F0000}"/>
    <cellStyle name="Positive 2 2 2 9 3 4 3" xfId="16369" xr:uid="{00000000-0005-0000-0000-0000FE3F0000}"/>
    <cellStyle name="Positive 2 2 2 9 3 5" xfId="16370" xr:uid="{00000000-0005-0000-0000-0000FF3F0000}"/>
    <cellStyle name="Positive 2 2 2 9 3 5 2" xfId="16371" xr:uid="{00000000-0005-0000-0000-000000400000}"/>
    <cellStyle name="Positive 2 2 2 9 3 6" xfId="16372" xr:uid="{00000000-0005-0000-0000-000001400000}"/>
    <cellStyle name="Positive 2 2 2 9 3 6 2" xfId="16373" xr:uid="{00000000-0005-0000-0000-000002400000}"/>
    <cellStyle name="Positive 2 2 2 9 3 7" xfId="16374" xr:uid="{00000000-0005-0000-0000-000003400000}"/>
    <cellStyle name="Positive 2 2 2 9 3 7 2" xfId="16375" xr:uid="{00000000-0005-0000-0000-000004400000}"/>
    <cellStyle name="Positive 2 2 2 9 3 8" xfId="16376" xr:uid="{00000000-0005-0000-0000-000005400000}"/>
    <cellStyle name="Positive 2 2 2 9 3 8 2" xfId="16377" xr:uid="{00000000-0005-0000-0000-000006400000}"/>
    <cellStyle name="Positive 2 2 2 9 3 9" xfId="16378" xr:uid="{00000000-0005-0000-0000-000007400000}"/>
    <cellStyle name="Positive 2 2 2 9 3 9 2" xfId="16379" xr:uid="{00000000-0005-0000-0000-000008400000}"/>
    <cellStyle name="Positive 2 2 2 9 4" xfId="16380" xr:uid="{00000000-0005-0000-0000-000009400000}"/>
    <cellStyle name="Positive 2 2 2 9 4 10" xfId="16381" xr:uid="{00000000-0005-0000-0000-00000A400000}"/>
    <cellStyle name="Positive 2 2 2 9 4 10 2" xfId="16382" xr:uid="{00000000-0005-0000-0000-00000B400000}"/>
    <cellStyle name="Positive 2 2 2 9 4 11" xfId="16383" xr:uid="{00000000-0005-0000-0000-00000C400000}"/>
    <cellStyle name="Positive 2 2 2 9 4 11 2" xfId="16384" xr:uid="{00000000-0005-0000-0000-00000D400000}"/>
    <cellStyle name="Positive 2 2 2 9 4 12" xfId="16385" xr:uid="{00000000-0005-0000-0000-00000E400000}"/>
    <cellStyle name="Positive 2 2 2 9 4 12 2" xfId="16386" xr:uid="{00000000-0005-0000-0000-00000F400000}"/>
    <cellStyle name="Positive 2 2 2 9 4 13" xfId="16387" xr:uid="{00000000-0005-0000-0000-000010400000}"/>
    <cellStyle name="Positive 2 2 2 9 4 13 2" xfId="16388" xr:uid="{00000000-0005-0000-0000-000011400000}"/>
    <cellStyle name="Positive 2 2 2 9 4 14" xfId="16389" xr:uid="{00000000-0005-0000-0000-000012400000}"/>
    <cellStyle name="Positive 2 2 2 9 4 14 2" xfId="16390" xr:uid="{00000000-0005-0000-0000-000013400000}"/>
    <cellStyle name="Positive 2 2 2 9 4 15" xfId="16391" xr:uid="{00000000-0005-0000-0000-000014400000}"/>
    <cellStyle name="Positive 2 2 2 9 4 15 2" xfId="16392" xr:uid="{00000000-0005-0000-0000-000015400000}"/>
    <cellStyle name="Positive 2 2 2 9 4 16" xfId="16393" xr:uid="{00000000-0005-0000-0000-000016400000}"/>
    <cellStyle name="Positive 2 2 2 9 4 16 2" xfId="16394" xr:uid="{00000000-0005-0000-0000-000017400000}"/>
    <cellStyle name="Positive 2 2 2 9 4 17" xfId="16395" xr:uid="{00000000-0005-0000-0000-000018400000}"/>
    <cellStyle name="Positive 2 2 2 9 4 17 2" xfId="16396" xr:uid="{00000000-0005-0000-0000-000019400000}"/>
    <cellStyle name="Positive 2 2 2 9 4 18" xfId="16397" xr:uid="{00000000-0005-0000-0000-00001A400000}"/>
    <cellStyle name="Positive 2 2 2 9 4 18 2" xfId="16398" xr:uid="{00000000-0005-0000-0000-00001B400000}"/>
    <cellStyle name="Positive 2 2 2 9 4 19" xfId="16399" xr:uid="{00000000-0005-0000-0000-00001C400000}"/>
    <cellStyle name="Positive 2 2 2 9 4 19 2" xfId="16400" xr:uid="{00000000-0005-0000-0000-00001D400000}"/>
    <cellStyle name="Positive 2 2 2 9 4 2" xfId="16401" xr:uid="{00000000-0005-0000-0000-00001E400000}"/>
    <cellStyle name="Positive 2 2 2 9 4 2 10" xfId="16402" xr:uid="{00000000-0005-0000-0000-00001F400000}"/>
    <cellStyle name="Positive 2 2 2 9 4 2 10 2" xfId="16403" xr:uid="{00000000-0005-0000-0000-000020400000}"/>
    <cellStyle name="Positive 2 2 2 9 4 2 11" xfId="16404" xr:uid="{00000000-0005-0000-0000-000021400000}"/>
    <cellStyle name="Positive 2 2 2 9 4 2 11 2" xfId="16405" xr:uid="{00000000-0005-0000-0000-000022400000}"/>
    <cellStyle name="Positive 2 2 2 9 4 2 12" xfId="16406" xr:uid="{00000000-0005-0000-0000-000023400000}"/>
    <cellStyle name="Positive 2 2 2 9 4 2 12 2" xfId="16407" xr:uid="{00000000-0005-0000-0000-000024400000}"/>
    <cellStyle name="Positive 2 2 2 9 4 2 13" xfId="16408" xr:uid="{00000000-0005-0000-0000-000025400000}"/>
    <cellStyle name="Positive 2 2 2 9 4 2 13 2" xfId="16409" xr:uid="{00000000-0005-0000-0000-000026400000}"/>
    <cellStyle name="Positive 2 2 2 9 4 2 14" xfId="16410" xr:uid="{00000000-0005-0000-0000-000027400000}"/>
    <cellStyle name="Positive 2 2 2 9 4 2 14 2" xfId="16411" xr:uid="{00000000-0005-0000-0000-000028400000}"/>
    <cellStyle name="Positive 2 2 2 9 4 2 15" xfId="16412" xr:uid="{00000000-0005-0000-0000-000029400000}"/>
    <cellStyle name="Positive 2 2 2 9 4 2 15 2" xfId="16413" xr:uid="{00000000-0005-0000-0000-00002A400000}"/>
    <cellStyle name="Positive 2 2 2 9 4 2 16" xfId="16414" xr:uid="{00000000-0005-0000-0000-00002B400000}"/>
    <cellStyle name="Positive 2 2 2 9 4 2 16 2" xfId="16415" xr:uid="{00000000-0005-0000-0000-00002C400000}"/>
    <cellStyle name="Positive 2 2 2 9 4 2 17" xfId="16416" xr:uid="{00000000-0005-0000-0000-00002D400000}"/>
    <cellStyle name="Positive 2 2 2 9 4 2 2" xfId="16417" xr:uid="{00000000-0005-0000-0000-00002E400000}"/>
    <cellStyle name="Positive 2 2 2 9 4 2 2 2" xfId="16418" xr:uid="{00000000-0005-0000-0000-00002F400000}"/>
    <cellStyle name="Positive 2 2 2 9 4 2 3" xfId="16419" xr:uid="{00000000-0005-0000-0000-000030400000}"/>
    <cellStyle name="Positive 2 2 2 9 4 2 3 2" xfId="16420" xr:uid="{00000000-0005-0000-0000-000031400000}"/>
    <cellStyle name="Positive 2 2 2 9 4 2 4" xfId="16421" xr:uid="{00000000-0005-0000-0000-000032400000}"/>
    <cellStyle name="Positive 2 2 2 9 4 2 4 2" xfId="16422" xr:uid="{00000000-0005-0000-0000-000033400000}"/>
    <cellStyle name="Positive 2 2 2 9 4 2 5" xfId="16423" xr:uid="{00000000-0005-0000-0000-000034400000}"/>
    <cellStyle name="Positive 2 2 2 9 4 2 5 2" xfId="16424" xr:uid="{00000000-0005-0000-0000-000035400000}"/>
    <cellStyle name="Positive 2 2 2 9 4 2 6" xfId="16425" xr:uid="{00000000-0005-0000-0000-000036400000}"/>
    <cellStyle name="Positive 2 2 2 9 4 2 6 2" xfId="16426" xr:uid="{00000000-0005-0000-0000-000037400000}"/>
    <cellStyle name="Positive 2 2 2 9 4 2 7" xfId="16427" xr:uid="{00000000-0005-0000-0000-000038400000}"/>
    <cellStyle name="Positive 2 2 2 9 4 2 7 2" xfId="16428" xr:uid="{00000000-0005-0000-0000-000039400000}"/>
    <cellStyle name="Positive 2 2 2 9 4 2 8" xfId="16429" xr:uid="{00000000-0005-0000-0000-00003A400000}"/>
    <cellStyle name="Positive 2 2 2 9 4 2 8 2" xfId="16430" xr:uid="{00000000-0005-0000-0000-00003B400000}"/>
    <cellStyle name="Positive 2 2 2 9 4 2 9" xfId="16431" xr:uid="{00000000-0005-0000-0000-00003C400000}"/>
    <cellStyle name="Positive 2 2 2 9 4 2 9 2" xfId="16432" xr:uid="{00000000-0005-0000-0000-00003D400000}"/>
    <cellStyle name="Positive 2 2 2 9 4 20" xfId="16433" xr:uid="{00000000-0005-0000-0000-00003E400000}"/>
    <cellStyle name="Positive 2 2 2 9 4 3" xfId="16434" xr:uid="{00000000-0005-0000-0000-00003F400000}"/>
    <cellStyle name="Positive 2 2 2 9 4 3 2" xfId="16435" xr:uid="{00000000-0005-0000-0000-000040400000}"/>
    <cellStyle name="Positive 2 2 2 9 4 3 2 2" xfId="16436" xr:uid="{00000000-0005-0000-0000-000041400000}"/>
    <cellStyle name="Positive 2 2 2 9 4 3 3" xfId="16437" xr:uid="{00000000-0005-0000-0000-000042400000}"/>
    <cellStyle name="Positive 2 2 2 9 4 4" xfId="16438" xr:uid="{00000000-0005-0000-0000-000043400000}"/>
    <cellStyle name="Positive 2 2 2 9 4 4 2" xfId="16439" xr:uid="{00000000-0005-0000-0000-000044400000}"/>
    <cellStyle name="Positive 2 2 2 9 4 4 2 2" xfId="16440" xr:uid="{00000000-0005-0000-0000-000045400000}"/>
    <cellStyle name="Positive 2 2 2 9 4 4 3" xfId="16441" xr:uid="{00000000-0005-0000-0000-000046400000}"/>
    <cellStyle name="Positive 2 2 2 9 4 5" xfId="16442" xr:uid="{00000000-0005-0000-0000-000047400000}"/>
    <cellStyle name="Positive 2 2 2 9 4 5 2" xfId="16443" xr:uid="{00000000-0005-0000-0000-000048400000}"/>
    <cellStyle name="Positive 2 2 2 9 4 6" xfId="16444" xr:uid="{00000000-0005-0000-0000-000049400000}"/>
    <cellStyle name="Positive 2 2 2 9 4 6 2" xfId="16445" xr:uid="{00000000-0005-0000-0000-00004A400000}"/>
    <cellStyle name="Positive 2 2 2 9 4 7" xfId="16446" xr:uid="{00000000-0005-0000-0000-00004B400000}"/>
    <cellStyle name="Positive 2 2 2 9 4 7 2" xfId="16447" xr:uid="{00000000-0005-0000-0000-00004C400000}"/>
    <cellStyle name="Positive 2 2 2 9 4 8" xfId="16448" xr:uid="{00000000-0005-0000-0000-00004D400000}"/>
    <cellStyle name="Positive 2 2 2 9 4 8 2" xfId="16449" xr:uid="{00000000-0005-0000-0000-00004E400000}"/>
    <cellStyle name="Positive 2 2 2 9 4 9" xfId="16450" xr:uid="{00000000-0005-0000-0000-00004F400000}"/>
    <cellStyle name="Positive 2 2 2 9 4 9 2" xfId="16451" xr:uid="{00000000-0005-0000-0000-000050400000}"/>
    <cellStyle name="Positive 2 2 2 9 5" xfId="16452" xr:uid="{00000000-0005-0000-0000-000051400000}"/>
    <cellStyle name="Positive 2 2 2 9 5 10" xfId="16453" xr:uid="{00000000-0005-0000-0000-000052400000}"/>
    <cellStyle name="Positive 2 2 2 9 5 10 2" xfId="16454" xr:uid="{00000000-0005-0000-0000-000053400000}"/>
    <cellStyle name="Positive 2 2 2 9 5 11" xfId="16455" xr:uid="{00000000-0005-0000-0000-000054400000}"/>
    <cellStyle name="Positive 2 2 2 9 5 11 2" xfId="16456" xr:uid="{00000000-0005-0000-0000-000055400000}"/>
    <cellStyle name="Positive 2 2 2 9 5 12" xfId="16457" xr:uid="{00000000-0005-0000-0000-000056400000}"/>
    <cellStyle name="Positive 2 2 2 9 5 12 2" xfId="16458" xr:uid="{00000000-0005-0000-0000-000057400000}"/>
    <cellStyle name="Positive 2 2 2 9 5 13" xfId="16459" xr:uid="{00000000-0005-0000-0000-000058400000}"/>
    <cellStyle name="Positive 2 2 2 9 5 13 2" xfId="16460" xr:uid="{00000000-0005-0000-0000-000059400000}"/>
    <cellStyle name="Positive 2 2 2 9 5 14" xfId="16461" xr:uid="{00000000-0005-0000-0000-00005A400000}"/>
    <cellStyle name="Positive 2 2 2 9 5 14 2" xfId="16462" xr:uid="{00000000-0005-0000-0000-00005B400000}"/>
    <cellStyle name="Positive 2 2 2 9 5 15" xfId="16463" xr:uid="{00000000-0005-0000-0000-00005C400000}"/>
    <cellStyle name="Positive 2 2 2 9 5 15 2" xfId="16464" xr:uid="{00000000-0005-0000-0000-00005D400000}"/>
    <cellStyle name="Positive 2 2 2 9 5 16" xfId="16465" xr:uid="{00000000-0005-0000-0000-00005E400000}"/>
    <cellStyle name="Positive 2 2 2 9 5 16 2" xfId="16466" xr:uid="{00000000-0005-0000-0000-00005F400000}"/>
    <cellStyle name="Positive 2 2 2 9 5 17" xfId="16467" xr:uid="{00000000-0005-0000-0000-000060400000}"/>
    <cellStyle name="Positive 2 2 2 9 5 2" xfId="16468" xr:uid="{00000000-0005-0000-0000-000061400000}"/>
    <cellStyle name="Positive 2 2 2 9 5 2 2" xfId="16469" xr:uid="{00000000-0005-0000-0000-000062400000}"/>
    <cellStyle name="Positive 2 2 2 9 5 3" xfId="16470" xr:uid="{00000000-0005-0000-0000-000063400000}"/>
    <cellStyle name="Positive 2 2 2 9 5 3 2" xfId="16471" xr:uid="{00000000-0005-0000-0000-000064400000}"/>
    <cellStyle name="Positive 2 2 2 9 5 4" xfId="16472" xr:uid="{00000000-0005-0000-0000-000065400000}"/>
    <cellStyle name="Positive 2 2 2 9 5 4 2" xfId="16473" xr:uid="{00000000-0005-0000-0000-000066400000}"/>
    <cellStyle name="Positive 2 2 2 9 5 5" xfId="16474" xr:uid="{00000000-0005-0000-0000-000067400000}"/>
    <cellStyle name="Positive 2 2 2 9 5 5 2" xfId="16475" xr:uid="{00000000-0005-0000-0000-000068400000}"/>
    <cellStyle name="Positive 2 2 2 9 5 6" xfId="16476" xr:uid="{00000000-0005-0000-0000-000069400000}"/>
    <cellStyle name="Positive 2 2 2 9 5 6 2" xfId="16477" xr:uid="{00000000-0005-0000-0000-00006A400000}"/>
    <cellStyle name="Positive 2 2 2 9 5 7" xfId="16478" xr:uid="{00000000-0005-0000-0000-00006B400000}"/>
    <cellStyle name="Positive 2 2 2 9 5 7 2" xfId="16479" xr:uid="{00000000-0005-0000-0000-00006C400000}"/>
    <cellStyle name="Positive 2 2 2 9 5 8" xfId="16480" xr:uid="{00000000-0005-0000-0000-00006D400000}"/>
    <cellStyle name="Positive 2 2 2 9 5 8 2" xfId="16481" xr:uid="{00000000-0005-0000-0000-00006E400000}"/>
    <cellStyle name="Positive 2 2 2 9 5 9" xfId="16482" xr:uid="{00000000-0005-0000-0000-00006F400000}"/>
    <cellStyle name="Positive 2 2 2 9 5 9 2" xfId="16483" xr:uid="{00000000-0005-0000-0000-000070400000}"/>
    <cellStyle name="Positive 2 2 2 9 6" xfId="16484" xr:uid="{00000000-0005-0000-0000-000071400000}"/>
    <cellStyle name="Positive 2 2 2 9 6 2" xfId="16485" xr:uid="{00000000-0005-0000-0000-000072400000}"/>
    <cellStyle name="Positive 2 2 2 9 6 2 2" xfId="16486" xr:uid="{00000000-0005-0000-0000-000073400000}"/>
    <cellStyle name="Positive 2 2 2 9 6 3" xfId="16487" xr:uid="{00000000-0005-0000-0000-000074400000}"/>
    <cellStyle name="Positive 2 2 2 9 7" xfId="16488" xr:uid="{00000000-0005-0000-0000-000075400000}"/>
    <cellStyle name="Positive 2 2 2 9 7 2" xfId="16489" xr:uid="{00000000-0005-0000-0000-000076400000}"/>
    <cellStyle name="Positive 2 2 2 9 7 2 2" xfId="16490" xr:uid="{00000000-0005-0000-0000-000077400000}"/>
    <cellStyle name="Positive 2 2 2 9 7 3" xfId="16491" xr:uid="{00000000-0005-0000-0000-000078400000}"/>
    <cellStyle name="Positive 2 2 2 9 8" xfId="16492" xr:uid="{00000000-0005-0000-0000-000079400000}"/>
    <cellStyle name="Positive 2 2 2 9 8 2" xfId="16493" xr:uid="{00000000-0005-0000-0000-00007A400000}"/>
    <cellStyle name="Positive 2 2 2 9 9" xfId="16494" xr:uid="{00000000-0005-0000-0000-00007B400000}"/>
    <cellStyle name="Positive 2 2 2 9 9 2" xfId="16495" xr:uid="{00000000-0005-0000-0000-00007C400000}"/>
    <cellStyle name="Positive 2 2 20" xfId="16496" xr:uid="{00000000-0005-0000-0000-00007D400000}"/>
    <cellStyle name="Positive 2 2 20 10" xfId="16497" xr:uid="{00000000-0005-0000-0000-00007E400000}"/>
    <cellStyle name="Positive 2 2 20 10 2" xfId="16498" xr:uid="{00000000-0005-0000-0000-00007F400000}"/>
    <cellStyle name="Positive 2 2 20 11" xfId="16499" xr:uid="{00000000-0005-0000-0000-000080400000}"/>
    <cellStyle name="Positive 2 2 20 11 2" xfId="16500" xr:uid="{00000000-0005-0000-0000-000081400000}"/>
    <cellStyle name="Positive 2 2 20 12" xfId="16501" xr:uid="{00000000-0005-0000-0000-000082400000}"/>
    <cellStyle name="Positive 2 2 20 12 2" xfId="16502" xr:uid="{00000000-0005-0000-0000-000083400000}"/>
    <cellStyle name="Positive 2 2 20 13" xfId="16503" xr:uid="{00000000-0005-0000-0000-000084400000}"/>
    <cellStyle name="Positive 2 2 20 13 2" xfId="16504" xr:uid="{00000000-0005-0000-0000-000085400000}"/>
    <cellStyle name="Positive 2 2 20 14" xfId="16505" xr:uid="{00000000-0005-0000-0000-000086400000}"/>
    <cellStyle name="Positive 2 2 20 14 2" xfId="16506" xr:uid="{00000000-0005-0000-0000-000087400000}"/>
    <cellStyle name="Positive 2 2 20 15" xfId="16507" xr:uid="{00000000-0005-0000-0000-000088400000}"/>
    <cellStyle name="Positive 2 2 20 15 2" xfId="16508" xr:uid="{00000000-0005-0000-0000-000089400000}"/>
    <cellStyle name="Positive 2 2 20 16" xfId="16509" xr:uid="{00000000-0005-0000-0000-00008A400000}"/>
    <cellStyle name="Positive 2 2 20 16 2" xfId="16510" xr:uid="{00000000-0005-0000-0000-00008B400000}"/>
    <cellStyle name="Positive 2 2 20 17" xfId="16511" xr:uid="{00000000-0005-0000-0000-00008C400000}"/>
    <cellStyle name="Positive 2 2 20 17 2" xfId="16512" xr:uid="{00000000-0005-0000-0000-00008D400000}"/>
    <cellStyle name="Positive 2 2 20 18" xfId="16513" xr:uid="{00000000-0005-0000-0000-00008E400000}"/>
    <cellStyle name="Positive 2 2 20 18 2" xfId="16514" xr:uid="{00000000-0005-0000-0000-00008F400000}"/>
    <cellStyle name="Positive 2 2 20 19" xfId="16515" xr:uid="{00000000-0005-0000-0000-000090400000}"/>
    <cellStyle name="Positive 2 2 20 19 2" xfId="16516" xr:uid="{00000000-0005-0000-0000-000091400000}"/>
    <cellStyle name="Positive 2 2 20 2" xfId="16517" xr:uid="{00000000-0005-0000-0000-000092400000}"/>
    <cellStyle name="Positive 2 2 20 2 10" xfId="16518" xr:uid="{00000000-0005-0000-0000-000093400000}"/>
    <cellStyle name="Positive 2 2 20 2 10 2" xfId="16519" xr:uid="{00000000-0005-0000-0000-000094400000}"/>
    <cellStyle name="Positive 2 2 20 2 11" xfId="16520" xr:uid="{00000000-0005-0000-0000-000095400000}"/>
    <cellStyle name="Positive 2 2 20 2 11 2" xfId="16521" xr:uid="{00000000-0005-0000-0000-000096400000}"/>
    <cellStyle name="Positive 2 2 20 2 12" xfId="16522" xr:uid="{00000000-0005-0000-0000-000097400000}"/>
    <cellStyle name="Positive 2 2 20 2 12 2" xfId="16523" xr:uid="{00000000-0005-0000-0000-000098400000}"/>
    <cellStyle name="Positive 2 2 20 2 13" xfId="16524" xr:uid="{00000000-0005-0000-0000-000099400000}"/>
    <cellStyle name="Positive 2 2 20 2 13 2" xfId="16525" xr:uid="{00000000-0005-0000-0000-00009A400000}"/>
    <cellStyle name="Positive 2 2 20 2 14" xfId="16526" xr:uid="{00000000-0005-0000-0000-00009B400000}"/>
    <cellStyle name="Positive 2 2 20 2 14 2" xfId="16527" xr:uid="{00000000-0005-0000-0000-00009C400000}"/>
    <cellStyle name="Positive 2 2 20 2 15" xfId="16528" xr:uid="{00000000-0005-0000-0000-00009D400000}"/>
    <cellStyle name="Positive 2 2 20 2 15 2" xfId="16529" xr:uid="{00000000-0005-0000-0000-00009E400000}"/>
    <cellStyle name="Positive 2 2 20 2 16" xfId="16530" xr:uid="{00000000-0005-0000-0000-00009F400000}"/>
    <cellStyle name="Positive 2 2 20 2 16 2" xfId="16531" xr:uid="{00000000-0005-0000-0000-0000A0400000}"/>
    <cellStyle name="Positive 2 2 20 2 17" xfId="16532" xr:uid="{00000000-0005-0000-0000-0000A1400000}"/>
    <cellStyle name="Positive 2 2 20 2 17 2" xfId="16533" xr:uid="{00000000-0005-0000-0000-0000A2400000}"/>
    <cellStyle name="Positive 2 2 20 2 18" xfId="16534" xr:uid="{00000000-0005-0000-0000-0000A3400000}"/>
    <cellStyle name="Positive 2 2 20 2 18 2" xfId="16535" xr:uid="{00000000-0005-0000-0000-0000A4400000}"/>
    <cellStyle name="Positive 2 2 20 2 19" xfId="16536" xr:uid="{00000000-0005-0000-0000-0000A5400000}"/>
    <cellStyle name="Positive 2 2 20 2 19 2" xfId="16537" xr:uid="{00000000-0005-0000-0000-0000A6400000}"/>
    <cellStyle name="Positive 2 2 20 2 2" xfId="16538" xr:uid="{00000000-0005-0000-0000-0000A7400000}"/>
    <cellStyle name="Positive 2 2 20 2 2 10" xfId="16539" xr:uid="{00000000-0005-0000-0000-0000A8400000}"/>
    <cellStyle name="Positive 2 2 20 2 2 10 2" xfId="16540" xr:uid="{00000000-0005-0000-0000-0000A9400000}"/>
    <cellStyle name="Positive 2 2 20 2 2 11" xfId="16541" xr:uid="{00000000-0005-0000-0000-0000AA400000}"/>
    <cellStyle name="Positive 2 2 20 2 2 11 2" xfId="16542" xr:uid="{00000000-0005-0000-0000-0000AB400000}"/>
    <cellStyle name="Positive 2 2 20 2 2 12" xfId="16543" xr:uid="{00000000-0005-0000-0000-0000AC400000}"/>
    <cellStyle name="Positive 2 2 20 2 2 12 2" xfId="16544" xr:uid="{00000000-0005-0000-0000-0000AD400000}"/>
    <cellStyle name="Positive 2 2 20 2 2 13" xfId="16545" xr:uid="{00000000-0005-0000-0000-0000AE400000}"/>
    <cellStyle name="Positive 2 2 20 2 2 13 2" xfId="16546" xr:uid="{00000000-0005-0000-0000-0000AF400000}"/>
    <cellStyle name="Positive 2 2 20 2 2 14" xfId="16547" xr:uid="{00000000-0005-0000-0000-0000B0400000}"/>
    <cellStyle name="Positive 2 2 20 2 2 14 2" xfId="16548" xr:uid="{00000000-0005-0000-0000-0000B1400000}"/>
    <cellStyle name="Positive 2 2 20 2 2 15" xfId="16549" xr:uid="{00000000-0005-0000-0000-0000B2400000}"/>
    <cellStyle name="Positive 2 2 20 2 2 15 2" xfId="16550" xr:uid="{00000000-0005-0000-0000-0000B3400000}"/>
    <cellStyle name="Positive 2 2 20 2 2 16" xfId="16551" xr:uid="{00000000-0005-0000-0000-0000B4400000}"/>
    <cellStyle name="Positive 2 2 20 2 2 16 2" xfId="16552" xr:uid="{00000000-0005-0000-0000-0000B5400000}"/>
    <cellStyle name="Positive 2 2 20 2 2 17" xfId="16553" xr:uid="{00000000-0005-0000-0000-0000B6400000}"/>
    <cellStyle name="Positive 2 2 20 2 2 2" xfId="16554" xr:uid="{00000000-0005-0000-0000-0000B7400000}"/>
    <cellStyle name="Positive 2 2 20 2 2 2 2" xfId="16555" xr:uid="{00000000-0005-0000-0000-0000B8400000}"/>
    <cellStyle name="Positive 2 2 20 2 2 3" xfId="16556" xr:uid="{00000000-0005-0000-0000-0000B9400000}"/>
    <cellStyle name="Positive 2 2 20 2 2 3 2" xfId="16557" xr:uid="{00000000-0005-0000-0000-0000BA400000}"/>
    <cellStyle name="Positive 2 2 20 2 2 4" xfId="16558" xr:uid="{00000000-0005-0000-0000-0000BB400000}"/>
    <cellStyle name="Positive 2 2 20 2 2 4 2" xfId="16559" xr:uid="{00000000-0005-0000-0000-0000BC400000}"/>
    <cellStyle name="Positive 2 2 20 2 2 5" xfId="16560" xr:uid="{00000000-0005-0000-0000-0000BD400000}"/>
    <cellStyle name="Positive 2 2 20 2 2 5 2" xfId="16561" xr:uid="{00000000-0005-0000-0000-0000BE400000}"/>
    <cellStyle name="Positive 2 2 20 2 2 6" xfId="16562" xr:uid="{00000000-0005-0000-0000-0000BF400000}"/>
    <cellStyle name="Positive 2 2 20 2 2 6 2" xfId="16563" xr:uid="{00000000-0005-0000-0000-0000C0400000}"/>
    <cellStyle name="Positive 2 2 20 2 2 7" xfId="16564" xr:uid="{00000000-0005-0000-0000-0000C1400000}"/>
    <cellStyle name="Positive 2 2 20 2 2 7 2" xfId="16565" xr:uid="{00000000-0005-0000-0000-0000C2400000}"/>
    <cellStyle name="Positive 2 2 20 2 2 8" xfId="16566" xr:uid="{00000000-0005-0000-0000-0000C3400000}"/>
    <cellStyle name="Positive 2 2 20 2 2 8 2" xfId="16567" xr:uid="{00000000-0005-0000-0000-0000C4400000}"/>
    <cellStyle name="Positive 2 2 20 2 2 9" xfId="16568" xr:uid="{00000000-0005-0000-0000-0000C5400000}"/>
    <cellStyle name="Positive 2 2 20 2 2 9 2" xfId="16569" xr:uid="{00000000-0005-0000-0000-0000C6400000}"/>
    <cellStyle name="Positive 2 2 20 2 20" xfId="16570" xr:uid="{00000000-0005-0000-0000-0000C7400000}"/>
    <cellStyle name="Positive 2 2 20 2 3" xfId="16571" xr:uid="{00000000-0005-0000-0000-0000C8400000}"/>
    <cellStyle name="Positive 2 2 20 2 3 2" xfId="16572" xr:uid="{00000000-0005-0000-0000-0000C9400000}"/>
    <cellStyle name="Positive 2 2 20 2 3 2 2" xfId="16573" xr:uid="{00000000-0005-0000-0000-0000CA400000}"/>
    <cellStyle name="Positive 2 2 20 2 3 3" xfId="16574" xr:uid="{00000000-0005-0000-0000-0000CB400000}"/>
    <cellStyle name="Positive 2 2 20 2 4" xfId="16575" xr:uid="{00000000-0005-0000-0000-0000CC400000}"/>
    <cellStyle name="Positive 2 2 20 2 4 2" xfId="16576" xr:uid="{00000000-0005-0000-0000-0000CD400000}"/>
    <cellStyle name="Positive 2 2 20 2 4 2 2" xfId="16577" xr:uid="{00000000-0005-0000-0000-0000CE400000}"/>
    <cellStyle name="Positive 2 2 20 2 4 3" xfId="16578" xr:uid="{00000000-0005-0000-0000-0000CF400000}"/>
    <cellStyle name="Positive 2 2 20 2 5" xfId="16579" xr:uid="{00000000-0005-0000-0000-0000D0400000}"/>
    <cellStyle name="Positive 2 2 20 2 5 2" xfId="16580" xr:uid="{00000000-0005-0000-0000-0000D1400000}"/>
    <cellStyle name="Positive 2 2 20 2 6" xfId="16581" xr:uid="{00000000-0005-0000-0000-0000D2400000}"/>
    <cellStyle name="Positive 2 2 20 2 6 2" xfId="16582" xr:uid="{00000000-0005-0000-0000-0000D3400000}"/>
    <cellStyle name="Positive 2 2 20 2 7" xfId="16583" xr:uid="{00000000-0005-0000-0000-0000D4400000}"/>
    <cellStyle name="Positive 2 2 20 2 7 2" xfId="16584" xr:uid="{00000000-0005-0000-0000-0000D5400000}"/>
    <cellStyle name="Positive 2 2 20 2 8" xfId="16585" xr:uid="{00000000-0005-0000-0000-0000D6400000}"/>
    <cellStyle name="Positive 2 2 20 2 8 2" xfId="16586" xr:uid="{00000000-0005-0000-0000-0000D7400000}"/>
    <cellStyle name="Positive 2 2 20 2 9" xfId="16587" xr:uid="{00000000-0005-0000-0000-0000D8400000}"/>
    <cellStyle name="Positive 2 2 20 2 9 2" xfId="16588" xr:uid="{00000000-0005-0000-0000-0000D9400000}"/>
    <cellStyle name="Positive 2 2 20 20" xfId="16589" xr:uid="{00000000-0005-0000-0000-0000DA400000}"/>
    <cellStyle name="Positive 2 2 20 20 2" xfId="16590" xr:uid="{00000000-0005-0000-0000-0000DB400000}"/>
    <cellStyle name="Positive 2 2 20 21" xfId="16591" xr:uid="{00000000-0005-0000-0000-0000DC400000}"/>
    <cellStyle name="Positive 2 2 20 21 2" xfId="16592" xr:uid="{00000000-0005-0000-0000-0000DD400000}"/>
    <cellStyle name="Positive 2 2 20 22" xfId="16593" xr:uid="{00000000-0005-0000-0000-0000DE400000}"/>
    <cellStyle name="Positive 2 2 20 22 2" xfId="16594" xr:uid="{00000000-0005-0000-0000-0000DF400000}"/>
    <cellStyle name="Positive 2 2 20 23" xfId="16595" xr:uid="{00000000-0005-0000-0000-0000E0400000}"/>
    <cellStyle name="Positive 2 2 20 3" xfId="16596" xr:uid="{00000000-0005-0000-0000-0000E1400000}"/>
    <cellStyle name="Positive 2 2 20 3 10" xfId="16597" xr:uid="{00000000-0005-0000-0000-0000E2400000}"/>
    <cellStyle name="Positive 2 2 20 3 10 2" xfId="16598" xr:uid="{00000000-0005-0000-0000-0000E3400000}"/>
    <cellStyle name="Positive 2 2 20 3 11" xfId="16599" xr:uid="{00000000-0005-0000-0000-0000E4400000}"/>
    <cellStyle name="Positive 2 2 20 3 11 2" xfId="16600" xr:uid="{00000000-0005-0000-0000-0000E5400000}"/>
    <cellStyle name="Positive 2 2 20 3 12" xfId="16601" xr:uid="{00000000-0005-0000-0000-0000E6400000}"/>
    <cellStyle name="Positive 2 2 20 3 12 2" xfId="16602" xr:uid="{00000000-0005-0000-0000-0000E7400000}"/>
    <cellStyle name="Positive 2 2 20 3 13" xfId="16603" xr:uid="{00000000-0005-0000-0000-0000E8400000}"/>
    <cellStyle name="Positive 2 2 20 3 13 2" xfId="16604" xr:uid="{00000000-0005-0000-0000-0000E9400000}"/>
    <cellStyle name="Positive 2 2 20 3 14" xfId="16605" xr:uid="{00000000-0005-0000-0000-0000EA400000}"/>
    <cellStyle name="Positive 2 2 20 3 14 2" xfId="16606" xr:uid="{00000000-0005-0000-0000-0000EB400000}"/>
    <cellStyle name="Positive 2 2 20 3 15" xfId="16607" xr:uid="{00000000-0005-0000-0000-0000EC400000}"/>
    <cellStyle name="Positive 2 2 20 3 15 2" xfId="16608" xr:uid="{00000000-0005-0000-0000-0000ED400000}"/>
    <cellStyle name="Positive 2 2 20 3 16" xfId="16609" xr:uid="{00000000-0005-0000-0000-0000EE400000}"/>
    <cellStyle name="Positive 2 2 20 3 16 2" xfId="16610" xr:uid="{00000000-0005-0000-0000-0000EF400000}"/>
    <cellStyle name="Positive 2 2 20 3 17" xfId="16611" xr:uid="{00000000-0005-0000-0000-0000F0400000}"/>
    <cellStyle name="Positive 2 2 20 3 17 2" xfId="16612" xr:uid="{00000000-0005-0000-0000-0000F1400000}"/>
    <cellStyle name="Positive 2 2 20 3 18" xfId="16613" xr:uid="{00000000-0005-0000-0000-0000F2400000}"/>
    <cellStyle name="Positive 2 2 20 3 18 2" xfId="16614" xr:uid="{00000000-0005-0000-0000-0000F3400000}"/>
    <cellStyle name="Positive 2 2 20 3 19" xfId="16615" xr:uid="{00000000-0005-0000-0000-0000F4400000}"/>
    <cellStyle name="Positive 2 2 20 3 19 2" xfId="16616" xr:uid="{00000000-0005-0000-0000-0000F5400000}"/>
    <cellStyle name="Positive 2 2 20 3 2" xfId="16617" xr:uid="{00000000-0005-0000-0000-0000F6400000}"/>
    <cellStyle name="Positive 2 2 20 3 2 10" xfId="16618" xr:uid="{00000000-0005-0000-0000-0000F7400000}"/>
    <cellStyle name="Positive 2 2 20 3 2 10 2" xfId="16619" xr:uid="{00000000-0005-0000-0000-0000F8400000}"/>
    <cellStyle name="Positive 2 2 20 3 2 11" xfId="16620" xr:uid="{00000000-0005-0000-0000-0000F9400000}"/>
    <cellStyle name="Positive 2 2 20 3 2 11 2" xfId="16621" xr:uid="{00000000-0005-0000-0000-0000FA400000}"/>
    <cellStyle name="Positive 2 2 20 3 2 12" xfId="16622" xr:uid="{00000000-0005-0000-0000-0000FB400000}"/>
    <cellStyle name="Positive 2 2 20 3 2 12 2" xfId="16623" xr:uid="{00000000-0005-0000-0000-0000FC400000}"/>
    <cellStyle name="Positive 2 2 20 3 2 13" xfId="16624" xr:uid="{00000000-0005-0000-0000-0000FD400000}"/>
    <cellStyle name="Positive 2 2 20 3 2 13 2" xfId="16625" xr:uid="{00000000-0005-0000-0000-0000FE400000}"/>
    <cellStyle name="Positive 2 2 20 3 2 14" xfId="16626" xr:uid="{00000000-0005-0000-0000-0000FF400000}"/>
    <cellStyle name="Positive 2 2 20 3 2 14 2" xfId="16627" xr:uid="{00000000-0005-0000-0000-000000410000}"/>
    <cellStyle name="Positive 2 2 20 3 2 15" xfId="16628" xr:uid="{00000000-0005-0000-0000-000001410000}"/>
    <cellStyle name="Positive 2 2 20 3 2 15 2" xfId="16629" xr:uid="{00000000-0005-0000-0000-000002410000}"/>
    <cellStyle name="Positive 2 2 20 3 2 16" xfId="16630" xr:uid="{00000000-0005-0000-0000-000003410000}"/>
    <cellStyle name="Positive 2 2 20 3 2 16 2" xfId="16631" xr:uid="{00000000-0005-0000-0000-000004410000}"/>
    <cellStyle name="Positive 2 2 20 3 2 17" xfId="16632" xr:uid="{00000000-0005-0000-0000-000005410000}"/>
    <cellStyle name="Positive 2 2 20 3 2 2" xfId="16633" xr:uid="{00000000-0005-0000-0000-000006410000}"/>
    <cellStyle name="Positive 2 2 20 3 2 2 2" xfId="16634" xr:uid="{00000000-0005-0000-0000-000007410000}"/>
    <cellStyle name="Positive 2 2 20 3 2 3" xfId="16635" xr:uid="{00000000-0005-0000-0000-000008410000}"/>
    <cellStyle name="Positive 2 2 20 3 2 3 2" xfId="16636" xr:uid="{00000000-0005-0000-0000-000009410000}"/>
    <cellStyle name="Positive 2 2 20 3 2 4" xfId="16637" xr:uid="{00000000-0005-0000-0000-00000A410000}"/>
    <cellStyle name="Positive 2 2 20 3 2 4 2" xfId="16638" xr:uid="{00000000-0005-0000-0000-00000B410000}"/>
    <cellStyle name="Positive 2 2 20 3 2 5" xfId="16639" xr:uid="{00000000-0005-0000-0000-00000C410000}"/>
    <cellStyle name="Positive 2 2 20 3 2 5 2" xfId="16640" xr:uid="{00000000-0005-0000-0000-00000D410000}"/>
    <cellStyle name="Positive 2 2 20 3 2 6" xfId="16641" xr:uid="{00000000-0005-0000-0000-00000E410000}"/>
    <cellStyle name="Positive 2 2 20 3 2 6 2" xfId="16642" xr:uid="{00000000-0005-0000-0000-00000F410000}"/>
    <cellStyle name="Positive 2 2 20 3 2 7" xfId="16643" xr:uid="{00000000-0005-0000-0000-000010410000}"/>
    <cellStyle name="Positive 2 2 20 3 2 7 2" xfId="16644" xr:uid="{00000000-0005-0000-0000-000011410000}"/>
    <cellStyle name="Positive 2 2 20 3 2 8" xfId="16645" xr:uid="{00000000-0005-0000-0000-000012410000}"/>
    <cellStyle name="Positive 2 2 20 3 2 8 2" xfId="16646" xr:uid="{00000000-0005-0000-0000-000013410000}"/>
    <cellStyle name="Positive 2 2 20 3 2 9" xfId="16647" xr:uid="{00000000-0005-0000-0000-000014410000}"/>
    <cellStyle name="Positive 2 2 20 3 2 9 2" xfId="16648" xr:uid="{00000000-0005-0000-0000-000015410000}"/>
    <cellStyle name="Positive 2 2 20 3 20" xfId="16649" xr:uid="{00000000-0005-0000-0000-000016410000}"/>
    <cellStyle name="Positive 2 2 20 3 3" xfId="16650" xr:uid="{00000000-0005-0000-0000-000017410000}"/>
    <cellStyle name="Positive 2 2 20 3 3 2" xfId="16651" xr:uid="{00000000-0005-0000-0000-000018410000}"/>
    <cellStyle name="Positive 2 2 20 3 3 2 2" xfId="16652" xr:uid="{00000000-0005-0000-0000-000019410000}"/>
    <cellStyle name="Positive 2 2 20 3 3 3" xfId="16653" xr:uid="{00000000-0005-0000-0000-00001A410000}"/>
    <cellStyle name="Positive 2 2 20 3 4" xfId="16654" xr:uid="{00000000-0005-0000-0000-00001B410000}"/>
    <cellStyle name="Positive 2 2 20 3 4 2" xfId="16655" xr:uid="{00000000-0005-0000-0000-00001C410000}"/>
    <cellStyle name="Positive 2 2 20 3 4 2 2" xfId="16656" xr:uid="{00000000-0005-0000-0000-00001D410000}"/>
    <cellStyle name="Positive 2 2 20 3 4 3" xfId="16657" xr:uid="{00000000-0005-0000-0000-00001E410000}"/>
    <cellStyle name="Positive 2 2 20 3 5" xfId="16658" xr:uid="{00000000-0005-0000-0000-00001F410000}"/>
    <cellStyle name="Positive 2 2 20 3 5 2" xfId="16659" xr:uid="{00000000-0005-0000-0000-000020410000}"/>
    <cellStyle name="Positive 2 2 20 3 6" xfId="16660" xr:uid="{00000000-0005-0000-0000-000021410000}"/>
    <cellStyle name="Positive 2 2 20 3 6 2" xfId="16661" xr:uid="{00000000-0005-0000-0000-000022410000}"/>
    <cellStyle name="Positive 2 2 20 3 7" xfId="16662" xr:uid="{00000000-0005-0000-0000-000023410000}"/>
    <cellStyle name="Positive 2 2 20 3 7 2" xfId="16663" xr:uid="{00000000-0005-0000-0000-000024410000}"/>
    <cellStyle name="Positive 2 2 20 3 8" xfId="16664" xr:uid="{00000000-0005-0000-0000-000025410000}"/>
    <cellStyle name="Positive 2 2 20 3 8 2" xfId="16665" xr:uid="{00000000-0005-0000-0000-000026410000}"/>
    <cellStyle name="Positive 2 2 20 3 9" xfId="16666" xr:uid="{00000000-0005-0000-0000-000027410000}"/>
    <cellStyle name="Positive 2 2 20 3 9 2" xfId="16667" xr:uid="{00000000-0005-0000-0000-000028410000}"/>
    <cellStyle name="Positive 2 2 20 4" xfId="16668" xr:uid="{00000000-0005-0000-0000-000029410000}"/>
    <cellStyle name="Positive 2 2 20 4 10" xfId="16669" xr:uid="{00000000-0005-0000-0000-00002A410000}"/>
    <cellStyle name="Positive 2 2 20 4 10 2" xfId="16670" xr:uid="{00000000-0005-0000-0000-00002B410000}"/>
    <cellStyle name="Positive 2 2 20 4 11" xfId="16671" xr:uid="{00000000-0005-0000-0000-00002C410000}"/>
    <cellStyle name="Positive 2 2 20 4 11 2" xfId="16672" xr:uid="{00000000-0005-0000-0000-00002D410000}"/>
    <cellStyle name="Positive 2 2 20 4 12" xfId="16673" xr:uid="{00000000-0005-0000-0000-00002E410000}"/>
    <cellStyle name="Positive 2 2 20 4 12 2" xfId="16674" xr:uid="{00000000-0005-0000-0000-00002F410000}"/>
    <cellStyle name="Positive 2 2 20 4 13" xfId="16675" xr:uid="{00000000-0005-0000-0000-000030410000}"/>
    <cellStyle name="Positive 2 2 20 4 13 2" xfId="16676" xr:uid="{00000000-0005-0000-0000-000031410000}"/>
    <cellStyle name="Positive 2 2 20 4 14" xfId="16677" xr:uid="{00000000-0005-0000-0000-000032410000}"/>
    <cellStyle name="Positive 2 2 20 4 14 2" xfId="16678" xr:uid="{00000000-0005-0000-0000-000033410000}"/>
    <cellStyle name="Positive 2 2 20 4 15" xfId="16679" xr:uid="{00000000-0005-0000-0000-000034410000}"/>
    <cellStyle name="Positive 2 2 20 4 15 2" xfId="16680" xr:uid="{00000000-0005-0000-0000-000035410000}"/>
    <cellStyle name="Positive 2 2 20 4 16" xfId="16681" xr:uid="{00000000-0005-0000-0000-000036410000}"/>
    <cellStyle name="Positive 2 2 20 4 16 2" xfId="16682" xr:uid="{00000000-0005-0000-0000-000037410000}"/>
    <cellStyle name="Positive 2 2 20 4 17" xfId="16683" xr:uid="{00000000-0005-0000-0000-000038410000}"/>
    <cellStyle name="Positive 2 2 20 4 17 2" xfId="16684" xr:uid="{00000000-0005-0000-0000-000039410000}"/>
    <cellStyle name="Positive 2 2 20 4 18" xfId="16685" xr:uid="{00000000-0005-0000-0000-00003A410000}"/>
    <cellStyle name="Positive 2 2 20 4 18 2" xfId="16686" xr:uid="{00000000-0005-0000-0000-00003B410000}"/>
    <cellStyle name="Positive 2 2 20 4 19" xfId="16687" xr:uid="{00000000-0005-0000-0000-00003C410000}"/>
    <cellStyle name="Positive 2 2 20 4 19 2" xfId="16688" xr:uid="{00000000-0005-0000-0000-00003D410000}"/>
    <cellStyle name="Positive 2 2 20 4 2" xfId="16689" xr:uid="{00000000-0005-0000-0000-00003E410000}"/>
    <cellStyle name="Positive 2 2 20 4 2 10" xfId="16690" xr:uid="{00000000-0005-0000-0000-00003F410000}"/>
    <cellStyle name="Positive 2 2 20 4 2 10 2" xfId="16691" xr:uid="{00000000-0005-0000-0000-000040410000}"/>
    <cellStyle name="Positive 2 2 20 4 2 11" xfId="16692" xr:uid="{00000000-0005-0000-0000-000041410000}"/>
    <cellStyle name="Positive 2 2 20 4 2 11 2" xfId="16693" xr:uid="{00000000-0005-0000-0000-000042410000}"/>
    <cellStyle name="Positive 2 2 20 4 2 12" xfId="16694" xr:uid="{00000000-0005-0000-0000-000043410000}"/>
    <cellStyle name="Positive 2 2 20 4 2 12 2" xfId="16695" xr:uid="{00000000-0005-0000-0000-000044410000}"/>
    <cellStyle name="Positive 2 2 20 4 2 13" xfId="16696" xr:uid="{00000000-0005-0000-0000-000045410000}"/>
    <cellStyle name="Positive 2 2 20 4 2 13 2" xfId="16697" xr:uid="{00000000-0005-0000-0000-000046410000}"/>
    <cellStyle name="Positive 2 2 20 4 2 14" xfId="16698" xr:uid="{00000000-0005-0000-0000-000047410000}"/>
    <cellStyle name="Positive 2 2 20 4 2 14 2" xfId="16699" xr:uid="{00000000-0005-0000-0000-000048410000}"/>
    <cellStyle name="Positive 2 2 20 4 2 15" xfId="16700" xr:uid="{00000000-0005-0000-0000-000049410000}"/>
    <cellStyle name="Positive 2 2 20 4 2 15 2" xfId="16701" xr:uid="{00000000-0005-0000-0000-00004A410000}"/>
    <cellStyle name="Positive 2 2 20 4 2 16" xfId="16702" xr:uid="{00000000-0005-0000-0000-00004B410000}"/>
    <cellStyle name="Positive 2 2 20 4 2 16 2" xfId="16703" xr:uid="{00000000-0005-0000-0000-00004C410000}"/>
    <cellStyle name="Positive 2 2 20 4 2 17" xfId="16704" xr:uid="{00000000-0005-0000-0000-00004D410000}"/>
    <cellStyle name="Positive 2 2 20 4 2 2" xfId="16705" xr:uid="{00000000-0005-0000-0000-00004E410000}"/>
    <cellStyle name="Positive 2 2 20 4 2 2 2" xfId="16706" xr:uid="{00000000-0005-0000-0000-00004F410000}"/>
    <cellStyle name="Positive 2 2 20 4 2 3" xfId="16707" xr:uid="{00000000-0005-0000-0000-000050410000}"/>
    <cellStyle name="Positive 2 2 20 4 2 3 2" xfId="16708" xr:uid="{00000000-0005-0000-0000-000051410000}"/>
    <cellStyle name="Positive 2 2 20 4 2 4" xfId="16709" xr:uid="{00000000-0005-0000-0000-000052410000}"/>
    <cellStyle name="Positive 2 2 20 4 2 4 2" xfId="16710" xr:uid="{00000000-0005-0000-0000-000053410000}"/>
    <cellStyle name="Positive 2 2 20 4 2 5" xfId="16711" xr:uid="{00000000-0005-0000-0000-000054410000}"/>
    <cellStyle name="Positive 2 2 20 4 2 5 2" xfId="16712" xr:uid="{00000000-0005-0000-0000-000055410000}"/>
    <cellStyle name="Positive 2 2 20 4 2 6" xfId="16713" xr:uid="{00000000-0005-0000-0000-000056410000}"/>
    <cellStyle name="Positive 2 2 20 4 2 6 2" xfId="16714" xr:uid="{00000000-0005-0000-0000-000057410000}"/>
    <cellStyle name="Positive 2 2 20 4 2 7" xfId="16715" xr:uid="{00000000-0005-0000-0000-000058410000}"/>
    <cellStyle name="Positive 2 2 20 4 2 7 2" xfId="16716" xr:uid="{00000000-0005-0000-0000-000059410000}"/>
    <cellStyle name="Positive 2 2 20 4 2 8" xfId="16717" xr:uid="{00000000-0005-0000-0000-00005A410000}"/>
    <cellStyle name="Positive 2 2 20 4 2 8 2" xfId="16718" xr:uid="{00000000-0005-0000-0000-00005B410000}"/>
    <cellStyle name="Positive 2 2 20 4 2 9" xfId="16719" xr:uid="{00000000-0005-0000-0000-00005C410000}"/>
    <cellStyle name="Positive 2 2 20 4 2 9 2" xfId="16720" xr:uid="{00000000-0005-0000-0000-00005D410000}"/>
    <cellStyle name="Positive 2 2 20 4 20" xfId="16721" xr:uid="{00000000-0005-0000-0000-00005E410000}"/>
    <cellStyle name="Positive 2 2 20 4 3" xfId="16722" xr:uid="{00000000-0005-0000-0000-00005F410000}"/>
    <cellStyle name="Positive 2 2 20 4 3 2" xfId="16723" xr:uid="{00000000-0005-0000-0000-000060410000}"/>
    <cellStyle name="Positive 2 2 20 4 3 2 2" xfId="16724" xr:uid="{00000000-0005-0000-0000-000061410000}"/>
    <cellStyle name="Positive 2 2 20 4 3 3" xfId="16725" xr:uid="{00000000-0005-0000-0000-000062410000}"/>
    <cellStyle name="Positive 2 2 20 4 4" xfId="16726" xr:uid="{00000000-0005-0000-0000-000063410000}"/>
    <cellStyle name="Positive 2 2 20 4 4 2" xfId="16727" xr:uid="{00000000-0005-0000-0000-000064410000}"/>
    <cellStyle name="Positive 2 2 20 4 4 2 2" xfId="16728" xr:uid="{00000000-0005-0000-0000-000065410000}"/>
    <cellStyle name="Positive 2 2 20 4 4 3" xfId="16729" xr:uid="{00000000-0005-0000-0000-000066410000}"/>
    <cellStyle name="Positive 2 2 20 4 5" xfId="16730" xr:uid="{00000000-0005-0000-0000-000067410000}"/>
    <cellStyle name="Positive 2 2 20 4 5 2" xfId="16731" xr:uid="{00000000-0005-0000-0000-000068410000}"/>
    <cellStyle name="Positive 2 2 20 4 6" xfId="16732" xr:uid="{00000000-0005-0000-0000-000069410000}"/>
    <cellStyle name="Positive 2 2 20 4 6 2" xfId="16733" xr:uid="{00000000-0005-0000-0000-00006A410000}"/>
    <cellStyle name="Positive 2 2 20 4 7" xfId="16734" xr:uid="{00000000-0005-0000-0000-00006B410000}"/>
    <cellStyle name="Positive 2 2 20 4 7 2" xfId="16735" xr:uid="{00000000-0005-0000-0000-00006C410000}"/>
    <cellStyle name="Positive 2 2 20 4 8" xfId="16736" xr:uid="{00000000-0005-0000-0000-00006D410000}"/>
    <cellStyle name="Positive 2 2 20 4 8 2" xfId="16737" xr:uid="{00000000-0005-0000-0000-00006E410000}"/>
    <cellStyle name="Positive 2 2 20 4 9" xfId="16738" xr:uid="{00000000-0005-0000-0000-00006F410000}"/>
    <cellStyle name="Positive 2 2 20 4 9 2" xfId="16739" xr:uid="{00000000-0005-0000-0000-000070410000}"/>
    <cellStyle name="Positive 2 2 20 5" xfId="16740" xr:uid="{00000000-0005-0000-0000-000071410000}"/>
    <cellStyle name="Positive 2 2 20 5 10" xfId="16741" xr:uid="{00000000-0005-0000-0000-000072410000}"/>
    <cellStyle name="Positive 2 2 20 5 10 2" xfId="16742" xr:uid="{00000000-0005-0000-0000-000073410000}"/>
    <cellStyle name="Positive 2 2 20 5 11" xfId="16743" xr:uid="{00000000-0005-0000-0000-000074410000}"/>
    <cellStyle name="Positive 2 2 20 5 11 2" xfId="16744" xr:uid="{00000000-0005-0000-0000-000075410000}"/>
    <cellStyle name="Positive 2 2 20 5 12" xfId="16745" xr:uid="{00000000-0005-0000-0000-000076410000}"/>
    <cellStyle name="Positive 2 2 20 5 12 2" xfId="16746" xr:uid="{00000000-0005-0000-0000-000077410000}"/>
    <cellStyle name="Positive 2 2 20 5 13" xfId="16747" xr:uid="{00000000-0005-0000-0000-000078410000}"/>
    <cellStyle name="Positive 2 2 20 5 13 2" xfId="16748" xr:uid="{00000000-0005-0000-0000-000079410000}"/>
    <cellStyle name="Positive 2 2 20 5 14" xfId="16749" xr:uid="{00000000-0005-0000-0000-00007A410000}"/>
    <cellStyle name="Positive 2 2 20 5 14 2" xfId="16750" xr:uid="{00000000-0005-0000-0000-00007B410000}"/>
    <cellStyle name="Positive 2 2 20 5 15" xfId="16751" xr:uid="{00000000-0005-0000-0000-00007C410000}"/>
    <cellStyle name="Positive 2 2 20 5 15 2" xfId="16752" xr:uid="{00000000-0005-0000-0000-00007D410000}"/>
    <cellStyle name="Positive 2 2 20 5 16" xfId="16753" xr:uid="{00000000-0005-0000-0000-00007E410000}"/>
    <cellStyle name="Positive 2 2 20 5 16 2" xfId="16754" xr:uid="{00000000-0005-0000-0000-00007F410000}"/>
    <cellStyle name="Positive 2 2 20 5 17" xfId="16755" xr:uid="{00000000-0005-0000-0000-000080410000}"/>
    <cellStyle name="Positive 2 2 20 5 2" xfId="16756" xr:uid="{00000000-0005-0000-0000-000081410000}"/>
    <cellStyle name="Positive 2 2 20 5 2 2" xfId="16757" xr:uid="{00000000-0005-0000-0000-000082410000}"/>
    <cellStyle name="Positive 2 2 20 5 3" xfId="16758" xr:uid="{00000000-0005-0000-0000-000083410000}"/>
    <cellStyle name="Positive 2 2 20 5 3 2" xfId="16759" xr:uid="{00000000-0005-0000-0000-000084410000}"/>
    <cellStyle name="Positive 2 2 20 5 4" xfId="16760" xr:uid="{00000000-0005-0000-0000-000085410000}"/>
    <cellStyle name="Positive 2 2 20 5 4 2" xfId="16761" xr:uid="{00000000-0005-0000-0000-000086410000}"/>
    <cellStyle name="Positive 2 2 20 5 5" xfId="16762" xr:uid="{00000000-0005-0000-0000-000087410000}"/>
    <cellStyle name="Positive 2 2 20 5 5 2" xfId="16763" xr:uid="{00000000-0005-0000-0000-000088410000}"/>
    <cellStyle name="Positive 2 2 20 5 6" xfId="16764" xr:uid="{00000000-0005-0000-0000-000089410000}"/>
    <cellStyle name="Positive 2 2 20 5 6 2" xfId="16765" xr:uid="{00000000-0005-0000-0000-00008A410000}"/>
    <cellStyle name="Positive 2 2 20 5 7" xfId="16766" xr:uid="{00000000-0005-0000-0000-00008B410000}"/>
    <cellStyle name="Positive 2 2 20 5 7 2" xfId="16767" xr:uid="{00000000-0005-0000-0000-00008C410000}"/>
    <cellStyle name="Positive 2 2 20 5 8" xfId="16768" xr:uid="{00000000-0005-0000-0000-00008D410000}"/>
    <cellStyle name="Positive 2 2 20 5 8 2" xfId="16769" xr:uid="{00000000-0005-0000-0000-00008E410000}"/>
    <cellStyle name="Positive 2 2 20 5 9" xfId="16770" xr:uid="{00000000-0005-0000-0000-00008F410000}"/>
    <cellStyle name="Positive 2 2 20 5 9 2" xfId="16771" xr:uid="{00000000-0005-0000-0000-000090410000}"/>
    <cellStyle name="Positive 2 2 20 6" xfId="16772" xr:uid="{00000000-0005-0000-0000-000091410000}"/>
    <cellStyle name="Positive 2 2 20 6 2" xfId="16773" xr:uid="{00000000-0005-0000-0000-000092410000}"/>
    <cellStyle name="Positive 2 2 20 6 2 2" xfId="16774" xr:uid="{00000000-0005-0000-0000-000093410000}"/>
    <cellStyle name="Positive 2 2 20 6 3" xfId="16775" xr:uid="{00000000-0005-0000-0000-000094410000}"/>
    <cellStyle name="Positive 2 2 20 7" xfId="16776" xr:uid="{00000000-0005-0000-0000-000095410000}"/>
    <cellStyle name="Positive 2 2 20 7 2" xfId="16777" xr:uid="{00000000-0005-0000-0000-000096410000}"/>
    <cellStyle name="Positive 2 2 20 7 2 2" xfId="16778" xr:uid="{00000000-0005-0000-0000-000097410000}"/>
    <cellStyle name="Positive 2 2 20 7 3" xfId="16779" xr:uid="{00000000-0005-0000-0000-000098410000}"/>
    <cellStyle name="Positive 2 2 20 8" xfId="16780" xr:uid="{00000000-0005-0000-0000-000099410000}"/>
    <cellStyle name="Positive 2 2 20 8 2" xfId="16781" xr:uid="{00000000-0005-0000-0000-00009A410000}"/>
    <cellStyle name="Positive 2 2 20 9" xfId="16782" xr:uid="{00000000-0005-0000-0000-00009B410000}"/>
    <cellStyle name="Positive 2 2 20 9 2" xfId="16783" xr:uid="{00000000-0005-0000-0000-00009C410000}"/>
    <cellStyle name="Positive 2 2 21" xfId="16784" xr:uid="{00000000-0005-0000-0000-00009D410000}"/>
    <cellStyle name="Positive 2 2 21 10" xfId="16785" xr:uid="{00000000-0005-0000-0000-00009E410000}"/>
    <cellStyle name="Positive 2 2 21 10 2" xfId="16786" xr:uid="{00000000-0005-0000-0000-00009F410000}"/>
    <cellStyle name="Positive 2 2 21 11" xfId="16787" xr:uid="{00000000-0005-0000-0000-0000A0410000}"/>
    <cellStyle name="Positive 2 2 21 11 2" xfId="16788" xr:uid="{00000000-0005-0000-0000-0000A1410000}"/>
    <cellStyle name="Positive 2 2 21 12" xfId="16789" xr:uid="{00000000-0005-0000-0000-0000A2410000}"/>
    <cellStyle name="Positive 2 2 21 12 2" xfId="16790" xr:uid="{00000000-0005-0000-0000-0000A3410000}"/>
    <cellStyle name="Positive 2 2 21 13" xfId="16791" xr:uid="{00000000-0005-0000-0000-0000A4410000}"/>
    <cellStyle name="Positive 2 2 21 13 2" xfId="16792" xr:uid="{00000000-0005-0000-0000-0000A5410000}"/>
    <cellStyle name="Positive 2 2 21 14" xfId="16793" xr:uid="{00000000-0005-0000-0000-0000A6410000}"/>
    <cellStyle name="Positive 2 2 21 14 2" xfId="16794" xr:uid="{00000000-0005-0000-0000-0000A7410000}"/>
    <cellStyle name="Positive 2 2 21 15" xfId="16795" xr:uid="{00000000-0005-0000-0000-0000A8410000}"/>
    <cellStyle name="Positive 2 2 21 15 2" xfId="16796" xr:uid="{00000000-0005-0000-0000-0000A9410000}"/>
    <cellStyle name="Positive 2 2 21 16" xfId="16797" xr:uid="{00000000-0005-0000-0000-0000AA410000}"/>
    <cellStyle name="Positive 2 2 21 16 2" xfId="16798" xr:uid="{00000000-0005-0000-0000-0000AB410000}"/>
    <cellStyle name="Positive 2 2 21 17" xfId="16799" xr:uid="{00000000-0005-0000-0000-0000AC410000}"/>
    <cellStyle name="Positive 2 2 21 17 2" xfId="16800" xr:uid="{00000000-0005-0000-0000-0000AD410000}"/>
    <cellStyle name="Positive 2 2 21 18" xfId="16801" xr:uid="{00000000-0005-0000-0000-0000AE410000}"/>
    <cellStyle name="Positive 2 2 21 18 2" xfId="16802" xr:uid="{00000000-0005-0000-0000-0000AF410000}"/>
    <cellStyle name="Positive 2 2 21 19" xfId="16803" xr:uid="{00000000-0005-0000-0000-0000B0410000}"/>
    <cellStyle name="Positive 2 2 21 19 2" xfId="16804" xr:uid="{00000000-0005-0000-0000-0000B1410000}"/>
    <cellStyle name="Positive 2 2 21 2" xfId="16805" xr:uid="{00000000-0005-0000-0000-0000B2410000}"/>
    <cellStyle name="Positive 2 2 21 2 10" xfId="16806" xr:uid="{00000000-0005-0000-0000-0000B3410000}"/>
    <cellStyle name="Positive 2 2 21 2 10 2" xfId="16807" xr:uid="{00000000-0005-0000-0000-0000B4410000}"/>
    <cellStyle name="Positive 2 2 21 2 11" xfId="16808" xr:uid="{00000000-0005-0000-0000-0000B5410000}"/>
    <cellStyle name="Positive 2 2 21 2 11 2" xfId="16809" xr:uid="{00000000-0005-0000-0000-0000B6410000}"/>
    <cellStyle name="Positive 2 2 21 2 12" xfId="16810" xr:uid="{00000000-0005-0000-0000-0000B7410000}"/>
    <cellStyle name="Positive 2 2 21 2 12 2" xfId="16811" xr:uid="{00000000-0005-0000-0000-0000B8410000}"/>
    <cellStyle name="Positive 2 2 21 2 13" xfId="16812" xr:uid="{00000000-0005-0000-0000-0000B9410000}"/>
    <cellStyle name="Positive 2 2 21 2 13 2" xfId="16813" xr:uid="{00000000-0005-0000-0000-0000BA410000}"/>
    <cellStyle name="Positive 2 2 21 2 14" xfId="16814" xr:uid="{00000000-0005-0000-0000-0000BB410000}"/>
    <cellStyle name="Positive 2 2 21 2 14 2" xfId="16815" xr:uid="{00000000-0005-0000-0000-0000BC410000}"/>
    <cellStyle name="Positive 2 2 21 2 15" xfId="16816" xr:uid="{00000000-0005-0000-0000-0000BD410000}"/>
    <cellStyle name="Positive 2 2 21 2 15 2" xfId="16817" xr:uid="{00000000-0005-0000-0000-0000BE410000}"/>
    <cellStyle name="Positive 2 2 21 2 16" xfId="16818" xr:uid="{00000000-0005-0000-0000-0000BF410000}"/>
    <cellStyle name="Positive 2 2 21 2 16 2" xfId="16819" xr:uid="{00000000-0005-0000-0000-0000C0410000}"/>
    <cellStyle name="Positive 2 2 21 2 17" xfId="16820" xr:uid="{00000000-0005-0000-0000-0000C1410000}"/>
    <cellStyle name="Positive 2 2 21 2 2" xfId="16821" xr:uid="{00000000-0005-0000-0000-0000C2410000}"/>
    <cellStyle name="Positive 2 2 21 2 2 2" xfId="16822" xr:uid="{00000000-0005-0000-0000-0000C3410000}"/>
    <cellStyle name="Positive 2 2 21 2 3" xfId="16823" xr:uid="{00000000-0005-0000-0000-0000C4410000}"/>
    <cellStyle name="Positive 2 2 21 2 3 2" xfId="16824" xr:uid="{00000000-0005-0000-0000-0000C5410000}"/>
    <cellStyle name="Positive 2 2 21 2 4" xfId="16825" xr:uid="{00000000-0005-0000-0000-0000C6410000}"/>
    <cellStyle name="Positive 2 2 21 2 4 2" xfId="16826" xr:uid="{00000000-0005-0000-0000-0000C7410000}"/>
    <cellStyle name="Positive 2 2 21 2 5" xfId="16827" xr:uid="{00000000-0005-0000-0000-0000C8410000}"/>
    <cellStyle name="Positive 2 2 21 2 5 2" xfId="16828" xr:uid="{00000000-0005-0000-0000-0000C9410000}"/>
    <cellStyle name="Positive 2 2 21 2 6" xfId="16829" xr:uid="{00000000-0005-0000-0000-0000CA410000}"/>
    <cellStyle name="Positive 2 2 21 2 6 2" xfId="16830" xr:uid="{00000000-0005-0000-0000-0000CB410000}"/>
    <cellStyle name="Positive 2 2 21 2 7" xfId="16831" xr:uid="{00000000-0005-0000-0000-0000CC410000}"/>
    <cellStyle name="Positive 2 2 21 2 7 2" xfId="16832" xr:uid="{00000000-0005-0000-0000-0000CD410000}"/>
    <cellStyle name="Positive 2 2 21 2 8" xfId="16833" xr:uid="{00000000-0005-0000-0000-0000CE410000}"/>
    <cellStyle name="Positive 2 2 21 2 8 2" xfId="16834" xr:uid="{00000000-0005-0000-0000-0000CF410000}"/>
    <cellStyle name="Positive 2 2 21 2 9" xfId="16835" xr:uid="{00000000-0005-0000-0000-0000D0410000}"/>
    <cellStyle name="Positive 2 2 21 2 9 2" xfId="16836" xr:uid="{00000000-0005-0000-0000-0000D1410000}"/>
    <cellStyle name="Positive 2 2 21 20" xfId="16837" xr:uid="{00000000-0005-0000-0000-0000D2410000}"/>
    <cellStyle name="Positive 2 2 21 3" xfId="16838" xr:uid="{00000000-0005-0000-0000-0000D3410000}"/>
    <cellStyle name="Positive 2 2 21 3 2" xfId="16839" xr:uid="{00000000-0005-0000-0000-0000D4410000}"/>
    <cellStyle name="Positive 2 2 21 3 2 2" xfId="16840" xr:uid="{00000000-0005-0000-0000-0000D5410000}"/>
    <cellStyle name="Positive 2 2 21 3 3" xfId="16841" xr:uid="{00000000-0005-0000-0000-0000D6410000}"/>
    <cellStyle name="Positive 2 2 21 4" xfId="16842" xr:uid="{00000000-0005-0000-0000-0000D7410000}"/>
    <cellStyle name="Positive 2 2 21 4 2" xfId="16843" xr:uid="{00000000-0005-0000-0000-0000D8410000}"/>
    <cellStyle name="Positive 2 2 21 4 2 2" xfId="16844" xr:uid="{00000000-0005-0000-0000-0000D9410000}"/>
    <cellStyle name="Positive 2 2 21 4 3" xfId="16845" xr:uid="{00000000-0005-0000-0000-0000DA410000}"/>
    <cellStyle name="Positive 2 2 21 5" xfId="16846" xr:uid="{00000000-0005-0000-0000-0000DB410000}"/>
    <cellStyle name="Positive 2 2 21 5 2" xfId="16847" xr:uid="{00000000-0005-0000-0000-0000DC410000}"/>
    <cellStyle name="Positive 2 2 21 6" xfId="16848" xr:uid="{00000000-0005-0000-0000-0000DD410000}"/>
    <cellStyle name="Positive 2 2 21 6 2" xfId="16849" xr:uid="{00000000-0005-0000-0000-0000DE410000}"/>
    <cellStyle name="Positive 2 2 21 7" xfId="16850" xr:uid="{00000000-0005-0000-0000-0000DF410000}"/>
    <cellStyle name="Positive 2 2 21 7 2" xfId="16851" xr:uid="{00000000-0005-0000-0000-0000E0410000}"/>
    <cellStyle name="Positive 2 2 21 8" xfId="16852" xr:uid="{00000000-0005-0000-0000-0000E1410000}"/>
    <cellStyle name="Positive 2 2 21 8 2" xfId="16853" xr:uid="{00000000-0005-0000-0000-0000E2410000}"/>
    <cellStyle name="Positive 2 2 21 9" xfId="16854" xr:uid="{00000000-0005-0000-0000-0000E3410000}"/>
    <cellStyle name="Positive 2 2 21 9 2" xfId="16855" xr:uid="{00000000-0005-0000-0000-0000E4410000}"/>
    <cellStyle name="Positive 2 2 22" xfId="16856" xr:uid="{00000000-0005-0000-0000-0000E5410000}"/>
    <cellStyle name="Positive 2 2 22 10" xfId="16857" xr:uid="{00000000-0005-0000-0000-0000E6410000}"/>
    <cellStyle name="Positive 2 2 22 10 2" xfId="16858" xr:uid="{00000000-0005-0000-0000-0000E7410000}"/>
    <cellStyle name="Positive 2 2 22 11" xfId="16859" xr:uid="{00000000-0005-0000-0000-0000E8410000}"/>
    <cellStyle name="Positive 2 2 22 11 2" xfId="16860" xr:uid="{00000000-0005-0000-0000-0000E9410000}"/>
    <cellStyle name="Positive 2 2 22 12" xfId="16861" xr:uid="{00000000-0005-0000-0000-0000EA410000}"/>
    <cellStyle name="Positive 2 2 22 12 2" xfId="16862" xr:uid="{00000000-0005-0000-0000-0000EB410000}"/>
    <cellStyle name="Positive 2 2 22 13" xfId="16863" xr:uid="{00000000-0005-0000-0000-0000EC410000}"/>
    <cellStyle name="Positive 2 2 22 13 2" xfId="16864" xr:uid="{00000000-0005-0000-0000-0000ED410000}"/>
    <cellStyle name="Positive 2 2 22 14" xfId="16865" xr:uid="{00000000-0005-0000-0000-0000EE410000}"/>
    <cellStyle name="Positive 2 2 22 14 2" xfId="16866" xr:uid="{00000000-0005-0000-0000-0000EF410000}"/>
    <cellStyle name="Positive 2 2 22 15" xfId="16867" xr:uid="{00000000-0005-0000-0000-0000F0410000}"/>
    <cellStyle name="Positive 2 2 22 15 2" xfId="16868" xr:uid="{00000000-0005-0000-0000-0000F1410000}"/>
    <cellStyle name="Positive 2 2 22 16" xfId="16869" xr:uid="{00000000-0005-0000-0000-0000F2410000}"/>
    <cellStyle name="Positive 2 2 22 16 2" xfId="16870" xr:uid="{00000000-0005-0000-0000-0000F3410000}"/>
    <cellStyle name="Positive 2 2 22 17" xfId="16871" xr:uid="{00000000-0005-0000-0000-0000F4410000}"/>
    <cellStyle name="Positive 2 2 22 17 2" xfId="16872" xr:uid="{00000000-0005-0000-0000-0000F5410000}"/>
    <cellStyle name="Positive 2 2 22 18" xfId="16873" xr:uid="{00000000-0005-0000-0000-0000F6410000}"/>
    <cellStyle name="Positive 2 2 22 18 2" xfId="16874" xr:uid="{00000000-0005-0000-0000-0000F7410000}"/>
    <cellStyle name="Positive 2 2 22 19" xfId="16875" xr:uid="{00000000-0005-0000-0000-0000F8410000}"/>
    <cellStyle name="Positive 2 2 22 19 2" xfId="16876" xr:uid="{00000000-0005-0000-0000-0000F9410000}"/>
    <cellStyle name="Positive 2 2 22 2" xfId="16877" xr:uid="{00000000-0005-0000-0000-0000FA410000}"/>
    <cellStyle name="Positive 2 2 22 2 10" xfId="16878" xr:uid="{00000000-0005-0000-0000-0000FB410000}"/>
    <cellStyle name="Positive 2 2 22 2 10 2" xfId="16879" xr:uid="{00000000-0005-0000-0000-0000FC410000}"/>
    <cellStyle name="Positive 2 2 22 2 11" xfId="16880" xr:uid="{00000000-0005-0000-0000-0000FD410000}"/>
    <cellStyle name="Positive 2 2 22 2 11 2" xfId="16881" xr:uid="{00000000-0005-0000-0000-0000FE410000}"/>
    <cellStyle name="Positive 2 2 22 2 12" xfId="16882" xr:uid="{00000000-0005-0000-0000-0000FF410000}"/>
    <cellStyle name="Positive 2 2 22 2 12 2" xfId="16883" xr:uid="{00000000-0005-0000-0000-000000420000}"/>
    <cellStyle name="Positive 2 2 22 2 13" xfId="16884" xr:uid="{00000000-0005-0000-0000-000001420000}"/>
    <cellStyle name="Positive 2 2 22 2 13 2" xfId="16885" xr:uid="{00000000-0005-0000-0000-000002420000}"/>
    <cellStyle name="Positive 2 2 22 2 14" xfId="16886" xr:uid="{00000000-0005-0000-0000-000003420000}"/>
    <cellStyle name="Positive 2 2 22 2 14 2" xfId="16887" xr:uid="{00000000-0005-0000-0000-000004420000}"/>
    <cellStyle name="Positive 2 2 22 2 15" xfId="16888" xr:uid="{00000000-0005-0000-0000-000005420000}"/>
    <cellStyle name="Positive 2 2 22 2 15 2" xfId="16889" xr:uid="{00000000-0005-0000-0000-000006420000}"/>
    <cellStyle name="Positive 2 2 22 2 16" xfId="16890" xr:uid="{00000000-0005-0000-0000-000007420000}"/>
    <cellStyle name="Positive 2 2 22 2 16 2" xfId="16891" xr:uid="{00000000-0005-0000-0000-000008420000}"/>
    <cellStyle name="Positive 2 2 22 2 17" xfId="16892" xr:uid="{00000000-0005-0000-0000-000009420000}"/>
    <cellStyle name="Positive 2 2 22 2 2" xfId="16893" xr:uid="{00000000-0005-0000-0000-00000A420000}"/>
    <cellStyle name="Positive 2 2 22 2 2 2" xfId="16894" xr:uid="{00000000-0005-0000-0000-00000B420000}"/>
    <cellStyle name="Positive 2 2 22 2 3" xfId="16895" xr:uid="{00000000-0005-0000-0000-00000C420000}"/>
    <cellStyle name="Positive 2 2 22 2 3 2" xfId="16896" xr:uid="{00000000-0005-0000-0000-00000D420000}"/>
    <cellStyle name="Positive 2 2 22 2 4" xfId="16897" xr:uid="{00000000-0005-0000-0000-00000E420000}"/>
    <cellStyle name="Positive 2 2 22 2 4 2" xfId="16898" xr:uid="{00000000-0005-0000-0000-00000F420000}"/>
    <cellStyle name="Positive 2 2 22 2 5" xfId="16899" xr:uid="{00000000-0005-0000-0000-000010420000}"/>
    <cellStyle name="Positive 2 2 22 2 5 2" xfId="16900" xr:uid="{00000000-0005-0000-0000-000011420000}"/>
    <cellStyle name="Positive 2 2 22 2 6" xfId="16901" xr:uid="{00000000-0005-0000-0000-000012420000}"/>
    <cellStyle name="Positive 2 2 22 2 6 2" xfId="16902" xr:uid="{00000000-0005-0000-0000-000013420000}"/>
    <cellStyle name="Positive 2 2 22 2 7" xfId="16903" xr:uid="{00000000-0005-0000-0000-000014420000}"/>
    <cellStyle name="Positive 2 2 22 2 7 2" xfId="16904" xr:uid="{00000000-0005-0000-0000-000015420000}"/>
    <cellStyle name="Positive 2 2 22 2 8" xfId="16905" xr:uid="{00000000-0005-0000-0000-000016420000}"/>
    <cellStyle name="Positive 2 2 22 2 8 2" xfId="16906" xr:uid="{00000000-0005-0000-0000-000017420000}"/>
    <cellStyle name="Positive 2 2 22 2 9" xfId="16907" xr:uid="{00000000-0005-0000-0000-000018420000}"/>
    <cellStyle name="Positive 2 2 22 2 9 2" xfId="16908" xr:uid="{00000000-0005-0000-0000-000019420000}"/>
    <cellStyle name="Positive 2 2 22 20" xfId="16909" xr:uid="{00000000-0005-0000-0000-00001A420000}"/>
    <cellStyle name="Positive 2 2 22 3" xfId="16910" xr:uid="{00000000-0005-0000-0000-00001B420000}"/>
    <cellStyle name="Positive 2 2 22 3 2" xfId="16911" xr:uid="{00000000-0005-0000-0000-00001C420000}"/>
    <cellStyle name="Positive 2 2 22 3 2 2" xfId="16912" xr:uid="{00000000-0005-0000-0000-00001D420000}"/>
    <cellStyle name="Positive 2 2 22 3 3" xfId="16913" xr:uid="{00000000-0005-0000-0000-00001E420000}"/>
    <cellStyle name="Positive 2 2 22 4" xfId="16914" xr:uid="{00000000-0005-0000-0000-00001F420000}"/>
    <cellStyle name="Positive 2 2 22 4 2" xfId="16915" xr:uid="{00000000-0005-0000-0000-000020420000}"/>
    <cellStyle name="Positive 2 2 22 4 2 2" xfId="16916" xr:uid="{00000000-0005-0000-0000-000021420000}"/>
    <cellStyle name="Positive 2 2 22 4 3" xfId="16917" xr:uid="{00000000-0005-0000-0000-000022420000}"/>
    <cellStyle name="Positive 2 2 22 5" xfId="16918" xr:uid="{00000000-0005-0000-0000-000023420000}"/>
    <cellStyle name="Positive 2 2 22 5 2" xfId="16919" xr:uid="{00000000-0005-0000-0000-000024420000}"/>
    <cellStyle name="Positive 2 2 22 6" xfId="16920" xr:uid="{00000000-0005-0000-0000-000025420000}"/>
    <cellStyle name="Positive 2 2 22 6 2" xfId="16921" xr:uid="{00000000-0005-0000-0000-000026420000}"/>
    <cellStyle name="Positive 2 2 22 7" xfId="16922" xr:uid="{00000000-0005-0000-0000-000027420000}"/>
    <cellStyle name="Positive 2 2 22 7 2" xfId="16923" xr:uid="{00000000-0005-0000-0000-000028420000}"/>
    <cellStyle name="Positive 2 2 22 8" xfId="16924" xr:uid="{00000000-0005-0000-0000-000029420000}"/>
    <cellStyle name="Positive 2 2 22 8 2" xfId="16925" xr:uid="{00000000-0005-0000-0000-00002A420000}"/>
    <cellStyle name="Positive 2 2 22 9" xfId="16926" xr:uid="{00000000-0005-0000-0000-00002B420000}"/>
    <cellStyle name="Positive 2 2 22 9 2" xfId="16927" xr:uid="{00000000-0005-0000-0000-00002C420000}"/>
    <cellStyle name="Positive 2 2 23" xfId="16928" xr:uid="{00000000-0005-0000-0000-00002D420000}"/>
    <cellStyle name="Positive 2 2 23 10" xfId="16929" xr:uid="{00000000-0005-0000-0000-00002E420000}"/>
    <cellStyle name="Positive 2 2 23 10 2" xfId="16930" xr:uid="{00000000-0005-0000-0000-00002F420000}"/>
    <cellStyle name="Positive 2 2 23 11" xfId="16931" xr:uid="{00000000-0005-0000-0000-000030420000}"/>
    <cellStyle name="Positive 2 2 23 11 2" xfId="16932" xr:uid="{00000000-0005-0000-0000-000031420000}"/>
    <cellStyle name="Positive 2 2 23 12" xfId="16933" xr:uid="{00000000-0005-0000-0000-000032420000}"/>
    <cellStyle name="Positive 2 2 23 12 2" xfId="16934" xr:uid="{00000000-0005-0000-0000-000033420000}"/>
    <cellStyle name="Positive 2 2 23 13" xfId="16935" xr:uid="{00000000-0005-0000-0000-000034420000}"/>
    <cellStyle name="Positive 2 2 23 13 2" xfId="16936" xr:uid="{00000000-0005-0000-0000-000035420000}"/>
    <cellStyle name="Positive 2 2 23 14" xfId="16937" xr:uid="{00000000-0005-0000-0000-000036420000}"/>
    <cellStyle name="Positive 2 2 23 14 2" xfId="16938" xr:uid="{00000000-0005-0000-0000-000037420000}"/>
    <cellStyle name="Positive 2 2 23 15" xfId="16939" xr:uid="{00000000-0005-0000-0000-000038420000}"/>
    <cellStyle name="Positive 2 2 23 15 2" xfId="16940" xr:uid="{00000000-0005-0000-0000-000039420000}"/>
    <cellStyle name="Positive 2 2 23 16" xfId="16941" xr:uid="{00000000-0005-0000-0000-00003A420000}"/>
    <cellStyle name="Positive 2 2 23 16 2" xfId="16942" xr:uid="{00000000-0005-0000-0000-00003B420000}"/>
    <cellStyle name="Positive 2 2 23 17" xfId="16943" xr:uid="{00000000-0005-0000-0000-00003C420000}"/>
    <cellStyle name="Positive 2 2 23 17 2" xfId="16944" xr:uid="{00000000-0005-0000-0000-00003D420000}"/>
    <cellStyle name="Positive 2 2 23 18" xfId="16945" xr:uid="{00000000-0005-0000-0000-00003E420000}"/>
    <cellStyle name="Positive 2 2 23 18 2" xfId="16946" xr:uid="{00000000-0005-0000-0000-00003F420000}"/>
    <cellStyle name="Positive 2 2 23 19" xfId="16947" xr:uid="{00000000-0005-0000-0000-000040420000}"/>
    <cellStyle name="Positive 2 2 23 19 2" xfId="16948" xr:uid="{00000000-0005-0000-0000-000041420000}"/>
    <cellStyle name="Positive 2 2 23 2" xfId="16949" xr:uid="{00000000-0005-0000-0000-000042420000}"/>
    <cellStyle name="Positive 2 2 23 2 10" xfId="16950" xr:uid="{00000000-0005-0000-0000-000043420000}"/>
    <cellStyle name="Positive 2 2 23 2 10 2" xfId="16951" xr:uid="{00000000-0005-0000-0000-000044420000}"/>
    <cellStyle name="Positive 2 2 23 2 11" xfId="16952" xr:uid="{00000000-0005-0000-0000-000045420000}"/>
    <cellStyle name="Positive 2 2 23 2 11 2" xfId="16953" xr:uid="{00000000-0005-0000-0000-000046420000}"/>
    <cellStyle name="Positive 2 2 23 2 12" xfId="16954" xr:uid="{00000000-0005-0000-0000-000047420000}"/>
    <cellStyle name="Positive 2 2 23 2 12 2" xfId="16955" xr:uid="{00000000-0005-0000-0000-000048420000}"/>
    <cellStyle name="Positive 2 2 23 2 13" xfId="16956" xr:uid="{00000000-0005-0000-0000-000049420000}"/>
    <cellStyle name="Positive 2 2 23 2 13 2" xfId="16957" xr:uid="{00000000-0005-0000-0000-00004A420000}"/>
    <cellStyle name="Positive 2 2 23 2 14" xfId="16958" xr:uid="{00000000-0005-0000-0000-00004B420000}"/>
    <cellStyle name="Positive 2 2 23 2 14 2" xfId="16959" xr:uid="{00000000-0005-0000-0000-00004C420000}"/>
    <cellStyle name="Positive 2 2 23 2 15" xfId="16960" xr:uid="{00000000-0005-0000-0000-00004D420000}"/>
    <cellStyle name="Positive 2 2 23 2 15 2" xfId="16961" xr:uid="{00000000-0005-0000-0000-00004E420000}"/>
    <cellStyle name="Positive 2 2 23 2 16" xfId="16962" xr:uid="{00000000-0005-0000-0000-00004F420000}"/>
    <cellStyle name="Positive 2 2 23 2 16 2" xfId="16963" xr:uid="{00000000-0005-0000-0000-000050420000}"/>
    <cellStyle name="Positive 2 2 23 2 17" xfId="16964" xr:uid="{00000000-0005-0000-0000-000051420000}"/>
    <cellStyle name="Positive 2 2 23 2 2" xfId="16965" xr:uid="{00000000-0005-0000-0000-000052420000}"/>
    <cellStyle name="Positive 2 2 23 2 2 2" xfId="16966" xr:uid="{00000000-0005-0000-0000-000053420000}"/>
    <cellStyle name="Positive 2 2 23 2 3" xfId="16967" xr:uid="{00000000-0005-0000-0000-000054420000}"/>
    <cellStyle name="Positive 2 2 23 2 3 2" xfId="16968" xr:uid="{00000000-0005-0000-0000-000055420000}"/>
    <cellStyle name="Positive 2 2 23 2 4" xfId="16969" xr:uid="{00000000-0005-0000-0000-000056420000}"/>
    <cellStyle name="Positive 2 2 23 2 4 2" xfId="16970" xr:uid="{00000000-0005-0000-0000-000057420000}"/>
    <cellStyle name="Positive 2 2 23 2 5" xfId="16971" xr:uid="{00000000-0005-0000-0000-000058420000}"/>
    <cellStyle name="Positive 2 2 23 2 5 2" xfId="16972" xr:uid="{00000000-0005-0000-0000-000059420000}"/>
    <cellStyle name="Positive 2 2 23 2 6" xfId="16973" xr:uid="{00000000-0005-0000-0000-00005A420000}"/>
    <cellStyle name="Positive 2 2 23 2 6 2" xfId="16974" xr:uid="{00000000-0005-0000-0000-00005B420000}"/>
    <cellStyle name="Positive 2 2 23 2 7" xfId="16975" xr:uid="{00000000-0005-0000-0000-00005C420000}"/>
    <cellStyle name="Positive 2 2 23 2 7 2" xfId="16976" xr:uid="{00000000-0005-0000-0000-00005D420000}"/>
    <cellStyle name="Positive 2 2 23 2 8" xfId="16977" xr:uid="{00000000-0005-0000-0000-00005E420000}"/>
    <cellStyle name="Positive 2 2 23 2 8 2" xfId="16978" xr:uid="{00000000-0005-0000-0000-00005F420000}"/>
    <cellStyle name="Positive 2 2 23 2 9" xfId="16979" xr:uid="{00000000-0005-0000-0000-000060420000}"/>
    <cellStyle name="Positive 2 2 23 2 9 2" xfId="16980" xr:uid="{00000000-0005-0000-0000-000061420000}"/>
    <cellStyle name="Positive 2 2 23 20" xfId="16981" xr:uid="{00000000-0005-0000-0000-000062420000}"/>
    <cellStyle name="Positive 2 2 23 3" xfId="16982" xr:uid="{00000000-0005-0000-0000-000063420000}"/>
    <cellStyle name="Positive 2 2 23 3 2" xfId="16983" xr:uid="{00000000-0005-0000-0000-000064420000}"/>
    <cellStyle name="Positive 2 2 23 3 2 2" xfId="16984" xr:uid="{00000000-0005-0000-0000-000065420000}"/>
    <cellStyle name="Positive 2 2 23 3 3" xfId="16985" xr:uid="{00000000-0005-0000-0000-000066420000}"/>
    <cellStyle name="Positive 2 2 23 4" xfId="16986" xr:uid="{00000000-0005-0000-0000-000067420000}"/>
    <cellStyle name="Positive 2 2 23 4 2" xfId="16987" xr:uid="{00000000-0005-0000-0000-000068420000}"/>
    <cellStyle name="Positive 2 2 23 4 2 2" xfId="16988" xr:uid="{00000000-0005-0000-0000-000069420000}"/>
    <cellStyle name="Positive 2 2 23 4 3" xfId="16989" xr:uid="{00000000-0005-0000-0000-00006A420000}"/>
    <cellStyle name="Positive 2 2 23 5" xfId="16990" xr:uid="{00000000-0005-0000-0000-00006B420000}"/>
    <cellStyle name="Positive 2 2 23 5 2" xfId="16991" xr:uid="{00000000-0005-0000-0000-00006C420000}"/>
    <cellStyle name="Positive 2 2 23 6" xfId="16992" xr:uid="{00000000-0005-0000-0000-00006D420000}"/>
    <cellStyle name="Positive 2 2 23 6 2" xfId="16993" xr:uid="{00000000-0005-0000-0000-00006E420000}"/>
    <cellStyle name="Positive 2 2 23 7" xfId="16994" xr:uid="{00000000-0005-0000-0000-00006F420000}"/>
    <cellStyle name="Positive 2 2 23 7 2" xfId="16995" xr:uid="{00000000-0005-0000-0000-000070420000}"/>
    <cellStyle name="Positive 2 2 23 8" xfId="16996" xr:uid="{00000000-0005-0000-0000-000071420000}"/>
    <cellStyle name="Positive 2 2 23 8 2" xfId="16997" xr:uid="{00000000-0005-0000-0000-000072420000}"/>
    <cellStyle name="Positive 2 2 23 9" xfId="16998" xr:uid="{00000000-0005-0000-0000-000073420000}"/>
    <cellStyle name="Positive 2 2 23 9 2" xfId="16999" xr:uid="{00000000-0005-0000-0000-000074420000}"/>
    <cellStyle name="Positive 2 2 24" xfId="17000" xr:uid="{00000000-0005-0000-0000-000075420000}"/>
    <cellStyle name="Positive 2 2 24 10" xfId="17001" xr:uid="{00000000-0005-0000-0000-000076420000}"/>
    <cellStyle name="Positive 2 2 24 10 2" xfId="17002" xr:uid="{00000000-0005-0000-0000-000077420000}"/>
    <cellStyle name="Positive 2 2 24 11" xfId="17003" xr:uid="{00000000-0005-0000-0000-000078420000}"/>
    <cellStyle name="Positive 2 2 24 11 2" xfId="17004" xr:uid="{00000000-0005-0000-0000-000079420000}"/>
    <cellStyle name="Positive 2 2 24 12" xfId="17005" xr:uid="{00000000-0005-0000-0000-00007A420000}"/>
    <cellStyle name="Positive 2 2 24 12 2" xfId="17006" xr:uid="{00000000-0005-0000-0000-00007B420000}"/>
    <cellStyle name="Positive 2 2 24 13" xfId="17007" xr:uid="{00000000-0005-0000-0000-00007C420000}"/>
    <cellStyle name="Positive 2 2 24 13 2" xfId="17008" xr:uid="{00000000-0005-0000-0000-00007D420000}"/>
    <cellStyle name="Positive 2 2 24 14" xfId="17009" xr:uid="{00000000-0005-0000-0000-00007E420000}"/>
    <cellStyle name="Positive 2 2 24 14 2" xfId="17010" xr:uid="{00000000-0005-0000-0000-00007F420000}"/>
    <cellStyle name="Positive 2 2 24 15" xfId="17011" xr:uid="{00000000-0005-0000-0000-000080420000}"/>
    <cellStyle name="Positive 2 2 24 15 2" xfId="17012" xr:uid="{00000000-0005-0000-0000-000081420000}"/>
    <cellStyle name="Positive 2 2 24 16" xfId="17013" xr:uid="{00000000-0005-0000-0000-000082420000}"/>
    <cellStyle name="Positive 2 2 24 16 2" xfId="17014" xr:uid="{00000000-0005-0000-0000-000083420000}"/>
    <cellStyle name="Positive 2 2 24 17" xfId="17015" xr:uid="{00000000-0005-0000-0000-000084420000}"/>
    <cellStyle name="Positive 2 2 24 2" xfId="17016" xr:uid="{00000000-0005-0000-0000-000085420000}"/>
    <cellStyle name="Positive 2 2 24 2 2" xfId="17017" xr:uid="{00000000-0005-0000-0000-000086420000}"/>
    <cellStyle name="Positive 2 2 24 3" xfId="17018" xr:uid="{00000000-0005-0000-0000-000087420000}"/>
    <cellStyle name="Positive 2 2 24 3 2" xfId="17019" xr:uid="{00000000-0005-0000-0000-000088420000}"/>
    <cellStyle name="Positive 2 2 24 4" xfId="17020" xr:uid="{00000000-0005-0000-0000-000089420000}"/>
    <cellStyle name="Positive 2 2 24 4 2" xfId="17021" xr:uid="{00000000-0005-0000-0000-00008A420000}"/>
    <cellStyle name="Positive 2 2 24 5" xfId="17022" xr:uid="{00000000-0005-0000-0000-00008B420000}"/>
    <cellStyle name="Positive 2 2 24 5 2" xfId="17023" xr:uid="{00000000-0005-0000-0000-00008C420000}"/>
    <cellStyle name="Positive 2 2 24 6" xfId="17024" xr:uid="{00000000-0005-0000-0000-00008D420000}"/>
    <cellStyle name="Positive 2 2 24 6 2" xfId="17025" xr:uid="{00000000-0005-0000-0000-00008E420000}"/>
    <cellStyle name="Positive 2 2 24 7" xfId="17026" xr:uid="{00000000-0005-0000-0000-00008F420000}"/>
    <cellStyle name="Positive 2 2 24 7 2" xfId="17027" xr:uid="{00000000-0005-0000-0000-000090420000}"/>
    <cellStyle name="Positive 2 2 24 8" xfId="17028" xr:uid="{00000000-0005-0000-0000-000091420000}"/>
    <cellStyle name="Positive 2 2 24 8 2" xfId="17029" xr:uid="{00000000-0005-0000-0000-000092420000}"/>
    <cellStyle name="Positive 2 2 24 9" xfId="17030" xr:uid="{00000000-0005-0000-0000-000093420000}"/>
    <cellStyle name="Positive 2 2 24 9 2" xfId="17031" xr:uid="{00000000-0005-0000-0000-000094420000}"/>
    <cellStyle name="Positive 2 2 25" xfId="17032" xr:uid="{00000000-0005-0000-0000-000095420000}"/>
    <cellStyle name="Positive 2 2 25 2" xfId="17033" xr:uid="{00000000-0005-0000-0000-000096420000}"/>
    <cellStyle name="Positive 2 2 25 2 2" xfId="17034" xr:uid="{00000000-0005-0000-0000-000097420000}"/>
    <cellStyle name="Positive 2 2 25 3" xfId="17035" xr:uid="{00000000-0005-0000-0000-000098420000}"/>
    <cellStyle name="Positive 2 2 26" xfId="17036" xr:uid="{00000000-0005-0000-0000-000099420000}"/>
    <cellStyle name="Positive 2 2 26 2" xfId="17037" xr:uid="{00000000-0005-0000-0000-00009A420000}"/>
    <cellStyle name="Positive 2 2 26 2 2" xfId="17038" xr:uid="{00000000-0005-0000-0000-00009B420000}"/>
    <cellStyle name="Positive 2 2 26 3" xfId="17039" xr:uid="{00000000-0005-0000-0000-00009C420000}"/>
    <cellStyle name="Positive 2 2 27" xfId="17040" xr:uid="{00000000-0005-0000-0000-00009D420000}"/>
    <cellStyle name="Positive 2 2 27 2" xfId="17041" xr:uid="{00000000-0005-0000-0000-00009E420000}"/>
    <cellStyle name="Positive 2 2 28" xfId="17042" xr:uid="{00000000-0005-0000-0000-00009F420000}"/>
    <cellStyle name="Positive 2 2 28 2" xfId="17043" xr:uid="{00000000-0005-0000-0000-0000A0420000}"/>
    <cellStyle name="Positive 2 2 29" xfId="17044" xr:uid="{00000000-0005-0000-0000-0000A1420000}"/>
    <cellStyle name="Positive 2 2 29 2" xfId="17045" xr:uid="{00000000-0005-0000-0000-0000A2420000}"/>
    <cellStyle name="Positive 2 2 3" xfId="17046" xr:uid="{00000000-0005-0000-0000-0000A3420000}"/>
    <cellStyle name="Positive 2 2 3 10" xfId="17047" xr:uid="{00000000-0005-0000-0000-0000A4420000}"/>
    <cellStyle name="Positive 2 2 3 10 2" xfId="17048" xr:uid="{00000000-0005-0000-0000-0000A5420000}"/>
    <cellStyle name="Positive 2 2 3 11" xfId="17049" xr:uid="{00000000-0005-0000-0000-0000A6420000}"/>
    <cellStyle name="Positive 2 2 3 11 2" xfId="17050" xr:uid="{00000000-0005-0000-0000-0000A7420000}"/>
    <cellStyle name="Positive 2 2 3 12" xfId="17051" xr:uid="{00000000-0005-0000-0000-0000A8420000}"/>
    <cellStyle name="Positive 2 2 3 12 2" xfId="17052" xr:uid="{00000000-0005-0000-0000-0000A9420000}"/>
    <cellStyle name="Positive 2 2 3 13" xfId="17053" xr:uid="{00000000-0005-0000-0000-0000AA420000}"/>
    <cellStyle name="Positive 2 2 3 13 2" xfId="17054" xr:uid="{00000000-0005-0000-0000-0000AB420000}"/>
    <cellStyle name="Positive 2 2 3 14" xfId="17055" xr:uid="{00000000-0005-0000-0000-0000AC420000}"/>
    <cellStyle name="Positive 2 2 3 14 2" xfId="17056" xr:uid="{00000000-0005-0000-0000-0000AD420000}"/>
    <cellStyle name="Positive 2 2 3 15" xfId="17057" xr:uid="{00000000-0005-0000-0000-0000AE420000}"/>
    <cellStyle name="Positive 2 2 3 15 2" xfId="17058" xr:uid="{00000000-0005-0000-0000-0000AF420000}"/>
    <cellStyle name="Positive 2 2 3 16" xfId="17059" xr:uid="{00000000-0005-0000-0000-0000B0420000}"/>
    <cellStyle name="Positive 2 2 3 16 2" xfId="17060" xr:uid="{00000000-0005-0000-0000-0000B1420000}"/>
    <cellStyle name="Positive 2 2 3 17" xfId="17061" xr:uid="{00000000-0005-0000-0000-0000B2420000}"/>
    <cellStyle name="Positive 2 2 3 17 2" xfId="17062" xr:uid="{00000000-0005-0000-0000-0000B3420000}"/>
    <cellStyle name="Positive 2 2 3 18" xfId="17063" xr:uid="{00000000-0005-0000-0000-0000B4420000}"/>
    <cellStyle name="Positive 2 2 3 18 2" xfId="17064" xr:uid="{00000000-0005-0000-0000-0000B5420000}"/>
    <cellStyle name="Positive 2 2 3 19" xfId="17065" xr:uid="{00000000-0005-0000-0000-0000B6420000}"/>
    <cellStyle name="Positive 2 2 3 19 2" xfId="17066" xr:uid="{00000000-0005-0000-0000-0000B7420000}"/>
    <cellStyle name="Positive 2 2 3 2" xfId="17067" xr:uid="{00000000-0005-0000-0000-0000B8420000}"/>
    <cellStyle name="Positive 2 2 3 2 10" xfId="17068" xr:uid="{00000000-0005-0000-0000-0000B9420000}"/>
    <cellStyle name="Positive 2 2 3 2 10 2" xfId="17069" xr:uid="{00000000-0005-0000-0000-0000BA420000}"/>
    <cellStyle name="Positive 2 2 3 2 11" xfId="17070" xr:uid="{00000000-0005-0000-0000-0000BB420000}"/>
    <cellStyle name="Positive 2 2 3 2 11 2" xfId="17071" xr:uid="{00000000-0005-0000-0000-0000BC420000}"/>
    <cellStyle name="Positive 2 2 3 2 12" xfId="17072" xr:uid="{00000000-0005-0000-0000-0000BD420000}"/>
    <cellStyle name="Positive 2 2 3 2 12 2" xfId="17073" xr:uid="{00000000-0005-0000-0000-0000BE420000}"/>
    <cellStyle name="Positive 2 2 3 2 13" xfId="17074" xr:uid="{00000000-0005-0000-0000-0000BF420000}"/>
    <cellStyle name="Positive 2 2 3 2 13 2" xfId="17075" xr:uid="{00000000-0005-0000-0000-0000C0420000}"/>
    <cellStyle name="Positive 2 2 3 2 14" xfId="17076" xr:uid="{00000000-0005-0000-0000-0000C1420000}"/>
    <cellStyle name="Positive 2 2 3 2 14 2" xfId="17077" xr:uid="{00000000-0005-0000-0000-0000C2420000}"/>
    <cellStyle name="Positive 2 2 3 2 15" xfId="17078" xr:uid="{00000000-0005-0000-0000-0000C3420000}"/>
    <cellStyle name="Positive 2 2 3 2 15 2" xfId="17079" xr:uid="{00000000-0005-0000-0000-0000C4420000}"/>
    <cellStyle name="Positive 2 2 3 2 16" xfId="17080" xr:uid="{00000000-0005-0000-0000-0000C5420000}"/>
    <cellStyle name="Positive 2 2 3 2 16 2" xfId="17081" xr:uid="{00000000-0005-0000-0000-0000C6420000}"/>
    <cellStyle name="Positive 2 2 3 2 17" xfId="17082" xr:uid="{00000000-0005-0000-0000-0000C7420000}"/>
    <cellStyle name="Positive 2 2 3 2 17 2" xfId="17083" xr:uid="{00000000-0005-0000-0000-0000C8420000}"/>
    <cellStyle name="Positive 2 2 3 2 18" xfId="17084" xr:uid="{00000000-0005-0000-0000-0000C9420000}"/>
    <cellStyle name="Positive 2 2 3 2 18 2" xfId="17085" xr:uid="{00000000-0005-0000-0000-0000CA420000}"/>
    <cellStyle name="Positive 2 2 3 2 19" xfId="17086" xr:uid="{00000000-0005-0000-0000-0000CB420000}"/>
    <cellStyle name="Positive 2 2 3 2 19 2" xfId="17087" xr:uid="{00000000-0005-0000-0000-0000CC420000}"/>
    <cellStyle name="Positive 2 2 3 2 2" xfId="17088" xr:uid="{00000000-0005-0000-0000-0000CD420000}"/>
    <cellStyle name="Positive 2 2 3 2 2 10" xfId="17089" xr:uid="{00000000-0005-0000-0000-0000CE420000}"/>
    <cellStyle name="Positive 2 2 3 2 2 10 2" xfId="17090" xr:uid="{00000000-0005-0000-0000-0000CF420000}"/>
    <cellStyle name="Positive 2 2 3 2 2 11" xfId="17091" xr:uid="{00000000-0005-0000-0000-0000D0420000}"/>
    <cellStyle name="Positive 2 2 3 2 2 11 2" xfId="17092" xr:uid="{00000000-0005-0000-0000-0000D1420000}"/>
    <cellStyle name="Positive 2 2 3 2 2 12" xfId="17093" xr:uid="{00000000-0005-0000-0000-0000D2420000}"/>
    <cellStyle name="Positive 2 2 3 2 2 12 2" xfId="17094" xr:uid="{00000000-0005-0000-0000-0000D3420000}"/>
    <cellStyle name="Positive 2 2 3 2 2 13" xfId="17095" xr:uid="{00000000-0005-0000-0000-0000D4420000}"/>
    <cellStyle name="Positive 2 2 3 2 2 13 2" xfId="17096" xr:uid="{00000000-0005-0000-0000-0000D5420000}"/>
    <cellStyle name="Positive 2 2 3 2 2 14" xfId="17097" xr:uid="{00000000-0005-0000-0000-0000D6420000}"/>
    <cellStyle name="Positive 2 2 3 2 2 14 2" xfId="17098" xr:uid="{00000000-0005-0000-0000-0000D7420000}"/>
    <cellStyle name="Positive 2 2 3 2 2 15" xfId="17099" xr:uid="{00000000-0005-0000-0000-0000D8420000}"/>
    <cellStyle name="Positive 2 2 3 2 2 15 2" xfId="17100" xr:uid="{00000000-0005-0000-0000-0000D9420000}"/>
    <cellStyle name="Positive 2 2 3 2 2 16" xfId="17101" xr:uid="{00000000-0005-0000-0000-0000DA420000}"/>
    <cellStyle name="Positive 2 2 3 2 2 16 2" xfId="17102" xr:uid="{00000000-0005-0000-0000-0000DB420000}"/>
    <cellStyle name="Positive 2 2 3 2 2 17" xfId="17103" xr:uid="{00000000-0005-0000-0000-0000DC420000}"/>
    <cellStyle name="Positive 2 2 3 2 2 2" xfId="17104" xr:uid="{00000000-0005-0000-0000-0000DD420000}"/>
    <cellStyle name="Positive 2 2 3 2 2 2 2" xfId="17105" xr:uid="{00000000-0005-0000-0000-0000DE420000}"/>
    <cellStyle name="Positive 2 2 3 2 2 3" xfId="17106" xr:uid="{00000000-0005-0000-0000-0000DF420000}"/>
    <cellStyle name="Positive 2 2 3 2 2 3 2" xfId="17107" xr:uid="{00000000-0005-0000-0000-0000E0420000}"/>
    <cellStyle name="Positive 2 2 3 2 2 4" xfId="17108" xr:uid="{00000000-0005-0000-0000-0000E1420000}"/>
    <cellStyle name="Positive 2 2 3 2 2 4 2" xfId="17109" xr:uid="{00000000-0005-0000-0000-0000E2420000}"/>
    <cellStyle name="Positive 2 2 3 2 2 5" xfId="17110" xr:uid="{00000000-0005-0000-0000-0000E3420000}"/>
    <cellStyle name="Positive 2 2 3 2 2 5 2" xfId="17111" xr:uid="{00000000-0005-0000-0000-0000E4420000}"/>
    <cellStyle name="Positive 2 2 3 2 2 6" xfId="17112" xr:uid="{00000000-0005-0000-0000-0000E5420000}"/>
    <cellStyle name="Positive 2 2 3 2 2 6 2" xfId="17113" xr:uid="{00000000-0005-0000-0000-0000E6420000}"/>
    <cellStyle name="Positive 2 2 3 2 2 7" xfId="17114" xr:uid="{00000000-0005-0000-0000-0000E7420000}"/>
    <cellStyle name="Positive 2 2 3 2 2 7 2" xfId="17115" xr:uid="{00000000-0005-0000-0000-0000E8420000}"/>
    <cellStyle name="Positive 2 2 3 2 2 8" xfId="17116" xr:uid="{00000000-0005-0000-0000-0000E9420000}"/>
    <cellStyle name="Positive 2 2 3 2 2 8 2" xfId="17117" xr:uid="{00000000-0005-0000-0000-0000EA420000}"/>
    <cellStyle name="Positive 2 2 3 2 2 9" xfId="17118" xr:uid="{00000000-0005-0000-0000-0000EB420000}"/>
    <cellStyle name="Positive 2 2 3 2 2 9 2" xfId="17119" xr:uid="{00000000-0005-0000-0000-0000EC420000}"/>
    <cellStyle name="Positive 2 2 3 2 20" xfId="17120" xr:uid="{00000000-0005-0000-0000-0000ED420000}"/>
    <cellStyle name="Positive 2 2 3 2 3" xfId="17121" xr:uid="{00000000-0005-0000-0000-0000EE420000}"/>
    <cellStyle name="Positive 2 2 3 2 3 2" xfId="17122" xr:uid="{00000000-0005-0000-0000-0000EF420000}"/>
    <cellStyle name="Positive 2 2 3 2 3 2 2" xfId="17123" xr:uid="{00000000-0005-0000-0000-0000F0420000}"/>
    <cellStyle name="Positive 2 2 3 2 3 3" xfId="17124" xr:uid="{00000000-0005-0000-0000-0000F1420000}"/>
    <cellStyle name="Positive 2 2 3 2 4" xfId="17125" xr:uid="{00000000-0005-0000-0000-0000F2420000}"/>
    <cellStyle name="Positive 2 2 3 2 4 2" xfId="17126" xr:uid="{00000000-0005-0000-0000-0000F3420000}"/>
    <cellStyle name="Positive 2 2 3 2 4 2 2" xfId="17127" xr:uid="{00000000-0005-0000-0000-0000F4420000}"/>
    <cellStyle name="Positive 2 2 3 2 4 3" xfId="17128" xr:uid="{00000000-0005-0000-0000-0000F5420000}"/>
    <cellStyle name="Positive 2 2 3 2 5" xfId="17129" xr:uid="{00000000-0005-0000-0000-0000F6420000}"/>
    <cellStyle name="Positive 2 2 3 2 5 2" xfId="17130" xr:uid="{00000000-0005-0000-0000-0000F7420000}"/>
    <cellStyle name="Positive 2 2 3 2 6" xfId="17131" xr:uid="{00000000-0005-0000-0000-0000F8420000}"/>
    <cellStyle name="Positive 2 2 3 2 6 2" xfId="17132" xr:uid="{00000000-0005-0000-0000-0000F9420000}"/>
    <cellStyle name="Positive 2 2 3 2 7" xfId="17133" xr:uid="{00000000-0005-0000-0000-0000FA420000}"/>
    <cellStyle name="Positive 2 2 3 2 7 2" xfId="17134" xr:uid="{00000000-0005-0000-0000-0000FB420000}"/>
    <cellStyle name="Positive 2 2 3 2 8" xfId="17135" xr:uid="{00000000-0005-0000-0000-0000FC420000}"/>
    <cellStyle name="Positive 2 2 3 2 8 2" xfId="17136" xr:uid="{00000000-0005-0000-0000-0000FD420000}"/>
    <cellStyle name="Positive 2 2 3 2 9" xfId="17137" xr:uid="{00000000-0005-0000-0000-0000FE420000}"/>
    <cellStyle name="Positive 2 2 3 2 9 2" xfId="17138" xr:uid="{00000000-0005-0000-0000-0000FF420000}"/>
    <cellStyle name="Positive 2 2 3 20" xfId="17139" xr:uid="{00000000-0005-0000-0000-000000430000}"/>
    <cellStyle name="Positive 2 2 3 20 2" xfId="17140" xr:uid="{00000000-0005-0000-0000-000001430000}"/>
    <cellStyle name="Positive 2 2 3 21" xfId="17141" xr:uid="{00000000-0005-0000-0000-000002430000}"/>
    <cellStyle name="Positive 2 2 3 21 2" xfId="17142" xr:uid="{00000000-0005-0000-0000-000003430000}"/>
    <cellStyle name="Positive 2 2 3 22" xfId="17143" xr:uid="{00000000-0005-0000-0000-000004430000}"/>
    <cellStyle name="Positive 2 2 3 22 2" xfId="17144" xr:uid="{00000000-0005-0000-0000-000005430000}"/>
    <cellStyle name="Positive 2 2 3 23" xfId="17145" xr:uid="{00000000-0005-0000-0000-000006430000}"/>
    <cellStyle name="Positive 2 2 3 3" xfId="17146" xr:uid="{00000000-0005-0000-0000-000007430000}"/>
    <cellStyle name="Positive 2 2 3 3 10" xfId="17147" xr:uid="{00000000-0005-0000-0000-000008430000}"/>
    <cellStyle name="Positive 2 2 3 3 10 2" xfId="17148" xr:uid="{00000000-0005-0000-0000-000009430000}"/>
    <cellStyle name="Positive 2 2 3 3 11" xfId="17149" xr:uid="{00000000-0005-0000-0000-00000A430000}"/>
    <cellStyle name="Positive 2 2 3 3 11 2" xfId="17150" xr:uid="{00000000-0005-0000-0000-00000B430000}"/>
    <cellStyle name="Positive 2 2 3 3 12" xfId="17151" xr:uid="{00000000-0005-0000-0000-00000C430000}"/>
    <cellStyle name="Positive 2 2 3 3 12 2" xfId="17152" xr:uid="{00000000-0005-0000-0000-00000D430000}"/>
    <cellStyle name="Positive 2 2 3 3 13" xfId="17153" xr:uid="{00000000-0005-0000-0000-00000E430000}"/>
    <cellStyle name="Positive 2 2 3 3 13 2" xfId="17154" xr:uid="{00000000-0005-0000-0000-00000F430000}"/>
    <cellStyle name="Positive 2 2 3 3 14" xfId="17155" xr:uid="{00000000-0005-0000-0000-000010430000}"/>
    <cellStyle name="Positive 2 2 3 3 14 2" xfId="17156" xr:uid="{00000000-0005-0000-0000-000011430000}"/>
    <cellStyle name="Positive 2 2 3 3 15" xfId="17157" xr:uid="{00000000-0005-0000-0000-000012430000}"/>
    <cellStyle name="Positive 2 2 3 3 15 2" xfId="17158" xr:uid="{00000000-0005-0000-0000-000013430000}"/>
    <cellStyle name="Positive 2 2 3 3 16" xfId="17159" xr:uid="{00000000-0005-0000-0000-000014430000}"/>
    <cellStyle name="Positive 2 2 3 3 16 2" xfId="17160" xr:uid="{00000000-0005-0000-0000-000015430000}"/>
    <cellStyle name="Positive 2 2 3 3 17" xfId="17161" xr:uid="{00000000-0005-0000-0000-000016430000}"/>
    <cellStyle name="Positive 2 2 3 3 17 2" xfId="17162" xr:uid="{00000000-0005-0000-0000-000017430000}"/>
    <cellStyle name="Positive 2 2 3 3 18" xfId="17163" xr:uid="{00000000-0005-0000-0000-000018430000}"/>
    <cellStyle name="Positive 2 2 3 3 18 2" xfId="17164" xr:uid="{00000000-0005-0000-0000-000019430000}"/>
    <cellStyle name="Positive 2 2 3 3 19" xfId="17165" xr:uid="{00000000-0005-0000-0000-00001A430000}"/>
    <cellStyle name="Positive 2 2 3 3 19 2" xfId="17166" xr:uid="{00000000-0005-0000-0000-00001B430000}"/>
    <cellStyle name="Positive 2 2 3 3 2" xfId="17167" xr:uid="{00000000-0005-0000-0000-00001C430000}"/>
    <cellStyle name="Positive 2 2 3 3 2 10" xfId="17168" xr:uid="{00000000-0005-0000-0000-00001D430000}"/>
    <cellStyle name="Positive 2 2 3 3 2 10 2" xfId="17169" xr:uid="{00000000-0005-0000-0000-00001E430000}"/>
    <cellStyle name="Positive 2 2 3 3 2 11" xfId="17170" xr:uid="{00000000-0005-0000-0000-00001F430000}"/>
    <cellStyle name="Positive 2 2 3 3 2 11 2" xfId="17171" xr:uid="{00000000-0005-0000-0000-000020430000}"/>
    <cellStyle name="Positive 2 2 3 3 2 12" xfId="17172" xr:uid="{00000000-0005-0000-0000-000021430000}"/>
    <cellStyle name="Positive 2 2 3 3 2 12 2" xfId="17173" xr:uid="{00000000-0005-0000-0000-000022430000}"/>
    <cellStyle name="Positive 2 2 3 3 2 13" xfId="17174" xr:uid="{00000000-0005-0000-0000-000023430000}"/>
    <cellStyle name="Positive 2 2 3 3 2 13 2" xfId="17175" xr:uid="{00000000-0005-0000-0000-000024430000}"/>
    <cellStyle name="Positive 2 2 3 3 2 14" xfId="17176" xr:uid="{00000000-0005-0000-0000-000025430000}"/>
    <cellStyle name="Positive 2 2 3 3 2 14 2" xfId="17177" xr:uid="{00000000-0005-0000-0000-000026430000}"/>
    <cellStyle name="Positive 2 2 3 3 2 15" xfId="17178" xr:uid="{00000000-0005-0000-0000-000027430000}"/>
    <cellStyle name="Positive 2 2 3 3 2 15 2" xfId="17179" xr:uid="{00000000-0005-0000-0000-000028430000}"/>
    <cellStyle name="Positive 2 2 3 3 2 16" xfId="17180" xr:uid="{00000000-0005-0000-0000-000029430000}"/>
    <cellStyle name="Positive 2 2 3 3 2 16 2" xfId="17181" xr:uid="{00000000-0005-0000-0000-00002A430000}"/>
    <cellStyle name="Positive 2 2 3 3 2 17" xfId="17182" xr:uid="{00000000-0005-0000-0000-00002B430000}"/>
    <cellStyle name="Positive 2 2 3 3 2 2" xfId="17183" xr:uid="{00000000-0005-0000-0000-00002C430000}"/>
    <cellStyle name="Positive 2 2 3 3 2 2 2" xfId="17184" xr:uid="{00000000-0005-0000-0000-00002D430000}"/>
    <cellStyle name="Positive 2 2 3 3 2 3" xfId="17185" xr:uid="{00000000-0005-0000-0000-00002E430000}"/>
    <cellStyle name="Positive 2 2 3 3 2 3 2" xfId="17186" xr:uid="{00000000-0005-0000-0000-00002F430000}"/>
    <cellStyle name="Positive 2 2 3 3 2 4" xfId="17187" xr:uid="{00000000-0005-0000-0000-000030430000}"/>
    <cellStyle name="Positive 2 2 3 3 2 4 2" xfId="17188" xr:uid="{00000000-0005-0000-0000-000031430000}"/>
    <cellStyle name="Positive 2 2 3 3 2 5" xfId="17189" xr:uid="{00000000-0005-0000-0000-000032430000}"/>
    <cellStyle name="Positive 2 2 3 3 2 5 2" xfId="17190" xr:uid="{00000000-0005-0000-0000-000033430000}"/>
    <cellStyle name="Positive 2 2 3 3 2 6" xfId="17191" xr:uid="{00000000-0005-0000-0000-000034430000}"/>
    <cellStyle name="Positive 2 2 3 3 2 6 2" xfId="17192" xr:uid="{00000000-0005-0000-0000-000035430000}"/>
    <cellStyle name="Positive 2 2 3 3 2 7" xfId="17193" xr:uid="{00000000-0005-0000-0000-000036430000}"/>
    <cellStyle name="Positive 2 2 3 3 2 7 2" xfId="17194" xr:uid="{00000000-0005-0000-0000-000037430000}"/>
    <cellStyle name="Positive 2 2 3 3 2 8" xfId="17195" xr:uid="{00000000-0005-0000-0000-000038430000}"/>
    <cellStyle name="Positive 2 2 3 3 2 8 2" xfId="17196" xr:uid="{00000000-0005-0000-0000-000039430000}"/>
    <cellStyle name="Positive 2 2 3 3 2 9" xfId="17197" xr:uid="{00000000-0005-0000-0000-00003A430000}"/>
    <cellStyle name="Positive 2 2 3 3 2 9 2" xfId="17198" xr:uid="{00000000-0005-0000-0000-00003B430000}"/>
    <cellStyle name="Positive 2 2 3 3 20" xfId="17199" xr:uid="{00000000-0005-0000-0000-00003C430000}"/>
    <cellStyle name="Positive 2 2 3 3 3" xfId="17200" xr:uid="{00000000-0005-0000-0000-00003D430000}"/>
    <cellStyle name="Positive 2 2 3 3 3 2" xfId="17201" xr:uid="{00000000-0005-0000-0000-00003E430000}"/>
    <cellStyle name="Positive 2 2 3 3 3 2 2" xfId="17202" xr:uid="{00000000-0005-0000-0000-00003F430000}"/>
    <cellStyle name="Positive 2 2 3 3 3 3" xfId="17203" xr:uid="{00000000-0005-0000-0000-000040430000}"/>
    <cellStyle name="Positive 2 2 3 3 4" xfId="17204" xr:uid="{00000000-0005-0000-0000-000041430000}"/>
    <cellStyle name="Positive 2 2 3 3 4 2" xfId="17205" xr:uid="{00000000-0005-0000-0000-000042430000}"/>
    <cellStyle name="Positive 2 2 3 3 4 2 2" xfId="17206" xr:uid="{00000000-0005-0000-0000-000043430000}"/>
    <cellStyle name="Positive 2 2 3 3 4 3" xfId="17207" xr:uid="{00000000-0005-0000-0000-000044430000}"/>
    <cellStyle name="Positive 2 2 3 3 5" xfId="17208" xr:uid="{00000000-0005-0000-0000-000045430000}"/>
    <cellStyle name="Positive 2 2 3 3 5 2" xfId="17209" xr:uid="{00000000-0005-0000-0000-000046430000}"/>
    <cellStyle name="Positive 2 2 3 3 6" xfId="17210" xr:uid="{00000000-0005-0000-0000-000047430000}"/>
    <cellStyle name="Positive 2 2 3 3 6 2" xfId="17211" xr:uid="{00000000-0005-0000-0000-000048430000}"/>
    <cellStyle name="Positive 2 2 3 3 7" xfId="17212" xr:uid="{00000000-0005-0000-0000-000049430000}"/>
    <cellStyle name="Positive 2 2 3 3 7 2" xfId="17213" xr:uid="{00000000-0005-0000-0000-00004A430000}"/>
    <cellStyle name="Positive 2 2 3 3 8" xfId="17214" xr:uid="{00000000-0005-0000-0000-00004B430000}"/>
    <cellStyle name="Positive 2 2 3 3 8 2" xfId="17215" xr:uid="{00000000-0005-0000-0000-00004C430000}"/>
    <cellStyle name="Positive 2 2 3 3 9" xfId="17216" xr:uid="{00000000-0005-0000-0000-00004D430000}"/>
    <cellStyle name="Positive 2 2 3 3 9 2" xfId="17217" xr:uid="{00000000-0005-0000-0000-00004E430000}"/>
    <cellStyle name="Positive 2 2 3 4" xfId="17218" xr:uid="{00000000-0005-0000-0000-00004F430000}"/>
    <cellStyle name="Positive 2 2 3 4 10" xfId="17219" xr:uid="{00000000-0005-0000-0000-000050430000}"/>
    <cellStyle name="Positive 2 2 3 4 10 2" xfId="17220" xr:uid="{00000000-0005-0000-0000-000051430000}"/>
    <cellStyle name="Positive 2 2 3 4 11" xfId="17221" xr:uid="{00000000-0005-0000-0000-000052430000}"/>
    <cellStyle name="Positive 2 2 3 4 11 2" xfId="17222" xr:uid="{00000000-0005-0000-0000-000053430000}"/>
    <cellStyle name="Positive 2 2 3 4 12" xfId="17223" xr:uid="{00000000-0005-0000-0000-000054430000}"/>
    <cellStyle name="Positive 2 2 3 4 12 2" xfId="17224" xr:uid="{00000000-0005-0000-0000-000055430000}"/>
    <cellStyle name="Positive 2 2 3 4 13" xfId="17225" xr:uid="{00000000-0005-0000-0000-000056430000}"/>
    <cellStyle name="Positive 2 2 3 4 13 2" xfId="17226" xr:uid="{00000000-0005-0000-0000-000057430000}"/>
    <cellStyle name="Positive 2 2 3 4 14" xfId="17227" xr:uid="{00000000-0005-0000-0000-000058430000}"/>
    <cellStyle name="Positive 2 2 3 4 14 2" xfId="17228" xr:uid="{00000000-0005-0000-0000-000059430000}"/>
    <cellStyle name="Positive 2 2 3 4 15" xfId="17229" xr:uid="{00000000-0005-0000-0000-00005A430000}"/>
    <cellStyle name="Positive 2 2 3 4 15 2" xfId="17230" xr:uid="{00000000-0005-0000-0000-00005B430000}"/>
    <cellStyle name="Positive 2 2 3 4 16" xfId="17231" xr:uid="{00000000-0005-0000-0000-00005C430000}"/>
    <cellStyle name="Positive 2 2 3 4 16 2" xfId="17232" xr:uid="{00000000-0005-0000-0000-00005D430000}"/>
    <cellStyle name="Positive 2 2 3 4 17" xfId="17233" xr:uid="{00000000-0005-0000-0000-00005E430000}"/>
    <cellStyle name="Positive 2 2 3 4 17 2" xfId="17234" xr:uid="{00000000-0005-0000-0000-00005F430000}"/>
    <cellStyle name="Positive 2 2 3 4 18" xfId="17235" xr:uid="{00000000-0005-0000-0000-000060430000}"/>
    <cellStyle name="Positive 2 2 3 4 18 2" xfId="17236" xr:uid="{00000000-0005-0000-0000-000061430000}"/>
    <cellStyle name="Positive 2 2 3 4 19" xfId="17237" xr:uid="{00000000-0005-0000-0000-000062430000}"/>
    <cellStyle name="Positive 2 2 3 4 19 2" xfId="17238" xr:uid="{00000000-0005-0000-0000-000063430000}"/>
    <cellStyle name="Positive 2 2 3 4 2" xfId="17239" xr:uid="{00000000-0005-0000-0000-000064430000}"/>
    <cellStyle name="Positive 2 2 3 4 2 10" xfId="17240" xr:uid="{00000000-0005-0000-0000-000065430000}"/>
    <cellStyle name="Positive 2 2 3 4 2 10 2" xfId="17241" xr:uid="{00000000-0005-0000-0000-000066430000}"/>
    <cellStyle name="Positive 2 2 3 4 2 11" xfId="17242" xr:uid="{00000000-0005-0000-0000-000067430000}"/>
    <cellStyle name="Positive 2 2 3 4 2 11 2" xfId="17243" xr:uid="{00000000-0005-0000-0000-000068430000}"/>
    <cellStyle name="Positive 2 2 3 4 2 12" xfId="17244" xr:uid="{00000000-0005-0000-0000-000069430000}"/>
    <cellStyle name="Positive 2 2 3 4 2 12 2" xfId="17245" xr:uid="{00000000-0005-0000-0000-00006A430000}"/>
    <cellStyle name="Positive 2 2 3 4 2 13" xfId="17246" xr:uid="{00000000-0005-0000-0000-00006B430000}"/>
    <cellStyle name="Positive 2 2 3 4 2 13 2" xfId="17247" xr:uid="{00000000-0005-0000-0000-00006C430000}"/>
    <cellStyle name="Positive 2 2 3 4 2 14" xfId="17248" xr:uid="{00000000-0005-0000-0000-00006D430000}"/>
    <cellStyle name="Positive 2 2 3 4 2 14 2" xfId="17249" xr:uid="{00000000-0005-0000-0000-00006E430000}"/>
    <cellStyle name="Positive 2 2 3 4 2 15" xfId="17250" xr:uid="{00000000-0005-0000-0000-00006F430000}"/>
    <cellStyle name="Positive 2 2 3 4 2 15 2" xfId="17251" xr:uid="{00000000-0005-0000-0000-000070430000}"/>
    <cellStyle name="Positive 2 2 3 4 2 16" xfId="17252" xr:uid="{00000000-0005-0000-0000-000071430000}"/>
    <cellStyle name="Positive 2 2 3 4 2 16 2" xfId="17253" xr:uid="{00000000-0005-0000-0000-000072430000}"/>
    <cellStyle name="Positive 2 2 3 4 2 17" xfId="17254" xr:uid="{00000000-0005-0000-0000-000073430000}"/>
    <cellStyle name="Positive 2 2 3 4 2 2" xfId="17255" xr:uid="{00000000-0005-0000-0000-000074430000}"/>
    <cellStyle name="Positive 2 2 3 4 2 2 2" xfId="17256" xr:uid="{00000000-0005-0000-0000-000075430000}"/>
    <cellStyle name="Positive 2 2 3 4 2 3" xfId="17257" xr:uid="{00000000-0005-0000-0000-000076430000}"/>
    <cellStyle name="Positive 2 2 3 4 2 3 2" xfId="17258" xr:uid="{00000000-0005-0000-0000-000077430000}"/>
    <cellStyle name="Positive 2 2 3 4 2 4" xfId="17259" xr:uid="{00000000-0005-0000-0000-000078430000}"/>
    <cellStyle name="Positive 2 2 3 4 2 4 2" xfId="17260" xr:uid="{00000000-0005-0000-0000-000079430000}"/>
    <cellStyle name="Positive 2 2 3 4 2 5" xfId="17261" xr:uid="{00000000-0005-0000-0000-00007A430000}"/>
    <cellStyle name="Positive 2 2 3 4 2 5 2" xfId="17262" xr:uid="{00000000-0005-0000-0000-00007B430000}"/>
    <cellStyle name="Positive 2 2 3 4 2 6" xfId="17263" xr:uid="{00000000-0005-0000-0000-00007C430000}"/>
    <cellStyle name="Positive 2 2 3 4 2 6 2" xfId="17264" xr:uid="{00000000-0005-0000-0000-00007D430000}"/>
    <cellStyle name="Positive 2 2 3 4 2 7" xfId="17265" xr:uid="{00000000-0005-0000-0000-00007E430000}"/>
    <cellStyle name="Positive 2 2 3 4 2 7 2" xfId="17266" xr:uid="{00000000-0005-0000-0000-00007F430000}"/>
    <cellStyle name="Positive 2 2 3 4 2 8" xfId="17267" xr:uid="{00000000-0005-0000-0000-000080430000}"/>
    <cellStyle name="Positive 2 2 3 4 2 8 2" xfId="17268" xr:uid="{00000000-0005-0000-0000-000081430000}"/>
    <cellStyle name="Positive 2 2 3 4 2 9" xfId="17269" xr:uid="{00000000-0005-0000-0000-000082430000}"/>
    <cellStyle name="Positive 2 2 3 4 2 9 2" xfId="17270" xr:uid="{00000000-0005-0000-0000-000083430000}"/>
    <cellStyle name="Positive 2 2 3 4 20" xfId="17271" xr:uid="{00000000-0005-0000-0000-000084430000}"/>
    <cellStyle name="Positive 2 2 3 4 3" xfId="17272" xr:uid="{00000000-0005-0000-0000-000085430000}"/>
    <cellStyle name="Positive 2 2 3 4 3 2" xfId="17273" xr:uid="{00000000-0005-0000-0000-000086430000}"/>
    <cellStyle name="Positive 2 2 3 4 3 2 2" xfId="17274" xr:uid="{00000000-0005-0000-0000-000087430000}"/>
    <cellStyle name="Positive 2 2 3 4 3 3" xfId="17275" xr:uid="{00000000-0005-0000-0000-000088430000}"/>
    <cellStyle name="Positive 2 2 3 4 4" xfId="17276" xr:uid="{00000000-0005-0000-0000-000089430000}"/>
    <cellStyle name="Positive 2 2 3 4 4 2" xfId="17277" xr:uid="{00000000-0005-0000-0000-00008A430000}"/>
    <cellStyle name="Positive 2 2 3 4 4 2 2" xfId="17278" xr:uid="{00000000-0005-0000-0000-00008B430000}"/>
    <cellStyle name="Positive 2 2 3 4 4 3" xfId="17279" xr:uid="{00000000-0005-0000-0000-00008C430000}"/>
    <cellStyle name="Positive 2 2 3 4 5" xfId="17280" xr:uid="{00000000-0005-0000-0000-00008D430000}"/>
    <cellStyle name="Positive 2 2 3 4 5 2" xfId="17281" xr:uid="{00000000-0005-0000-0000-00008E430000}"/>
    <cellStyle name="Positive 2 2 3 4 6" xfId="17282" xr:uid="{00000000-0005-0000-0000-00008F430000}"/>
    <cellStyle name="Positive 2 2 3 4 6 2" xfId="17283" xr:uid="{00000000-0005-0000-0000-000090430000}"/>
    <cellStyle name="Positive 2 2 3 4 7" xfId="17284" xr:uid="{00000000-0005-0000-0000-000091430000}"/>
    <cellStyle name="Positive 2 2 3 4 7 2" xfId="17285" xr:uid="{00000000-0005-0000-0000-000092430000}"/>
    <cellStyle name="Positive 2 2 3 4 8" xfId="17286" xr:uid="{00000000-0005-0000-0000-000093430000}"/>
    <cellStyle name="Positive 2 2 3 4 8 2" xfId="17287" xr:uid="{00000000-0005-0000-0000-000094430000}"/>
    <cellStyle name="Positive 2 2 3 4 9" xfId="17288" xr:uid="{00000000-0005-0000-0000-000095430000}"/>
    <cellStyle name="Positive 2 2 3 4 9 2" xfId="17289" xr:uid="{00000000-0005-0000-0000-000096430000}"/>
    <cellStyle name="Positive 2 2 3 5" xfId="17290" xr:uid="{00000000-0005-0000-0000-000097430000}"/>
    <cellStyle name="Positive 2 2 3 5 10" xfId="17291" xr:uid="{00000000-0005-0000-0000-000098430000}"/>
    <cellStyle name="Positive 2 2 3 5 10 2" xfId="17292" xr:uid="{00000000-0005-0000-0000-000099430000}"/>
    <cellStyle name="Positive 2 2 3 5 11" xfId="17293" xr:uid="{00000000-0005-0000-0000-00009A430000}"/>
    <cellStyle name="Positive 2 2 3 5 11 2" xfId="17294" xr:uid="{00000000-0005-0000-0000-00009B430000}"/>
    <cellStyle name="Positive 2 2 3 5 12" xfId="17295" xr:uid="{00000000-0005-0000-0000-00009C430000}"/>
    <cellStyle name="Positive 2 2 3 5 12 2" xfId="17296" xr:uid="{00000000-0005-0000-0000-00009D430000}"/>
    <cellStyle name="Positive 2 2 3 5 13" xfId="17297" xr:uid="{00000000-0005-0000-0000-00009E430000}"/>
    <cellStyle name="Positive 2 2 3 5 13 2" xfId="17298" xr:uid="{00000000-0005-0000-0000-00009F430000}"/>
    <cellStyle name="Positive 2 2 3 5 14" xfId="17299" xr:uid="{00000000-0005-0000-0000-0000A0430000}"/>
    <cellStyle name="Positive 2 2 3 5 14 2" xfId="17300" xr:uid="{00000000-0005-0000-0000-0000A1430000}"/>
    <cellStyle name="Positive 2 2 3 5 15" xfId="17301" xr:uid="{00000000-0005-0000-0000-0000A2430000}"/>
    <cellStyle name="Positive 2 2 3 5 15 2" xfId="17302" xr:uid="{00000000-0005-0000-0000-0000A3430000}"/>
    <cellStyle name="Positive 2 2 3 5 16" xfId="17303" xr:uid="{00000000-0005-0000-0000-0000A4430000}"/>
    <cellStyle name="Positive 2 2 3 5 16 2" xfId="17304" xr:uid="{00000000-0005-0000-0000-0000A5430000}"/>
    <cellStyle name="Positive 2 2 3 5 17" xfId="17305" xr:uid="{00000000-0005-0000-0000-0000A6430000}"/>
    <cellStyle name="Positive 2 2 3 5 2" xfId="17306" xr:uid="{00000000-0005-0000-0000-0000A7430000}"/>
    <cellStyle name="Positive 2 2 3 5 2 2" xfId="17307" xr:uid="{00000000-0005-0000-0000-0000A8430000}"/>
    <cellStyle name="Positive 2 2 3 5 3" xfId="17308" xr:uid="{00000000-0005-0000-0000-0000A9430000}"/>
    <cellStyle name="Positive 2 2 3 5 3 2" xfId="17309" xr:uid="{00000000-0005-0000-0000-0000AA430000}"/>
    <cellStyle name="Positive 2 2 3 5 4" xfId="17310" xr:uid="{00000000-0005-0000-0000-0000AB430000}"/>
    <cellStyle name="Positive 2 2 3 5 4 2" xfId="17311" xr:uid="{00000000-0005-0000-0000-0000AC430000}"/>
    <cellStyle name="Positive 2 2 3 5 5" xfId="17312" xr:uid="{00000000-0005-0000-0000-0000AD430000}"/>
    <cellStyle name="Positive 2 2 3 5 5 2" xfId="17313" xr:uid="{00000000-0005-0000-0000-0000AE430000}"/>
    <cellStyle name="Positive 2 2 3 5 6" xfId="17314" xr:uid="{00000000-0005-0000-0000-0000AF430000}"/>
    <cellStyle name="Positive 2 2 3 5 6 2" xfId="17315" xr:uid="{00000000-0005-0000-0000-0000B0430000}"/>
    <cellStyle name="Positive 2 2 3 5 7" xfId="17316" xr:uid="{00000000-0005-0000-0000-0000B1430000}"/>
    <cellStyle name="Positive 2 2 3 5 7 2" xfId="17317" xr:uid="{00000000-0005-0000-0000-0000B2430000}"/>
    <cellStyle name="Positive 2 2 3 5 8" xfId="17318" xr:uid="{00000000-0005-0000-0000-0000B3430000}"/>
    <cellStyle name="Positive 2 2 3 5 8 2" xfId="17319" xr:uid="{00000000-0005-0000-0000-0000B4430000}"/>
    <cellStyle name="Positive 2 2 3 5 9" xfId="17320" xr:uid="{00000000-0005-0000-0000-0000B5430000}"/>
    <cellStyle name="Positive 2 2 3 5 9 2" xfId="17321" xr:uid="{00000000-0005-0000-0000-0000B6430000}"/>
    <cellStyle name="Positive 2 2 3 6" xfId="17322" xr:uid="{00000000-0005-0000-0000-0000B7430000}"/>
    <cellStyle name="Positive 2 2 3 6 2" xfId="17323" xr:uid="{00000000-0005-0000-0000-0000B8430000}"/>
    <cellStyle name="Positive 2 2 3 6 2 2" xfId="17324" xr:uid="{00000000-0005-0000-0000-0000B9430000}"/>
    <cellStyle name="Positive 2 2 3 6 3" xfId="17325" xr:uid="{00000000-0005-0000-0000-0000BA430000}"/>
    <cellStyle name="Positive 2 2 3 7" xfId="17326" xr:uid="{00000000-0005-0000-0000-0000BB430000}"/>
    <cellStyle name="Positive 2 2 3 7 2" xfId="17327" xr:uid="{00000000-0005-0000-0000-0000BC430000}"/>
    <cellStyle name="Positive 2 2 3 7 2 2" xfId="17328" xr:uid="{00000000-0005-0000-0000-0000BD430000}"/>
    <cellStyle name="Positive 2 2 3 7 3" xfId="17329" xr:uid="{00000000-0005-0000-0000-0000BE430000}"/>
    <cellStyle name="Positive 2 2 3 8" xfId="17330" xr:uid="{00000000-0005-0000-0000-0000BF430000}"/>
    <cellStyle name="Positive 2 2 3 8 2" xfId="17331" xr:uid="{00000000-0005-0000-0000-0000C0430000}"/>
    <cellStyle name="Positive 2 2 3 9" xfId="17332" xr:uid="{00000000-0005-0000-0000-0000C1430000}"/>
    <cellStyle name="Positive 2 2 3 9 2" xfId="17333" xr:uid="{00000000-0005-0000-0000-0000C2430000}"/>
    <cellStyle name="Positive 2 2 30" xfId="17334" xr:uid="{00000000-0005-0000-0000-0000C3430000}"/>
    <cellStyle name="Positive 2 2 30 2" xfId="17335" xr:uid="{00000000-0005-0000-0000-0000C4430000}"/>
    <cellStyle name="Positive 2 2 31" xfId="17336" xr:uid="{00000000-0005-0000-0000-0000C5430000}"/>
    <cellStyle name="Positive 2 2 31 2" xfId="17337" xr:uid="{00000000-0005-0000-0000-0000C6430000}"/>
    <cellStyle name="Positive 2 2 32" xfId="17338" xr:uid="{00000000-0005-0000-0000-0000C7430000}"/>
    <cellStyle name="Positive 2 2 32 2" xfId="17339" xr:uid="{00000000-0005-0000-0000-0000C8430000}"/>
    <cellStyle name="Positive 2 2 33" xfId="17340" xr:uid="{00000000-0005-0000-0000-0000C9430000}"/>
    <cellStyle name="Positive 2 2 33 2" xfId="17341" xr:uid="{00000000-0005-0000-0000-0000CA430000}"/>
    <cellStyle name="Positive 2 2 34" xfId="17342" xr:uid="{00000000-0005-0000-0000-0000CB430000}"/>
    <cellStyle name="Positive 2 2 34 2" xfId="17343" xr:uid="{00000000-0005-0000-0000-0000CC430000}"/>
    <cellStyle name="Positive 2 2 35" xfId="17344" xr:uid="{00000000-0005-0000-0000-0000CD430000}"/>
    <cellStyle name="Positive 2 2 35 2" xfId="17345" xr:uid="{00000000-0005-0000-0000-0000CE430000}"/>
    <cellStyle name="Positive 2 2 36" xfId="17346" xr:uid="{00000000-0005-0000-0000-0000CF430000}"/>
    <cellStyle name="Positive 2 2 36 2" xfId="17347" xr:uid="{00000000-0005-0000-0000-0000D0430000}"/>
    <cellStyle name="Positive 2 2 37" xfId="17348" xr:uid="{00000000-0005-0000-0000-0000D1430000}"/>
    <cellStyle name="Positive 2 2 37 2" xfId="17349" xr:uid="{00000000-0005-0000-0000-0000D2430000}"/>
    <cellStyle name="Positive 2 2 38" xfId="17350" xr:uid="{00000000-0005-0000-0000-0000D3430000}"/>
    <cellStyle name="Positive 2 2 38 2" xfId="17351" xr:uid="{00000000-0005-0000-0000-0000D4430000}"/>
    <cellStyle name="Positive 2 2 39" xfId="17352" xr:uid="{00000000-0005-0000-0000-0000D5430000}"/>
    <cellStyle name="Positive 2 2 39 2" xfId="17353" xr:uid="{00000000-0005-0000-0000-0000D6430000}"/>
    <cellStyle name="Positive 2 2 4" xfId="17354" xr:uid="{00000000-0005-0000-0000-0000D7430000}"/>
    <cellStyle name="Positive 2 2 4 10" xfId="17355" xr:uid="{00000000-0005-0000-0000-0000D8430000}"/>
    <cellStyle name="Positive 2 2 4 10 2" xfId="17356" xr:uid="{00000000-0005-0000-0000-0000D9430000}"/>
    <cellStyle name="Positive 2 2 4 11" xfId="17357" xr:uid="{00000000-0005-0000-0000-0000DA430000}"/>
    <cellStyle name="Positive 2 2 4 11 2" xfId="17358" xr:uid="{00000000-0005-0000-0000-0000DB430000}"/>
    <cellStyle name="Positive 2 2 4 12" xfId="17359" xr:uid="{00000000-0005-0000-0000-0000DC430000}"/>
    <cellStyle name="Positive 2 2 4 12 2" xfId="17360" xr:uid="{00000000-0005-0000-0000-0000DD430000}"/>
    <cellStyle name="Positive 2 2 4 13" xfId="17361" xr:uid="{00000000-0005-0000-0000-0000DE430000}"/>
    <cellStyle name="Positive 2 2 4 13 2" xfId="17362" xr:uid="{00000000-0005-0000-0000-0000DF430000}"/>
    <cellStyle name="Positive 2 2 4 14" xfId="17363" xr:uid="{00000000-0005-0000-0000-0000E0430000}"/>
    <cellStyle name="Positive 2 2 4 14 2" xfId="17364" xr:uid="{00000000-0005-0000-0000-0000E1430000}"/>
    <cellStyle name="Positive 2 2 4 15" xfId="17365" xr:uid="{00000000-0005-0000-0000-0000E2430000}"/>
    <cellStyle name="Positive 2 2 4 15 2" xfId="17366" xr:uid="{00000000-0005-0000-0000-0000E3430000}"/>
    <cellStyle name="Positive 2 2 4 16" xfId="17367" xr:uid="{00000000-0005-0000-0000-0000E4430000}"/>
    <cellStyle name="Positive 2 2 4 16 2" xfId="17368" xr:uid="{00000000-0005-0000-0000-0000E5430000}"/>
    <cellStyle name="Positive 2 2 4 17" xfId="17369" xr:uid="{00000000-0005-0000-0000-0000E6430000}"/>
    <cellStyle name="Positive 2 2 4 17 2" xfId="17370" xr:uid="{00000000-0005-0000-0000-0000E7430000}"/>
    <cellStyle name="Positive 2 2 4 18" xfId="17371" xr:uid="{00000000-0005-0000-0000-0000E8430000}"/>
    <cellStyle name="Positive 2 2 4 18 2" xfId="17372" xr:uid="{00000000-0005-0000-0000-0000E9430000}"/>
    <cellStyle name="Positive 2 2 4 19" xfId="17373" xr:uid="{00000000-0005-0000-0000-0000EA430000}"/>
    <cellStyle name="Positive 2 2 4 19 2" xfId="17374" xr:uid="{00000000-0005-0000-0000-0000EB430000}"/>
    <cellStyle name="Positive 2 2 4 2" xfId="17375" xr:uid="{00000000-0005-0000-0000-0000EC430000}"/>
    <cellStyle name="Positive 2 2 4 2 10" xfId="17376" xr:uid="{00000000-0005-0000-0000-0000ED430000}"/>
    <cellStyle name="Positive 2 2 4 2 10 2" xfId="17377" xr:uid="{00000000-0005-0000-0000-0000EE430000}"/>
    <cellStyle name="Positive 2 2 4 2 11" xfId="17378" xr:uid="{00000000-0005-0000-0000-0000EF430000}"/>
    <cellStyle name="Positive 2 2 4 2 11 2" xfId="17379" xr:uid="{00000000-0005-0000-0000-0000F0430000}"/>
    <cellStyle name="Positive 2 2 4 2 12" xfId="17380" xr:uid="{00000000-0005-0000-0000-0000F1430000}"/>
    <cellStyle name="Positive 2 2 4 2 12 2" xfId="17381" xr:uid="{00000000-0005-0000-0000-0000F2430000}"/>
    <cellStyle name="Positive 2 2 4 2 13" xfId="17382" xr:uid="{00000000-0005-0000-0000-0000F3430000}"/>
    <cellStyle name="Positive 2 2 4 2 13 2" xfId="17383" xr:uid="{00000000-0005-0000-0000-0000F4430000}"/>
    <cellStyle name="Positive 2 2 4 2 14" xfId="17384" xr:uid="{00000000-0005-0000-0000-0000F5430000}"/>
    <cellStyle name="Positive 2 2 4 2 14 2" xfId="17385" xr:uid="{00000000-0005-0000-0000-0000F6430000}"/>
    <cellStyle name="Positive 2 2 4 2 15" xfId="17386" xr:uid="{00000000-0005-0000-0000-0000F7430000}"/>
    <cellStyle name="Positive 2 2 4 2 15 2" xfId="17387" xr:uid="{00000000-0005-0000-0000-0000F8430000}"/>
    <cellStyle name="Positive 2 2 4 2 16" xfId="17388" xr:uid="{00000000-0005-0000-0000-0000F9430000}"/>
    <cellStyle name="Positive 2 2 4 2 16 2" xfId="17389" xr:uid="{00000000-0005-0000-0000-0000FA430000}"/>
    <cellStyle name="Positive 2 2 4 2 17" xfId="17390" xr:uid="{00000000-0005-0000-0000-0000FB430000}"/>
    <cellStyle name="Positive 2 2 4 2 17 2" xfId="17391" xr:uid="{00000000-0005-0000-0000-0000FC430000}"/>
    <cellStyle name="Positive 2 2 4 2 18" xfId="17392" xr:uid="{00000000-0005-0000-0000-0000FD430000}"/>
    <cellStyle name="Positive 2 2 4 2 18 2" xfId="17393" xr:uid="{00000000-0005-0000-0000-0000FE430000}"/>
    <cellStyle name="Positive 2 2 4 2 19" xfId="17394" xr:uid="{00000000-0005-0000-0000-0000FF430000}"/>
    <cellStyle name="Positive 2 2 4 2 19 2" xfId="17395" xr:uid="{00000000-0005-0000-0000-000000440000}"/>
    <cellStyle name="Positive 2 2 4 2 2" xfId="17396" xr:uid="{00000000-0005-0000-0000-000001440000}"/>
    <cellStyle name="Positive 2 2 4 2 2 10" xfId="17397" xr:uid="{00000000-0005-0000-0000-000002440000}"/>
    <cellStyle name="Positive 2 2 4 2 2 10 2" xfId="17398" xr:uid="{00000000-0005-0000-0000-000003440000}"/>
    <cellStyle name="Positive 2 2 4 2 2 11" xfId="17399" xr:uid="{00000000-0005-0000-0000-000004440000}"/>
    <cellStyle name="Positive 2 2 4 2 2 11 2" xfId="17400" xr:uid="{00000000-0005-0000-0000-000005440000}"/>
    <cellStyle name="Positive 2 2 4 2 2 12" xfId="17401" xr:uid="{00000000-0005-0000-0000-000006440000}"/>
    <cellStyle name="Positive 2 2 4 2 2 12 2" xfId="17402" xr:uid="{00000000-0005-0000-0000-000007440000}"/>
    <cellStyle name="Positive 2 2 4 2 2 13" xfId="17403" xr:uid="{00000000-0005-0000-0000-000008440000}"/>
    <cellStyle name="Positive 2 2 4 2 2 13 2" xfId="17404" xr:uid="{00000000-0005-0000-0000-000009440000}"/>
    <cellStyle name="Positive 2 2 4 2 2 14" xfId="17405" xr:uid="{00000000-0005-0000-0000-00000A440000}"/>
    <cellStyle name="Positive 2 2 4 2 2 14 2" xfId="17406" xr:uid="{00000000-0005-0000-0000-00000B440000}"/>
    <cellStyle name="Positive 2 2 4 2 2 15" xfId="17407" xr:uid="{00000000-0005-0000-0000-00000C440000}"/>
    <cellStyle name="Positive 2 2 4 2 2 15 2" xfId="17408" xr:uid="{00000000-0005-0000-0000-00000D440000}"/>
    <cellStyle name="Positive 2 2 4 2 2 16" xfId="17409" xr:uid="{00000000-0005-0000-0000-00000E440000}"/>
    <cellStyle name="Positive 2 2 4 2 2 16 2" xfId="17410" xr:uid="{00000000-0005-0000-0000-00000F440000}"/>
    <cellStyle name="Positive 2 2 4 2 2 17" xfId="17411" xr:uid="{00000000-0005-0000-0000-000010440000}"/>
    <cellStyle name="Positive 2 2 4 2 2 2" xfId="17412" xr:uid="{00000000-0005-0000-0000-000011440000}"/>
    <cellStyle name="Positive 2 2 4 2 2 2 2" xfId="17413" xr:uid="{00000000-0005-0000-0000-000012440000}"/>
    <cellStyle name="Positive 2 2 4 2 2 3" xfId="17414" xr:uid="{00000000-0005-0000-0000-000013440000}"/>
    <cellStyle name="Positive 2 2 4 2 2 3 2" xfId="17415" xr:uid="{00000000-0005-0000-0000-000014440000}"/>
    <cellStyle name="Positive 2 2 4 2 2 4" xfId="17416" xr:uid="{00000000-0005-0000-0000-000015440000}"/>
    <cellStyle name="Positive 2 2 4 2 2 4 2" xfId="17417" xr:uid="{00000000-0005-0000-0000-000016440000}"/>
    <cellStyle name="Positive 2 2 4 2 2 5" xfId="17418" xr:uid="{00000000-0005-0000-0000-000017440000}"/>
    <cellStyle name="Positive 2 2 4 2 2 5 2" xfId="17419" xr:uid="{00000000-0005-0000-0000-000018440000}"/>
    <cellStyle name="Positive 2 2 4 2 2 6" xfId="17420" xr:uid="{00000000-0005-0000-0000-000019440000}"/>
    <cellStyle name="Positive 2 2 4 2 2 6 2" xfId="17421" xr:uid="{00000000-0005-0000-0000-00001A440000}"/>
    <cellStyle name="Positive 2 2 4 2 2 7" xfId="17422" xr:uid="{00000000-0005-0000-0000-00001B440000}"/>
    <cellStyle name="Positive 2 2 4 2 2 7 2" xfId="17423" xr:uid="{00000000-0005-0000-0000-00001C440000}"/>
    <cellStyle name="Positive 2 2 4 2 2 8" xfId="17424" xr:uid="{00000000-0005-0000-0000-00001D440000}"/>
    <cellStyle name="Positive 2 2 4 2 2 8 2" xfId="17425" xr:uid="{00000000-0005-0000-0000-00001E440000}"/>
    <cellStyle name="Positive 2 2 4 2 2 9" xfId="17426" xr:uid="{00000000-0005-0000-0000-00001F440000}"/>
    <cellStyle name="Positive 2 2 4 2 2 9 2" xfId="17427" xr:uid="{00000000-0005-0000-0000-000020440000}"/>
    <cellStyle name="Positive 2 2 4 2 20" xfId="17428" xr:uid="{00000000-0005-0000-0000-000021440000}"/>
    <cellStyle name="Positive 2 2 4 2 3" xfId="17429" xr:uid="{00000000-0005-0000-0000-000022440000}"/>
    <cellStyle name="Positive 2 2 4 2 3 2" xfId="17430" xr:uid="{00000000-0005-0000-0000-000023440000}"/>
    <cellStyle name="Positive 2 2 4 2 3 2 2" xfId="17431" xr:uid="{00000000-0005-0000-0000-000024440000}"/>
    <cellStyle name="Positive 2 2 4 2 3 3" xfId="17432" xr:uid="{00000000-0005-0000-0000-000025440000}"/>
    <cellStyle name="Positive 2 2 4 2 4" xfId="17433" xr:uid="{00000000-0005-0000-0000-000026440000}"/>
    <cellStyle name="Positive 2 2 4 2 4 2" xfId="17434" xr:uid="{00000000-0005-0000-0000-000027440000}"/>
    <cellStyle name="Positive 2 2 4 2 4 2 2" xfId="17435" xr:uid="{00000000-0005-0000-0000-000028440000}"/>
    <cellStyle name="Positive 2 2 4 2 4 3" xfId="17436" xr:uid="{00000000-0005-0000-0000-000029440000}"/>
    <cellStyle name="Positive 2 2 4 2 5" xfId="17437" xr:uid="{00000000-0005-0000-0000-00002A440000}"/>
    <cellStyle name="Positive 2 2 4 2 5 2" xfId="17438" xr:uid="{00000000-0005-0000-0000-00002B440000}"/>
    <cellStyle name="Positive 2 2 4 2 6" xfId="17439" xr:uid="{00000000-0005-0000-0000-00002C440000}"/>
    <cellStyle name="Positive 2 2 4 2 6 2" xfId="17440" xr:uid="{00000000-0005-0000-0000-00002D440000}"/>
    <cellStyle name="Positive 2 2 4 2 7" xfId="17441" xr:uid="{00000000-0005-0000-0000-00002E440000}"/>
    <cellStyle name="Positive 2 2 4 2 7 2" xfId="17442" xr:uid="{00000000-0005-0000-0000-00002F440000}"/>
    <cellStyle name="Positive 2 2 4 2 8" xfId="17443" xr:uid="{00000000-0005-0000-0000-000030440000}"/>
    <cellStyle name="Positive 2 2 4 2 8 2" xfId="17444" xr:uid="{00000000-0005-0000-0000-000031440000}"/>
    <cellStyle name="Positive 2 2 4 2 9" xfId="17445" xr:uid="{00000000-0005-0000-0000-000032440000}"/>
    <cellStyle name="Positive 2 2 4 2 9 2" xfId="17446" xr:uid="{00000000-0005-0000-0000-000033440000}"/>
    <cellStyle name="Positive 2 2 4 20" xfId="17447" xr:uid="{00000000-0005-0000-0000-000034440000}"/>
    <cellStyle name="Positive 2 2 4 20 2" xfId="17448" xr:uid="{00000000-0005-0000-0000-000035440000}"/>
    <cellStyle name="Positive 2 2 4 21" xfId="17449" xr:uid="{00000000-0005-0000-0000-000036440000}"/>
    <cellStyle name="Positive 2 2 4 21 2" xfId="17450" xr:uid="{00000000-0005-0000-0000-000037440000}"/>
    <cellStyle name="Positive 2 2 4 22" xfId="17451" xr:uid="{00000000-0005-0000-0000-000038440000}"/>
    <cellStyle name="Positive 2 2 4 22 2" xfId="17452" xr:uid="{00000000-0005-0000-0000-000039440000}"/>
    <cellStyle name="Positive 2 2 4 23" xfId="17453" xr:uid="{00000000-0005-0000-0000-00003A440000}"/>
    <cellStyle name="Positive 2 2 4 3" xfId="17454" xr:uid="{00000000-0005-0000-0000-00003B440000}"/>
    <cellStyle name="Positive 2 2 4 3 10" xfId="17455" xr:uid="{00000000-0005-0000-0000-00003C440000}"/>
    <cellStyle name="Positive 2 2 4 3 10 2" xfId="17456" xr:uid="{00000000-0005-0000-0000-00003D440000}"/>
    <cellStyle name="Positive 2 2 4 3 11" xfId="17457" xr:uid="{00000000-0005-0000-0000-00003E440000}"/>
    <cellStyle name="Positive 2 2 4 3 11 2" xfId="17458" xr:uid="{00000000-0005-0000-0000-00003F440000}"/>
    <cellStyle name="Positive 2 2 4 3 12" xfId="17459" xr:uid="{00000000-0005-0000-0000-000040440000}"/>
    <cellStyle name="Positive 2 2 4 3 12 2" xfId="17460" xr:uid="{00000000-0005-0000-0000-000041440000}"/>
    <cellStyle name="Positive 2 2 4 3 13" xfId="17461" xr:uid="{00000000-0005-0000-0000-000042440000}"/>
    <cellStyle name="Positive 2 2 4 3 13 2" xfId="17462" xr:uid="{00000000-0005-0000-0000-000043440000}"/>
    <cellStyle name="Positive 2 2 4 3 14" xfId="17463" xr:uid="{00000000-0005-0000-0000-000044440000}"/>
    <cellStyle name="Positive 2 2 4 3 14 2" xfId="17464" xr:uid="{00000000-0005-0000-0000-000045440000}"/>
    <cellStyle name="Positive 2 2 4 3 15" xfId="17465" xr:uid="{00000000-0005-0000-0000-000046440000}"/>
    <cellStyle name="Positive 2 2 4 3 15 2" xfId="17466" xr:uid="{00000000-0005-0000-0000-000047440000}"/>
    <cellStyle name="Positive 2 2 4 3 16" xfId="17467" xr:uid="{00000000-0005-0000-0000-000048440000}"/>
    <cellStyle name="Positive 2 2 4 3 16 2" xfId="17468" xr:uid="{00000000-0005-0000-0000-000049440000}"/>
    <cellStyle name="Positive 2 2 4 3 17" xfId="17469" xr:uid="{00000000-0005-0000-0000-00004A440000}"/>
    <cellStyle name="Positive 2 2 4 3 17 2" xfId="17470" xr:uid="{00000000-0005-0000-0000-00004B440000}"/>
    <cellStyle name="Positive 2 2 4 3 18" xfId="17471" xr:uid="{00000000-0005-0000-0000-00004C440000}"/>
    <cellStyle name="Positive 2 2 4 3 18 2" xfId="17472" xr:uid="{00000000-0005-0000-0000-00004D440000}"/>
    <cellStyle name="Positive 2 2 4 3 19" xfId="17473" xr:uid="{00000000-0005-0000-0000-00004E440000}"/>
    <cellStyle name="Positive 2 2 4 3 19 2" xfId="17474" xr:uid="{00000000-0005-0000-0000-00004F440000}"/>
    <cellStyle name="Positive 2 2 4 3 2" xfId="17475" xr:uid="{00000000-0005-0000-0000-000050440000}"/>
    <cellStyle name="Positive 2 2 4 3 2 10" xfId="17476" xr:uid="{00000000-0005-0000-0000-000051440000}"/>
    <cellStyle name="Positive 2 2 4 3 2 10 2" xfId="17477" xr:uid="{00000000-0005-0000-0000-000052440000}"/>
    <cellStyle name="Positive 2 2 4 3 2 11" xfId="17478" xr:uid="{00000000-0005-0000-0000-000053440000}"/>
    <cellStyle name="Positive 2 2 4 3 2 11 2" xfId="17479" xr:uid="{00000000-0005-0000-0000-000054440000}"/>
    <cellStyle name="Positive 2 2 4 3 2 12" xfId="17480" xr:uid="{00000000-0005-0000-0000-000055440000}"/>
    <cellStyle name="Positive 2 2 4 3 2 12 2" xfId="17481" xr:uid="{00000000-0005-0000-0000-000056440000}"/>
    <cellStyle name="Positive 2 2 4 3 2 13" xfId="17482" xr:uid="{00000000-0005-0000-0000-000057440000}"/>
    <cellStyle name="Positive 2 2 4 3 2 13 2" xfId="17483" xr:uid="{00000000-0005-0000-0000-000058440000}"/>
    <cellStyle name="Positive 2 2 4 3 2 14" xfId="17484" xr:uid="{00000000-0005-0000-0000-000059440000}"/>
    <cellStyle name="Positive 2 2 4 3 2 14 2" xfId="17485" xr:uid="{00000000-0005-0000-0000-00005A440000}"/>
    <cellStyle name="Positive 2 2 4 3 2 15" xfId="17486" xr:uid="{00000000-0005-0000-0000-00005B440000}"/>
    <cellStyle name="Positive 2 2 4 3 2 15 2" xfId="17487" xr:uid="{00000000-0005-0000-0000-00005C440000}"/>
    <cellStyle name="Positive 2 2 4 3 2 16" xfId="17488" xr:uid="{00000000-0005-0000-0000-00005D440000}"/>
    <cellStyle name="Positive 2 2 4 3 2 16 2" xfId="17489" xr:uid="{00000000-0005-0000-0000-00005E440000}"/>
    <cellStyle name="Positive 2 2 4 3 2 17" xfId="17490" xr:uid="{00000000-0005-0000-0000-00005F440000}"/>
    <cellStyle name="Positive 2 2 4 3 2 2" xfId="17491" xr:uid="{00000000-0005-0000-0000-000060440000}"/>
    <cellStyle name="Positive 2 2 4 3 2 2 2" xfId="17492" xr:uid="{00000000-0005-0000-0000-000061440000}"/>
    <cellStyle name="Positive 2 2 4 3 2 3" xfId="17493" xr:uid="{00000000-0005-0000-0000-000062440000}"/>
    <cellStyle name="Positive 2 2 4 3 2 3 2" xfId="17494" xr:uid="{00000000-0005-0000-0000-000063440000}"/>
    <cellStyle name="Positive 2 2 4 3 2 4" xfId="17495" xr:uid="{00000000-0005-0000-0000-000064440000}"/>
    <cellStyle name="Positive 2 2 4 3 2 4 2" xfId="17496" xr:uid="{00000000-0005-0000-0000-000065440000}"/>
    <cellStyle name="Positive 2 2 4 3 2 5" xfId="17497" xr:uid="{00000000-0005-0000-0000-000066440000}"/>
    <cellStyle name="Positive 2 2 4 3 2 5 2" xfId="17498" xr:uid="{00000000-0005-0000-0000-000067440000}"/>
    <cellStyle name="Positive 2 2 4 3 2 6" xfId="17499" xr:uid="{00000000-0005-0000-0000-000068440000}"/>
    <cellStyle name="Positive 2 2 4 3 2 6 2" xfId="17500" xr:uid="{00000000-0005-0000-0000-000069440000}"/>
    <cellStyle name="Positive 2 2 4 3 2 7" xfId="17501" xr:uid="{00000000-0005-0000-0000-00006A440000}"/>
    <cellStyle name="Positive 2 2 4 3 2 7 2" xfId="17502" xr:uid="{00000000-0005-0000-0000-00006B440000}"/>
    <cellStyle name="Positive 2 2 4 3 2 8" xfId="17503" xr:uid="{00000000-0005-0000-0000-00006C440000}"/>
    <cellStyle name="Positive 2 2 4 3 2 8 2" xfId="17504" xr:uid="{00000000-0005-0000-0000-00006D440000}"/>
    <cellStyle name="Positive 2 2 4 3 2 9" xfId="17505" xr:uid="{00000000-0005-0000-0000-00006E440000}"/>
    <cellStyle name="Positive 2 2 4 3 2 9 2" xfId="17506" xr:uid="{00000000-0005-0000-0000-00006F440000}"/>
    <cellStyle name="Positive 2 2 4 3 20" xfId="17507" xr:uid="{00000000-0005-0000-0000-000070440000}"/>
    <cellStyle name="Positive 2 2 4 3 3" xfId="17508" xr:uid="{00000000-0005-0000-0000-000071440000}"/>
    <cellStyle name="Positive 2 2 4 3 3 2" xfId="17509" xr:uid="{00000000-0005-0000-0000-000072440000}"/>
    <cellStyle name="Positive 2 2 4 3 3 2 2" xfId="17510" xr:uid="{00000000-0005-0000-0000-000073440000}"/>
    <cellStyle name="Positive 2 2 4 3 3 3" xfId="17511" xr:uid="{00000000-0005-0000-0000-000074440000}"/>
    <cellStyle name="Positive 2 2 4 3 4" xfId="17512" xr:uid="{00000000-0005-0000-0000-000075440000}"/>
    <cellStyle name="Positive 2 2 4 3 4 2" xfId="17513" xr:uid="{00000000-0005-0000-0000-000076440000}"/>
    <cellStyle name="Positive 2 2 4 3 4 2 2" xfId="17514" xr:uid="{00000000-0005-0000-0000-000077440000}"/>
    <cellStyle name="Positive 2 2 4 3 4 3" xfId="17515" xr:uid="{00000000-0005-0000-0000-000078440000}"/>
    <cellStyle name="Positive 2 2 4 3 5" xfId="17516" xr:uid="{00000000-0005-0000-0000-000079440000}"/>
    <cellStyle name="Positive 2 2 4 3 5 2" xfId="17517" xr:uid="{00000000-0005-0000-0000-00007A440000}"/>
    <cellStyle name="Positive 2 2 4 3 6" xfId="17518" xr:uid="{00000000-0005-0000-0000-00007B440000}"/>
    <cellStyle name="Positive 2 2 4 3 6 2" xfId="17519" xr:uid="{00000000-0005-0000-0000-00007C440000}"/>
    <cellStyle name="Positive 2 2 4 3 7" xfId="17520" xr:uid="{00000000-0005-0000-0000-00007D440000}"/>
    <cellStyle name="Positive 2 2 4 3 7 2" xfId="17521" xr:uid="{00000000-0005-0000-0000-00007E440000}"/>
    <cellStyle name="Positive 2 2 4 3 8" xfId="17522" xr:uid="{00000000-0005-0000-0000-00007F440000}"/>
    <cellStyle name="Positive 2 2 4 3 8 2" xfId="17523" xr:uid="{00000000-0005-0000-0000-000080440000}"/>
    <cellStyle name="Positive 2 2 4 3 9" xfId="17524" xr:uid="{00000000-0005-0000-0000-000081440000}"/>
    <cellStyle name="Positive 2 2 4 3 9 2" xfId="17525" xr:uid="{00000000-0005-0000-0000-000082440000}"/>
    <cellStyle name="Positive 2 2 4 4" xfId="17526" xr:uid="{00000000-0005-0000-0000-000083440000}"/>
    <cellStyle name="Positive 2 2 4 4 10" xfId="17527" xr:uid="{00000000-0005-0000-0000-000084440000}"/>
    <cellStyle name="Positive 2 2 4 4 10 2" xfId="17528" xr:uid="{00000000-0005-0000-0000-000085440000}"/>
    <cellStyle name="Positive 2 2 4 4 11" xfId="17529" xr:uid="{00000000-0005-0000-0000-000086440000}"/>
    <cellStyle name="Positive 2 2 4 4 11 2" xfId="17530" xr:uid="{00000000-0005-0000-0000-000087440000}"/>
    <cellStyle name="Positive 2 2 4 4 12" xfId="17531" xr:uid="{00000000-0005-0000-0000-000088440000}"/>
    <cellStyle name="Positive 2 2 4 4 12 2" xfId="17532" xr:uid="{00000000-0005-0000-0000-000089440000}"/>
    <cellStyle name="Positive 2 2 4 4 13" xfId="17533" xr:uid="{00000000-0005-0000-0000-00008A440000}"/>
    <cellStyle name="Positive 2 2 4 4 13 2" xfId="17534" xr:uid="{00000000-0005-0000-0000-00008B440000}"/>
    <cellStyle name="Positive 2 2 4 4 14" xfId="17535" xr:uid="{00000000-0005-0000-0000-00008C440000}"/>
    <cellStyle name="Positive 2 2 4 4 14 2" xfId="17536" xr:uid="{00000000-0005-0000-0000-00008D440000}"/>
    <cellStyle name="Positive 2 2 4 4 15" xfId="17537" xr:uid="{00000000-0005-0000-0000-00008E440000}"/>
    <cellStyle name="Positive 2 2 4 4 15 2" xfId="17538" xr:uid="{00000000-0005-0000-0000-00008F440000}"/>
    <cellStyle name="Positive 2 2 4 4 16" xfId="17539" xr:uid="{00000000-0005-0000-0000-000090440000}"/>
    <cellStyle name="Positive 2 2 4 4 16 2" xfId="17540" xr:uid="{00000000-0005-0000-0000-000091440000}"/>
    <cellStyle name="Positive 2 2 4 4 17" xfId="17541" xr:uid="{00000000-0005-0000-0000-000092440000}"/>
    <cellStyle name="Positive 2 2 4 4 17 2" xfId="17542" xr:uid="{00000000-0005-0000-0000-000093440000}"/>
    <cellStyle name="Positive 2 2 4 4 18" xfId="17543" xr:uid="{00000000-0005-0000-0000-000094440000}"/>
    <cellStyle name="Positive 2 2 4 4 18 2" xfId="17544" xr:uid="{00000000-0005-0000-0000-000095440000}"/>
    <cellStyle name="Positive 2 2 4 4 19" xfId="17545" xr:uid="{00000000-0005-0000-0000-000096440000}"/>
    <cellStyle name="Positive 2 2 4 4 19 2" xfId="17546" xr:uid="{00000000-0005-0000-0000-000097440000}"/>
    <cellStyle name="Positive 2 2 4 4 2" xfId="17547" xr:uid="{00000000-0005-0000-0000-000098440000}"/>
    <cellStyle name="Positive 2 2 4 4 2 10" xfId="17548" xr:uid="{00000000-0005-0000-0000-000099440000}"/>
    <cellStyle name="Positive 2 2 4 4 2 10 2" xfId="17549" xr:uid="{00000000-0005-0000-0000-00009A440000}"/>
    <cellStyle name="Positive 2 2 4 4 2 11" xfId="17550" xr:uid="{00000000-0005-0000-0000-00009B440000}"/>
    <cellStyle name="Positive 2 2 4 4 2 11 2" xfId="17551" xr:uid="{00000000-0005-0000-0000-00009C440000}"/>
    <cellStyle name="Positive 2 2 4 4 2 12" xfId="17552" xr:uid="{00000000-0005-0000-0000-00009D440000}"/>
    <cellStyle name="Positive 2 2 4 4 2 12 2" xfId="17553" xr:uid="{00000000-0005-0000-0000-00009E440000}"/>
    <cellStyle name="Positive 2 2 4 4 2 13" xfId="17554" xr:uid="{00000000-0005-0000-0000-00009F440000}"/>
    <cellStyle name="Positive 2 2 4 4 2 13 2" xfId="17555" xr:uid="{00000000-0005-0000-0000-0000A0440000}"/>
    <cellStyle name="Positive 2 2 4 4 2 14" xfId="17556" xr:uid="{00000000-0005-0000-0000-0000A1440000}"/>
    <cellStyle name="Positive 2 2 4 4 2 14 2" xfId="17557" xr:uid="{00000000-0005-0000-0000-0000A2440000}"/>
    <cellStyle name="Positive 2 2 4 4 2 15" xfId="17558" xr:uid="{00000000-0005-0000-0000-0000A3440000}"/>
    <cellStyle name="Positive 2 2 4 4 2 15 2" xfId="17559" xr:uid="{00000000-0005-0000-0000-0000A4440000}"/>
    <cellStyle name="Positive 2 2 4 4 2 16" xfId="17560" xr:uid="{00000000-0005-0000-0000-0000A5440000}"/>
    <cellStyle name="Positive 2 2 4 4 2 16 2" xfId="17561" xr:uid="{00000000-0005-0000-0000-0000A6440000}"/>
    <cellStyle name="Positive 2 2 4 4 2 17" xfId="17562" xr:uid="{00000000-0005-0000-0000-0000A7440000}"/>
    <cellStyle name="Positive 2 2 4 4 2 2" xfId="17563" xr:uid="{00000000-0005-0000-0000-0000A8440000}"/>
    <cellStyle name="Positive 2 2 4 4 2 2 2" xfId="17564" xr:uid="{00000000-0005-0000-0000-0000A9440000}"/>
    <cellStyle name="Positive 2 2 4 4 2 3" xfId="17565" xr:uid="{00000000-0005-0000-0000-0000AA440000}"/>
    <cellStyle name="Positive 2 2 4 4 2 3 2" xfId="17566" xr:uid="{00000000-0005-0000-0000-0000AB440000}"/>
    <cellStyle name="Positive 2 2 4 4 2 4" xfId="17567" xr:uid="{00000000-0005-0000-0000-0000AC440000}"/>
    <cellStyle name="Positive 2 2 4 4 2 4 2" xfId="17568" xr:uid="{00000000-0005-0000-0000-0000AD440000}"/>
    <cellStyle name="Positive 2 2 4 4 2 5" xfId="17569" xr:uid="{00000000-0005-0000-0000-0000AE440000}"/>
    <cellStyle name="Positive 2 2 4 4 2 5 2" xfId="17570" xr:uid="{00000000-0005-0000-0000-0000AF440000}"/>
    <cellStyle name="Positive 2 2 4 4 2 6" xfId="17571" xr:uid="{00000000-0005-0000-0000-0000B0440000}"/>
    <cellStyle name="Positive 2 2 4 4 2 6 2" xfId="17572" xr:uid="{00000000-0005-0000-0000-0000B1440000}"/>
    <cellStyle name="Positive 2 2 4 4 2 7" xfId="17573" xr:uid="{00000000-0005-0000-0000-0000B2440000}"/>
    <cellStyle name="Positive 2 2 4 4 2 7 2" xfId="17574" xr:uid="{00000000-0005-0000-0000-0000B3440000}"/>
    <cellStyle name="Positive 2 2 4 4 2 8" xfId="17575" xr:uid="{00000000-0005-0000-0000-0000B4440000}"/>
    <cellStyle name="Positive 2 2 4 4 2 8 2" xfId="17576" xr:uid="{00000000-0005-0000-0000-0000B5440000}"/>
    <cellStyle name="Positive 2 2 4 4 2 9" xfId="17577" xr:uid="{00000000-0005-0000-0000-0000B6440000}"/>
    <cellStyle name="Positive 2 2 4 4 2 9 2" xfId="17578" xr:uid="{00000000-0005-0000-0000-0000B7440000}"/>
    <cellStyle name="Positive 2 2 4 4 20" xfId="17579" xr:uid="{00000000-0005-0000-0000-0000B8440000}"/>
    <cellStyle name="Positive 2 2 4 4 3" xfId="17580" xr:uid="{00000000-0005-0000-0000-0000B9440000}"/>
    <cellStyle name="Positive 2 2 4 4 3 2" xfId="17581" xr:uid="{00000000-0005-0000-0000-0000BA440000}"/>
    <cellStyle name="Positive 2 2 4 4 3 2 2" xfId="17582" xr:uid="{00000000-0005-0000-0000-0000BB440000}"/>
    <cellStyle name="Positive 2 2 4 4 3 3" xfId="17583" xr:uid="{00000000-0005-0000-0000-0000BC440000}"/>
    <cellStyle name="Positive 2 2 4 4 4" xfId="17584" xr:uid="{00000000-0005-0000-0000-0000BD440000}"/>
    <cellStyle name="Positive 2 2 4 4 4 2" xfId="17585" xr:uid="{00000000-0005-0000-0000-0000BE440000}"/>
    <cellStyle name="Positive 2 2 4 4 4 2 2" xfId="17586" xr:uid="{00000000-0005-0000-0000-0000BF440000}"/>
    <cellStyle name="Positive 2 2 4 4 4 3" xfId="17587" xr:uid="{00000000-0005-0000-0000-0000C0440000}"/>
    <cellStyle name="Positive 2 2 4 4 5" xfId="17588" xr:uid="{00000000-0005-0000-0000-0000C1440000}"/>
    <cellStyle name="Positive 2 2 4 4 5 2" xfId="17589" xr:uid="{00000000-0005-0000-0000-0000C2440000}"/>
    <cellStyle name="Positive 2 2 4 4 6" xfId="17590" xr:uid="{00000000-0005-0000-0000-0000C3440000}"/>
    <cellStyle name="Positive 2 2 4 4 6 2" xfId="17591" xr:uid="{00000000-0005-0000-0000-0000C4440000}"/>
    <cellStyle name="Positive 2 2 4 4 7" xfId="17592" xr:uid="{00000000-0005-0000-0000-0000C5440000}"/>
    <cellStyle name="Positive 2 2 4 4 7 2" xfId="17593" xr:uid="{00000000-0005-0000-0000-0000C6440000}"/>
    <cellStyle name="Positive 2 2 4 4 8" xfId="17594" xr:uid="{00000000-0005-0000-0000-0000C7440000}"/>
    <cellStyle name="Positive 2 2 4 4 8 2" xfId="17595" xr:uid="{00000000-0005-0000-0000-0000C8440000}"/>
    <cellStyle name="Positive 2 2 4 4 9" xfId="17596" xr:uid="{00000000-0005-0000-0000-0000C9440000}"/>
    <cellStyle name="Positive 2 2 4 4 9 2" xfId="17597" xr:uid="{00000000-0005-0000-0000-0000CA440000}"/>
    <cellStyle name="Positive 2 2 4 5" xfId="17598" xr:uid="{00000000-0005-0000-0000-0000CB440000}"/>
    <cellStyle name="Positive 2 2 4 5 10" xfId="17599" xr:uid="{00000000-0005-0000-0000-0000CC440000}"/>
    <cellStyle name="Positive 2 2 4 5 10 2" xfId="17600" xr:uid="{00000000-0005-0000-0000-0000CD440000}"/>
    <cellStyle name="Positive 2 2 4 5 11" xfId="17601" xr:uid="{00000000-0005-0000-0000-0000CE440000}"/>
    <cellStyle name="Positive 2 2 4 5 11 2" xfId="17602" xr:uid="{00000000-0005-0000-0000-0000CF440000}"/>
    <cellStyle name="Positive 2 2 4 5 12" xfId="17603" xr:uid="{00000000-0005-0000-0000-0000D0440000}"/>
    <cellStyle name="Positive 2 2 4 5 12 2" xfId="17604" xr:uid="{00000000-0005-0000-0000-0000D1440000}"/>
    <cellStyle name="Positive 2 2 4 5 13" xfId="17605" xr:uid="{00000000-0005-0000-0000-0000D2440000}"/>
    <cellStyle name="Positive 2 2 4 5 13 2" xfId="17606" xr:uid="{00000000-0005-0000-0000-0000D3440000}"/>
    <cellStyle name="Positive 2 2 4 5 14" xfId="17607" xr:uid="{00000000-0005-0000-0000-0000D4440000}"/>
    <cellStyle name="Positive 2 2 4 5 14 2" xfId="17608" xr:uid="{00000000-0005-0000-0000-0000D5440000}"/>
    <cellStyle name="Positive 2 2 4 5 15" xfId="17609" xr:uid="{00000000-0005-0000-0000-0000D6440000}"/>
    <cellStyle name="Positive 2 2 4 5 15 2" xfId="17610" xr:uid="{00000000-0005-0000-0000-0000D7440000}"/>
    <cellStyle name="Positive 2 2 4 5 16" xfId="17611" xr:uid="{00000000-0005-0000-0000-0000D8440000}"/>
    <cellStyle name="Positive 2 2 4 5 16 2" xfId="17612" xr:uid="{00000000-0005-0000-0000-0000D9440000}"/>
    <cellStyle name="Positive 2 2 4 5 17" xfId="17613" xr:uid="{00000000-0005-0000-0000-0000DA440000}"/>
    <cellStyle name="Positive 2 2 4 5 2" xfId="17614" xr:uid="{00000000-0005-0000-0000-0000DB440000}"/>
    <cellStyle name="Positive 2 2 4 5 2 2" xfId="17615" xr:uid="{00000000-0005-0000-0000-0000DC440000}"/>
    <cellStyle name="Positive 2 2 4 5 3" xfId="17616" xr:uid="{00000000-0005-0000-0000-0000DD440000}"/>
    <cellStyle name="Positive 2 2 4 5 3 2" xfId="17617" xr:uid="{00000000-0005-0000-0000-0000DE440000}"/>
    <cellStyle name="Positive 2 2 4 5 4" xfId="17618" xr:uid="{00000000-0005-0000-0000-0000DF440000}"/>
    <cellStyle name="Positive 2 2 4 5 4 2" xfId="17619" xr:uid="{00000000-0005-0000-0000-0000E0440000}"/>
    <cellStyle name="Positive 2 2 4 5 5" xfId="17620" xr:uid="{00000000-0005-0000-0000-0000E1440000}"/>
    <cellStyle name="Positive 2 2 4 5 5 2" xfId="17621" xr:uid="{00000000-0005-0000-0000-0000E2440000}"/>
    <cellStyle name="Positive 2 2 4 5 6" xfId="17622" xr:uid="{00000000-0005-0000-0000-0000E3440000}"/>
    <cellStyle name="Positive 2 2 4 5 6 2" xfId="17623" xr:uid="{00000000-0005-0000-0000-0000E4440000}"/>
    <cellStyle name="Positive 2 2 4 5 7" xfId="17624" xr:uid="{00000000-0005-0000-0000-0000E5440000}"/>
    <cellStyle name="Positive 2 2 4 5 7 2" xfId="17625" xr:uid="{00000000-0005-0000-0000-0000E6440000}"/>
    <cellStyle name="Positive 2 2 4 5 8" xfId="17626" xr:uid="{00000000-0005-0000-0000-0000E7440000}"/>
    <cellStyle name="Positive 2 2 4 5 8 2" xfId="17627" xr:uid="{00000000-0005-0000-0000-0000E8440000}"/>
    <cellStyle name="Positive 2 2 4 5 9" xfId="17628" xr:uid="{00000000-0005-0000-0000-0000E9440000}"/>
    <cellStyle name="Positive 2 2 4 5 9 2" xfId="17629" xr:uid="{00000000-0005-0000-0000-0000EA440000}"/>
    <cellStyle name="Positive 2 2 4 6" xfId="17630" xr:uid="{00000000-0005-0000-0000-0000EB440000}"/>
    <cellStyle name="Positive 2 2 4 6 2" xfId="17631" xr:uid="{00000000-0005-0000-0000-0000EC440000}"/>
    <cellStyle name="Positive 2 2 4 6 2 2" xfId="17632" xr:uid="{00000000-0005-0000-0000-0000ED440000}"/>
    <cellStyle name="Positive 2 2 4 6 3" xfId="17633" xr:uid="{00000000-0005-0000-0000-0000EE440000}"/>
    <cellStyle name="Positive 2 2 4 7" xfId="17634" xr:uid="{00000000-0005-0000-0000-0000EF440000}"/>
    <cellStyle name="Positive 2 2 4 7 2" xfId="17635" xr:uid="{00000000-0005-0000-0000-0000F0440000}"/>
    <cellStyle name="Positive 2 2 4 7 2 2" xfId="17636" xr:uid="{00000000-0005-0000-0000-0000F1440000}"/>
    <cellStyle name="Positive 2 2 4 7 3" xfId="17637" xr:uid="{00000000-0005-0000-0000-0000F2440000}"/>
    <cellStyle name="Positive 2 2 4 8" xfId="17638" xr:uid="{00000000-0005-0000-0000-0000F3440000}"/>
    <cellStyle name="Positive 2 2 4 8 2" xfId="17639" xr:uid="{00000000-0005-0000-0000-0000F4440000}"/>
    <cellStyle name="Positive 2 2 4 9" xfId="17640" xr:uid="{00000000-0005-0000-0000-0000F5440000}"/>
    <cellStyle name="Positive 2 2 4 9 2" xfId="17641" xr:uid="{00000000-0005-0000-0000-0000F6440000}"/>
    <cellStyle name="Positive 2 2 40" xfId="17642" xr:uid="{00000000-0005-0000-0000-0000F7440000}"/>
    <cellStyle name="Positive 2 2 40 2" xfId="17643" xr:uid="{00000000-0005-0000-0000-0000F8440000}"/>
    <cellStyle name="Positive 2 2 41" xfId="17644" xr:uid="{00000000-0005-0000-0000-0000F9440000}"/>
    <cellStyle name="Positive 2 2 41 2" xfId="17645" xr:uid="{00000000-0005-0000-0000-0000FA440000}"/>
    <cellStyle name="Positive 2 2 42" xfId="17646" xr:uid="{00000000-0005-0000-0000-0000FB440000}"/>
    <cellStyle name="Positive 2 2 5" xfId="17647" xr:uid="{00000000-0005-0000-0000-0000FC440000}"/>
    <cellStyle name="Positive 2 2 5 10" xfId="17648" xr:uid="{00000000-0005-0000-0000-0000FD440000}"/>
    <cellStyle name="Positive 2 2 5 10 2" xfId="17649" xr:uid="{00000000-0005-0000-0000-0000FE440000}"/>
    <cellStyle name="Positive 2 2 5 11" xfId="17650" xr:uid="{00000000-0005-0000-0000-0000FF440000}"/>
    <cellStyle name="Positive 2 2 5 11 2" xfId="17651" xr:uid="{00000000-0005-0000-0000-000000450000}"/>
    <cellStyle name="Positive 2 2 5 12" xfId="17652" xr:uid="{00000000-0005-0000-0000-000001450000}"/>
    <cellStyle name="Positive 2 2 5 12 2" xfId="17653" xr:uid="{00000000-0005-0000-0000-000002450000}"/>
    <cellStyle name="Positive 2 2 5 13" xfId="17654" xr:uid="{00000000-0005-0000-0000-000003450000}"/>
    <cellStyle name="Positive 2 2 5 13 2" xfId="17655" xr:uid="{00000000-0005-0000-0000-000004450000}"/>
    <cellStyle name="Positive 2 2 5 14" xfId="17656" xr:uid="{00000000-0005-0000-0000-000005450000}"/>
    <cellStyle name="Positive 2 2 5 14 2" xfId="17657" xr:uid="{00000000-0005-0000-0000-000006450000}"/>
    <cellStyle name="Positive 2 2 5 15" xfId="17658" xr:uid="{00000000-0005-0000-0000-000007450000}"/>
    <cellStyle name="Positive 2 2 5 15 2" xfId="17659" xr:uid="{00000000-0005-0000-0000-000008450000}"/>
    <cellStyle name="Positive 2 2 5 16" xfId="17660" xr:uid="{00000000-0005-0000-0000-000009450000}"/>
    <cellStyle name="Positive 2 2 5 16 2" xfId="17661" xr:uid="{00000000-0005-0000-0000-00000A450000}"/>
    <cellStyle name="Positive 2 2 5 17" xfId="17662" xr:uid="{00000000-0005-0000-0000-00000B450000}"/>
    <cellStyle name="Positive 2 2 5 17 2" xfId="17663" xr:uid="{00000000-0005-0000-0000-00000C450000}"/>
    <cellStyle name="Positive 2 2 5 18" xfId="17664" xr:uid="{00000000-0005-0000-0000-00000D450000}"/>
    <cellStyle name="Positive 2 2 5 18 2" xfId="17665" xr:uid="{00000000-0005-0000-0000-00000E450000}"/>
    <cellStyle name="Positive 2 2 5 19" xfId="17666" xr:uid="{00000000-0005-0000-0000-00000F450000}"/>
    <cellStyle name="Positive 2 2 5 19 2" xfId="17667" xr:uid="{00000000-0005-0000-0000-000010450000}"/>
    <cellStyle name="Positive 2 2 5 2" xfId="17668" xr:uid="{00000000-0005-0000-0000-000011450000}"/>
    <cellStyle name="Positive 2 2 5 2 10" xfId="17669" xr:uid="{00000000-0005-0000-0000-000012450000}"/>
    <cellStyle name="Positive 2 2 5 2 10 2" xfId="17670" xr:uid="{00000000-0005-0000-0000-000013450000}"/>
    <cellStyle name="Positive 2 2 5 2 11" xfId="17671" xr:uid="{00000000-0005-0000-0000-000014450000}"/>
    <cellStyle name="Positive 2 2 5 2 11 2" xfId="17672" xr:uid="{00000000-0005-0000-0000-000015450000}"/>
    <cellStyle name="Positive 2 2 5 2 12" xfId="17673" xr:uid="{00000000-0005-0000-0000-000016450000}"/>
    <cellStyle name="Positive 2 2 5 2 12 2" xfId="17674" xr:uid="{00000000-0005-0000-0000-000017450000}"/>
    <cellStyle name="Positive 2 2 5 2 13" xfId="17675" xr:uid="{00000000-0005-0000-0000-000018450000}"/>
    <cellStyle name="Positive 2 2 5 2 13 2" xfId="17676" xr:uid="{00000000-0005-0000-0000-000019450000}"/>
    <cellStyle name="Positive 2 2 5 2 14" xfId="17677" xr:uid="{00000000-0005-0000-0000-00001A450000}"/>
    <cellStyle name="Positive 2 2 5 2 14 2" xfId="17678" xr:uid="{00000000-0005-0000-0000-00001B450000}"/>
    <cellStyle name="Positive 2 2 5 2 15" xfId="17679" xr:uid="{00000000-0005-0000-0000-00001C450000}"/>
    <cellStyle name="Positive 2 2 5 2 15 2" xfId="17680" xr:uid="{00000000-0005-0000-0000-00001D450000}"/>
    <cellStyle name="Positive 2 2 5 2 16" xfId="17681" xr:uid="{00000000-0005-0000-0000-00001E450000}"/>
    <cellStyle name="Positive 2 2 5 2 16 2" xfId="17682" xr:uid="{00000000-0005-0000-0000-00001F450000}"/>
    <cellStyle name="Positive 2 2 5 2 17" xfId="17683" xr:uid="{00000000-0005-0000-0000-000020450000}"/>
    <cellStyle name="Positive 2 2 5 2 17 2" xfId="17684" xr:uid="{00000000-0005-0000-0000-000021450000}"/>
    <cellStyle name="Positive 2 2 5 2 18" xfId="17685" xr:uid="{00000000-0005-0000-0000-000022450000}"/>
    <cellStyle name="Positive 2 2 5 2 18 2" xfId="17686" xr:uid="{00000000-0005-0000-0000-000023450000}"/>
    <cellStyle name="Positive 2 2 5 2 19" xfId="17687" xr:uid="{00000000-0005-0000-0000-000024450000}"/>
    <cellStyle name="Positive 2 2 5 2 19 2" xfId="17688" xr:uid="{00000000-0005-0000-0000-000025450000}"/>
    <cellStyle name="Positive 2 2 5 2 2" xfId="17689" xr:uid="{00000000-0005-0000-0000-000026450000}"/>
    <cellStyle name="Positive 2 2 5 2 2 10" xfId="17690" xr:uid="{00000000-0005-0000-0000-000027450000}"/>
    <cellStyle name="Positive 2 2 5 2 2 10 2" xfId="17691" xr:uid="{00000000-0005-0000-0000-000028450000}"/>
    <cellStyle name="Positive 2 2 5 2 2 11" xfId="17692" xr:uid="{00000000-0005-0000-0000-000029450000}"/>
    <cellStyle name="Positive 2 2 5 2 2 11 2" xfId="17693" xr:uid="{00000000-0005-0000-0000-00002A450000}"/>
    <cellStyle name="Positive 2 2 5 2 2 12" xfId="17694" xr:uid="{00000000-0005-0000-0000-00002B450000}"/>
    <cellStyle name="Positive 2 2 5 2 2 12 2" xfId="17695" xr:uid="{00000000-0005-0000-0000-00002C450000}"/>
    <cellStyle name="Positive 2 2 5 2 2 13" xfId="17696" xr:uid="{00000000-0005-0000-0000-00002D450000}"/>
    <cellStyle name="Positive 2 2 5 2 2 13 2" xfId="17697" xr:uid="{00000000-0005-0000-0000-00002E450000}"/>
    <cellStyle name="Positive 2 2 5 2 2 14" xfId="17698" xr:uid="{00000000-0005-0000-0000-00002F450000}"/>
    <cellStyle name="Positive 2 2 5 2 2 14 2" xfId="17699" xr:uid="{00000000-0005-0000-0000-000030450000}"/>
    <cellStyle name="Positive 2 2 5 2 2 15" xfId="17700" xr:uid="{00000000-0005-0000-0000-000031450000}"/>
    <cellStyle name="Positive 2 2 5 2 2 15 2" xfId="17701" xr:uid="{00000000-0005-0000-0000-000032450000}"/>
    <cellStyle name="Positive 2 2 5 2 2 16" xfId="17702" xr:uid="{00000000-0005-0000-0000-000033450000}"/>
    <cellStyle name="Positive 2 2 5 2 2 16 2" xfId="17703" xr:uid="{00000000-0005-0000-0000-000034450000}"/>
    <cellStyle name="Positive 2 2 5 2 2 17" xfId="17704" xr:uid="{00000000-0005-0000-0000-000035450000}"/>
    <cellStyle name="Positive 2 2 5 2 2 2" xfId="17705" xr:uid="{00000000-0005-0000-0000-000036450000}"/>
    <cellStyle name="Positive 2 2 5 2 2 2 2" xfId="17706" xr:uid="{00000000-0005-0000-0000-000037450000}"/>
    <cellStyle name="Positive 2 2 5 2 2 3" xfId="17707" xr:uid="{00000000-0005-0000-0000-000038450000}"/>
    <cellStyle name="Positive 2 2 5 2 2 3 2" xfId="17708" xr:uid="{00000000-0005-0000-0000-000039450000}"/>
    <cellStyle name="Positive 2 2 5 2 2 4" xfId="17709" xr:uid="{00000000-0005-0000-0000-00003A450000}"/>
    <cellStyle name="Positive 2 2 5 2 2 4 2" xfId="17710" xr:uid="{00000000-0005-0000-0000-00003B450000}"/>
    <cellStyle name="Positive 2 2 5 2 2 5" xfId="17711" xr:uid="{00000000-0005-0000-0000-00003C450000}"/>
    <cellStyle name="Positive 2 2 5 2 2 5 2" xfId="17712" xr:uid="{00000000-0005-0000-0000-00003D450000}"/>
    <cellStyle name="Positive 2 2 5 2 2 6" xfId="17713" xr:uid="{00000000-0005-0000-0000-00003E450000}"/>
    <cellStyle name="Positive 2 2 5 2 2 6 2" xfId="17714" xr:uid="{00000000-0005-0000-0000-00003F450000}"/>
    <cellStyle name="Positive 2 2 5 2 2 7" xfId="17715" xr:uid="{00000000-0005-0000-0000-000040450000}"/>
    <cellStyle name="Positive 2 2 5 2 2 7 2" xfId="17716" xr:uid="{00000000-0005-0000-0000-000041450000}"/>
    <cellStyle name="Positive 2 2 5 2 2 8" xfId="17717" xr:uid="{00000000-0005-0000-0000-000042450000}"/>
    <cellStyle name="Positive 2 2 5 2 2 8 2" xfId="17718" xr:uid="{00000000-0005-0000-0000-000043450000}"/>
    <cellStyle name="Positive 2 2 5 2 2 9" xfId="17719" xr:uid="{00000000-0005-0000-0000-000044450000}"/>
    <cellStyle name="Positive 2 2 5 2 2 9 2" xfId="17720" xr:uid="{00000000-0005-0000-0000-000045450000}"/>
    <cellStyle name="Positive 2 2 5 2 20" xfId="17721" xr:uid="{00000000-0005-0000-0000-000046450000}"/>
    <cellStyle name="Positive 2 2 5 2 3" xfId="17722" xr:uid="{00000000-0005-0000-0000-000047450000}"/>
    <cellStyle name="Positive 2 2 5 2 3 2" xfId="17723" xr:uid="{00000000-0005-0000-0000-000048450000}"/>
    <cellStyle name="Positive 2 2 5 2 3 2 2" xfId="17724" xr:uid="{00000000-0005-0000-0000-000049450000}"/>
    <cellStyle name="Positive 2 2 5 2 3 3" xfId="17725" xr:uid="{00000000-0005-0000-0000-00004A450000}"/>
    <cellStyle name="Positive 2 2 5 2 4" xfId="17726" xr:uid="{00000000-0005-0000-0000-00004B450000}"/>
    <cellStyle name="Positive 2 2 5 2 4 2" xfId="17727" xr:uid="{00000000-0005-0000-0000-00004C450000}"/>
    <cellStyle name="Positive 2 2 5 2 4 2 2" xfId="17728" xr:uid="{00000000-0005-0000-0000-00004D450000}"/>
    <cellStyle name="Positive 2 2 5 2 4 3" xfId="17729" xr:uid="{00000000-0005-0000-0000-00004E450000}"/>
    <cellStyle name="Positive 2 2 5 2 5" xfId="17730" xr:uid="{00000000-0005-0000-0000-00004F450000}"/>
    <cellStyle name="Positive 2 2 5 2 5 2" xfId="17731" xr:uid="{00000000-0005-0000-0000-000050450000}"/>
    <cellStyle name="Positive 2 2 5 2 6" xfId="17732" xr:uid="{00000000-0005-0000-0000-000051450000}"/>
    <cellStyle name="Positive 2 2 5 2 6 2" xfId="17733" xr:uid="{00000000-0005-0000-0000-000052450000}"/>
    <cellStyle name="Positive 2 2 5 2 7" xfId="17734" xr:uid="{00000000-0005-0000-0000-000053450000}"/>
    <cellStyle name="Positive 2 2 5 2 7 2" xfId="17735" xr:uid="{00000000-0005-0000-0000-000054450000}"/>
    <cellStyle name="Positive 2 2 5 2 8" xfId="17736" xr:uid="{00000000-0005-0000-0000-000055450000}"/>
    <cellStyle name="Positive 2 2 5 2 8 2" xfId="17737" xr:uid="{00000000-0005-0000-0000-000056450000}"/>
    <cellStyle name="Positive 2 2 5 2 9" xfId="17738" xr:uid="{00000000-0005-0000-0000-000057450000}"/>
    <cellStyle name="Positive 2 2 5 2 9 2" xfId="17739" xr:uid="{00000000-0005-0000-0000-000058450000}"/>
    <cellStyle name="Positive 2 2 5 20" xfId="17740" xr:uid="{00000000-0005-0000-0000-000059450000}"/>
    <cellStyle name="Positive 2 2 5 20 2" xfId="17741" xr:uid="{00000000-0005-0000-0000-00005A450000}"/>
    <cellStyle name="Positive 2 2 5 21" xfId="17742" xr:uid="{00000000-0005-0000-0000-00005B450000}"/>
    <cellStyle name="Positive 2 2 5 21 2" xfId="17743" xr:uid="{00000000-0005-0000-0000-00005C450000}"/>
    <cellStyle name="Positive 2 2 5 22" xfId="17744" xr:uid="{00000000-0005-0000-0000-00005D450000}"/>
    <cellStyle name="Positive 2 2 5 22 2" xfId="17745" xr:uid="{00000000-0005-0000-0000-00005E450000}"/>
    <cellStyle name="Positive 2 2 5 23" xfId="17746" xr:uid="{00000000-0005-0000-0000-00005F450000}"/>
    <cellStyle name="Positive 2 2 5 3" xfId="17747" xr:uid="{00000000-0005-0000-0000-000060450000}"/>
    <cellStyle name="Positive 2 2 5 3 10" xfId="17748" xr:uid="{00000000-0005-0000-0000-000061450000}"/>
    <cellStyle name="Positive 2 2 5 3 10 2" xfId="17749" xr:uid="{00000000-0005-0000-0000-000062450000}"/>
    <cellStyle name="Positive 2 2 5 3 11" xfId="17750" xr:uid="{00000000-0005-0000-0000-000063450000}"/>
    <cellStyle name="Positive 2 2 5 3 11 2" xfId="17751" xr:uid="{00000000-0005-0000-0000-000064450000}"/>
    <cellStyle name="Positive 2 2 5 3 12" xfId="17752" xr:uid="{00000000-0005-0000-0000-000065450000}"/>
    <cellStyle name="Positive 2 2 5 3 12 2" xfId="17753" xr:uid="{00000000-0005-0000-0000-000066450000}"/>
    <cellStyle name="Positive 2 2 5 3 13" xfId="17754" xr:uid="{00000000-0005-0000-0000-000067450000}"/>
    <cellStyle name="Positive 2 2 5 3 13 2" xfId="17755" xr:uid="{00000000-0005-0000-0000-000068450000}"/>
    <cellStyle name="Positive 2 2 5 3 14" xfId="17756" xr:uid="{00000000-0005-0000-0000-000069450000}"/>
    <cellStyle name="Positive 2 2 5 3 14 2" xfId="17757" xr:uid="{00000000-0005-0000-0000-00006A450000}"/>
    <cellStyle name="Positive 2 2 5 3 15" xfId="17758" xr:uid="{00000000-0005-0000-0000-00006B450000}"/>
    <cellStyle name="Positive 2 2 5 3 15 2" xfId="17759" xr:uid="{00000000-0005-0000-0000-00006C450000}"/>
    <cellStyle name="Positive 2 2 5 3 16" xfId="17760" xr:uid="{00000000-0005-0000-0000-00006D450000}"/>
    <cellStyle name="Positive 2 2 5 3 16 2" xfId="17761" xr:uid="{00000000-0005-0000-0000-00006E450000}"/>
    <cellStyle name="Positive 2 2 5 3 17" xfId="17762" xr:uid="{00000000-0005-0000-0000-00006F450000}"/>
    <cellStyle name="Positive 2 2 5 3 17 2" xfId="17763" xr:uid="{00000000-0005-0000-0000-000070450000}"/>
    <cellStyle name="Positive 2 2 5 3 18" xfId="17764" xr:uid="{00000000-0005-0000-0000-000071450000}"/>
    <cellStyle name="Positive 2 2 5 3 18 2" xfId="17765" xr:uid="{00000000-0005-0000-0000-000072450000}"/>
    <cellStyle name="Positive 2 2 5 3 19" xfId="17766" xr:uid="{00000000-0005-0000-0000-000073450000}"/>
    <cellStyle name="Positive 2 2 5 3 19 2" xfId="17767" xr:uid="{00000000-0005-0000-0000-000074450000}"/>
    <cellStyle name="Positive 2 2 5 3 2" xfId="17768" xr:uid="{00000000-0005-0000-0000-000075450000}"/>
    <cellStyle name="Positive 2 2 5 3 2 10" xfId="17769" xr:uid="{00000000-0005-0000-0000-000076450000}"/>
    <cellStyle name="Positive 2 2 5 3 2 10 2" xfId="17770" xr:uid="{00000000-0005-0000-0000-000077450000}"/>
    <cellStyle name="Positive 2 2 5 3 2 11" xfId="17771" xr:uid="{00000000-0005-0000-0000-000078450000}"/>
    <cellStyle name="Positive 2 2 5 3 2 11 2" xfId="17772" xr:uid="{00000000-0005-0000-0000-000079450000}"/>
    <cellStyle name="Positive 2 2 5 3 2 12" xfId="17773" xr:uid="{00000000-0005-0000-0000-00007A450000}"/>
    <cellStyle name="Positive 2 2 5 3 2 12 2" xfId="17774" xr:uid="{00000000-0005-0000-0000-00007B450000}"/>
    <cellStyle name="Positive 2 2 5 3 2 13" xfId="17775" xr:uid="{00000000-0005-0000-0000-00007C450000}"/>
    <cellStyle name="Positive 2 2 5 3 2 13 2" xfId="17776" xr:uid="{00000000-0005-0000-0000-00007D450000}"/>
    <cellStyle name="Positive 2 2 5 3 2 14" xfId="17777" xr:uid="{00000000-0005-0000-0000-00007E450000}"/>
    <cellStyle name="Positive 2 2 5 3 2 14 2" xfId="17778" xr:uid="{00000000-0005-0000-0000-00007F450000}"/>
    <cellStyle name="Positive 2 2 5 3 2 15" xfId="17779" xr:uid="{00000000-0005-0000-0000-000080450000}"/>
    <cellStyle name="Positive 2 2 5 3 2 15 2" xfId="17780" xr:uid="{00000000-0005-0000-0000-000081450000}"/>
    <cellStyle name="Positive 2 2 5 3 2 16" xfId="17781" xr:uid="{00000000-0005-0000-0000-000082450000}"/>
    <cellStyle name="Positive 2 2 5 3 2 16 2" xfId="17782" xr:uid="{00000000-0005-0000-0000-000083450000}"/>
    <cellStyle name="Positive 2 2 5 3 2 17" xfId="17783" xr:uid="{00000000-0005-0000-0000-000084450000}"/>
    <cellStyle name="Positive 2 2 5 3 2 2" xfId="17784" xr:uid="{00000000-0005-0000-0000-000085450000}"/>
    <cellStyle name="Positive 2 2 5 3 2 2 2" xfId="17785" xr:uid="{00000000-0005-0000-0000-000086450000}"/>
    <cellStyle name="Positive 2 2 5 3 2 3" xfId="17786" xr:uid="{00000000-0005-0000-0000-000087450000}"/>
    <cellStyle name="Positive 2 2 5 3 2 3 2" xfId="17787" xr:uid="{00000000-0005-0000-0000-000088450000}"/>
    <cellStyle name="Positive 2 2 5 3 2 4" xfId="17788" xr:uid="{00000000-0005-0000-0000-000089450000}"/>
    <cellStyle name="Positive 2 2 5 3 2 4 2" xfId="17789" xr:uid="{00000000-0005-0000-0000-00008A450000}"/>
    <cellStyle name="Positive 2 2 5 3 2 5" xfId="17790" xr:uid="{00000000-0005-0000-0000-00008B450000}"/>
    <cellStyle name="Positive 2 2 5 3 2 5 2" xfId="17791" xr:uid="{00000000-0005-0000-0000-00008C450000}"/>
    <cellStyle name="Positive 2 2 5 3 2 6" xfId="17792" xr:uid="{00000000-0005-0000-0000-00008D450000}"/>
    <cellStyle name="Positive 2 2 5 3 2 6 2" xfId="17793" xr:uid="{00000000-0005-0000-0000-00008E450000}"/>
    <cellStyle name="Positive 2 2 5 3 2 7" xfId="17794" xr:uid="{00000000-0005-0000-0000-00008F450000}"/>
    <cellStyle name="Positive 2 2 5 3 2 7 2" xfId="17795" xr:uid="{00000000-0005-0000-0000-000090450000}"/>
    <cellStyle name="Positive 2 2 5 3 2 8" xfId="17796" xr:uid="{00000000-0005-0000-0000-000091450000}"/>
    <cellStyle name="Positive 2 2 5 3 2 8 2" xfId="17797" xr:uid="{00000000-0005-0000-0000-000092450000}"/>
    <cellStyle name="Positive 2 2 5 3 2 9" xfId="17798" xr:uid="{00000000-0005-0000-0000-000093450000}"/>
    <cellStyle name="Positive 2 2 5 3 2 9 2" xfId="17799" xr:uid="{00000000-0005-0000-0000-000094450000}"/>
    <cellStyle name="Positive 2 2 5 3 20" xfId="17800" xr:uid="{00000000-0005-0000-0000-000095450000}"/>
    <cellStyle name="Positive 2 2 5 3 3" xfId="17801" xr:uid="{00000000-0005-0000-0000-000096450000}"/>
    <cellStyle name="Positive 2 2 5 3 3 2" xfId="17802" xr:uid="{00000000-0005-0000-0000-000097450000}"/>
    <cellStyle name="Positive 2 2 5 3 3 2 2" xfId="17803" xr:uid="{00000000-0005-0000-0000-000098450000}"/>
    <cellStyle name="Positive 2 2 5 3 3 3" xfId="17804" xr:uid="{00000000-0005-0000-0000-000099450000}"/>
    <cellStyle name="Positive 2 2 5 3 4" xfId="17805" xr:uid="{00000000-0005-0000-0000-00009A450000}"/>
    <cellStyle name="Positive 2 2 5 3 4 2" xfId="17806" xr:uid="{00000000-0005-0000-0000-00009B450000}"/>
    <cellStyle name="Positive 2 2 5 3 4 2 2" xfId="17807" xr:uid="{00000000-0005-0000-0000-00009C450000}"/>
    <cellStyle name="Positive 2 2 5 3 4 3" xfId="17808" xr:uid="{00000000-0005-0000-0000-00009D450000}"/>
    <cellStyle name="Positive 2 2 5 3 5" xfId="17809" xr:uid="{00000000-0005-0000-0000-00009E450000}"/>
    <cellStyle name="Positive 2 2 5 3 5 2" xfId="17810" xr:uid="{00000000-0005-0000-0000-00009F450000}"/>
    <cellStyle name="Positive 2 2 5 3 6" xfId="17811" xr:uid="{00000000-0005-0000-0000-0000A0450000}"/>
    <cellStyle name="Positive 2 2 5 3 6 2" xfId="17812" xr:uid="{00000000-0005-0000-0000-0000A1450000}"/>
    <cellStyle name="Positive 2 2 5 3 7" xfId="17813" xr:uid="{00000000-0005-0000-0000-0000A2450000}"/>
    <cellStyle name="Positive 2 2 5 3 7 2" xfId="17814" xr:uid="{00000000-0005-0000-0000-0000A3450000}"/>
    <cellStyle name="Positive 2 2 5 3 8" xfId="17815" xr:uid="{00000000-0005-0000-0000-0000A4450000}"/>
    <cellStyle name="Positive 2 2 5 3 8 2" xfId="17816" xr:uid="{00000000-0005-0000-0000-0000A5450000}"/>
    <cellStyle name="Positive 2 2 5 3 9" xfId="17817" xr:uid="{00000000-0005-0000-0000-0000A6450000}"/>
    <cellStyle name="Positive 2 2 5 3 9 2" xfId="17818" xr:uid="{00000000-0005-0000-0000-0000A7450000}"/>
    <cellStyle name="Positive 2 2 5 4" xfId="17819" xr:uid="{00000000-0005-0000-0000-0000A8450000}"/>
    <cellStyle name="Positive 2 2 5 4 10" xfId="17820" xr:uid="{00000000-0005-0000-0000-0000A9450000}"/>
    <cellStyle name="Positive 2 2 5 4 10 2" xfId="17821" xr:uid="{00000000-0005-0000-0000-0000AA450000}"/>
    <cellStyle name="Positive 2 2 5 4 11" xfId="17822" xr:uid="{00000000-0005-0000-0000-0000AB450000}"/>
    <cellStyle name="Positive 2 2 5 4 11 2" xfId="17823" xr:uid="{00000000-0005-0000-0000-0000AC450000}"/>
    <cellStyle name="Positive 2 2 5 4 12" xfId="17824" xr:uid="{00000000-0005-0000-0000-0000AD450000}"/>
    <cellStyle name="Positive 2 2 5 4 12 2" xfId="17825" xr:uid="{00000000-0005-0000-0000-0000AE450000}"/>
    <cellStyle name="Positive 2 2 5 4 13" xfId="17826" xr:uid="{00000000-0005-0000-0000-0000AF450000}"/>
    <cellStyle name="Positive 2 2 5 4 13 2" xfId="17827" xr:uid="{00000000-0005-0000-0000-0000B0450000}"/>
    <cellStyle name="Positive 2 2 5 4 14" xfId="17828" xr:uid="{00000000-0005-0000-0000-0000B1450000}"/>
    <cellStyle name="Positive 2 2 5 4 14 2" xfId="17829" xr:uid="{00000000-0005-0000-0000-0000B2450000}"/>
    <cellStyle name="Positive 2 2 5 4 15" xfId="17830" xr:uid="{00000000-0005-0000-0000-0000B3450000}"/>
    <cellStyle name="Positive 2 2 5 4 15 2" xfId="17831" xr:uid="{00000000-0005-0000-0000-0000B4450000}"/>
    <cellStyle name="Positive 2 2 5 4 16" xfId="17832" xr:uid="{00000000-0005-0000-0000-0000B5450000}"/>
    <cellStyle name="Positive 2 2 5 4 16 2" xfId="17833" xr:uid="{00000000-0005-0000-0000-0000B6450000}"/>
    <cellStyle name="Positive 2 2 5 4 17" xfId="17834" xr:uid="{00000000-0005-0000-0000-0000B7450000}"/>
    <cellStyle name="Positive 2 2 5 4 17 2" xfId="17835" xr:uid="{00000000-0005-0000-0000-0000B8450000}"/>
    <cellStyle name="Positive 2 2 5 4 18" xfId="17836" xr:uid="{00000000-0005-0000-0000-0000B9450000}"/>
    <cellStyle name="Positive 2 2 5 4 18 2" xfId="17837" xr:uid="{00000000-0005-0000-0000-0000BA450000}"/>
    <cellStyle name="Positive 2 2 5 4 19" xfId="17838" xr:uid="{00000000-0005-0000-0000-0000BB450000}"/>
    <cellStyle name="Positive 2 2 5 4 19 2" xfId="17839" xr:uid="{00000000-0005-0000-0000-0000BC450000}"/>
    <cellStyle name="Positive 2 2 5 4 2" xfId="17840" xr:uid="{00000000-0005-0000-0000-0000BD450000}"/>
    <cellStyle name="Positive 2 2 5 4 2 10" xfId="17841" xr:uid="{00000000-0005-0000-0000-0000BE450000}"/>
    <cellStyle name="Positive 2 2 5 4 2 10 2" xfId="17842" xr:uid="{00000000-0005-0000-0000-0000BF450000}"/>
    <cellStyle name="Positive 2 2 5 4 2 11" xfId="17843" xr:uid="{00000000-0005-0000-0000-0000C0450000}"/>
    <cellStyle name="Positive 2 2 5 4 2 11 2" xfId="17844" xr:uid="{00000000-0005-0000-0000-0000C1450000}"/>
    <cellStyle name="Positive 2 2 5 4 2 12" xfId="17845" xr:uid="{00000000-0005-0000-0000-0000C2450000}"/>
    <cellStyle name="Positive 2 2 5 4 2 12 2" xfId="17846" xr:uid="{00000000-0005-0000-0000-0000C3450000}"/>
    <cellStyle name="Positive 2 2 5 4 2 13" xfId="17847" xr:uid="{00000000-0005-0000-0000-0000C4450000}"/>
    <cellStyle name="Positive 2 2 5 4 2 13 2" xfId="17848" xr:uid="{00000000-0005-0000-0000-0000C5450000}"/>
    <cellStyle name="Positive 2 2 5 4 2 14" xfId="17849" xr:uid="{00000000-0005-0000-0000-0000C6450000}"/>
    <cellStyle name="Positive 2 2 5 4 2 14 2" xfId="17850" xr:uid="{00000000-0005-0000-0000-0000C7450000}"/>
    <cellStyle name="Positive 2 2 5 4 2 15" xfId="17851" xr:uid="{00000000-0005-0000-0000-0000C8450000}"/>
    <cellStyle name="Positive 2 2 5 4 2 15 2" xfId="17852" xr:uid="{00000000-0005-0000-0000-0000C9450000}"/>
    <cellStyle name="Positive 2 2 5 4 2 16" xfId="17853" xr:uid="{00000000-0005-0000-0000-0000CA450000}"/>
    <cellStyle name="Positive 2 2 5 4 2 16 2" xfId="17854" xr:uid="{00000000-0005-0000-0000-0000CB450000}"/>
    <cellStyle name="Positive 2 2 5 4 2 17" xfId="17855" xr:uid="{00000000-0005-0000-0000-0000CC450000}"/>
    <cellStyle name="Positive 2 2 5 4 2 2" xfId="17856" xr:uid="{00000000-0005-0000-0000-0000CD450000}"/>
    <cellStyle name="Positive 2 2 5 4 2 2 2" xfId="17857" xr:uid="{00000000-0005-0000-0000-0000CE450000}"/>
    <cellStyle name="Positive 2 2 5 4 2 3" xfId="17858" xr:uid="{00000000-0005-0000-0000-0000CF450000}"/>
    <cellStyle name="Positive 2 2 5 4 2 3 2" xfId="17859" xr:uid="{00000000-0005-0000-0000-0000D0450000}"/>
    <cellStyle name="Positive 2 2 5 4 2 4" xfId="17860" xr:uid="{00000000-0005-0000-0000-0000D1450000}"/>
    <cellStyle name="Positive 2 2 5 4 2 4 2" xfId="17861" xr:uid="{00000000-0005-0000-0000-0000D2450000}"/>
    <cellStyle name="Positive 2 2 5 4 2 5" xfId="17862" xr:uid="{00000000-0005-0000-0000-0000D3450000}"/>
    <cellStyle name="Positive 2 2 5 4 2 5 2" xfId="17863" xr:uid="{00000000-0005-0000-0000-0000D4450000}"/>
    <cellStyle name="Positive 2 2 5 4 2 6" xfId="17864" xr:uid="{00000000-0005-0000-0000-0000D5450000}"/>
    <cellStyle name="Positive 2 2 5 4 2 6 2" xfId="17865" xr:uid="{00000000-0005-0000-0000-0000D6450000}"/>
    <cellStyle name="Positive 2 2 5 4 2 7" xfId="17866" xr:uid="{00000000-0005-0000-0000-0000D7450000}"/>
    <cellStyle name="Positive 2 2 5 4 2 7 2" xfId="17867" xr:uid="{00000000-0005-0000-0000-0000D8450000}"/>
    <cellStyle name="Positive 2 2 5 4 2 8" xfId="17868" xr:uid="{00000000-0005-0000-0000-0000D9450000}"/>
    <cellStyle name="Positive 2 2 5 4 2 8 2" xfId="17869" xr:uid="{00000000-0005-0000-0000-0000DA450000}"/>
    <cellStyle name="Positive 2 2 5 4 2 9" xfId="17870" xr:uid="{00000000-0005-0000-0000-0000DB450000}"/>
    <cellStyle name="Positive 2 2 5 4 2 9 2" xfId="17871" xr:uid="{00000000-0005-0000-0000-0000DC450000}"/>
    <cellStyle name="Positive 2 2 5 4 20" xfId="17872" xr:uid="{00000000-0005-0000-0000-0000DD450000}"/>
    <cellStyle name="Positive 2 2 5 4 3" xfId="17873" xr:uid="{00000000-0005-0000-0000-0000DE450000}"/>
    <cellStyle name="Positive 2 2 5 4 3 2" xfId="17874" xr:uid="{00000000-0005-0000-0000-0000DF450000}"/>
    <cellStyle name="Positive 2 2 5 4 3 2 2" xfId="17875" xr:uid="{00000000-0005-0000-0000-0000E0450000}"/>
    <cellStyle name="Positive 2 2 5 4 3 3" xfId="17876" xr:uid="{00000000-0005-0000-0000-0000E1450000}"/>
    <cellStyle name="Positive 2 2 5 4 4" xfId="17877" xr:uid="{00000000-0005-0000-0000-0000E2450000}"/>
    <cellStyle name="Positive 2 2 5 4 4 2" xfId="17878" xr:uid="{00000000-0005-0000-0000-0000E3450000}"/>
    <cellStyle name="Positive 2 2 5 4 4 2 2" xfId="17879" xr:uid="{00000000-0005-0000-0000-0000E4450000}"/>
    <cellStyle name="Positive 2 2 5 4 4 3" xfId="17880" xr:uid="{00000000-0005-0000-0000-0000E5450000}"/>
    <cellStyle name="Positive 2 2 5 4 5" xfId="17881" xr:uid="{00000000-0005-0000-0000-0000E6450000}"/>
    <cellStyle name="Positive 2 2 5 4 5 2" xfId="17882" xr:uid="{00000000-0005-0000-0000-0000E7450000}"/>
    <cellStyle name="Positive 2 2 5 4 6" xfId="17883" xr:uid="{00000000-0005-0000-0000-0000E8450000}"/>
    <cellStyle name="Positive 2 2 5 4 6 2" xfId="17884" xr:uid="{00000000-0005-0000-0000-0000E9450000}"/>
    <cellStyle name="Positive 2 2 5 4 7" xfId="17885" xr:uid="{00000000-0005-0000-0000-0000EA450000}"/>
    <cellStyle name="Positive 2 2 5 4 7 2" xfId="17886" xr:uid="{00000000-0005-0000-0000-0000EB450000}"/>
    <cellStyle name="Positive 2 2 5 4 8" xfId="17887" xr:uid="{00000000-0005-0000-0000-0000EC450000}"/>
    <cellStyle name="Positive 2 2 5 4 8 2" xfId="17888" xr:uid="{00000000-0005-0000-0000-0000ED450000}"/>
    <cellStyle name="Positive 2 2 5 4 9" xfId="17889" xr:uid="{00000000-0005-0000-0000-0000EE450000}"/>
    <cellStyle name="Positive 2 2 5 4 9 2" xfId="17890" xr:uid="{00000000-0005-0000-0000-0000EF450000}"/>
    <cellStyle name="Positive 2 2 5 5" xfId="17891" xr:uid="{00000000-0005-0000-0000-0000F0450000}"/>
    <cellStyle name="Positive 2 2 5 5 10" xfId="17892" xr:uid="{00000000-0005-0000-0000-0000F1450000}"/>
    <cellStyle name="Positive 2 2 5 5 10 2" xfId="17893" xr:uid="{00000000-0005-0000-0000-0000F2450000}"/>
    <cellStyle name="Positive 2 2 5 5 11" xfId="17894" xr:uid="{00000000-0005-0000-0000-0000F3450000}"/>
    <cellStyle name="Positive 2 2 5 5 11 2" xfId="17895" xr:uid="{00000000-0005-0000-0000-0000F4450000}"/>
    <cellStyle name="Positive 2 2 5 5 12" xfId="17896" xr:uid="{00000000-0005-0000-0000-0000F5450000}"/>
    <cellStyle name="Positive 2 2 5 5 12 2" xfId="17897" xr:uid="{00000000-0005-0000-0000-0000F6450000}"/>
    <cellStyle name="Positive 2 2 5 5 13" xfId="17898" xr:uid="{00000000-0005-0000-0000-0000F7450000}"/>
    <cellStyle name="Positive 2 2 5 5 13 2" xfId="17899" xr:uid="{00000000-0005-0000-0000-0000F8450000}"/>
    <cellStyle name="Positive 2 2 5 5 14" xfId="17900" xr:uid="{00000000-0005-0000-0000-0000F9450000}"/>
    <cellStyle name="Positive 2 2 5 5 14 2" xfId="17901" xr:uid="{00000000-0005-0000-0000-0000FA450000}"/>
    <cellStyle name="Positive 2 2 5 5 15" xfId="17902" xr:uid="{00000000-0005-0000-0000-0000FB450000}"/>
    <cellStyle name="Positive 2 2 5 5 15 2" xfId="17903" xr:uid="{00000000-0005-0000-0000-0000FC450000}"/>
    <cellStyle name="Positive 2 2 5 5 16" xfId="17904" xr:uid="{00000000-0005-0000-0000-0000FD450000}"/>
    <cellStyle name="Positive 2 2 5 5 16 2" xfId="17905" xr:uid="{00000000-0005-0000-0000-0000FE450000}"/>
    <cellStyle name="Positive 2 2 5 5 17" xfId="17906" xr:uid="{00000000-0005-0000-0000-0000FF450000}"/>
    <cellStyle name="Positive 2 2 5 5 2" xfId="17907" xr:uid="{00000000-0005-0000-0000-000000460000}"/>
    <cellStyle name="Positive 2 2 5 5 2 2" xfId="17908" xr:uid="{00000000-0005-0000-0000-000001460000}"/>
    <cellStyle name="Positive 2 2 5 5 3" xfId="17909" xr:uid="{00000000-0005-0000-0000-000002460000}"/>
    <cellStyle name="Positive 2 2 5 5 3 2" xfId="17910" xr:uid="{00000000-0005-0000-0000-000003460000}"/>
    <cellStyle name="Positive 2 2 5 5 4" xfId="17911" xr:uid="{00000000-0005-0000-0000-000004460000}"/>
    <cellStyle name="Positive 2 2 5 5 4 2" xfId="17912" xr:uid="{00000000-0005-0000-0000-000005460000}"/>
    <cellStyle name="Positive 2 2 5 5 5" xfId="17913" xr:uid="{00000000-0005-0000-0000-000006460000}"/>
    <cellStyle name="Positive 2 2 5 5 5 2" xfId="17914" xr:uid="{00000000-0005-0000-0000-000007460000}"/>
    <cellStyle name="Positive 2 2 5 5 6" xfId="17915" xr:uid="{00000000-0005-0000-0000-000008460000}"/>
    <cellStyle name="Positive 2 2 5 5 6 2" xfId="17916" xr:uid="{00000000-0005-0000-0000-000009460000}"/>
    <cellStyle name="Positive 2 2 5 5 7" xfId="17917" xr:uid="{00000000-0005-0000-0000-00000A460000}"/>
    <cellStyle name="Positive 2 2 5 5 7 2" xfId="17918" xr:uid="{00000000-0005-0000-0000-00000B460000}"/>
    <cellStyle name="Positive 2 2 5 5 8" xfId="17919" xr:uid="{00000000-0005-0000-0000-00000C460000}"/>
    <cellStyle name="Positive 2 2 5 5 8 2" xfId="17920" xr:uid="{00000000-0005-0000-0000-00000D460000}"/>
    <cellStyle name="Positive 2 2 5 5 9" xfId="17921" xr:uid="{00000000-0005-0000-0000-00000E460000}"/>
    <cellStyle name="Positive 2 2 5 5 9 2" xfId="17922" xr:uid="{00000000-0005-0000-0000-00000F460000}"/>
    <cellStyle name="Positive 2 2 5 6" xfId="17923" xr:uid="{00000000-0005-0000-0000-000010460000}"/>
    <cellStyle name="Positive 2 2 5 6 2" xfId="17924" xr:uid="{00000000-0005-0000-0000-000011460000}"/>
    <cellStyle name="Positive 2 2 5 6 2 2" xfId="17925" xr:uid="{00000000-0005-0000-0000-000012460000}"/>
    <cellStyle name="Positive 2 2 5 6 3" xfId="17926" xr:uid="{00000000-0005-0000-0000-000013460000}"/>
    <cellStyle name="Positive 2 2 5 7" xfId="17927" xr:uid="{00000000-0005-0000-0000-000014460000}"/>
    <cellStyle name="Positive 2 2 5 7 2" xfId="17928" xr:uid="{00000000-0005-0000-0000-000015460000}"/>
    <cellStyle name="Positive 2 2 5 7 2 2" xfId="17929" xr:uid="{00000000-0005-0000-0000-000016460000}"/>
    <cellStyle name="Positive 2 2 5 7 3" xfId="17930" xr:uid="{00000000-0005-0000-0000-000017460000}"/>
    <cellStyle name="Positive 2 2 5 8" xfId="17931" xr:uid="{00000000-0005-0000-0000-000018460000}"/>
    <cellStyle name="Positive 2 2 5 8 2" xfId="17932" xr:uid="{00000000-0005-0000-0000-000019460000}"/>
    <cellStyle name="Positive 2 2 5 9" xfId="17933" xr:uid="{00000000-0005-0000-0000-00001A460000}"/>
    <cellStyle name="Positive 2 2 5 9 2" xfId="17934" xr:uid="{00000000-0005-0000-0000-00001B460000}"/>
    <cellStyle name="Positive 2 2 6" xfId="17935" xr:uid="{00000000-0005-0000-0000-00001C460000}"/>
    <cellStyle name="Positive 2 2 6 10" xfId="17936" xr:uid="{00000000-0005-0000-0000-00001D460000}"/>
    <cellStyle name="Positive 2 2 6 10 2" xfId="17937" xr:uid="{00000000-0005-0000-0000-00001E460000}"/>
    <cellStyle name="Positive 2 2 6 11" xfId="17938" xr:uid="{00000000-0005-0000-0000-00001F460000}"/>
    <cellStyle name="Positive 2 2 6 11 2" xfId="17939" xr:uid="{00000000-0005-0000-0000-000020460000}"/>
    <cellStyle name="Positive 2 2 6 12" xfId="17940" xr:uid="{00000000-0005-0000-0000-000021460000}"/>
    <cellStyle name="Positive 2 2 6 12 2" xfId="17941" xr:uid="{00000000-0005-0000-0000-000022460000}"/>
    <cellStyle name="Positive 2 2 6 13" xfId="17942" xr:uid="{00000000-0005-0000-0000-000023460000}"/>
    <cellStyle name="Positive 2 2 6 13 2" xfId="17943" xr:uid="{00000000-0005-0000-0000-000024460000}"/>
    <cellStyle name="Positive 2 2 6 14" xfId="17944" xr:uid="{00000000-0005-0000-0000-000025460000}"/>
    <cellStyle name="Positive 2 2 6 14 2" xfId="17945" xr:uid="{00000000-0005-0000-0000-000026460000}"/>
    <cellStyle name="Positive 2 2 6 15" xfId="17946" xr:uid="{00000000-0005-0000-0000-000027460000}"/>
    <cellStyle name="Positive 2 2 6 15 2" xfId="17947" xr:uid="{00000000-0005-0000-0000-000028460000}"/>
    <cellStyle name="Positive 2 2 6 16" xfId="17948" xr:uid="{00000000-0005-0000-0000-000029460000}"/>
    <cellStyle name="Positive 2 2 6 16 2" xfId="17949" xr:uid="{00000000-0005-0000-0000-00002A460000}"/>
    <cellStyle name="Positive 2 2 6 17" xfId="17950" xr:uid="{00000000-0005-0000-0000-00002B460000}"/>
    <cellStyle name="Positive 2 2 6 17 2" xfId="17951" xr:uid="{00000000-0005-0000-0000-00002C460000}"/>
    <cellStyle name="Positive 2 2 6 18" xfId="17952" xr:uid="{00000000-0005-0000-0000-00002D460000}"/>
    <cellStyle name="Positive 2 2 6 18 2" xfId="17953" xr:uid="{00000000-0005-0000-0000-00002E460000}"/>
    <cellStyle name="Positive 2 2 6 19" xfId="17954" xr:uid="{00000000-0005-0000-0000-00002F460000}"/>
    <cellStyle name="Positive 2 2 6 19 2" xfId="17955" xr:uid="{00000000-0005-0000-0000-000030460000}"/>
    <cellStyle name="Positive 2 2 6 2" xfId="17956" xr:uid="{00000000-0005-0000-0000-000031460000}"/>
    <cellStyle name="Positive 2 2 6 2 10" xfId="17957" xr:uid="{00000000-0005-0000-0000-000032460000}"/>
    <cellStyle name="Positive 2 2 6 2 10 2" xfId="17958" xr:uid="{00000000-0005-0000-0000-000033460000}"/>
    <cellStyle name="Positive 2 2 6 2 11" xfId="17959" xr:uid="{00000000-0005-0000-0000-000034460000}"/>
    <cellStyle name="Positive 2 2 6 2 11 2" xfId="17960" xr:uid="{00000000-0005-0000-0000-000035460000}"/>
    <cellStyle name="Positive 2 2 6 2 12" xfId="17961" xr:uid="{00000000-0005-0000-0000-000036460000}"/>
    <cellStyle name="Positive 2 2 6 2 12 2" xfId="17962" xr:uid="{00000000-0005-0000-0000-000037460000}"/>
    <cellStyle name="Positive 2 2 6 2 13" xfId="17963" xr:uid="{00000000-0005-0000-0000-000038460000}"/>
    <cellStyle name="Positive 2 2 6 2 13 2" xfId="17964" xr:uid="{00000000-0005-0000-0000-000039460000}"/>
    <cellStyle name="Positive 2 2 6 2 14" xfId="17965" xr:uid="{00000000-0005-0000-0000-00003A460000}"/>
    <cellStyle name="Positive 2 2 6 2 14 2" xfId="17966" xr:uid="{00000000-0005-0000-0000-00003B460000}"/>
    <cellStyle name="Positive 2 2 6 2 15" xfId="17967" xr:uid="{00000000-0005-0000-0000-00003C460000}"/>
    <cellStyle name="Positive 2 2 6 2 15 2" xfId="17968" xr:uid="{00000000-0005-0000-0000-00003D460000}"/>
    <cellStyle name="Positive 2 2 6 2 16" xfId="17969" xr:uid="{00000000-0005-0000-0000-00003E460000}"/>
    <cellStyle name="Positive 2 2 6 2 16 2" xfId="17970" xr:uid="{00000000-0005-0000-0000-00003F460000}"/>
    <cellStyle name="Positive 2 2 6 2 17" xfId="17971" xr:uid="{00000000-0005-0000-0000-000040460000}"/>
    <cellStyle name="Positive 2 2 6 2 17 2" xfId="17972" xr:uid="{00000000-0005-0000-0000-000041460000}"/>
    <cellStyle name="Positive 2 2 6 2 18" xfId="17973" xr:uid="{00000000-0005-0000-0000-000042460000}"/>
    <cellStyle name="Positive 2 2 6 2 18 2" xfId="17974" xr:uid="{00000000-0005-0000-0000-000043460000}"/>
    <cellStyle name="Positive 2 2 6 2 19" xfId="17975" xr:uid="{00000000-0005-0000-0000-000044460000}"/>
    <cellStyle name="Positive 2 2 6 2 19 2" xfId="17976" xr:uid="{00000000-0005-0000-0000-000045460000}"/>
    <cellStyle name="Positive 2 2 6 2 2" xfId="17977" xr:uid="{00000000-0005-0000-0000-000046460000}"/>
    <cellStyle name="Positive 2 2 6 2 2 10" xfId="17978" xr:uid="{00000000-0005-0000-0000-000047460000}"/>
    <cellStyle name="Positive 2 2 6 2 2 10 2" xfId="17979" xr:uid="{00000000-0005-0000-0000-000048460000}"/>
    <cellStyle name="Positive 2 2 6 2 2 11" xfId="17980" xr:uid="{00000000-0005-0000-0000-000049460000}"/>
    <cellStyle name="Positive 2 2 6 2 2 11 2" xfId="17981" xr:uid="{00000000-0005-0000-0000-00004A460000}"/>
    <cellStyle name="Positive 2 2 6 2 2 12" xfId="17982" xr:uid="{00000000-0005-0000-0000-00004B460000}"/>
    <cellStyle name="Positive 2 2 6 2 2 12 2" xfId="17983" xr:uid="{00000000-0005-0000-0000-00004C460000}"/>
    <cellStyle name="Positive 2 2 6 2 2 13" xfId="17984" xr:uid="{00000000-0005-0000-0000-00004D460000}"/>
    <cellStyle name="Positive 2 2 6 2 2 13 2" xfId="17985" xr:uid="{00000000-0005-0000-0000-00004E460000}"/>
    <cellStyle name="Positive 2 2 6 2 2 14" xfId="17986" xr:uid="{00000000-0005-0000-0000-00004F460000}"/>
    <cellStyle name="Positive 2 2 6 2 2 14 2" xfId="17987" xr:uid="{00000000-0005-0000-0000-000050460000}"/>
    <cellStyle name="Positive 2 2 6 2 2 15" xfId="17988" xr:uid="{00000000-0005-0000-0000-000051460000}"/>
    <cellStyle name="Positive 2 2 6 2 2 15 2" xfId="17989" xr:uid="{00000000-0005-0000-0000-000052460000}"/>
    <cellStyle name="Positive 2 2 6 2 2 16" xfId="17990" xr:uid="{00000000-0005-0000-0000-000053460000}"/>
    <cellStyle name="Positive 2 2 6 2 2 16 2" xfId="17991" xr:uid="{00000000-0005-0000-0000-000054460000}"/>
    <cellStyle name="Positive 2 2 6 2 2 17" xfId="17992" xr:uid="{00000000-0005-0000-0000-000055460000}"/>
    <cellStyle name="Positive 2 2 6 2 2 2" xfId="17993" xr:uid="{00000000-0005-0000-0000-000056460000}"/>
    <cellStyle name="Positive 2 2 6 2 2 2 2" xfId="17994" xr:uid="{00000000-0005-0000-0000-000057460000}"/>
    <cellStyle name="Positive 2 2 6 2 2 3" xfId="17995" xr:uid="{00000000-0005-0000-0000-000058460000}"/>
    <cellStyle name="Positive 2 2 6 2 2 3 2" xfId="17996" xr:uid="{00000000-0005-0000-0000-000059460000}"/>
    <cellStyle name="Positive 2 2 6 2 2 4" xfId="17997" xr:uid="{00000000-0005-0000-0000-00005A460000}"/>
    <cellStyle name="Positive 2 2 6 2 2 4 2" xfId="17998" xr:uid="{00000000-0005-0000-0000-00005B460000}"/>
    <cellStyle name="Positive 2 2 6 2 2 5" xfId="17999" xr:uid="{00000000-0005-0000-0000-00005C460000}"/>
    <cellStyle name="Positive 2 2 6 2 2 5 2" xfId="18000" xr:uid="{00000000-0005-0000-0000-00005D460000}"/>
    <cellStyle name="Positive 2 2 6 2 2 6" xfId="18001" xr:uid="{00000000-0005-0000-0000-00005E460000}"/>
    <cellStyle name="Positive 2 2 6 2 2 6 2" xfId="18002" xr:uid="{00000000-0005-0000-0000-00005F460000}"/>
    <cellStyle name="Positive 2 2 6 2 2 7" xfId="18003" xr:uid="{00000000-0005-0000-0000-000060460000}"/>
    <cellStyle name="Positive 2 2 6 2 2 7 2" xfId="18004" xr:uid="{00000000-0005-0000-0000-000061460000}"/>
    <cellStyle name="Positive 2 2 6 2 2 8" xfId="18005" xr:uid="{00000000-0005-0000-0000-000062460000}"/>
    <cellStyle name="Positive 2 2 6 2 2 8 2" xfId="18006" xr:uid="{00000000-0005-0000-0000-000063460000}"/>
    <cellStyle name="Positive 2 2 6 2 2 9" xfId="18007" xr:uid="{00000000-0005-0000-0000-000064460000}"/>
    <cellStyle name="Positive 2 2 6 2 2 9 2" xfId="18008" xr:uid="{00000000-0005-0000-0000-000065460000}"/>
    <cellStyle name="Positive 2 2 6 2 20" xfId="18009" xr:uid="{00000000-0005-0000-0000-000066460000}"/>
    <cellStyle name="Positive 2 2 6 2 3" xfId="18010" xr:uid="{00000000-0005-0000-0000-000067460000}"/>
    <cellStyle name="Positive 2 2 6 2 3 2" xfId="18011" xr:uid="{00000000-0005-0000-0000-000068460000}"/>
    <cellStyle name="Positive 2 2 6 2 3 2 2" xfId="18012" xr:uid="{00000000-0005-0000-0000-000069460000}"/>
    <cellStyle name="Positive 2 2 6 2 3 3" xfId="18013" xr:uid="{00000000-0005-0000-0000-00006A460000}"/>
    <cellStyle name="Positive 2 2 6 2 4" xfId="18014" xr:uid="{00000000-0005-0000-0000-00006B460000}"/>
    <cellStyle name="Positive 2 2 6 2 4 2" xfId="18015" xr:uid="{00000000-0005-0000-0000-00006C460000}"/>
    <cellStyle name="Positive 2 2 6 2 4 2 2" xfId="18016" xr:uid="{00000000-0005-0000-0000-00006D460000}"/>
    <cellStyle name="Positive 2 2 6 2 4 3" xfId="18017" xr:uid="{00000000-0005-0000-0000-00006E460000}"/>
    <cellStyle name="Positive 2 2 6 2 5" xfId="18018" xr:uid="{00000000-0005-0000-0000-00006F460000}"/>
    <cellStyle name="Positive 2 2 6 2 5 2" xfId="18019" xr:uid="{00000000-0005-0000-0000-000070460000}"/>
    <cellStyle name="Positive 2 2 6 2 6" xfId="18020" xr:uid="{00000000-0005-0000-0000-000071460000}"/>
    <cellStyle name="Positive 2 2 6 2 6 2" xfId="18021" xr:uid="{00000000-0005-0000-0000-000072460000}"/>
    <cellStyle name="Positive 2 2 6 2 7" xfId="18022" xr:uid="{00000000-0005-0000-0000-000073460000}"/>
    <cellStyle name="Positive 2 2 6 2 7 2" xfId="18023" xr:uid="{00000000-0005-0000-0000-000074460000}"/>
    <cellStyle name="Positive 2 2 6 2 8" xfId="18024" xr:uid="{00000000-0005-0000-0000-000075460000}"/>
    <cellStyle name="Positive 2 2 6 2 8 2" xfId="18025" xr:uid="{00000000-0005-0000-0000-000076460000}"/>
    <cellStyle name="Positive 2 2 6 2 9" xfId="18026" xr:uid="{00000000-0005-0000-0000-000077460000}"/>
    <cellStyle name="Positive 2 2 6 2 9 2" xfId="18027" xr:uid="{00000000-0005-0000-0000-000078460000}"/>
    <cellStyle name="Positive 2 2 6 20" xfId="18028" xr:uid="{00000000-0005-0000-0000-000079460000}"/>
    <cellStyle name="Positive 2 2 6 20 2" xfId="18029" xr:uid="{00000000-0005-0000-0000-00007A460000}"/>
    <cellStyle name="Positive 2 2 6 21" xfId="18030" xr:uid="{00000000-0005-0000-0000-00007B460000}"/>
    <cellStyle name="Positive 2 2 6 21 2" xfId="18031" xr:uid="{00000000-0005-0000-0000-00007C460000}"/>
    <cellStyle name="Positive 2 2 6 22" xfId="18032" xr:uid="{00000000-0005-0000-0000-00007D460000}"/>
    <cellStyle name="Positive 2 2 6 22 2" xfId="18033" xr:uid="{00000000-0005-0000-0000-00007E460000}"/>
    <cellStyle name="Positive 2 2 6 23" xfId="18034" xr:uid="{00000000-0005-0000-0000-00007F460000}"/>
    <cellStyle name="Positive 2 2 6 3" xfId="18035" xr:uid="{00000000-0005-0000-0000-000080460000}"/>
    <cellStyle name="Positive 2 2 6 3 10" xfId="18036" xr:uid="{00000000-0005-0000-0000-000081460000}"/>
    <cellStyle name="Positive 2 2 6 3 10 2" xfId="18037" xr:uid="{00000000-0005-0000-0000-000082460000}"/>
    <cellStyle name="Positive 2 2 6 3 11" xfId="18038" xr:uid="{00000000-0005-0000-0000-000083460000}"/>
    <cellStyle name="Positive 2 2 6 3 11 2" xfId="18039" xr:uid="{00000000-0005-0000-0000-000084460000}"/>
    <cellStyle name="Positive 2 2 6 3 12" xfId="18040" xr:uid="{00000000-0005-0000-0000-000085460000}"/>
    <cellStyle name="Positive 2 2 6 3 12 2" xfId="18041" xr:uid="{00000000-0005-0000-0000-000086460000}"/>
    <cellStyle name="Positive 2 2 6 3 13" xfId="18042" xr:uid="{00000000-0005-0000-0000-000087460000}"/>
    <cellStyle name="Positive 2 2 6 3 13 2" xfId="18043" xr:uid="{00000000-0005-0000-0000-000088460000}"/>
    <cellStyle name="Positive 2 2 6 3 14" xfId="18044" xr:uid="{00000000-0005-0000-0000-000089460000}"/>
    <cellStyle name="Positive 2 2 6 3 14 2" xfId="18045" xr:uid="{00000000-0005-0000-0000-00008A460000}"/>
    <cellStyle name="Positive 2 2 6 3 15" xfId="18046" xr:uid="{00000000-0005-0000-0000-00008B460000}"/>
    <cellStyle name="Positive 2 2 6 3 15 2" xfId="18047" xr:uid="{00000000-0005-0000-0000-00008C460000}"/>
    <cellStyle name="Positive 2 2 6 3 16" xfId="18048" xr:uid="{00000000-0005-0000-0000-00008D460000}"/>
    <cellStyle name="Positive 2 2 6 3 16 2" xfId="18049" xr:uid="{00000000-0005-0000-0000-00008E460000}"/>
    <cellStyle name="Positive 2 2 6 3 17" xfId="18050" xr:uid="{00000000-0005-0000-0000-00008F460000}"/>
    <cellStyle name="Positive 2 2 6 3 17 2" xfId="18051" xr:uid="{00000000-0005-0000-0000-000090460000}"/>
    <cellStyle name="Positive 2 2 6 3 18" xfId="18052" xr:uid="{00000000-0005-0000-0000-000091460000}"/>
    <cellStyle name="Positive 2 2 6 3 18 2" xfId="18053" xr:uid="{00000000-0005-0000-0000-000092460000}"/>
    <cellStyle name="Positive 2 2 6 3 19" xfId="18054" xr:uid="{00000000-0005-0000-0000-000093460000}"/>
    <cellStyle name="Positive 2 2 6 3 19 2" xfId="18055" xr:uid="{00000000-0005-0000-0000-000094460000}"/>
    <cellStyle name="Positive 2 2 6 3 2" xfId="18056" xr:uid="{00000000-0005-0000-0000-000095460000}"/>
    <cellStyle name="Positive 2 2 6 3 2 10" xfId="18057" xr:uid="{00000000-0005-0000-0000-000096460000}"/>
    <cellStyle name="Positive 2 2 6 3 2 10 2" xfId="18058" xr:uid="{00000000-0005-0000-0000-000097460000}"/>
    <cellStyle name="Positive 2 2 6 3 2 11" xfId="18059" xr:uid="{00000000-0005-0000-0000-000098460000}"/>
    <cellStyle name="Positive 2 2 6 3 2 11 2" xfId="18060" xr:uid="{00000000-0005-0000-0000-000099460000}"/>
    <cellStyle name="Positive 2 2 6 3 2 12" xfId="18061" xr:uid="{00000000-0005-0000-0000-00009A460000}"/>
    <cellStyle name="Positive 2 2 6 3 2 12 2" xfId="18062" xr:uid="{00000000-0005-0000-0000-00009B460000}"/>
    <cellStyle name="Positive 2 2 6 3 2 13" xfId="18063" xr:uid="{00000000-0005-0000-0000-00009C460000}"/>
    <cellStyle name="Positive 2 2 6 3 2 13 2" xfId="18064" xr:uid="{00000000-0005-0000-0000-00009D460000}"/>
    <cellStyle name="Positive 2 2 6 3 2 14" xfId="18065" xr:uid="{00000000-0005-0000-0000-00009E460000}"/>
    <cellStyle name="Positive 2 2 6 3 2 14 2" xfId="18066" xr:uid="{00000000-0005-0000-0000-00009F460000}"/>
    <cellStyle name="Positive 2 2 6 3 2 15" xfId="18067" xr:uid="{00000000-0005-0000-0000-0000A0460000}"/>
    <cellStyle name="Positive 2 2 6 3 2 15 2" xfId="18068" xr:uid="{00000000-0005-0000-0000-0000A1460000}"/>
    <cellStyle name="Positive 2 2 6 3 2 16" xfId="18069" xr:uid="{00000000-0005-0000-0000-0000A2460000}"/>
    <cellStyle name="Positive 2 2 6 3 2 16 2" xfId="18070" xr:uid="{00000000-0005-0000-0000-0000A3460000}"/>
    <cellStyle name="Positive 2 2 6 3 2 17" xfId="18071" xr:uid="{00000000-0005-0000-0000-0000A4460000}"/>
    <cellStyle name="Positive 2 2 6 3 2 2" xfId="18072" xr:uid="{00000000-0005-0000-0000-0000A5460000}"/>
    <cellStyle name="Positive 2 2 6 3 2 2 2" xfId="18073" xr:uid="{00000000-0005-0000-0000-0000A6460000}"/>
    <cellStyle name="Positive 2 2 6 3 2 3" xfId="18074" xr:uid="{00000000-0005-0000-0000-0000A7460000}"/>
    <cellStyle name="Positive 2 2 6 3 2 3 2" xfId="18075" xr:uid="{00000000-0005-0000-0000-0000A8460000}"/>
    <cellStyle name="Positive 2 2 6 3 2 4" xfId="18076" xr:uid="{00000000-0005-0000-0000-0000A9460000}"/>
    <cellStyle name="Positive 2 2 6 3 2 4 2" xfId="18077" xr:uid="{00000000-0005-0000-0000-0000AA460000}"/>
    <cellStyle name="Positive 2 2 6 3 2 5" xfId="18078" xr:uid="{00000000-0005-0000-0000-0000AB460000}"/>
    <cellStyle name="Positive 2 2 6 3 2 5 2" xfId="18079" xr:uid="{00000000-0005-0000-0000-0000AC460000}"/>
    <cellStyle name="Positive 2 2 6 3 2 6" xfId="18080" xr:uid="{00000000-0005-0000-0000-0000AD460000}"/>
    <cellStyle name="Positive 2 2 6 3 2 6 2" xfId="18081" xr:uid="{00000000-0005-0000-0000-0000AE460000}"/>
    <cellStyle name="Positive 2 2 6 3 2 7" xfId="18082" xr:uid="{00000000-0005-0000-0000-0000AF460000}"/>
    <cellStyle name="Positive 2 2 6 3 2 7 2" xfId="18083" xr:uid="{00000000-0005-0000-0000-0000B0460000}"/>
    <cellStyle name="Positive 2 2 6 3 2 8" xfId="18084" xr:uid="{00000000-0005-0000-0000-0000B1460000}"/>
    <cellStyle name="Positive 2 2 6 3 2 8 2" xfId="18085" xr:uid="{00000000-0005-0000-0000-0000B2460000}"/>
    <cellStyle name="Positive 2 2 6 3 2 9" xfId="18086" xr:uid="{00000000-0005-0000-0000-0000B3460000}"/>
    <cellStyle name="Positive 2 2 6 3 2 9 2" xfId="18087" xr:uid="{00000000-0005-0000-0000-0000B4460000}"/>
    <cellStyle name="Positive 2 2 6 3 20" xfId="18088" xr:uid="{00000000-0005-0000-0000-0000B5460000}"/>
    <cellStyle name="Positive 2 2 6 3 3" xfId="18089" xr:uid="{00000000-0005-0000-0000-0000B6460000}"/>
    <cellStyle name="Positive 2 2 6 3 3 2" xfId="18090" xr:uid="{00000000-0005-0000-0000-0000B7460000}"/>
    <cellStyle name="Positive 2 2 6 3 3 2 2" xfId="18091" xr:uid="{00000000-0005-0000-0000-0000B8460000}"/>
    <cellStyle name="Positive 2 2 6 3 3 3" xfId="18092" xr:uid="{00000000-0005-0000-0000-0000B9460000}"/>
    <cellStyle name="Positive 2 2 6 3 4" xfId="18093" xr:uid="{00000000-0005-0000-0000-0000BA460000}"/>
    <cellStyle name="Positive 2 2 6 3 4 2" xfId="18094" xr:uid="{00000000-0005-0000-0000-0000BB460000}"/>
    <cellStyle name="Positive 2 2 6 3 4 2 2" xfId="18095" xr:uid="{00000000-0005-0000-0000-0000BC460000}"/>
    <cellStyle name="Positive 2 2 6 3 4 3" xfId="18096" xr:uid="{00000000-0005-0000-0000-0000BD460000}"/>
    <cellStyle name="Positive 2 2 6 3 5" xfId="18097" xr:uid="{00000000-0005-0000-0000-0000BE460000}"/>
    <cellStyle name="Positive 2 2 6 3 5 2" xfId="18098" xr:uid="{00000000-0005-0000-0000-0000BF460000}"/>
    <cellStyle name="Positive 2 2 6 3 6" xfId="18099" xr:uid="{00000000-0005-0000-0000-0000C0460000}"/>
    <cellStyle name="Positive 2 2 6 3 6 2" xfId="18100" xr:uid="{00000000-0005-0000-0000-0000C1460000}"/>
    <cellStyle name="Positive 2 2 6 3 7" xfId="18101" xr:uid="{00000000-0005-0000-0000-0000C2460000}"/>
    <cellStyle name="Positive 2 2 6 3 7 2" xfId="18102" xr:uid="{00000000-0005-0000-0000-0000C3460000}"/>
    <cellStyle name="Positive 2 2 6 3 8" xfId="18103" xr:uid="{00000000-0005-0000-0000-0000C4460000}"/>
    <cellStyle name="Positive 2 2 6 3 8 2" xfId="18104" xr:uid="{00000000-0005-0000-0000-0000C5460000}"/>
    <cellStyle name="Positive 2 2 6 3 9" xfId="18105" xr:uid="{00000000-0005-0000-0000-0000C6460000}"/>
    <cellStyle name="Positive 2 2 6 3 9 2" xfId="18106" xr:uid="{00000000-0005-0000-0000-0000C7460000}"/>
    <cellStyle name="Positive 2 2 6 4" xfId="18107" xr:uid="{00000000-0005-0000-0000-0000C8460000}"/>
    <cellStyle name="Positive 2 2 6 4 10" xfId="18108" xr:uid="{00000000-0005-0000-0000-0000C9460000}"/>
    <cellStyle name="Positive 2 2 6 4 10 2" xfId="18109" xr:uid="{00000000-0005-0000-0000-0000CA460000}"/>
    <cellStyle name="Positive 2 2 6 4 11" xfId="18110" xr:uid="{00000000-0005-0000-0000-0000CB460000}"/>
    <cellStyle name="Positive 2 2 6 4 11 2" xfId="18111" xr:uid="{00000000-0005-0000-0000-0000CC460000}"/>
    <cellStyle name="Positive 2 2 6 4 12" xfId="18112" xr:uid="{00000000-0005-0000-0000-0000CD460000}"/>
    <cellStyle name="Positive 2 2 6 4 12 2" xfId="18113" xr:uid="{00000000-0005-0000-0000-0000CE460000}"/>
    <cellStyle name="Positive 2 2 6 4 13" xfId="18114" xr:uid="{00000000-0005-0000-0000-0000CF460000}"/>
    <cellStyle name="Positive 2 2 6 4 13 2" xfId="18115" xr:uid="{00000000-0005-0000-0000-0000D0460000}"/>
    <cellStyle name="Positive 2 2 6 4 14" xfId="18116" xr:uid="{00000000-0005-0000-0000-0000D1460000}"/>
    <cellStyle name="Positive 2 2 6 4 14 2" xfId="18117" xr:uid="{00000000-0005-0000-0000-0000D2460000}"/>
    <cellStyle name="Positive 2 2 6 4 15" xfId="18118" xr:uid="{00000000-0005-0000-0000-0000D3460000}"/>
    <cellStyle name="Positive 2 2 6 4 15 2" xfId="18119" xr:uid="{00000000-0005-0000-0000-0000D4460000}"/>
    <cellStyle name="Positive 2 2 6 4 16" xfId="18120" xr:uid="{00000000-0005-0000-0000-0000D5460000}"/>
    <cellStyle name="Positive 2 2 6 4 16 2" xfId="18121" xr:uid="{00000000-0005-0000-0000-0000D6460000}"/>
    <cellStyle name="Positive 2 2 6 4 17" xfId="18122" xr:uid="{00000000-0005-0000-0000-0000D7460000}"/>
    <cellStyle name="Positive 2 2 6 4 17 2" xfId="18123" xr:uid="{00000000-0005-0000-0000-0000D8460000}"/>
    <cellStyle name="Positive 2 2 6 4 18" xfId="18124" xr:uid="{00000000-0005-0000-0000-0000D9460000}"/>
    <cellStyle name="Positive 2 2 6 4 18 2" xfId="18125" xr:uid="{00000000-0005-0000-0000-0000DA460000}"/>
    <cellStyle name="Positive 2 2 6 4 19" xfId="18126" xr:uid="{00000000-0005-0000-0000-0000DB460000}"/>
    <cellStyle name="Positive 2 2 6 4 19 2" xfId="18127" xr:uid="{00000000-0005-0000-0000-0000DC460000}"/>
    <cellStyle name="Positive 2 2 6 4 2" xfId="18128" xr:uid="{00000000-0005-0000-0000-0000DD460000}"/>
    <cellStyle name="Positive 2 2 6 4 2 10" xfId="18129" xr:uid="{00000000-0005-0000-0000-0000DE460000}"/>
    <cellStyle name="Positive 2 2 6 4 2 10 2" xfId="18130" xr:uid="{00000000-0005-0000-0000-0000DF460000}"/>
    <cellStyle name="Positive 2 2 6 4 2 11" xfId="18131" xr:uid="{00000000-0005-0000-0000-0000E0460000}"/>
    <cellStyle name="Positive 2 2 6 4 2 11 2" xfId="18132" xr:uid="{00000000-0005-0000-0000-0000E1460000}"/>
    <cellStyle name="Positive 2 2 6 4 2 12" xfId="18133" xr:uid="{00000000-0005-0000-0000-0000E2460000}"/>
    <cellStyle name="Positive 2 2 6 4 2 12 2" xfId="18134" xr:uid="{00000000-0005-0000-0000-0000E3460000}"/>
    <cellStyle name="Positive 2 2 6 4 2 13" xfId="18135" xr:uid="{00000000-0005-0000-0000-0000E4460000}"/>
    <cellStyle name="Positive 2 2 6 4 2 13 2" xfId="18136" xr:uid="{00000000-0005-0000-0000-0000E5460000}"/>
    <cellStyle name="Positive 2 2 6 4 2 14" xfId="18137" xr:uid="{00000000-0005-0000-0000-0000E6460000}"/>
    <cellStyle name="Positive 2 2 6 4 2 14 2" xfId="18138" xr:uid="{00000000-0005-0000-0000-0000E7460000}"/>
    <cellStyle name="Positive 2 2 6 4 2 15" xfId="18139" xr:uid="{00000000-0005-0000-0000-0000E8460000}"/>
    <cellStyle name="Positive 2 2 6 4 2 15 2" xfId="18140" xr:uid="{00000000-0005-0000-0000-0000E9460000}"/>
    <cellStyle name="Positive 2 2 6 4 2 16" xfId="18141" xr:uid="{00000000-0005-0000-0000-0000EA460000}"/>
    <cellStyle name="Positive 2 2 6 4 2 16 2" xfId="18142" xr:uid="{00000000-0005-0000-0000-0000EB460000}"/>
    <cellStyle name="Positive 2 2 6 4 2 17" xfId="18143" xr:uid="{00000000-0005-0000-0000-0000EC460000}"/>
    <cellStyle name="Positive 2 2 6 4 2 2" xfId="18144" xr:uid="{00000000-0005-0000-0000-0000ED460000}"/>
    <cellStyle name="Positive 2 2 6 4 2 2 2" xfId="18145" xr:uid="{00000000-0005-0000-0000-0000EE460000}"/>
    <cellStyle name="Positive 2 2 6 4 2 3" xfId="18146" xr:uid="{00000000-0005-0000-0000-0000EF460000}"/>
    <cellStyle name="Positive 2 2 6 4 2 3 2" xfId="18147" xr:uid="{00000000-0005-0000-0000-0000F0460000}"/>
    <cellStyle name="Positive 2 2 6 4 2 4" xfId="18148" xr:uid="{00000000-0005-0000-0000-0000F1460000}"/>
    <cellStyle name="Positive 2 2 6 4 2 4 2" xfId="18149" xr:uid="{00000000-0005-0000-0000-0000F2460000}"/>
    <cellStyle name="Positive 2 2 6 4 2 5" xfId="18150" xr:uid="{00000000-0005-0000-0000-0000F3460000}"/>
    <cellStyle name="Positive 2 2 6 4 2 5 2" xfId="18151" xr:uid="{00000000-0005-0000-0000-0000F4460000}"/>
    <cellStyle name="Positive 2 2 6 4 2 6" xfId="18152" xr:uid="{00000000-0005-0000-0000-0000F5460000}"/>
    <cellStyle name="Positive 2 2 6 4 2 6 2" xfId="18153" xr:uid="{00000000-0005-0000-0000-0000F6460000}"/>
    <cellStyle name="Positive 2 2 6 4 2 7" xfId="18154" xr:uid="{00000000-0005-0000-0000-0000F7460000}"/>
    <cellStyle name="Positive 2 2 6 4 2 7 2" xfId="18155" xr:uid="{00000000-0005-0000-0000-0000F8460000}"/>
    <cellStyle name="Positive 2 2 6 4 2 8" xfId="18156" xr:uid="{00000000-0005-0000-0000-0000F9460000}"/>
    <cellStyle name="Positive 2 2 6 4 2 8 2" xfId="18157" xr:uid="{00000000-0005-0000-0000-0000FA460000}"/>
    <cellStyle name="Positive 2 2 6 4 2 9" xfId="18158" xr:uid="{00000000-0005-0000-0000-0000FB460000}"/>
    <cellStyle name="Positive 2 2 6 4 2 9 2" xfId="18159" xr:uid="{00000000-0005-0000-0000-0000FC460000}"/>
    <cellStyle name="Positive 2 2 6 4 20" xfId="18160" xr:uid="{00000000-0005-0000-0000-0000FD460000}"/>
    <cellStyle name="Positive 2 2 6 4 3" xfId="18161" xr:uid="{00000000-0005-0000-0000-0000FE460000}"/>
    <cellStyle name="Positive 2 2 6 4 3 2" xfId="18162" xr:uid="{00000000-0005-0000-0000-0000FF460000}"/>
    <cellStyle name="Positive 2 2 6 4 3 2 2" xfId="18163" xr:uid="{00000000-0005-0000-0000-000000470000}"/>
    <cellStyle name="Positive 2 2 6 4 3 3" xfId="18164" xr:uid="{00000000-0005-0000-0000-000001470000}"/>
    <cellStyle name="Positive 2 2 6 4 4" xfId="18165" xr:uid="{00000000-0005-0000-0000-000002470000}"/>
    <cellStyle name="Positive 2 2 6 4 4 2" xfId="18166" xr:uid="{00000000-0005-0000-0000-000003470000}"/>
    <cellStyle name="Positive 2 2 6 4 4 2 2" xfId="18167" xr:uid="{00000000-0005-0000-0000-000004470000}"/>
    <cellStyle name="Positive 2 2 6 4 4 3" xfId="18168" xr:uid="{00000000-0005-0000-0000-000005470000}"/>
    <cellStyle name="Positive 2 2 6 4 5" xfId="18169" xr:uid="{00000000-0005-0000-0000-000006470000}"/>
    <cellStyle name="Positive 2 2 6 4 5 2" xfId="18170" xr:uid="{00000000-0005-0000-0000-000007470000}"/>
    <cellStyle name="Positive 2 2 6 4 6" xfId="18171" xr:uid="{00000000-0005-0000-0000-000008470000}"/>
    <cellStyle name="Positive 2 2 6 4 6 2" xfId="18172" xr:uid="{00000000-0005-0000-0000-000009470000}"/>
    <cellStyle name="Positive 2 2 6 4 7" xfId="18173" xr:uid="{00000000-0005-0000-0000-00000A470000}"/>
    <cellStyle name="Positive 2 2 6 4 7 2" xfId="18174" xr:uid="{00000000-0005-0000-0000-00000B470000}"/>
    <cellStyle name="Positive 2 2 6 4 8" xfId="18175" xr:uid="{00000000-0005-0000-0000-00000C470000}"/>
    <cellStyle name="Positive 2 2 6 4 8 2" xfId="18176" xr:uid="{00000000-0005-0000-0000-00000D470000}"/>
    <cellStyle name="Positive 2 2 6 4 9" xfId="18177" xr:uid="{00000000-0005-0000-0000-00000E470000}"/>
    <cellStyle name="Positive 2 2 6 4 9 2" xfId="18178" xr:uid="{00000000-0005-0000-0000-00000F470000}"/>
    <cellStyle name="Positive 2 2 6 5" xfId="18179" xr:uid="{00000000-0005-0000-0000-000010470000}"/>
    <cellStyle name="Positive 2 2 6 5 10" xfId="18180" xr:uid="{00000000-0005-0000-0000-000011470000}"/>
    <cellStyle name="Positive 2 2 6 5 10 2" xfId="18181" xr:uid="{00000000-0005-0000-0000-000012470000}"/>
    <cellStyle name="Positive 2 2 6 5 11" xfId="18182" xr:uid="{00000000-0005-0000-0000-000013470000}"/>
    <cellStyle name="Positive 2 2 6 5 11 2" xfId="18183" xr:uid="{00000000-0005-0000-0000-000014470000}"/>
    <cellStyle name="Positive 2 2 6 5 12" xfId="18184" xr:uid="{00000000-0005-0000-0000-000015470000}"/>
    <cellStyle name="Positive 2 2 6 5 12 2" xfId="18185" xr:uid="{00000000-0005-0000-0000-000016470000}"/>
    <cellStyle name="Positive 2 2 6 5 13" xfId="18186" xr:uid="{00000000-0005-0000-0000-000017470000}"/>
    <cellStyle name="Positive 2 2 6 5 13 2" xfId="18187" xr:uid="{00000000-0005-0000-0000-000018470000}"/>
    <cellStyle name="Positive 2 2 6 5 14" xfId="18188" xr:uid="{00000000-0005-0000-0000-000019470000}"/>
    <cellStyle name="Positive 2 2 6 5 14 2" xfId="18189" xr:uid="{00000000-0005-0000-0000-00001A470000}"/>
    <cellStyle name="Positive 2 2 6 5 15" xfId="18190" xr:uid="{00000000-0005-0000-0000-00001B470000}"/>
    <cellStyle name="Positive 2 2 6 5 15 2" xfId="18191" xr:uid="{00000000-0005-0000-0000-00001C470000}"/>
    <cellStyle name="Positive 2 2 6 5 16" xfId="18192" xr:uid="{00000000-0005-0000-0000-00001D470000}"/>
    <cellStyle name="Positive 2 2 6 5 16 2" xfId="18193" xr:uid="{00000000-0005-0000-0000-00001E470000}"/>
    <cellStyle name="Positive 2 2 6 5 17" xfId="18194" xr:uid="{00000000-0005-0000-0000-00001F470000}"/>
    <cellStyle name="Positive 2 2 6 5 2" xfId="18195" xr:uid="{00000000-0005-0000-0000-000020470000}"/>
    <cellStyle name="Positive 2 2 6 5 2 2" xfId="18196" xr:uid="{00000000-0005-0000-0000-000021470000}"/>
    <cellStyle name="Positive 2 2 6 5 3" xfId="18197" xr:uid="{00000000-0005-0000-0000-000022470000}"/>
    <cellStyle name="Positive 2 2 6 5 3 2" xfId="18198" xr:uid="{00000000-0005-0000-0000-000023470000}"/>
    <cellStyle name="Positive 2 2 6 5 4" xfId="18199" xr:uid="{00000000-0005-0000-0000-000024470000}"/>
    <cellStyle name="Positive 2 2 6 5 4 2" xfId="18200" xr:uid="{00000000-0005-0000-0000-000025470000}"/>
    <cellStyle name="Positive 2 2 6 5 5" xfId="18201" xr:uid="{00000000-0005-0000-0000-000026470000}"/>
    <cellStyle name="Positive 2 2 6 5 5 2" xfId="18202" xr:uid="{00000000-0005-0000-0000-000027470000}"/>
    <cellStyle name="Positive 2 2 6 5 6" xfId="18203" xr:uid="{00000000-0005-0000-0000-000028470000}"/>
    <cellStyle name="Positive 2 2 6 5 6 2" xfId="18204" xr:uid="{00000000-0005-0000-0000-000029470000}"/>
    <cellStyle name="Positive 2 2 6 5 7" xfId="18205" xr:uid="{00000000-0005-0000-0000-00002A470000}"/>
    <cellStyle name="Positive 2 2 6 5 7 2" xfId="18206" xr:uid="{00000000-0005-0000-0000-00002B470000}"/>
    <cellStyle name="Positive 2 2 6 5 8" xfId="18207" xr:uid="{00000000-0005-0000-0000-00002C470000}"/>
    <cellStyle name="Positive 2 2 6 5 8 2" xfId="18208" xr:uid="{00000000-0005-0000-0000-00002D470000}"/>
    <cellStyle name="Positive 2 2 6 5 9" xfId="18209" xr:uid="{00000000-0005-0000-0000-00002E470000}"/>
    <cellStyle name="Positive 2 2 6 5 9 2" xfId="18210" xr:uid="{00000000-0005-0000-0000-00002F470000}"/>
    <cellStyle name="Positive 2 2 6 6" xfId="18211" xr:uid="{00000000-0005-0000-0000-000030470000}"/>
    <cellStyle name="Positive 2 2 6 6 2" xfId="18212" xr:uid="{00000000-0005-0000-0000-000031470000}"/>
    <cellStyle name="Positive 2 2 6 6 2 2" xfId="18213" xr:uid="{00000000-0005-0000-0000-000032470000}"/>
    <cellStyle name="Positive 2 2 6 6 3" xfId="18214" xr:uid="{00000000-0005-0000-0000-000033470000}"/>
    <cellStyle name="Positive 2 2 6 7" xfId="18215" xr:uid="{00000000-0005-0000-0000-000034470000}"/>
    <cellStyle name="Positive 2 2 6 7 2" xfId="18216" xr:uid="{00000000-0005-0000-0000-000035470000}"/>
    <cellStyle name="Positive 2 2 6 7 2 2" xfId="18217" xr:uid="{00000000-0005-0000-0000-000036470000}"/>
    <cellStyle name="Positive 2 2 6 7 3" xfId="18218" xr:uid="{00000000-0005-0000-0000-000037470000}"/>
    <cellStyle name="Positive 2 2 6 8" xfId="18219" xr:uid="{00000000-0005-0000-0000-000038470000}"/>
    <cellStyle name="Positive 2 2 6 8 2" xfId="18220" xr:uid="{00000000-0005-0000-0000-000039470000}"/>
    <cellStyle name="Positive 2 2 6 9" xfId="18221" xr:uid="{00000000-0005-0000-0000-00003A470000}"/>
    <cellStyle name="Positive 2 2 6 9 2" xfId="18222" xr:uid="{00000000-0005-0000-0000-00003B470000}"/>
    <cellStyle name="Positive 2 2 7" xfId="18223" xr:uid="{00000000-0005-0000-0000-00003C470000}"/>
    <cellStyle name="Positive 2 2 7 10" xfId="18224" xr:uid="{00000000-0005-0000-0000-00003D470000}"/>
    <cellStyle name="Positive 2 2 7 10 2" xfId="18225" xr:uid="{00000000-0005-0000-0000-00003E470000}"/>
    <cellStyle name="Positive 2 2 7 11" xfId="18226" xr:uid="{00000000-0005-0000-0000-00003F470000}"/>
    <cellStyle name="Positive 2 2 7 11 2" xfId="18227" xr:uid="{00000000-0005-0000-0000-000040470000}"/>
    <cellStyle name="Positive 2 2 7 12" xfId="18228" xr:uid="{00000000-0005-0000-0000-000041470000}"/>
    <cellStyle name="Positive 2 2 7 12 2" xfId="18229" xr:uid="{00000000-0005-0000-0000-000042470000}"/>
    <cellStyle name="Positive 2 2 7 13" xfId="18230" xr:uid="{00000000-0005-0000-0000-000043470000}"/>
    <cellStyle name="Positive 2 2 7 13 2" xfId="18231" xr:uid="{00000000-0005-0000-0000-000044470000}"/>
    <cellStyle name="Positive 2 2 7 14" xfId="18232" xr:uid="{00000000-0005-0000-0000-000045470000}"/>
    <cellStyle name="Positive 2 2 7 14 2" xfId="18233" xr:uid="{00000000-0005-0000-0000-000046470000}"/>
    <cellStyle name="Positive 2 2 7 15" xfId="18234" xr:uid="{00000000-0005-0000-0000-000047470000}"/>
    <cellStyle name="Positive 2 2 7 15 2" xfId="18235" xr:uid="{00000000-0005-0000-0000-000048470000}"/>
    <cellStyle name="Positive 2 2 7 16" xfId="18236" xr:uid="{00000000-0005-0000-0000-000049470000}"/>
    <cellStyle name="Positive 2 2 7 16 2" xfId="18237" xr:uid="{00000000-0005-0000-0000-00004A470000}"/>
    <cellStyle name="Positive 2 2 7 17" xfId="18238" xr:uid="{00000000-0005-0000-0000-00004B470000}"/>
    <cellStyle name="Positive 2 2 7 17 2" xfId="18239" xr:uid="{00000000-0005-0000-0000-00004C470000}"/>
    <cellStyle name="Positive 2 2 7 18" xfId="18240" xr:uid="{00000000-0005-0000-0000-00004D470000}"/>
    <cellStyle name="Positive 2 2 7 18 2" xfId="18241" xr:uid="{00000000-0005-0000-0000-00004E470000}"/>
    <cellStyle name="Positive 2 2 7 19" xfId="18242" xr:uid="{00000000-0005-0000-0000-00004F470000}"/>
    <cellStyle name="Positive 2 2 7 19 2" xfId="18243" xr:uid="{00000000-0005-0000-0000-000050470000}"/>
    <cellStyle name="Positive 2 2 7 2" xfId="18244" xr:uid="{00000000-0005-0000-0000-000051470000}"/>
    <cellStyle name="Positive 2 2 7 2 10" xfId="18245" xr:uid="{00000000-0005-0000-0000-000052470000}"/>
    <cellStyle name="Positive 2 2 7 2 10 2" xfId="18246" xr:uid="{00000000-0005-0000-0000-000053470000}"/>
    <cellStyle name="Positive 2 2 7 2 11" xfId="18247" xr:uid="{00000000-0005-0000-0000-000054470000}"/>
    <cellStyle name="Positive 2 2 7 2 11 2" xfId="18248" xr:uid="{00000000-0005-0000-0000-000055470000}"/>
    <cellStyle name="Positive 2 2 7 2 12" xfId="18249" xr:uid="{00000000-0005-0000-0000-000056470000}"/>
    <cellStyle name="Positive 2 2 7 2 12 2" xfId="18250" xr:uid="{00000000-0005-0000-0000-000057470000}"/>
    <cellStyle name="Positive 2 2 7 2 13" xfId="18251" xr:uid="{00000000-0005-0000-0000-000058470000}"/>
    <cellStyle name="Positive 2 2 7 2 13 2" xfId="18252" xr:uid="{00000000-0005-0000-0000-000059470000}"/>
    <cellStyle name="Positive 2 2 7 2 14" xfId="18253" xr:uid="{00000000-0005-0000-0000-00005A470000}"/>
    <cellStyle name="Positive 2 2 7 2 14 2" xfId="18254" xr:uid="{00000000-0005-0000-0000-00005B470000}"/>
    <cellStyle name="Positive 2 2 7 2 15" xfId="18255" xr:uid="{00000000-0005-0000-0000-00005C470000}"/>
    <cellStyle name="Positive 2 2 7 2 15 2" xfId="18256" xr:uid="{00000000-0005-0000-0000-00005D470000}"/>
    <cellStyle name="Positive 2 2 7 2 16" xfId="18257" xr:uid="{00000000-0005-0000-0000-00005E470000}"/>
    <cellStyle name="Positive 2 2 7 2 16 2" xfId="18258" xr:uid="{00000000-0005-0000-0000-00005F470000}"/>
    <cellStyle name="Positive 2 2 7 2 17" xfId="18259" xr:uid="{00000000-0005-0000-0000-000060470000}"/>
    <cellStyle name="Positive 2 2 7 2 17 2" xfId="18260" xr:uid="{00000000-0005-0000-0000-000061470000}"/>
    <cellStyle name="Positive 2 2 7 2 18" xfId="18261" xr:uid="{00000000-0005-0000-0000-000062470000}"/>
    <cellStyle name="Positive 2 2 7 2 18 2" xfId="18262" xr:uid="{00000000-0005-0000-0000-000063470000}"/>
    <cellStyle name="Positive 2 2 7 2 19" xfId="18263" xr:uid="{00000000-0005-0000-0000-000064470000}"/>
    <cellStyle name="Positive 2 2 7 2 19 2" xfId="18264" xr:uid="{00000000-0005-0000-0000-000065470000}"/>
    <cellStyle name="Positive 2 2 7 2 2" xfId="18265" xr:uid="{00000000-0005-0000-0000-000066470000}"/>
    <cellStyle name="Positive 2 2 7 2 2 10" xfId="18266" xr:uid="{00000000-0005-0000-0000-000067470000}"/>
    <cellStyle name="Positive 2 2 7 2 2 10 2" xfId="18267" xr:uid="{00000000-0005-0000-0000-000068470000}"/>
    <cellStyle name="Positive 2 2 7 2 2 11" xfId="18268" xr:uid="{00000000-0005-0000-0000-000069470000}"/>
    <cellStyle name="Positive 2 2 7 2 2 11 2" xfId="18269" xr:uid="{00000000-0005-0000-0000-00006A470000}"/>
    <cellStyle name="Positive 2 2 7 2 2 12" xfId="18270" xr:uid="{00000000-0005-0000-0000-00006B470000}"/>
    <cellStyle name="Positive 2 2 7 2 2 12 2" xfId="18271" xr:uid="{00000000-0005-0000-0000-00006C470000}"/>
    <cellStyle name="Positive 2 2 7 2 2 13" xfId="18272" xr:uid="{00000000-0005-0000-0000-00006D470000}"/>
    <cellStyle name="Positive 2 2 7 2 2 13 2" xfId="18273" xr:uid="{00000000-0005-0000-0000-00006E470000}"/>
    <cellStyle name="Positive 2 2 7 2 2 14" xfId="18274" xr:uid="{00000000-0005-0000-0000-00006F470000}"/>
    <cellStyle name="Positive 2 2 7 2 2 14 2" xfId="18275" xr:uid="{00000000-0005-0000-0000-000070470000}"/>
    <cellStyle name="Positive 2 2 7 2 2 15" xfId="18276" xr:uid="{00000000-0005-0000-0000-000071470000}"/>
    <cellStyle name="Positive 2 2 7 2 2 15 2" xfId="18277" xr:uid="{00000000-0005-0000-0000-000072470000}"/>
    <cellStyle name="Positive 2 2 7 2 2 16" xfId="18278" xr:uid="{00000000-0005-0000-0000-000073470000}"/>
    <cellStyle name="Positive 2 2 7 2 2 16 2" xfId="18279" xr:uid="{00000000-0005-0000-0000-000074470000}"/>
    <cellStyle name="Positive 2 2 7 2 2 17" xfId="18280" xr:uid="{00000000-0005-0000-0000-000075470000}"/>
    <cellStyle name="Positive 2 2 7 2 2 2" xfId="18281" xr:uid="{00000000-0005-0000-0000-000076470000}"/>
    <cellStyle name="Positive 2 2 7 2 2 2 2" xfId="18282" xr:uid="{00000000-0005-0000-0000-000077470000}"/>
    <cellStyle name="Positive 2 2 7 2 2 3" xfId="18283" xr:uid="{00000000-0005-0000-0000-000078470000}"/>
    <cellStyle name="Positive 2 2 7 2 2 3 2" xfId="18284" xr:uid="{00000000-0005-0000-0000-000079470000}"/>
    <cellStyle name="Positive 2 2 7 2 2 4" xfId="18285" xr:uid="{00000000-0005-0000-0000-00007A470000}"/>
    <cellStyle name="Positive 2 2 7 2 2 4 2" xfId="18286" xr:uid="{00000000-0005-0000-0000-00007B470000}"/>
    <cellStyle name="Positive 2 2 7 2 2 5" xfId="18287" xr:uid="{00000000-0005-0000-0000-00007C470000}"/>
    <cellStyle name="Positive 2 2 7 2 2 5 2" xfId="18288" xr:uid="{00000000-0005-0000-0000-00007D470000}"/>
    <cellStyle name="Positive 2 2 7 2 2 6" xfId="18289" xr:uid="{00000000-0005-0000-0000-00007E470000}"/>
    <cellStyle name="Positive 2 2 7 2 2 6 2" xfId="18290" xr:uid="{00000000-0005-0000-0000-00007F470000}"/>
    <cellStyle name="Positive 2 2 7 2 2 7" xfId="18291" xr:uid="{00000000-0005-0000-0000-000080470000}"/>
    <cellStyle name="Positive 2 2 7 2 2 7 2" xfId="18292" xr:uid="{00000000-0005-0000-0000-000081470000}"/>
    <cellStyle name="Positive 2 2 7 2 2 8" xfId="18293" xr:uid="{00000000-0005-0000-0000-000082470000}"/>
    <cellStyle name="Positive 2 2 7 2 2 8 2" xfId="18294" xr:uid="{00000000-0005-0000-0000-000083470000}"/>
    <cellStyle name="Positive 2 2 7 2 2 9" xfId="18295" xr:uid="{00000000-0005-0000-0000-000084470000}"/>
    <cellStyle name="Positive 2 2 7 2 2 9 2" xfId="18296" xr:uid="{00000000-0005-0000-0000-000085470000}"/>
    <cellStyle name="Positive 2 2 7 2 20" xfId="18297" xr:uid="{00000000-0005-0000-0000-000086470000}"/>
    <cellStyle name="Positive 2 2 7 2 3" xfId="18298" xr:uid="{00000000-0005-0000-0000-000087470000}"/>
    <cellStyle name="Positive 2 2 7 2 3 2" xfId="18299" xr:uid="{00000000-0005-0000-0000-000088470000}"/>
    <cellStyle name="Positive 2 2 7 2 3 2 2" xfId="18300" xr:uid="{00000000-0005-0000-0000-000089470000}"/>
    <cellStyle name="Positive 2 2 7 2 3 3" xfId="18301" xr:uid="{00000000-0005-0000-0000-00008A470000}"/>
    <cellStyle name="Positive 2 2 7 2 4" xfId="18302" xr:uid="{00000000-0005-0000-0000-00008B470000}"/>
    <cellStyle name="Positive 2 2 7 2 4 2" xfId="18303" xr:uid="{00000000-0005-0000-0000-00008C470000}"/>
    <cellStyle name="Positive 2 2 7 2 4 2 2" xfId="18304" xr:uid="{00000000-0005-0000-0000-00008D470000}"/>
    <cellStyle name="Positive 2 2 7 2 4 3" xfId="18305" xr:uid="{00000000-0005-0000-0000-00008E470000}"/>
    <cellStyle name="Positive 2 2 7 2 5" xfId="18306" xr:uid="{00000000-0005-0000-0000-00008F470000}"/>
    <cellStyle name="Positive 2 2 7 2 5 2" xfId="18307" xr:uid="{00000000-0005-0000-0000-000090470000}"/>
    <cellStyle name="Positive 2 2 7 2 6" xfId="18308" xr:uid="{00000000-0005-0000-0000-000091470000}"/>
    <cellStyle name="Positive 2 2 7 2 6 2" xfId="18309" xr:uid="{00000000-0005-0000-0000-000092470000}"/>
    <cellStyle name="Positive 2 2 7 2 7" xfId="18310" xr:uid="{00000000-0005-0000-0000-000093470000}"/>
    <cellStyle name="Positive 2 2 7 2 7 2" xfId="18311" xr:uid="{00000000-0005-0000-0000-000094470000}"/>
    <cellStyle name="Positive 2 2 7 2 8" xfId="18312" xr:uid="{00000000-0005-0000-0000-000095470000}"/>
    <cellStyle name="Positive 2 2 7 2 8 2" xfId="18313" xr:uid="{00000000-0005-0000-0000-000096470000}"/>
    <cellStyle name="Positive 2 2 7 2 9" xfId="18314" xr:uid="{00000000-0005-0000-0000-000097470000}"/>
    <cellStyle name="Positive 2 2 7 2 9 2" xfId="18315" xr:uid="{00000000-0005-0000-0000-000098470000}"/>
    <cellStyle name="Positive 2 2 7 20" xfId="18316" xr:uid="{00000000-0005-0000-0000-000099470000}"/>
    <cellStyle name="Positive 2 2 7 20 2" xfId="18317" xr:uid="{00000000-0005-0000-0000-00009A470000}"/>
    <cellStyle name="Positive 2 2 7 21" xfId="18318" xr:uid="{00000000-0005-0000-0000-00009B470000}"/>
    <cellStyle name="Positive 2 2 7 21 2" xfId="18319" xr:uid="{00000000-0005-0000-0000-00009C470000}"/>
    <cellStyle name="Positive 2 2 7 22" xfId="18320" xr:uid="{00000000-0005-0000-0000-00009D470000}"/>
    <cellStyle name="Positive 2 2 7 22 2" xfId="18321" xr:uid="{00000000-0005-0000-0000-00009E470000}"/>
    <cellStyle name="Positive 2 2 7 23" xfId="18322" xr:uid="{00000000-0005-0000-0000-00009F470000}"/>
    <cellStyle name="Positive 2 2 7 3" xfId="18323" xr:uid="{00000000-0005-0000-0000-0000A0470000}"/>
    <cellStyle name="Positive 2 2 7 3 10" xfId="18324" xr:uid="{00000000-0005-0000-0000-0000A1470000}"/>
    <cellStyle name="Positive 2 2 7 3 10 2" xfId="18325" xr:uid="{00000000-0005-0000-0000-0000A2470000}"/>
    <cellStyle name="Positive 2 2 7 3 11" xfId="18326" xr:uid="{00000000-0005-0000-0000-0000A3470000}"/>
    <cellStyle name="Positive 2 2 7 3 11 2" xfId="18327" xr:uid="{00000000-0005-0000-0000-0000A4470000}"/>
    <cellStyle name="Positive 2 2 7 3 12" xfId="18328" xr:uid="{00000000-0005-0000-0000-0000A5470000}"/>
    <cellStyle name="Positive 2 2 7 3 12 2" xfId="18329" xr:uid="{00000000-0005-0000-0000-0000A6470000}"/>
    <cellStyle name="Positive 2 2 7 3 13" xfId="18330" xr:uid="{00000000-0005-0000-0000-0000A7470000}"/>
    <cellStyle name="Positive 2 2 7 3 13 2" xfId="18331" xr:uid="{00000000-0005-0000-0000-0000A8470000}"/>
    <cellStyle name="Positive 2 2 7 3 14" xfId="18332" xr:uid="{00000000-0005-0000-0000-0000A9470000}"/>
    <cellStyle name="Positive 2 2 7 3 14 2" xfId="18333" xr:uid="{00000000-0005-0000-0000-0000AA470000}"/>
    <cellStyle name="Positive 2 2 7 3 15" xfId="18334" xr:uid="{00000000-0005-0000-0000-0000AB470000}"/>
    <cellStyle name="Positive 2 2 7 3 15 2" xfId="18335" xr:uid="{00000000-0005-0000-0000-0000AC470000}"/>
    <cellStyle name="Positive 2 2 7 3 16" xfId="18336" xr:uid="{00000000-0005-0000-0000-0000AD470000}"/>
    <cellStyle name="Positive 2 2 7 3 16 2" xfId="18337" xr:uid="{00000000-0005-0000-0000-0000AE470000}"/>
    <cellStyle name="Positive 2 2 7 3 17" xfId="18338" xr:uid="{00000000-0005-0000-0000-0000AF470000}"/>
    <cellStyle name="Positive 2 2 7 3 17 2" xfId="18339" xr:uid="{00000000-0005-0000-0000-0000B0470000}"/>
    <cellStyle name="Positive 2 2 7 3 18" xfId="18340" xr:uid="{00000000-0005-0000-0000-0000B1470000}"/>
    <cellStyle name="Positive 2 2 7 3 18 2" xfId="18341" xr:uid="{00000000-0005-0000-0000-0000B2470000}"/>
    <cellStyle name="Positive 2 2 7 3 19" xfId="18342" xr:uid="{00000000-0005-0000-0000-0000B3470000}"/>
    <cellStyle name="Positive 2 2 7 3 19 2" xfId="18343" xr:uid="{00000000-0005-0000-0000-0000B4470000}"/>
    <cellStyle name="Positive 2 2 7 3 2" xfId="18344" xr:uid="{00000000-0005-0000-0000-0000B5470000}"/>
    <cellStyle name="Positive 2 2 7 3 2 10" xfId="18345" xr:uid="{00000000-0005-0000-0000-0000B6470000}"/>
    <cellStyle name="Positive 2 2 7 3 2 10 2" xfId="18346" xr:uid="{00000000-0005-0000-0000-0000B7470000}"/>
    <cellStyle name="Positive 2 2 7 3 2 11" xfId="18347" xr:uid="{00000000-0005-0000-0000-0000B8470000}"/>
    <cellStyle name="Positive 2 2 7 3 2 11 2" xfId="18348" xr:uid="{00000000-0005-0000-0000-0000B9470000}"/>
    <cellStyle name="Positive 2 2 7 3 2 12" xfId="18349" xr:uid="{00000000-0005-0000-0000-0000BA470000}"/>
    <cellStyle name="Positive 2 2 7 3 2 12 2" xfId="18350" xr:uid="{00000000-0005-0000-0000-0000BB470000}"/>
    <cellStyle name="Positive 2 2 7 3 2 13" xfId="18351" xr:uid="{00000000-0005-0000-0000-0000BC470000}"/>
    <cellStyle name="Positive 2 2 7 3 2 13 2" xfId="18352" xr:uid="{00000000-0005-0000-0000-0000BD470000}"/>
    <cellStyle name="Positive 2 2 7 3 2 14" xfId="18353" xr:uid="{00000000-0005-0000-0000-0000BE470000}"/>
    <cellStyle name="Positive 2 2 7 3 2 14 2" xfId="18354" xr:uid="{00000000-0005-0000-0000-0000BF470000}"/>
    <cellStyle name="Positive 2 2 7 3 2 15" xfId="18355" xr:uid="{00000000-0005-0000-0000-0000C0470000}"/>
    <cellStyle name="Positive 2 2 7 3 2 15 2" xfId="18356" xr:uid="{00000000-0005-0000-0000-0000C1470000}"/>
    <cellStyle name="Positive 2 2 7 3 2 16" xfId="18357" xr:uid="{00000000-0005-0000-0000-0000C2470000}"/>
    <cellStyle name="Positive 2 2 7 3 2 16 2" xfId="18358" xr:uid="{00000000-0005-0000-0000-0000C3470000}"/>
    <cellStyle name="Positive 2 2 7 3 2 17" xfId="18359" xr:uid="{00000000-0005-0000-0000-0000C4470000}"/>
    <cellStyle name="Positive 2 2 7 3 2 2" xfId="18360" xr:uid="{00000000-0005-0000-0000-0000C5470000}"/>
    <cellStyle name="Positive 2 2 7 3 2 2 2" xfId="18361" xr:uid="{00000000-0005-0000-0000-0000C6470000}"/>
    <cellStyle name="Positive 2 2 7 3 2 3" xfId="18362" xr:uid="{00000000-0005-0000-0000-0000C7470000}"/>
    <cellStyle name="Positive 2 2 7 3 2 3 2" xfId="18363" xr:uid="{00000000-0005-0000-0000-0000C8470000}"/>
    <cellStyle name="Positive 2 2 7 3 2 4" xfId="18364" xr:uid="{00000000-0005-0000-0000-0000C9470000}"/>
    <cellStyle name="Positive 2 2 7 3 2 4 2" xfId="18365" xr:uid="{00000000-0005-0000-0000-0000CA470000}"/>
    <cellStyle name="Positive 2 2 7 3 2 5" xfId="18366" xr:uid="{00000000-0005-0000-0000-0000CB470000}"/>
    <cellStyle name="Positive 2 2 7 3 2 5 2" xfId="18367" xr:uid="{00000000-0005-0000-0000-0000CC470000}"/>
    <cellStyle name="Positive 2 2 7 3 2 6" xfId="18368" xr:uid="{00000000-0005-0000-0000-0000CD470000}"/>
    <cellStyle name="Positive 2 2 7 3 2 6 2" xfId="18369" xr:uid="{00000000-0005-0000-0000-0000CE470000}"/>
    <cellStyle name="Positive 2 2 7 3 2 7" xfId="18370" xr:uid="{00000000-0005-0000-0000-0000CF470000}"/>
    <cellStyle name="Positive 2 2 7 3 2 7 2" xfId="18371" xr:uid="{00000000-0005-0000-0000-0000D0470000}"/>
    <cellStyle name="Positive 2 2 7 3 2 8" xfId="18372" xr:uid="{00000000-0005-0000-0000-0000D1470000}"/>
    <cellStyle name="Positive 2 2 7 3 2 8 2" xfId="18373" xr:uid="{00000000-0005-0000-0000-0000D2470000}"/>
    <cellStyle name="Positive 2 2 7 3 2 9" xfId="18374" xr:uid="{00000000-0005-0000-0000-0000D3470000}"/>
    <cellStyle name="Positive 2 2 7 3 2 9 2" xfId="18375" xr:uid="{00000000-0005-0000-0000-0000D4470000}"/>
    <cellStyle name="Positive 2 2 7 3 20" xfId="18376" xr:uid="{00000000-0005-0000-0000-0000D5470000}"/>
    <cellStyle name="Positive 2 2 7 3 3" xfId="18377" xr:uid="{00000000-0005-0000-0000-0000D6470000}"/>
    <cellStyle name="Positive 2 2 7 3 3 2" xfId="18378" xr:uid="{00000000-0005-0000-0000-0000D7470000}"/>
    <cellStyle name="Positive 2 2 7 3 3 2 2" xfId="18379" xr:uid="{00000000-0005-0000-0000-0000D8470000}"/>
    <cellStyle name="Positive 2 2 7 3 3 3" xfId="18380" xr:uid="{00000000-0005-0000-0000-0000D9470000}"/>
    <cellStyle name="Positive 2 2 7 3 4" xfId="18381" xr:uid="{00000000-0005-0000-0000-0000DA470000}"/>
    <cellStyle name="Positive 2 2 7 3 4 2" xfId="18382" xr:uid="{00000000-0005-0000-0000-0000DB470000}"/>
    <cellStyle name="Positive 2 2 7 3 4 2 2" xfId="18383" xr:uid="{00000000-0005-0000-0000-0000DC470000}"/>
    <cellStyle name="Positive 2 2 7 3 4 3" xfId="18384" xr:uid="{00000000-0005-0000-0000-0000DD470000}"/>
    <cellStyle name="Positive 2 2 7 3 5" xfId="18385" xr:uid="{00000000-0005-0000-0000-0000DE470000}"/>
    <cellStyle name="Positive 2 2 7 3 5 2" xfId="18386" xr:uid="{00000000-0005-0000-0000-0000DF470000}"/>
    <cellStyle name="Positive 2 2 7 3 6" xfId="18387" xr:uid="{00000000-0005-0000-0000-0000E0470000}"/>
    <cellStyle name="Positive 2 2 7 3 6 2" xfId="18388" xr:uid="{00000000-0005-0000-0000-0000E1470000}"/>
    <cellStyle name="Positive 2 2 7 3 7" xfId="18389" xr:uid="{00000000-0005-0000-0000-0000E2470000}"/>
    <cellStyle name="Positive 2 2 7 3 7 2" xfId="18390" xr:uid="{00000000-0005-0000-0000-0000E3470000}"/>
    <cellStyle name="Positive 2 2 7 3 8" xfId="18391" xr:uid="{00000000-0005-0000-0000-0000E4470000}"/>
    <cellStyle name="Positive 2 2 7 3 8 2" xfId="18392" xr:uid="{00000000-0005-0000-0000-0000E5470000}"/>
    <cellStyle name="Positive 2 2 7 3 9" xfId="18393" xr:uid="{00000000-0005-0000-0000-0000E6470000}"/>
    <cellStyle name="Positive 2 2 7 3 9 2" xfId="18394" xr:uid="{00000000-0005-0000-0000-0000E7470000}"/>
    <cellStyle name="Positive 2 2 7 4" xfId="18395" xr:uid="{00000000-0005-0000-0000-0000E8470000}"/>
    <cellStyle name="Positive 2 2 7 4 10" xfId="18396" xr:uid="{00000000-0005-0000-0000-0000E9470000}"/>
    <cellStyle name="Positive 2 2 7 4 10 2" xfId="18397" xr:uid="{00000000-0005-0000-0000-0000EA470000}"/>
    <cellStyle name="Positive 2 2 7 4 11" xfId="18398" xr:uid="{00000000-0005-0000-0000-0000EB470000}"/>
    <cellStyle name="Positive 2 2 7 4 11 2" xfId="18399" xr:uid="{00000000-0005-0000-0000-0000EC470000}"/>
    <cellStyle name="Positive 2 2 7 4 12" xfId="18400" xr:uid="{00000000-0005-0000-0000-0000ED470000}"/>
    <cellStyle name="Positive 2 2 7 4 12 2" xfId="18401" xr:uid="{00000000-0005-0000-0000-0000EE470000}"/>
    <cellStyle name="Positive 2 2 7 4 13" xfId="18402" xr:uid="{00000000-0005-0000-0000-0000EF470000}"/>
    <cellStyle name="Positive 2 2 7 4 13 2" xfId="18403" xr:uid="{00000000-0005-0000-0000-0000F0470000}"/>
    <cellStyle name="Positive 2 2 7 4 14" xfId="18404" xr:uid="{00000000-0005-0000-0000-0000F1470000}"/>
    <cellStyle name="Positive 2 2 7 4 14 2" xfId="18405" xr:uid="{00000000-0005-0000-0000-0000F2470000}"/>
    <cellStyle name="Positive 2 2 7 4 15" xfId="18406" xr:uid="{00000000-0005-0000-0000-0000F3470000}"/>
    <cellStyle name="Positive 2 2 7 4 15 2" xfId="18407" xr:uid="{00000000-0005-0000-0000-0000F4470000}"/>
    <cellStyle name="Positive 2 2 7 4 16" xfId="18408" xr:uid="{00000000-0005-0000-0000-0000F5470000}"/>
    <cellStyle name="Positive 2 2 7 4 16 2" xfId="18409" xr:uid="{00000000-0005-0000-0000-0000F6470000}"/>
    <cellStyle name="Positive 2 2 7 4 17" xfId="18410" xr:uid="{00000000-0005-0000-0000-0000F7470000}"/>
    <cellStyle name="Positive 2 2 7 4 17 2" xfId="18411" xr:uid="{00000000-0005-0000-0000-0000F8470000}"/>
    <cellStyle name="Positive 2 2 7 4 18" xfId="18412" xr:uid="{00000000-0005-0000-0000-0000F9470000}"/>
    <cellStyle name="Positive 2 2 7 4 18 2" xfId="18413" xr:uid="{00000000-0005-0000-0000-0000FA470000}"/>
    <cellStyle name="Positive 2 2 7 4 19" xfId="18414" xr:uid="{00000000-0005-0000-0000-0000FB470000}"/>
    <cellStyle name="Positive 2 2 7 4 19 2" xfId="18415" xr:uid="{00000000-0005-0000-0000-0000FC470000}"/>
    <cellStyle name="Positive 2 2 7 4 2" xfId="18416" xr:uid="{00000000-0005-0000-0000-0000FD470000}"/>
    <cellStyle name="Positive 2 2 7 4 2 10" xfId="18417" xr:uid="{00000000-0005-0000-0000-0000FE470000}"/>
    <cellStyle name="Positive 2 2 7 4 2 10 2" xfId="18418" xr:uid="{00000000-0005-0000-0000-0000FF470000}"/>
    <cellStyle name="Positive 2 2 7 4 2 11" xfId="18419" xr:uid="{00000000-0005-0000-0000-000000480000}"/>
    <cellStyle name="Positive 2 2 7 4 2 11 2" xfId="18420" xr:uid="{00000000-0005-0000-0000-000001480000}"/>
    <cellStyle name="Positive 2 2 7 4 2 12" xfId="18421" xr:uid="{00000000-0005-0000-0000-000002480000}"/>
    <cellStyle name="Positive 2 2 7 4 2 12 2" xfId="18422" xr:uid="{00000000-0005-0000-0000-000003480000}"/>
    <cellStyle name="Positive 2 2 7 4 2 13" xfId="18423" xr:uid="{00000000-0005-0000-0000-000004480000}"/>
    <cellStyle name="Positive 2 2 7 4 2 13 2" xfId="18424" xr:uid="{00000000-0005-0000-0000-000005480000}"/>
    <cellStyle name="Positive 2 2 7 4 2 14" xfId="18425" xr:uid="{00000000-0005-0000-0000-000006480000}"/>
    <cellStyle name="Positive 2 2 7 4 2 14 2" xfId="18426" xr:uid="{00000000-0005-0000-0000-000007480000}"/>
    <cellStyle name="Positive 2 2 7 4 2 15" xfId="18427" xr:uid="{00000000-0005-0000-0000-000008480000}"/>
    <cellStyle name="Positive 2 2 7 4 2 15 2" xfId="18428" xr:uid="{00000000-0005-0000-0000-000009480000}"/>
    <cellStyle name="Positive 2 2 7 4 2 16" xfId="18429" xr:uid="{00000000-0005-0000-0000-00000A480000}"/>
    <cellStyle name="Positive 2 2 7 4 2 16 2" xfId="18430" xr:uid="{00000000-0005-0000-0000-00000B480000}"/>
    <cellStyle name="Positive 2 2 7 4 2 17" xfId="18431" xr:uid="{00000000-0005-0000-0000-00000C480000}"/>
    <cellStyle name="Positive 2 2 7 4 2 2" xfId="18432" xr:uid="{00000000-0005-0000-0000-00000D480000}"/>
    <cellStyle name="Positive 2 2 7 4 2 2 2" xfId="18433" xr:uid="{00000000-0005-0000-0000-00000E480000}"/>
    <cellStyle name="Positive 2 2 7 4 2 3" xfId="18434" xr:uid="{00000000-0005-0000-0000-00000F480000}"/>
    <cellStyle name="Positive 2 2 7 4 2 3 2" xfId="18435" xr:uid="{00000000-0005-0000-0000-000010480000}"/>
    <cellStyle name="Positive 2 2 7 4 2 4" xfId="18436" xr:uid="{00000000-0005-0000-0000-000011480000}"/>
    <cellStyle name="Positive 2 2 7 4 2 4 2" xfId="18437" xr:uid="{00000000-0005-0000-0000-000012480000}"/>
    <cellStyle name="Positive 2 2 7 4 2 5" xfId="18438" xr:uid="{00000000-0005-0000-0000-000013480000}"/>
    <cellStyle name="Positive 2 2 7 4 2 5 2" xfId="18439" xr:uid="{00000000-0005-0000-0000-000014480000}"/>
    <cellStyle name="Positive 2 2 7 4 2 6" xfId="18440" xr:uid="{00000000-0005-0000-0000-000015480000}"/>
    <cellStyle name="Positive 2 2 7 4 2 6 2" xfId="18441" xr:uid="{00000000-0005-0000-0000-000016480000}"/>
    <cellStyle name="Positive 2 2 7 4 2 7" xfId="18442" xr:uid="{00000000-0005-0000-0000-000017480000}"/>
    <cellStyle name="Positive 2 2 7 4 2 7 2" xfId="18443" xr:uid="{00000000-0005-0000-0000-000018480000}"/>
    <cellStyle name="Positive 2 2 7 4 2 8" xfId="18444" xr:uid="{00000000-0005-0000-0000-000019480000}"/>
    <cellStyle name="Positive 2 2 7 4 2 8 2" xfId="18445" xr:uid="{00000000-0005-0000-0000-00001A480000}"/>
    <cellStyle name="Positive 2 2 7 4 2 9" xfId="18446" xr:uid="{00000000-0005-0000-0000-00001B480000}"/>
    <cellStyle name="Positive 2 2 7 4 2 9 2" xfId="18447" xr:uid="{00000000-0005-0000-0000-00001C480000}"/>
    <cellStyle name="Positive 2 2 7 4 20" xfId="18448" xr:uid="{00000000-0005-0000-0000-00001D480000}"/>
    <cellStyle name="Positive 2 2 7 4 3" xfId="18449" xr:uid="{00000000-0005-0000-0000-00001E480000}"/>
    <cellStyle name="Positive 2 2 7 4 3 2" xfId="18450" xr:uid="{00000000-0005-0000-0000-00001F480000}"/>
    <cellStyle name="Positive 2 2 7 4 3 2 2" xfId="18451" xr:uid="{00000000-0005-0000-0000-000020480000}"/>
    <cellStyle name="Positive 2 2 7 4 3 3" xfId="18452" xr:uid="{00000000-0005-0000-0000-000021480000}"/>
    <cellStyle name="Positive 2 2 7 4 4" xfId="18453" xr:uid="{00000000-0005-0000-0000-000022480000}"/>
    <cellStyle name="Positive 2 2 7 4 4 2" xfId="18454" xr:uid="{00000000-0005-0000-0000-000023480000}"/>
    <cellStyle name="Positive 2 2 7 4 4 2 2" xfId="18455" xr:uid="{00000000-0005-0000-0000-000024480000}"/>
    <cellStyle name="Positive 2 2 7 4 4 3" xfId="18456" xr:uid="{00000000-0005-0000-0000-000025480000}"/>
    <cellStyle name="Positive 2 2 7 4 5" xfId="18457" xr:uid="{00000000-0005-0000-0000-000026480000}"/>
    <cellStyle name="Positive 2 2 7 4 5 2" xfId="18458" xr:uid="{00000000-0005-0000-0000-000027480000}"/>
    <cellStyle name="Positive 2 2 7 4 6" xfId="18459" xr:uid="{00000000-0005-0000-0000-000028480000}"/>
    <cellStyle name="Positive 2 2 7 4 6 2" xfId="18460" xr:uid="{00000000-0005-0000-0000-000029480000}"/>
    <cellStyle name="Positive 2 2 7 4 7" xfId="18461" xr:uid="{00000000-0005-0000-0000-00002A480000}"/>
    <cellStyle name="Positive 2 2 7 4 7 2" xfId="18462" xr:uid="{00000000-0005-0000-0000-00002B480000}"/>
    <cellStyle name="Positive 2 2 7 4 8" xfId="18463" xr:uid="{00000000-0005-0000-0000-00002C480000}"/>
    <cellStyle name="Positive 2 2 7 4 8 2" xfId="18464" xr:uid="{00000000-0005-0000-0000-00002D480000}"/>
    <cellStyle name="Positive 2 2 7 4 9" xfId="18465" xr:uid="{00000000-0005-0000-0000-00002E480000}"/>
    <cellStyle name="Positive 2 2 7 4 9 2" xfId="18466" xr:uid="{00000000-0005-0000-0000-00002F480000}"/>
    <cellStyle name="Positive 2 2 7 5" xfId="18467" xr:uid="{00000000-0005-0000-0000-000030480000}"/>
    <cellStyle name="Positive 2 2 7 5 10" xfId="18468" xr:uid="{00000000-0005-0000-0000-000031480000}"/>
    <cellStyle name="Positive 2 2 7 5 10 2" xfId="18469" xr:uid="{00000000-0005-0000-0000-000032480000}"/>
    <cellStyle name="Positive 2 2 7 5 11" xfId="18470" xr:uid="{00000000-0005-0000-0000-000033480000}"/>
    <cellStyle name="Positive 2 2 7 5 11 2" xfId="18471" xr:uid="{00000000-0005-0000-0000-000034480000}"/>
    <cellStyle name="Positive 2 2 7 5 12" xfId="18472" xr:uid="{00000000-0005-0000-0000-000035480000}"/>
    <cellStyle name="Positive 2 2 7 5 12 2" xfId="18473" xr:uid="{00000000-0005-0000-0000-000036480000}"/>
    <cellStyle name="Positive 2 2 7 5 13" xfId="18474" xr:uid="{00000000-0005-0000-0000-000037480000}"/>
    <cellStyle name="Positive 2 2 7 5 13 2" xfId="18475" xr:uid="{00000000-0005-0000-0000-000038480000}"/>
    <cellStyle name="Positive 2 2 7 5 14" xfId="18476" xr:uid="{00000000-0005-0000-0000-000039480000}"/>
    <cellStyle name="Positive 2 2 7 5 14 2" xfId="18477" xr:uid="{00000000-0005-0000-0000-00003A480000}"/>
    <cellStyle name="Positive 2 2 7 5 15" xfId="18478" xr:uid="{00000000-0005-0000-0000-00003B480000}"/>
    <cellStyle name="Positive 2 2 7 5 15 2" xfId="18479" xr:uid="{00000000-0005-0000-0000-00003C480000}"/>
    <cellStyle name="Positive 2 2 7 5 16" xfId="18480" xr:uid="{00000000-0005-0000-0000-00003D480000}"/>
    <cellStyle name="Positive 2 2 7 5 16 2" xfId="18481" xr:uid="{00000000-0005-0000-0000-00003E480000}"/>
    <cellStyle name="Positive 2 2 7 5 17" xfId="18482" xr:uid="{00000000-0005-0000-0000-00003F480000}"/>
    <cellStyle name="Positive 2 2 7 5 2" xfId="18483" xr:uid="{00000000-0005-0000-0000-000040480000}"/>
    <cellStyle name="Positive 2 2 7 5 2 2" xfId="18484" xr:uid="{00000000-0005-0000-0000-000041480000}"/>
    <cellStyle name="Positive 2 2 7 5 3" xfId="18485" xr:uid="{00000000-0005-0000-0000-000042480000}"/>
    <cellStyle name="Positive 2 2 7 5 3 2" xfId="18486" xr:uid="{00000000-0005-0000-0000-000043480000}"/>
    <cellStyle name="Positive 2 2 7 5 4" xfId="18487" xr:uid="{00000000-0005-0000-0000-000044480000}"/>
    <cellStyle name="Positive 2 2 7 5 4 2" xfId="18488" xr:uid="{00000000-0005-0000-0000-000045480000}"/>
    <cellStyle name="Positive 2 2 7 5 5" xfId="18489" xr:uid="{00000000-0005-0000-0000-000046480000}"/>
    <cellStyle name="Positive 2 2 7 5 5 2" xfId="18490" xr:uid="{00000000-0005-0000-0000-000047480000}"/>
    <cellStyle name="Positive 2 2 7 5 6" xfId="18491" xr:uid="{00000000-0005-0000-0000-000048480000}"/>
    <cellStyle name="Positive 2 2 7 5 6 2" xfId="18492" xr:uid="{00000000-0005-0000-0000-000049480000}"/>
    <cellStyle name="Positive 2 2 7 5 7" xfId="18493" xr:uid="{00000000-0005-0000-0000-00004A480000}"/>
    <cellStyle name="Positive 2 2 7 5 7 2" xfId="18494" xr:uid="{00000000-0005-0000-0000-00004B480000}"/>
    <cellStyle name="Positive 2 2 7 5 8" xfId="18495" xr:uid="{00000000-0005-0000-0000-00004C480000}"/>
    <cellStyle name="Positive 2 2 7 5 8 2" xfId="18496" xr:uid="{00000000-0005-0000-0000-00004D480000}"/>
    <cellStyle name="Positive 2 2 7 5 9" xfId="18497" xr:uid="{00000000-0005-0000-0000-00004E480000}"/>
    <cellStyle name="Positive 2 2 7 5 9 2" xfId="18498" xr:uid="{00000000-0005-0000-0000-00004F480000}"/>
    <cellStyle name="Positive 2 2 7 6" xfId="18499" xr:uid="{00000000-0005-0000-0000-000050480000}"/>
    <cellStyle name="Positive 2 2 7 6 2" xfId="18500" xr:uid="{00000000-0005-0000-0000-000051480000}"/>
    <cellStyle name="Positive 2 2 7 6 2 2" xfId="18501" xr:uid="{00000000-0005-0000-0000-000052480000}"/>
    <cellStyle name="Positive 2 2 7 6 3" xfId="18502" xr:uid="{00000000-0005-0000-0000-000053480000}"/>
    <cellStyle name="Positive 2 2 7 7" xfId="18503" xr:uid="{00000000-0005-0000-0000-000054480000}"/>
    <cellStyle name="Positive 2 2 7 7 2" xfId="18504" xr:uid="{00000000-0005-0000-0000-000055480000}"/>
    <cellStyle name="Positive 2 2 7 7 2 2" xfId="18505" xr:uid="{00000000-0005-0000-0000-000056480000}"/>
    <cellStyle name="Positive 2 2 7 7 3" xfId="18506" xr:uid="{00000000-0005-0000-0000-000057480000}"/>
    <cellStyle name="Positive 2 2 7 8" xfId="18507" xr:uid="{00000000-0005-0000-0000-000058480000}"/>
    <cellStyle name="Positive 2 2 7 8 2" xfId="18508" xr:uid="{00000000-0005-0000-0000-000059480000}"/>
    <cellStyle name="Positive 2 2 7 9" xfId="18509" xr:uid="{00000000-0005-0000-0000-00005A480000}"/>
    <cellStyle name="Positive 2 2 7 9 2" xfId="18510" xr:uid="{00000000-0005-0000-0000-00005B480000}"/>
    <cellStyle name="Positive 2 2 8" xfId="18511" xr:uid="{00000000-0005-0000-0000-00005C480000}"/>
    <cellStyle name="Positive 2 2 8 10" xfId="18512" xr:uid="{00000000-0005-0000-0000-00005D480000}"/>
    <cellStyle name="Positive 2 2 8 10 2" xfId="18513" xr:uid="{00000000-0005-0000-0000-00005E480000}"/>
    <cellStyle name="Positive 2 2 8 11" xfId="18514" xr:uid="{00000000-0005-0000-0000-00005F480000}"/>
    <cellStyle name="Positive 2 2 8 11 2" xfId="18515" xr:uid="{00000000-0005-0000-0000-000060480000}"/>
    <cellStyle name="Positive 2 2 8 12" xfId="18516" xr:uid="{00000000-0005-0000-0000-000061480000}"/>
    <cellStyle name="Positive 2 2 8 12 2" xfId="18517" xr:uid="{00000000-0005-0000-0000-000062480000}"/>
    <cellStyle name="Positive 2 2 8 13" xfId="18518" xr:uid="{00000000-0005-0000-0000-000063480000}"/>
    <cellStyle name="Positive 2 2 8 13 2" xfId="18519" xr:uid="{00000000-0005-0000-0000-000064480000}"/>
    <cellStyle name="Positive 2 2 8 14" xfId="18520" xr:uid="{00000000-0005-0000-0000-000065480000}"/>
    <cellStyle name="Positive 2 2 8 14 2" xfId="18521" xr:uid="{00000000-0005-0000-0000-000066480000}"/>
    <cellStyle name="Positive 2 2 8 15" xfId="18522" xr:uid="{00000000-0005-0000-0000-000067480000}"/>
    <cellStyle name="Positive 2 2 8 15 2" xfId="18523" xr:uid="{00000000-0005-0000-0000-000068480000}"/>
    <cellStyle name="Positive 2 2 8 16" xfId="18524" xr:uid="{00000000-0005-0000-0000-000069480000}"/>
    <cellStyle name="Positive 2 2 8 16 2" xfId="18525" xr:uid="{00000000-0005-0000-0000-00006A480000}"/>
    <cellStyle name="Positive 2 2 8 17" xfId="18526" xr:uid="{00000000-0005-0000-0000-00006B480000}"/>
    <cellStyle name="Positive 2 2 8 17 2" xfId="18527" xr:uid="{00000000-0005-0000-0000-00006C480000}"/>
    <cellStyle name="Positive 2 2 8 18" xfId="18528" xr:uid="{00000000-0005-0000-0000-00006D480000}"/>
    <cellStyle name="Positive 2 2 8 18 2" xfId="18529" xr:uid="{00000000-0005-0000-0000-00006E480000}"/>
    <cellStyle name="Positive 2 2 8 19" xfId="18530" xr:uid="{00000000-0005-0000-0000-00006F480000}"/>
    <cellStyle name="Positive 2 2 8 19 2" xfId="18531" xr:uid="{00000000-0005-0000-0000-000070480000}"/>
    <cellStyle name="Positive 2 2 8 2" xfId="18532" xr:uid="{00000000-0005-0000-0000-000071480000}"/>
    <cellStyle name="Positive 2 2 8 2 10" xfId="18533" xr:uid="{00000000-0005-0000-0000-000072480000}"/>
    <cellStyle name="Positive 2 2 8 2 10 2" xfId="18534" xr:uid="{00000000-0005-0000-0000-000073480000}"/>
    <cellStyle name="Positive 2 2 8 2 11" xfId="18535" xr:uid="{00000000-0005-0000-0000-000074480000}"/>
    <cellStyle name="Positive 2 2 8 2 11 2" xfId="18536" xr:uid="{00000000-0005-0000-0000-000075480000}"/>
    <cellStyle name="Positive 2 2 8 2 12" xfId="18537" xr:uid="{00000000-0005-0000-0000-000076480000}"/>
    <cellStyle name="Positive 2 2 8 2 12 2" xfId="18538" xr:uid="{00000000-0005-0000-0000-000077480000}"/>
    <cellStyle name="Positive 2 2 8 2 13" xfId="18539" xr:uid="{00000000-0005-0000-0000-000078480000}"/>
    <cellStyle name="Positive 2 2 8 2 13 2" xfId="18540" xr:uid="{00000000-0005-0000-0000-000079480000}"/>
    <cellStyle name="Positive 2 2 8 2 14" xfId="18541" xr:uid="{00000000-0005-0000-0000-00007A480000}"/>
    <cellStyle name="Positive 2 2 8 2 14 2" xfId="18542" xr:uid="{00000000-0005-0000-0000-00007B480000}"/>
    <cellStyle name="Positive 2 2 8 2 15" xfId="18543" xr:uid="{00000000-0005-0000-0000-00007C480000}"/>
    <cellStyle name="Positive 2 2 8 2 15 2" xfId="18544" xr:uid="{00000000-0005-0000-0000-00007D480000}"/>
    <cellStyle name="Positive 2 2 8 2 16" xfId="18545" xr:uid="{00000000-0005-0000-0000-00007E480000}"/>
    <cellStyle name="Positive 2 2 8 2 16 2" xfId="18546" xr:uid="{00000000-0005-0000-0000-00007F480000}"/>
    <cellStyle name="Positive 2 2 8 2 17" xfId="18547" xr:uid="{00000000-0005-0000-0000-000080480000}"/>
    <cellStyle name="Positive 2 2 8 2 17 2" xfId="18548" xr:uid="{00000000-0005-0000-0000-000081480000}"/>
    <cellStyle name="Positive 2 2 8 2 18" xfId="18549" xr:uid="{00000000-0005-0000-0000-000082480000}"/>
    <cellStyle name="Positive 2 2 8 2 18 2" xfId="18550" xr:uid="{00000000-0005-0000-0000-000083480000}"/>
    <cellStyle name="Positive 2 2 8 2 19" xfId="18551" xr:uid="{00000000-0005-0000-0000-000084480000}"/>
    <cellStyle name="Positive 2 2 8 2 19 2" xfId="18552" xr:uid="{00000000-0005-0000-0000-000085480000}"/>
    <cellStyle name="Positive 2 2 8 2 2" xfId="18553" xr:uid="{00000000-0005-0000-0000-000086480000}"/>
    <cellStyle name="Positive 2 2 8 2 2 10" xfId="18554" xr:uid="{00000000-0005-0000-0000-000087480000}"/>
    <cellStyle name="Positive 2 2 8 2 2 10 2" xfId="18555" xr:uid="{00000000-0005-0000-0000-000088480000}"/>
    <cellStyle name="Positive 2 2 8 2 2 11" xfId="18556" xr:uid="{00000000-0005-0000-0000-000089480000}"/>
    <cellStyle name="Positive 2 2 8 2 2 11 2" xfId="18557" xr:uid="{00000000-0005-0000-0000-00008A480000}"/>
    <cellStyle name="Positive 2 2 8 2 2 12" xfId="18558" xr:uid="{00000000-0005-0000-0000-00008B480000}"/>
    <cellStyle name="Positive 2 2 8 2 2 12 2" xfId="18559" xr:uid="{00000000-0005-0000-0000-00008C480000}"/>
    <cellStyle name="Positive 2 2 8 2 2 13" xfId="18560" xr:uid="{00000000-0005-0000-0000-00008D480000}"/>
    <cellStyle name="Positive 2 2 8 2 2 13 2" xfId="18561" xr:uid="{00000000-0005-0000-0000-00008E480000}"/>
    <cellStyle name="Positive 2 2 8 2 2 14" xfId="18562" xr:uid="{00000000-0005-0000-0000-00008F480000}"/>
    <cellStyle name="Positive 2 2 8 2 2 14 2" xfId="18563" xr:uid="{00000000-0005-0000-0000-000090480000}"/>
    <cellStyle name="Positive 2 2 8 2 2 15" xfId="18564" xr:uid="{00000000-0005-0000-0000-000091480000}"/>
    <cellStyle name="Positive 2 2 8 2 2 15 2" xfId="18565" xr:uid="{00000000-0005-0000-0000-000092480000}"/>
    <cellStyle name="Positive 2 2 8 2 2 16" xfId="18566" xr:uid="{00000000-0005-0000-0000-000093480000}"/>
    <cellStyle name="Positive 2 2 8 2 2 16 2" xfId="18567" xr:uid="{00000000-0005-0000-0000-000094480000}"/>
    <cellStyle name="Positive 2 2 8 2 2 17" xfId="18568" xr:uid="{00000000-0005-0000-0000-000095480000}"/>
    <cellStyle name="Positive 2 2 8 2 2 2" xfId="18569" xr:uid="{00000000-0005-0000-0000-000096480000}"/>
    <cellStyle name="Positive 2 2 8 2 2 2 2" xfId="18570" xr:uid="{00000000-0005-0000-0000-000097480000}"/>
    <cellStyle name="Positive 2 2 8 2 2 3" xfId="18571" xr:uid="{00000000-0005-0000-0000-000098480000}"/>
    <cellStyle name="Positive 2 2 8 2 2 3 2" xfId="18572" xr:uid="{00000000-0005-0000-0000-000099480000}"/>
    <cellStyle name="Positive 2 2 8 2 2 4" xfId="18573" xr:uid="{00000000-0005-0000-0000-00009A480000}"/>
    <cellStyle name="Positive 2 2 8 2 2 4 2" xfId="18574" xr:uid="{00000000-0005-0000-0000-00009B480000}"/>
    <cellStyle name="Positive 2 2 8 2 2 5" xfId="18575" xr:uid="{00000000-0005-0000-0000-00009C480000}"/>
    <cellStyle name="Positive 2 2 8 2 2 5 2" xfId="18576" xr:uid="{00000000-0005-0000-0000-00009D480000}"/>
    <cellStyle name="Positive 2 2 8 2 2 6" xfId="18577" xr:uid="{00000000-0005-0000-0000-00009E480000}"/>
    <cellStyle name="Positive 2 2 8 2 2 6 2" xfId="18578" xr:uid="{00000000-0005-0000-0000-00009F480000}"/>
    <cellStyle name="Positive 2 2 8 2 2 7" xfId="18579" xr:uid="{00000000-0005-0000-0000-0000A0480000}"/>
    <cellStyle name="Positive 2 2 8 2 2 7 2" xfId="18580" xr:uid="{00000000-0005-0000-0000-0000A1480000}"/>
    <cellStyle name="Positive 2 2 8 2 2 8" xfId="18581" xr:uid="{00000000-0005-0000-0000-0000A2480000}"/>
    <cellStyle name="Positive 2 2 8 2 2 8 2" xfId="18582" xr:uid="{00000000-0005-0000-0000-0000A3480000}"/>
    <cellStyle name="Positive 2 2 8 2 2 9" xfId="18583" xr:uid="{00000000-0005-0000-0000-0000A4480000}"/>
    <cellStyle name="Positive 2 2 8 2 2 9 2" xfId="18584" xr:uid="{00000000-0005-0000-0000-0000A5480000}"/>
    <cellStyle name="Positive 2 2 8 2 20" xfId="18585" xr:uid="{00000000-0005-0000-0000-0000A6480000}"/>
    <cellStyle name="Positive 2 2 8 2 3" xfId="18586" xr:uid="{00000000-0005-0000-0000-0000A7480000}"/>
    <cellStyle name="Positive 2 2 8 2 3 2" xfId="18587" xr:uid="{00000000-0005-0000-0000-0000A8480000}"/>
    <cellStyle name="Positive 2 2 8 2 3 2 2" xfId="18588" xr:uid="{00000000-0005-0000-0000-0000A9480000}"/>
    <cellStyle name="Positive 2 2 8 2 3 3" xfId="18589" xr:uid="{00000000-0005-0000-0000-0000AA480000}"/>
    <cellStyle name="Positive 2 2 8 2 4" xfId="18590" xr:uid="{00000000-0005-0000-0000-0000AB480000}"/>
    <cellStyle name="Positive 2 2 8 2 4 2" xfId="18591" xr:uid="{00000000-0005-0000-0000-0000AC480000}"/>
    <cellStyle name="Positive 2 2 8 2 4 2 2" xfId="18592" xr:uid="{00000000-0005-0000-0000-0000AD480000}"/>
    <cellStyle name="Positive 2 2 8 2 4 3" xfId="18593" xr:uid="{00000000-0005-0000-0000-0000AE480000}"/>
    <cellStyle name="Positive 2 2 8 2 5" xfId="18594" xr:uid="{00000000-0005-0000-0000-0000AF480000}"/>
    <cellStyle name="Positive 2 2 8 2 5 2" xfId="18595" xr:uid="{00000000-0005-0000-0000-0000B0480000}"/>
    <cellStyle name="Positive 2 2 8 2 6" xfId="18596" xr:uid="{00000000-0005-0000-0000-0000B1480000}"/>
    <cellStyle name="Positive 2 2 8 2 6 2" xfId="18597" xr:uid="{00000000-0005-0000-0000-0000B2480000}"/>
    <cellStyle name="Positive 2 2 8 2 7" xfId="18598" xr:uid="{00000000-0005-0000-0000-0000B3480000}"/>
    <cellStyle name="Positive 2 2 8 2 7 2" xfId="18599" xr:uid="{00000000-0005-0000-0000-0000B4480000}"/>
    <cellStyle name="Positive 2 2 8 2 8" xfId="18600" xr:uid="{00000000-0005-0000-0000-0000B5480000}"/>
    <cellStyle name="Positive 2 2 8 2 8 2" xfId="18601" xr:uid="{00000000-0005-0000-0000-0000B6480000}"/>
    <cellStyle name="Positive 2 2 8 2 9" xfId="18602" xr:uid="{00000000-0005-0000-0000-0000B7480000}"/>
    <cellStyle name="Positive 2 2 8 2 9 2" xfId="18603" xr:uid="{00000000-0005-0000-0000-0000B8480000}"/>
    <cellStyle name="Positive 2 2 8 20" xfId="18604" xr:uid="{00000000-0005-0000-0000-0000B9480000}"/>
    <cellStyle name="Positive 2 2 8 20 2" xfId="18605" xr:uid="{00000000-0005-0000-0000-0000BA480000}"/>
    <cellStyle name="Positive 2 2 8 21" xfId="18606" xr:uid="{00000000-0005-0000-0000-0000BB480000}"/>
    <cellStyle name="Positive 2 2 8 21 2" xfId="18607" xr:uid="{00000000-0005-0000-0000-0000BC480000}"/>
    <cellStyle name="Positive 2 2 8 22" xfId="18608" xr:uid="{00000000-0005-0000-0000-0000BD480000}"/>
    <cellStyle name="Positive 2 2 8 22 2" xfId="18609" xr:uid="{00000000-0005-0000-0000-0000BE480000}"/>
    <cellStyle name="Positive 2 2 8 23" xfId="18610" xr:uid="{00000000-0005-0000-0000-0000BF480000}"/>
    <cellStyle name="Positive 2 2 8 3" xfId="18611" xr:uid="{00000000-0005-0000-0000-0000C0480000}"/>
    <cellStyle name="Positive 2 2 8 3 10" xfId="18612" xr:uid="{00000000-0005-0000-0000-0000C1480000}"/>
    <cellStyle name="Positive 2 2 8 3 10 2" xfId="18613" xr:uid="{00000000-0005-0000-0000-0000C2480000}"/>
    <cellStyle name="Positive 2 2 8 3 11" xfId="18614" xr:uid="{00000000-0005-0000-0000-0000C3480000}"/>
    <cellStyle name="Positive 2 2 8 3 11 2" xfId="18615" xr:uid="{00000000-0005-0000-0000-0000C4480000}"/>
    <cellStyle name="Positive 2 2 8 3 12" xfId="18616" xr:uid="{00000000-0005-0000-0000-0000C5480000}"/>
    <cellStyle name="Positive 2 2 8 3 12 2" xfId="18617" xr:uid="{00000000-0005-0000-0000-0000C6480000}"/>
    <cellStyle name="Positive 2 2 8 3 13" xfId="18618" xr:uid="{00000000-0005-0000-0000-0000C7480000}"/>
    <cellStyle name="Positive 2 2 8 3 13 2" xfId="18619" xr:uid="{00000000-0005-0000-0000-0000C8480000}"/>
    <cellStyle name="Positive 2 2 8 3 14" xfId="18620" xr:uid="{00000000-0005-0000-0000-0000C9480000}"/>
    <cellStyle name="Positive 2 2 8 3 14 2" xfId="18621" xr:uid="{00000000-0005-0000-0000-0000CA480000}"/>
    <cellStyle name="Positive 2 2 8 3 15" xfId="18622" xr:uid="{00000000-0005-0000-0000-0000CB480000}"/>
    <cellStyle name="Positive 2 2 8 3 15 2" xfId="18623" xr:uid="{00000000-0005-0000-0000-0000CC480000}"/>
    <cellStyle name="Positive 2 2 8 3 16" xfId="18624" xr:uid="{00000000-0005-0000-0000-0000CD480000}"/>
    <cellStyle name="Positive 2 2 8 3 16 2" xfId="18625" xr:uid="{00000000-0005-0000-0000-0000CE480000}"/>
    <cellStyle name="Positive 2 2 8 3 17" xfId="18626" xr:uid="{00000000-0005-0000-0000-0000CF480000}"/>
    <cellStyle name="Positive 2 2 8 3 17 2" xfId="18627" xr:uid="{00000000-0005-0000-0000-0000D0480000}"/>
    <cellStyle name="Positive 2 2 8 3 18" xfId="18628" xr:uid="{00000000-0005-0000-0000-0000D1480000}"/>
    <cellStyle name="Positive 2 2 8 3 18 2" xfId="18629" xr:uid="{00000000-0005-0000-0000-0000D2480000}"/>
    <cellStyle name="Positive 2 2 8 3 19" xfId="18630" xr:uid="{00000000-0005-0000-0000-0000D3480000}"/>
    <cellStyle name="Positive 2 2 8 3 19 2" xfId="18631" xr:uid="{00000000-0005-0000-0000-0000D4480000}"/>
    <cellStyle name="Positive 2 2 8 3 2" xfId="18632" xr:uid="{00000000-0005-0000-0000-0000D5480000}"/>
    <cellStyle name="Positive 2 2 8 3 2 10" xfId="18633" xr:uid="{00000000-0005-0000-0000-0000D6480000}"/>
    <cellStyle name="Positive 2 2 8 3 2 10 2" xfId="18634" xr:uid="{00000000-0005-0000-0000-0000D7480000}"/>
    <cellStyle name="Positive 2 2 8 3 2 11" xfId="18635" xr:uid="{00000000-0005-0000-0000-0000D8480000}"/>
    <cellStyle name="Positive 2 2 8 3 2 11 2" xfId="18636" xr:uid="{00000000-0005-0000-0000-0000D9480000}"/>
    <cellStyle name="Positive 2 2 8 3 2 12" xfId="18637" xr:uid="{00000000-0005-0000-0000-0000DA480000}"/>
    <cellStyle name="Positive 2 2 8 3 2 12 2" xfId="18638" xr:uid="{00000000-0005-0000-0000-0000DB480000}"/>
    <cellStyle name="Positive 2 2 8 3 2 13" xfId="18639" xr:uid="{00000000-0005-0000-0000-0000DC480000}"/>
    <cellStyle name="Positive 2 2 8 3 2 13 2" xfId="18640" xr:uid="{00000000-0005-0000-0000-0000DD480000}"/>
    <cellStyle name="Positive 2 2 8 3 2 14" xfId="18641" xr:uid="{00000000-0005-0000-0000-0000DE480000}"/>
    <cellStyle name="Positive 2 2 8 3 2 14 2" xfId="18642" xr:uid="{00000000-0005-0000-0000-0000DF480000}"/>
    <cellStyle name="Positive 2 2 8 3 2 15" xfId="18643" xr:uid="{00000000-0005-0000-0000-0000E0480000}"/>
    <cellStyle name="Positive 2 2 8 3 2 15 2" xfId="18644" xr:uid="{00000000-0005-0000-0000-0000E1480000}"/>
    <cellStyle name="Positive 2 2 8 3 2 16" xfId="18645" xr:uid="{00000000-0005-0000-0000-0000E2480000}"/>
    <cellStyle name="Positive 2 2 8 3 2 16 2" xfId="18646" xr:uid="{00000000-0005-0000-0000-0000E3480000}"/>
    <cellStyle name="Positive 2 2 8 3 2 17" xfId="18647" xr:uid="{00000000-0005-0000-0000-0000E4480000}"/>
    <cellStyle name="Positive 2 2 8 3 2 2" xfId="18648" xr:uid="{00000000-0005-0000-0000-0000E5480000}"/>
    <cellStyle name="Positive 2 2 8 3 2 2 2" xfId="18649" xr:uid="{00000000-0005-0000-0000-0000E6480000}"/>
    <cellStyle name="Positive 2 2 8 3 2 3" xfId="18650" xr:uid="{00000000-0005-0000-0000-0000E7480000}"/>
    <cellStyle name="Positive 2 2 8 3 2 3 2" xfId="18651" xr:uid="{00000000-0005-0000-0000-0000E8480000}"/>
    <cellStyle name="Positive 2 2 8 3 2 4" xfId="18652" xr:uid="{00000000-0005-0000-0000-0000E9480000}"/>
    <cellStyle name="Positive 2 2 8 3 2 4 2" xfId="18653" xr:uid="{00000000-0005-0000-0000-0000EA480000}"/>
    <cellStyle name="Positive 2 2 8 3 2 5" xfId="18654" xr:uid="{00000000-0005-0000-0000-0000EB480000}"/>
    <cellStyle name="Positive 2 2 8 3 2 5 2" xfId="18655" xr:uid="{00000000-0005-0000-0000-0000EC480000}"/>
    <cellStyle name="Positive 2 2 8 3 2 6" xfId="18656" xr:uid="{00000000-0005-0000-0000-0000ED480000}"/>
    <cellStyle name="Positive 2 2 8 3 2 6 2" xfId="18657" xr:uid="{00000000-0005-0000-0000-0000EE480000}"/>
    <cellStyle name="Positive 2 2 8 3 2 7" xfId="18658" xr:uid="{00000000-0005-0000-0000-0000EF480000}"/>
    <cellStyle name="Positive 2 2 8 3 2 7 2" xfId="18659" xr:uid="{00000000-0005-0000-0000-0000F0480000}"/>
    <cellStyle name="Positive 2 2 8 3 2 8" xfId="18660" xr:uid="{00000000-0005-0000-0000-0000F1480000}"/>
    <cellStyle name="Positive 2 2 8 3 2 8 2" xfId="18661" xr:uid="{00000000-0005-0000-0000-0000F2480000}"/>
    <cellStyle name="Positive 2 2 8 3 2 9" xfId="18662" xr:uid="{00000000-0005-0000-0000-0000F3480000}"/>
    <cellStyle name="Positive 2 2 8 3 2 9 2" xfId="18663" xr:uid="{00000000-0005-0000-0000-0000F4480000}"/>
    <cellStyle name="Positive 2 2 8 3 20" xfId="18664" xr:uid="{00000000-0005-0000-0000-0000F5480000}"/>
    <cellStyle name="Positive 2 2 8 3 3" xfId="18665" xr:uid="{00000000-0005-0000-0000-0000F6480000}"/>
    <cellStyle name="Positive 2 2 8 3 3 2" xfId="18666" xr:uid="{00000000-0005-0000-0000-0000F7480000}"/>
    <cellStyle name="Positive 2 2 8 3 3 2 2" xfId="18667" xr:uid="{00000000-0005-0000-0000-0000F8480000}"/>
    <cellStyle name="Positive 2 2 8 3 3 3" xfId="18668" xr:uid="{00000000-0005-0000-0000-0000F9480000}"/>
    <cellStyle name="Positive 2 2 8 3 4" xfId="18669" xr:uid="{00000000-0005-0000-0000-0000FA480000}"/>
    <cellStyle name="Positive 2 2 8 3 4 2" xfId="18670" xr:uid="{00000000-0005-0000-0000-0000FB480000}"/>
    <cellStyle name="Positive 2 2 8 3 4 2 2" xfId="18671" xr:uid="{00000000-0005-0000-0000-0000FC480000}"/>
    <cellStyle name="Positive 2 2 8 3 4 3" xfId="18672" xr:uid="{00000000-0005-0000-0000-0000FD480000}"/>
    <cellStyle name="Positive 2 2 8 3 5" xfId="18673" xr:uid="{00000000-0005-0000-0000-0000FE480000}"/>
    <cellStyle name="Positive 2 2 8 3 5 2" xfId="18674" xr:uid="{00000000-0005-0000-0000-0000FF480000}"/>
    <cellStyle name="Positive 2 2 8 3 6" xfId="18675" xr:uid="{00000000-0005-0000-0000-000000490000}"/>
    <cellStyle name="Positive 2 2 8 3 6 2" xfId="18676" xr:uid="{00000000-0005-0000-0000-000001490000}"/>
    <cellStyle name="Positive 2 2 8 3 7" xfId="18677" xr:uid="{00000000-0005-0000-0000-000002490000}"/>
    <cellStyle name="Positive 2 2 8 3 7 2" xfId="18678" xr:uid="{00000000-0005-0000-0000-000003490000}"/>
    <cellStyle name="Positive 2 2 8 3 8" xfId="18679" xr:uid="{00000000-0005-0000-0000-000004490000}"/>
    <cellStyle name="Positive 2 2 8 3 8 2" xfId="18680" xr:uid="{00000000-0005-0000-0000-000005490000}"/>
    <cellStyle name="Positive 2 2 8 3 9" xfId="18681" xr:uid="{00000000-0005-0000-0000-000006490000}"/>
    <cellStyle name="Positive 2 2 8 3 9 2" xfId="18682" xr:uid="{00000000-0005-0000-0000-000007490000}"/>
    <cellStyle name="Positive 2 2 8 4" xfId="18683" xr:uid="{00000000-0005-0000-0000-000008490000}"/>
    <cellStyle name="Positive 2 2 8 4 10" xfId="18684" xr:uid="{00000000-0005-0000-0000-000009490000}"/>
    <cellStyle name="Positive 2 2 8 4 10 2" xfId="18685" xr:uid="{00000000-0005-0000-0000-00000A490000}"/>
    <cellStyle name="Positive 2 2 8 4 11" xfId="18686" xr:uid="{00000000-0005-0000-0000-00000B490000}"/>
    <cellStyle name="Positive 2 2 8 4 11 2" xfId="18687" xr:uid="{00000000-0005-0000-0000-00000C490000}"/>
    <cellStyle name="Positive 2 2 8 4 12" xfId="18688" xr:uid="{00000000-0005-0000-0000-00000D490000}"/>
    <cellStyle name="Positive 2 2 8 4 12 2" xfId="18689" xr:uid="{00000000-0005-0000-0000-00000E490000}"/>
    <cellStyle name="Positive 2 2 8 4 13" xfId="18690" xr:uid="{00000000-0005-0000-0000-00000F490000}"/>
    <cellStyle name="Positive 2 2 8 4 13 2" xfId="18691" xr:uid="{00000000-0005-0000-0000-000010490000}"/>
    <cellStyle name="Positive 2 2 8 4 14" xfId="18692" xr:uid="{00000000-0005-0000-0000-000011490000}"/>
    <cellStyle name="Positive 2 2 8 4 14 2" xfId="18693" xr:uid="{00000000-0005-0000-0000-000012490000}"/>
    <cellStyle name="Positive 2 2 8 4 15" xfId="18694" xr:uid="{00000000-0005-0000-0000-000013490000}"/>
    <cellStyle name="Positive 2 2 8 4 15 2" xfId="18695" xr:uid="{00000000-0005-0000-0000-000014490000}"/>
    <cellStyle name="Positive 2 2 8 4 16" xfId="18696" xr:uid="{00000000-0005-0000-0000-000015490000}"/>
    <cellStyle name="Positive 2 2 8 4 16 2" xfId="18697" xr:uid="{00000000-0005-0000-0000-000016490000}"/>
    <cellStyle name="Positive 2 2 8 4 17" xfId="18698" xr:uid="{00000000-0005-0000-0000-000017490000}"/>
    <cellStyle name="Positive 2 2 8 4 17 2" xfId="18699" xr:uid="{00000000-0005-0000-0000-000018490000}"/>
    <cellStyle name="Positive 2 2 8 4 18" xfId="18700" xr:uid="{00000000-0005-0000-0000-000019490000}"/>
    <cellStyle name="Positive 2 2 8 4 18 2" xfId="18701" xr:uid="{00000000-0005-0000-0000-00001A490000}"/>
    <cellStyle name="Positive 2 2 8 4 19" xfId="18702" xr:uid="{00000000-0005-0000-0000-00001B490000}"/>
    <cellStyle name="Positive 2 2 8 4 19 2" xfId="18703" xr:uid="{00000000-0005-0000-0000-00001C490000}"/>
    <cellStyle name="Positive 2 2 8 4 2" xfId="18704" xr:uid="{00000000-0005-0000-0000-00001D490000}"/>
    <cellStyle name="Positive 2 2 8 4 2 10" xfId="18705" xr:uid="{00000000-0005-0000-0000-00001E490000}"/>
    <cellStyle name="Positive 2 2 8 4 2 10 2" xfId="18706" xr:uid="{00000000-0005-0000-0000-00001F490000}"/>
    <cellStyle name="Positive 2 2 8 4 2 11" xfId="18707" xr:uid="{00000000-0005-0000-0000-000020490000}"/>
    <cellStyle name="Positive 2 2 8 4 2 11 2" xfId="18708" xr:uid="{00000000-0005-0000-0000-000021490000}"/>
    <cellStyle name="Positive 2 2 8 4 2 12" xfId="18709" xr:uid="{00000000-0005-0000-0000-000022490000}"/>
    <cellStyle name="Positive 2 2 8 4 2 12 2" xfId="18710" xr:uid="{00000000-0005-0000-0000-000023490000}"/>
    <cellStyle name="Positive 2 2 8 4 2 13" xfId="18711" xr:uid="{00000000-0005-0000-0000-000024490000}"/>
    <cellStyle name="Positive 2 2 8 4 2 13 2" xfId="18712" xr:uid="{00000000-0005-0000-0000-000025490000}"/>
    <cellStyle name="Positive 2 2 8 4 2 14" xfId="18713" xr:uid="{00000000-0005-0000-0000-000026490000}"/>
    <cellStyle name="Positive 2 2 8 4 2 14 2" xfId="18714" xr:uid="{00000000-0005-0000-0000-000027490000}"/>
    <cellStyle name="Positive 2 2 8 4 2 15" xfId="18715" xr:uid="{00000000-0005-0000-0000-000028490000}"/>
    <cellStyle name="Positive 2 2 8 4 2 15 2" xfId="18716" xr:uid="{00000000-0005-0000-0000-000029490000}"/>
    <cellStyle name="Positive 2 2 8 4 2 16" xfId="18717" xr:uid="{00000000-0005-0000-0000-00002A490000}"/>
    <cellStyle name="Positive 2 2 8 4 2 16 2" xfId="18718" xr:uid="{00000000-0005-0000-0000-00002B490000}"/>
    <cellStyle name="Positive 2 2 8 4 2 17" xfId="18719" xr:uid="{00000000-0005-0000-0000-00002C490000}"/>
    <cellStyle name="Positive 2 2 8 4 2 2" xfId="18720" xr:uid="{00000000-0005-0000-0000-00002D490000}"/>
    <cellStyle name="Positive 2 2 8 4 2 2 2" xfId="18721" xr:uid="{00000000-0005-0000-0000-00002E490000}"/>
    <cellStyle name="Positive 2 2 8 4 2 3" xfId="18722" xr:uid="{00000000-0005-0000-0000-00002F490000}"/>
    <cellStyle name="Positive 2 2 8 4 2 3 2" xfId="18723" xr:uid="{00000000-0005-0000-0000-000030490000}"/>
    <cellStyle name="Positive 2 2 8 4 2 4" xfId="18724" xr:uid="{00000000-0005-0000-0000-000031490000}"/>
    <cellStyle name="Positive 2 2 8 4 2 4 2" xfId="18725" xr:uid="{00000000-0005-0000-0000-000032490000}"/>
    <cellStyle name="Positive 2 2 8 4 2 5" xfId="18726" xr:uid="{00000000-0005-0000-0000-000033490000}"/>
    <cellStyle name="Positive 2 2 8 4 2 5 2" xfId="18727" xr:uid="{00000000-0005-0000-0000-000034490000}"/>
    <cellStyle name="Positive 2 2 8 4 2 6" xfId="18728" xr:uid="{00000000-0005-0000-0000-000035490000}"/>
    <cellStyle name="Positive 2 2 8 4 2 6 2" xfId="18729" xr:uid="{00000000-0005-0000-0000-000036490000}"/>
    <cellStyle name="Positive 2 2 8 4 2 7" xfId="18730" xr:uid="{00000000-0005-0000-0000-000037490000}"/>
    <cellStyle name="Positive 2 2 8 4 2 7 2" xfId="18731" xr:uid="{00000000-0005-0000-0000-000038490000}"/>
    <cellStyle name="Positive 2 2 8 4 2 8" xfId="18732" xr:uid="{00000000-0005-0000-0000-000039490000}"/>
    <cellStyle name="Positive 2 2 8 4 2 8 2" xfId="18733" xr:uid="{00000000-0005-0000-0000-00003A490000}"/>
    <cellStyle name="Positive 2 2 8 4 2 9" xfId="18734" xr:uid="{00000000-0005-0000-0000-00003B490000}"/>
    <cellStyle name="Positive 2 2 8 4 2 9 2" xfId="18735" xr:uid="{00000000-0005-0000-0000-00003C490000}"/>
    <cellStyle name="Positive 2 2 8 4 20" xfId="18736" xr:uid="{00000000-0005-0000-0000-00003D490000}"/>
    <cellStyle name="Positive 2 2 8 4 3" xfId="18737" xr:uid="{00000000-0005-0000-0000-00003E490000}"/>
    <cellStyle name="Positive 2 2 8 4 3 2" xfId="18738" xr:uid="{00000000-0005-0000-0000-00003F490000}"/>
    <cellStyle name="Positive 2 2 8 4 3 2 2" xfId="18739" xr:uid="{00000000-0005-0000-0000-000040490000}"/>
    <cellStyle name="Positive 2 2 8 4 3 3" xfId="18740" xr:uid="{00000000-0005-0000-0000-000041490000}"/>
    <cellStyle name="Positive 2 2 8 4 4" xfId="18741" xr:uid="{00000000-0005-0000-0000-000042490000}"/>
    <cellStyle name="Positive 2 2 8 4 4 2" xfId="18742" xr:uid="{00000000-0005-0000-0000-000043490000}"/>
    <cellStyle name="Positive 2 2 8 4 4 2 2" xfId="18743" xr:uid="{00000000-0005-0000-0000-000044490000}"/>
    <cellStyle name="Positive 2 2 8 4 4 3" xfId="18744" xr:uid="{00000000-0005-0000-0000-000045490000}"/>
    <cellStyle name="Positive 2 2 8 4 5" xfId="18745" xr:uid="{00000000-0005-0000-0000-000046490000}"/>
    <cellStyle name="Positive 2 2 8 4 5 2" xfId="18746" xr:uid="{00000000-0005-0000-0000-000047490000}"/>
    <cellStyle name="Positive 2 2 8 4 6" xfId="18747" xr:uid="{00000000-0005-0000-0000-000048490000}"/>
    <cellStyle name="Positive 2 2 8 4 6 2" xfId="18748" xr:uid="{00000000-0005-0000-0000-000049490000}"/>
    <cellStyle name="Positive 2 2 8 4 7" xfId="18749" xr:uid="{00000000-0005-0000-0000-00004A490000}"/>
    <cellStyle name="Positive 2 2 8 4 7 2" xfId="18750" xr:uid="{00000000-0005-0000-0000-00004B490000}"/>
    <cellStyle name="Positive 2 2 8 4 8" xfId="18751" xr:uid="{00000000-0005-0000-0000-00004C490000}"/>
    <cellStyle name="Positive 2 2 8 4 8 2" xfId="18752" xr:uid="{00000000-0005-0000-0000-00004D490000}"/>
    <cellStyle name="Positive 2 2 8 4 9" xfId="18753" xr:uid="{00000000-0005-0000-0000-00004E490000}"/>
    <cellStyle name="Positive 2 2 8 4 9 2" xfId="18754" xr:uid="{00000000-0005-0000-0000-00004F490000}"/>
    <cellStyle name="Positive 2 2 8 5" xfId="18755" xr:uid="{00000000-0005-0000-0000-000050490000}"/>
    <cellStyle name="Positive 2 2 8 5 10" xfId="18756" xr:uid="{00000000-0005-0000-0000-000051490000}"/>
    <cellStyle name="Positive 2 2 8 5 10 2" xfId="18757" xr:uid="{00000000-0005-0000-0000-000052490000}"/>
    <cellStyle name="Positive 2 2 8 5 11" xfId="18758" xr:uid="{00000000-0005-0000-0000-000053490000}"/>
    <cellStyle name="Positive 2 2 8 5 11 2" xfId="18759" xr:uid="{00000000-0005-0000-0000-000054490000}"/>
    <cellStyle name="Positive 2 2 8 5 12" xfId="18760" xr:uid="{00000000-0005-0000-0000-000055490000}"/>
    <cellStyle name="Positive 2 2 8 5 12 2" xfId="18761" xr:uid="{00000000-0005-0000-0000-000056490000}"/>
    <cellStyle name="Positive 2 2 8 5 13" xfId="18762" xr:uid="{00000000-0005-0000-0000-000057490000}"/>
    <cellStyle name="Positive 2 2 8 5 13 2" xfId="18763" xr:uid="{00000000-0005-0000-0000-000058490000}"/>
    <cellStyle name="Positive 2 2 8 5 14" xfId="18764" xr:uid="{00000000-0005-0000-0000-000059490000}"/>
    <cellStyle name="Positive 2 2 8 5 14 2" xfId="18765" xr:uid="{00000000-0005-0000-0000-00005A490000}"/>
    <cellStyle name="Positive 2 2 8 5 15" xfId="18766" xr:uid="{00000000-0005-0000-0000-00005B490000}"/>
    <cellStyle name="Positive 2 2 8 5 15 2" xfId="18767" xr:uid="{00000000-0005-0000-0000-00005C490000}"/>
    <cellStyle name="Positive 2 2 8 5 16" xfId="18768" xr:uid="{00000000-0005-0000-0000-00005D490000}"/>
    <cellStyle name="Positive 2 2 8 5 16 2" xfId="18769" xr:uid="{00000000-0005-0000-0000-00005E490000}"/>
    <cellStyle name="Positive 2 2 8 5 17" xfId="18770" xr:uid="{00000000-0005-0000-0000-00005F490000}"/>
    <cellStyle name="Positive 2 2 8 5 2" xfId="18771" xr:uid="{00000000-0005-0000-0000-000060490000}"/>
    <cellStyle name="Positive 2 2 8 5 2 2" xfId="18772" xr:uid="{00000000-0005-0000-0000-000061490000}"/>
    <cellStyle name="Positive 2 2 8 5 3" xfId="18773" xr:uid="{00000000-0005-0000-0000-000062490000}"/>
    <cellStyle name="Positive 2 2 8 5 3 2" xfId="18774" xr:uid="{00000000-0005-0000-0000-000063490000}"/>
    <cellStyle name="Positive 2 2 8 5 4" xfId="18775" xr:uid="{00000000-0005-0000-0000-000064490000}"/>
    <cellStyle name="Positive 2 2 8 5 4 2" xfId="18776" xr:uid="{00000000-0005-0000-0000-000065490000}"/>
    <cellStyle name="Positive 2 2 8 5 5" xfId="18777" xr:uid="{00000000-0005-0000-0000-000066490000}"/>
    <cellStyle name="Positive 2 2 8 5 5 2" xfId="18778" xr:uid="{00000000-0005-0000-0000-000067490000}"/>
    <cellStyle name="Positive 2 2 8 5 6" xfId="18779" xr:uid="{00000000-0005-0000-0000-000068490000}"/>
    <cellStyle name="Positive 2 2 8 5 6 2" xfId="18780" xr:uid="{00000000-0005-0000-0000-000069490000}"/>
    <cellStyle name="Positive 2 2 8 5 7" xfId="18781" xr:uid="{00000000-0005-0000-0000-00006A490000}"/>
    <cellStyle name="Positive 2 2 8 5 7 2" xfId="18782" xr:uid="{00000000-0005-0000-0000-00006B490000}"/>
    <cellStyle name="Positive 2 2 8 5 8" xfId="18783" xr:uid="{00000000-0005-0000-0000-00006C490000}"/>
    <cellStyle name="Positive 2 2 8 5 8 2" xfId="18784" xr:uid="{00000000-0005-0000-0000-00006D490000}"/>
    <cellStyle name="Positive 2 2 8 5 9" xfId="18785" xr:uid="{00000000-0005-0000-0000-00006E490000}"/>
    <cellStyle name="Positive 2 2 8 5 9 2" xfId="18786" xr:uid="{00000000-0005-0000-0000-00006F490000}"/>
    <cellStyle name="Positive 2 2 8 6" xfId="18787" xr:uid="{00000000-0005-0000-0000-000070490000}"/>
    <cellStyle name="Positive 2 2 8 6 2" xfId="18788" xr:uid="{00000000-0005-0000-0000-000071490000}"/>
    <cellStyle name="Positive 2 2 8 6 2 2" xfId="18789" xr:uid="{00000000-0005-0000-0000-000072490000}"/>
    <cellStyle name="Positive 2 2 8 6 3" xfId="18790" xr:uid="{00000000-0005-0000-0000-000073490000}"/>
    <cellStyle name="Positive 2 2 8 7" xfId="18791" xr:uid="{00000000-0005-0000-0000-000074490000}"/>
    <cellStyle name="Positive 2 2 8 7 2" xfId="18792" xr:uid="{00000000-0005-0000-0000-000075490000}"/>
    <cellStyle name="Positive 2 2 8 7 2 2" xfId="18793" xr:uid="{00000000-0005-0000-0000-000076490000}"/>
    <cellStyle name="Positive 2 2 8 7 3" xfId="18794" xr:uid="{00000000-0005-0000-0000-000077490000}"/>
    <cellStyle name="Positive 2 2 8 8" xfId="18795" xr:uid="{00000000-0005-0000-0000-000078490000}"/>
    <cellStyle name="Positive 2 2 8 8 2" xfId="18796" xr:uid="{00000000-0005-0000-0000-000079490000}"/>
    <cellStyle name="Positive 2 2 8 9" xfId="18797" xr:uid="{00000000-0005-0000-0000-00007A490000}"/>
    <cellStyle name="Positive 2 2 8 9 2" xfId="18798" xr:uid="{00000000-0005-0000-0000-00007B490000}"/>
    <cellStyle name="Positive 2 2 9" xfId="18799" xr:uid="{00000000-0005-0000-0000-00007C490000}"/>
    <cellStyle name="Positive 2 2 9 10" xfId="18800" xr:uid="{00000000-0005-0000-0000-00007D490000}"/>
    <cellStyle name="Positive 2 2 9 10 2" xfId="18801" xr:uid="{00000000-0005-0000-0000-00007E490000}"/>
    <cellStyle name="Positive 2 2 9 11" xfId="18802" xr:uid="{00000000-0005-0000-0000-00007F490000}"/>
    <cellStyle name="Positive 2 2 9 11 2" xfId="18803" xr:uid="{00000000-0005-0000-0000-000080490000}"/>
    <cellStyle name="Positive 2 2 9 12" xfId="18804" xr:uid="{00000000-0005-0000-0000-000081490000}"/>
    <cellStyle name="Positive 2 2 9 12 2" xfId="18805" xr:uid="{00000000-0005-0000-0000-000082490000}"/>
    <cellStyle name="Positive 2 2 9 13" xfId="18806" xr:uid="{00000000-0005-0000-0000-000083490000}"/>
    <cellStyle name="Positive 2 2 9 13 2" xfId="18807" xr:uid="{00000000-0005-0000-0000-000084490000}"/>
    <cellStyle name="Positive 2 2 9 14" xfId="18808" xr:uid="{00000000-0005-0000-0000-000085490000}"/>
    <cellStyle name="Positive 2 2 9 14 2" xfId="18809" xr:uid="{00000000-0005-0000-0000-000086490000}"/>
    <cellStyle name="Positive 2 2 9 15" xfId="18810" xr:uid="{00000000-0005-0000-0000-000087490000}"/>
    <cellStyle name="Positive 2 2 9 15 2" xfId="18811" xr:uid="{00000000-0005-0000-0000-000088490000}"/>
    <cellStyle name="Positive 2 2 9 16" xfId="18812" xr:uid="{00000000-0005-0000-0000-000089490000}"/>
    <cellStyle name="Positive 2 2 9 16 2" xfId="18813" xr:uid="{00000000-0005-0000-0000-00008A490000}"/>
    <cellStyle name="Positive 2 2 9 17" xfId="18814" xr:uid="{00000000-0005-0000-0000-00008B490000}"/>
    <cellStyle name="Positive 2 2 9 17 2" xfId="18815" xr:uid="{00000000-0005-0000-0000-00008C490000}"/>
    <cellStyle name="Positive 2 2 9 18" xfId="18816" xr:uid="{00000000-0005-0000-0000-00008D490000}"/>
    <cellStyle name="Positive 2 2 9 18 2" xfId="18817" xr:uid="{00000000-0005-0000-0000-00008E490000}"/>
    <cellStyle name="Positive 2 2 9 19" xfId="18818" xr:uid="{00000000-0005-0000-0000-00008F490000}"/>
    <cellStyle name="Positive 2 2 9 19 2" xfId="18819" xr:uid="{00000000-0005-0000-0000-000090490000}"/>
    <cellStyle name="Positive 2 2 9 2" xfId="18820" xr:uid="{00000000-0005-0000-0000-000091490000}"/>
    <cellStyle name="Positive 2 2 9 2 10" xfId="18821" xr:uid="{00000000-0005-0000-0000-000092490000}"/>
    <cellStyle name="Positive 2 2 9 2 10 2" xfId="18822" xr:uid="{00000000-0005-0000-0000-000093490000}"/>
    <cellStyle name="Positive 2 2 9 2 11" xfId="18823" xr:uid="{00000000-0005-0000-0000-000094490000}"/>
    <cellStyle name="Positive 2 2 9 2 11 2" xfId="18824" xr:uid="{00000000-0005-0000-0000-000095490000}"/>
    <cellStyle name="Positive 2 2 9 2 12" xfId="18825" xr:uid="{00000000-0005-0000-0000-000096490000}"/>
    <cellStyle name="Positive 2 2 9 2 12 2" xfId="18826" xr:uid="{00000000-0005-0000-0000-000097490000}"/>
    <cellStyle name="Positive 2 2 9 2 13" xfId="18827" xr:uid="{00000000-0005-0000-0000-000098490000}"/>
    <cellStyle name="Positive 2 2 9 2 13 2" xfId="18828" xr:uid="{00000000-0005-0000-0000-000099490000}"/>
    <cellStyle name="Positive 2 2 9 2 14" xfId="18829" xr:uid="{00000000-0005-0000-0000-00009A490000}"/>
    <cellStyle name="Positive 2 2 9 2 14 2" xfId="18830" xr:uid="{00000000-0005-0000-0000-00009B490000}"/>
    <cellStyle name="Positive 2 2 9 2 15" xfId="18831" xr:uid="{00000000-0005-0000-0000-00009C490000}"/>
    <cellStyle name="Positive 2 2 9 2 15 2" xfId="18832" xr:uid="{00000000-0005-0000-0000-00009D490000}"/>
    <cellStyle name="Positive 2 2 9 2 16" xfId="18833" xr:uid="{00000000-0005-0000-0000-00009E490000}"/>
    <cellStyle name="Positive 2 2 9 2 16 2" xfId="18834" xr:uid="{00000000-0005-0000-0000-00009F490000}"/>
    <cellStyle name="Positive 2 2 9 2 17" xfId="18835" xr:uid="{00000000-0005-0000-0000-0000A0490000}"/>
    <cellStyle name="Positive 2 2 9 2 17 2" xfId="18836" xr:uid="{00000000-0005-0000-0000-0000A1490000}"/>
    <cellStyle name="Positive 2 2 9 2 18" xfId="18837" xr:uid="{00000000-0005-0000-0000-0000A2490000}"/>
    <cellStyle name="Positive 2 2 9 2 18 2" xfId="18838" xr:uid="{00000000-0005-0000-0000-0000A3490000}"/>
    <cellStyle name="Positive 2 2 9 2 19" xfId="18839" xr:uid="{00000000-0005-0000-0000-0000A4490000}"/>
    <cellStyle name="Positive 2 2 9 2 19 2" xfId="18840" xr:uid="{00000000-0005-0000-0000-0000A5490000}"/>
    <cellStyle name="Positive 2 2 9 2 2" xfId="18841" xr:uid="{00000000-0005-0000-0000-0000A6490000}"/>
    <cellStyle name="Positive 2 2 9 2 2 10" xfId="18842" xr:uid="{00000000-0005-0000-0000-0000A7490000}"/>
    <cellStyle name="Positive 2 2 9 2 2 10 2" xfId="18843" xr:uid="{00000000-0005-0000-0000-0000A8490000}"/>
    <cellStyle name="Positive 2 2 9 2 2 11" xfId="18844" xr:uid="{00000000-0005-0000-0000-0000A9490000}"/>
    <cellStyle name="Positive 2 2 9 2 2 11 2" xfId="18845" xr:uid="{00000000-0005-0000-0000-0000AA490000}"/>
    <cellStyle name="Positive 2 2 9 2 2 12" xfId="18846" xr:uid="{00000000-0005-0000-0000-0000AB490000}"/>
    <cellStyle name="Positive 2 2 9 2 2 12 2" xfId="18847" xr:uid="{00000000-0005-0000-0000-0000AC490000}"/>
    <cellStyle name="Positive 2 2 9 2 2 13" xfId="18848" xr:uid="{00000000-0005-0000-0000-0000AD490000}"/>
    <cellStyle name="Positive 2 2 9 2 2 13 2" xfId="18849" xr:uid="{00000000-0005-0000-0000-0000AE490000}"/>
    <cellStyle name="Positive 2 2 9 2 2 14" xfId="18850" xr:uid="{00000000-0005-0000-0000-0000AF490000}"/>
    <cellStyle name="Positive 2 2 9 2 2 14 2" xfId="18851" xr:uid="{00000000-0005-0000-0000-0000B0490000}"/>
    <cellStyle name="Positive 2 2 9 2 2 15" xfId="18852" xr:uid="{00000000-0005-0000-0000-0000B1490000}"/>
    <cellStyle name="Positive 2 2 9 2 2 15 2" xfId="18853" xr:uid="{00000000-0005-0000-0000-0000B2490000}"/>
    <cellStyle name="Positive 2 2 9 2 2 16" xfId="18854" xr:uid="{00000000-0005-0000-0000-0000B3490000}"/>
    <cellStyle name="Positive 2 2 9 2 2 16 2" xfId="18855" xr:uid="{00000000-0005-0000-0000-0000B4490000}"/>
    <cellStyle name="Positive 2 2 9 2 2 17" xfId="18856" xr:uid="{00000000-0005-0000-0000-0000B5490000}"/>
    <cellStyle name="Positive 2 2 9 2 2 2" xfId="18857" xr:uid="{00000000-0005-0000-0000-0000B6490000}"/>
    <cellStyle name="Positive 2 2 9 2 2 2 2" xfId="18858" xr:uid="{00000000-0005-0000-0000-0000B7490000}"/>
    <cellStyle name="Positive 2 2 9 2 2 3" xfId="18859" xr:uid="{00000000-0005-0000-0000-0000B8490000}"/>
    <cellStyle name="Positive 2 2 9 2 2 3 2" xfId="18860" xr:uid="{00000000-0005-0000-0000-0000B9490000}"/>
    <cellStyle name="Positive 2 2 9 2 2 4" xfId="18861" xr:uid="{00000000-0005-0000-0000-0000BA490000}"/>
    <cellStyle name="Positive 2 2 9 2 2 4 2" xfId="18862" xr:uid="{00000000-0005-0000-0000-0000BB490000}"/>
    <cellStyle name="Positive 2 2 9 2 2 5" xfId="18863" xr:uid="{00000000-0005-0000-0000-0000BC490000}"/>
    <cellStyle name="Positive 2 2 9 2 2 5 2" xfId="18864" xr:uid="{00000000-0005-0000-0000-0000BD490000}"/>
    <cellStyle name="Positive 2 2 9 2 2 6" xfId="18865" xr:uid="{00000000-0005-0000-0000-0000BE490000}"/>
    <cellStyle name="Positive 2 2 9 2 2 6 2" xfId="18866" xr:uid="{00000000-0005-0000-0000-0000BF490000}"/>
    <cellStyle name="Positive 2 2 9 2 2 7" xfId="18867" xr:uid="{00000000-0005-0000-0000-0000C0490000}"/>
    <cellStyle name="Positive 2 2 9 2 2 7 2" xfId="18868" xr:uid="{00000000-0005-0000-0000-0000C1490000}"/>
    <cellStyle name="Positive 2 2 9 2 2 8" xfId="18869" xr:uid="{00000000-0005-0000-0000-0000C2490000}"/>
    <cellStyle name="Positive 2 2 9 2 2 8 2" xfId="18870" xr:uid="{00000000-0005-0000-0000-0000C3490000}"/>
    <cellStyle name="Positive 2 2 9 2 2 9" xfId="18871" xr:uid="{00000000-0005-0000-0000-0000C4490000}"/>
    <cellStyle name="Positive 2 2 9 2 2 9 2" xfId="18872" xr:uid="{00000000-0005-0000-0000-0000C5490000}"/>
    <cellStyle name="Positive 2 2 9 2 20" xfId="18873" xr:uid="{00000000-0005-0000-0000-0000C6490000}"/>
    <cellStyle name="Positive 2 2 9 2 3" xfId="18874" xr:uid="{00000000-0005-0000-0000-0000C7490000}"/>
    <cellStyle name="Positive 2 2 9 2 3 2" xfId="18875" xr:uid="{00000000-0005-0000-0000-0000C8490000}"/>
    <cellStyle name="Positive 2 2 9 2 3 2 2" xfId="18876" xr:uid="{00000000-0005-0000-0000-0000C9490000}"/>
    <cellStyle name="Positive 2 2 9 2 3 3" xfId="18877" xr:uid="{00000000-0005-0000-0000-0000CA490000}"/>
    <cellStyle name="Positive 2 2 9 2 4" xfId="18878" xr:uid="{00000000-0005-0000-0000-0000CB490000}"/>
    <cellStyle name="Positive 2 2 9 2 4 2" xfId="18879" xr:uid="{00000000-0005-0000-0000-0000CC490000}"/>
    <cellStyle name="Positive 2 2 9 2 4 2 2" xfId="18880" xr:uid="{00000000-0005-0000-0000-0000CD490000}"/>
    <cellStyle name="Positive 2 2 9 2 4 3" xfId="18881" xr:uid="{00000000-0005-0000-0000-0000CE490000}"/>
    <cellStyle name="Positive 2 2 9 2 5" xfId="18882" xr:uid="{00000000-0005-0000-0000-0000CF490000}"/>
    <cellStyle name="Positive 2 2 9 2 5 2" xfId="18883" xr:uid="{00000000-0005-0000-0000-0000D0490000}"/>
    <cellStyle name="Positive 2 2 9 2 6" xfId="18884" xr:uid="{00000000-0005-0000-0000-0000D1490000}"/>
    <cellStyle name="Positive 2 2 9 2 6 2" xfId="18885" xr:uid="{00000000-0005-0000-0000-0000D2490000}"/>
    <cellStyle name="Positive 2 2 9 2 7" xfId="18886" xr:uid="{00000000-0005-0000-0000-0000D3490000}"/>
    <cellStyle name="Positive 2 2 9 2 7 2" xfId="18887" xr:uid="{00000000-0005-0000-0000-0000D4490000}"/>
    <cellStyle name="Positive 2 2 9 2 8" xfId="18888" xr:uid="{00000000-0005-0000-0000-0000D5490000}"/>
    <cellStyle name="Positive 2 2 9 2 8 2" xfId="18889" xr:uid="{00000000-0005-0000-0000-0000D6490000}"/>
    <cellStyle name="Positive 2 2 9 2 9" xfId="18890" xr:uid="{00000000-0005-0000-0000-0000D7490000}"/>
    <cellStyle name="Positive 2 2 9 2 9 2" xfId="18891" xr:uid="{00000000-0005-0000-0000-0000D8490000}"/>
    <cellStyle name="Positive 2 2 9 20" xfId="18892" xr:uid="{00000000-0005-0000-0000-0000D9490000}"/>
    <cellStyle name="Positive 2 2 9 20 2" xfId="18893" xr:uid="{00000000-0005-0000-0000-0000DA490000}"/>
    <cellStyle name="Positive 2 2 9 21" xfId="18894" xr:uid="{00000000-0005-0000-0000-0000DB490000}"/>
    <cellStyle name="Positive 2 2 9 21 2" xfId="18895" xr:uid="{00000000-0005-0000-0000-0000DC490000}"/>
    <cellStyle name="Positive 2 2 9 22" xfId="18896" xr:uid="{00000000-0005-0000-0000-0000DD490000}"/>
    <cellStyle name="Positive 2 2 9 22 2" xfId="18897" xr:uid="{00000000-0005-0000-0000-0000DE490000}"/>
    <cellStyle name="Positive 2 2 9 23" xfId="18898" xr:uid="{00000000-0005-0000-0000-0000DF490000}"/>
    <cellStyle name="Positive 2 2 9 3" xfId="18899" xr:uid="{00000000-0005-0000-0000-0000E0490000}"/>
    <cellStyle name="Positive 2 2 9 3 10" xfId="18900" xr:uid="{00000000-0005-0000-0000-0000E1490000}"/>
    <cellStyle name="Positive 2 2 9 3 10 2" xfId="18901" xr:uid="{00000000-0005-0000-0000-0000E2490000}"/>
    <cellStyle name="Positive 2 2 9 3 11" xfId="18902" xr:uid="{00000000-0005-0000-0000-0000E3490000}"/>
    <cellStyle name="Positive 2 2 9 3 11 2" xfId="18903" xr:uid="{00000000-0005-0000-0000-0000E4490000}"/>
    <cellStyle name="Positive 2 2 9 3 12" xfId="18904" xr:uid="{00000000-0005-0000-0000-0000E5490000}"/>
    <cellStyle name="Positive 2 2 9 3 12 2" xfId="18905" xr:uid="{00000000-0005-0000-0000-0000E6490000}"/>
    <cellStyle name="Positive 2 2 9 3 13" xfId="18906" xr:uid="{00000000-0005-0000-0000-0000E7490000}"/>
    <cellStyle name="Positive 2 2 9 3 13 2" xfId="18907" xr:uid="{00000000-0005-0000-0000-0000E8490000}"/>
    <cellStyle name="Positive 2 2 9 3 14" xfId="18908" xr:uid="{00000000-0005-0000-0000-0000E9490000}"/>
    <cellStyle name="Positive 2 2 9 3 14 2" xfId="18909" xr:uid="{00000000-0005-0000-0000-0000EA490000}"/>
    <cellStyle name="Positive 2 2 9 3 15" xfId="18910" xr:uid="{00000000-0005-0000-0000-0000EB490000}"/>
    <cellStyle name="Positive 2 2 9 3 15 2" xfId="18911" xr:uid="{00000000-0005-0000-0000-0000EC490000}"/>
    <cellStyle name="Positive 2 2 9 3 16" xfId="18912" xr:uid="{00000000-0005-0000-0000-0000ED490000}"/>
    <cellStyle name="Positive 2 2 9 3 16 2" xfId="18913" xr:uid="{00000000-0005-0000-0000-0000EE490000}"/>
    <cellStyle name="Positive 2 2 9 3 17" xfId="18914" xr:uid="{00000000-0005-0000-0000-0000EF490000}"/>
    <cellStyle name="Positive 2 2 9 3 17 2" xfId="18915" xr:uid="{00000000-0005-0000-0000-0000F0490000}"/>
    <cellStyle name="Positive 2 2 9 3 18" xfId="18916" xr:uid="{00000000-0005-0000-0000-0000F1490000}"/>
    <cellStyle name="Positive 2 2 9 3 18 2" xfId="18917" xr:uid="{00000000-0005-0000-0000-0000F2490000}"/>
    <cellStyle name="Positive 2 2 9 3 19" xfId="18918" xr:uid="{00000000-0005-0000-0000-0000F3490000}"/>
    <cellStyle name="Positive 2 2 9 3 19 2" xfId="18919" xr:uid="{00000000-0005-0000-0000-0000F4490000}"/>
    <cellStyle name="Positive 2 2 9 3 2" xfId="18920" xr:uid="{00000000-0005-0000-0000-0000F5490000}"/>
    <cellStyle name="Positive 2 2 9 3 2 10" xfId="18921" xr:uid="{00000000-0005-0000-0000-0000F6490000}"/>
    <cellStyle name="Positive 2 2 9 3 2 10 2" xfId="18922" xr:uid="{00000000-0005-0000-0000-0000F7490000}"/>
    <cellStyle name="Positive 2 2 9 3 2 11" xfId="18923" xr:uid="{00000000-0005-0000-0000-0000F8490000}"/>
    <cellStyle name="Positive 2 2 9 3 2 11 2" xfId="18924" xr:uid="{00000000-0005-0000-0000-0000F9490000}"/>
    <cellStyle name="Positive 2 2 9 3 2 12" xfId="18925" xr:uid="{00000000-0005-0000-0000-0000FA490000}"/>
    <cellStyle name="Positive 2 2 9 3 2 12 2" xfId="18926" xr:uid="{00000000-0005-0000-0000-0000FB490000}"/>
    <cellStyle name="Positive 2 2 9 3 2 13" xfId="18927" xr:uid="{00000000-0005-0000-0000-0000FC490000}"/>
    <cellStyle name="Positive 2 2 9 3 2 13 2" xfId="18928" xr:uid="{00000000-0005-0000-0000-0000FD490000}"/>
    <cellStyle name="Positive 2 2 9 3 2 14" xfId="18929" xr:uid="{00000000-0005-0000-0000-0000FE490000}"/>
    <cellStyle name="Positive 2 2 9 3 2 14 2" xfId="18930" xr:uid="{00000000-0005-0000-0000-0000FF490000}"/>
    <cellStyle name="Positive 2 2 9 3 2 15" xfId="18931" xr:uid="{00000000-0005-0000-0000-0000004A0000}"/>
    <cellStyle name="Positive 2 2 9 3 2 15 2" xfId="18932" xr:uid="{00000000-0005-0000-0000-0000014A0000}"/>
    <cellStyle name="Positive 2 2 9 3 2 16" xfId="18933" xr:uid="{00000000-0005-0000-0000-0000024A0000}"/>
    <cellStyle name="Positive 2 2 9 3 2 16 2" xfId="18934" xr:uid="{00000000-0005-0000-0000-0000034A0000}"/>
    <cellStyle name="Positive 2 2 9 3 2 17" xfId="18935" xr:uid="{00000000-0005-0000-0000-0000044A0000}"/>
    <cellStyle name="Positive 2 2 9 3 2 2" xfId="18936" xr:uid="{00000000-0005-0000-0000-0000054A0000}"/>
    <cellStyle name="Positive 2 2 9 3 2 2 2" xfId="18937" xr:uid="{00000000-0005-0000-0000-0000064A0000}"/>
    <cellStyle name="Positive 2 2 9 3 2 3" xfId="18938" xr:uid="{00000000-0005-0000-0000-0000074A0000}"/>
    <cellStyle name="Positive 2 2 9 3 2 3 2" xfId="18939" xr:uid="{00000000-0005-0000-0000-0000084A0000}"/>
    <cellStyle name="Positive 2 2 9 3 2 4" xfId="18940" xr:uid="{00000000-0005-0000-0000-0000094A0000}"/>
    <cellStyle name="Positive 2 2 9 3 2 4 2" xfId="18941" xr:uid="{00000000-0005-0000-0000-00000A4A0000}"/>
    <cellStyle name="Positive 2 2 9 3 2 5" xfId="18942" xr:uid="{00000000-0005-0000-0000-00000B4A0000}"/>
    <cellStyle name="Positive 2 2 9 3 2 5 2" xfId="18943" xr:uid="{00000000-0005-0000-0000-00000C4A0000}"/>
    <cellStyle name="Positive 2 2 9 3 2 6" xfId="18944" xr:uid="{00000000-0005-0000-0000-00000D4A0000}"/>
    <cellStyle name="Positive 2 2 9 3 2 6 2" xfId="18945" xr:uid="{00000000-0005-0000-0000-00000E4A0000}"/>
    <cellStyle name="Positive 2 2 9 3 2 7" xfId="18946" xr:uid="{00000000-0005-0000-0000-00000F4A0000}"/>
    <cellStyle name="Positive 2 2 9 3 2 7 2" xfId="18947" xr:uid="{00000000-0005-0000-0000-0000104A0000}"/>
    <cellStyle name="Positive 2 2 9 3 2 8" xfId="18948" xr:uid="{00000000-0005-0000-0000-0000114A0000}"/>
    <cellStyle name="Positive 2 2 9 3 2 8 2" xfId="18949" xr:uid="{00000000-0005-0000-0000-0000124A0000}"/>
    <cellStyle name="Positive 2 2 9 3 2 9" xfId="18950" xr:uid="{00000000-0005-0000-0000-0000134A0000}"/>
    <cellStyle name="Positive 2 2 9 3 2 9 2" xfId="18951" xr:uid="{00000000-0005-0000-0000-0000144A0000}"/>
    <cellStyle name="Positive 2 2 9 3 20" xfId="18952" xr:uid="{00000000-0005-0000-0000-0000154A0000}"/>
    <cellStyle name="Positive 2 2 9 3 3" xfId="18953" xr:uid="{00000000-0005-0000-0000-0000164A0000}"/>
    <cellStyle name="Positive 2 2 9 3 3 2" xfId="18954" xr:uid="{00000000-0005-0000-0000-0000174A0000}"/>
    <cellStyle name="Positive 2 2 9 3 3 2 2" xfId="18955" xr:uid="{00000000-0005-0000-0000-0000184A0000}"/>
    <cellStyle name="Positive 2 2 9 3 3 3" xfId="18956" xr:uid="{00000000-0005-0000-0000-0000194A0000}"/>
    <cellStyle name="Positive 2 2 9 3 4" xfId="18957" xr:uid="{00000000-0005-0000-0000-00001A4A0000}"/>
    <cellStyle name="Positive 2 2 9 3 4 2" xfId="18958" xr:uid="{00000000-0005-0000-0000-00001B4A0000}"/>
    <cellStyle name="Positive 2 2 9 3 4 2 2" xfId="18959" xr:uid="{00000000-0005-0000-0000-00001C4A0000}"/>
    <cellStyle name="Positive 2 2 9 3 4 3" xfId="18960" xr:uid="{00000000-0005-0000-0000-00001D4A0000}"/>
    <cellStyle name="Positive 2 2 9 3 5" xfId="18961" xr:uid="{00000000-0005-0000-0000-00001E4A0000}"/>
    <cellStyle name="Positive 2 2 9 3 5 2" xfId="18962" xr:uid="{00000000-0005-0000-0000-00001F4A0000}"/>
    <cellStyle name="Positive 2 2 9 3 6" xfId="18963" xr:uid="{00000000-0005-0000-0000-0000204A0000}"/>
    <cellStyle name="Positive 2 2 9 3 6 2" xfId="18964" xr:uid="{00000000-0005-0000-0000-0000214A0000}"/>
    <cellStyle name="Positive 2 2 9 3 7" xfId="18965" xr:uid="{00000000-0005-0000-0000-0000224A0000}"/>
    <cellStyle name="Positive 2 2 9 3 7 2" xfId="18966" xr:uid="{00000000-0005-0000-0000-0000234A0000}"/>
    <cellStyle name="Positive 2 2 9 3 8" xfId="18967" xr:uid="{00000000-0005-0000-0000-0000244A0000}"/>
    <cellStyle name="Positive 2 2 9 3 8 2" xfId="18968" xr:uid="{00000000-0005-0000-0000-0000254A0000}"/>
    <cellStyle name="Positive 2 2 9 3 9" xfId="18969" xr:uid="{00000000-0005-0000-0000-0000264A0000}"/>
    <cellStyle name="Positive 2 2 9 3 9 2" xfId="18970" xr:uid="{00000000-0005-0000-0000-0000274A0000}"/>
    <cellStyle name="Positive 2 2 9 4" xfId="18971" xr:uid="{00000000-0005-0000-0000-0000284A0000}"/>
    <cellStyle name="Positive 2 2 9 4 10" xfId="18972" xr:uid="{00000000-0005-0000-0000-0000294A0000}"/>
    <cellStyle name="Positive 2 2 9 4 10 2" xfId="18973" xr:uid="{00000000-0005-0000-0000-00002A4A0000}"/>
    <cellStyle name="Positive 2 2 9 4 11" xfId="18974" xr:uid="{00000000-0005-0000-0000-00002B4A0000}"/>
    <cellStyle name="Positive 2 2 9 4 11 2" xfId="18975" xr:uid="{00000000-0005-0000-0000-00002C4A0000}"/>
    <cellStyle name="Positive 2 2 9 4 12" xfId="18976" xr:uid="{00000000-0005-0000-0000-00002D4A0000}"/>
    <cellStyle name="Positive 2 2 9 4 12 2" xfId="18977" xr:uid="{00000000-0005-0000-0000-00002E4A0000}"/>
    <cellStyle name="Positive 2 2 9 4 13" xfId="18978" xr:uid="{00000000-0005-0000-0000-00002F4A0000}"/>
    <cellStyle name="Positive 2 2 9 4 13 2" xfId="18979" xr:uid="{00000000-0005-0000-0000-0000304A0000}"/>
    <cellStyle name="Positive 2 2 9 4 14" xfId="18980" xr:uid="{00000000-0005-0000-0000-0000314A0000}"/>
    <cellStyle name="Positive 2 2 9 4 14 2" xfId="18981" xr:uid="{00000000-0005-0000-0000-0000324A0000}"/>
    <cellStyle name="Positive 2 2 9 4 15" xfId="18982" xr:uid="{00000000-0005-0000-0000-0000334A0000}"/>
    <cellStyle name="Positive 2 2 9 4 15 2" xfId="18983" xr:uid="{00000000-0005-0000-0000-0000344A0000}"/>
    <cellStyle name="Positive 2 2 9 4 16" xfId="18984" xr:uid="{00000000-0005-0000-0000-0000354A0000}"/>
    <cellStyle name="Positive 2 2 9 4 16 2" xfId="18985" xr:uid="{00000000-0005-0000-0000-0000364A0000}"/>
    <cellStyle name="Positive 2 2 9 4 17" xfId="18986" xr:uid="{00000000-0005-0000-0000-0000374A0000}"/>
    <cellStyle name="Positive 2 2 9 4 17 2" xfId="18987" xr:uid="{00000000-0005-0000-0000-0000384A0000}"/>
    <cellStyle name="Positive 2 2 9 4 18" xfId="18988" xr:uid="{00000000-0005-0000-0000-0000394A0000}"/>
    <cellStyle name="Positive 2 2 9 4 18 2" xfId="18989" xr:uid="{00000000-0005-0000-0000-00003A4A0000}"/>
    <cellStyle name="Positive 2 2 9 4 19" xfId="18990" xr:uid="{00000000-0005-0000-0000-00003B4A0000}"/>
    <cellStyle name="Positive 2 2 9 4 19 2" xfId="18991" xr:uid="{00000000-0005-0000-0000-00003C4A0000}"/>
    <cellStyle name="Positive 2 2 9 4 2" xfId="18992" xr:uid="{00000000-0005-0000-0000-00003D4A0000}"/>
    <cellStyle name="Positive 2 2 9 4 2 10" xfId="18993" xr:uid="{00000000-0005-0000-0000-00003E4A0000}"/>
    <cellStyle name="Positive 2 2 9 4 2 10 2" xfId="18994" xr:uid="{00000000-0005-0000-0000-00003F4A0000}"/>
    <cellStyle name="Positive 2 2 9 4 2 11" xfId="18995" xr:uid="{00000000-0005-0000-0000-0000404A0000}"/>
    <cellStyle name="Positive 2 2 9 4 2 11 2" xfId="18996" xr:uid="{00000000-0005-0000-0000-0000414A0000}"/>
    <cellStyle name="Positive 2 2 9 4 2 12" xfId="18997" xr:uid="{00000000-0005-0000-0000-0000424A0000}"/>
    <cellStyle name="Positive 2 2 9 4 2 12 2" xfId="18998" xr:uid="{00000000-0005-0000-0000-0000434A0000}"/>
    <cellStyle name="Positive 2 2 9 4 2 13" xfId="18999" xr:uid="{00000000-0005-0000-0000-0000444A0000}"/>
    <cellStyle name="Positive 2 2 9 4 2 13 2" xfId="19000" xr:uid="{00000000-0005-0000-0000-0000454A0000}"/>
    <cellStyle name="Positive 2 2 9 4 2 14" xfId="19001" xr:uid="{00000000-0005-0000-0000-0000464A0000}"/>
    <cellStyle name="Positive 2 2 9 4 2 14 2" xfId="19002" xr:uid="{00000000-0005-0000-0000-0000474A0000}"/>
    <cellStyle name="Positive 2 2 9 4 2 15" xfId="19003" xr:uid="{00000000-0005-0000-0000-0000484A0000}"/>
    <cellStyle name="Positive 2 2 9 4 2 15 2" xfId="19004" xr:uid="{00000000-0005-0000-0000-0000494A0000}"/>
    <cellStyle name="Positive 2 2 9 4 2 16" xfId="19005" xr:uid="{00000000-0005-0000-0000-00004A4A0000}"/>
    <cellStyle name="Positive 2 2 9 4 2 16 2" xfId="19006" xr:uid="{00000000-0005-0000-0000-00004B4A0000}"/>
    <cellStyle name="Positive 2 2 9 4 2 17" xfId="19007" xr:uid="{00000000-0005-0000-0000-00004C4A0000}"/>
    <cellStyle name="Positive 2 2 9 4 2 2" xfId="19008" xr:uid="{00000000-0005-0000-0000-00004D4A0000}"/>
    <cellStyle name="Positive 2 2 9 4 2 2 2" xfId="19009" xr:uid="{00000000-0005-0000-0000-00004E4A0000}"/>
    <cellStyle name="Positive 2 2 9 4 2 3" xfId="19010" xr:uid="{00000000-0005-0000-0000-00004F4A0000}"/>
    <cellStyle name="Positive 2 2 9 4 2 3 2" xfId="19011" xr:uid="{00000000-0005-0000-0000-0000504A0000}"/>
    <cellStyle name="Positive 2 2 9 4 2 4" xfId="19012" xr:uid="{00000000-0005-0000-0000-0000514A0000}"/>
    <cellStyle name="Positive 2 2 9 4 2 4 2" xfId="19013" xr:uid="{00000000-0005-0000-0000-0000524A0000}"/>
    <cellStyle name="Positive 2 2 9 4 2 5" xfId="19014" xr:uid="{00000000-0005-0000-0000-0000534A0000}"/>
    <cellStyle name="Positive 2 2 9 4 2 5 2" xfId="19015" xr:uid="{00000000-0005-0000-0000-0000544A0000}"/>
    <cellStyle name="Positive 2 2 9 4 2 6" xfId="19016" xr:uid="{00000000-0005-0000-0000-0000554A0000}"/>
    <cellStyle name="Positive 2 2 9 4 2 6 2" xfId="19017" xr:uid="{00000000-0005-0000-0000-0000564A0000}"/>
    <cellStyle name="Positive 2 2 9 4 2 7" xfId="19018" xr:uid="{00000000-0005-0000-0000-0000574A0000}"/>
    <cellStyle name="Positive 2 2 9 4 2 7 2" xfId="19019" xr:uid="{00000000-0005-0000-0000-0000584A0000}"/>
    <cellStyle name="Positive 2 2 9 4 2 8" xfId="19020" xr:uid="{00000000-0005-0000-0000-0000594A0000}"/>
    <cellStyle name="Positive 2 2 9 4 2 8 2" xfId="19021" xr:uid="{00000000-0005-0000-0000-00005A4A0000}"/>
    <cellStyle name="Positive 2 2 9 4 2 9" xfId="19022" xr:uid="{00000000-0005-0000-0000-00005B4A0000}"/>
    <cellStyle name="Positive 2 2 9 4 2 9 2" xfId="19023" xr:uid="{00000000-0005-0000-0000-00005C4A0000}"/>
    <cellStyle name="Positive 2 2 9 4 20" xfId="19024" xr:uid="{00000000-0005-0000-0000-00005D4A0000}"/>
    <cellStyle name="Positive 2 2 9 4 3" xfId="19025" xr:uid="{00000000-0005-0000-0000-00005E4A0000}"/>
    <cellStyle name="Positive 2 2 9 4 3 2" xfId="19026" xr:uid="{00000000-0005-0000-0000-00005F4A0000}"/>
    <cellStyle name="Positive 2 2 9 4 3 2 2" xfId="19027" xr:uid="{00000000-0005-0000-0000-0000604A0000}"/>
    <cellStyle name="Positive 2 2 9 4 3 3" xfId="19028" xr:uid="{00000000-0005-0000-0000-0000614A0000}"/>
    <cellStyle name="Positive 2 2 9 4 4" xfId="19029" xr:uid="{00000000-0005-0000-0000-0000624A0000}"/>
    <cellStyle name="Positive 2 2 9 4 4 2" xfId="19030" xr:uid="{00000000-0005-0000-0000-0000634A0000}"/>
    <cellStyle name="Positive 2 2 9 4 4 2 2" xfId="19031" xr:uid="{00000000-0005-0000-0000-0000644A0000}"/>
    <cellStyle name="Positive 2 2 9 4 4 3" xfId="19032" xr:uid="{00000000-0005-0000-0000-0000654A0000}"/>
    <cellStyle name="Positive 2 2 9 4 5" xfId="19033" xr:uid="{00000000-0005-0000-0000-0000664A0000}"/>
    <cellStyle name="Positive 2 2 9 4 5 2" xfId="19034" xr:uid="{00000000-0005-0000-0000-0000674A0000}"/>
    <cellStyle name="Positive 2 2 9 4 6" xfId="19035" xr:uid="{00000000-0005-0000-0000-0000684A0000}"/>
    <cellStyle name="Positive 2 2 9 4 6 2" xfId="19036" xr:uid="{00000000-0005-0000-0000-0000694A0000}"/>
    <cellStyle name="Positive 2 2 9 4 7" xfId="19037" xr:uid="{00000000-0005-0000-0000-00006A4A0000}"/>
    <cellStyle name="Positive 2 2 9 4 7 2" xfId="19038" xr:uid="{00000000-0005-0000-0000-00006B4A0000}"/>
    <cellStyle name="Positive 2 2 9 4 8" xfId="19039" xr:uid="{00000000-0005-0000-0000-00006C4A0000}"/>
    <cellStyle name="Positive 2 2 9 4 8 2" xfId="19040" xr:uid="{00000000-0005-0000-0000-00006D4A0000}"/>
    <cellStyle name="Positive 2 2 9 4 9" xfId="19041" xr:uid="{00000000-0005-0000-0000-00006E4A0000}"/>
    <cellStyle name="Positive 2 2 9 4 9 2" xfId="19042" xr:uid="{00000000-0005-0000-0000-00006F4A0000}"/>
    <cellStyle name="Positive 2 2 9 5" xfId="19043" xr:uid="{00000000-0005-0000-0000-0000704A0000}"/>
    <cellStyle name="Positive 2 2 9 5 10" xfId="19044" xr:uid="{00000000-0005-0000-0000-0000714A0000}"/>
    <cellStyle name="Positive 2 2 9 5 10 2" xfId="19045" xr:uid="{00000000-0005-0000-0000-0000724A0000}"/>
    <cellStyle name="Positive 2 2 9 5 11" xfId="19046" xr:uid="{00000000-0005-0000-0000-0000734A0000}"/>
    <cellStyle name="Positive 2 2 9 5 11 2" xfId="19047" xr:uid="{00000000-0005-0000-0000-0000744A0000}"/>
    <cellStyle name="Positive 2 2 9 5 12" xfId="19048" xr:uid="{00000000-0005-0000-0000-0000754A0000}"/>
    <cellStyle name="Positive 2 2 9 5 12 2" xfId="19049" xr:uid="{00000000-0005-0000-0000-0000764A0000}"/>
    <cellStyle name="Positive 2 2 9 5 13" xfId="19050" xr:uid="{00000000-0005-0000-0000-0000774A0000}"/>
    <cellStyle name="Positive 2 2 9 5 13 2" xfId="19051" xr:uid="{00000000-0005-0000-0000-0000784A0000}"/>
    <cellStyle name="Positive 2 2 9 5 14" xfId="19052" xr:uid="{00000000-0005-0000-0000-0000794A0000}"/>
    <cellStyle name="Positive 2 2 9 5 14 2" xfId="19053" xr:uid="{00000000-0005-0000-0000-00007A4A0000}"/>
    <cellStyle name="Positive 2 2 9 5 15" xfId="19054" xr:uid="{00000000-0005-0000-0000-00007B4A0000}"/>
    <cellStyle name="Positive 2 2 9 5 15 2" xfId="19055" xr:uid="{00000000-0005-0000-0000-00007C4A0000}"/>
    <cellStyle name="Positive 2 2 9 5 16" xfId="19056" xr:uid="{00000000-0005-0000-0000-00007D4A0000}"/>
    <cellStyle name="Positive 2 2 9 5 16 2" xfId="19057" xr:uid="{00000000-0005-0000-0000-00007E4A0000}"/>
    <cellStyle name="Positive 2 2 9 5 17" xfId="19058" xr:uid="{00000000-0005-0000-0000-00007F4A0000}"/>
    <cellStyle name="Positive 2 2 9 5 2" xfId="19059" xr:uid="{00000000-0005-0000-0000-0000804A0000}"/>
    <cellStyle name="Positive 2 2 9 5 2 2" xfId="19060" xr:uid="{00000000-0005-0000-0000-0000814A0000}"/>
    <cellStyle name="Positive 2 2 9 5 3" xfId="19061" xr:uid="{00000000-0005-0000-0000-0000824A0000}"/>
    <cellStyle name="Positive 2 2 9 5 3 2" xfId="19062" xr:uid="{00000000-0005-0000-0000-0000834A0000}"/>
    <cellStyle name="Positive 2 2 9 5 4" xfId="19063" xr:uid="{00000000-0005-0000-0000-0000844A0000}"/>
    <cellStyle name="Positive 2 2 9 5 4 2" xfId="19064" xr:uid="{00000000-0005-0000-0000-0000854A0000}"/>
    <cellStyle name="Positive 2 2 9 5 5" xfId="19065" xr:uid="{00000000-0005-0000-0000-0000864A0000}"/>
    <cellStyle name="Positive 2 2 9 5 5 2" xfId="19066" xr:uid="{00000000-0005-0000-0000-0000874A0000}"/>
    <cellStyle name="Positive 2 2 9 5 6" xfId="19067" xr:uid="{00000000-0005-0000-0000-0000884A0000}"/>
    <cellStyle name="Positive 2 2 9 5 6 2" xfId="19068" xr:uid="{00000000-0005-0000-0000-0000894A0000}"/>
    <cellStyle name="Positive 2 2 9 5 7" xfId="19069" xr:uid="{00000000-0005-0000-0000-00008A4A0000}"/>
    <cellStyle name="Positive 2 2 9 5 7 2" xfId="19070" xr:uid="{00000000-0005-0000-0000-00008B4A0000}"/>
    <cellStyle name="Positive 2 2 9 5 8" xfId="19071" xr:uid="{00000000-0005-0000-0000-00008C4A0000}"/>
    <cellStyle name="Positive 2 2 9 5 8 2" xfId="19072" xr:uid="{00000000-0005-0000-0000-00008D4A0000}"/>
    <cellStyle name="Positive 2 2 9 5 9" xfId="19073" xr:uid="{00000000-0005-0000-0000-00008E4A0000}"/>
    <cellStyle name="Positive 2 2 9 5 9 2" xfId="19074" xr:uid="{00000000-0005-0000-0000-00008F4A0000}"/>
    <cellStyle name="Positive 2 2 9 6" xfId="19075" xr:uid="{00000000-0005-0000-0000-0000904A0000}"/>
    <cellStyle name="Positive 2 2 9 6 2" xfId="19076" xr:uid="{00000000-0005-0000-0000-0000914A0000}"/>
    <cellStyle name="Positive 2 2 9 6 2 2" xfId="19077" xr:uid="{00000000-0005-0000-0000-0000924A0000}"/>
    <cellStyle name="Positive 2 2 9 6 3" xfId="19078" xr:uid="{00000000-0005-0000-0000-0000934A0000}"/>
    <cellStyle name="Positive 2 2 9 7" xfId="19079" xr:uid="{00000000-0005-0000-0000-0000944A0000}"/>
    <cellStyle name="Positive 2 2 9 7 2" xfId="19080" xr:uid="{00000000-0005-0000-0000-0000954A0000}"/>
    <cellStyle name="Positive 2 2 9 7 2 2" xfId="19081" xr:uid="{00000000-0005-0000-0000-0000964A0000}"/>
    <cellStyle name="Positive 2 2 9 7 3" xfId="19082" xr:uid="{00000000-0005-0000-0000-0000974A0000}"/>
    <cellStyle name="Positive 2 2 9 8" xfId="19083" xr:uid="{00000000-0005-0000-0000-0000984A0000}"/>
    <cellStyle name="Positive 2 2 9 8 2" xfId="19084" xr:uid="{00000000-0005-0000-0000-0000994A0000}"/>
    <cellStyle name="Positive 2 2 9 9" xfId="19085" xr:uid="{00000000-0005-0000-0000-00009A4A0000}"/>
    <cellStyle name="Positive 2 2 9 9 2" xfId="19086" xr:uid="{00000000-0005-0000-0000-00009B4A0000}"/>
    <cellStyle name="Positive 2 20" xfId="19087" xr:uid="{00000000-0005-0000-0000-00009C4A0000}"/>
    <cellStyle name="Positive 2 20 10" xfId="19088" xr:uid="{00000000-0005-0000-0000-00009D4A0000}"/>
    <cellStyle name="Positive 2 20 10 2" xfId="19089" xr:uid="{00000000-0005-0000-0000-00009E4A0000}"/>
    <cellStyle name="Positive 2 20 11" xfId="19090" xr:uid="{00000000-0005-0000-0000-00009F4A0000}"/>
    <cellStyle name="Positive 2 20 11 2" xfId="19091" xr:uid="{00000000-0005-0000-0000-0000A04A0000}"/>
    <cellStyle name="Positive 2 20 12" xfId="19092" xr:uid="{00000000-0005-0000-0000-0000A14A0000}"/>
    <cellStyle name="Positive 2 20 12 2" xfId="19093" xr:uid="{00000000-0005-0000-0000-0000A24A0000}"/>
    <cellStyle name="Positive 2 20 13" xfId="19094" xr:uid="{00000000-0005-0000-0000-0000A34A0000}"/>
    <cellStyle name="Positive 2 20 13 2" xfId="19095" xr:uid="{00000000-0005-0000-0000-0000A44A0000}"/>
    <cellStyle name="Positive 2 20 14" xfId="19096" xr:uid="{00000000-0005-0000-0000-0000A54A0000}"/>
    <cellStyle name="Positive 2 20 14 2" xfId="19097" xr:uid="{00000000-0005-0000-0000-0000A64A0000}"/>
    <cellStyle name="Positive 2 20 15" xfId="19098" xr:uid="{00000000-0005-0000-0000-0000A74A0000}"/>
    <cellStyle name="Positive 2 20 15 2" xfId="19099" xr:uid="{00000000-0005-0000-0000-0000A84A0000}"/>
    <cellStyle name="Positive 2 20 16" xfId="19100" xr:uid="{00000000-0005-0000-0000-0000A94A0000}"/>
    <cellStyle name="Positive 2 20 16 2" xfId="19101" xr:uid="{00000000-0005-0000-0000-0000AA4A0000}"/>
    <cellStyle name="Positive 2 20 17" xfId="19102" xr:uid="{00000000-0005-0000-0000-0000AB4A0000}"/>
    <cellStyle name="Positive 2 20 17 2" xfId="19103" xr:uid="{00000000-0005-0000-0000-0000AC4A0000}"/>
    <cellStyle name="Positive 2 20 18" xfId="19104" xr:uid="{00000000-0005-0000-0000-0000AD4A0000}"/>
    <cellStyle name="Positive 2 20 18 2" xfId="19105" xr:uid="{00000000-0005-0000-0000-0000AE4A0000}"/>
    <cellStyle name="Positive 2 20 19" xfId="19106" xr:uid="{00000000-0005-0000-0000-0000AF4A0000}"/>
    <cellStyle name="Positive 2 20 19 2" xfId="19107" xr:uid="{00000000-0005-0000-0000-0000B04A0000}"/>
    <cellStyle name="Positive 2 20 2" xfId="19108" xr:uid="{00000000-0005-0000-0000-0000B14A0000}"/>
    <cellStyle name="Positive 2 20 2 10" xfId="19109" xr:uid="{00000000-0005-0000-0000-0000B24A0000}"/>
    <cellStyle name="Positive 2 20 2 10 2" xfId="19110" xr:uid="{00000000-0005-0000-0000-0000B34A0000}"/>
    <cellStyle name="Positive 2 20 2 11" xfId="19111" xr:uid="{00000000-0005-0000-0000-0000B44A0000}"/>
    <cellStyle name="Positive 2 20 2 11 2" xfId="19112" xr:uid="{00000000-0005-0000-0000-0000B54A0000}"/>
    <cellStyle name="Positive 2 20 2 12" xfId="19113" xr:uid="{00000000-0005-0000-0000-0000B64A0000}"/>
    <cellStyle name="Positive 2 20 2 12 2" xfId="19114" xr:uid="{00000000-0005-0000-0000-0000B74A0000}"/>
    <cellStyle name="Positive 2 20 2 13" xfId="19115" xr:uid="{00000000-0005-0000-0000-0000B84A0000}"/>
    <cellStyle name="Positive 2 20 2 13 2" xfId="19116" xr:uid="{00000000-0005-0000-0000-0000B94A0000}"/>
    <cellStyle name="Positive 2 20 2 14" xfId="19117" xr:uid="{00000000-0005-0000-0000-0000BA4A0000}"/>
    <cellStyle name="Positive 2 20 2 14 2" xfId="19118" xr:uid="{00000000-0005-0000-0000-0000BB4A0000}"/>
    <cellStyle name="Positive 2 20 2 15" xfId="19119" xr:uid="{00000000-0005-0000-0000-0000BC4A0000}"/>
    <cellStyle name="Positive 2 20 2 15 2" xfId="19120" xr:uid="{00000000-0005-0000-0000-0000BD4A0000}"/>
    <cellStyle name="Positive 2 20 2 16" xfId="19121" xr:uid="{00000000-0005-0000-0000-0000BE4A0000}"/>
    <cellStyle name="Positive 2 20 2 16 2" xfId="19122" xr:uid="{00000000-0005-0000-0000-0000BF4A0000}"/>
    <cellStyle name="Positive 2 20 2 17" xfId="19123" xr:uid="{00000000-0005-0000-0000-0000C04A0000}"/>
    <cellStyle name="Positive 2 20 2 17 2" xfId="19124" xr:uid="{00000000-0005-0000-0000-0000C14A0000}"/>
    <cellStyle name="Positive 2 20 2 18" xfId="19125" xr:uid="{00000000-0005-0000-0000-0000C24A0000}"/>
    <cellStyle name="Positive 2 20 2 18 2" xfId="19126" xr:uid="{00000000-0005-0000-0000-0000C34A0000}"/>
    <cellStyle name="Positive 2 20 2 19" xfId="19127" xr:uid="{00000000-0005-0000-0000-0000C44A0000}"/>
    <cellStyle name="Positive 2 20 2 19 2" xfId="19128" xr:uid="{00000000-0005-0000-0000-0000C54A0000}"/>
    <cellStyle name="Positive 2 20 2 2" xfId="19129" xr:uid="{00000000-0005-0000-0000-0000C64A0000}"/>
    <cellStyle name="Positive 2 20 2 2 10" xfId="19130" xr:uid="{00000000-0005-0000-0000-0000C74A0000}"/>
    <cellStyle name="Positive 2 20 2 2 10 2" xfId="19131" xr:uid="{00000000-0005-0000-0000-0000C84A0000}"/>
    <cellStyle name="Positive 2 20 2 2 11" xfId="19132" xr:uid="{00000000-0005-0000-0000-0000C94A0000}"/>
    <cellStyle name="Positive 2 20 2 2 11 2" xfId="19133" xr:uid="{00000000-0005-0000-0000-0000CA4A0000}"/>
    <cellStyle name="Positive 2 20 2 2 12" xfId="19134" xr:uid="{00000000-0005-0000-0000-0000CB4A0000}"/>
    <cellStyle name="Positive 2 20 2 2 12 2" xfId="19135" xr:uid="{00000000-0005-0000-0000-0000CC4A0000}"/>
    <cellStyle name="Positive 2 20 2 2 13" xfId="19136" xr:uid="{00000000-0005-0000-0000-0000CD4A0000}"/>
    <cellStyle name="Positive 2 20 2 2 13 2" xfId="19137" xr:uid="{00000000-0005-0000-0000-0000CE4A0000}"/>
    <cellStyle name="Positive 2 20 2 2 14" xfId="19138" xr:uid="{00000000-0005-0000-0000-0000CF4A0000}"/>
    <cellStyle name="Positive 2 20 2 2 14 2" xfId="19139" xr:uid="{00000000-0005-0000-0000-0000D04A0000}"/>
    <cellStyle name="Positive 2 20 2 2 15" xfId="19140" xr:uid="{00000000-0005-0000-0000-0000D14A0000}"/>
    <cellStyle name="Positive 2 20 2 2 15 2" xfId="19141" xr:uid="{00000000-0005-0000-0000-0000D24A0000}"/>
    <cellStyle name="Positive 2 20 2 2 16" xfId="19142" xr:uid="{00000000-0005-0000-0000-0000D34A0000}"/>
    <cellStyle name="Positive 2 20 2 2 16 2" xfId="19143" xr:uid="{00000000-0005-0000-0000-0000D44A0000}"/>
    <cellStyle name="Positive 2 20 2 2 17" xfId="19144" xr:uid="{00000000-0005-0000-0000-0000D54A0000}"/>
    <cellStyle name="Positive 2 20 2 2 2" xfId="19145" xr:uid="{00000000-0005-0000-0000-0000D64A0000}"/>
    <cellStyle name="Positive 2 20 2 2 2 2" xfId="19146" xr:uid="{00000000-0005-0000-0000-0000D74A0000}"/>
    <cellStyle name="Positive 2 20 2 2 3" xfId="19147" xr:uid="{00000000-0005-0000-0000-0000D84A0000}"/>
    <cellStyle name="Positive 2 20 2 2 3 2" xfId="19148" xr:uid="{00000000-0005-0000-0000-0000D94A0000}"/>
    <cellStyle name="Positive 2 20 2 2 4" xfId="19149" xr:uid="{00000000-0005-0000-0000-0000DA4A0000}"/>
    <cellStyle name="Positive 2 20 2 2 4 2" xfId="19150" xr:uid="{00000000-0005-0000-0000-0000DB4A0000}"/>
    <cellStyle name="Positive 2 20 2 2 5" xfId="19151" xr:uid="{00000000-0005-0000-0000-0000DC4A0000}"/>
    <cellStyle name="Positive 2 20 2 2 5 2" xfId="19152" xr:uid="{00000000-0005-0000-0000-0000DD4A0000}"/>
    <cellStyle name="Positive 2 20 2 2 6" xfId="19153" xr:uid="{00000000-0005-0000-0000-0000DE4A0000}"/>
    <cellStyle name="Positive 2 20 2 2 6 2" xfId="19154" xr:uid="{00000000-0005-0000-0000-0000DF4A0000}"/>
    <cellStyle name="Positive 2 20 2 2 7" xfId="19155" xr:uid="{00000000-0005-0000-0000-0000E04A0000}"/>
    <cellStyle name="Positive 2 20 2 2 7 2" xfId="19156" xr:uid="{00000000-0005-0000-0000-0000E14A0000}"/>
    <cellStyle name="Positive 2 20 2 2 8" xfId="19157" xr:uid="{00000000-0005-0000-0000-0000E24A0000}"/>
    <cellStyle name="Positive 2 20 2 2 8 2" xfId="19158" xr:uid="{00000000-0005-0000-0000-0000E34A0000}"/>
    <cellStyle name="Positive 2 20 2 2 9" xfId="19159" xr:uid="{00000000-0005-0000-0000-0000E44A0000}"/>
    <cellStyle name="Positive 2 20 2 2 9 2" xfId="19160" xr:uid="{00000000-0005-0000-0000-0000E54A0000}"/>
    <cellStyle name="Positive 2 20 2 20" xfId="19161" xr:uid="{00000000-0005-0000-0000-0000E64A0000}"/>
    <cellStyle name="Positive 2 20 2 3" xfId="19162" xr:uid="{00000000-0005-0000-0000-0000E74A0000}"/>
    <cellStyle name="Positive 2 20 2 3 2" xfId="19163" xr:uid="{00000000-0005-0000-0000-0000E84A0000}"/>
    <cellStyle name="Positive 2 20 2 3 2 2" xfId="19164" xr:uid="{00000000-0005-0000-0000-0000E94A0000}"/>
    <cellStyle name="Positive 2 20 2 3 3" xfId="19165" xr:uid="{00000000-0005-0000-0000-0000EA4A0000}"/>
    <cellStyle name="Positive 2 20 2 4" xfId="19166" xr:uid="{00000000-0005-0000-0000-0000EB4A0000}"/>
    <cellStyle name="Positive 2 20 2 4 2" xfId="19167" xr:uid="{00000000-0005-0000-0000-0000EC4A0000}"/>
    <cellStyle name="Positive 2 20 2 4 2 2" xfId="19168" xr:uid="{00000000-0005-0000-0000-0000ED4A0000}"/>
    <cellStyle name="Positive 2 20 2 4 3" xfId="19169" xr:uid="{00000000-0005-0000-0000-0000EE4A0000}"/>
    <cellStyle name="Positive 2 20 2 5" xfId="19170" xr:uid="{00000000-0005-0000-0000-0000EF4A0000}"/>
    <cellStyle name="Positive 2 20 2 5 2" xfId="19171" xr:uid="{00000000-0005-0000-0000-0000F04A0000}"/>
    <cellStyle name="Positive 2 20 2 6" xfId="19172" xr:uid="{00000000-0005-0000-0000-0000F14A0000}"/>
    <cellStyle name="Positive 2 20 2 6 2" xfId="19173" xr:uid="{00000000-0005-0000-0000-0000F24A0000}"/>
    <cellStyle name="Positive 2 20 2 7" xfId="19174" xr:uid="{00000000-0005-0000-0000-0000F34A0000}"/>
    <cellStyle name="Positive 2 20 2 7 2" xfId="19175" xr:uid="{00000000-0005-0000-0000-0000F44A0000}"/>
    <cellStyle name="Positive 2 20 2 8" xfId="19176" xr:uid="{00000000-0005-0000-0000-0000F54A0000}"/>
    <cellStyle name="Positive 2 20 2 8 2" xfId="19177" xr:uid="{00000000-0005-0000-0000-0000F64A0000}"/>
    <cellStyle name="Positive 2 20 2 9" xfId="19178" xr:uid="{00000000-0005-0000-0000-0000F74A0000}"/>
    <cellStyle name="Positive 2 20 2 9 2" xfId="19179" xr:uid="{00000000-0005-0000-0000-0000F84A0000}"/>
    <cellStyle name="Positive 2 20 20" xfId="19180" xr:uid="{00000000-0005-0000-0000-0000F94A0000}"/>
    <cellStyle name="Positive 2 20 20 2" xfId="19181" xr:uid="{00000000-0005-0000-0000-0000FA4A0000}"/>
    <cellStyle name="Positive 2 20 21" xfId="19182" xr:uid="{00000000-0005-0000-0000-0000FB4A0000}"/>
    <cellStyle name="Positive 2 20 21 2" xfId="19183" xr:uid="{00000000-0005-0000-0000-0000FC4A0000}"/>
    <cellStyle name="Positive 2 20 22" xfId="19184" xr:uid="{00000000-0005-0000-0000-0000FD4A0000}"/>
    <cellStyle name="Positive 2 20 22 2" xfId="19185" xr:uid="{00000000-0005-0000-0000-0000FE4A0000}"/>
    <cellStyle name="Positive 2 20 23" xfId="19186" xr:uid="{00000000-0005-0000-0000-0000FF4A0000}"/>
    <cellStyle name="Positive 2 20 3" xfId="19187" xr:uid="{00000000-0005-0000-0000-0000004B0000}"/>
    <cellStyle name="Positive 2 20 3 10" xfId="19188" xr:uid="{00000000-0005-0000-0000-0000014B0000}"/>
    <cellStyle name="Positive 2 20 3 10 2" xfId="19189" xr:uid="{00000000-0005-0000-0000-0000024B0000}"/>
    <cellStyle name="Positive 2 20 3 11" xfId="19190" xr:uid="{00000000-0005-0000-0000-0000034B0000}"/>
    <cellStyle name="Positive 2 20 3 11 2" xfId="19191" xr:uid="{00000000-0005-0000-0000-0000044B0000}"/>
    <cellStyle name="Positive 2 20 3 12" xfId="19192" xr:uid="{00000000-0005-0000-0000-0000054B0000}"/>
    <cellStyle name="Positive 2 20 3 12 2" xfId="19193" xr:uid="{00000000-0005-0000-0000-0000064B0000}"/>
    <cellStyle name="Positive 2 20 3 13" xfId="19194" xr:uid="{00000000-0005-0000-0000-0000074B0000}"/>
    <cellStyle name="Positive 2 20 3 13 2" xfId="19195" xr:uid="{00000000-0005-0000-0000-0000084B0000}"/>
    <cellStyle name="Positive 2 20 3 14" xfId="19196" xr:uid="{00000000-0005-0000-0000-0000094B0000}"/>
    <cellStyle name="Positive 2 20 3 14 2" xfId="19197" xr:uid="{00000000-0005-0000-0000-00000A4B0000}"/>
    <cellStyle name="Positive 2 20 3 15" xfId="19198" xr:uid="{00000000-0005-0000-0000-00000B4B0000}"/>
    <cellStyle name="Positive 2 20 3 15 2" xfId="19199" xr:uid="{00000000-0005-0000-0000-00000C4B0000}"/>
    <cellStyle name="Positive 2 20 3 16" xfId="19200" xr:uid="{00000000-0005-0000-0000-00000D4B0000}"/>
    <cellStyle name="Positive 2 20 3 16 2" xfId="19201" xr:uid="{00000000-0005-0000-0000-00000E4B0000}"/>
    <cellStyle name="Positive 2 20 3 17" xfId="19202" xr:uid="{00000000-0005-0000-0000-00000F4B0000}"/>
    <cellStyle name="Positive 2 20 3 17 2" xfId="19203" xr:uid="{00000000-0005-0000-0000-0000104B0000}"/>
    <cellStyle name="Positive 2 20 3 18" xfId="19204" xr:uid="{00000000-0005-0000-0000-0000114B0000}"/>
    <cellStyle name="Positive 2 20 3 18 2" xfId="19205" xr:uid="{00000000-0005-0000-0000-0000124B0000}"/>
    <cellStyle name="Positive 2 20 3 19" xfId="19206" xr:uid="{00000000-0005-0000-0000-0000134B0000}"/>
    <cellStyle name="Positive 2 20 3 19 2" xfId="19207" xr:uid="{00000000-0005-0000-0000-0000144B0000}"/>
    <cellStyle name="Positive 2 20 3 2" xfId="19208" xr:uid="{00000000-0005-0000-0000-0000154B0000}"/>
    <cellStyle name="Positive 2 20 3 2 10" xfId="19209" xr:uid="{00000000-0005-0000-0000-0000164B0000}"/>
    <cellStyle name="Positive 2 20 3 2 10 2" xfId="19210" xr:uid="{00000000-0005-0000-0000-0000174B0000}"/>
    <cellStyle name="Positive 2 20 3 2 11" xfId="19211" xr:uid="{00000000-0005-0000-0000-0000184B0000}"/>
    <cellStyle name="Positive 2 20 3 2 11 2" xfId="19212" xr:uid="{00000000-0005-0000-0000-0000194B0000}"/>
    <cellStyle name="Positive 2 20 3 2 12" xfId="19213" xr:uid="{00000000-0005-0000-0000-00001A4B0000}"/>
    <cellStyle name="Positive 2 20 3 2 12 2" xfId="19214" xr:uid="{00000000-0005-0000-0000-00001B4B0000}"/>
    <cellStyle name="Positive 2 20 3 2 13" xfId="19215" xr:uid="{00000000-0005-0000-0000-00001C4B0000}"/>
    <cellStyle name="Positive 2 20 3 2 13 2" xfId="19216" xr:uid="{00000000-0005-0000-0000-00001D4B0000}"/>
    <cellStyle name="Positive 2 20 3 2 14" xfId="19217" xr:uid="{00000000-0005-0000-0000-00001E4B0000}"/>
    <cellStyle name="Positive 2 20 3 2 14 2" xfId="19218" xr:uid="{00000000-0005-0000-0000-00001F4B0000}"/>
    <cellStyle name="Positive 2 20 3 2 15" xfId="19219" xr:uid="{00000000-0005-0000-0000-0000204B0000}"/>
    <cellStyle name="Positive 2 20 3 2 15 2" xfId="19220" xr:uid="{00000000-0005-0000-0000-0000214B0000}"/>
    <cellStyle name="Positive 2 20 3 2 16" xfId="19221" xr:uid="{00000000-0005-0000-0000-0000224B0000}"/>
    <cellStyle name="Positive 2 20 3 2 16 2" xfId="19222" xr:uid="{00000000-0005-0000-0000-0000234B0000}"/>
    <cellStyle name="Positive 2 20 3 2 17" xfId="19223" xr:uid="{00000000-0005-0000-0000-0000244B0000}"/>
    <cellStyle name="Positive 2 20 3 2 2" xfId="19224" xr:uid="{00000000-0005-0000-0000-0000254B0000}"/>
    <cellStyle name="Positive 2 20 3 2 2 2" xfId="19225" xr:uid="{00000000-0005-0000-0000-0000264B0000}"/>
    <cellStyle name="Positive 2 20 3 2 3" xfId="19226" xr:uid="{00000000-0005-0000-0000-0000274B0000}"/>
    <cellStyle name="Positive 2 20 3 2 3 2" xfId="19227" xr:uid="{00000000-0005-0000-0000-0000284B0000}"/>
    <cellStyle name="Positive 2 20 3 2 4" xfId="19228" xr:uid="{00000000-0005-0000-0000-0000294B0000}"/>
    <cellStyle name="Positive 2 20 3 2 4 2" xfId="19229" xr:uid="{00000000-0005-0000-0000-00002A4B0000}"/>
    <cellStyle name="Positive 2 20 3 2 5" xfId="19230" xr:uid="{00000000-0005-0000-0000-00002B4B0000}"/>
    <cellStyle name="Positive 2 20 3 2 5 2" xfId="19231" xr:uid="{00000000-0005-0000-0000-00002C4B0000}"/>
    <cellStyle name="Positive 2 20 3 2 6" xfId="19232" xr:uid="{00000000-0005-0000-0000-00002D4B0000}"/>
    <cellStyle name="Positive 2 20 3 2 6 2" xfId="19233" xr:uid="{00000000-0005-0000-0000-00002E4B0000}"/>
    <cellStyle name="Positive 2 20 3 2 7" xfId="19234" xr:uid="{00000000-0005-0000-0000-00002F4B0000}"/>
    <cellStyle name="Positive 2 20 3 2 7 2" xfId="19235" xr:uid="{00000000-0005-0000-0000-0000304B0000}"/>
    <cellStyle name="Positive 2 20 3 2 8" xfId="19236" xr:uid="{00000000-0005-0000-0000-0000314B0000}"/>
    <cellStyle name="Positive 2 20 3 2 8 2" xfId="19237" xr:uid="{00000000-0005-0000-0000-0000324B0000}"/>
    <cellStyle name="Positive 2 20 3 2 9" xfId="19238" xr:uid="{00000000-0005-0000-0000-0000334B0000}"/>
    <cellStyle name="Positive 2 20 3 2 9 2" xfId="19239" xr:uid="{00000000-0005-0000-0000-0000344B0000}"/>
    <cellStyle name="Positive 2 20 3 20" xfId="19240" xr:uid="{00000000-0005-0000-0000-0000354B0000}"/>
    <cellStyle name="Positive 2 20 3 3" xfId="19241" xr:uid="{00000000-0005-0000-0000-0000364B0000}"/>
    <cellStyle name="Positive 2 20 3 3 2" xfId="19242" xr:uid="{00000000-0005-0000-0000-0000374B0000}"/>
    <cellStyle name="Positive 2 20 3 3 2 2" xfId="19243" xr:uid="{00000000-0005-0000-0000-0000384B0000}"/>
    <cellStyle name="Positive 2 20 3 3 3" xfId="19244" xr:uid="{00000000-0005-0000-0000-0000394B0000}"/>
    <cellStyle name="Positive 2 20 3 4" xfId="19245" xr:uid="{00000000-0005-0000-0000-00003A4B0000}"/>
    <cellStyle name="Positive 2 20 3 4 2" xfId="19246" xr:uid="{00000000-0005-0000-0000-00003B4B0000}"/>
    <cellStyle name="Positive 2 20 3 4 2 2" xfId="19247" xr:uid="{00000000-0005-0000-0000-00003C4B0000}"/>
    <cellStyle name="Positive 2 20 3 4 3" xfId="19248" xr:uid="{00000000-0005-0000-0000-00003D4B0000}"/>
    <cellStyle name="Positive 2 20 3 5" xfId="19249" xr:uid="{00000000-0005-0000-0000-00003E4B0000}"/>
    <cellStyle name="Positive 2 20 3 5 2" xfId="19250" xr:uid="{00000000-0005-0000-0000-00003F4B0000}"/>
    <cellStyle name="Positive 2 20 3 6" xfId="19251" xr:uid="{00000000-0005-0000-0000-0000404B0000}"/>
    <cellStyle name="Positive 2 20 3 6 2" xfId="19252" xr:uid="{00000000-0005-0000-0000-0000414B0000}"/>
    <cellStyle name="Positive 2 20 3 7" xfId="19253" xr:uid="{00000000-0005-0000-0000-0000424B0000}"/>
    <cellStyle name="Positive 2 20 3 7 2" xfId="19254" xr:uid="{00000000-0005-0000-0000-0000434B0000}"/>
    <cellStyle name="Positive 2 20 3 8" xfId="19255" xr:uid="{00000000-0005-0000-0000-0000444B0000}"/>
    <cellStyle name="Positive 2 20 3 8 2" xfId="19256" xr:uid="{00000000-0005-0000-0000-0000454B0000}"/>
    <cellStyle name="Positive 2 20 3 9" xfId="19257" xr:uid="{00000000-0005-0000-0000-0000464B0000}"/>
    <cellStyle name="Positive 2 20 3 9 2" xfId="19258" xr:uid="{00000000-0005-0000-0000-0000474B0000}"/>
    <cellStyle name="Positive 2 20 4" xfId="19259" xr:uid="{00000000-0005-0000-0000-0000484B0000}"/>
    <cellStyle name="Positive 2 20 4 10" xfId="19260" xr:uid="{00000000-0005-0000-0000-0000494B0000}"/>
    <cellStyle name="Positive 2 20 4 10 2" xfId="19261" xr:uid="{00000000-0005-0000-0000-00004A4B0000}"/>
    <cellStyle name="Positive 2 20 4 11" xfId="19262" xr:uid="{00000000-0005-0000-0000-00004B4B0000}"/>
    <cellStyle name="Positive 2 20 4 11 2" xfId="19263" xr:uid="{00000000-0005-0000-0000-00004C4B0000}"/>
    <cellStyle name="Positive 2 20 4 12" xfId="19264" xr:uid="{00000000-0005-0000-0000-00004D4B0000}"/>
    <cellStyle name="Positive 2 20 4 12 2" xfId="19265" xr:uid="{00000000-0005-0000-0000-00004E4B0000}"/>
    <cellStyle name="Positive 2 20 4 13" xfId="19266" xr:uid="{00000000-0005-0000-0000-00004F4B0000}"/>
    <cellStyle name="Positive 2 20 4 13 2" xfId="19267" xr:uid="{00000000-0005-0000-0000-0000504B0000}"/>
    <cellStyle name="Positive 2 20 4 14" xfId="19268" xr:uid="{00000000-0005-0000-0000-0000514B0000}"/>
    <cellStyle name="Positive 2 20 4 14 2" xfId="19269" xr:uid="{00000000-0005-0000-0000-0000524B0000}"/>
    <cellStyle name="Positive 2 20 4 15" xfId="19270" xr:uid="{00000000-0005-0000-0000-0000534B0000}"/>
    <cellStyle name="Positive 2 20 4 15 2" xfId="19271" xr:uid="{00000000-0005-0000-0000-0000544B0000}"/>
    <cellStyle name="Positive 2 20 4 16" xfId="19272" xr:uid="{00000000-0005-0000-0000-0000554B0000}"/>
    <cellStyle name="Positive 2 20 4 16 2" xfId="19273" xr:uid="{00000000-0005-0000-0000-0000564B0000}"/>
    <cellStyle name="Positive 2 20 4 17" xfId="19274" xr:uid="{00000000-0005-0000-0000-0000574B0000}"/>
    <cellStyle name="Positive 2 20 4 17 2" xfId="19275" xr:uid="{00000000-0005-0000-0000-0000584B0000}"/>
    <cellStyle name="Positive 2 20 4 18" xfId="19276" xr:uid="{00000000-0005-0000-0000-0000594B0000}"/>
    <cellStyle name="Positive 2 20 4 18 2" xfId="19277" xr:uid="{00000000-0005-0000-0000-00005A4B0000}"/>
    <cellStyle name="Positive 2 20 4 19" xfId="19278" xr:uid="{00000000-0005-0000-0000-00005B4B0000}"/>
    <cellStyle name="Positive 2 20 4 19 2" xfId="19279" xr:uid="{00000000-0005-0000-0000-00005C4B0000}"/>
    <cellStyle name="Positive 2 20 4 2" xfId="19280" xr:uid="{00000000-0005-0000-0000-00005D4B0000}"/>
    <cellStyle name="Positive 2 20 4 2 10" xfId="19281" xr:uid="{00000000-0005-0000-0000-00005E4B0000}"/>
    <cellStyle name="Positive 2 20 4 2 10 2" xfId="19282" xr:uid="{00000000-0005-0000-0000-00005F4B0000}"/>
    <cellStyle name="Positive 2 20 4 2 11" xfId="19283" xr:uid="{00000000-0005-0000-0000-0000604B0000}"/>
    <cellStyle name="Positive 2 20 4 2 11 2" xfId="19284" xr:uid="{00000000-0005-0000-0000-0000614B0000}"/>
    <cellStyle name="Positive 2 20 4 2 12" xfId="19285" xr:uid="{00000000-0005-0000-0000-0000624B0000}"/>
    <cellStyle name="Positive 2 20 4 2 12 2" xfId="19286" xr:uid="{00000000-0005-0000-0000-0000634B0000}"/>
    <cellStyle name="Positive 2 20 4 2 13" xfId="19287" xr:uid="{00000000-0005-0000-0000-0000644B0000}"/>
    <cellStyle name="Positive 2 20 4 2 13 2" xfId="19288" xr:uid="{00000000-0005-0000-0000-0000654B0000}"/>
    <cellStyle name="Positive 2 20 4 2 14" xfId="19289" xr:uid="{00000000-0005-0000-0000-0000664B0000}"/>
    <cellStyle name="Positive 2 20 4 2 14 2" xfId="19290" xr:uid="{00000000-0005-0000-0000-0000674B0000}"/>
    <cellStyle name="Positive 2 20 4 2 15" xfId="19291" xr:uid="{00000000-0005-0000-0000-0000684B0000}"/>
    <cellStyle name="Positive 2 20 4 2 15 2" xfId="19292" xr:uid="{00000000-0005-0000-0000-0000694B0000}"/>
    <cellStyle name="Positive 2 20 4 2 16" xfId="19293" xr:uid="{00000000-0005-0000-0000-00006A4B0000}"/>
    <cellStyle name="Positive 2 20 4 2 16 2" xfId="19294" xr:uid="{00000000-0005-0000-0000-00006B4B0000}"/>
    <cellStyle name="Positive 2 20 4 2 17" xfId="19295" xr:uid="{00000000-0005-0000-0000-00006C4B0000}"/>
    <cellStyle name="Positive 2 20 4 2 2" xfId="19296" xr:uid="{00000000-0005-0000-0000-00006D4B0000}"/>
    <cellStyle name="Positive 2 20 4 2 2 2" xfId="19297" xr:uid="{00000000-0005-0000-0000-00006E4B0000}"/>
    <cellStyle name="Positive 2 20 4 2 3" xfId="19298" xr:uid="{00000000-0005-0000-0000-00006F4B0000}"/>
    <cellStyle name="Positive 2 20 4 2 3 2" xfId="19299" xr:uid="{00000000-0005-0000-0000-0000704B0000}"/>
    <cellStyle name="Positive 2 20 4 2 4" xfId="19300" xr:uid="{00000000-0005-0000-0000-0000714B0000}"/>
    <cellStyle name="Positive 2 20 4 2 4 2" xfId="19301" xr:uid="{00000000-0005-0000-0000-0000724B0000}"/>
    <cellStyle name="Positive 2 20 4 2 5" xfId="19302" xr:uid="{00000000-0005-0000-0000-0000734B0000}"/>
    <cellStyle name="Positive 2 20 4 2 5 2" xfId="19303" xr:uid="{00000000-0005-0000-0000-0000744B0000}"/>
    <cellStyle name="Positive 2 20 4 2 6" xfId="19304" xr:uid="{00000000-0005-0000-0000-0000754B0000}"/>
    <cellStyle name="Positive 2 20 4 2 6 2" xfId="19305" xr:uid="{00000000-0005-0000-0000-0000764B0000}"/>
    <cellStyle name="Positive 2 20 4 2 7" xfId="19306" xr:uid="{00000000-0005-0000-0000-0000774B0000}"/>
    <cellStyle name="Positive 2 20 4 2 7 2" xfId="19307" xr:uid="{00000000-0005-0000-0000-0000784B0000}"/>
    <cellStyle name="Positive 2 20 4 2 8" xfId="19308" xr:uid="{00000000-0005-0000-0000-0000794B0000}"/>
    <cellStyle name="Positive 2 20 4 2 8 2" xfId="19309" xr:uid="{00000000-0005-0000-0000-00007A4B0000}"/>
    <cellStyle name="Positive 2 20 4 2 9" xfId="19310" xr:uid="{00000000-0005-0000-0000-00007B4B0000}"/>
    <cellStyle name="Positive 2 20 4 2 9 2" xfId="19311" xr:uid="{00000000-0005-0000-0000-00007C4B0000}"/>
    <cellStyle name="Positive 2 20 4 20" xfId="19312" xr:uid="{00000000-0005-0000-0000-00007D4B0000}"/>
    <cellStyle name="Positive 2 20 4 3" xfId="19313" xr:uid="{00000000-0005-0000-0000-00007E4B0000}"/>
    <cellStyle name="Positive 2 20 4 3 2" xfId="19314" xr:uid="{00000000-0005-0000-0000-00007F4B0000}"/>
    <cellStyle name="Positive 2 20 4 3 2 2" xfId="19315" xr:uid="{00000000-0005-0000-0000-0000804B0000}"/>
    <cellStyle name="Positive 2 20 4 3 3" xfId="19316" xr:uid="{00000000-0005-0000-0000-0000814B0000}"/>
    <cellStyle name="Positive 2 20 4 4" xfId="19317" xr:uid="{00000000-0005-0000-0000-0000824B0000}"/>
    <cellStyle name="Positive 2 20 4 4 2" xfId="19318" xr:uid="{00000000-0005-0000-0000-0000834B0000}"/>
    <cellStyle name="Positive 2 20 4 4 2 2" xfId="19319" xr:uid="{00000000-0005-0000-0000-0000844B0000}"/>
    <cellStyle name="Positive 2 20 4 4 3" xfId="19320" xr:uid="{00000000-0005-0000-0000-0000854B0000}"/>
    <cellStyle name="Positive 2 20 4 5" xfId="19321" xr:uid="{00000000-0005-0000-0000-0000864B0000}"/>
    <cellStyle name="Positive 2 20 4 5 2" xfId="19322" xr:uid="{00000000-0005-0000-0000-0000874B0000}"/>
    <cellStyle name="Positive 2 20 4 6" xfId="19323" xr:uid="{00000000-0005-0000-0000-0000884B0000}"/>
    <cellStyle name="Positive 2 20 4 6 2" xfId="19324" xr:uid="{00000000-0005-0000-0000-0000894B0000}"/>
    <cellStyle name="Positive 2 20 4 7" xfId="19325" xr:uid="{00000000-0005-0000-0000-00008A4B0000}"/>
    <cellStyle name="Positive 2 20 4 7 2" xfId="19326" xr:uid="{00000000-0005-0000-0000-00008B4B0000}"/>
    <cellStyle name="Positive 2 20 4 8" xfId="19327" xr:uid="{00000000-0005-0000-0000-00008C4B0000}"/>
    <cellStyle name="Positive 2 20 4 8 2" xfId="19328" xr:uid="{00000000-0005-0000-0000-00008D4B0000}"/>
    <cellStyle name="Positive 2 20 4 9" xfId="19329" xr:uid="{00000000-0005-0000-0000-00008E4B0000}"/>
    <cellStyle name="Positive 2 20 4 9 2" xfId="19330" xr:uid="{00000000-0005-0000-0000-00008F4B0000}"/>
    <cellStyle name="Positive 2 20 5" xfId="19331" xr:uid="{00000000-0005-0000-0000-0000904B0000}"/>
    <cellStyle name="Positive 2 20 5 10" xfId="19332" xr:uid="{00000000-0005-0000-0000-0000914B0000}"/>
    <cellStyle name="Positive 2 20 5 10 2" xfId="19333" xr:uid="{00000000-0005-0000-0000-0000924B0000}"/>
    <cellStyle name="Positive 2 20 5 11" xfId="19334" xr:uid="{00000000-0005-0000-0000-0000934B0000}"/>
    <cellStyle name="Positive 2 20 5 11 2" xfId="19335" xr:uid="{00000000-0005-0000-0000-0000944B0000}"/>
    <cellStyle name="Positive 2 20 5 12" xfId="19336" xr:uid="{00000000-0005-0000-0000-0000954B0000}"/>
    <cellStyle name="Positive 2 20 5 12 2" xfId="19337" xr:uid="{00000000-0005-0000-0000-0000964B0000}"/>
    <cellStyle name="Positive 2 20 5 13" xfId="19338" xr:uid="{00000000-0005-0000-0000-0000974B0000}"/>
    <cellStyle name="Positive 2 20 5 13 2" xfId="19339" xr:uid="{00000000-0005-0000-0000-0000984B0000}"/>
    <cellStyle name="Positive 2 20 5 14" xfId="19340" xr:uid="{00000000-0005-0000-0000-0000994B0000}"/>
    <cellStyle name="Positive 2 20 5 14 2" xfId="19341" xr:uid="{00000000-0005-0000-0000-00009A4B0000}"/>
    <cellStyle name="Positive 2 20 5 15" xfId="19342" xr:uid="{00000000-0005-0000-0000-00009B4B0000}"/>
    <cellStyle name="Positive 2 20 5 15 2" xfId="19343" xr:uid="{00000000-0005-0000-0000-00009C4B0000}"/>
    <cellStyle name="Positive 2 20 5 16" xfId="19344" xr:uid="{00000000-0005-0000-0000-00009D4B0000}"/>
    <cellStyle name="Positive 2 20 5 16 2" xfId="19345" xr:uid="{00000000-0005-0000-0000-00009E4B0000}"/>
    <cellStyle name="Positive 2 20 5 17" xfId="19346" xr:uid="{00000000-0005-0000-0000-00009F4B0000}"/>
    <cellStyle name="Positive 2 20 5 2" xfId="19347" xr:uid="{00000000-0005-0000-0000-0000A04B0000}"/>
    <cellStyle name="Positive 2 20 5 2 2" xfId="19348" xr:uid="{00000000-0005-0000-0000-0000A14B0000}"/>
    <cellStyle name="Positive 2 20 5 3" xfId="19349" xr:uid="{00000000-0005-0000-0000-0000A24B0000}"/>
    <cellStyle name="Positive 2 20 5 3 2" xfId="19350" xr:uid="{00000000-0005-0000-0000-0000A34B0000}"/>
    <cellStyle name="Positive 2 20 5 4" xfId="19351" xr:uid="{00000000-0005-0000-0000-0000A44B0000}"/>
    <cellStyle name="Positive 2 20 5 4 2" xfId="19352" xr:uid="{00000000-0005-0000-0000-0000A54B0000}"/>
    <cellStyle name="Positive 2 20 5 5" xfId="19353" xr:uid="{00000000-0005-0000-0000-0000A64B0000}"/>
    <cellStyle name="Positive 2 20 5 5 2" xfId="19354" xr:uid="{00000000-0005-0000-0000-0000A74B0000}"/>
    <cellStyle name="Positive 2 20 5 6" xfId="19355" xr:uid="{00000000-0005-0000-0000-0000A84B0000}"/>
    <cellStyle name="Positive 2 20 5 6 2" xfId="19356" xr:uid="{00000000-0005-0000-0000-0000A94B0000}"/>
    <cellStyle name="Positive 2 20 5 7" xfId="19357" xr:uid="{00000000-0005-0000-0000-0000AA4B0000}"/>
    <cellStyle name="Positive 2 20 5 7 2" xfId="19358" xr:uid="{00000000-0005-0000-0000-0000AB4B0000}"/>
    <cellStyle name="Positive 2 20 5 8" xfId="19359" xr:uid="{00000000-0005-0000-0000-0000AC4B0000}"/>
    <cellStyle name="Positive 2 20 5 8 2" xfId="19360" xr:uid="{00000000-0005-0000-0000-0000AD4B0000}"/>
    <cellStyle name="Positive 2 20 5 9" xfId="19361" xr:uid="{00000000-0005-0000-0000-0000AE4B0000}"/>
    <cellStyle name="Positive 2 20 5 9 2" xfId="19362" xr:uid="{00000000-0005-0000-0000-0000AF4B0000}"/>
    <cellStyle name="Positive 2 20 6" xfId="19363" xr:uid="{00000000-0005-0000-0000-0000B04B0000}"/>
    <cellStyle name="Positive 2 20 6 2" xfId="19364" xr:uid="{00000000-0005-0000-0000-0000B14B0000}"/>
    <cellStyle name="Positive 2 20 6 2 2" xfId="19365" xr:uid="{00000000-0005-0000-0000-0000B24B0000}"/>
    <cellStyle name="Positive 2 20 6 3" xfId="19366" xr:uid="{00000000-0005-0000-0000-0000B34B0000}"/>
    <cellStyle name="Positive 2 20 7" xfId="19367" xr:uid="{00000000-0005-0000-0000-0000B44B0000}"/>
    <cellStyle name="Positive 2 20 7 2" xfId="19368" xr:uid="{00000000-0005-0000-0000-0000B54B0000}"/>
    <cellStyle name="Positive 2 20 7 2 2" xfId="19369" xr:uid="{00000000-0005-0000-0000-0000B64B0000}"/>
    <cellStyle name="Positive 2 20 7 3" xfId="19370" xr:uid="{00000000-0005-0000-0000-0000B74B0000}"/>
    <cellStyle name="Positive 2 20 8" xfId="19371" xr:uid="{00000000-0005-0000-0000-0000B84B0000}"/>
    <cellStyle name="Positive 2 20 8 2" xfId="19372" xr:uid="{00000000-0005-0000-0000-0000B94B0000}"/>
    <cellStyle name="Positive 2 20 9" xfId="19373" xr:uid="{00000000-0005-0000-0000-0000BA4B0000}"/>
    <cellStyle name="Positive 2 20 9 2" xfId="19374" xr:uid="{00000000-0005-0000-0000-0000BB4B0000}"/>
    <cellStyle name="Positive 2 21" xfId="19375" xr:uid="{00000000-0005-0000-0000-0000BC4B0000}"/>
    <cellStyle name="Positive 2 21 10" xfId="19376" xr:uid="{00000000-0005-0000-0000-0000BD4B0000}"/>
    <cellStyle name="Positive 2 21 10 2" xfId="19377" xr:uid="{00000000-0005-0000-0000-0000BE4B0000}"/>
    <cellStyle name="Positive 2 21 11" xfId="19378" xr:uid="{00000000-0005-0000-0000-0000BF4B0000}"/>
    <cellStyle name="Positive 2 21 11 2" xfId="19379" xr:uid="{00000000-0005-0000-0000-0000C04B0000}"/>
    <cellStyle name="Positive 2 21 12" xfId="19380" xr:uid="{00000000-0005-0000-0000-0000C14B0000}"/>
    <cellStyle name="Positive 2 21 12 2" xfId="19381" xr:uid="{00000000-0005-0000-0000-0000C24B0000}"/>
    <cellStyle name="Positive 2 21 13" xfId="19382" xr:uid="{00000000-0005-0000-0000-0000C34B0000}"/>
    <cellStyle name="Positive 2 21 13 2" xfId="19383" xr:uid="{00000000-0005-0000-0000-0000C44B0000}"/>
    <cellStyle name="Positive 2 21 14" xfId="19384" xr:uid="{00000000-0005-0000-0000-0000C54B0000}"/>
    <cellStyle name="Positive 2 21 14 2" xfId="19385" xr:uid="{00000000-0005-0000-0000-0000C64B0000}"/>
    <cellStyle name="Positive 2 21 15" xfId="19386" xr:uid="{00000000-0005-0000-0000-0000C74B0000}"/>
    <cellStyle name="Positive 2 21 15 2" xfId="19387" xr:uid="{00000000-0005-0000-0000-0000C84B0000}"/>
    <cellStyle name="Positive 2 21 16" xfId="19388" xr:uid="{00000000-0005-0000-0000-0000C94B0000}"/>
    <cellStyle name="Positive 2 21 16 2" xfId="19389" xr:uid="{00000000-0005-0000-0000-0000CA4B0000}"/>
    <cellStyle name="Positive 2 21 17" xfId="19390" xr:uid="{00000000-0005-0000-0000-0000CB4B0000}"/>
    <cellStyle name="Positive 2 21 17 2" xfId="19391" xr:uid="{00000000-0005-0000-0000-0000CC4B0000}"/>
    <cellStyle name="Positive 2 21 18" xfId="19392" xr:uid="{00000000-0005-0000-0000-0000CD4B0000}"/>
    <cellStyle name="Positive 2 21 18 2" xfId="19393" xr:uid="{00000000-0005-0000-0000-0000CE4B0000}"/>
    <cellStyle name="Positive 2 21 19" xfId="19394" xr:uid="{00000000-0005-0000-0000-0000CF4B0000}"/>
    <cellStyle name="Positive 2 21 19 2" xfId="19395" xr:uid="{00000000-0005-0000-0000-0000D04B0000}"/>
    <cellStyle name="Positive 2 21 2" xfId="19396" xr:uid="{00000000-0005-0000-0000-0000D14B0000}"/>
    <cellStyle name="Positive 2 21 2 10" xfId="19397" xr:uid="{00000000-0005-0000-0000-0000D24B0000}"/>
    <cellStyle name="Positive 2 21 2 10 2" xfId="19398" xr:uid="{00000000-0005-0000-0000-0000D34B0000}"/>
    <cellStyle name="Positive 2 21 2 11" xfId="19399" xr:uid="{00000000-0005-0000-0000-0000D44B0000}"/>
    <cellStyle name="Positive 2 21 2 11 2" xfId="19400" xr:uid="{00000000-0005-0000-0000-0000D54B0000}"/>
    <cellStyle name="Positive 2 21 2 12" xfId="19401" xr:uid="{00000000-0005-0000-0000-0000D64B0000}"/>
    <cellStyle name="Positive 2 21 2 12 2" xfId="19402" xr:uid="{00000000-0005-0000-0000-0000D74B0000}"/>
    <cellStyle name="Positive 2 21 2 13" xfId="19403" xr:uid="{00000000-0005-0000-0000-0000D84B0000}"/>
    <cellStyle name="Positive 2 21 2 13 2" xfId="19404" xr:uid="{00000000-0005-0000-0000-0000D94B0000}"/>
    <cellStyle name="Positive 2 21 2 14" xfId="19405" xr:uid="{00000000-0005-0000-0000-0000DA4B0000}"/>
    <cellStyle name="Positive 2 21 2 14 2" xfId="19406" xr:uid="{00000000-0005-0000-0000-0000DB4B0000}"/>
    <cellStyle name="Positive 2 21 2 15" xfId="19407" xr:uid="{00000000-0005-0000-0000-0000DC4B0000}"/>
    <cellStyle name="Positive 2 21 2 15 2" xfId="19408" xr:uid="{00000000-0005-0000-0000-0000DD4B0000}"/>
    <cellStyle name="Positive 2 21 2 16" xfId="19409" xr:uid="{00000000-0005-0000-0000-0000DE4B0000}"/>
    <cellStyle name="Positive 2 21 2 16 2" xfId="19410" xr:uid="{00000000-0005-0000-0000-0000DF4B0000}"/>
    <cellStyle name="Positive 2 21 2 17" xfId="19411" xr:uid="{00000000-0005-0000-0000-0000E04B0000}"/>
    <cellStyle name="Positive 2 21 2 17 2" xfId="19412" xr:uid="{00000000-0005-0000-0000-0000E14B0000}"/>
    <cellStyle name="Positive 2 21 2 18" xfId="19413" xr:uid="{00000000-0005-0000-0000-0000E24B0000}"/>
    <cellStyle name="Positive 2 21 2 18 2" xfId="19414" xr:uid="{00000000-0005-0000-0000-0000E34B0000}"/>
    <cellStyle name="Positive 2 21 2 19" xfId="19415" xr:uid="{00000000-0005-0000-0000-0000E44B0000}"/>
    <cellStyle name="Positive 2 21 2 19 2" xfId="19416" xr:uid="{00000000-0005-0000-0000-0000E54B0000}"/>
    <cellStyle name="Positive 2 21 2 2" xfId="19417" xr:uid="{00000000-0005-0000-0000-0000E64B0000}"/>
    <cellStyle name="Positive 2 21 2 2 10" xfId="19418" xr:uid="{00000000-0005-0000-0000-0000E74B0000}"/>
    <cellStyle name="Positive 2 21 2 2 10 2" xfId="19419" xr:uid="{00000000-0005-0000-0000-0000E84B0000}"/>
    <cellStyle name="Positive 2 21 2 2 11" xfId="19420" xr:uid="{00000000-0005-0000-0000-0000E94B0000}"/>
    <cellStyle name="Positive 2 21 2 2 11 2" xfId="19421" xr:uid="{00000000-0005-0000-0000-0000EA4B0000}"/>
    <cellStyle name="Positive 2 21 2 2 12" xfId="19422" xr:uid="{00000000-0005-0000-0000-0000EB4B0000}"/>
    <cellStyle name="Positive 2 21 2 2 12 2" xfId="19423" xr:uid="{00000000-0005-0000-0000-0000EC4B0000}"/>
    <cellStyle name="Positive 2 21 2 2 13" xfId="19424" xr:uid="{00000000-0005-0000-0000-0000ED4B0000}"/>
    <cellStyle name="Positive 2 21 2 2 13 2" xfId="19425" xr:uid="{00000000-0005-0000-0000-0000EE4B0000}"/>
    <cellStyle name="Positive 2 21 2 2 14" xfId="19426" xr:uid="{00000000-0005-0000-0000-0000EF4B0000}"/>
    <cellStyle name="Positive 2 21 2 2 14 2" xfId="19427" xr:uid="{00000000-0005-0000-0000-0000F04B0000}"/>
    <cellStyle name="Positive 2 21 2 2 15" xfId="19428" xr:uid="{00000000-0005-0000-0000-0000F14B0000}"/>
    <cellStyle name="Positive 2 21 2 2 15 2" xfId="19429" xr:uid="{00000000-0005-0000-0000-0000F24B0000}"/>
    <cellStyle name="Positive 2 21 2 2 16" xfId="19430" xr:uid="{00000000-0005-0000-0000-0000F34B0000}"/>
    <cellStyle name="Positive 2 21 2 2 16 2" xfId="19431" xr:uid="{00000000-0005-0000-0000-0000F44B0000}"/>
    <cellStyle name="Positive 2 21 2 2 17" xfId="19432" xr:uid="{00000000-0005-0000-0000-0000F54B0000}"/>
    <cellStyle name="Positive 2 21 2 2 2" xfId="19433" xr:uid="{00000000-0005-0000-0000-0000F64B0000}"/>
    <cellStyle name="Positive 2 21 2 2 2 2" xfId="19434" xr:uid="{00000000-0005-0000-0000-0000F74B0000}"/>
    <cellStyle name="Positive 2 21 2 2 3" xfId="19435" xr:uid="{00000000-0005-0000-0000-0000F84B0000}"/>
    <cellStyle name="Positive 2 21 2 2 3 2" xfId="19436" xr:uid="{00000000-0005-0000-0000-0000F94B0000}"/>
    <cellStyle name="Positive 2 21 2 2 4" xfId="19437" xr:uid="{00000000-0005-0000-0000-0000FA4B0000}"/>
    <cellStyle name="Positive 2 21 2 2 4 2" xfId="19438" xr:uid="{00000000-0005-0000-0000-0000FB4B0000}"/>
    <cellStyle name="Positive 2 21 2 2 5" xfId="19439" xr:uid="{00000000-0005-0000-0000-0000FC4B0000}"/>
    <cellStyle name="Positive 2 21 2 2 5 2" xfId="19440" xr:uid="{00000000-0005-0000-0000-0000FD4B0000}"/>
    <cellStyle name="Positive 2 21 2 2 6" xfId="19441" xr:uid="{00000000-0005-0000-0000-0000FE4B0000}"/>
    <cellStyle name="Positive 2 21 2 2 6 2" xfId="19442" xr:uid="{00000000-0005-0000-0000-0000FF4B0000}"/>
    <cellStyle name="Positive 2 21 2 2 7" xfId="19443" xr:uid="{00000000-0005-0000-0000-0000004C0000}"/>
    <cellStyle name="Positive 2 21 2 2 7 2" xfId="19444" xr:uid="{00000000-0005-0000-0000-0000014C0000}"/>
    <cellStyle name="Positive 2 21 2 2 8" xfId="19445" xr:uid="{00000000-0005-0000-0000-0000024C0000}"/>
    <cellStyle name="Positive 2 21 2 2 8 2" xfId="19446" xr:uid="{00000000-0005-0000-0000-0000034C0000}"/>
    <cellStyle name="Positive 2 21 2 2 9" xfId="19447" xr:uid="{00000000-0005-0000-0000-0000044C0000}"/>
    <cellStyle name="Positive 2 21 2 2 9 2" xfId="19448" xr:uid="{00000000-0005-0000-0000-0000054C0000}"/>
    <cellStyle name="Positive 2 21 2 20" xfId="19449" xr:uid="{00000000-0005-0000-0000-0000064C0000}"/>
    <cellStyle name="Positive 2 21 2 3" xfId="19450" xr:uid="{00000000-0005-0000-0000-0000074C0000}"/>
    <cellStyle name="Positive 2 21 2 3 2" xfId="19451" xr:uid="{00000000-0005-0000-0000-0000084C0000}"/>
    <cellStyle name="Positive 2 21 2 3 2 2" xfId="19452" xr:uid="{00000000-0005-0000-0000-0000094C0000}"/>
    <cellStyle name="Positive 2 21 2 3 3" xfId="19453" xr:uid="{00000000-0005-0000-0000-00000A4C0000}"/>
    <cellStyle name="Positive 2 21 2 4" xfId="19454" xr:uid="{00000000-0005-0000-0000-00000B4C0000}"/>
    <cellStyle name="Positive 2 21 2 4 2" xfId="19455" xr:uid="{00000000-0005-0000-0000-00000C4C0000}"/>
    <cellStyle name="Positive 2 21 2 4 2 2" xfId="19456" xr:uid="{00000000-0005-0000-0000-00000D4C0000}"/>
    <cellStyle name="Positive 2 21 2 4 3" xfId="19457" xr:uid="{00000000-0005-0000-0000-00000E4C0000}"/>
    <cellStyle name="Positive 2 21 2 5" xfId="19458" xr:uid="{00000000-0005-0000-0000-00000F4C0000}"/>
    <cellStyle name="Positive 2 21 2 5 2" xfId="19459" xr:uid="{00000000-0005-0000-0000-0000104C0000}"/>
    <cellStyle name="Positive 2 21 2 6" xfId="19460" xr:uid="{00000000-0005-0000-0000-0000114C0000}"/>
    <cellStyle name="Positive 2 21 2 6 2" xfId="19461" xr:uid="{00000000-0005-0000-0000-0000124C0000}"/>
    <cellStyle name="Positive 2 21 2 7" xfId="19462" xr:uid="{00000000-0005-0000-0000-0000134C0000}"/>
    <cellStyle name="Positive 2 21 2 7 2" xfId="19463" xr:uid="{00000000-0005-0000-0000-0000144C0000}"/>
    <cellStyle name="Positive 2 21 2 8" xfId="19464" xr:uid="{00000000-0005-0000-0000-0000154C0000}"/>
    <cellStyle name="Positive 2 21 2 8 2" xfId="19465" xr:uid="{00000000-0005-0000-0000-0000164C0000}"/>
    <cellStyle name="Positive 2 21 2 9" xfId="19466" xr:uid="{00000000-0005-0000-0000-0000174C0000}"/>
    <cellStyle name="Positive 2 21 2 9 2" xfId="19467" xr:uid="{00000000-0005-0000-0000-0000184C0000}"/>
    <cellStyle name="Positive 2 21 20" xfId="19468" xr:uid="{00000000-0005-0000-0000-0000194C0000}"/>
    <cellStyle name="Positive 2 21 20 2" xfId="19469" xr:uid="{00000000-0005-0000-0000-00001A4C0000}"/>
    <cellStyle name="Positive 2 21 21" xfId="19470" xr:uid="{00000000-0005-0000-0000-00001B4C0000}"/>
    <cellStyle name="Positive 2 21 21 2" xfId="19471" xr:uid="{00000000-0005-0000-0000-00001C4C0000}"/>
    <cellStyle name="Positive 2 21 22" xfId="19472" xr:uid="{00000000-0005-0000-0000-00001D4C0000}"/>
    <cellStyle name="Positive 2 21 22 2" xfId="19473" xr:uid="{00000000-0005-0000-0000-00001E4C0000}"/>
    <cellStyle name="Positive 2 21 23" xfId="19474" xr:uid="{00000000-0005-0000-0000-00001F4C0000}"/>
    <cellStyle name="Positive 2 21 3" xfId="19475" xr:uid="{00000000-0005-0000-0000-0000204C0000}"/>
    <cellStyle name="Positive 2 21 3 10" xfId="19476" xr:uid="{00000000-0005-0000-0000-0000214C0000}"/>
    <cellStyle name="Positive 2 21 3 10 2" xfId="19477" xr:uid="{00000000-0005-0000-0000-0000224C0000}"/>
    <cellStyle name="Positive 2 21 3 11" xfId="19478" xr:uid="{00000000-0005-0000-0000-0000234C0000}"/>
    <cellStyle name="Positive 2 21 3 11 2" xfId="19479" xr:uid="{00000000-0005-0000-0000-0000244C0000}"/>
    <cellStyle name="Positive 2 21 3 12" xfId="19480" xr:uid="{00000000-0005-0000-0000-0000254C0000}"/>
    <cellStyle name="Positive 2 21 3 12 2" xfId="19481" xr:uid="{00000000-0005-0000-0000-0000264C0000}"/>
    <cellStyle name="Positive 2 21 3 13" xfId="19482" xr:uid="{00000000-0005-0000-0000-0000274C0000}"/>
    <cellStyle name="Positive 2 21 3 13 2" xfId="19483" xr:uid="{00000000-0005-0000-0000-0000284C0000}"/>
    <cellStyle name="Positive 2 21 3 14" xfId="19484" xr:uid="{00000000-0005-0000-0000-0000294C0000}"/>
    <cellStyle name="Positive 2 21 3 14 2" xfId="19485" xr:uid="{00000000-0005-0000-0000-00002A4C0000}"/>
    <cellStyle name="Positive 2 21 3 15" xfId="19486" xr:uid="{00000000-0005-0000-0000-00002B4C0000}"/>
    <cellStyle name="Positive 2 21 3 15 2" xfId="19487" xr:uid="{00000000-0005-0000-0000-00002C4C0000}"/>
    <cellStyle name="Positive 2 21 3 16" xfId="19488" xr:uid="{00000000-0005-0000-0000-00002D4C0000}"/>
    <cellStyle name="Positive 2 21 3 16 2" xfId="19489" xr:uid="{00000000-0005-0000-0000-00002E4C0000}"/>
    <cellStyle name="Positive 2 21 3 17" xfId="19490" xr:uid="{00000000-0005-0000-0000-00002F4C0000}"/>
    <cellStyle name="Positive 2 21 3 17 2" xfId="19491" xr:uid="{00000000-0005-0000-0000-0000304C0000}"/>
    <cellStyle name="Positive 2 21 3 18" xfId="19492" xr:uid="{00000000-0005-0000-0000-0000314C0000}"/>
    <cellStyle name="Positive 2 21 3 18 2" xfId="19493" xr:uid="{00000000-0005-0000-0000-0000324C0000}"/>
    <cellStyle name="Positive 2 21 3 19" xfId="19494" xr:uid="{00000000-0005-0000-0000-0000334C0000}"/>
    <cellStyle name="Positive 2 21 3 19 2" xfId="19495" xr:uid="{00000000-0005-0000-0000-0000344C0000}"/>
    <cellStyle name="Positive 2 21 3 2" xfId="19496" xr:uid="{00000000-0005-0000-0000-0000354C0000}"/>
    <cellStyle name="Positive 2 21 3 2 10" xfId="19497" xr:uid="{00000000-0005-0000-0000-0000364C0000}"/>
    <cellStyle name="Positive 2 21 3 2 10 2" xfId="19498" xr:uid="{00000000-0005-0000-0000-0000374C0000}"/>
    <cellStyle name="Positive 2 21 3 2 11" xfId="19499" xr:uid="{00000000-0005-0000-0000-0000384C0000}"/>
    <cellStyle name="Positive 2 21 3 2 11 2" xfId="19500" xr:uid="{00000000-0005-0000-0000-0000394C0000}"/>
    <cellStyle name="Positive 2 21 3 2 12" xfId="19501" xr:uid="{00000000-0005-0000-0000-00003A4C0000}"/>
    <cellStyle name="Positive 2 21 3 2 12 2" xfId="19502" xr:uid="{00000000-0005-0000-0000-00003B4C0000}"/>
    <cellStyle name="Positive 2 21 3 2 13" xfId="19503" xr:uid="{00000000-0005-0000-0000-00003C4C0000}"/>
    <cellStyle name="Positive 2 21 3 2 13 2" xfId="19504" xr:uid="{00000000-0005-0000-0000-00003D4C0000}"/>
    <cellStyle name="Positive 2 21 3 2 14" xfId="19505" xr:uid="{00000000-0005-0000-0000-00003E4C0000}"/>
    <cellStyle name="Positive 2 21 3 2 14 2" xfId="19506" xr:uid="{00000000-0005-0000-0000-00003F4C0000}"/>
    <cellStyle name="Positive 2 21 3 2 15" xfId="19507" xr:uid="{00000000-0005-0000-0000-0000404C0000}"/>
    <cellStyle name="Positive 2 21 3 2 15 2" xfId="19508" xr:uid="{00000000-0005-0000-0000-0000414C0000}"/>
    <cellStyle name="Positive 2 21 3 2 16" xfId="19509" xr:uid="{00000000-0005-0000-0000-0000424C0000}"/>
    <cellStyle name="Positive 2 21 3 2 16 2" xfId="19510" xr:uid="{00000000-0005-0000-0000-0000434C0000}"/>
    <cellStyle name="Positive 2 21 3 2 17" xfId="19511" xr:uid="{00000000-0005-0000-0000-0000444C0000}"/>
    <cellStyle name="Positive 2 21 3 2 2" xfId="19512" xr:uid="{00000000-0005-0000-0000-0000454C0000}"/>
    <cellStyle name="Positive 2 21 3 2 2 2" xfId="19513" xr:uid="{00000000-0005-0000-0000-0000464C0000}"/>
    <cellStyle name="Positive 2 21 3 2 3" xfId="19514" xr:uid="{00000000-0005-0000-0000-0000474C0000}"/>
    <cellStyle name="Positive 2 21 3 2 3 2" xfId="19515" xr:uid="{00000000-0005-0000-0000-0000484C0000}"/>
    <cellStyle name="Positive 2 21 3 2 4" xfId="19516" xr:uid="{00000000-0005-0000-0000-0000494C0000}"/>
    <cellStyle name="Positive 2 21 3 2 4 2" xfId="19517" xr:uid="{00000000-0005-0000-0000-00004A4C0000}"/>
    <cellStyle name="Positive 2 21 3 2 5" xfId="19518" xr:uid="{00000000-0005-0000-0000-00004B4C0000}"/>
    <cellStyle name="Positive 2 21 3 2 5 2" xfId="19519" xr:uid="{00000000-0005-0000-0000-00004C4C0000}"/>
    <cellStyle name="Positive 2 21 3 2 6" xfId="19520" xr:uid="{00000000-0005-0000-0000-00004D4C0000}"/>
    <cellStyle name="Positive 2 21 3 2 6 2" xfId="19521" xr:uid="{00000000-0005-0000-0000-00004E4C0000}"/>
    <cellStyle name="Positive 2 21 3 2 7" xfId="19522" xr:uid="{00000000-0005-0000-0000-00004F4C0000}"/>
    <cellStyle name="Positive 2 21 3 2 7 2" xfId="19523" xr:uid="{00000000-0005-0000-0000-0000504C0000}"/>
    <cellStyle name="Positive 2 21 3 2 8" xfId="19524" xr:uid="{00000000-0005-0000-0000-0000514C0000}"/>
    <cellStyle name="Positive 2 21 3 2 8 2" xfId="19525" xr:uid="{00000000-0005-0000-0000-0000524C0000}"/>
    <cellStyle name="Positive 2 21 3 2 9" xfId="19526" xr:uid="{00000000-0005-0000-0000-0000534C0000}"/>
    <cellStyle name="Positive 2 21 3 2 9 2" xfId="19527" xr:uid="{00000000-0005-0000-0000-0000544C0000}"/>
    <cellStyle name="Positive 2 21 3 20" xfId="19528" xr:uid="{00000000-0005-0000-0000-0000554C0000}"/>
    <cellStyle name="Positive 2 21 3 3" xfId="19529" xr:uid="{00000000-0005-0000-0000-0000564C0000}"/>
    <cellStyle name="Positive 2 21 3 3 2" xfId="19530" xr:uid="{00000000-0005-0000-0000-0000574C0000}"/>
    <cellStyle name="Positive 2 21 3 3 2 2" xfId="19531" xr:uid="{00000000-0005-0000-0000-0000584C0000}"/>
    <cellStyle name="Positive 2 21 3 3 3" xfId="19532" xr:uid="{00000000-0005-0000-0000-0000594C0000}"/>
    <cellStyle name="Positive 2 21 3 4" xfId="19533" xr:uid="{00000000-0005-0000-0000-00005A4C0000}"/>
    <cellStyle name="Positive 2 21 3 4 2" xfId="19534" xr:uid="{00000000-0005-0000-0000-00005B4C0000}"/>
    <cellStyle name="Positive 2 21 3 4 2 2" xfId="19535" xr:uid="{00000000-0005-0000-0000-00005C4C0000}"/>
    <cellStyle name="Positive 2 21 3 4 3" xfId="19536" xr:uid="{00000000-0005-0000-0000-00005D4C0000}"/>
    <cellStyle name="Positive 2 21 3 5" xfId="19537" xr:uid="{00000000-0005-0000-0000-00005E4C0000}"/>
    <cellStyle name="Positive 2 21 3 5 2" xfId="19538" xr:uid="{00000000-0005-0000-0000-00005F4C0000}"/>
    <cellStyle name="Positive 2 21 3 6" xfId="19539" xr:uid="{00000000-0005-0000-0000-0000604C0000}"/>
    <cellStyle name="Positive 2 21 3 6 2" xfId="19540" xr:uid="{00000000-0005-0000-0000-0000614C0000}"/>
    <cellStyle name="Positive 2 21 3 7" xfId="19541" xr:uid="{00000000-0005-0000-0000-0000624C0000}"/>
    <cellStyle name="Positive 2 21 3 7 2" xfId="19542" xr:uid="{00000000-0005-0000-0000-0000634C0000}"/>
    <cellStyle name="Positive 2 21 3 8" xfId="19543" xr:uid="{00000000-0005-0000-0000-0000644C0000}"/>
    <cellStyle name="Positive 2 21 3 8 2" xfId="19544" xr:uid="{00000000-0005-0000-0000-0000654C0000}"/>
    <cellStyle name="Positive 2 21 3 9" xfId="19545" xr:uid="{00000000-0005-0000-0000-0000664C0000}"/>
    <cellStyle name="Positive 2 21 3 9 2" xfId="19546" xr:uid="{00000000-0005-0000-0000-0000674C0000}"/>
    <cellStyle name="Positive 2 21 4" xfId="19547" xr:uid="{00000000-0005-0000-0000-0000684C0000}"/>
    <cellStyle name="Positive 2 21 4 10" xfId="19548" xr:uid="{00000000-0005-0000-0000-0000694C0000}"/>
    <cellStyle name="Positive 2 21 4 10 2" xfId="19549" xr:uid="{00000000-0005-0000-0000-00006A4C0000}"/>
    <cellStyle name="Positive 2 21 4 11" xfId="19550" xr:uid="{00000000-0005-0000-0000-00006B4C0000}"/>
    <cellStyle name="Positive 2 21 4 11 2" xfId="19551" xr:uid="{00000000-0005-0000-0000-00006C4C0000}"/>
    <cellStyle name="Positive 2 21 4 12" xfId="19552" xr:uid="{00000000-0005-0000-0000-00006D4C0000}"/>
    <cellStyle name="Positive 2 21 4 12 2" xfId="19553" xr:uid="{00000000-0005-0000-0000-00006E4C0000}"/>
    <cellStyle name="Positive 2 21 4 13" xfId="19554" xr:uid="{00000000-0005-0000-0000-00006F4C0000}"/>
    <cellStyle name="Positive 2 21 4 13 2" xfId="19555" xr:uid="{00000000-0005-0000-0000-0000704C0000}"/>
    <cellStyle name="Positive 2 21 4 14" xfId="19556" xr:uid="{00000000-0005-0000-0000-0000714C0000}"/>
    <cellStyle name="Positive 2 21 4 14 2" xfId="19557" xr:uid="{00000000-0005-0000-0000-0000724C0000}"/>
    <cellStyle name="Positive 2 21 4 15" xfId="19558" xr:uid="{00000000-0005-0000-0000-0000734C0000}"/>
    <cellStyle name="Positive 2 21 4 15 2" xfId="19559" xr:uid="{00000000-0005-0000-0000-0000744C0000}"/>
    <cellStyle name="Positive 2 21 4 16" xfId="19560" xr:uid="{00000000-0005-0000-0000-0000754C0000}"/>
    <cellStyle name="Positive 2 21 4 16 2" xfId="19561" xr:uid="{00000000-0005-0000-0000-0000764C0000}"/>
    <cellStyle name="Positive 2 21 4 17" xfId="19562" xr:uid="{00000000-0005-0000-0000-0000774C0000}"/>
    <cellStyle name="Positive 2 21 4 17 2" xfId="19563" xr:uid="{00000000-0005-0000-0000-0000784C0000}"/>
    <cellStyle name="Positive 2 21 4 18" xfId="19564" xr:uid="{00000000-0005-0000-0000-0000794C0000}"/>
    <cellStyle name="Positive 2 21 4 18 2" xfId="19565" xr:uid="{00000000-0005-0000-0000-00007A4C0000}"/>
    <cellStyle name="Positive 2 21 4 19" xfId="19566" xr:uid="{00000000-0005-0000-0000-00007B4C0000}"/>
    <cellStyle name="Positive 2 21 4 19 2" xfId="19567" xr:uid="{00000000-0005-0000-0000-00007C4C0000}"/>
    <cellStyle name="Positive 2 21 4 2" xfId="19568" xr:uid="{00000000-0005-0000-0000-00007D4C0000}"/>
    <cellStyle name="Positive 2 21 4 2 10" xfId="19569" xr:uid="{00000000-0005-0000-0000-00007E4C0000}"/>
    <cellStyle name="Positive 2 21 4 2 10 2" xfId="19570" xr:uid="{00000000-0005-0000-0000-00007F4C0000}"/>
    <cellStyle name="Positive 2 21 4 2 11" xfId="19571" xr:uid="{00000000-0005-0000-0000-0000804C0000}"/>
    <cellStyle name="Positive 2 21 4 2 11 2" xfId="19572" xr:uid="{00000000-0005-0000-0000-0000814C0000}"/>
    <cellStyle name="Positive 2 21 4 2 12" xfId="19573" xr:uid="{00000000-0005-0000-0000-0000824C0000}"/>
    <cellStyle name="Positive 2 21 4 2 12 2" xfId="19574" xr:uid="{00000000-0005-0000-0000-0000834C0000}"/>
    <cellStyle name="Positive 2 21 4 2 13" xfId="19575" xr:uid="{00000000-0005-0000-0000-0000844C0000}"/>
    <cellStyle name="Positive 2 21 4 2 13 2" xfId="19576" xr:uid="{00000000-0005-0000-0000-0000854C0000}"/>
    <cellStyle name="Positive 2 21 4 2 14" xfId="19577" xr:uid="{00000000-0005-0000-0000-0000864C0000}"/>
    <cellStyle name="Positive 2 21 4 2 14 2" xfId="19578" xr:uid="{00000000-0005-0000-0000-0000874C0000}"/>
    <cellStyle name="Positive 2 21 4 2 15" xfId="19579" xr:uid="{00000000-0005-0000-0000-0000884C0000}"/>
    <cellStyle name="Positive 2 21 4 2 15 2" xfId="19580" xr:uid="{00000000-0005-0000-0000-0000894C0000}"/>
    <cellStyle name="Positive 2 21 4 2 16" xfId="19581" xr:uid="{00000000-0005-0000-0000-00008A4C0000}"/>
    <cellStyle name="Positive 2 21 4 2 16 2" xfId="19582" xr:uid="{00000000-0005-0000-0000-00008B4C0000}"/>
    <cellStyle name="Positive 2 21 4 2 17" xfId="19583" xr:uid="{00000000-0005-0000-0000-00008C4C0000}"/>
    <cellStyle name="Positive 2 21 4 2 2" xfId="19584" xr:uid="{00000000-0005-0000-0000-00008D4C0000}"/>
    <cellStyle name="Positive 2 21 4 2 2 2" xfId="19585" xr:uid="{00000000-0005-0000-0000-00008E4C0000}"/>
    <cellStyle name="Positive 2 21 4 2 3" xfId="19586" xr:uid="{00000000-0005-0000-0000-00008F4C0000}"/>
    <cellStyle name="Positive 2 21 4 2 3 2" xfId="19587" xr:uid="{00000000-0005-0000-0000-0000904C0000}"/>
    <cellStyle name="Positive 2 21 4 2 4" xfId="19588" xr:uid="{00000000-0005-0000-0000-0000914C0000}"/>
    <cellStyle name="Positive 2 21 4 2 4 2" xfId="19589" xr:uid="{00000000-0005-0000-0000-0000924C0000}"/>
    <cellStyle name="Positive 2 21 4 2 5" xfId="19590" xr:uid="{00000000-0005-0000-0000-0000934C0000}"/>
    <cellStyle name="Positive 2 21 4 2 5 2" xfId="19591" xr:uid="{00000000-0005-0000-0000-0000944C0000}"/>
    <cellStyle name="Positive 2 21 4 2 6" xfId="19592" xr:uid="{00000000-0005-0000-0000-0000954C0000}"/>
    <cellStyle name="Positive 2 21 4 2 6 2" xfId="19593" xr:uid="{00000000-0005-0000-0000-0000964C0000}"/>
    <cellStyle name="Positive 2 21 4 2 7" xfId="19594" xr:uid="{00000000-0005-0000-0000-0000974C0000}"/>
    <cellStyle name="Positive 2 21 4 2 7 2" xfId="19595" xr:uid="{00000000-0005-0000-0000-0000984C0000}"/>
    <cellStyle name="Positive 2 21 4 2 8" xfId="19596" xr:uid="{00000000-0005-0000-0000-0000994C0000}"/>
    <cellStyle name="Positive 2 21 4 2 8 2" xfId="19597" xr:uid="{00000000-0005-0000-0000-00009A4C0000}"/>
    <cellStyle name="Positive 2 21 4 2 9" xfId="19598" xr:uid="{00000000-0005-0000-0000-00009B4C0000}"/>
    <cellStyle name="Positive 2 21 4 2 9 2" xfId="19599" xr:uid="{00000000-0005-0000-0000-00009C4C0000}"/>
    <cellStyle name="Positive 2 21 4 20" xfId="19600" xr:uid="{00000000-0005-0000-0000-00009D4C0000}"/>
    <cellStyle name="Positive 2 21 4 3" xfId="19601" xr:uid="{00000000-0005-0000-0000-00009E4C0000}"/>
    <cellStyle name="Positive 2 21 4 3 2" xfId="19602" xr:uid="{00000000-0005-0000-0000-00009F4C0000}"/>
    <cellStyle name="Positive 2 21 4 3 2 2" xfId="19603" xr:uid="{00000000-0005-0000-0000-0000A04C0000}"/>
    <cellStyle name="Positive 2 21 4 3 3" xfId="19604" xr:uid="{00000000-0005-0000-0000-0000A14C0000}"/>
    <cellStyle name="Positive 2 21 4 4" xfId="19605" xr:uid="{00000000-0005-0000-0000-0000A24C0000}"/>
    <cellStyle name="Positive 2 21 4 4 2" xfId="19606" xr:uid="{00000000-0005-0000-0000-0000A34C0000}"/>
    <cellStyle name="Positive 2 21 4 4 2 2" xfId="19607" xr:uid="{00000000-0005-0000-0000-0000A44C0000}"/>
    <cellStyle name="Positive 2 21 4 4 3" xfId="19608" xr:uid="{00000000-0005-0000-0000-0000A54C0000}"/>
    <cellStyle name="Positive 2 21 4 5" xfId="19609" xr:uid="{00000000-0005-0000-0000-0000A64C0000}"/>
    <cellStyle name="Positive 2 21 4 5 2" xfId="19610" xr:uid="{00000000-0005-0000-0000-0000A74C0000}"/>
    <cellStyle name="Positive 2 21 4 6" xfId="19611" xr:uid="{00000000-0005-0000-0000-0000A84C0000}"/>
    <cellStyle name="Positive 2 21 4 6 2" xfId="19612" xr:uid="{00000000-0005-0000-0000-0000A94C0000}"/>
    <cellStyle name="Positive 2 21 4 7" xfId="19613" xr:uid="{00000000-0005-0000-0000-0000AA4C0000}"/>
    <cellStyle name="Positive 2 21 4 7 2" xfId="19614" xr:uid="{00000000-0005-0000-0000-0000AB4C0000}"/>
    <cellStyle name="Positive 2 21 4 8" xfId="19615" xr:uid="{00000000-0005-0000-0000-0000AC4C0000}"/>
    <cellStyle name="Positive 2 21 4 8 2" xfId="19616" xr:uid="{00000000-0005-0000-0000-0000AD4C0000}"/>
    <cellStyle name="Positive 2 21 4 9" xfId="19617" xr:uid="{00000000-0005-0000-0000-0000AE4C0000}"/>
    <cellStyle name="Positive 2 21 4 9 2" xfId="19618" xr:uid="{00000000-0005-0000-0000-0000AF4C0000}"/>
    <cellStyle name="Positive 2 21 5" xfId="19619" xr:uid="{00000000-0005-0000-0000-0000B04C0000}"/>
    <cellStyle name="Positive 2 21 5 10" xfId="19620" xr:uid="{00000000-0005-0000-0000-0000B14C0000}"/>
    <cellStyle name="Positive 2 21 5 10 2" xfId="19621" xr:uid="{00000000-0005-0000-0000-0000B24C0000}"/>
    <cellStyle name="Positive 2 21 5 11" xfId="19622" xr:uid="{00000000-0005-0000-0000-0000B34C0000}"/>
    <cellStyle name="Positive 2 21 5 11 2" xfId="19623" xr:uid="{00000000-0005-0000-0000-0000B44C0000}"/>
    <cellStyle name="Positive 2 21 5 12" xfId="19624" xr:uid="{00000000-0005-0000-0000-0000B54C0000}"/>
    <cellStyle name="Positive 2 21 5 12 2" xfId="19625" xr:uid="{00000000-0005-0000-0000-0000B64C0000}"/>
    <cellStyle name="Positive 2 21 5 13" xfId="19626" xr:uid="{00000000-0005-0000-0000-0000B74C0000}"/>
    <cellStyle name="Positive 2 21 5 13 2" xfId="19627" xr:uid="{00000000-0005-0000-0000-0000B84C0000}"/>
    <cellStyle name="Positive 2 21 5 14" xfId="19628" xr:uid="{00000000-0005-0000-0000-0000B94C0000}"/>
    <cellStyle name="Positive 2 21 5 14 2" xfId="19629" xr:uid="{00000000-0005-0000-0000-0000BA4C0000}"/>
    <cellStyle name="Positive 2 21 5 15" xfId="19630" xr:uid="{00000000-0005-0000-0000-0000BB4C0000}"/>
    <cellStyle name="Positive 2 21 5 15 2" xfId="19631" xr:uid="{00000000-0005-0000-0000-0000BC4C0000}"/>
    <cellStyle name="Positive 2 21 5 16" xfId="19632" xr:uid="{00000000-0005-0000-0000-0000BD4C0000}"/>
    <cellStyle name="Positive 2 21 5 16 2" xfId="19633" xr:uid="{00000000-0005-0000-0000-0000BE4C0000}"/>
    <cellStyle name="Positive 2 21 5 17" xfId="19634" xr:uid="{00000000-0005-0000-0000-0000BF4C0000}"/>
    <cellStyle name="Positive 2 21 5 2" xfId="19635" xr:uid="{00000000-0005-0000-0000-0000C04C0000}"/>
    <cellStyle name="Positive 2 21 5 2 2" xfId="19636" xr:uid="{00000000-0005-0000-0000-0000C14C0000}"/>
    <cellStyle name="Positive 2 21 5 3" xfId="19637" xr:uid="{00000000-0005-0000-0000-0000C24C0000}"/>
    <cellStyle name="Positive 2 21 5 3 2" xfId="19638" xr:uid="{00000000-0005-0000-0000-0000C34C0000}"/>
    <cellStyle name="Positive 2 21 5 4" xfId="19639" xr:uid="{00000000-0005-0000-0000-0000C44C0000}"/>
    <cellStyle name="Positive 2 21 5 4 2" xfId="19640" xr:uid="{00000000-0005-0000-0000-0000C54C0000}"/>
    <cellStyle name="Positive 2 21 5 5" xfId="19641" xr:uid="{00000000-0005-0000-0000-0000C64C0000}"/>
    <cellStyle name="Positive 2 21 5 5 2" xfId="19642" xr:uid="{00000000-0005-0000-0000-0000C74C0000}"/>
    <cellStyle name="Positive 2 21 5 6" xfId="19643" xr:uid="{00000000-0005-0000-0000-0000C84C0000}"/>
    <cellStyle name="Positive 2 21 5 6 2" xfId="19644" xr:uid="{00000000-0005-0000-0000-0000C94C0000}"/>
    <cellStyle name="Positive 2 21 5 7" xfId="19645" xr:uid="{00000000-0005-0000-0000-0000CA4C0000}"/>
    <cellStyle name="Positive 2 21 5 7 2" xfId="19646" xr:uid="{00000000-0005-0000-0000-0000CB4C0000}"/>
    <cellStyle name="Positive 2 21 5 8" xfId="19647" xr:uid="{00000000-0005-0000-0000-0000CC4C0000}"/>
    <cellStyle name="Positive 2 21 5 8 2" xfId="19648" xr:uid="{00000000-0005-0000-0000-0000CD4C0000}"/>
    <cellStyle name="Positive 2 21 5 9" xfId="19649" xr:uid="{00000000-0005-0000-0000-0000CE4C0000}"/>
    <cellStyle name="Positive 2 21 5 9 2" xfId="19650" xr:uid="{00000000-0005-0000-0000-0000CF4C0000}"/>
    <cellStyle name="Positive 2 21 6" xfId="19651" xr:uid="{00000000-0005-0000-0000-0000D04C0000}"/>
    <cellStyle name="Positive 2 21 6 2" xfId="19652" xr:uid="{00000000-0005-0000-0000-0000D14C0000}"/>
    <cellStyle name="Positive 2 21 6 2 2" xfId="19653" xr:uid="{00000000-0005-0000-0000-0000D24C0000}"/>
    <cellStyle name="Positive 2 21 6 3" xfId="19654" xr:uid="{00000000-0005-0000-0000-0000D34C0000}"/>
    <cellStyle name="Positive 2 21 7" xfId="19655" xr:uid="{00000000-0005-0000-0000-0000D44C0000}"/>
    <cellStyle name="Positive 2 21 7 2" xfId="19656" xr:uid="{00000000-0005-0000-0000-0000D54C0000}"/>
    <cellStyle name="Positive 2 21 7 2 2" xfId="19657" xr:uid="{00000000-0005-0000-0000-0000D64C0000}"/>
    <cellStyle name="Positive 2 21 7 3" xfId="19658" xr:uid="{00000000-0005-0000-0000-0000D74C0000}"/>
    <cellStyle name="Positive 2 21 8" xfId="19659" xr:uid="{00000000-0005-0000-0000-0000D84C0000}"/>
    <cellStyle name="Positive 2 21 8 2" xfId="19660" xr:uid="{00000000-0005-0000-0000-0000D94C0000}"/>
    <cellStyle name="Positive 2 21 9" xfId="19661" xr:uid="{00000000-0005-0000-0000-0000DA4C0000}"/>
    <cellStyle name="Positive 2 21 9 2" xfId="19662" xr:uid="{00000000-0005-0000-0000-0000DB4C0000}"/>
    <cellStyle name="Positive 2 22" xfId="19663" xr:uid="{00000000-0005-0000-0000-0000DC4C0000}"/>
    <cellStyle name="Positive 2 22 10" xfId="19664" xr:uid="{00000000-0005-0000-0000-0000DD4C0000}"/>
    <cellStyle name="Positive 2 22 10 2" xfId="19665" xr:uid="{00000000-0005-0000-0000-0000DE4C0000}"/>
    <cellStyle name="Positive 2 22 11" xfId="19666" xr:uid="{00000000-0005-0000-0000-0000DF4C0000}"/>
    <cellStyle name="Positive 2 22 11 2" xfId="19667" xr:uid="{00000000-0005-0000-0000-0000E04C0000}"/>
    <cellStyle name="Positive 2 22 12" xfId="19668" xr:uid="{00000000-0005-0000-0000-0000E14C0000}"/>
    <cellStyle name="Positive 2 22 12 2" xfId="19669" xr:uid="{00000000-0005-0000-0000-0000E24C0000}"/>
    <cellStyle name="Positive 2 22 13" xfId="19670" xr:uid="{00000000-0005-0000-0000-0000E34C0000}"/>
    <cellStyle name="Positive 2 22 13 2" xfId="19671" xr:uid="{00000000-0005-0000-0000-0000E44C0000}"/>
    <cellStyle name="Positive 2 22 14" xfId="19672" xr:uid="{00000000-0005-0000-0000-0000E54C0000}"/>
    <cellStyle name="Positive 2 22 14 2" xfId="19673" xr:uid="{00000000-0005-0000-0000-0000E64C0000}"/>
    <cellStyle name="Positive 2 22 15" xfId="19674" xr:uid="{00000000-0005-0000-0000-0000E74C0000}"/>
    <cellStyle name="Positive 2 22 15 2" xfId="19675" xr:uid="{00000000-0005-0000-0000-0000E84C0000}"/>
    <cellStyle name="Positive 2 22 16" xfId="19676" xr:uid="{00000000-0005-0000-0000-0000E94C0000}"/>
    <cellStyle name="Positive 2 22 16 2" xfId="19677" xr:uid="{00000000-0005-0000-0000-0000EA4C0000}"/>
    <cellStyle name="Positive 2 22 17" xfId="19678" xr:uid="{00000000-0005-0000-0000-0000EB4C0000}"/>
    <cellStyle name="Positive 2 22 17 2" xfId="19679" xr:uid="{00000000-0005-0000-0000-0000EC4C0000}"/>
    <cellStyle name="Positive 2 22 18" xfId="19680" xr:uid="{00000000-0005-0000-0000-0000ED4C0000}"/>
    <cellStyle name="Positive 2 22 18 2" xfId="19681" xr:uid="{00000000-0005-0000-0000-0000EE4C0000}"/>
    <cellStyle name="Positive 2 22 19" xfId="19682" xr:uid="{00000000-0005-0000-0000-0000EF4C0000}"/>
    <cellStyle name="Positive 2 22 19 2" xfId="19683" xr:uid="{00000000-0005-0000-0000-0000F04C0000}"/>
    <cellStyle name="Positive 2 22 2" xfId="19684" xr:uid="{00000000-0005-0000-0000-0000F14C0000}"/>
    <cellStyle name="Positive 2 22 2 10" xfId="19685" xr:uid="{00000000-0005-0000-0000-0000F24C0000}"/>
    <cellStyle name="Positive 2 22 2 10 2" xfId="19686" xr:uid="{00000000-0005-0000-0000-0000F34C0000}"/>
    <cellStyle name="Positive 2 22 2 11" xfId="19687" xr:uid="{00000000-0005-0000-0000-0000F44C0000}"/>
    <cellStyle name="Positive 2 22 2 11 2" xfId="19688" xr:uid="{00000000-0005-0000-0000-0000F54C0000}"/>
    <cellStyle name="Positive 2 22 2 12" xfId="19689" xr:uid="{00000000-0005-0000-0000-0000F64C0000}"/>
    <cellStyle name="Positive 2 22 2 12 2" xfId="19690" xr:uid="{00000000-0005-0000-0000-0000F74C0000}"/>
    <cellStyle name="Positive 2 22 2 13" xfId="19691" xr:uid="{00000000-0005-0000-0000-0000F84C0000}"/>
    <cellStyle name="Positive 2 22 2 13 2" xfId="19692" xr:uid="{00000000-0005-0000-0000-0000F94C0000}"/>
    <cellStyle name="Positive 2 22 2 14" xfId="19693" xr:uid="{00000000-0005-0000-0000-0000FA4C0000}"/>
    <cellStyle name="Positive 2 22 2 14 2" xfId="19694" xr:uid="{00000000-0005-0000-0000-0000FB4C0000}"/>
    <cellStyle name="Positive 2 22 2 15" xfId="19695" xr:uid="{00000000-0005-0000-0000-0000FC4C0000}"/>
    <cellStyle name="Positive 2 22 2 15 2" xfId="19696" xr:uid="{00000000-0005-0000-0000-0000FD4C0000}"/>
    <cellStyle name="Positive 2 22 2 16" xfId="19697" xr:uid="{00000000-0005-0000-0000-0000FE4C0000}"/>
    <cellStyle name="Positive 2 22 2 16 2" xfId="19698" xr:uid="{00000000-0005-0000-0000-0000FF4C0000}"/>
    <cellStyle name="Positive 2 22 2 17" xfId="19699" xr:uid="{00000000-0005-0000-0000-0000004D0000}"/>
    <cellStyle name="Positive 2 22 2 2" xfId="19700" xr:uid="{00000000-0005-0000-0000-0000014D0000}"/>
    <cellStyle name="Positive 2 22 2 2 2" xfId="19701" xr:uid="{00000000-0005-0000-0000-0000024D0000}"/>
    <cellStyle name="Positive 2 22 2 3" xfId="19702" xr:uid="{00000000-0005-0000-0000-0000034D0000}"/>
    <cellStyle name="Positive 2 22 2 3 2" xfId="19703" xr:uid="{00000000-0005-0000-0000-0000044D0000}"/>
    <cellStyle name="Positive 2 22 2 4" xfId="19704" xr:uid="{00000000-0005-0000-0000-0000054D0000}"/>
    <cellStyle name="Positive 2 22 2 4 2" xfId="19705" xr:uid="{00000000-0005-0000-0000-0000064D0000}"/>
    <cellStyle name="Positive 2 22 2 5" xfId="19706" xr:uid="{00000000-0005-0000-0000-0000074D0000}"/>
    <cellStyle name="Positive 2 22 2 5 2" xfId="19707" xr:uid="{00000000-0005-0000-0000-0000084D0000}"/>
    <cellStyle name="Positive 2 22 2 6" xfId="19708" xr:uid="{00000000-0005-0000-0000-0000094D0000}"/>
    <cellStyle name="Positive 2 22 2 6 2" xfId="19709" xr:uid="{00000000-0005-0000-0000-00000A4D0000}"/>
    <cellStyle name="Positive 2 22 2 7" xfId="19710" xr:uid="{00000000-0005-0000-0000-00000B4D0000}"/>
    <cellStyle name="Positive 2 22 2 7 2" xfId="19711" xr:uid="{00000000-0005-0000-0000-00000C4D0000}"/>
    <cellStyle name="Positive 2 22 2 8" xfId="19712" xr:uid="{00000000-0005-0000-0000-00000D4D0000}"/>
    <cellStyle name="Positive 2 22 2 8 2" xfId="19713" xr:uid="{00000000-0005-0000-0000-00000E4D0000}"/>
    <cellStyle name="Positive 2 22 2 9" xfId="19714" xr:uid="{00000000-0005-0000-0000-00000F4D0000}"/>
    <cellStyle name="Positive 2 22 2 9 2" xfId="19715" xr:uid="{00000000-0005-0000-0000-0000104D0000}"/>
    <cellStyle name="Positive 2 22 20" xfId="19716" xr:uid="{00000000-0005-0000-0000-0000114D0000}"/>
    <cellStyle name="Positive 2 22 3" xfId="19717" xr:uid="{00000000-0005-0000-0000-0000124D0000}"/>
    <cellStyle name="Positive 2 22 3 2" xfId="19718" xr:uid="{00000000-0005-0000-0000-0000134D0000}"/>
    <cellStyle name="Positive 2 22 3 2 2" xfId="19719" xr:uid="{00000000-0005-0000-0000-0000144D0000}"/>
    <cellStyle name="Positive 2 22 3 3" xfId="19720" xr:uid="{00000000-0005-0000-0000-0000154D0000}"/>
    <cellStyle name="Positive 2 22 4" xfId="19721" xr:uid="{00000000-0005-0000-0000-0000164D0000}"/>
    <cellStyle name="Positive 2 22 4 2" xfId="19722" xr:uid="{00000000-0005-0000-0000-0000174D0000}"/>
    <cellStyle name="Positive 2 22 4 2 2" xfId="19723" xr:uid="{00000000-0005-0000-0000-0000184D0000}"/>
    <cellStyle name="Positive 2 22 4 3" xfId="19724" xr:uid="{00000000-0005-0000-0000-0000194D0000}"/>
    <cellStyle name="Positive 2 22 5" xfId="19725" xr:uid="{00000000-0005-0000-0000-00001A4D0000}"/>
    <cellStyle name="Positive 2 22 5 2" xfId="19726" xr:uid="{00000000-0005-0000-0000-00001B4D0000}"/>
    <cellStyle name="Positive 2 22 6" xfId="19727" xr:uid="{00000000-0005-0000-0000-00001C4D0000}"/>
    <cellStyle name="Positive 2 22 6 2" xfId="19728" xr:uid="{00000000-0005-0000-0000-00001D4D0000}"/>
    <cellStyle name="Positive 2 22 7" xfId="19729" xr:uid="{00000000-0005-0000-0000-00001E4D0000}"/>
    <cellStyle name="Positive 2 22 7 2" xfId="19730" xr:uid="{00000000-0005-0000-0000-00001F4D0000}"/>
    <cellStyle name="Positive 2 22 8" xfId="19731" xr:uid="{00000000-0005-0000-0000-0000204D0000}"/>
    <cellStyle name="Positive 2 22 8 2" xfId="19732" xr:uid="{00000000-0005-0000-0000-0000214D0000}"/>
    <cellStyle name="Positive 2 22 9" xfId="19733" xr:uid="{00000000-0005-0000-0000-0000224D0000}"/>
    <cellStyle name="Positive 2 22 9 2" xfId="19734" xr:uid="{00000000-0005-0000-0000-0000234D0000}"/>
    <cellStyle name="Positive 2 23" xfId="19735" xr:uid="{00000000-0005-0000-0000-0000244D0000}"/>
    <cellStyle name="Positive 2 23 10" xfId="19736" xr:uid="{00000000-0005-0000-0000-0000254D0000}"/>
    <cellStyle name="Positive 2 23 10 2" xfId="19737" xr:uid="{00000000-0005-0000-0000-0000264D0000}"/>
    <cellStyle name="Positive 2 23 11" xfId="19738" xr:uid="{00000000-0005-0000-0000-0000274D0000}"/>
    <cellStyle name="Positive 2 23 11 2" xfId="19739" xr:uid="{00000000-0005-0000-0000-0000284D0000}"/>
    <cellStyle name="Positive 2 23 12" xfId="19740" xr:uid="{00000000-0005-0000-0000-0000294D0000}"/>
    <cellStyle name="Positive 2 23 12 2" xfId="19741" xr:uid="{00000000-0005-0000-0000-00002A4D0000}"/>
    <cellStyle name="Positive 2 23 13" xfId="19742" xr:uid="{00000000-0005-0000-0000-00002B4D0000}"/>
    <cellStyle name="Positive 2 23 13 2" xfId="19743" xr:uid="{00000000-0005-0000-0000-00002C4D0000}"/>
    <cellStyle name="Positive 2 23 14" xfId="19744" xr:uid="{00000000-0005-0000-0000-00002D4D0000}"/>
    <cellStyle name="Positive 2 23 14 2" xfId="19745" xr:uid="{00000000-0005-0000-0000-00002E4D0000}"/>
    <cellStyle name="Positive 2 23 15" xfId="19746" xr:uid="{00000000-0005-0000-0000-00002F4D0000}"/>
    <cellStyle name="Positive 2 23 15 2" xfId="19747" xr:uid="{00000000-0005-0000-0000-0000304D0000}"/>
    <cellStyle name="Positive 2 23 16" xfId="19748" xr:uid="{00000000-0005-0000-0000-0000314D0000}"/>
    <cellStyle name="Positive 2 23 16 2" xfId="19749" xr:uid="{00000000-0005-0000-0000-0000324D0000}"/>
    <cellStyle name="Positive 2 23 17" xfId="19750" xr:uid="{00000000-0005-0000-0000-0000334D0000}"/>
    <cellStyle name="Positive 2 23 17 2" xfId="19751" xr:uid="{00000000-0005-0000-0000-0000344D0000}"/>
    <cellStyle name="Positive 2 23 18" xfId="19752" xr:uid="{00000000-0005-0000-0000-0000354D0000}"/>
    <cellStyle name="Positive 2 23 18 2" xfId="19753" xr:uid="{00000000-0005-0000-0000-0000364D0000}"/>
    <cellStyle name="Positive 2 23 19" xfId="19754" xr:uid="{00000000-0005-0000-0000-0000374D0000}"/>
    <cellStyle name="Positive 2 23 19 2" xfId="19755" xr:uid="{00000000-0005-0000-0000-0000384D0000}"/>
    <cellStyle name="Positive 2 23 2" xfId="19756" xr:uid="{00000000-0005-0000-0000-0000394D0000}"/>
    <cellStyle name="Positive 2 23 2 10" xfId="19757" xr:uid="{00000000-0005-0000-0000-00003A4D0000}"/>
    <cellStyle name="Positive 2 23 2 10 2" xfId="19758" xr:uid="{00000000-0005-0000-0000-00003B4D0000}"/>
    <cellStyle name="Positive 2 23 2 11" xfId="19759" xr:uid="{00000000-0005-0000-0000-00003C4D0000}"/>
    <cellStyle name="Positive 2 23 2 11 2" xfId="19760" xr:uid="{00000000-0005-0000-0000-00003D4D0000}"/>
    <cellStyle name="Positive 2 23 2 12" xfId="19761" xr:uid="{00000000-0005-0000-0000-00003E4D0000}"/>
    <cellStyle name="Positive 2 23 2 12 2" xfId="19762" xr:uid="{00000000-0005-0000-0000-00003F4D0000}"/>
    <cellStyle name="Positive 2 23 2 13" xfId="19763" xr:uid="{00000000-0005-0000-0000-0000404D0000}"/>
    <cellStyle name="Positive 2 23 2 13 2" xfId="19764" xr:uid="{00000000-0005-0000-0000-0000414D0000}"/>
    <cellStyle name="Positive 2 23 2 14" xfId="19765" xr:uid="{00000000-0005-0000-0000-0000424D0000}"/>
    <cellStyle name="Positive 2 23 2 14 2" xfId="19766" xr:uid="{00000000-0005-0000-0000-0000434D0000}"/>
    <cellStyle name="Positive 2 23 2 15" xfId="19767" xr:uid="{00000000-0005-0000-0000-0000444D0000}"/>
    <cellStyle name="Positive 2 23 2 15 2" xfId="19768" xr:uid="{00000000-0005-0000-0000-0000454D0000}"/>
    <cellStyle name="Positive 2 23 2 16" xfId="19769" xr:uid="{00000000-0005-0000-0000-0000464D0000}"/>
    <cellStyle name="Positive 2 23 2 16 2" xfId="19770" xr:uid="{00000000-0005-0000-0000-0000474D0000}"/>
    <cellStyle name="Positive 2 23 2 17" xfId="19771" xr:uid="{00000000-0005-0000-0000-0000484D0000}"/>
    <cellStyle name="Positive 2 23 2 2" xfId="19772" xr:uid="{00000000-0005-0000-0000-0000494D0000}"/>
    <cellStyle name="Positive 2 23 2 2 2" xfId="19773" xr:uid="{00000000-0005-0000-0000-00004A4D0000}"/>
    <cellStyle name="Positive 2 23 2 3" xfId="19774" xr:uid="{00000000-0005-0000-0000-00004B4D0000}"/>
    <cellStyle name="Positive 2 23 2 3 2" xfId="19775" xr:uid="{00000000-0005-0000-0000-00004C4D0000}"/>
    <cellStyle name="Positive 2 23 2 4" xfId="19776" xr:uid="{00000000-0005-0000-0000-00004D4D0000}"/>
    <cellStyle name="Positive 2 23 2 4 2" xfId="19777" xr:uid="{00000000-0005-0000-0000-00004E4D0000}"/>
    <cellStyle name="Positive 2 23 2 5" xfId="19778" xr:uid="{00000000-0005-0000-0000-00004F4D0000}"/>
    <cellStyle name="Positive 2 23 2 5 2" xfId="19779" xr:uid="{00000000-0005-0000-0000-0000504D0000}"/>
    <cellStyle name="Positive 2 23 2 6" xfId="19780" xr:uid="{00000000-0005-0000-0000-0000514D0000}"/>
    <cellStyle name="Positive 2 23 2 6 2" xfId="19781" xr:uid="{00000000-0005-0000-0000-0000524D0000}"/>
    <cellStyle name="Positive 2 23 2 7" xfId="19782" xr:uid="{00000000-0005-0000-0000-0000534D0000}"/>
    <cellStyle name="Positive 2 23 2 7 2" xfId="19783" xr:uid="{00000000-0005-0000-0000-0000544D0000}"/>
    <cellStyle name="Positive 2 23 2 8" xfId="19784" xr:uid="{00000000-0005-0000-0000-0000554D0000}"/>
    <cellStyle name="Positive 2 23 2 8 2" xfId="19785" xr:uid="{00000000-0005-0000-0000-0000564D0000}"/>
    <cellStyle name="Positive 2 23 2 9" xfId="19786" xr:uid="{00000000-0005-0000-0000-0000574D0000}"/>
    <cellStyle name="Positive 2 23 2 9 2" xfId="19787" xr:uid="{00000000-0005-0000-0000-0000584D0000}"/>
    <cellStyle name="Positive 2 23 20" xfId="19788" xr:uid="{00000000-0005-0000-0000-0000594D0000}"/>
    <cellStyle name="Positive 2 23 3" xfId="19789" xr:uid="{00000000-0005-0000-0000-00005A4D0000}"/>
    <cellStyle name="Positive 2 23 3 2" xfId="19790" xr:uid="{00000000-0005-0000-0000-00005B4D0000}"/>
    <cellStyle name="Positive 2 23 3 2 2" xfId="19791" xr:uid="{00000000-0005-0000-0000-00005C4D0000}"/>
    <cellStyle name="Positive 2 23 3 3" xfId="19792" xr:uid="{00000000-0005-0000-0000-00005D4D0000}"/>
    <cellStyle name="Positive 2 23 4" xfId="19793" xr:uid="{00000000-0005-0000-0000-00005E4D0000}"/>
    <cellStyle name="Positive 2 23 4 2" xfId="19794" xr:uid="{00000000-0005-0000-0000-00005F4D0000}"/>
    <cellStyle name="Positive 2 23 4 2 2" xfId="19795" xr:uid="{00000000-0005-0000-0000-0000604D0000}"/>
    <cellStyle name="Positive 2 23 4 3" xfId="19796" xr:uid="{00000000-0005-0000-0000-0000614D0000}"/>
    <cellStyle name="Positive 2 23 5" xfId="19797" xr:uid="{00000000-0005-0000-0000-0000624D0000}"/>
    <cellStyle name="Positive 2 23 5 2" xfId="19798" xr:uid="{00000000-0005-0000-0000-0000634D0000}"/>
    <cellStyle name="Positive 2 23 6" xfId="19799" xr:uid="{00000000-0005-0000-0000-0000644D0000}"/>
    <cellStyle name="Positive 2 23 6 2" xfId="19800" xr:uid="{00000000-0005-0000-0000-0000654D0000}"/>
    <cellStyle name="Positive 2 23 7" xfId="19801" xr:uid="{00000000-0005-0000-0000-0000664D0000}"/>
    <cellStyle name="Positive 2 23 7 2" xfId="19802" xr:uid="{00000000-0005-0000-0000-0000674D0000}"/>
    <cellStyle name="Positive 2 23 8" xfId="19803" xr:uid="{00000000-0005-0000-0000-0000684D0000}"/>
    <cellStyle name="Positive 2 23 8 2" xfId="19804" xr:uid="{00000000-0005-0000-0000-0000694D0000}"/>
    <cellStyle name="Positive 2 23 9" xfId="19805" xr:uid="{00000000-0005-0000-0000-00006A4D0000}"/>
    <cellStyle name="Positive 2 23 9 2" xfId="19806" xr:uid="{00000000-0005-0000-0000-00006B4D0000}"/>
    <cellStyle name="Positive 2 24" xfId="19807" xr:uid="{00000000-0005-0000-0000-00006C4D0000}"/>
    <cellStyle name="Positive 2 24 10" xfId="19808" xr:uid="{00000000-0005-0000-0000-00006D4D0000}"/>
    <cellStyle name="Positive 2 24 10 2" xfId="19809" xr:uid="{00000000-0005-0000-0000-00006E4D0000}"/>
    <cellStyle name="Positive 2 24 11" xfId="19810" xr:uid="{00000000-0005-0000-0000-00006F4D0000}"/>
    <cellStyle name="Positive 2 24 11 2" xfId="19811" xr:uid="{00000000-0005-0000-0000-0000704D0000}"/>
    <cellStyle name="Positive 2 24 12" xfId="19812" xr:uid="{00000000-0005-0000-0000-0000714D0000}"/>
    <cellStyle name="Positive 2 24 12 2" xfId="19813" xr:uid="{00000000-0005-0000-0000-0000724D0000}"/>
    <cellStyle name="Positive 2 24 13" xfId="19814" xr:uid="{00000000-0005-0000-0000-0000734D0000}"/>
    <cellStyle name="Positive 2 24 13 2" xfId="19815" xr:uid="{00000000-0005-0000-0000-0000744D0000}"/>
    <cellStyle name="Positive 2 24 14" xfId="19816" xr:uid="{00000000-0005-0000-0000-0000754D0000}"/>
    <cellStyle name="Positive 2 24 14 2" xfId="19817" xr:uid="{00000000-0005-0000-0000-0000764D0000}"/>
    <cellStyle name="Positive 2 24 15" xfId="19818" xr:uid="{00000000-0005-0000-0000-0000774D0000}"/>
    <cellStyle name="Positive 2 24 15 2" xfId="19819" xr:uid="{00000000-0005-0000-0000-0000784D0000}"/>
    <cellStyle name="Positive 2 24 16" xfId="19820" xr:uid="{00000000-0005-0000-0000-0000794D0000}"/>
    <cellStyle name="Positive 2 24 16 2" xfId="19821" xr:uid="{00000000-0005-0000-0000-00007A4D0000}"/>
    <cellStyle name="Positive 2 24 17" xfId="19822" xr:uid="{00000000-0005-0000-0000-00007B4D0000}"/>
    <cellStyle name="Positive 2 24 17 2" xfId="19823" xr:uid="{00000000-0005-0000-0000-00007C4D0000}"/>
    <cellStyle name="Positive 2 24 18" xfId="19824" xr:uid="{00000000-0005-0000-0000-00007D4D0000}"/>
    <cellStyle name="Positive 2 24 18 2" xfId="19825" xr:uid="{00000000-0005-0000-0000-00007E4D0000}"/>
    <cellStyle name="Positive 2 24 19" xfId="19826" xr:uid="{00000000-0005-0000-0000-00007F4D0000}"/>
    <cellStyle name="Positive 2 24 19 2" xfId="19827" xr:uid="{00000000-0005-0000-0000-0000804D0000}"/>
    <cellStyle name="Positive 2 24 2" xfId="19828" xr:uid="{00000000-0005-0000-0000-0000814D0000}"/>
    <cellStyle name="Positive 2 24 2 10" xfId="19829" xr:uid="{00000000-0005-0000-0000-0000824D0000}"/>
    <cellStyle name="Positive 2 24 2 10 2" xfId="19830" xr:uid="{00000000-0005-0000-0000-0000834D0000}"/>
    <cellStyle name="Positive 2 24 2 11" xfId="19831" xr:uid="{00000000-0005-0000-0000-0000844D0000}"/>
    <cellStyle name="Positive 2 24 2 11 2" xfId="19832" xr:uid="{00000000-0005-0000-0000-0000854D0000}"/>
    <cellStyle name="Positive 2 24 2 12" xfId="19833" xr:uid="{00000000-0005-0000-0000-0000864D0000}"/>
    <cellStyle name="Positive 2 24 2 12 2" xfId="19834" xr:uid="{00000000-0005-0000-0000-0000874D0000}"/>
    <cellStyle name="Positive 2 24 2 13" xfId="19835" xr:uid="{00000000-0005-0000-0000-0000884D0000}"/>
    <cellStyle name="Positive 2 24 2 13 2" xfId="19836" xr:uid="{00000000-0005-0000-0000-0000894D0000}"/>
    <cellStyle name="Positive 2 24 2 14" xfId="19837" xr:uid="{00000000-0005-0000-0000-00008A4D0000}"/>
    <cellStyle name="Positive 2 24 2 14 2" xfId="19838" xr:uid="{00000000-0005-0000-0000-00008B4D0000}"/>
    <cellStyle name="Positive 2 24 2 15" xfId="19839" xr:uid="{00000000-0005-0000-0000-00008C4D0000}"/>
    <cellStyle name="Positive 2 24 2 15 2" xfId="19840" xr:uid="{00000000-0005-0000-0000-00008D4D0000}"/>
    <cellStyle name="Positive 2 24 2 16" xfId="19841" xr:uid="{00000000-0005-0000-0000-00008E4D0000}"/>
    <cellStyle name="Positive 2 24 2 16 2" xfId="19842" xr:uid="{00000000-0005-0000-0000-00008F4D0000}"/>
    <cellStyle name="Positive 2 24 2 17" xfId="19843" xr:uid="{00000000-0005-0000-0000-0000904D0000}"/>
    <cellStyle name="Positive 2 24 2 2" xfId="19844" xr:uid="{00000000-0005-0000-0000-0000914D0000}"/>
    <cellStyle name="Positive 2 24 2 2 2" xfId="19845" xr:uid="{00000000-0005-0000-0000-0000924D0000}"/>
    <cellStyle name="Positive 2 24 2 3" xfId="19846" xr:uid="{00000000-0005-0000-0000-0000934D0000}"/>
    <cellStyle name="Positive 2 24 2 3 2" xfId="19847" xr:uid="{00000000-0005-0000-0000-0000944D0000}"/>
    <cellStyle name="Positive 2 24 2 4" xfId="19848" xr:uid="{00000000-0005-0000-0000-0000954D0000}"/>
    <cellStyle name="Positive 2 24 2 4 2" xfId="19849" xr:uid="{00000000-0005-0000-0000-0000964D0000}"/>
    <cellStyle name="Positive 2 24 2 5" xfId="19850" xr:uid="{00000000-0005-0000-0000-0000974D0000}"/>
    <cellStyle name="Positive 2 24 2 5 2" xfId="19851" xr:uid="{00000000-0005-0000-0000-0000984D0000}"/>
    <cellStyle name="Positive 2 24 2 6" xfId="19852" xr:uid="{00000000-0005-0000-0000-0000994D0000}"/>
    <cellStyle name="Positive 2 24 2 6 2" xfId="19853" xr:uid="{00000000-0005-0000-0000-00009A4D0000}"/>
    <cellStyle name="Positive 2 24 2 7" xfId="19854" xr:uid="{00000000-0005-0000-0000-00009B4D0000}"/>
    <cellStyle name="Positive 2 24 2 7 2" xfId="19855" xr:uid="{00000000-0005-0000-0000-00009C4D0000}"/>
    <cellStyle name="Positive 2 24 2 8" xfId="19856" xr:uid="{00000000-0005-0000-0000-00009D4D0000}"/>
    <cellStyle name="Positive 2 24 2 8 2" xfId="19857" xr:uid="{00000000-0005-0000-0000-00009E4D0000}"/>
    <cellStyle name="Positive 2 24 2 9" xfId="19858" xr:uid="{00000000-0005-0000-0000-00009F4D0000}"/>
    <cellStyle name="Positive 2 24 2 9 2" xfId="19859" xr:uid="{00000000-0005-0000-0000-0000A04D0000}"/>
    <cellStyle name="Positive 2 24 20" xfId="19860" xr:uid="{00000000-0005-0000-0000-0000A14D0000}"/>
    <cellStyle name="Positive 2 24 3" xfId="19861" xr:uid="{00000000-0005-0000-0000-0000A24D0000}"/>
    <cellStyle name="Positive 2 24 3 2" xfId="19862" xr:uid="{00000000-0005-0000-0000-0000A34D0000}"/>
    <cellStyle name="Positive 2 24 3 2 2" xfId="19863" xr:uid="{00000000-0005-0000-0000-0000A44D0000}"/>
    <cellStyle name="Positive 2 24 3 3" xfId="19864" xr:uid="{00000000-0005-0000-0000-0000A54D0000}"/>
    <cellStyle name="Positive 2 24 4" xfId="19865" xr:uid="{00000000-0005-0000-0000-0000A64D0000}"/>
    <cellStyle name="Positive 2 24 4 2" xfId="19866" xr:uid="{00000000-0005-0000-0000-0000A74D0000}"/>
    <cellStyle name="Positive 2 24 4 2 2" xfId="19867" xr:uid="{00000000-0005-0000-0000-0000A84D0000}"/>
    <cellStyle name="Positive 2 24 4 3" xfId="19868" xr:uid="{00000000-0005-0000-0000-0000A94D0000}"/>
    <cellStyle name="Positive 2 24 5" xfId="19869" xr:uid="{00000000-0005-0000-0000-0000AA4D0000}"/>
    <cellStyle name="Positive 2 24 5 2" xfId="19870" xr:uid="{00000000-0005-0000-0000-0000AB4D0000}"/>
    <cellStyle name="Positive 2 24 6" xfId="19871" xr:uid="{00000000-0005-0000-0000-0000AC4D0000}"/>
    <cellStyle name="Positive 2 24 6 2" xfId="19872" xr:uid="{00000000-0005-0000-0000-0000AD4D0000}"/>
    <cellStyle name="Positive 2 24 7" xfId="19873" xr:uid="{00000000-0005-0000-0000-0000AE4D0000}"/>
    <cellStyle name="Positive 2 24 7 2" xfId="19874" xr:uid="{00000000-0005-0000-0000-0000AF4D0000}"/>
    <cellStyle name="Positive 2 24 8" xfId="19875" xr:uid="{00000000-0005-0000-0000-0000B04D0000}"/>
    <cellStyle name="Positive 2 24 8 2" xfId="19876" xr:uid="{00000000-0005-0000-0000-0000B14D0000}"/>
    <cellStyle name="Positive 2 24 9" xfId="19877" xr:uid="{00000000-0005-0000-0000-0000B24D0000}"/>
    <cellStyle name="Positive 2 24 9 2" xfId="19878" xr:uid="{00000000-0005-0000-0000-0000B34D0000}"/>
    <cellStyle name="Positive 2 25" xfId="19879" xr:uid="{00000000-0005-0000-0000-0000B44D0000}"/>
    <cellStyle name="Positive 2 25 10" xfId="19880" xr:uid="{00000000-0005-0000-0000-0000B54D0000}"/>
    <cellStyle name="Positive 2 25 10 2" xfId="19881" xr:uid="{00000000-0005-0000-0000-0000B64D0000}"/>
    <cellStyle name="Positive 2 25 11" xfId="19882" xr:uid="{00000000-0005-0000-0000-0000B74D0000}"/>
    <cellStyle name="Positive 2 25 11 2" xfId="19883" xr:uid="{00000000-0005-0000-0000-0000B84D0000}"/>
    <cellStyle name="Positive 2 25 12" xfId="19884" xr:uid="{00000000-0005-0000-0000-0000B94D0000}"/>
    <cellStyle name="Positive 2 25 12 2" xfId="19885" xr:uid="{00000000-0005-0000-0000-0000BA4D0000}"/>
    <cellStyle name="Positive 2 25 13" xfId="19886" xr:uid="{00000000-0005-0000-0000-0000BB4D0000}"/>
    <cellStyle name="Positive 2 25 13 2" xfId="19887" xr:uid="{00000000-0005-0000-0000-0000BC4D0000}"/>
    <cellStyle name="Positive 2 25 14" xfId="19888" xr:uid="{00000000-0005-0000-0000-0000BD4D0000}"/>
    <cellStyle name="Positive 2 25 14 2" xfId="19889" xr:uid="{00000000-0005-0000-0000-0000BE4D0000}"/>
    <cellStyle name="Positive 2 25 15" xfId="19890" xr:uid="{00000000-0005-0000-0000-0000BF4D0000}"/>
    <cellStyle name="Positive 2 25 15 2" xfId="19891" xr:uid="{00000000-0005-0000-0000-0000C04D0000}"/>
    <cellStyle name="Positive 2 25 16" xfId="19892" xr:uid="{00000000-0005-0000-0000-0000C14D0000}"/>
    <cellStyle name="Positive 2 25 16 2" xfId="19893" xr:uid="{00000000-0005-0000-0000-0000C24D0000}"/>
    <cellStyle name="Positive 2 25 17" xfId="19894" xr:uid="{00000000-0005-0000-0000-0000C34D0000}"/>
    <cellStyle name="Positive 2 25 2" xfId="19895" xr:uid="{00000000-0005-0000-0000-0000C44D0000}"/>
    <cellStyle name="Positive 2 25 2 2" xfId="19896" xr:uid="{00000000-0005-0000-0000-0000C54D0000}"/>
    <cellStyle name="Positive 2 25 3" xfId="19897" xr:uid="{00000000-0005-0000-0000-0000C64D0000}"/>
    <cellStyle name="Positive 2 25 3 2" xfId="19898" xr:uid="{00000000-0005-0000-0000-0000C74D0000}"/>
    <cellStyle name="Positive 2 25 4" xfId="19899" xr:uid="{00000000-0005-0000-0000-0000C84D0000}"/>
    <cellStyle name="Positive 2 25 4 2" xfId="19900" xr:uid="{00000000-0005-0000-0000-0000C94D0000}"/>
    <cellStyle name="Positive 2 25 5" xfId="19901" xr:uid="{00000000-0005-0000-0000-0000CA4D0000}"/>
    <cellStyle name="Positive 2 25 5 2" xfId="19902" xr:uid="{00000000-0005-0000-0000-0000CB4D0000}"/>
    <cellStyle name="Positive 2 25 6" xfId="19903" xr:uid="{00000000-0005-0000-0000-0000CC4D0000}"/>
    <cellStyle name="Positive 2 25 6 2" xfId="19904" xr:uid="{00000000-0005-0000-0000-0000CD4D0000}"/>
    <cellStyle name="Positive 2 25 7" xfId="19905" xr:uid="{00000000-0005-0000-0000-0000CE4D0000}"/>
    <cellStyle name="Positive 2 25 7 2" xfId="19906" xr:uid="{00000000-0005-0000-0000-0000CF4D0000}"/>
    <cellStyle name="Positive 2 25 8" xfId="19907" xr:uid="{00000000-0005-0000-0000-0000D04D0000}"/>
    <cellStyle name="Positive 2 25 8 2" xfId="19908" xr:uid="{00000000-0005-0000-0000-0000D14D0000}"/>
    <cellStyle name="Positive 2 25 9" xfId="19909" xr:uid="{00000000-0005-0000-0000-0000D24D0000}"/>
    <cellStyle name="Positive 2 25 9 2" xfId="19910" xr:uid="{00000000-0005-0000-0000-0000D34D0000}"/>
    <cellStyle name="Positive 2 26" xfId="19911" xr:uid="{00000000-0005-0000-0000-0000D44D0000}"/>
    <cellStyle name="Positive 2 26 2" xfId="19912" xr:uid="{00000000-0005-0000-0000-0000D54D0000}"/>
    <cellStyle name="Positive 2 26 2 2" xfId="19913" xr:uid="{00000000-0005-0000-0000-0000D64D0000}"/>
    <cellStyle name="Positive 2 26 3" xfId="19914" xr:uid="{00000000-0005-0000-0000-0000D74D0000}"/>
    <cellStyle name="Positive 2 27" xfId="19915" xr:uid="{00000000-0005-0000-0000-0000D84D0000}"/>
    <cellStyle name="Positive 2 27 2" xfId="19916" xr:uid="{00000000-0005-0000-0000-0000D94D0000}"/>
    <cellStyle name="Positive 2 27 2 2" xfId="19917" xr:uid="{00000000-0005-0000-0000-0000DA4D0000}"/>
    <cellStyle name="Positive 2 27 3" xfId="19918" xr:uid="{00000000-0005-0000-0000-0000DB4D0000}"/>
    <cellStyle name="Positive 2 28" xfId="19919" xr:uid="{00000000-0005-0000-0000-0000DC4D0000}"/>
    <cellStyle name="Positive 2 28 2" xfId="19920" xr:uid="{00000000-0005-0000-0000-0000DD4D0000}"/>
    <cellStyle name="Positive 2 29" xfId="19921" xr:uid="{00000000-0005-0000-0000-0000DE4D0000}"/>
    <cellStyle name="Positive 2 29 2" xfId="19922" xr:uid="{00000000-0005-0000-0000-0000DF4D0000}"/>
    <cellStyle name="Positive 2 3" xfId="19923" xr:uid="{00000000-0005-0000-0000-0000E04D0000}"/>
    <cellStyle name="Positive 2 3 10" xfId="19924" xr:uid="{00000000-0005-0000-0000-0000E14D0000}"/>
    <cellStyle name="Positive 2 3 10 10" xfId="19925" xr:uid="{00000000-0005-0000-0000-0000E24D0000}"/>
    <cellStyle name="Positive 2 3 10 10 2" xfId="19926" xr:uid="{00000000-0005-0000-0000-0000E34D0000}"/>
    <cellStyle name="Positive 2 3 10 11" xfId="19927" xr:uid="{00000000-0005-0000-0000-0000E44D0000}"/>
    <cellStyle name="Positive 2 3 10 11 2" xfId="19928" xr:uid="{00000000-0005-0000-0000-0000E54D0000}"/>
    <cellStyle name="Positive 2 3 10 12" xfId="19929" xr:uid="{00000000-0005-0000-0000-0000E64D0000}"/>
    <cellStyle name="Positive 2 3 10 12 2" xfId="19930" xr:uid="{00000000-0005-0000-0000-0000E74D0000}"/>
    <cellStyle name="Positive 2 3 10 13" xfId="19931" xr:uid="{00000000-0005-0000-0000-0000E84D0000}"/>
    <cellStyle name="Positive 2 3 10 13 2" xfId="19932" xr:uid="{00000000-0005-0000-0000-0000E94D0000}"/>
    <cellStyle name="Positive 2 3 10 14" xfId="19933" xr:uid="{00000000-0005-0000-0000-0000EA4D0000}"/>
    <cellStyle name="Positive 2 3 10 14 2" xfId="19934" xr:uid="{00000000-0005-0000-0000-0000EB4D0000}"/>
    <cellStyle name="Positive 2 3 10 15" xfId="19935" xr:uid="{00000000-0005-0000-0000-0000EC4D0000}"/>
    <cellStyle name="Positive 2 3 10 15 2" xfId="19936" xr:uid="{00000000-0005-0000-0000-0000ED4D0000}"/>
    <cellStyle name="Positive 2 3 10 16" xfId="19937" xr:uid="{00000000-0005-0000-0000-0000EE4D0000}"/>
    <cellStyle name="Positive 2 3 10 16 2" xfId="19938" xr:uid="{00000000-0005-0000-0000-0000EF4D0000}"/>
    <cellStyle name="Positive 2 3 10 17" xfId="19939" xr:uid="{00000000-0005-0000-0000-0000F04D0000}"/>
    <cellStyle name="Positive 2 3 10 17 2" xfId="19940" xr:uid="{00000000-0005-0000-0000-0000F14D0000}"/>
    <cellStyle name="Positive 2 3 10 18" xfId="19941" xr:uid="{00000000-0005-0000-0000-0000F24D0000}"/>
    <cellStyle name="Positive 2 3 10 18 2" xfId="19942" xr:uid="{00000000-0005-0000-0000-0000F34D0000}"/>
    <cellStyle name="Positive 2 3 10 19" xfId="19943" xr:uid="{00000000-0005-0000-0000-0000F44D0000}"/>
    <cellStyle name="Positive 2 3 10 19 2" xfId="19944" xr:uid="{00000000-0005-0000-0000-0000F54D0000}"/>
    <cellStyle name="Positive 2 3 10 2" xfId="19945" xr:uid="{00000000-0005-0000-0000-0000F64D0000}"/>
    <cellStyle name="Positive 2 3 10 2 10" xfId="19946" xr:uid="{00000000-0005-0000-0000-0000F74D0000}"/>
    <cellStyle name="Positive 2 3 10 2 10 2" xfId="19947" xr:uid="{00000000-0005-0000-0000-0000F84D0000}"/>
    <cellStyle name="Positive 2 3 10 2 11" xfId="19948" xr:uid="{00000000-0005-0000-0000-0000F94D0000}"/>
    <cellStyle name="Positive 2 3 10 2 11 2" xfId="19949" xr:uid="{00000000-0005-0000-0000-0000FA4D0000}"/>
    <cellStyle name="Positive 2 3 10 2 12" xfId="19950" xr:uid="{00000000-0005-0000-0000-0000FB4D0000}"/>
    <cellStyle name="Positive 2 3 10 2 12 2" xfId="19951" xr:uid="{00000000-0005-0000-0000-0000FC4D0000}"/>
    <cellStyle name="Positive 2 3 10 2 13" xfId="19952" xr:uid="{00000000-0005-0000-0000-0000FD4D0000}"/>
    <cellStyle name="Positive 2 3 10 2 13 2" xfId="19953" xr:uid="{00000000-0005-0000-0000-0000FE4D0000}"/>
    <cellStyle name="Positive 2 3 10 2 14" xfId="19954" xr:uid="{00000000-0005-0000-0000-0000FF4D0000}"/>
    <cellStyle name="Positive 2 3 10 2 14 2" xfId="19955" xr:uid="{00000000-0005-0000-0000-0000004E0000}"/>
    <cellStyle name="Positive 2 3 10 2 15" xfId="19956" xr:uid="{00000000-0005-0000-0000-0000014E0000}"/>
    <cellStyle name="Positive 2 3 10 2 15 2" xfId="19957" xr:uid="{00000000-0005-0000-0000-0000024E0000}"/>
    <cellStyle name="Positive 2 3 10 2 16" xfId="19958" xr:uid="{00000000-0005-0000-0000-0000034E0000}"/>
    <cellStyle name="Positive 2 3 10 2 16 2" xfId="19959" xr:uid="{00000000-0005-0000-0000-0000044E0000}"/>
    <cellStyle name="Positive 2 3 10 2 17" xfId="19960" xr:uid="{00000000-0005-0000-0000-0000054E0000}"/>
    <cellStyle name="Positive 2 3 10 2 17 2" xfId="19961" xr:uid="{00000000-0005-0000-0000-0000064E0000}"/>
    <cellStyle name="Positive 2 3 10 2 18" xfId="19962" xr:uid="{00000000-0005-0000-0000-0000074E0000}"/>
    <cellStyle name="Positive 2 3 10 2 18 2" xfId="19963" xr:uid="{00000000-0005-0000-0000-0000084E0000}"/>
    <cellStyle name="Positive 2 3 10 2 19" xfId="19964" xr:uid="{00000000-0005-0000-0000-0000094E0000}"/>
    <cellStyle name="Positive 2 3 10 2 19 2" xfId="19965" xr:uid="{00000000-0005-0000-0000-00000A4E0000}"/>
    <cellStyle name="Positive 2 3 10 2 2" xfId="19966" xr:uid="{00000000-0005-0000-0000-00000B4E0000}"/>
    <cellStyle name="Positive 2 3 10 2 2 10" xfId="19967" xr:uid="{00000000-0005-0000-0000-00000C4E0000}"/>
    <cellStyle name="Positive 2 3 10 2 2 10 2" xfId="19968" xr:uid="{00000000-0005-0000-0000-00000D4E0000}"/>
    <cellStyle name="Positive 2 3 10 2 2 11" xfId="19969" xr:uid="{00000000-0005-0000-0000-00000E4E0000}"/>
    <cellStyle name="Positive 2 3 10 2 2 11 2" xfId="19970" xr:uid="{00000000-0005-0000-0000-00000F4E0000}"/>
    <cellStyle name="Positive 2 3 10 2 2 12" xfId="19971" xr:uid="{00000000-0005-0000-0000-0000104E0000}"/>
    <cellStyle name="Positive 2 3 10 2 2 12 2" xfId="19972" xr:uid="{00000000-0005-0000-0000-0000114E0000}"/>
    <cellStyle name="Positive 2 3 10 2 2 13" xfId="19973" xr:uid="{00000000-0005-0000-0000-0000124E0000}"/>
    <cellStyle name="Positive 2 3 10 2 2 13 2" xfId="19974" xr:uid="{00000000-0005-0000-0000-0000134E0000}"/>
    <cellStyle name="Positive 2 3 10 2 2 14" xfId="19975" xr:uid="{00000000-0005-0000-0000-0000144E0000}"/>
    <cellStyle name="Positive 2 3 10 2 2 14 2" xfId="19976" xr:uid="{00000000-0005-0000-0000-0000154E0000}"/>
    <cellStyle name="Positive 2 3 10 2 2 15" xfId="19977" xr:uid="{00000000-0005-0000-0000-0000164E0000}"/>
    <cellStyle name="Positive 2 3 10 2 2 15 2" xfId="19978" xr:uid="{00000000-0005-0000-0000-0000174E0000}"/>
    <cellStyle name="Positive 2 3 10 2 2 16" xfId="19979" xr:uid="{00000000-0005-0000-0000-0000184E0000}"/>
    <cellStyle name="Positive 2 3 10 2 2 16 2" xfId="19980" xr:uid="{00000000-0005-0000-0000-0000194E0000}"/>
    <cellStyle name="Positive 2 3 10 2 2 17" xfId="19981" xr:uid="{00000000-0005-0000-0000-00001A4E0000}"/>
    <cellStyle name="Positive 2 3 10 2 2 2" xfId="19982" xr:uid="{00000000-0005-0000-0000-00001B4E0000}"/>
    <cellStyle name="Positive 2 3 10 2 2 2 2" xfId="19983" xr:uid="{00000000-0005-0000-0000-00001C4E0000}"/>
    <cellStyle name="Positive 2 3 10 2 2 3" xfId="19984" xr:uid="{00000000-0005-0000-0000-00001D4E0000}"/>
    <cellStyle name="Positive 2 3 10 2 2 3 2" xfId="19985" xr:uid="{00000000-0005-0000-0000-00001E4E0000}"/>
    <cellStyle name="Positive 2 3 10 2 2 4" xfId="19986" xr:uid="{00000000-0005-0000-0000-00001F4E0000}"/>
    <cellStyle name="Positive 2 3 10 2 2 4 2" xfId="19987" xr:uid="{00000000-0005-0000-0000-0000204E0000}"/>
    <cellStyle name="Positive 2 3 10 2 2 5" xfId="19988" xr:uid="{00000000-0005-0000-0000-0000214E0000}"/>
    <cellStyle name="Positive 2 3 10 2 2 5 2" xfId="19989" xr:uid="{00000000-0005-0000-0000-0000224E0000}"/>
    <cellStyle name="Positive 2 3 10 2 2 6" xfId="19990" xr:uid="{00000000-0005-0000-0000-0000234E0000}"/>
    <cellStyle name="Positive 2 3 10 2 2 6 2" xfId="19991" xr:uid="{00000000-0005-0000-0000-0000244E0000}"/>
    <cellStyle name="Positive 2 3 10 2 2 7" xfId="19992" xr:uid="{00000000-0005-0000-0000-0000254E0000}"/>
    <cellStyle name="Positive 2 3 10 2 2 7 2" xfId="19993" xr:uid="{00000000-0005-0000-0000-0000264E0000}"/>
    <cellStyle name="Positive 2 3 10 2 2 8" xfId="19994" xr:uid="{00000000-0005-0000-0000-0000274E0000}"/>
    <cellStyle name="Positive 2 3 10 2 2 8 2" xfId="19995" xr:uid="{00000000-0005-0000-0000-0000284E0000}"/>
    <cellStyle name="Positive 2 3 10 2 2 9" xfId="19996" xr:uid="{00000000-0005-0000-0000-0000294E0000}"/>
    <cellStyle name="Positive 2 3 10 2 2 9 2" xfId="19997" xr:uid="{00000000-0005-0000-0000-00002A4E0000}"/>
    <cellStyle name="Positive 2 3 10 2 20" xfId="19998" xr:uid="{00000000-0005-0000-0000-00002B4E0000}"/>
    <cellStyle name="Positive 2 3 10 2 3" xfId="19999" xr:uid="{00000000-0005-0000-0000-00002C4E0000}"/>
    <cellStyle name="Positive 2 3 10 2 3 2" xfId="20000" xr:uid="{00000000-0005-0000-0000-00002D4E0000}"/>
    <cellStyle name="Positive 2 3 10 2 3 2 2" xfId="20001" xr:uid="{00000000-0005-0000-0000-00002E4E0000}"/>
    <cellStyle name="Positive 2 3 10 2 3 3" xfId="20002" xr:uid="{00000000-0005-0000-0000-00002F4E0000}"/>
    <cellStyle name="Positive 2 3 10 2 4" xfId="20003" xr:uid="{00000000-0005-0000-0000-0000304E0000}"/>
    <cellStyle name="Positive 2 3 10 2 4 2" xfId="20004" xr:uid="{00000000-0005-0000-0000-0000314E0000}"/>
    <cellStyle name="Positive 2 3 10 2 4 2 2" xfId="20005" xr:uid="{00000000-0005-0000-0000-0000324E0000}"/>
    <cellStyle name="Positive 2 3 10 2 4 3" xfId="20006" xr:uid="{00000000-0005-0000-0000-0000334E0000}"/>
    <cellStyle name="Positive 2 3 10 2 5" xfId="20007" xr:uid="{00000000-0005-0000-0000-0000344E0000}"/>
    <cellStyle name="Positive 2 3 10 2 5 2" xfId="20008" xr:uid="{00000000-0005-0000-0000-0000354E0000}"/>
    <cellStyle name="Positive 2 3 10 2 6" xfId="20009" xr:uid="{00000000-0005-0000-0000-0000364E0000}"/>
    <cellStyle name="Positive 2 3 10 2 6 2" xfId="20010" xr:uid="{00000000-0005-0000-0000-0000374E0000}"/>
    <cellStyle name="Positive 2 3 10 2 7" xfId="20011" xr:uid="{00000000-0005-0000-0000-0000384E0000}"/>
    <cellStyle name="Positive 2 3 10 2 7 2" xfId="20012" xr:uid="{00000000-0005-0000-0000-0000394E0000}"/>
    <cellStyle name="Positive 2 3 10 2 8" xfId="20013" xr:uid="{00000000-0005-0000-0000-00003A4E0000}"/>
    <cellStyle name="Positive 2 3 10 2 8 2" xfId="20014" xr:uid="{00000000-0005-0000-0000-00003B4E0000}"/>
    <cellStyle name="Positive 2 3 10 2 9" xfId="20015" xr:uid="{00000000-0005-0000-0000-00003C4E0000}"/>
    <cellStyle name="Positive 2 3 10 2 9 2" xfId="20016" xr:uid="{00000000-0005-0000-0000-00003D4E0000}"/>
    <cellStyle name="Positive 2 3 10 20" xfId="20017" xr:uid="{00000000-0005-0000-0000-00003E4E0000}"/>
    <cellStyle name="Positive 2 3 10 20 2" xfId="20018" xr:uid="{00000000-0005-0000-0000-00003F4E0000}"/>
    <cellStyle name="Positive 2 3 10 21" xfId="20019" xr:uid="{00000000-0005-0000-0000-0000404E0000}"/>
    <cellStyle name="Positive 2 3 10 21 2" xfId="20020" xr:uid="{00000000-0005-0000-0000-0000414E0000}"/>
    <cellStyle name="Positive 2 3 10 22" xfId="20021" xr:uid="{00000000-0005-0000-0000-0000424E0000}"/>
    <cellStyle name="Positive 2 3 10 22 2" xfId="20022" xr:uid="{00000000-0005-0000-0000-0000434E0000}"/>
    <cellStyle name="Positive 2 3 10 23" xfId="20023" xr:uid="{00000000-0005-0000-0000-0000444E0000}"/>
    <cellStyle name="Positive 2 3 10 3" xfId="20024" xr:uid="{00000000-0005-0000-0000-0000454E0000}"/>
    <cellStyle name="Positive 2 3 10 3 10" xfId="20025" xr:uid="{00000000-0005-0000-0000-0000464E0000}"/>
    <cellStyle name="Positive 2 3 10 3 10 2" xfId="20026" xr:uid="{00000000-0005-0000-0000-0000474E0000}"/>
    <cellStyle name="Positive 2 3 10 3 11" xfId="20027" xr:uid="{00000000-0005-0000-0000-0000484E0000}"/>
    <cellStyle name="Positive 2 3 10 3 11 2" xfId="20028" xr:uid="{00000000-0005-0000-0000-0000494E0000}"/>
    <cellStyle name="Positive 2 3 10 3 12" xfId="20029" xr:uid="{00000000-0005-0000-0000-00004A4E0000}"/>
    <cellStyle name="Positive 2 3 10 3 12 2" xfId="20030" xr:uid="{00000000-0005-0000-0000-00004B4E0000}"/>
    <cellStyle name="Positive 2 3 10 3 13" xfId="20031" xr:uid="{00000000-0005-0000-0000-00004C4E0000}"/>
    <cellStyle name="Positive 2 3 10 3 13 2" xfId="20032" xr:uid="{00000000-0005-0000-0000-00004D4E0000}"/>
    <cellStyle name="Positive 2 3 10 3 14" xfId="20033" xr:uid="{00000000-0005-0000-0000-00004E4E0000}"/>
    <cellStyle name="Positive 2 3 10 3 14 2" xfId="20034" xr:uid="{00000000-0005-0000-0000-00004F4E0000}"/>
    <cellStyle name="Positive 2 3 10 3 15" xfId="20035" xr:uid="{00000000-0005-0000-0000-0000504E0000}"/>
    <cellStyle name="Positive 2 3 10 3 15 2" xfId="20036" xr:uid="{00000000-0005-0000-0000-0000514E0000}"/>
    <cellStyle name="Positive 2 3 10 3 16" xfId="20037" xr:uid="{00000000-0005-0000-0000-0000524E0000}"/>
    <cellStyle name="Positive 2 3 10 3 16 2" xfId="20038" xr:uid="{00000000-0005-0000-0000-0000534E0000}"/>
    <cellStyle name="Positive 2 3 10 3 17" xfId="20039" xr:uid="{00000000-0005-0000-0000-0000544E0000}"/>
    <cellStyle name="Positive 2 3 10 3 17 2" xfId="20040" xr:uid="{00000000-0005-0000-0000-0000554E0000}"/>
    <cellStyle name="Positive 2 3 10 3 18" xfId="20041" xr:uid="{00000000-0005-0000-0000-0000564E0000}"/>
    <cellStyle name="Positive 2 3 10 3 18 2" xfId="20042" xr:uid="{00000000-0005-0000-0000-0000574E0000}"/>
    <cellStyle name="Positive 2 3 10 3 19" xfId="20043" xr:uid="{00000000-0005-0000-0000-0000584E0000}"/>
    <cellStyle name="Positive 2 3 10 3 19 2" xfId="20044" xr:uid="{00000000-0005-0000-0000-0000594E0000}"/>
    <cellStyle name="Positive 2 3 10 3 2" xfId="20045" xr:uid="{00000000-0005-0000-0000-00005A4E0000}"/>
    <cellStyle name="Positive 2 3 10 3 2 10" xfId="20046" xr:uid="{00000000-0005-0000-0000-00005B4E0000}"/>
    <cellStyle name="Positive 2 3 10 3 2 10 2" xfId="20047" xr:uid="{00000000-0005-0000-0000-00005C4E0000}"/>
    <cellStyle name="Positive 2 3 10 3 2 11" xfId="20048" xr:uid="{00000000-0005-0000-0000-00005D4E0000}"/>
    <cellStyle name="Positive 2 3 10 3 2 11 2" xfId="20049" xr:uid="{00000000-0005-0000-0000-00005E4E0000}"/>
    <cellStyle name="Positive 2 3 10 3 2 12" xfId="20050" xr:uid="{00000000-0005-0000-0000-00005F4E0000}"/>
    <cellStyle name="Positive 2 3 10 3 2 12 2" xfId="20051" xr:uid="{00000000-0005-0000-0000-0000604E0000}"/>
    <cellStyle name="Positive 2 3 10 3 2 13" xfId="20052" xr:uid="{00000000-0005-0000-0000-0000614E0000}"/>
    <cellStyle name="Positive 2 3 10 3 2 13 2" xfId="20053" xr:uid="{00000000-0005-0000-0000-0000624E0000}"/>
    <cellStyle name="Positive 2 3 10 3 2 14" xfId="20054" xr:uid="{00000000-0005-0000-0000-0000634E0000}"/>
    <cellStyle name="Positive 2 3 10 3 2 14 2" xfId="20055" xr:uid="{00000000-0005-0000-0000-0000644E0000}"/>
    <cellStyle name="Positive 2 3 10 3 2 15" xfId="20056" xr:uid="{00000000-0005-0000-0000-0000654E0000}"/>
    <cellStyle name="Positive 2 3 10 3 2 15 2" xfId="20057" xr:uid="{00000000-0005-0000-0000-0000664E0000}"/>
    <cellStyle name="Positive 2 3 10 3 2 16" xfId="20058" xr:uid="{00000000-0005-0000-0000-0000674E0000}"/>
    <cellStyle name="Positive 2 3 10 3 2 16 2" xfId="20059" xr:uid="{00000000-0005-0000-0000-0000684E0000}"/>
    <cellStyle name="Positive 2 3 10 3 2 17" xfId="20060" xr:uid="{00000000-0005-0000-0000-0000694E0000}"/>
    <cellStyle name="Positive 2 3 10 3 2 2" xfId="20061" xr:uid="{00000000-0005-0000-0000-00006A4E0000}"/>
    <cellStyle name="Positive 2 3 10 3 2 2 2" xfId="20062" xr:uid="{00000000-0005-0000-0000-00006B4E0000}"/>
    <cellStyle name="Positive 2 3 10 3 2 3" xfId="20063" xr:uid="{00000000-0005-0000-0000-00006C4E0000}"/>
    <cellStyle name="Positive 2 3 10 3 2 3 2" xfId="20064" xr:uid="{00000000-0005-0000-0000-00006D4E0000}"/>
    <cellStyle name="Positive 2 3 10 3 2 4" xfId="20065" xr:uid="{00000000-0005-0000-0000-00006E4E0000}"/>
    <cellStyle name="Positive 2 3 10 3 2 4 2" xfId="20066" xr:uid="{00000000-0005-0000-0000-00006F4E0000}"/>
    <cellStyle name="Positive 2 3 10 3 2 5" xfId="20067" xr:uid="{00000000-0005-0000-0000-0000704E0000}"/>
    <cellStyle name="Positive 2 3 10 3 2 5 2" xfId="20068" xr:uid="{00000000-0005-0000-0000-0000714E0000}"/>
    <cellStyle name="Positive 2 3 10 3 2 6" xfId="20069" xr:uid="{00000000-0005-0000-0000-0000724E0000}"/>
    <cellStyle name="Positive 2 3 10 3 2 6 2" xfId="20070" xr:uid="{00000000-0005-0000-0000-0000734E0000}"/>
    <cellStyle name="Positive 2 3 10 3 2 7" xfId="20071" xr:uid="{00000000-0005-0000-0000-0000744E0000}"/>
    <cellStyle name="Positive 2 3 10 3 2 7 2" xfId="20072" xr:uid="{00000000-0005-0000-0000-0000754E0000}"/>
    <cellStyle name="Positive 2 3 10 3 2 8" xfId="20073" xr:uid="{00000000-0005-0000-0000-0000764E0000}"/>
    <cellStyle name="Positive 2 3 10 3 2 8 2" xfId="20074" xr:uid="{00000000-0005-0000-0000-0000774E0000}"/>
    <cellStyle name="Positive 2 3 10 3 2 9" xfId="20075" xr:uid="{00000000-0005-0000-0000-0000784E0000}"/>
    <cellStyle name="Positive 2 3 10 3 2 9 2" xfId="20076" xr:uid="{00000000-0005-0000-0000-0000794E0000}"/>
    <cellStyle name="Positive 2 3 10 3 20" xfId="20077" xr:uid="{00000000-0005-0000-0000-00007A4E0000}"/>
    <cellStyle name="Positive 2 3 10 3 3" xfId="20078" xr:uid="{00000000-0005-0000-0000-00007B4E0000}"/>
    <cellStyle name="Positive 2 3 10 3 3 2" xfId="20079" xr:uid="{00000000-0005-0000-0000-00007C4E0000}"/>
    <cellStyle name="Positive 2 3 10 3 3 2 2" xfId="20080" xr:uid="{00000000-0005-0000-0000-00007D4E0000}"/>
    <cellStyle name="Positive 2 3 10 3 3 3" xfId="20081" xr:uid="{00000000-0005-0000-0000-00007E4E0000}"/>
    <cellStyle name="Positive 2 3 10 3 4" xfId="20082" xr:uid="{00000000-0005-0000-0000-00007F4E0000}"/>
    <cellStyle name="Positive 2 3 10 3 4 2" xfId="20083" xr:uid="{00000000-0005-0000-0000-0000804E0000}"/>
    <cellStyle name="Positive 2 3 10 3 4 2 2" xfId="20084" xr:uid="{00000000-0005-0000-0000-0000814E0000}"/>
    <cellStyle name="Positive 2 3 10 3 4 3" xfId="20085" xr:uid="{00000000-0005-0000-0000-0000824E0000}"/>
    <cellStyle name="Positive 2 3 10 3 5" xfId="20086" xr:uid="{00000000-0005-0000-0000-0000834E0000}"/>
    <cellStyle name="Positive 2 3 10 3 5 2" xfId="20087" xr:uid="{00000000-0005-0000-0000-0000844E0000}"/>
    <cellStyle name="Positive 2 3 10 3 6" xfId="20088" xr:uid="{00000000-0005-0000-0000-0000854E0000}"/>
    <cellStyle name="Positive 2 3 10 3 6 2" xfId="20089" xr:uid="{00000000-0005-0000-0000-0000864E0000}"/>
    <cellStyle name="Positive 2 3 10 3 7" xfId="20090" xr:uid="{00000000-0005-0000-0000-0000874E0000}"/>
    <cellStyle name="Positive 2 3 10 3 7 2" xfId="20091" xr:uid="{00000000-0005-0000-0000-0000884E0000}"/>
    <cellStyle name="Positive 2 3 10 3 8" xfId="20092" xr:uid="{00000000-0005-0000-0000-0000894E0000}"/>
    <cellStyle name="Positive 2 3 10 3 8 2" xfId="20093" xr:uid="{00000000-0005-0000-0000-00008A4E0000}"/>
    <cellStyle name="Positive 2 3 10 3 9" xfId="20094" xr:uid="{00000000-0005-0000-0000-00008B4E0000}"/>
    <cellStyle name="Positive 2 3 10 3 9 2" xfId="20095" xr:uid="{00000000-0005-0000-0000-00008C4E0000}"/>
    <cellStyle name="Positive 2 3 10 4" xfId="20096" xr:uid="{00000000-0005-0000-0000-00008D4E0000}"/>
    <cellStyle name="Positive 2 3 10 4 10" xfId="20097" xr:uid="{00000000-0005-0000-0000-00008E4E0000}"/>
    <cellStyle name="Positive 2 3 10 4 10 2" xfId="20098" xr:uid="{00000000-0005-0000-0000-00008F4E0000}"/>
    <cellStyle name="Positive 2 3 10 4 11" xfId="20099" xr:uid="{00000000-0005-0000-0000-0000904E0000}"/>
    <cellStyle name="Positive 2 3 10 4 11 2" xfId="20100" xr:uid="{00000000-0005-0000-0000-0000914E0000}"/>
    <cellStyle name="Positive 2 3 10 4 12" xfId="20101" xr:uid="{00000000-0005-0000-0000-0000924E0000}"/>
    <cellStyle name="Positive 2 3 10 4 12 2" xfId="20102" xr:uid="{00000000-0005-0000-0000-0000934E0000}"/>
    <cellStyle name="Positive 2 3 10 4 13" xfId="20103" xr:uid="{00000000-0005-0000-0000-0000944E0000}"/>
    <cellStyle name="Positive 2 3 10 4 13 2" xfId="20104" xr:uid="{00000000-0005-0000-0000-0000954E0000}"/>
    <cellStyle name="Positive 2 3 10 4 14" xfId="20105" xr:uid="{00000000-0005-0000-0000-0000964E0000}"/>
    <cellStyle name="Positive 2 3 10 4 14 2" xfId="20106" xr:uid="{00000000-0005-0000-0000-0000974E0000}"/>
    <cellStyle name="Positive 2 3 10 4 15" xfId="20107" xr:uid="{00000000-0005-0000-0000-0000984E0000}"/>
    <cellStyle name="Positive 2 3 10 4 15 2" xfId="20108" xr:uid="{00000000-0005-0000-0000-0000994E0000}"/>
    <cellStyle name="Positive 2 3 10 4 16" xfId="20109" xr:uid="{00000000-0005-0000-0000-00009A4E0000}"/>
    <cellStyle name="Positive 2 3 10 4 16 2" xfId="20110" xr:uid="{00000000-0005-0000-0000-00009B4E0000}"/>
    <cellStyle name="Positive 2 3 10 4 17" xfId="20111" xr:uid="{00000000-0005-0000-0000-00009C4E0000}"/>
    <cellStyle name="Positive 2 3 10 4 17 2" xfId="20112" xr:uid="{00000000-0005-0000-0000-00009D4E0000}"/>
    <cellStyle name="Positive 2 3 10 4 18" xfId="20113" xr:uid="{00000000-0005-0000-0000-00009E4E0000}"/>
    <cellStyle name="Positive 2 3 10 4 18 2" xfId="20114" xr:uid="{00000000-0005-0000-0000-00009F4E0000}"/>
    <cellStyle name="Positive 2 3 10 4 19" xfId="20115" xr:uid="{00000000-0005-0000-0000-0000A04E0000}"/>
    <cellStyle name="Positive 2 3 10 4 19 2" xfId="20116" xr:uid="{00000000-0005-0000-0000-0000A14E0000}"/>
    <cellStyle name="Positive 2 3 10 4 2" xfId="20117" xr:uid="{00000000-0005-0000-0000-0000A24E0000}"/>
    <cellStyle name="Positive 2 3 10 4 2 10" xfId="20118" xr:uid="{00000000-0005-0000-0000-0000A34E0000}"/>
    <cellStyle name="Positive 2 3 10 4 2 10 2" xfId="20119" xr:uid="{00000000-0005-0000-0000-0000A44E0000}"/>
    <cellStyle name="Positive 2 3 10 4 2 11" xfId="20120" xr:uid="{00000000-0005-0000-0000-0000A54E0000}"/>
    <cellStyle name="Positive 2 3 10 4 2 11 2" xfId="20121" xr:uid="{00000000-0005-0000-0000-0000A64E0000}"/>
    <cellStyle name="Positive 2 3 10 4 2 12" xfId="20122" xr:uid="{00000000-0005-0000-0000-0000A74E0000}"/>
    <cellStyle name="Positive 2 3 10 4 2 12 2" xfId="20123" xr:uid="{00000000-0005-0000-0000-0000A84E0000}"/>
    <cellStyle name="Positive 2 3 10 4 2 13" xfId="20124" xr:uid="{00000000-0005-0000-0000-0000A94E0000}"/>
    <cellStyle name="Positive 2 3 10 4 2 13 2" xfId="20125" xr:uid="{00000000-0005-0000-0000-0000AA4E0000}"/>
    <cellStyle name="Positive 2 3 10 4 2 14" xfId="20126" xr:uid="{00000000-0005-0000-0000-0000AB4E0000}"/>
    <cellStyle name="Positive 2 3 10 4 2 14 2" xfId="20127" xr:uid="{00000000-0005-0000-0000-0000AC4E0000}"/>
    <cellStyle name="Positive 2 3 10 4 2 15" xfId="20128" xr:uid="{00000000-0005-0000-0000-0000AD4E0000}"/>
    <cellStyle name="Positive 2 3 10 4 2 15 2" xfId="20129" xr:uid="{00000000-0005-0000-0000-0000AE4E0000}"/>
    <cellStyle name="Positive 2 3 10 4 2 16" xfId="20130" xr:uid="{00000000-0005-0000-0000-0000AF4E0000}"/>
    <cellStyle name="Positive 2 3 10 4 2 16 2" xfId="20131" xr:uid="{00000000-0005-0000-0000-0000B04E0000}"/>
    <cellStyle name="Positive 2 3 10 4 2 17" xfId="20132" xr:uid="{00000000-0005-0000-0000-0000B14E0000}"/>
    <cellStyle name="Positive 2 3 10 4 2 2" xfId="20133" xr:uid="{00000000-0005-0000-0000-0000B24E0000}"/>
    <cellStyle name="Positive 2 3 10 4 2 2 2" xfId="20134" xr:uid="{00000000-0005-0000-0000-0000B34E0000}"/>
    <cellStyle name="Positive 2 3 10 4 2 3" xfId="20135" xr:uid="{00000000-0005-0000-0000-0000B44E0000}"/>
    <cellStyle name="Positive 2 3 10 4 2 3 2" xfId="20136" xr:uid="{00000000-0005-0000-0000-0000B54E0000}"/>
    <cellStyle name="Positive 2 3 10 4 2 4" xfId="20137" xr:uid="{00000000-0005-0000-0000-0000B64E0000}"/>
    <cellStyle name="Positive 2 3 10 4 2 4 2" xfId="20138" xr:uid="{00000000-0005-0000-0000-0000B74E0000}"/>
    <cellStyle name="Positive 2 3 10 4 2 5" xfId="20139" xr:uid="{00000000-0005-0000-0000-0000B84E0000}"/>
    <cellStyle name="Positive 2 3 10 4 2 5 2" xfId="20140" xr:uid="{00000000-0005-0000-0000-0000B94E0000}"/>
    <cellStyle name="Positive 2 3 10 4 2 6" xfId="20141" xr:uid="{00000000-0005-0000-0000-0000BA4E0000}"/>
    <cellStyle name="Positive 2 3 10 4 2 6 2" xfId="20142" xr:uid="{00000000-0005-0000-0000-0000BB4E0000}"/>
    <cellStyle name="Positive 2 3 10 4 2 7" xfId="20143" xr:uid="{00000000-0005-0000-0000-0000BC4E0000}"/>
    <cellStyle name="Positive 2 3 10 4 2 7 2" xfId="20144" xr:uid="{00000000-0005-0000-0000-0000BD4E0000}"/>
    <cellStyle name="Positive 2 3 10 4 2 8" xfId="20145" xr:uid="{00000000-0005-0000-0000-0000BE4E0000}"/>
    <cellStyle name="Positive 2 3 10 4 2 8 2" xfId="20146" xr:uid="{00000000-0005-0000-0000-0000BF4E0000}"/>
    <cellStyle name="Positive 2 3 10 4 2 9" xfId="20147" xr:uid="{00000000-0005-0000-0000-0000C04E0000}"/>
    <cellStyle name="Positive 2 3 10 4 2 9 2" xfId="20148" xr:uid="{00000000-0005-0000-0000-0000C14E0000}"/>
    <cellStyle name="Positive 2 3 10 4 20" xfId="20149" xr:uid="{00000000-0005-0000-0000-0000C24E0000}"/>
    <cellStyle name="Positive 2 3 10 4 3" xfId="20150" xr:uid="{00000000-0005-0000-0000-0000C34E0000}"/>
    <cellStyle name="Positive 2 3 10 4 3 2" xfId="20151" xr:uid="{00000000-0005-0000-0000-0000C44E0000}"/>
    <cellStyle name="Positive 2 3 10 4 3 2 2" xfId="20152" xr:uid="{00000000-0005-0000-0000-0000C54E0000}"/>
    <cellStyle name="Positive 2 3 10 4 3 3" xfId="20153" xr:uid="{00000000-0005-0000-0000-0000C64E0000}"/>
    <cellStyle name="Positive 2 3 10 4 4" xfId="20154" xr:uid="{00000000-0005-0000-0000-0000C74E0000}"/>
    <cellStyle name="Positive 2 3 10 4 4 2" xfId="20155" xr:uid="{00000000-0005-0000-0000-0000C84E0000}"/>
    <cellStyle name="Positive 2 3 10 4 4 2 2" xfId="20156" xr:uid="{00000000-0005-0000-0000-0000C94E0000}"/>
    <cellStyle name="Positive 2 3 10 4 4 3" xfId="20157" xr:uid="{00000000-0005-0000-0000-0000CA4E0000}"/>
    <cellStyle name="Positive 2 3 10 4 5" xfId="20158" xr:uid="{00000000-0005-0000-0000-0000CB4E0000}"/>
    <cellStyle name="Positive 2 3 10 4 5 2" xfId="20159" xr:uid="{00000000-0005-0000-0000-0000CC4E0000}"/>
    <cellStyle name="Positive 2 3 10 4 6" xfId="20160" xr:uid="{00000000-0005-0000-0000-0000CD4E0000}"/>
    <cellStyle name="Positive 2 3 10 4 6 2" xfId="20161" xr:uid="{00000000-0005-0000-0000-0000CE4E0000}"/>
    <cellStyle name="Positive 2 3 10 4 7" xfId="20162" xr:uid="{00000000-0005-0000-0000-0000CF4E0000}"/>
    <cellStyle name="Positive 2 3 10 4 7 2" xfId="20163" xr:uid="{00000000-0005-0000-0000-0000D04E0000}"/>
    <cellStyle name="Positive 2 3 10 4 8" xfId="20164" xr:uid="{00000000-0005-0000-0000-0000D14E0000}"/>
    <cellStyle name="Positive 2 3 10 4 8 2" xfId="20165" xr:uid="{00000000-0005-0000-0000-0000D24E0000}"/>
    <cellStyle name="Positive 2 3 10 4 9" xfId="20166" xr:uid="{00000000-0005-0000-0000-0000D34E0000}"/>
    <cellStyle name="Positive 2 3 10 4 9 2" xfId="20167" xr:uid="{00000000-0005-0000-0000-0000D44E0000}"/>
    <cellStyle name="Positive 2 3 10 5" xfId="20168" xr:uid="{00000000-0005-0000-0000-0000D54E0000}"/>
    <cellStyle name="Positive 2 3 10 5 10" xfId="20169" xr:uid="{00000000-0005-0000-0000-0000D64E0000}"/>
    <cellStyle name="Positive 2 3 10 5 10 2" xfId="20170" xr:uid="{00000000-0005-0000-0000-0000D74E0000}"/>
    <cellStyle name="Positive 2 3 10 5 11" xfId="20171" xr:uid="{00000000-0005-0000-0000-0000D84E0000}"/>
    <cellStyle name="Positive 2 3 10 5 11 2" xfId="20172" xr:uid="{00000000-0005-0000-0000-0000D94E0000}"/>
    <cellStyle name="Positive 2 3 10 5 12" xfId="20173" xr:uid="{00000000-0005-0000-0000-0000DA4E0000}"/>
    <cellStyle name="Positive 2 3 10 5 12 2" xfId="20174" xr:uid="{00000000-0005-0000-0000-0000DB4E0000}"/>
    <cellStyle name="Positive 2 3 10 5 13" xfId="20175" xr:uid="{00000000-0005-0000-0000-0000DC4E0000}"/>
    <cellStyle name="Positive 2 3 10 5 13 2" xfId="20176" xr:uid="{00000000-0005-0000-0000-0000DD4E0000}"/>
    <cellStyle name="Positive 2 3 10 5 14" xfId="20177" xr:uid="{00000000-0005-0000-0000-0000DE4E0000}"/>
    <cellStyle name="Positive 2 3 10 5 14 2" xfId="20178" xr:uid="{00000000-0005-0000-0000-0000DF4E0000}"/>
    <cellStyle name="Positive 2 3 10 5 15" xfId="20179" xr:uid="{00000000-0005-0000-0000-0000E04E0000}"/>
    <cellStyle name="Positive 2 3 10 5 15 2" xfId="20180" xr:uid="{00000000-0005-0000-0000-0000E14E0000}"/>
    <cellStyle name="Positive 2 3 10 5 16" xfId="20181" xr:uid="{00000000-0005-0000-0000-0000E24E0000}"/>
    <cellStyle name="Positive 2 3 10 5 16 2" xfId="20182" xr:uid="{00000000-0005-0000-0000-0000E34E0000}"/>
    <cellStyle name="Positive 2 3 10 5 17" xfId="20183" xr:uid="{00000000-0005-0000-0000-0000E44E0000}"/>
    <cellStyle name="Positive 2 3 10 5 2" xfId="20184" xr:uid="{00000000-0005-0000-0000-0000E54E0000}"/>
    <cellStyle name="Positive 2 3 10 5 2 2" xfId="20185" xr:uid="{00000000-0005-0000-0000-0000E64E0000}"/>
    <cellStyle name="Positive 2 3 10 5 3" xfId="20186" xr:uid="{00000000-0005-0000-0000-0000E74E0000}"/>
    <cellStyle name="Positive 2 3 10 5 3 2" xfId="20187" xr:uid="{00000000-0005-0000-0000-0000E84E0000}"/>
    <cellStyle name="Positive 2 3 10 5 4" xfId="20188" xr:uid="{00000000-0005-0000-0000-0000E94E0000}"/>
    <cellStyle name="Positive 2 3 10 5 4 2" xfId="20189" xr:uid="{00000000-0005-0000-0000-0000EA4E0000}"/>
    <cellStyle name="Positive 2 3 10 5 5" xfId="20190" xr:uid="{00000000-0005-0000-0000-0000EB4E0000}"/>
    <cellStyle name="Positive 2 3 10 5 5 2" xfId="20191" xr:uid="{00000000-0005-0000-0000-0000EC4E0000}"/>
    <cellStyle name="Positive 2 3 10 5 6" xfId="20192" xr:uid="{00000000-0005-0000-0000-0000ED4E0000}"/>
    <cellStyle name="Positive 2 3 10 5 6 2" xfId="20193" xr:uid="{00000000-0005-0000-0000-0000EE4E0000}"/>
    <cellStyle name="Positive 2 3 10 5 7" xfId="20194" xr:uid="{00000000-0005-0000-0000-0000EF4E0000}"/>
    <cellStyle name="Positive 2 3 10 5 7 2" xfId="20195" xr:uid="{00000000-0005-0000-0000-0000F04E0000}"/>
    <cellStyle name="Positive 2 3 10 5 8" xfId="20196" xr:uid="{00000000-0005-0000-0000-0000F14E0000}"/>
    <cellStyle name="Positive 2 3 10 5 8 2" xfId="20197" xr:uid="{00000000-0005-0000-0000-0000F24E0000}"/>
    <cellStyle name="Positive 2 3 10 5 9" xfId="20198" xr:uid="{00000000-0005-0000-0000-0000F34E0000}"/>
    <cellStyle name="Positive 2 3 10 5 9 2" xfId="20199" xr:uid="{00000000-0005-0000-0000-0000F44E0000}"/>
    <cellStyle name="Positive 2 3 10 6" xfId="20200" xr:uid="{00000000-0005-0000-0000-0000F54E0000}"/>
    <cellStyle name="Positive 2 3 10 6 2" xfId="20201" xr:uid="{00000000-0005-0000-0000-0000F64E0000}"/>
    <cellStyle name="Positive 2 3 10 6 2 2" xfId="20202" xr:uid="{00000000-0005-0000-0000-0000F74E0000}"/>
    <cellStyle name="Positive 2 3 10 6 3" xfId="20203" xr:uid="{00000000-0005-0000-0000-0000F84E0000}"/>
    <cellStyle name="Positive 2 3 10 7" xfId="20204" xr:uid="{00000000-0005-0000-0000-0000F94E0000}"/>
    <cellStyle name="Positive 2 3 10 7 2" xfId="20205" xr:uid="{00000000-0005-0000-0000-0000FA4E0000}"/>
    <cellStyle name="Positive 2 3 10 7 2 2" xfId="20206" xr:uid="{00000000-0005-0000-0000-0000FB4E0000}"/>
    <cellStyle name="Positive 2 3 10 7 3" xfId="20207" xr:uid="{00000000-0005-0000-0000-0000FC4E0000}"/>
    <cellStyle name="Positive 2 3 10 8" xfId="20208" xr:uid="{00000000-0005-0000-0000-0000FD4E0000}"/>
    <cellStyle name="Positive 2 3 10 8 2" xfId="20209" xr:uid="{00000000-0005-0000-0000-0000FE4E0000}"/>
    <cellStyle name="Positive 2 3 10 9" xfId="20210" xr:uid="{00000000-0005-0000-0000-0000FF4E0000}"/>
    <cellStyle name="Positive 2 3 10 9 2" xfId="20211" xr:uid="{00000000-0005-0000-0000-0000004F0000}"/>
    <cellStyle name="Positive 2 3 11" xfId="20212" xr:uid="{00000000-0005-0000-0000-0000014F0000}"/>
    <cellStyle name="Positive 2 3 11 10" xfId="20213" xr:uid="{00000000-0005-0000-0000-0000024F0000}"/>
    <cellStyle name="Positive 2 3 11 10 2" xfId="20214" xr:uid="{00000000-0005-0000-0000-0000034F0000}"/>
    <cellStyle name="Positive 2 3 11 11" xfId="20215" xr:uid="{00000000-0005-0000-0000-0000044F0000}"/>
    <cellStyle name="Positive 2 3 11 11 2" xfId="20216" xr:uid="{00000000-0005-0000-0000-0000054F0000}"/>
    <cellStyle name="Positive 2 3 11 12" xfId="20217" xr:uid="{00000000-0005-0000-0000-0000064F0000}"/>
    <cellStyle name="Positive 2 3 11 12 2" xfId="20218" xr:uid="{00000000-0005-0000-0000-0000074F0000}"/>
    <cellStyle name="Positive 2 3 11 13" xfId="20219" xr:uid="{00000000-0005-0000-0000-0000084F0000}"/>
    <cellStyle name="Positive 2 3 11 13 2" xfId="20220" xr:uid="{00000000-0005-0000-0000-0000094F0000}"/>
    <cellStyle name="Positive 2 3 11 14" xfId="20221" xr:uid="{00000000-0005-0000-0000-00000A4F0000}"/>
    <cellStyle name="Positive 2 3 11 14 2" xfId="20222" xr:uid="{00000000-0005-0000-0000-00000B4F0000}"/>
    <cellStyle name="Positive 2 3 11 15" xfId="20223" xr:uid="{00000000-0005-0000-0000-00000C4F0000}"/>
    <cellStyle name="Positive 2 3 11 15 2" xfId="20224" xr:uid="{00000000-0005-0000-0000-00000D4F0000}"/>
    <cellStyle name="Positive 2 3 11 16" xfId="20225" xr:uid="{00000000-0005-0000-0000-00000E4F0000}"/>
    <cellStyle name="Positive 2 3 11 16 2" xfId="20226" xr:uid="{00000000-0005-0000-0000-00000F4F0000}"/>
    <cellStyle name="Positive 2 3 11 17" xfId="20227" xr:uid="{00000000-0005-0000-0000-0000104F0000}"/>
    <cellStyle name="Positive 2 3 11 17 2" xfId="20228" xr:uid="{00000000-0005-0000-0000-0000114F0000}"/>
    <cellStyle name="Positive 2 3 11 18" xfId="20229" xr:uid="{00000000-0005-0000-0000-0000124F0000}"/>
    <cellStyle name="Positive 2 3 11 18 2" xfId="20230" xr:uid="{00000000-0005-0000-0000-0000134F0000}"/>
    <cellStyle name="Positive 2 3 11 19" xfId="20231" xr:uid="{00000000-0005-0000-0000-0000144F0000}"/>
    <cellStyle name="Positive 2 3 11 19 2" xfId="20232" xr:uid="{00000000-0005-0000-0000-0000154F0000}"/>
    <cellStyle name="Positive 2 3 11 2" xfId="20233" xr:uid="{00000000-0005-0000-0000-0000164F0000}"/>
    <cellStyle name="Positive 2 3 11 2 10" xfId="20234" xr:uid="{00000000-0005-0000-0000-0000174F0000}"/>
    <cellStyle name="Positive 2 3 11 2 10 2" xfId="20235" xr:uid="{00000000-0005-0000-0000-0000184F0000}"/>
    <cellStyle name="Positive 2 3 11 2 11" xfId="20236" xr:uid="{00000000-0005-0000-0000-0000194F0000}"/>
    <cellStyle name="Positive 2 3 11 2 11 2" xfId="20237" xr:uid="{00000000-0005-0000-0000-00001A4F0000}"/>
    <cellStyle name="Positive 2 3 11 2 12" xfId="20238" xr:uid="{00000000-0005-0000-0000-00001B4F0000}"/>
    <cellStyle name="Positive 2 3 11 2 12 2" xfId="20239" xr:uid="{00000000-0005-0000-0000-00001C4F0000}"/>
    <cellStyle name="Positive 2 3 11 2 13" xfId="20240" xr:uid="{00000000-0005-0000-0000-00001D4F0000}"/>
    <cellStyle name="Positive 2 3 11 2 13 2" xfId="20241" xr:uid="{00000000-0005-0000-0000-00001E4F0000}"/>
    <cellStyle name="Positive 2 3 11 2 14" xfId="20242" xr:uid="{00000000-0005-0000-0000-00001F4F0000}"/>
    <cellStyle name="Positive 2 3 11 2 14 2" xfId="20243" xr:uid="{00000000-0005-0000-0000-0000204F0000}"/>
    <cellStyle name="Positive 2 3 11 2 15" xfId="20244" xr:uid="{00000000-0005-0000-0000-0000214F0000}"/>
    <cellStyle name="Positive 2 3 11 2 15 2" xfId="20245" xr:uid="{00000000-0005-0000-0000-0000224F0000}"/>
    <cellStyle name="Positive 2 3 11 2 16" xfId="20246" xr:uid="{00000000-0005-0000-0000-0000234F0000}"/>
    <cellStyle name="Positive 2 3 11 2 16 2" xfId="20247" xr:uid="{00000000-0005-0000-0000-0000244F0000}"/>
    <cellStyle name="Positive 2 3 11 2 17" xfId="20248" xr:uid="{00000000-0005-0000-0000-0000254F0000}"/>
    <cellStyle name="Positive 2 3 11 2 17 2" xfId="20249" xr:uid="{00000000-0005-0000-0000-0000264F0000}"/>
    <cellStyle name="Positive 2 3 11 2 18" xfId="20250" xr:uid="{00000000-0005-0000-0000-0000274F0000}"/>
    <cellStyle name="Positive 2 3 11 2 18 2" xfId="20251" xr:uid="{00000000-0005-0000-0000-0000284F0000}"/>
    <cellStyle name="Positive 2 3 11 2 19" xfId="20252" xr:uid="{00000000-0005-0000-0000-0000294F0000}"/>
    <cellStyle name="Positive 2 3 11 2 19 2" xfId="20253" xr:uid="{00000000-0005-0000-0000-00002A4F0000}"/>
    <cellStyle name="Positive 2 3 11 2 2" xfId="20254" xr:uid="{00000000-0005-0000-0000-00002B4F0000}"/>
    <cellStyle name="Positive 2 3 11 2 2 10" xfId="20255" xr:uid="{00000000-0005-0000-0000-00002C4F0000}"/>
    <cellStyle name="Positive 2 3 11 2 2 10 2" xfId="20256" xr:uid="{00000000-0005-0000-0000-00002D4F0000}"/>
    <cellStyle name="Positive 2 3 11 2 2 11" xfId="20257" xr:uid="{00000000-0005-0000-0000-00002E4F0000}"/>
    <cellStyle name="Positive 2 3 11 2 2 11 2" xfId="20258" xr:uid="{00000000-0005-0000-0000-00002F4F0000}"/>
    <cellStyle name="Positive 2 3 11 2 2 12" xfId="20259" xr:uid="{00000000-0005-0000-0000-0000304F0000}"/>
    <cellStyle name="Positive 2 3 11 2 2 12 2" xfId="20260" xr:uid="{00000000-0005-0000-0000-0000314F0000}"/>
    <cellStyle name="Positive 2 3 11 2 2 13" xfId="20261" xr:uid="{00000000-0005-0000-0000-0000324F0000}"/>
    <cellStyle name="Positive 2 3 11 2 2 13 2" xfId="20262" xr:uid="{00000000-0005-0000-0000-0000334F0000}"/>
    <cellStyle name="Positive 2 3 11 2 2 14" xfId="20263" xr:uid="{00000000-0005-0000-0000-0000344F0000}"/>
    <cellStyle name="Positive 2 3 11 2 2 14 2" xfId="20264" xr:uid="{00000000-0005-0000-0000-0000354F0000}"/>
    <cellStyle name="Positive 2 3 11 2 2 15" xfId="20265" xr:uid="{00000000-0005-0000-0000-0000364F0000}"/>
    <cellStyle name="Positive 2 3 11 2 2 15 2" xfId="20266" xr:uid="{00000000-0005-0000-0000-0000374F0000}"/>
    <cellStyle name="Positive 2 3 11 2 2 16" xfId="20267" xr:uid="{00000000-0005-0000-0000-0000384F0000}"/>
    <cellStyle name="Positive 2 3 11 2 2 16 2" xfId="20268" xr:uid="{00000000-0005-0000-0000-0000394F0000}"/>
    <cellStyle name="Positive 2 3 11 2 2 17" xfId="20269" xr:uid="{00000000-0005-0000-0000-00003A4F0000}"/>
    <cellStyle name="Positive 2 3 11 2 2 2" xfId="20270" xr:uid="{00000000-0005-0000-0000-00003B4F0000}"/>
    <cellStyle name="Positive 2 3 11 2 2 2 2" xfId="20271" xr:uid="{00000000-0005-0000-0000-00003C4F0000}"/>
    <cellStyle name="Positive 2 3 11 2 2 3" xfId="20272" xr:uid="{00000000-0005-0000-0000-00003D4F0000}"/>
    <cellStyle name="Positive 2 3 11 2 2 3 2" xfId="20273" xr:uid="{00000000-0005-0000-0000-00003E4F0000}"/>
    <cellStyle name="Positive 2 3 11 2 2 4" xfId="20274" xr:uid="{00000000-0005-0000-0000-00003F4F0000}"/>
    <cellStyle name="Positive 2 3 11 2 2 4 2" xfId="20275" xr:uid="{00000000-0005-0000-0000-0000404F0000}"/>
    <cellStyle name="Positive 2 3 11 2 2 5" xfId="20276" xr:uid="{00000000-0005-0000-0000-0000414F0000}"/>
    <cellStyle name="Positive 2 3 11 2 2 5 2" xfId="20277" xr:uid="{00000000-0005-0000-0000-0000424F0000}"/>
    <cellStyle name="Positive 2 3 11 2 2 6" xfId="20278" xr:uid="{00000000-0005-0000-0000-0000434F0000}"/>
    <cellStyle name="Positive 2 3 11 2 2 6 2" xfId="20279" xr:uid="{00000000-0005-0000-0000-0000444F0000}"/>
    <cellStyle name="Positive 2 3 11 2 2 7" xfId="20280" xr:uid="{00000000-0005-0000-0000-0000454F0000}"/>
    <cellStyle name="Positive 2 3 11 2 2 7 2" xfId="20281" xr:uid="{00000000-0005-0000-0000-0000464F0000}"/>
    <cellStyle name="Positive 2 3 11 2 2 8" xfId="20282" xr:uid="{00000000-0005-0000-0000-0000474F0000}"/>
    <cellStyle name="Positive 2 3 11 2 2 8 2" xfId="20283" xr:uid="{00000000-0005-0000-0000-0000484F0000}"/>
    <cellStyle name="Positive 2 3 11 2 2 9" xfId="20284" xr:uid="{00000000-0005-0000-0000-0000494F0000}"/>
    <cellStyle name="Positive 2 3 11 2 2 9 2" xfId="20285" xr:uid="{00000000-0005-0000-0000-00004A4F0000}"/>
    <cellStyle name="Positive 2 3 11 2 20" xfId="20286" xr:uid="{00000000-0005-0000-0000-00004B4F0000}"/>
    <cellStyle name="Positive 2 3 11 2 3" xfId="20287" xr:uid="{00000000-0005-0000-0000-00004C4F0000}"/>
    <cellStyle name="Positive 2 3 11 2 3 2" xfId="20288" xr:uid="{00000000-0005-0000-0000-00004D4F0000}"/>
    <cellStyle name="Positive 2 3 11 2 3 2 2" xfId="20289" xr:uid="{00000000-0005-0000-0000-00004E4F0000}"/>
    <cellStyle name="Positive 2 3 11 2 3 3" xfId="20290" xr:uid="{00000000-0005-0000-0000-00004F4F0000}"/>
    <cellStyle name="Positive 2 3 11 2 4" xfId="20291" xr:uid="{00000000-0005-0000-0000-0000504F0000}"/>
    <cellStyle name="Positive 2 3 11 2 4 2" xfId="20292" xr:uid="{00000000-0005-0000-0000-0000514F0000}"/>
    <cellStyle name="Positive 2 3 11 2 4 2 2" xfId="20293" xr:uid="{00000000-0005-0000-0000-0000524F0000}"/>
    <cellStyle name="Positive 2 3 11 2 4 3" xfId="20294" xr:uid="{00000000-0005-0000-0000-0000534F0000}"/>
    <cellStyle name="Positive 2 3 11 2 5" xfId="20295" xr:uid="{00000000-0005-0000-0000-0000544F0000}"/>
    <cellStyle name="Positive 2 3 11 2 5 2" xfId="20296" xr:uid="{00000000-0005-0000-0000-0000554F0000}"/>
    <cellStyle name="Positive 2 3 11 2 6" xfId="20297" xr:uid="{00000000-0005-0000-0000-0000564F0000}"/>
    <cellStyle name="Positive 2 3 11 2 6 2" xfId="20298" xr:uid="{00000000-0005-0000-0000-0000574F0000}"/>
    <cellStyle name="Positive 2 3 11 2 7" xfId="20299" xr:uid="{00000000-0005-0000-0000-0000584F0000}"/>
    <cellStyle name="Positive 2 3 11 2 7 2" xfId="20300" xr:uid="{00000000-0005-0000-0000-0000594F0000}"/>
    <cellStyle name="Positive 2 3 11 2 8" xfId="20301" xr:uid="{00000000-0005-0000-0000-00005A4F0000}"/>
    <cellStyle name="Positive 2 3 11 2 8 2" xfId="20302" xr:uid="{00000000-0005-0000-0000-00005B4F0000}"/>
    <cellStyle name="Positive 2 3 11 2 9" xfId="20303" xr:uid="{00000000-0005-0000-0000-00005C4F0000}"/>
    <cellStyle name="Positive 2 3 11 2 9 2" xfId="20304" xr:uid="{00000000-0005-0000-0000-00005D4F0000}"/>
    <cellStyle name="Positive 2 3 11 20" xfId="20305" xr:uid="{00000000-0005-0000-0000-00005E4F0000}"/>
    <cellStyle name="Positive 2 3 11 20 2" xfId="20306" xr:uid="{00000000-0005-0000-0000-00005F4F0000}"/>
    <cellStyle name="Positive 2 3 11 21" xfId="20307" xr:uid="{00000000-0005-0000-0000-0000604F0000}"/>
    <cellStyle name="Positive 2 3 11 21 2" xfId="20308" xr:uid="{00000000-0005-0000-0000-0000614F0000}"/>
    <cellStyle name="Positive 2 3 11 22" xfId="20309" xr:uid="{00000000-0005-0000-0000-0000624F0000}"/>
    <cellStyle name="Positive 2 3 11 22 2" xfId="20310" xr:uid="{00000000-0005-0000-0000-0000634F0000}"/>
    <cellStyle name="Positive 2 3 11 23" xfId="20311" xr:uid="{00000000-0005-0000-0000-0000644F0000}"/>
    <cellStyle name="Positive 2 3 11 3" xfId="20312" xr:uid="{00000000-0005-0000-0000-0000654F0000}"/>
    <cellStyle name="Positive 2 3 11 3 10" xfId="20313" xr:uid="{00000000-0005-0000-0000-0000664F0000}"/>
    <cellStyle name="Positive 2 3 11 3 10 2" xfId="20314" xr:uid="{00000000-0005-0000-0000-0000674F0000}"/>
    <cellStyle name="Positive 2 3 11 3 11" xfId="20315" xr:uid="{00000000-0005-0000-0000-0000684F0000}"/>
    <cellStyle name="Positive 2 3 11 3 11 2" xfId="20316" xr:uid="{00000000-0005-0000-0000-0000694F0000}"/>
    <cellStyle name="Positive 2 3 11 3 12" xfId="20317" xr:uid="{00000000-0005-0000-0000-00006A4F0000}"/>
    <cellStyle name="Positive 2 3 11 3 12 2" xfId="20318" xr:uid="{00000000-0005-0000-0000-00006B4F0000}"/>
    <cellStyle name="Positive 2 3 11 3 13" xfId="20319" xr:uid="{00000000-0005-0000-0000-00006C4F0000}"/>
    <cellStyle name="Positive 2 3 11 3 13 2" xfId="20320" xr:uid="{00000000-0005-0000-0000-00006D4F0000}"/>
    <cellStyle name="Positive 2 3 11 3 14" xfId="20321" xr:uid="{00000000-0005-0000-0000-00006E4F0000}"/>
    <cellStyle name="Positive 2 3 11 3 14 2" xfId="20322" xr:uid="{00000000-0005-0000-0000-00006F4F0000}"/>
    <cellStyle name="Positive 2 3 11 3 15" xfId="20323" xr:uid="{00000000-0005-0000-0000-0000704F0000}"/>
    <cellStyle name="Positive 2 3 11 3 15 2" xfId="20324" xr:uid="{00000000-0005-0000-0000-0000714F0000}"/>
    <cellStyle name="Positive 2 3 11 3 16" xfId="20325" xr:uid="{00000000-0005-0000-0000-0000724F0000}"/>
    <cellStyle name="Positive 2 3 11 3 16 2" xfId="20326" xr:uid="{00000000-0005-0000-0000-0000734F0000}"/>
    <cellStyle name="Positive 2 3 11 3 17" xfId="20327" xr:uid="{00000000-0005-0000-0000-0000744F0000}"/>
    <cellStyle name="Positive 2 3 11 3 17 2" xfId="20328" xr:uid="{00000000-0005-0000-0000-0000754F0000}"/>
    <cellStyle name="Positive 2 3 11 3 18" xfId="20329" xr:uid="{00000000-0005-0000-0000-0000764F0000}"/>
    <cellStyle name="Positive 2 3 11 3 18 2" xfId="20330" xr:uid="{00000000-0005-0000-0000-0000774F0000}"/>
    <cellStyle name="Positive 2 3 11 3 19" xfId="20331" xr:uid="{00000000-0005-0000-0000-0000784F0000}"/>
    <cellStyle name="Positive 2 3 11 3 19 2" xfId="20332" xr:uid="{00000000-0005-0000-0000-0000794F0000}"/>
    <cellStyle name="Positive 2 3 11 3 2" xfId="20333" xr:uid="{00000000-0005-0000-0000-00007A4F0000}"/>
    <cellStyle name="Positive 2 3 11 3 2 10" xfId="20334" xr:uid="{00000000-0005-0000-0000-00007B4F0000}"/>
    <cellStyle name="Positive 2 3 11 3 2 10 2" xfId="20335" xr:uid="{00000000-0005-0000-0000-00007C4F0000}"/>
    <cellStyle name="Positive 2 3 11 3 2 11" xfId="20336" xr:uid="{00000000-0005-0000-0000-00007D4F0000}"/>
    <cellStyle name="Positive 2 3 11 3 2 11 2" xfId="20337" xr:uid="{00000000-0005-0000-0000-00007E4F0000}"/>
    <cellStyle name="Positive 2 3 11 3 2 12" xfId="20338" xr:uid="{00000000-0005-0000-0000-00007F4F0000}"/>
    <cellStyle name="Positive 2 3 11 3 2 12 2" xfId="20339" xr:uid="{00000000-0005-0000-0000-0000804F0000}"/>
    <cellStyle name="Positive 2 3 11 3 2 13" xfId="20340" xr:uid="{00000000-0005-0000-0000-0000814F0000}"/>
    <cellStyle name="Positive 2 3 11 3 2 13 2" xfId="20341" xr:uid="{00000000-0005-0000-0000-0000824F0000}"/>
    <cellStyle name="Positive 2 3 11 3 2 14" xfId="20342" xr:uid="{00000000-0005-0000-0000-0000834F0000}"/>
    <cellStyle name="Positive 2 3 11 3 2 14 2" xfId="20343" xr:uid="{00000000-0005-0000-0000-0000844F0000}"/>
    <cellStyle name="Positive 2 3 11 3 2 15" xfId="20344" xr:uid="{00000000-0005-0000-0000-0000854F0000}"/>
    <cellStyle name="Positive 2 3 11 3 2 15 2" xfId="20345" xr:uid="{00000000-0005-0000-0000-0000864F0000}"/>
    <cellStyle name="Positive 2 3 11 3 2 16" xfId="20346" xr:uid="{00000000-0005-0000-0000-0000874F0000}"/>
    <cellStyle name="Positive 2 3 11 3 2 16 2" xfId="20347" xr:uid="{00000000-0005-0000-0000-0000884F0000}"/>
    <cellStyle name="Positive 2 3 11 3 2 17" xfId="20348" xr:uid="{00000000-0005-0000-0000-0000894F0000}"/>
    <cellStyle name="Positive 2 3 11 3 2 2" xfId="20349" xr:uid="{00000000-0005-0000-0000-00008A4F0000}"/>
    <cellStyle name="Positive 2 3 11 3 2 2 2" xfId="20350" xr:uid="{00000000-0005-0000-0000-00008B4F0000}"/>
    <cellStyle name="Positive 2 3 11 3 2 3" xfId="20351" xr:uid="{00000000-0005-0000-0000-00008C4F0000}"/>
    <cellStyle name="Positive 2 3 11 3 2 3 2" xfId="20352" xr:uid="{00000000-0005-0000-0000-00008D4F0000}"/>
    <cellStyle name="Positive 2 3 11 3 2 4" xfId="20353" xr:uid="{00000000-0005-0000-0000-00008E4F0000}"/>
    <cellStyle name="Positive 2 3 11 3 2 4 2" xfId="20354" xr:uid="{00000000-0005-0000-0000-00008F4F0000}"/>
    <cellStyle name="Positive 2 3 11 3 2 5" xfId="20355" xr:uid="{00000000-0005-0000-0000-0000904F0000}"/>
    <cellStyle name="Positive 2 3 11 3 2 5 2" xfId="20356" xr:uid="{00000000-0005-0000-0000-0000914F0000}"/>
    <cellStyle name="Positive 2 3 11 3 2 6" xfId="20357" xr:uid="{00000000-0005-0000-0000-0000924F0000}"/>
    <cellStyle name="Positive 2 3 11 3 2 6 2" xfId="20358" xr:uid="{00000000-0005-0000-0000-0000934F0000}"/>
    <cellStyle name="Positive 2 3 11 3 2 7" xfId="20359" xr:uid="{00000000-0005-0000-0000-0000944F0000}"/>
    <cellStyle name="Positive 2 3 11 3 2 7 2" xfId="20360" xr:uid="{00000000-0005-0000-0000-0000954F0000}"/>
    <cellStyle name="Positive 2 3 11 3 2 8" xfId="20361" xr:uid="{00000000-0005-0000-0000-0000964F0000}"/>
    <cellStyle name="Positive 2 3 11 3 2 8 2" xfId="20362" xr:uid="{00000000-0005-0000-0000-0000974F0000}"/>
    <cellStyle name="Positive 2 3 11 3 2 9" xfId="20363" xr:uid="{00000000-0005-0000-0000-0000984F0000}"/>
    <cellStyle name="Positive 2 3 11 3 2 9 2" xfId="20364" xr:uid="{00000000-0005-0000-0000-0000994F0000}"/>
    <cellStyle name="Positive 2 3 11 3 20" xfId="20365" xr:uid="{00000000-0005-0000-0000-00009A4F0000}"/>
    <cellStyle name="Positive 2 3 11 3 3" xfId="20366" xr:uid="{00000000-0005-0000-0000-00009B4F0000}"/>
    <cellStyle name="Positive 2 3 11 3 3 2" xfId="20367" xr:uid="{00000000-0005-0000-0000-00009C4F0000}"/>
    <cellStyle name="Positive 2 3 11 3 3 2 2" xfId="20368" xr:uid="{00000000-0005-0000-0000-00009D4F0000}"/>
    <cellStyle name="Positive 2 3 11 3 3 3" xfId="20369" xr:uid="{00000000-0005-0000-0000-00009E4F0000}"/>
    <cellStyle name="Positive 2 3 11 3 4" xfId="20370" xr:uid="{00000000-0005-0000-0000-00009F4F0000}"/>
    <cellStyle name="Positive 2 3 11 3 4 2" xfId="20371" xr:uid="{00000000-0005-0000-0000-0000A04F0000}"/>
    <cellStyle name="Positive 2 3 11 3 4 2 2" xfId="20372" xr:uid="{00000000-0005-0000-0000-0000A14F0000}"/>
    <cellStyle name="Positive 2 3 11 3 4 3" xfId="20373" xr:uid="{00000000-0005-0000-0000-0000A24F0000}"/>
    <cellStyle name="Positive 2 3 11 3 5" xfId="20374" xr:uid="{00000000-0005-0000-0000-0000A34F0000}"/>
    <cellStyle name="Positive 2 3 11 3 5 2" xfId="20375" xr:uid="{00000000-0005-0000-0000-0000A44F0000}"/>
    <cellStyle name="Positive 2 3 11 3 6" xfId="20376" xr:uid="{00000000-0005-0000-0000-0000A54F0000}"/>
    <cellStyle name="Positive 2 3 11 3 6 2" xfId="20377" xr:uid="{00000000-0005-0000-0000-0000A64F0000}"/>
    <cellStyle name="Positive 2 3 11 3 7" xfId="20378" xr:uid="{00000000-0005-0000-0000-0000A74F0000}"/>
    <cellStyle name="Positive 2 3 11 3 7 2" xfId="20379" xr:uid="{00000000-0005-0000-0000-0000A84F0000}"/>
    <cellStyle name="Positive 2 3 11 3 8" xfId="20380" xr:uid="{00000000-0005-0000-0000-0000A94F0000}"/>
    <cellStyle name="Positive 2 3 11 3 8 2" xfId="20381" xr:uid="{00000000-0005-0000-0000-0000AA4F0000}"/>
    <cellStyle name="Positive 2 3 11 3 9" xfId="20382" xr:uid="{00000000-0005-0000-0000-0000AB4F0000}"/>
    <cellStyle name="Positive 2 3 11 3 9 2" xfId="20383" xr:uid="{00000000-0005-0000-0000-0000AC4F0000}"/>
    <cellStyle name="Positive 2 3 11 4" xfId="20384" xr:uid="{00000000-0005-0000-0000-0000AD4F0000}"/>
    <cellStyle name="Positive 2 3 11 4 10" xfId="20385" xr:uid="{00000000-0005-0000-0000-0000AE4F0000}"/>
    <cellStyle name="Positive 2 3 11 4 10 2" xfId="20386" xr:uid="{00000000-0005-0000-0000-0000AF4F0000}"/>
    <cellStyle name="Positive 2 3 11 4 11" xfId="20387" xr:uid="{00000000-0005-0000-0000-0000B04F0000}"/>
    <cellStyle name="Positive 2 3 11 4 11 2" xfId="20388" xr:uid="{00000000-0005-0000-0000-0000B14F0000}"/>
    <cellStyle name="Positive 2 3 11 4 12" xfId="20389" xr:uid="{00000000-0005-0000-0000-0000B24F0000}"/>
    <cellStyle name="Positive 2 3 11 4 12 2" xfId="20390" xr:uid="{00000000-0005-0000-0000-0000B34F0000}"/>
    <cellStyle name="Positive 2 3 11 4 13" xfId="20391" xr:uid="{00000000-0005-0000-0000-0000B44F0000}"/>
    <cellStyle name="Positive 2 3 11 4 13 2" xfId="20392" xr:uid="{00000000-0005-0000-0000-0000B54F0000}"/>
    <cellStyle name="Positive 2 3 11 4 14" xfId="20393" xr:uid="{00000000-0005-0000-0000-0000B64F0000}"/>
    <cellStyle name="Positive 2 3 11 4 14 2" xfId="20394" xr:uid="{00000000-0005-0000-0000-0000B74F0000}"/>
    <cellStyle name="Positive 2 3 11 4 15" xfId="20395" xr:uid="{00000000-0005-0000-0000-0000B84F0000}"/>
    <cellStyle name="Positive 2 3 11 4 15 2" xfId="20396" xr:uid="{00000000-0005-0000-0000-0000B94F0000}"/>
    <cellStyle name="Positive 2 3 11 4 16" xfId="20397" xr:uid="{00000000-0005-0000-0000-0000BA4F0000}"/>
    <cellStyle name="Positive 2 3 11 4 16 2" xfId="20398" xr:uid="{00000000-0005-0000-0000-0000BB4F0000}"/>
    <cellStyle name="Positive 2 3 11 4 17" xfId="20399" xr:uid="{00000000-0005-0000-0000-0000BC4F0000}"/>
    <cellStyle name="Positive 2 3 11 4 17 2" xfId="20400" xr:uid="{00000000-0005-0000-0000-0000BD4F0000}"/>
    <cellStyle name="Positive 2 3 11 4 18" xfId="20401" xr:uid="{00000000-0005-0000-0000-0000BE4F0000}"/>
    <cellStyle name="Positive 2 3 11 4 18 2" xfId="20402" xr:uid="{00000000-0005-0000-0000-0000BF4F0000}"/>
    <cellStyle name="Positive 2 3 11 4 19" xfId="20403" xr:uid="{00000000-0005-0000-0000-0000C04F0000}"/>
    <cellStyle name="Positive 2 3 11 4 19 2" xfId="20404" xr:uid="{00000000-0005-0000-0000-0000C14F0000}"/>
    <cellStyle name="Positive 2 3 11 4 2" xfId="20405" xr:uid="{00000000-0005-0000-0000-0000C24F0000}"/>
    <cellStyle name="Positive 2 3 11 4 2 10" xfId="20406" xr:uid="{00000000-0005-0000-0000-0000C34F0000}"/>
    <cellStyle name="Positive 2 3 11 4 2 10 2" xfId="20407" xr:uid="{00000000-0005-0000-0000-0000C44F0000}"/>
    <cellStyle name="Positive 2 3 11 4 2 11" xfId="20408" xr:uid="{00000000-0005-0000-0000-0000C54F0000}"/>
    <cellStyle name="Positive 2 3 11 4 2 11 2" xfId="20409" xr:uid="{00000000-0005-0000-0000-0000C64F0000}"/>
    <cellStyle name="Positive 2 3 11 4 2 12" xfId="20410" xr:uid="{00000000-0005-0000-0000-0000C74F0000}"/>
    <cellStyle name="Positive 2 3 11 4 2 12 2" xfId="20411" xr:uid="{00000000-0005-0000-0000-0000C84F0000}"/>
    <cellStyle name="Positive 2 3 11 4 2 13" xfId="20412" xr:uid="{00000000-0005-0000-0000-0000C94F0000}"/>
    <cellStyle name="Positive 2 3 11 4 2 13 2" xfId="20413" xr:uid="{00000000-0005-0000-0000-0000CA4F0000}"/>
    <cellStyle name="Positive 2 3 11 4 2 14" xfId="20414" xr:uid="{00000000-0005-0000-0000-0000CB4F0000}"/>
    <cellStyle name="Positive 2 3 11 4 2 14 2" xfId="20415" xr:uid="{00000000-0005-0000-0000-0000CC4F0000}"/>
    <cellStyle name="Positive 2 3 11 4 2 15" xfId="20416" xr:uid="{00000000-0005-0000-0000-0000CD4F0000}"/>
    <cellStyle name="Positive 2 3 11 4 2 15 2" xfId="20417" xr:uid="{00000000-0005-0000-0000-0000CE4F0000}"/>
    <cellStyle name="Positive 2 3 11 4 2 16" xfId="20418" xr:uid="{00000000-0005-0000-0000-0000CF4F0000}"/>
    <cellStyle name="Positive 2 3 11 4 2 16 2" xfId="20419" xr:uid="{00000000-0005-0000-0000-0000D04F0000}"/>
    <cellStyle name="Positive 2 3 11 4 2 17" xfId="20420" xr:uid="{00000000-0005-0000-0000-0000D14F0000}"/>
    <cellStyle name="Positive 2 3 11 4 2 2" xfId="20421" xr:uid="{00000000-0005-0000-0000-0000D24F0000}"/>
    <cellStyle name="Positive 2 3 11 4 2 2 2" xfId="20422" xr:uid="{00000000-0005-0000-0000-0000D34F0000}"/>
    <cellStyle name="Positive 2 3 11 4 2 3" xfId="20423" xr:uid="{00000000-0005-0000-0000-0000D44F0000}"/>
    <cellStyle name="Positive 2 3 11 4 2 3 2" xfId="20424" xr:uid="{00000000-0005-0000-0000-0000D54F0000}"/>
    <cellStyle name="Positive 2 3 11 4 2 4" xfId="20425" xr:uid="{00000000-0005-0000-0000-0000D64F0000}"/>
    <cellStyle name="Positive 2 3 11 4 2 4 2" xfId="20426" xr:uid="{00000000-0005-0000-0000-0000D74F0000}"/>
    <cellStyle name="Positive 2 3 11 4 2 5" xfId="20427" xr:uid="{00000000-0005-0000-0000-0000D84F0000}"/>
    <cellStyle name="Positive 2 3 11 4 2 5 2" xfId="20428" xr:uid="{00000000-0005-0000-0000-0000D94F0000}"/>
    <cellStyle name="Positive 2 3 11 4 2 6" xfId="20429" xr:uid="{00000000-0005-0000-0000-0000DA4F0000}"/>
    <cellStyle name="Positive 2 3 11 4 2 6 2" xfId="20430" xr:uid="{00000000-0005-0000-0000-0000DB4F0000}"/>
    <cellStyle name="Positive 2 3 11 4 2 7" xfId="20431" xr:uid="{00000000-0005-0000-0000-0000DC4F0000}"/>
    <cellStyle name="Positive 2 3 11 4 2 7 2" xfId="20432" xr:uid="{00000000-0005-0000-0000-0000DD4F0000}"/>
    <cellStyle name="Positive 2 3 11 4 2 8" xfId="20433" xr:uid="{00000000-0005-0000-0000-0000DE4F0000}"/>
    <cellStyle name="Positive 2 3 11 4 2 8 2" xfId="20434" xr:uid="{00000000-0005-0000-0000-0000DF4F0000}"/>
    <cellStyle name="Positive 2 3 11 4 2 9" xfId="20435" xr:uid="{00000000-0005-0000-0000-0000E04F0000}"/>
    <cellStyle name="Positive 2 3 11 4 2 9 2" xfId="20436" xr:uid="{00000000-0005-0000-0000-0000E14F0000}"/>
    <cellStyle name="Positive 2 3 11 4 20" xfId="20437" xr:uid="{00000000-0005-0000-0000-0000E24F0000}"/>
    <cellStyle name="Positive 2 3 11 4 3" xfId="20438" xr:uid="{00000000-0005-0000-0000-0000E34F0000}"/>
    <cellStyle name="Positive 2 3 11 4 3 2" xfId="20439" xr:uid="{00000000-0005-0000-0000-0000E44F0000}"/>
    <cellStyle name="Positive 2 3 11 4 3 2 2" xfId="20440" xr:uid="{00000000-0005-0000-0000-0000E54F0000}"/>
    <cellStyle name="Positive 2 3 11 4 3 3" xfId="20441" xr:uid="{00000000-0005-0000-0000-0000E64F0000}"/>
    <cellStyle name="Positive 2 3 11 4 4" xfId="20442" xr:uid="{00000000-0005-0000-0000-0000E74F0000}"/>
    <cellStyle name="Positive 2 3 11 4 4 2" xfId="20443" xr:uid="{00000000-0005-0000-0000-0000E84F0000}"/>
    <cellStyle name="Positive 2 3 11 4 4 2 2" xfId="20444" xr:uid="{00000000-0005-0000-0000-0000E94F0000}"/>
    <cellStyle name="Positive 2 3 11 4 4 3" xfId="20445" xr:uid="{00000000-0005-0000-0000-0000EA4F0000}"/>
    <cellStyle name="Positive 2 3 11 4 5" xfId="20446" xr:uid="{00000000-0005-0000-0000-0000EB4F0000}"/>
    <cellStyle name="Positive 2 3 11 4 5 2" xfId="20447" xr:uid="{00000000-0005-0000-0000-0000EC4F0000}"/>
    <cellStyle name="Positive 2 3 11 4 6" xfId="20448" xr:uid="{00000000-0005-0000-0000-0000ED4F0000}"/>
    <cellStyle name="Positive 2 3 11 4 6 2" xfId="20449" xr:uid="{00000000-0005-0000-0000-0000EE4F0000}"/>
    <cellStyle name="Positive 2 3 11 4 7" xfId="20450" xr:uid="{00000000-0005-0000-0000-0000EF4F0000}"/>
    <cellStyle name="Positive 2 3 11 4 7 2" xfId="20451" xr:uid="{00000000-0005-0000-0000-0000F04F0000}"/>
    <cellStyle name="Positive 2 3 11 4 8" xfId="20452" xr:uid="{00000000-0005-0000-0000-0000F14F0000}"/>
    <cellStyle name="Positive 2 3 11 4 8 2" xfId="20453" xr:uid="{00000000-0005-0000-0000-0000F24F0000}"/>
    <cellStyle name="Positive 2 3 11 4 9" xfId="20454" xr:uid="{00000000-0005-0000-0000-0000F34F0000}"/>
    <cellStyle name="Positive 2 3 11 4 9 2" xfId="20455" xr:uid="{00000000-0005-0000-0000-0000F44F0000}"/>
    <cellStyle name="Positive 2 3 11 5" xfId="20456" xr:uid="{00000000-0005-0000-0000-0000F54F0000}"/>
    <cellStyle name="Positive 2 3 11 5 10" xfId="20457" xr:uid="{00000000-0005-0000-0000-0000F64F0000}"/>
    <cellStyle name="Positive 2 3 11 5 10 2" xfId="20458" xr:uid="{00000000-0005-0000-0000-0000F74F0000}"/>
    <cellStyle name="Positive 2 3 11 5 11" xfId="20459" xr:uid="{00000000-0005-0000-0000-0000F84F0000}"/>
    <cellStyle name="Positive 2 3 11 5 11 2" xfId="20460" xr:uid="{00000000-0005-0000-0000-0000F94F0000}"/>
    <cellStyle name="Positive 2 3 11 5 12" xfId="20461" xr:uid="{00000000-0005-0000-0000-0000FA4F0000}"/>
    <cellStyle name="Positive 2 3 11 5 12 2" xfId="20462" xr:uid="{00000000-0005-0000-0000-0000FB4F0000}"/>
    <cellStyle name="Positive 2 3 11 5 13" xfId="20463" xr:uid="{00000000-0005-0000-0000-0000FC4F0000}"/>
    <cellStyle name="Positive 2 3 11 5 13 2" xfId="20464" xr:uid="{00000000-0005-0000-0000-0000FD4F0000}"/>
    <cellStyle name="Positive 2 3 11 5 14" xfId="20465" xr:uid="{00000000-0005-0000-0000-0000FE4F0000}"/>
    <cellStyle name="Positive 2 3 11 5 14 2" xfId="20466" xr:uid="{00000000-0005-0000-0000-0000FF4F0000}"/>
    <cellStyle name="Positive 2 3 11 5 15" xfId="20467" xr:uid="{00000000-0005-0000-0000-000000500000}"/>
    <cellStyle name="Positive 2 3 11 5 15 2" xfId="20468" xr:uid="{00000000-0005-0000-0000-000001500000}"/>
    <cellStyle name="Positive 2 3 11 5 16" xfId="20469" xr:uid="{00000000-0005-0000-0000-000002500000}"/>
    <cellStyle name="Positive 2 3 11 5 16 2" xfId="20470" xr:uid="{00000000-0005-0000-0000-000003500000}"/>
    <cellStyle name="Positive 2 3 11 5 17" xfId="20471" xr:uid="{00000000-0005-0000-0000-000004500000}"/>
    <cellStyle name="Positive 2 3 11 5 2" xfId="20472" xr:uid="{00000000-0005-0000-0000-000005500000}"/>
    <cellStyle name="Positive 2 3 11 5 2 2" xfId="20473" xr:uid="{00000000-0005-0000-0000-000006500000}"/>
    <cellStyle name="Positive 2 3 11 5 3" xfId="20474" xr:uid="{00000000-0005-0000-0000-000007500000}"/>
    <cellStyle name="Positive 2 3 11 5 3 2" xfId="20475" xr:uid="{00000000-0005-0000-0000-000008500000}"/>
    <cellStyle name="Positive 2 3 11 5 4" xfId="20476" xr:uid="{00000000-0005-0000-0000-000009500000}"/>
    <cellStyle name="Positive 2 3 11 5 4 2" xfId="20477" xr:uid="{00000000-0005-0000-0000-00000A500000}"/>
    <cellStyle name="Positive 2 3 11 5 5" xfId="20478" xr:uid="{00000000-0005-0000-0000-00000B500000}"/>
    <cellStyle name="Positive 2 3 11 5 5 2" xfId="20479" xr:uid="{00000000-0005-0000-0000-00000C500000}"/>
    <cellStyle name="Positive 2 3 11 5 6" xfId="20480" xr:uid="{00000000-0005-0000-0000-00000D500000}"/>
    <cellStyle name="Positive 2 3 11 5 6 2" xfId="20481" xr:uid="{00000000-0005-0000-0000-00000E500000}"/>
    <cellStyle name="Positive 2 3 11 5 7" xfId="20482" xr:uid="{00000000-0005-0000-0000-00000F500000}"/>
    <cellStyle name="Positive 2 3 11 5 7 2" xfId="20483" xr:uid="{00000000-0005-0000-0000-000010500000}"/>
    <cellStyle name="Positive 2 3 11 5 8" xfId="20484" xr:uid="{00000000-0005-0000-0000-000011500000}"/>
    <cellStyle name="Positive 2 3 11 5 8 2" xfId="20485" xr:uid="{00000000-0005-0000-0000-000012500000}"/>
    <cellStyle name="Positive 2 3 11 5 9" xfId="20486" xr:uid="{00000000-0005-0000-0000-000013500000}"/>
    <cellStyle name="Positive 2 3 11 5 9 2" xfId="20487" xr:uid="{00000000-0005-0000-0000-000014500000}"/>
    <cellStyle name="Positive 2 3 11 6" xfId="20488" xr:uid="{00000000-0005-0000-0000-000015500000}"/>
    <cellStyle name="Positive 2 3 11 6 2" xfId="20489" xr:uid="{00000000-0005-0000-0000-000016500000}"/>
    <cellStyle name="Positive 2 3 11 6 2 2" xfId="20490" xr:uid="{00000000-0005-0000-0000-000017500000}"/>
    <cellStyle name="Positive 2 3 11 6 3" xfId="20491" xr:uid="{00000000-0005-0000-0000-000018500000}"/>
    <cellStyle name="Positive 2 3 11 7" xfId="20492" xr:uid="{00000000-0005-0000-0000-000019500000}"/>
    <cellStyle name="Positive 2 3 11 7 2" xfId="20493" xr:uid="{00000000-0005-0000-0000-00001A500000}"/>
    <cellStyle name="Positive 2 3 11 7 2 2" xfId="20494" xr:uid="{00000000-0005-0000-0000-00001B500000}"/>
    <cellStyle name="Positive 2 3 11 7 3" xfId="20495" xr:uid="{00000000-0005-0000-0000-00001C500000}"/>
    <cellStyle name="Positive 2 3 11 8" xfId="20496" xr:uid="{00000000-0005-0000-0000-00001D500000}"/>
    <cellStyle name="Positive 2 3 11 8 2" xfId="20497" xr:uid="{00000000-0005-0000-0000-00001E500000}"/>
    <cellStyle name="Positive 2 3 11 9" xfId="20498" xr:uid="{00000000-0005-0000-0000-00001F500000}"/>
    <cellStyle name="Positive 2 3 11 9 2" xfId="20499" xr:uid="{00000000-0005-0000-0000-000020500000}"/>
    <cellStyle name="Positive 2 3 12" xfId="20500" xr:uid="{00000000-0005-0000-0000-000021500000}"/>
    <cellStyle name="Positive 2 3 12 10" xfId="20501" xr:uid="{00000000-0005-0000-0000-000022500000}"/>
    <cellStyle name="Positive 2 3 12 10 2" xfId="20502" xr:uid="{00000000-0005-0000-0000-000023500000}"/>
    <cellStyle name="Positive 2 3 12 11" xfId="20503" xr:uid="{00000000-0005-0000-0000-000024500000}"/>
    <cellStyle name="Positive 2 3 12 11 2" xfId="20504" xr:uid="{00000000-0005-0000-0000-000025500000}"/>
    <cellStyle name="Positive 2 3 12 12" xfId="20505" xr:uid="{00000000-0005-0000-0000-000026500000}"/>
    <cellStyle name="Positive 2 3 12 12 2" xfId="20506" xr:uid="{00000000-0005-0000-0000-000027500000}"/>
    <cellStyle name="Positive 2 3 12 13" xfId="20507" xr:uid="{00000000-0005-0000-0000-000028500000}"/>
    <cellStyle name="Positive 2 3 12 13 2" xfId="20508" xr:uid="{00000000-0005-0000-0000-000029500000}"/>
    <cellStyle name="Positive 2 3 12 14" xfId="20509" xr:uid="{00000000-0005-0000-0000-00002A500000}"/>
    <cellStyle name="Positive 2 3 12 14 2" xfId="20510" xr:uid="{00000000-0005-0000-0000-00002B500000}"/>
    <cellStyle name="Positive 2 3 12 15" xfId="20511" xr:uid="{00000000-0005-0000-0000-00002C500000}"/>
    <cellStyle name="Positive 2 3 12 15 2" xfId="20512" xr:uid="{00000000-0005-0000-0000-00002D500000}"/>
    <cellStyle name="Positive 2 3 12 16" xfId="20513" xr:uid="{00000000-0005-0000-0000-00002E500000}"/>
    <cellStyle name="Positive 2 3 12 16 2" xfId="20514" xr:uid="{00000000-0005-0000-0000-00002F500000}"/>
    <cellStyle name="Positive 2 3 12 17" xfId="20515" xr:uid="{00000000-0005-0000-0000-000030500000}"/>
    <cellStyle name="Positive 2 3 12 17 2" xfId="20516" xr:uid="{00000000-0005-0000-0000-000031500000}"/>
    <cellStyle name="Positive 2 3 12 18" xfId="20517" xr:uid="{00000000-0005-0000-0000-000032500000}"/>
    <cellStyle name="Positive 2 3 12 18 2" xfId="20518" xr:uid="{00000000-0005-0000-0000-000033500000}"/>
    <cellStyle name="Positive 2 3 12 19" xfId="20519" xr:uid="{00000000-0005-0000-0000-000034500000}"/>
    <cellStyle name="Positive 2 3 12 19 2" xfId="20520" xr:uid="{00000000-0005-0000-0000-000035500000}"/>
    <cellStyle name="Positive 2 3 12 2" xfId="20521" xr:uid="{00000000-0005-0000-0000-000036500000}"/>
    <cellStyle name="Positive 2 3 12 2 10" xfId="20522" xr:uid="{00000000-0005-0000-0000-000037500000}"/>
    <cellStyle name="Positive 2 3 12 2 10 2" xfId="20523" xr:uid="{00000000-0005-0000-0000-000038500000}"/>
    <cellStyle name="Positive 2 3 12 2 11" xfId="20524" xr:uid="{00000000-0005-0000-0000-000039500000}"/>
    <cellStyle name="Positive 2 3 12 2 11 2" xfId="20525" xr:uid="{00000000-0005-0000-0000-00003A500000}"/>
    <cellStyle name="Positive 2 3 12 2 12" xfId="20526" xr:uid="{00000000-0005-0000-0000-00003B500000}"/>
    <cellStyle name="Positive 2 3 12 2 12 2" xfId="20527" xr:uid="{00000000-0005-0000-0000-00003C500000}"/>
    <cellStyle name="Positive 2 3 12 2 13" xfId="20528" xr:uid="{00000000-0005-0000-0000-00003D500000}"/>
    <cellStyle name="Positive 2 3 12 2 13 2" xfId="20529" xr:uid="{00000000-0005-0000-0000-00003E500000}"/>
    <cellStyle name="Positive 2 3 12 2 14" xfId="20530" xr:uid="{00000000-0005-0000-0000-00003F500000}"/>
    <cellStyle name="Positive 2 3 12 2 14 2" xfId="20531" xr:uid="{00000000-0005-0000-0000-000040500000}"/>
    <cellStyle name="Positive 2 3 12 2 15" xfId="20532" xr:uid="{00000000-0005-0000-0000-000041500000}"/>
    <cellStyle name="Positive 2 3 12 2 15 2" xfId="20533" xr:uid="{00000000-0005-0000-0000-000042500000}"/>
    <cellStyle name="Positive 2 3 12 2 16" xfId="20534" xr:uid="{00000000-0005-0000-0000-000043500000}"/>
    <cellStyle name="Positive 2 3 12 2 16 2" xfId="20535" xr:uid="{00000000-0005-0000-0000-000044500000}"/>
    <cellStyle name="Positive 2 3 12 2 17" xfId="20536" xr:uid="{00000000-0005-0000-0000-000045500000}"/>
    <cellStyle name="Positive 2 3 12 2 17 2" xfId="20537" xr:uid="{00000000-0005-0000-0000-000046500000}"/>
    <cellStyle name="Positive 2 3 12 2 18" xfId="20538" xr:uid="{00000000-0005-0000-0000-000047500000}"/>
    <cellStyle name="Positive 2 3 12 2 18 2" xfId="20539" xr:uid="{00000000-0005-0000-0000-000048500000}"/>
    <cellStyle name="Positive 2 3 12 2 19" xfId="20540" xr:uid="{00000000-0005-0000-0000-000049500000}"/>
    <cellStyle name="Positive 2 3 12 2 19 2" xfId="20541" xr:uid="{00000000-0005-0000-0000-00004A500000}"/>
    <cellStyle name="Positive 2 3 12 2 2" xfId="20542" xr:uid="{00000000-0005-0000-0000-00004B500000}"/>
    <cellStyle name="Positive 2 3 12 2 2 10" xfId="20543" xr:uid="{00000000-0005-0000-0000-00004C500000}"/>
    <cellStyle name="Positive 2 3 12 2 2 10 2" xfId="20544" xr:uid="{00000000-0005-0000-0000-00004D500000}"/>
    <cellStyle name="Positive 2 3 12 2 2 11" xfId="20545" xr:uid="{00000000-0005-0000-0000-00004E500000}"/>
    <cellStyle name="Positive 2 3 12 2 2 11 2" xfId="20546" xr:uid="{00000000-0005-0000-0000-00004F500000}"/>
    <cellStyle name="Positive 2 3 12 2 2 12" xfId="20547" xr:uid="{00000000-0005-0000-0000-000050500000}"/>
    <cellStyle name="Positive 2 3 12 2 2 12 2" xfId="20548" xr:uid="{00000000-0005-0000-0000-000051500000}"/>
    <cellStyle name="Positive 2 3 12 2 2 13" xfId="20549" xr:uid="{00000000-0005-0000-0000-000052500000}"/>
    <cellStyle name="Positive 2 3 12 2 2 13 2" xfId="20550" xr:uid="{00000000-0005-0000-0000-000053500000}"/>
    <cellStyle name="Positive 2 3 12 2 2 14" xfId="20551" xr:uid="{00000000-0005-0000-0000-000054500000}"/>
    <cellStyle name="Positive 2 3 12 2 2 14 2" xfId="20552" xr:uid="{00000000-0005-0000-0000-000055500000}"/>
    <cellStyle name="Positive 2 3 12 2 2 15" xfId="20553" xr:uid="{00000000-0005-0000-0000-000056500000}"/>
    <cellStyle name="Positive 2 3 12 2 2 15 2" xfId="20554" xr:uid="{00000000-0005-0000-0000-000057500000}"/>
    <cellStyle name="Positive 2 3 12 2 2 16" xfId="20555" xr:uid="{00000000-0005-0000-0000-000058500000}"/>
    <cellStyle name="Positive 2 3 12 2 2 16 2" xfId="20556" xr:uid="{00000000-0005-0000-0000-000059500000}"/>
    <cellStyle name="Positive 2 3 12 2 2 17" xfId="20557" xr:uid="{00000000-0005-0000-0000-00005A500000}"/>
    <cellStyle name="Positive 2 3 12 2 2 2" xfId="20558" xr:uid="{00000000-0005-0000-0000-00005B500000}"/>
    <cellStyle name="Positive 2 3 12 2 2 2 2" xfId="20559" xr:uid="{00000000-0005-0000-0000-00005C500000}"/>
    <cellStyle name="Positive 2 3 12 2 2 3" xfId="20560" xr:uid="{00000000-0005-0000-0000-00005D500000}"/>
    <cellStyle name="Positive 2 3 12 2 2 3 2" xfId="20561" xr:uid="{00000000-0005-0000-0000-00005E500000}"/>
    <cellStyle name="Positive 2 3 12 2 2 4" xfId="20562" xr:uid="{00000000-0005-0000-0000-00005F500000}"/>
    <cellStyle name="Positive 2 3 12 2 2 4 2" xfId="20563" xr:uid="{00000000-0005-0000-0000-000060500000}"/>
    <cellStyle name="Positive 2 3 12 2 2 5" xfId="20564" xr:uid="{00000000-0005-0000-0000-000061500000}"/>
    <cellStyle name="Positive 2 3 12 2 2 5 2" xfId="20565" xr:uid="{00000000-0005-0000-0000-000062500000}"/>
    <cellStyle name="Positive 2 3 12 2 2 6" xfId="20566" xr:uid="{00000000-0005-0000-0000-000063500000}"/>
    <cellStyle name="Positive 2 3 12 2 2 6 2" xfId="20567" xr:uid="{00000000-0005-0000-0000-000064500000}"/>
    <cellStyle name="Positive 2 3 12 2 2 7" xfId="20568" xr:uid="{00000000-0005-0000-0000-000065500000}"/>
    <cellStyle name="Positive 2 3 12 2 2 7 2" xfId="20569" xr:uid="{00000000-0005-0000-0000-000066500000}"/>
    <cellStyle name="Positive 2 3 12 2 2 8" xfId="20570" xr:uid="{00000000-0005-0000-0000-000067500000}"/>
    <cellStyle name="Positive 2 3 12 2 2 8 2" xfId="20571" xr:uid="{00000000-0005-0000-0000-000068500000}"/>
    <cellStyle name="Positive 2 3 12 2 2 9" xfId="20572" xr:uid="{00000000-0005-0000-0000-000069500000}"/>
    <cellStyle name="Positive 2 3 12 2 2 9 2" xfId="20573" xr:uid="{00000000-0005-0000-0000-00006A500000}"/>
    <cellStyle name="Positive 2 3 12 2 20" xfId="20574" xr:uid="{00000000-0005-0000-0000-00006B500000}"/>
    <cellStyle name="Positive 2 3 12 2 3" xfId="20575" xr:uid="{00000000-0005-0000-0000-00006C500000}"/>
    <cellStyle name="Positive 2 3 12 2 3 2" xfId="20576" xr:uid="{00000000-0005-0000-0000-00006D500000}"/>
    <cellStyle name="Positive 2 3 12 2 3 2 2" xfId="20577" xr:uid="{00000000-0005-0000-0000-00006E500000}"/>
    <cellStyle name="Positive 2 3 12 2 3 3" xfId="20578" xr:uid="{00000000-0005-0000-0000-00006F500000}"/>
    <cellStyle name="Positive 2 3 12 2 4" xfId="20579" xr:uid="{00000000-0005-0000-0000-000070500000}"/>
    <cellStyle name="Positive 2 3 12 2 4 2" xfId="20580" xr:uid="{00000000-0005-0000-0000-000071500000}"/>
    <cellStyle name="Positive 2 3 12 2 4 2 2" xfId="20581" xr:uid="{00000000-0005-0000-0000-000072500000}"/>
    <cellStyle name="Positive 2 3 12 2 4 3" xfId="20582" xr:uid="{00000000-0005-0000-0000-000073500000}"/>
    <cellStyle name="Positive 2 3 12 2 5" xfId="20583" xr:uid="{00000000-0005-0000-0000-000074500000}"/>
    <cellStyle name="Positive 2 3 12 2 5 2" xfId="20584" xr:uid="{00000000-0005-0000-0000-000075500000}"/>
    <cellStyle name="Positive 2 3 12 2 6" xfId="20585" xr:uid="{00000000-0005-0000-0000-000076500000}"/>
    <cellStyle name="Positive 2 3 12 2 6 2" xfId="20586" xr:uid="{00000000-0005-0000-0000-000077500000}"/>
    <cellStyle name="Positive 2 3 12 2 7" xfId="20587" xr:uid="{00000000-0005-0000-0000-000078500000}"/>
    <cellStyle name="Positive 2 3 12 2 7 2" xfId="20588" xr:uid="{00000000-0005-0000-0000-000079500000}"/>
    <cellStyle name="Positive 2 3 12 2 8" xfId="20589" xr:uid="{00000000-0005-0000-0000-00007A500000}"/>
    <cellStyle name="Positive 2 3 12 2 8 2" xfId="20590" xr:uid="{00000000-0005-0000-0000-00007B500000}"/>
    <cellStyle name="Positive 2 3 12 2 9" xfId="20591" xr:uid="{00000000-0005-0000-0000-00007C500000}"/>
    <cellStyle name="Positive 2 3 12 2 9 2" xfId="20592" xr:uid="{00000000-0005-0000-0000-00007D500000}"/>
    <cellStyle name="Positive 2 3 12 20" xfId="20593" xr:uid="{00000000-0005-0000-0000-00007E500000}"/>
    <cellStyle name="Positive 2 3 12 20 2" xfId="20594" xr:uid="{00000000-0005-0000-0000-00007F500000}"/>
    <cellStyle name="Positive 2 3 12 21" xfId="20595" xr:uid="{00000000-0005-0000-0000-000080500000}"/>
    <cellStyle name="Positive 2 3 12 21 2" xfId="20596" xr:uid="{00000000-0005-0000-0000-000081500000}"/>
    <cellStyle name="Positive 2 3 12 22" xfId="20597" xr:uid="{00000000-0005-0000-0000-000082500000}"/>
    <cellStyle name="Positive 2 3 12 22 2" xfId="20598" xr:uid="{00000000-0005-0000-0000-000083500000}"/>
    <cellStyle name="Positive 2 3 12 23" xfId="20599" xr:uid="{00000000-0005-0000-0000-000084500000}"/>
    <cellStyle name="Positive 2 3 12 3" xfId="20600" xr:uid="{00000000-0005-0000-0000-000085500000}"/>
    <cellStyle name="Positive 2 3 12 3 10" xfId="20601" xr:uid="{00000000-0005-0000-0000-000086500000}"/>
    <cellStyle name="Positive 2 3 12 3 10 2" xfId="20602" xr:uid="{00000000-0005-0000-0000-000087500000}"/>
    <cellStyle name="Positive 2 3 12 3 11" xfId="20603" xr:uid="{00000000-0005-0000-0000-000088500000}"/>
    <cellStyle name="Positive 2 3 12 3 11 2" xfId="20604" xr:uid="{00000000-0005-0000-0000-000089500000}"/>
    <cellStyle name="Positive 2 3 12 3 12" xfId="20605" xr:uid="{00000000-0005-0000-0000-00008A500000}"/>
    <cellStyle name="Positive 2 3 12 3 12 2" xfId="20606" xr:uid="{00000000-0005-0000-0000-00008B500000}"/>
    <cellStyle name="Positive 2 3 12 3 13" xfId="20607" xr:uid="{00000000-0005-0000-0000-00008C500000}"/>
    <cellStyle name="Positive 2 3 12 3 13 2" xfId="20608" xr:uid="{00000000-0005-0000-0000-00008D500000}"/>
    <cellStyle name="Positive 2 3 12 3 14" xfId="20609" xr:uid="{00000000-0005-0000-0000-00008E500000}"/>
    <cellStyle name="Positive 2 3 12 3 14 2" xfId="20610" xr:uid="{00000000-0005-0000-0000-00008F500000}"/>
    <cellStyle name="Positive 2 3 12 3 15" xfId="20611" xr:uid="{00000000-0005-0000-0000-000090500000}"/>
    <cellStyle name="Positive 2 3 12 3 15 2" xfId="20612" xr:uid="{00000000-0005-0000-0000-000091500000}"/>
    <cellStyle name="Positive 2 3 12 3 16" xfId="20613" xr:uid="{00000000-0005-0000-0000-000092500000}"/>
    <cellStyle name="Positive 2 3 12 3 16 2" xfId="20614" xr:uid="{00000000-0005-0000-0000-000093500000}"/>
    <cellStyle name="Positive 2 3 12 3 17" xfId="20615" xr:uid="{00000000-0005-0000-0000-000094500000}"/>
    <cellStyle name="Positive 2 3 12 3 17 2" xfId="20616" xr:uid="{00000000-0005-0000-0000-000095500000}"/>
    <cellStyle name="Positive 2 3 12 3 18" xfId="20617" xr:uid="{00000000-0005-0000-0000-000096500000}"/>
    <cellStyle name="Positive 2 3 12 3 18 2" xfId="20618" xr:uid="{00000000-0005-0000-0000-000097500000}"/>
    <cellStyle name="Positive 2 3 12 3 19" xfId="20619" xr:uid="{00000000-0005-0000-0000-000098500000}"/>
    <cellStyle name="Positive 2 3 12 3 19 2" xfId="20620" xr:uid="{00000000-0005-0000-0000-000099500000}"/>
    <cellStyle name="Positive 2 3 12 3 2" xfId="20621" xr:uid="{00000000-0005-0000-0000-00009A500000}"/>
    <cellStyle name="Positive 2 3 12 3 2 10" xfId="20622" xr:uid="{00000000-0005-0000-0000-00009B500000}"/>
    <cellStyle name="Positive 2 3 12 3 2 10 2" xfId="20623" xr:uid="{00000000-0005-0000-0000-00009C500000}"/>
    <cellStyle name="Positive 2 3 12 3 2 11" xfId="20624" xr:uid="{00000000-0005-0000-0000-00009D500000}"/>
    <cellStyle name="Positive 2 3 12 3 2 11 2" xfId="20625" xr:uid="{00000000-0005-0000-0000-00009E500000}"/>
    <cellStyle name="Positive 2 3 12 3 2 12" xfId="20626" xr:uid="{00000000-0005-0000-0000-00009F500000}"/>
    <cellStyle name="Positive 2 3 12 3 2 12 2" xfId="20627" xr:uid="{00000000-0005-0000-0000-0000A0500000}"/>
    <cellStyle name="Positive 2 3 12 3 2 13" xfId="20628" xr:uid="{00000000-0005-0000-0000-0000A1500000}"/>
    <cellStyle name="Positive 2 3 12 3 2 13 2" xfId="20629" xr:uid="{00000000-0005-0000-0000-0000A2500000}"/>
    <cellStyle name="Positive 2 3 12 3 2 14" xfId="20630" xr:uid="{00000000-0005-0000-0000-0000A3500000}"/>
    <cellStyle name="Positive 2 3 12 3 2 14 2" xfId="20631" xr:uid="{00000000-0005-0000-0000-0000A4500000}"/>
    <cellStyle name="Positive 2 3 12 3 2 15" xfId="20632" xr:uid="{00000000-0005-0000-0000-0000A5500000}"/>
    <cellStyle name="Positive 2 3 12 3 2 15 2" xfId="20633" xr:uid="{00000000-0005-0000-0000-0000A6500000}"/>
    <cellStyle name="Positive 2 3 12 3 2 16" xfId="20634" xr:uid="{00000000-0005-0000-0000-0000A7500000}"/>
    <cellStyle name="Positive 2 3 12 3 2 16 2" xfId="20635" xr:uid="{00000000-0005-0000-0000-0000A8500000}"/>
    <cellStyle name="Positive 2 3 12 3 2 17" xfId="20636" xr:uid="{00000000-0005-0000-0000-0000A9500000}"/>
    <cellStyle name="Positive 2 3 12 3 2 2" xfId="20637" xr:uid="{00000000-0005-0000-0000-0000AA500000}"/>
    <cellStyle name="Positive 2 3 12 3 2 2 2" xfId="20638" xr:uid="{00000000-0005-0000-0000-0000AB500000}"/>
    <cellStyle name="Positive 2 3 12 3 2 3" xfId="20639" xr:uid="{00000000-0005-0000-0000-0000AC500000}"/>
    <cellStyle name="Positive 2 3 12 3 2 3 2" xfId="20640" xr:uid="{00000000-0005-0000-0000-0000AD500000}"/>
    <cellStyle name="Positive 2 3 12 3 2 4" xfId="20641" xr:uid="{00000000-0005-0000-0000-0000AE500000}"/>
    <cellStyle name="Positive 2 3 12 3 2 4 2" xfId="20642" xr:uid="{00000000-0005-0000-0000-0000AF500000}"/>
    <cellStyle name="Positive 2 3 12 3 2 5" xfId="20643" xr:uid="{00000000-0005-0000-0000-0000B0500000}"/>
    <cellStyle name="Positive 2 3 12 3 2 5 2" xfId="20644" xr:uid="{00000000-0005-0000-0000-0000B1500000}"/>
    <cellStyle name="Positive 2 3 12 3 2 6" xfId="20645" xr:uid="{00000000-0005-0000-0000-0000B2500000}"/>
    <cellStyle name="Positive 2 3 12 3 2 6 2" xfId="20646" xr:uid="{00000000-0005-0000-0000-0000B3500000}"/>
    <cellStyle name="Positive 2 3 12 3 2 7" xfId="20647" xr:uid="{00000000-0005-0000-0000-0000B4500000}"/>
    <cellStyle name="Positive 2 3 12 3 2 7 2" xfId="20648" xr:uid="{00000000-0005-0000-0000-0000B5500000}"/>
    <cellStyle name="Positive 2 3 12 3 2 8" xfId="20649" xr:uid="{00000000-0005-0000-0000-0000B6500000}"/>
    <cellStyle name="Positive 2 3 12 3 2 8 2" xfId="20650" xr:uid="{00000000-0005-0000-0000-0000B7500000}"/>
    <cellStyle name="Positive 2 3 12 3 2 9" xfId="20651" xr:uid="{00000000-0005-0000-0000-0000B8500000}"/>
    <cellStyle name="Positive 2 3 12 3 2 9 2" xfId="20652" xr:uid="{00000000-0005-0000-0000-0000B9500000}"/>
    <cellStyle name="Positive 2 3 12 3 20" xfId="20653" xr:uid="{00000000-0005-0000-0000-0000BA500000}"/>
    <cellStyle name="Positive 2 3 12 3 3" xfId="20654" xr:uid="{00000000-0005-0000-0000-0000BB500000}"/>
    <cellStyle name="Positive 2 3 12 3 3 2" xfId="20655" xr:uid="{00000000-0005-0000-0000-0000BC500000}"/>
    <cellStyle name="Positive 2 3 12 3 3 2 2" xfId="20656" xr:uid="{00000000-0005-0000-0000-0000BD500000}"/>
    <cellStyle name="Positive 2 3 12 3 3 3" xfId="20657" xr:uid="{00000000-0005-0000-0000-0000BE500000}"/>
    <cellStyle name="Positive 2 3 12 3 4" xfId="20658" xr:uid="{00000000-0005-0000-0000-0000BF500000}"/>
    <cellStyle name="Positive 2 3 12 3 4 2" xfId="20659" xr:uid="{00000000-0005-0000-0000-0000C0500000}"/>
    <cellStyle name="Positive 2 3 12 3 4 2 2" xfId="20660" xr:uid="{00000000-0005-0000-0000-0000C1500000}"/>
    <cellStyle name="Positive 2 3 12 3 4 3" xfId="20661" xr:uid="{00000000-0005-0000-0000-0000C2500000}"/>
    <cellStyle name="Positive 2 3 12 3 5" xfId="20662" xr:uid="{00000000-0005-0000-0000-0000C3500000}"/>
    <cellStyle name="Positive 2 3 12 3 5 2" xfId="20663" xr:uid="{00000000-0005-0000-0000-0000C4500000}"/>
    <cellStyle name="Positive 2 3 12 3 6" xfId="20664" xr:uid="{00000000-0005-0000-0000-0000C5500000}"/>
    <cellStyle name="Positive 2 3 12 3 6 2" xfId="20665" xr:uid="{00000000-0005-0000-0000-0000C6500000}"/>
    <cellStyle name="Positive 2 3 12 3 7" xfId="20666" xr:uid="{00000000-0005-0000-0000-0000C7500000}"/>
    <cellStyle name="Positive 2 3 12 3 7 2" xfId="20667" xr:uid="{00000000-0005-0000-0000-0000C8500000}"/>
    <cellStyle name="Positive 2 3 12 3 8" xfId="20668" xr:uid="{00000000-0005-0000-0000-0000C9500000}"/>
    <cellStyle name="Positive 2 3 12 3 8 2" xfId="20669" xr:uid="{00000000-0005-0000-0000-0000CA500000}"/>
    <cellStyle name="Positive 2 3 12 3 9" xfId="20670" xr:uid="{00000000-0005-0000-0000-0000CB500000}"/>
    <cellStyle name="Positive 2 3 12 3 9 2" xfId="20671" xr:uid="{00000000-0005-0000-0000-0000CC500000}"/>
    <cellStyle name="Positive 2 3 12 4" xfId="20672" xr:uid="{00000000-0005-0000-0000-0000CD500000}"/>
    <cellStyle name="Positive 2 3 12 4 10" xfId="20673" xr:uid="{00000000-0005-0000-0000-0000CE500000}"/>
    <cellStyle name="Positive 2 3 12 4 10 2" xfId="20674" xr:uid="{00000000-0005-0000-0000-0000CF500000}"/>
    <cellStyle name="Positive 2 3 12 4 11" xfId="20675" xr:uid="{00000000-0005-0000-0000-0000D0500000}"/>
    <cellStyle name="Positive 2 3 12 4 11 2" xfId="20676" xr:uid="{00000000-0005-0000-0000-0000D1500000}"/>
    <cellStyle name="Positive 2 3 12 4 12" xfId="20677" xr:uid="{00000000-0005-0000-0000-0000D2500000}"/>
    <cellStyle name="Positive 2 3 12 4 12 2" xfId="20678" xr:uid="{00000000-0005-0000-0000-0000D3500000}"/>
    <cellStyle name="Positive 2 3 12 4 13" xfId="20679" xr:uid="{00000000-0005-0000-0000-0000D4500000}"/>
    <cellStyle name="Positive 2 3 12 4 13 2" xfId="20680" xr:uid="{00000000-0005-0000-0000-0000D5500000}"/>
    <cellStyle name="Positive 2 3 12 4 14" xfId="20681" xr:uid="{00000000-0005-0000-0000-0000D6500000}"/>
    <cellStyle name="Positive 2 3 12 4 14 2" xfId="20682" xr:uid="{00000000-0005-0000-0000-0000D7500000}"/>
    <cellStyle name="Positive 2 3 12 4 15" xfId="20683" xr:uid="{00000000-0005-0000-0000-0000D8500000}"/>
    <cellStyle name="Positive 2 3 12 4 15 2" xfId="20684" xr:uid="{00000000-0005-0000-0000-0000D9500000}"/>
    <cellStyle name="Positive 2 3 12 4 16" xfId="20685" xr:uid="{00000000-0005-0000-0000-0000DA500000}"/>
    <cellStyle name="Positive 2 3 12 4 16 2" xfId="20686" xr:uid="{00000000-0005-0000-0000-0000DB500000}"/>
    <cellStyle name="Positive 2 3 12 4 17" xfId="20687" xr:uid="{00000000-0005-0000-0000-0000DC500000}"/>
    <cellStyle name="Positive 2 3 12 4 17 2" xfId="20688" xr:uid="{00000000-0005-0000-0000-0000DD500000}"/>
    <cellStyle name="Positive 2 3 12 4 18" xfId="20689" xr:uid="{00000000-0005-0000-0000-0000DE500000}"/>
    <cellStyle name="Positive 2 3 12 4 18 2" xfId="20690" xr:uid="{00000000-0005-0000-0000-0000DF500000}"/>
    <cellStyle name="Positive 2 3 12 4 19" xfId="20691" xr:uid="{00000000-0005-0000-0000-0000E0500000}"/>
    <cellStyle name="Positive 2 3 12 4 19 2" xfId="20692" xr:uid="{00000000-0005-0000-0000-0000E1500000}"/>
    <cellStyle name="Positive 2 3 12 4 2" xfId="20693" xr:uid="{00000000-0005-0000-0000-0000E2500000}"/>
    <cellStyle name="Positive 2 3 12 4 2 10" xfId="20694" xr:uid="{00000000-0005-0000-0000-0000E3500000}"/>
    <cellStyle name="Positive 2 3 12 4 2 10 2" xfId="20695" xr:uid="{00000000-0005-0000-0000-0000E4500000}"/>
    <cellStyle name="Positive 2 3 12 4 2 11" xfId="20696" xr:uid="{00000000-0005-0000-0000-0000E5500000}"/>
    <cellStyle name="Positive 2 3 12 4 2 11 2" xfId="20697" xr:uid="{00000000-0005-0000-0000-0000E6500000}"/>
    <cellStyle name="Positive 2 3 12 4 2 12" xfId="20698" xr:uid="{00000000-0005-0000-0000-0000E7500000}"/>
    <cellStyle name="Positive 2 3 12 4 2 12 2" xfId="20699" xr:uid="{00000000-0005-0000-0000-0000E8500000}"/>
    <cellStyle name="Positive 2 3 12 4 2 13" xfId="20700" xr:uid="{00000000-0005-0000-0000-0000E9500000}"/>
    <cellStyle name="Positive 2 3 12 4 2 13 2" xfId="20701" xr:uid="{00000000-0005-0000-0000-0000EA500000}"/>
    <cellStyle name="Positive 2 3 12 4 2 14" xfId="20702" xr:uid="{00000000-0005-0000-0000-0000EB500000}"/>
    <cellStyle name="Positive 2 3 12 4 2 14 2" xfId="20703" xr:uid="{00000000-0005-0000-0000-0000EC500000}"/>
    <cellStyle name="Positive 2 3 12 4 2 15" xfId="20704" xr:uid="{00000000-0005-0000-0000-0000ED500000}"/>
    <cellStyle name="Positive 2 3 12 4 2 15 2" xfId="20705" xr:uid="{00000000-0005-0000-0000-0000EE500000}"/>
    <cellStyle name="Positive 2 3 12 4 2 16" xfId="20706" xr:uid="{00000000-0005-0000-0000-0000EF500000}"/>
    <cellStyle name="Positive 2 3 12 4 2 16 2" xfId="20707" xr:uid="{00000000-0005-0000-0000-0000F0500000}"/>
    <cellStyle name="Positive 2 3 12 4 2 17" xfId="20708" xr:uid="{00000000-0005-0000-0000-0000F1500000}"/>
    <cellStyle name="Positive 2 3 12 4 2 2" xfId="20709" xr:uid="{00000000-0005-0000-0000-0000F2500000}"/>
    <cellStyle name="Positive 2 3 12 4 2 2 2" xfId="20710" xr:uid="{00000000-0005-0000-0000-0000F3500000}"/>
    <cellStyle name="Positive 2 3 12 4 2 3" xfId="20711" xr:uid="{00000000-0005-0000-0000-0000F4500000}"/>
    <cellStyle name="Positive 2 3 12 4 2 3 2" xfId="20712" xr:uid="{00000000-0005-0000-0000-0000F5500000}"/>
    <cellStyle name="Positive 2 3 12 4 2 4" xfId="20713" xr:uid="{00000000-0005-0000-0000-0000F6500000}"/>
    <cellStyle name="Positive 2 3 12 4 2 4 2" xfId="20714" xr:uid="{00000000-0005-0000-0000-0000F7500000}"/>
    <cellStyle name="Positive 2 3 12 4 2 5" xfId="20715" xr:uid="{00000000-0005-0000-0000-0000F8500000}"/>
    <cellStyle name="Positive 2 3 12 4 2 5 2" xfId="20716" xr:uid="{00000000-0005-0000-0000-0000F9500000}"/>
    <cellStyle name="Positive 2 3 12 4 2 6" xfId="20717" xr:uid="{00000000-0005-0000-0000-0000FA500000}"/>
    <cellStyle name="Positive 2 3 12 4 2 6 2" xfId="20718" xr:uid="{00000000-0005-0000-0000-0000FB500000}"/>
    <cellStyle name="Positive 2 3 12 4 2 7" xfId="20719" xr:uid="{00000000-0005-0000-0000-0000FC500000}"/>
    <cellStyle name="Positive 2 3 12 4 2 7 2" xfId="20720" xr:uid="{00000000-0005-0000-0000-0000FD500000}"/>
    <cellStyle name="Positive 2 3 12 4 2 8" xfId="20721" xr:uid="{00000000-0005-0000-0000-0000FE500000}"/>
    <cellStyle name="Positive 2 3 12 4 2 8 2" xfId="20722" xr:uid="{00000000-0005-0000-0000-0000FF500000}"/>
    <cellStyle name="Positive 2 3 12 4 2 9" xfId="20723" xr:uid="{00000000-0005-0000-0000-000000510000}"/>
    <cellStyle name="Positive 2 3 12 4 2 9 2" xfId="20724" xr:uid="{00000000-0005-0000-0000-000001510000}"/>
    <cellStyle name="Positive 2 3 12 4 20" xfId="20725" xr:uid="{00000000-0005-0000-0000-000002510000}"/>
    <cellStyle name="Positive 2 3 12 4 3" xfId="20726" xr:uid="{00000000-0005-0000-0000-000003510000}"/>
    <cellStyle name="Positive 2 3 12 4 3 2" xfId="20727" xr:uid="{00000000-0005-0000-0000-000004510000}"/>
    <cellStyle name="Positive 2 3 12 4 3 2 2" xfId="20728" xr:uid="{00000000-0005-0000-0000-000005510000}"/>
    <cellStyle name="Positive 2 3 12 4 3 3" xfId="20729" xr:uid="{00000000-0005-0000-0000-000006510000}"/>
    <cellStyle name="Positive 2 3 12 4 4" xfId="20730" xr:uid="{00000000-0005-0000-0000-000007510000}"/>
    <cellStyle name="Positive 2 3 12 4 4 2" xfId="20731" xr:uid="{00000000-0005-0000-0000-000008510000}"/>
    <cellStyle name="Positive 2 3 12 4 4 2 2" xfId="20732" xr:uid="{00000000-0005-0000-0000-000009510000}"/>
    <cellStyle name="Positive 2 3 12 4 4 3" xfId="20733" xr:uid="{00000000-0005-0000-0000-00000A510000}"/>
    <cellStyle name="Positive 2 3 12 4 5" xfId="20734" xr:uid="{00000000-0005-0000-0000-00000B510000}"/>
    <cellStyle name="Positive 2 3 12 4 5 2" xfId="20735" xr:uid="{00000000-0005-0000-0000-00000C510000}"/>
    <cellStyle name="Positive 2 3 12 4 6" xfId="20736" xr:uid="{00000000-0005-0000-0000-00000D510000}"/>
    <cellStyle name="Positive 2 3 12 4 6 2" xfId="20737" xr:uid="{00000000-0005-0000-0000-00000E510000}"/>
    <cellStyle name="Positive 2 3 12 4 7" xfId="20738" xr:uid="{00000000-0005-0000-0000-00000F510000}"/>
    <cellStyle name="Positive 2 3 12 4 7 2" xfId="20739" xr:uid="{00000000-0005-0000-0000-000010510000}"/>
    <cellStyle name="Positive 2 3 12 4 8" xfId="20740" xr:uid="{00000000-0005-0000-0000-000011510000}"/>
    <cellStyle name="Positive 2 3 12 4 8 2" xfId="20741" xr:uid="{00000000-0005-0000-0000-000012510000}"/>
    <cellStyle name="Positive 2 3 12 4 9" xfId="20742" xr:uid="{00000000-0005-0000-0000-000013510000}"/>
    <cellStyle name="Positive 2 3 12 4 9 2" xfId="20743" xr:uid="{00000000-0005-0000-0000-000014510000}"/>
    <cellStyle name="Positive 2 3 12 5" xfId="20744" xr:uid="{00000000-0005-0000-0000-000015510000}"/>
    <cellStyle name="Positive 2 3 12 5 10" xfId="20745" xr:uid="{00000000-0005-0000-0000-000016510000}"/>
    <cellStyle name="Positive 2 3 12 5 10 2" xfId="20746" xr:uid="{00000000-0005-0000-0000-000017510000}"/>
    <cellStyle name="Positive 2 3 12 5 11" xfId="20747" xr:uid="{00000000-0005-0000-0000-000018510000}"/>
    <cellStyle name="Positive 2 3 12 5 11 2" xfId="20748" xr:uid="{00000000-0005-0000-0000-000019510000}"/>
    <cellStyle name="Positive 2 3 12 5 12" xfId="20749" xr:uid="{00000000-0005-0000-0000-00001A510000}"/>
    <cellStyle name="Positive 2 3 12 5 12 2" xfId="20750" xr:uid="{00000000-0005-0000-0000-00001B510000}"/>
    <cellStyle name="Positive 2 3 12 5 13" xfId="20751" xr:uid="{00000000-0005-0000-0000-00001C510000}"/>
    <cellStyle name="Positive 2 3 12 5 13 2" xfId="20752" xr:uid="{00000000-0005-0000-0000-00001D510000}"/>
    <cellStyle name="Positive 2 3 12 5 14" xfId="20753" xr:uid="{00000000-0005-0000-0000-00001E510000}"/>
    <cellStyle name="Positive 2 3 12 5 14 2" xfId="20754" xr:uid="{00000000-0005-0000-0000-00001F510000}"/>
    <cellStyle name="Positive 2 3 12 5 15" xfId="20755" xr:uid="{00000000-0005-0000-0000-000020510000}"/>
    <cellStyle name="Positive 2 3 12 5 15 2" xfId="20756" xr:uid="{00000000-0005-0000-0000-000021510000}"/>
    <cellStyle name="Positive 2 3 12 5 16" xfId="20757" xr:uid="{00000000-0005-0000-0000-000022510000}"/>
    <cellStyle name="Positive 2 3 12 5 16 2" xfId="20758" xr:uid="{00000000-0005-0000-0000-000023510000}"/>
    <cellStyle name="Positive 2 3 12 5 17" xfId="20759" xr:uid="{00000000-0005-0000-0000-000024510000}"/>
    <cellStyle name="Positive 2 3 12 5 2" xfId="20760" xr:uid="{00000000-0005-0000-0000-000025510000}"/>
    <cellStyle name="Positive 2 3 12 5 2 2" xfId="20761" xr:uid="{00000000-0005-0000-0000-000026510000}"/>
    <cellStyle name="Positive 2 3 12 5 3" xfId="20762" xr:uid="{00000000-0005-0000-0000-000027510000}"/>
    <cellStyle name="Positive 2 3 12 5 3 2" xfId="20763" xr:uid="{00000000-0005-0000-0000-000028510000}"/>
    <cellStyle name="Positive 2 3 12 5 4" xfId="20764" xr:uid="{00000000-0005-0000-0000-000029510000}"/>
    <cellStyle name="Positive 2 3 12 5 4 2" xfId="20765" xr:uid="{00000000-0005-0000-0000-00002A510000}"/>
    <cellStyle name="Positive 2 3 12 5 5" xfId="20766" xr:uid="{00000000-0005-0000-0000-00002B510000}"/>
    <cellStyle name="Positive 2 3 12 5 5 2" xfId="20767" xr:uid="{00000000-0005-0000-0000-00002C510000}"/>
    <cellStyle name="Positive 2 3 12 5 6" xfId="20768" xr:uid="{00000000-0005-0000-0000-00002D510000}"/>
    <cellStyle name="Positive 2 3 12 5 6 2" xfId="20769" xr:uid="{00000000-0005-0000-0000-00002E510000}"/>
    <cellStyle name="Positive 2 3 12 5 7" xfId="20770" xr:uid="{00000000-0005-0000-0000-00002F510000}"/>
    <cellStyle name="Positive 2 3 12 5 7 2" xfId="20771" xr:uid="{00000000-0005-0000-0000-000030510000}"/>
    <cellStyle name="Positive 2 3 12 5 8" xfId="20772" xr:uid="{00000000-0005-0000-0000-000031510000}"/>
    <cellStyle name="Positive 2 3 12 5 8 2" xfId="20773" xr:uid="{00000000-0005-0000-0000-000032510000}"/>
    <cellStyle name="Positive 2 3 12 5 9" xfId="20774" xr:uid="{00000000-0005-0000-0000-000033510000}"/>
    <cellStyle name="Positive 2 3 12 5 9 2" xfId="20775" xr:uid="{00000000-0005-0000-0000-000034510000}"/>
    <cellStyle name="Positive 2 3 12 6" xfId="20776" xr:uid="{00000000-0005-0000-0000-000035510000}"/>
    <cellStyle name="Positive 2 3 12 6 2" xfId="20777" xr:uid="{00000000-0005-0000-0000-000036510000}"/>
    <cellStyle name="Positive 2 3 12 6 2 2" xfId="20778" xr:uid="{00000000-0005-0000-0000-000037510000}"/>
    <cellStyle name="Positive 2 3 12 6 3" xfId="20779" xr:uid="{00000000-0005-0000-0000-000038510000}"/>
    <cellStyle name="Positive 2 3 12 7" xfId="20780" xr:uid="{00000000-0005-0000-0000-000039510000}"/>
    <cellStyle name="Positive 2 3 12 7 2" xfId="20781" xr:uid="{00000000-0005-0000-0000-00003A510000}"/>
    <cellStyle name="Positive 2 3 12 7 2 2" xfId="20782" xr:uid="{00000000-0005-0000-0000-00003B510000}"/>
    <cellStyle name="Positive 2 3 12 7 3" xfId="20783" xr:uid="{00000000-0005-0000-0000-00003C510000}"/>
    <cellStyle name="Positive 2 3 12 8" xfId="20784" xr:uid="{00000000-0005-0000-0000-00003D510000}"/>
    <cellStyle name="Positive 2 3 12 8 2" xfId="20785" xr:uid="{00000000-0005-0000-0000-00003E510000}"/>
    <cellStyle name="Positive 2 3 12 9" xfId="20786" xr:uid="{00000000-0005-0000-0000-00003F510000}"/>
    <cellStyle name="Positive 2 3 12 9 2" xfId="20787" xr:uid="{00000000-0005-0000-0000-000040510000}"/>
    <cellStyle name="Positive 2 3 13" xfId="20788" xr:uid="{00000000-0005-0000-0000-000041510000}"/>
    <cellStyle name="Positive 2 3 13 10" xfId="20789" xr:uid="{00000000-0005-0000-0000-000042510000}"/>
    <cellStyle name="Positive 2 3 13 10 2" xfId="20790" xr:uid="{00000000-0005-0000-0000-000043510000}"/>
    <cellStyle name="Positive 2 3 13 11" xfId="20791" xr:uid="{00000000-0005-0000-0000-000044510000}"/>
    <cellStyle name="Positive 2 3 13 11 2" xfId="20792" xr:uid="{00000000-0005-0000-0000-000045510000}"/>
    <cellStyle name="Positive 2 3 13 12" xfId="20793" xr:uid="{00000000-0005-0000-0000-000046510000}"/>
    <cellStyle name="Positive 2 3 13 12 2" xfId="20794" xr:uid="{00000000-0005-0000-0000-000047510000}"/>
    <cellStyle name="Positive 2 3 13 13" xfId="20795" xr:uid="{00000000-0005-0000-0000-000048510000}"/>
    <cellStyle name="Positive 2 3 13 13 2" xfId="20796" xr:uid="{00000000-0005-0000-0000-000049510000}"/>
    <cellStyle name="Positive 2 3 13 14" xfId="20797" xr:uid="{00000000-0005-0000-0000-00004A510000}"/>
    <cellStyle name="Positive 2 3 13 14 2" xfId="20798" xr:uid="{00000000-0005-0000-0000-00004B510000}"/>
    <cellStyle name="Positive 2 3 13 15" xfId="20799" xr:uid="{00000000-0005-0000-0000-00004C510000}"/>
    <cellStyle name="Positive 2 3 13 15 2" xfId="20800" xr:uid="{00000000-0005-0000-0000-00004D510000}"/>
    <cellStyle name="Positive 2 3 13 16" xfId="20801" xr:uid="{00000000-0005-0000-0000-00004E510000}"/>
    <cellStyle name="Positive 2 3 13 16 2" xfId="20802" xr:uid="{00000000-0005-0000-0000-00004F510000}"/>
    <cellStyle name="Positive 2 3 13 17" xfId="20803" xr:uid="{00000000-0005-0000-0000-000050510000}"/>
    <cellStyle name="Positive 2 3 13 17 2" xfId="20804" xr:uid="{00000000-0005-0000-0000-000051510000}"/>
    <cellStyle name="Positive 2 3 13 18" xfId="20805" xr:uid="{00000000-0005-0000-0000-000052510000}"/>
    <cellStyle name="Positive 2 3 13 18 2" xfId="20806" xr:uid="{00000000-0005-0000-0000-000053510000}"/>
    <cellStyle name="Positive 2 3 13 19" xfId="20807" xr:uid="{00000000-0005-0000-0000-000054510000}"/>
    <cellStyle name="Positive 2 3 13 19 2" xfId="20808" xr:uid="{00000000-0005-0000-0000-000055510000}"/>
    <cellStyle name="Positive 2 3 13 2" xfId="20809" xr:uid="{00000000-0005-0000-0000-000056510000}"/>
    <cellStyle name="Positive 2 3 13 2 10" xfId="20810" xr:uid="{00000000-0005-0000-0000-000057510000}"/>
    <cellStyle name="Positive 2 3 13 2 10 2" xfId="20811" xr:uid="{00000000-0005-0000-0000-000058510000}"/>
    <cellStyle name="Positive 2 3 13 2 11" xfId="20812" xr:uid="{00000000-0005-0000-0000-000059510000}"/>
    <cellStyle name="Positive 2 3 13 2 11 2" xfId="20813" xr:uid="{00000000-0005-0000-0000-00005A510000}"/>
    <cellStyle name="Positive 2 3 13 2 12" xfId="20814" xr:uid="{00000000-0005-0000-0000-00005B510000}"/>
    <cellStyle name="Positive 2 3 13 2 12 2" xfId="20815" xr:uid="{00000000-0005-0000-0000-00005C510000}"/>
    <cellStyle name="Positive 2 3 13 2 13" xfId="20816" xr:uid="{00000000-0005-0000-0000-00005D510000}"/>
    <cellStyle name="Positive 2 3 13 2 13 2" xfId="20817" xr:uid="{00000000-0005-0000-0000-00005E510000}"/>
    <cellStyle name="Positive 2 3 13 2 14" xfId="20818" xr:uid="{00000000-0005-0000-0000-00005F510000}"/>
    <cellStyle name="Positive 2 3 13 2 14 2" xfId="20819" xr:uid="{00000000-0005-0000-0000-000060510000}"/>
    <cellStyle name="Positive 2 3 13 2 15" xfId="20820" xr:uid="{00000000-0005-0000-0000-000061510000}"/>
    <cellStyle name="Positive 2 3 13 2 15 2" xfId="20821" xr:uid="{00000000-0005-0000-0000-000062510000}"/>
    <cellStyle name="Positive 2 3 13 2 16" xfId="20822" xr:uid="{00000000-0005-0000-0000-000063510000}"/>
    <cellStyle name="Positive 2 3 13 2 16 2" xfId="20823" xr:uid="{00000000-0005-0000-0000-000064510000}"/>
    <cellStyle name="Positive 2 3 13 2 17" xfId="20824" xr:uid="{00000000-0005-0000-0000-000065510000}"/>
    <cellStyle name="Positive 2 3 13 2 17 2" xfId="20825" xr:uid="{00000000-0005-0000-0000-000066510000}"/>
    <cellStyle name="Positive 2 3 13 2 18" xfId="20826" xr:uid="{00000000-0005-0000-0000-000067510000}"/>
    <cellStyle name="Positive 2 3 13 2 18 2" xfId="20827" xr:uid="{00000000-0005-0000-0000-000068510000}"/>
    <cellStyle name="Positive 2 3 13 2 19" xfId="20828" xr:uid="{00000000-0005-0000-0000-000069510000}"/>
    <cellStyle name="Positive 2 3 13 2 19 2" xfId="20829" xr:uid="{00000000-0005-0000-0000-00006A510000}"/>
    <cellStyle name="Positive 2 3 13 2 2" xfId="20830" xr:uid="{00000000-0005-0000-0000-00006B510000}"/>
    <cellStyle name="Positive 2 3 13 2 2 10" xfId="20831" xr:uid="{00000000-0005-0000-0000-00006C510000}"/>
    <cellStyle name="Positive 2 3 13 2 2 10 2" xfId="20832" xr:uid="{00000000-0005-0000-0000-00006D510000}"/>
    <cellStyle name="Positive 2 3 13 2 2 11" xfId="20833" xr:uid="{00000000-0005-0000-0000-00006E510000}"/>
    <cellStyle name="Positive 2 3 13 2 2 11 2" xfId="20834" xr:uid="{00000000-0005-0000-0000-00006F510000}"/>
    <cellStyle name="Positive 2 3 13 2 2 12" xfId="20835" xr:uid="{00000000-0005-0000-0000-000070510000}"/>
    <cellStyle name="Positive 2 3 13 2 2 12 2" xfId="20836" xr:uid="{00000000-0005-0000-0000-000071510000}"/>
    <cellStyle name="Positive 2 3 13 2 2 13" xfId="20837" xr:uid="{00000000-0005-0000-0000-000072510000}"/>
    <cellStyle name="Positive 2 3 13 2 2 13 2" xfId="20838" xr:uid="{00000000-0005-0000-0000-000073510000}"/>
    <cellStyle name="Positive 2 3 13 2 2 14" xfId="20839" xr:uid="{00000000-0005-0000-0000-000074510000}"/>
    <cellStyle name="Positive 2 3 13 2 2 14 2" xfId="20840" xr:uid="{00000000-0005-0000-0000-000075510000}"/>
    <cellStyle name="Positive 2 3 13 2 2 15" xfId="20841" xr:uid="{00000000-0005-0000-0000-000076510000}"/>
    <cellStyle name="Positive 2 3 13 2 2 15 2" xfId="20842" xr:uid="{00000000-0005-0000-0000-000077510000}"/>
    <cellStyle name="Positive 2 3 13 2 2 16" xfId="20843" xr:uid="{00000000-0005-0000-0000-000078510000}"/>
    <cellStyle name="Positive 2 3 13 2 2 16 2" xfId="20844" xr:uid="{00000000-0005-0000-0000-000079510000}"/>
    <cellStyle name="Positive 2 3 13 2 2 17" xfId="20845" xr:uid="{00000000-0005-0000-0000-00007A510000}"/>
    <cellStyle name="Positive 2 3 13 2 2 2" xfId="20846" xr:uid="{00000000-0005-0000-0000-00007B510000}"/>
    <cellStyle name="Positive 2 3 13 2 2 2 2" xfId="20847" xr:uid="{00000000-0005-0000-0000-00007C510000}"/>
    <cellStyle name="Positive 2 3 13 2 2 3" xfId="20848" xr:uid="{00000000-0005-0000-0000-00007D510000}"/>
    <cellStyle name="Positive 2 3 13 2 2 3 2" xfId="20849" xr:uid="{00000000-0005-0000-0000-00007E510000}"/>
    <cellStyle name="Positive 2 3 13 2 2 4" xfId="20850" xr:uid="{00000000-0005-0000-0000-00007F510000}"/>
    <cellStyle name="Positive 2 3 13 2 2 4 2" xfId="20851" xr:uid="{00000000-0005-0000-0000-000080510000}"/>
    <cellStyle name="Positive 2 3 13 2 2 5" xfId="20852" xr:uid="{00000000-0005-0000-0000-000081510000}"/>
    <cellStyle name="Positive 2 3 13 2 2 5 2" xfId="20853" xr:uid="{00000000-0005-0000-0000-000082510000}"/>
    <cellStyle name="Positive 2 3 13 2 2 6" xfId="20854" xr:uid="{00000000-0005-0000-0000-000083510000}"/>
    <cellStyle name="Positive 2 3 13 2 2 6 2" xfId="20855" xr:uid="{00000000-0005-0000-0000-000084510000}"/>
    <cellStyle name="Positive 2 3 13 2 2 7" xfId="20856" xr:uid="{00000000-0005-0000-0000-000085510000}"/>
    <cellStyle name="Positive 2 3 13 2 2 7 2" xfId="20857" xr:uid="{00000000-0005-0000-0000-000086510000}"/>
    <cellStyle name="Positive 2 3 13 2 2 8" xfId="20858" xr:uid="{00000000-0005-0000-0000-000087510000}"/>
    <cellStyle name="Positive 2 3 13 2 2 8 2" xfId="20859" xr:uid="{00000000-0005-0000-0000-000088510000}"/>
    <cellStyle name="Positive 2 3 13 2 2 9" xfId="20860" xr:uid="{00000000-0005-0000-0000-000089510000}"/>
    <cellStyle name="Positive 2 3 13 2 2 9 2" xfId="20861" xr:uid="{00000000-0005-0000-0000-00008A510000}"/>
    <cellStyle name="Positive 2 3 13 2 20" xfId="20862" xr:uid="{00000000-0005-0000-0000-00008B510000}"/>
    <cellStyle name="Positive 2 3 13 2 3" xfId="20863" xr:uid="{00000000-0005-0000-0000-00008C510000}"/>
    <cellStyle name="Positive 2 3 13 2 3 2" xfId="20864" xr:uid="{00000000-0005-0000-0000-00008D510000}"/>
    <cellStyle name="Positive 2 3 13 2 3 2 2" xfId="20865" xr:uid="{00000000-0005-0000-0000-00008E510000}"/>
    <cellStyle name="Positive 2 3 13 2 3 3" xfId="20866" xr:uid="{00000000-0005-0000-0000-00008F510000}"/>
    <cellStyle name="Positive 2 3 13 2 4" xfId="20867" xr:uid="{00000000-0005-0000-0000-000090510000}"/>
    <cellStyle name="Positive 2 3 13 2 4 2" xfId="20868" xr:uid="{00000000-0005-0000-0000-000091510000}"/>
    <cellStyle name="Positive 2 3 13 2 4 2 2" xfId="20869" xr:uid="{00000000-0005-0000-0000-000092510000}"/>
    <cellStyle name="Positive 2 3 13 2 4 3" xfId="20870" xr:uid="{00000000-0005-0000-0000-000093510000}"/>
    <cellStyle name="Positive 2 3 13 2 5" xfId="20871" xr:uid="{00000000-0005-0000-0000-000094510000}"/>
    <cellStyle name="Positive 2 3 13 2 5 2" xfId="20872" xr:uid="{00000000-0005-0000-0000-000095510000}"/>
    <cellStyle name="Positive 2 3 13 2 6" xfId="20873" xr:uid="{00000000-0005-0000-0000-000096510000}"/>
    <cellStyle name="Positive 2 3 13 2 6 2" xfId="20874" xr:uid="{00000000-0005-0000-0000-000097510000}"/>
    <cellStyle name="Positive 2 3 13 2 7" xfId="20875" xr:uid="{00000000-0005-0000-0000-000098510000}"/>
    <cellStyle name="Positive 2 3 13 2 7 2" xfId="20876" xr:uid="{00000000-0005-0000-0000-000099510000}"/>
    <cellStyle name="Positive 2 3 13 2 8" xfId="20877" xr:uid="{00000000-0005-0000-0000-00009A510000}"/>
    <cellStyle name="Positive 2 3 13 2 8 2" xfId="20878" xr:uid="{00000000-0005-0000-0000-00009B510000}"/>
    <cellStyle name="Positive 2 3 13 2 9" xfId="20879" xr:uid="{00000000-0005-0000-0000-00009C510000}"/>
    <cellStyle name="Positive 2 3 13 2 9 2" xfId="20880" xr:uid="{00000000-0005-0000-0000-00009D510000}"/>
    <cellStyle name="Positive 2 3 13 20" xfId="20881" xr:uid="{00000000-0005-0000-0000-00009E510000}"/>
    <cellStyle name="Positive 2 3 13 20 2" xfId="20882" xr:uid="{00000000-0005-0000-0000-00009F510000}"/>
    <cellStyle name="Positive 2 3 13 21" xfId="20883" xr:uid="{00000000-0005-0000-0000-0000A0510000}"/>
    <cellStyle name="Positive 2 3 13 21 2" xfId="20884" xr:uid="{00000000-0005-0000-0000-0000A1510000}"/>
    <cellStyle name="Positive 2 3 13 22" xfId="20885" xr:uid="{00000000-0005-0000-0000-0000A2510000}"/>
    <cellStyle name="Positive 2 3 13 22 2" xfId="20886" xr:uid="{00000000-0005-0000-0000-0000A3510000}"/>
    <cellStyle name="Positive 2 3 13 23" xfId="20887" xr:uid="{00000000-0005-0000-0000-0000A4510000}"/>
    <cellStyle name="Positive 2 3 13 3" xfId="20888" xr:uid="{00000000-0005-0000-0000-0000A5510000}"/>
    <cellStyle name="Positive 2 3 13 3 10" xfId="20889" xr:uid="{00000000-0005-0000-0000-0000A6510000}"/>
    <cellStyle name="Positive 2 3 13 3 10 2" xfId="20890" xr:uid="{00000000-0005-0000-0000-0000A7510000}"/>
    <cellStyle name="Positive 2 3 13 3 11" xfId="20891" xr:uid="{00000000-0005-0000-0000-0000A8510000}"/>
    <cellStyle name="Positive 2 3 13 3 11 2" xfId="20892" xr:uid="{00000000-0005-0000-0000-0000A9510000}"/>
    <cellStyle name="Positive 2 3 13 3 12" xfId="20893" xr:uid="{00000000-0005-0000-0000-0000AA510000}"/>
    <cellStyle name="Positive 2 3 13 3 12 2" xfId="20894" xr:uid="{00000000-0005-0000-0000-0000AB510000}"/>
    <cellStyle name="Positive 2 3 13 3 13" xfId="20895" xr:uid="{00000000-0005-0000-0000-0000AC510000}"/>
    <cellStyle name="Positive 2 3 13 3 13 2" xfId="20896" xr:uid="{00000000-0005-0000-0000-0000AD510000}"/>
    <cellStyle name="Positive 2 3 13 3 14" xfId="20897" xr:uid="{00000000-0005-0000-0000-0000AE510000}"/>
    <cellStyle name="Positive 2 3 13 3 14 2" xfId="20898" xr:uid="{00000000-0005-0000-0000-0000AF510000}"/>
    <cellStyle name="Positive 2 3 13 3 15" xfId="20899" xr:uid="{00000000-0005-0000-0000-0000B0510000}"/>
    <cellStyle name="Positive 2 3 13 3 15 2" xfId="20900" xr:uid="{00000000-0005-0000-0000-0000B1510000}"/>
    <cellStyle name="Positive 2 3 13 3 16" xfId="20901" xr:uid="{00000000-0005-0000-0000-0000B2510000}"/>
    <cellStyle name="Positive 2 3 13 3 16 2" xfId="20902" xr:uid="{00000000-0005-0000-0000-0000B3510000}"/>
    <cellStyle name="Positive 2 3 13 3 17" xfId="20903" xr:uid="{00000000-0005-0000-0000-0000B4510000}"/>
    <cellStyle name="Positive 2 3 13 3 17 2" xfId="20904" xr:uid="{00000000-0005-0000-0000-0000B5510000}"/>
    <cellStyle name="Positive 2 3 13 3 18" xfId="20905" xr:uid="{00000000-0005-0000-0000-0000B6510000}"/>
    <cellStyle name="Positive 2 3 13 3 18 2" xfId="20906" xr:uid="{00000000-0005-0000-0000-0000B7510000}"/>
    <cellStyle name="Positive 2 3 13 3 19" xfId="20907" xr:uid="{00000000-0005-0000-0000-0000B8510000}"/>
    <cellStyle name="Positive 2 3 13 3 19 2" xfId="20908" xr:uid="{00000000-0005-0000-0000-0000B9510000}"/>
    <cellStyle name="Positive 2 3 13 3 2" xfId="20909" xr:uid="{00000000-0005-0000-0000-0000BA510000}"/>
    <cellStyle name="Positive 2 3 13 3 2 10" xfId="20910" xr:uid="{00000000-0005-0000-0000-0000BB510000}"/>
    <cellStyle name="Positive 2 3 13 3 2 10 2" xfId="20911" xr:uid="{00000000-0005-0000-0000-0000BC510000}"/>
    <cellStyle name="Positive 2 3 13 3 2 11" xfId="20912" xr:uid="{00000000-0005-0000-0000-0000BD510000}"/>
    <cellStyle name="Positive 2 3 13 3 2 11 2" xfId="20913" xr:uid="{00000000-0005-0000-0000-0000BE510000}"/>
    <cellStyle name="Positive 2 3 13 3 2 12" xfId="20914" xr:uid="{00000000-0005-0000-0000-0000BF510000}"/>
    <cellStyle name="Positive 2 3 13 3 2 12 2" xfId="20915" xr:uid="{00000000-0005-0000-0000-0000C0510000}"/>
    <cellStyle name="Positive 2 3 13 3 2 13" xfId="20916" xr:uid="{00000000-0005-0000-0000-0000C1510000}"/>
    <cellStyle name="Positive 2 3 13 3 2 13 2" xfId="20917" xr:uid="{00000000-0005-0000-0000-0000C2510000}"/>
    <cellStyle name="Positive 2 3 13 3 2 14" xfId="20918" xr:uid="{00000000-0005-0000-0000-0000C3510000}"/>
    <cellStyle name="Positive 2 3 13 3 2 14 2" xfId="20919" xr:uid="{00000000-0005-0000-0000-0000C4510000}"/>
    <cellStyle name="Positive 2 3 13 3 2 15" xfId="20920" xr:uid="{00000000-0005-0000-0000-0000C5510000}"/>
    <cellStyle name="Positive 2 3 13 3 2 15 2" xfId="20921" xr:uid="{00000000-0005-0000-0000-0000C6510000}"/>
    <cellStyle name="Positive 2 3 13 3 2 16" xfId="20922" xr:uid="{00000000-0005-0000-0000-0000C7510000}"/>
    <cellStyle name="Positive 2 3 13 3 2 16 2" xfId="20923" xr:uid="{00000000-0005-0000-0000-0000C8510000}"/>
    <cellStyle name="Positive 2 3 13 3 2 17" xfId="20924" xr:uid="{00000000-0005-0000-0000-0000C9510000}"/>
    <cellStyle name="Positive 2 3 13 3 2 2" xfId="20925" xr:uid="{00000000-0005-0000-0000-0000CA510000}"/>
    <cellStyle name="Positive 2 3 13 3 2 2 2" xfId="20926" xr:uid="{00000000-0005-0000-0000-0000CB510000}"/>
    <cellStyle name="Positive 2 3 13 3 2 3" xfId="20927" xr:uid="{00000000-0005-0000-0000-0000CC510000}"/>
    <cellStyle name="Positive 2 3 13 3 2 3 2" xfId="20928" xr:uid="{00000000-0005-0000-0000-0000CD510000}"/>
    <cellStyle name="Positive 2 3 13 3 2 4" xfId="20929" xr:uid="{00000000-0005-0000-0000-0000CE510000}"/>
    <cellStyle name="Positive 2 3 13 3 2 4 2" xfId="20930" xr:uid="{00000000-0005-0000-0000-0000CF510000}"/>
    <cellStyle name="Positive 2 3 13 3 2 5" xfId="20931" xr:uid="{00000000-0005-0000-0000-0000D0510000}"/>
    <cellStyle name="Positive 2 3 13 3 2 5 2" xfId="20932" xr:uid="{00000000-0005-0000-0000-0000D1510000}"/>
    <cellStyle name="Positive 2 3 13 3 2 6" xfId="20933" xr:uid="{00000000-0005-0000-0000-0000D2510000}"/>
    <cellStyle name="Positive 2 3 13 3 2 6 2" xfId="20934" xr:uid="{00000000-0005-0000-0000-0000D3510000}"/>
    <cellStyle name="Positive 2 3 13 3 2 7" xfId="20935" xr:uid="{00000000-0005-0000-0000-0000D4510000}"/>
    <cellStyle name="Positive 2 3 13 3 2 7 2" xfId="20936" xr:uid="{00000000-0005-0000-0000-0000D5510000}"/>
    <cellStyle name="Positive 2 3 13 3 2 8" xfId="20937" xr:uid="{00000000-0005-0000-0000-0000D6510000}"/>
    <cellStyle name="Positive 2 3 13 3 2 8 2" xfId="20938" xr:uid="{00000000-0005-0000-0000-0000D7510000}"/>
    <cellStyle name="Positive 2 3 13 3 2 9" xfId="20939" xr:uid="{00000000-0005-0000-0000-0000D8510000}"/>
    <cellStyle name="Positive 2 3 13 3 2 9 2" xfId="20940" xr:uid="{00000000-0005-0000-0000-0000D9510000}"/>
    <cellStyle name="Positive 2 3 13 3 20" xfId="20941" xr:uid="{00000000-0005-0000-0000-0000DA510000}"/>
    <cellStyle name="Positive 2 3 13 3 3" xfId="20942" xr:uid="{00000000-0005-0000-0000-0000DB510000}"/>
    <cellStyle name="Positive 2 3 13 3 3 2" xfId="20943" xr:uid="{00000000-0005-0000-0000-0000DC510000}"/>
    <cellStyle name="Positive 2 3 13 3 3 2 2" xfId="20944" xr:uid="{00000000-0005-0000-0000-0000DD510000}"/>
    <cellStyle name="Positive 2 3 13 3 3 3" xfId="20945" xr:uid="{00000000-0005-0000-0000-0000DE510000}"/>
    <cellStyle name="Positive 2 3 13 3 4" xfId="20946" xr:uid="{00000000-0005-0000-0000-0000DF510000}"/>
    <cellStyle name="Positive 2 3 13 3 4 2" xfId="20947" xr:uid="{00000000-0005-0000-0000-0000E0510000}"/>
    <cellStyle name="Positive 2 3 13 3 4 2 2" xfId="20948" xr:uid="{00000000-0005-0000-0000-0000E1510000}"/>
    <cellStyle name="Positive 2 3 13 3 4 3" xfId="20949" xr:uid="{00000000-0005-0000-0000-0000E2510000}"/>
    <cellStyle name="Positive 2 3 13 3 5" xfId="20950" xr:uid="{00000000-0005-0000-0000-0000E3510000}"/>
    <cellStyle name="Positive 2 3 13 3 5 2" xfId="20951" xr:uid="{00000000-0005-0000-0000-0000E4510000}"/>
    <cellStyle name="Positive 2 3 13 3 6" xfId="20952" xr:uid="{00000000-0005-0000-0000-0000E5510000}"/>
    <cellStyle name="Positive 2 3 13 3 6 2" xfId="20953" xr:uid="{00000000-0005-0000-0000-0000E6510000}"/>
    <cellStyle name="Positive 2 3 13 3 7" xfId="20954" xr:uid="{00000000-0005-0000-0000-0000E7510000}"/>
    <cellStyle name="Positive 2 3 13 3 7 2" xfId="20955" xr:uid="{00000000-0005-0000-0000-0000E8510000}"/>
    <cellStyle name="Positive 2 3 13 3 8" xfId="20956" xr:uid="{00000000-0005-0000-0000-0000E9510000}"/>
    <cellStyle name="Positive 2 3 13 3 8 2" xfId="20957" xr:uid="{00000000-0005-0000-0000-0000EA510000}"/>
    <cellStyle name="Positive 2 3 13 3 9" xfId="20958" xr:uid="{00000000-0005-0000-0000-0000EB510000}"/>
    <cellStyle name="Positive 2 3 13 3 9 2" xfId="20959" xr:uid="{00000000-0005-0000-0000-0000EC510000}"/>
    <cellStyle name="Positive 2 3 13 4" xfId="20960" xr:uid="{00000000-0005-0000-0000-0000ED510000}"/>
    <cellStyle name="Positive 2 3 13 4 10" xfId="20961" xr:uid="{00000000-0005-0000-0000-0000EE510000}"/>
    <cellStyle name="Positive 2 3 13 4 10 2" xfId="20962" xr:uid="{00000000-0005-0000-0000-0000EF510000}"/>
    <cellStyle name="Positive 2 3 13 4 11" xfId="20963" xr:uid="{00000000-0005-0000-0000-0000F0510000}"/>
    <cellStyle name="Positive 2 3 13 4 11 2" xfId="20964" xr:uid="{00000000-0005-0000-0000-0000F1510000}"/>
    <cellStyle name="Positive 2 3 13 4 12" xfId="20965" xr:uid="{00000000-0005-0000-0000-0000F2510000}"/>
    <cellStyle name="Positive 2 3 13 4 12 2" xfId="20966" xr:uid="{00000000-0005-0000-0000-0000F3510000}"/>
    <cellStyle name="Positive 2 3 13 4 13" xfId="20967" xr:uid="{00000000-0005-0000-0000-0000F4510000}"/>
    <cellStyle name="Positive 2 3 13 4 13 2" xfId="20968" xr:uid="{00000000-0005-0000-0000-0000F5510000}"/>
    <cellStyle name="Positive 2 3 13 4 14" xfId="20969" xr:uid="{00000000-0005-0000-0000-0000F6510000}"/>
    <cellStyle name="Positive 2 3 13 4 14 2" xfId="20970" xr:uid="{00000000-0005-0000-0000-0000F7510000}"/>
    <cellStyle name="Positive 2 3 13 4 15" xfId="20971" xr:uid="{00000000-0005-0000-0000-0000F8510000}"/>
    <cellStyle name="Positive 2 3 13 4 15 2" xfId="20972" xr:uid="{00000000-0005-0000-0000-0000F9510000}"/>
    <cellStyle name="Positive 2 3 13 4 16" xfId="20973" xr:uid="{00000000-0005-0000-0000-0000FA510000}"/>
    <cellStyle name="Positive 2 3 13 4 16 2" xfId="20974" xr:uid="{00000000-0005-0000-0000-0000FB510000}"/>
    <cellStyle name="Positive 2 3 13 4 17" xfId="20975" xr:uid="{00000000-0005-0000-0000-0000FC510000}"/>
    <cellStyle name="Positive 2 3 13 4 17 2" xfId="20976" xr:uid="{00000000-0005-0000-0000-0000FD510000}"/>
    <cellStyle name="Positive 2 3 13 4 18" xfId="20977" xr:uid="{00000000-0005-0000-0000-0000FE510000}"/>
    <cellStyle name="Positive 2 3 13 4 18 2" xfId="20978" xr:uid="{00000000-0005-0000-0000-0000FF510000}"/>
    <cellStyle name="Positive 2 3 13 4 19" xfId="20979" xr:uid="{00000000-0005-0000-0000-000000520000}"/>
    <cellStyle name="Positive 2 3 13 4 19 2" xfId="20980" xr:uid="{00000000-0005-0000-0000-000001520000}"/>
    <cellStyle name="Positive 2 3 13 4 2" xfId="20981" xr:uid="{00000000-0005-0000-0000-000002520000}"/>
    <cellStyle name="Positive 2 3 13 4 2 10" xfId="20982" xr:uid="{00000000-0005-0000-0000-000003520000}"/>
    <cellStyle name="Positive 2 3 13 4 2 10 2" xfId="20983" xr:uid="{00000000-0005-0000-0000-000004520000}"/>
    <cellStyle name="Positive 2 3 13 4 2 11" xfId="20984" xr:uid="{00000000-0005-0000-0000-000005520000}"/>
    <cellStyle name="Positive 2 3 13 4 2 11 2" xfId="20985" xr:uid="{00000000-0005-0000-0000-000006520000}"/>
    <cellStyle name="Positive 2 3 13 4 2 12" xfId="20986" xr:uid="{00000000-0005-0000-0000-000007520000}"/>
    <cellStyle name="Positive 2 3 13 4 2 12 2" xfId="20987" xr:uid="{00000000-0005-0000-0000-000008520000}"/>
    <cellStyle name="Positive 2 3 13 4 2 13" xfId="20988" xr:uid="{00000000-0005-0000-0000-000009520000}"/>
    <cellStyle name="Positive 2 3 13 4 2 13 2" xfId="20989" xr:uid="{00000000-0005-0000-0000-00000A520000}"/>
    <cellStyle name="Positive 2 3 13 4 2 14" xfId="20990" xr:uid="{00000000-0005-0000-0000-00000B520000}"/>
    <cellStyle name="Positive 2 3 13 4 2 14 2" xfId="20991" xr:uid="{00000000-0005-0000-0000-00000C520000}"/>
    <cellStyle name="Positive 2 3 13 4 2 15" xfId="20992" xr:uid="{00000000-0005-0000-0000-00000D520000}"/>
    <cellStyle name="Positive 2 3 13 4 2 15 2" xfId="20993" xr:uid="{00000000-0005-0000-0000-00000E520000}"/>
    <cellStyle name="Positive 2 3 13 4 2 16" xfId="20994" xr:uid="{00000000-0005-0000-0000-00000F520000}"/>
    <cellStyle name="Positive 2 3 13 4 2 16 2" xfId="20995" xr:uid="{00000000-0005-0000-0000-000010520000}"/>
    <cellStyle name="Positive 2 3 13 4 2 17" xfId="20996" xr:uid="{00000000-0005-0000-0000-000011520000}"/>
    <cellStyle name="Positive 2 3 13 4 2 2" xfId="20997" xr:uid="{00000000-0005-0000-0000-000012520000}"/>
    <cellStyle name="Positive 2 3 13 4 2 2 2" xfId="20998" xr:uid="{00000000-0005-0000-0000-000013520000}"/>
    <cellStyle name="Positive 2 3 13 4 2 3" xfId="20999" xr:uid="{00000000-0005-0000-0000-000014520000}"/>
    <cellStyle name="Positive 2 3 13 4 2 3 2" xfId="21000" xr:uid="{00000000-0005-0000-0000-000015520000}"/>
    <cellStyle name="Positive 2 3 13 4 2 4" xfId="21001" xr:uid="{00000000-0005-0000-0000-000016520000}"/>
    <cellStyle name="Positive 2 3 13 4 2 4 2" xfId="21002" xr:uid="{00000000-0005-0000-0000-000017520000}"/>
    <cellStyle name="Positive 2 3 13 4 2 5" xfId="21003" xr:uid="{00000000-0005-0000-0000-000018520000}"/>
    <cellStyle name="Positive 2 3 13 4 2 5 2" xfId="21004" xr:uid="{00000000-0005-0000-0000-000019520000}"/>
    <cellStyle name="Positive 2 3 13 4 2 6" xfId="21005" xr:uid="{00000000-0005-0000-0000-00001A520000}"/>
    <cellStyle name="Positive 2 3 13 4 2 6 2" xfId="21006" xr:uid="{00000000-0005-0000-0000-00001B520000}"/>
    <cellStyle name="Positive 2 3 13 4 2 7" xfId="21007" xr:uid="{00000000-0005-0000-0000-00001C520000}"/>
    <cellStyle name="Positive 2 3 13 4 2 7 2" xfId="21008" xr:uid="{00000000-0005-0000-0000-00001D520000}"/>
    <cellStyle name="Positive 2 3 13 4 2 8" xfId="21009" xr:uid="{00000000-0005-0000-0000-00001E520000}"/>
    <cellStyle name="Positive 2 3 13 4 2 8 2" xfId="21010" xr:uid="{00000000-0005-0000-0000-00001F520000}"/>
    <cellStyle name="Positive 2 3 13 4 2 9" xfId="21011" xr:uid="{00000000-0005-0000-0000-000020520000}"/>
    <cellStyle name="Positive 2 3 13 4 2 9 2" xfId="21012" xr:uid="{00000000-0005-0000-0000-000021520000}"/>
    <cellStyle name="Positive 2 3 13 4 20" xfId="21013" xr:uid="{00000000-0005-0000-0000-000022520000}"/>
    <cellStyle name="Positive 2 3 13 4 3" xfId="21014" xr:uid="{00000000-0005-0000-0000-000023520000}"/>
    <cellStyle name="Positive 2 3 13 4 3 2" xfId="21015" xr:uid="{00000000-0005-0000-0000-000024520000}"/>
    <cellStyle name="Positive 2 3 13 4 3 2 2" xfId="21016" xr:uid="{00000000-0005-0000-0000-000025520000}"/>
    <cellStyle name="Positive 2 3 13 4 3 3" xfId="21017" xr:uid="{00000000-0005-0000-0000-000026520000}"/>
    <cellStyle name="Positive 2 3 13 4 4" xfId="21018" xr:uid="{00000000-0005-0000-0000-000027520000}"/>
    <cellStyle name="Positive 2 3 13 4 4 2" xfId="21019" xr:uid="{00000000-0005-0000-0000-000028520000}"/>
    <cellStyle name="Positive 2 3 13 4 4 2 2" xfId="21020" xr:uid="{00000000-0005-0000-0000-000029520000}"/>
    <cellStyle name="Positive 2 3 13 4 4 3" xfId="21021" xr:uid="{00000000-0005-0000-0000-00002A520000}"/>
    <cellStyle name="Positive 2 3 13 4 5" xfId="21022" xr:uid="{00000000-0005-0000-0000-00002B520000}"/>
    <cellStyle name="Positive 2 3 13 4 5 2" xfId="21023" xr:uid="{00000000-0005-0000-0000-00002C520000}"/>
    <cellStyle name="Positive 2 3 13 4 6" xfId="21024" xr:uid="{00000000-0005-0000-0000-00002D520000}"/>
    <cellStyle name="Positive 2 3 13 4 6 2" xfId="21025" xr:uid="{00000000-0005-0000-0000-00002E520000}"/>
    <cellStyle name="Positive 2 3 13 4 7" xfId="21026" xr:uid="{00000000-0005-0000-0000-00002F520000}"/>
    <cellStyle name="Positive 2 3 13 4 7 2" xfId="21027" xr:uid="{00000000-0005-0000-0000-000030520000}"/>
    <cellStyle name="Positive 2 3 13 4 8" xfId="21028" xr:uid="{00000000-0005-0000-0000-000031520000}"/>
    <cellStyle name="Positive 2 3 13 4 8 2" xfId="21029" xr:uid="{00000000-0005-0000-0000-000032520000}"/>
    <cellStyle name="Positive 2 3 13 4 9" xfId="21030" xr:uid="{00000000-0005-0000-0000-000033520000}"/>
    <cellStyle name="Positive 2 3 13 4 9 2" xfId="21031" xr:uid="{00000000-0005-0000-0000-000034520000}"/>
    <cellStyle name="Positive 2 3 13 5" xfId="21032" xr:uid="{00000000-0005-0000-0000-000035520000}"/>
    <cellStyle name="Positive 2 3 13 5 10" xfId="21033" xr:uid="{00000000-0005-0000-0000-000036520000}"/>
    <cellStyle name="Positive 2 3 13 5 10 2" xfId="21034" xr:uid="{00000000-0005-0000-0000-000037520000}"/>
    <cellStyle name="Positive 2 3 13 5 11" xfId="21035" xr:uid="{00000000-0005-0000-0000-000038520000}"/>
    <cellStyle name="Positive 2 3 13 5 11 2" xfId="21036" xr:uid="{00000000-0005-0000-0000-000039520000}"/>
    <cellStyle name="Positive 2 3 13 5 12" xfId="21037" xr:uid="{00000000-0005-0000-0000-00003A520000}"/>
    <cellStyle name="Positive 2 3 13 5 12 2" xfId="21038" xr:uid="{00000000-0005-0000-0000-00003B520000}"/>
    <cellStyle name="Positive 2 3 13 5 13" xfId="21039" xr:uid="{00000000-0005-0000-0000-00003C520000}"/>
    <cellStyle name="Positive 2 3 13 5 13 2" xfId="21040" xr:uid="{00000000-0005-0000-0000-00003D520000}"/>
    <cellStyle name="Positive 2 3 13 5 14" xfId="21041" xr:uid="{00000000-0005-0000-0000-00003E520000}"/>
    <cellStyle name="Positive 2 3 13 5 14 2" xfId="21042" xr:uid="{00000000-0005-0000-0000-00003F520000}"/>
    <cellStyle name="Positive 2 3 13 5 15" xfId="21043" xr:uid="{00000000-0005-0000-0000-000040520000}"/>
    <cellStyle name="Positive 2 3 13 5 15 2" xfId="21044" xr:uid="{00000000-0005-0000-0000-000041520000}"/>
    <cellStyle name="Positive 2 3 13 5 16" xfId="21045" xr:uid="{00000000-0005-0000-0000-000042520000}"/>
    <cellStyle name="Positive 2 3 13 5 16 2" xfId="21046" xr:uid="{00000000-0005-0000-0000-000043520000}"/>
    <cellStyle name="Positive 2 3 13 5 17" xfId="21047" xr:uid="{00000000-0005-0000-0000-000044520000}"/>
    <cellStyle name="Positive 2 3 13 5 2" xfId="21048" xr:uid="{00000000-0005-0000-0000-000045520000}"/>
    <cellStyle name="Positive 2 3 13 5 2 2" xfId="21049" xr:uid="{00000000-0005-0000-0000-000046520000}"/>
    <cellStyle name="Positive 2 3 13 5 3" xfId="21050" xr:uid="{00000000-0005-0000-0000-000047520000}"/>
    <cellStyle name="Positive 2 3 13 5 3 2" xfId="21051" xr:uid="{00000000-0005-0000-0000-000048520000}"/>
    <cellStyle name="Positive 2 3 13 5 4" xfId="21052" xr:uid="{00000000-0005-0000-0000-000049520000}"/>
    <cellStyle name="Positive 2 3 13 5 4 2" xfId="21053" xr:uid="{00000000-0005-0000-0000-00004A520000}"/>
    <cellStyle name="Positive 2 3 13 5 5" xfId="21054" xr:uid="{00000000-0005-0000-0000-00004B520000}"/>
    <cellStyle name="Positive 2 3 13 5 5 2" xfId="21055" xr:uid="{00000000-0005-0000-0000-00004C520000}"/>
    <cellStyle name="Positive 2 3 13 5 6" xfId="21056" xr:uid="{00000000-0005-0000-0000-00004D520000}"/>
    <cellStyle name="Positive 2 3 13 5 6 2" xfId="21057" xr:uid="{00000000-0005-0000-0000-00004E520000}"/>
    <cellStyle name="Positive 2 3 13 5 7" xfId="21058" xr:uid="{00000000-0005-0000-0000-00004F520000}"/>
    <cellStyle name="Positive 2 3 13 5 7 2" xfId="21059" xr:uid="{00000000-0005-0000-0000-000050520000}"/>
    <cellStyle name="Positive 2 3 13 5 8" xfId="21060" xr:uid="{00000000-0005-0000-0000-000051520000}"/>
    <cellStyle name="Positive 2 3 13 5 8 2" xfId="21061" xr:uid="{00000000-0005-0000-0000-000052520000}"/>
    <cellStyle name="Positive 2 3 13 5 9" xfId="21062" xr:uid="{00000000-0005-0000-0000-000053520000}"/>
    <cellStyle name="Positive 2 3 13 5 9 2" xfId="21063" xr:uid="{00000000-0005-0000-0000-000054520000}"/>
    <cellStyle name="Positive 2 3 13 6" xfId="21064" xr:uid="{00000000-0005-0000-0000-000055520000}"/>
    <cellStyle name="Positive 2 3 13 6 2" xfId="21065" xr:uid="{00000000-0005-0000-0000-000056520000}"/>
    <cellStyle name="Positive 2 3 13 6 2 2" xfId="21066" xr:uid="{00000000-0005-0000-0000-000057520000}"/>
    <cellStyle name="Positive 2 3 13 6 3" xfId="21067" xr:uid="{00000000-0005-0000-0000-000058520000}"/>
    <cellStyle name="Positive 2 3 13 7" xfId="21068" xr:uid="{00000000-0005-0000-0000-000059520000}"/>
    <cellStyle name="Positive 2 3 13 7 2" xfId="21069" xr:uid="{00000000-0005-0000-0000-00005A520000}"/>
    <cellStyle name="Positive 2 3 13 7 2 2" xfId="21070" xr:uid="{00000000-0005-0000-0000-00005B520000}"/>
    <cellStyle name="Positive 2 3 13 7 3" xfId="21071" xr:uid="{00000000-0005-0000-0000-00005C520000}"/>
    <cellStyle name="Positive 2 3 13 8" xfId="21072" xr:uid="{00000000-0005-0000-0000-00005D520000}"/>
    <cellStyle name="Positive 2 3 13 8 2" xfId="21073" xr:uid="{00000000-0005-0000-0000-00005E520000}"/>
    <cellStyle name="Positive 2 3 13 9" xfId="21074" xr:uid="{00000000-0005-0000-0000-00005F520000}"/>
    <cellStyle name="Positive 2 3 13 9 2" xfId="21075" xr:uid="{00000000-0005-0000-0000-000060520000}"/>
    <cellStyle name="Positive 2 3 14" xfId="21076" xr:uid="{00000000-0005-0000-0000-000061520000}"/>
    <cellStyle name="Positive 2 3 14 10" xfId="21077" xr:uid="{00000000-0005-0000-0000-000062520000}"/>
    <cellStyle name="Positive 2 3 14 10 2" xfId="21078" xr:uid="{00000000-0005-0000-0000-000063520000}"/>
    <cellStyle name="Positive 2 3 14 11" xfId="21079" xr:uid="{00000000-0005-0000-0000-000064520000}"/>
    <cellStyle name="Positive 2 3 14 11 2" xfId="21080" xr:uid="{00000000-0005-0000-0000-000065520000}"/>
    <cellStyle name="Positive 2 3 14 12" xfId="21081" xr:uid="{00000000-0005-0000-0000-000066520000}"/>
    <cellStyle name="Positive 2 3 14 12 2" xfId="21082" xr:uid="{00000000-0005-0000-0000-000067520000}"/>
    <cellStyle name="Positive 2 3 14 13" xfId="21083" xr:uid="{00000000-0005-0000-0000-000068520000}"/>
    <cellStyle name="Positive 2 3 14 13 2" xfId="21084" xr:uid="{00000000-0005-0000-0000-000069520000}"/>
    <cellStyle name="Positive 2 3 14 14" xfId="21085" xr:uid="{00000000-0005-0000-0000-00006A520000}"/>
    <cellStyle name="Positive 2 3 14 14 2" xfId="21086" xr:uid="{00000000-0005-0000-0000-00006B520000}"/>
    <cellStyle name="Positive 2 3 14 15" xfId="21087" xr:uid="{00000000-0005-0000-0000-00006C520000}"/>
    <cellStyle name="Positive 2 3 14 15 2" xfId="21088" xr:uid="{00000000-0005-0000-0000-00006D520000}"/>
    <cellStyle name="Positive 2 3 14 16" xfId="21089" xr:uid="{00000000-0005-0000-0000-00006E520000}"/>
    <cellStyle name="Positive 2 3 14 16 2" xfId="21090" xr:uid="{00000000-0005-0000-0000-00006F520000}"/>
    <cellStyle name="Positive 2 3 14 17" xfId="21091" xr:uid="{00000000-0005-0000-0000-000070520000}"/>
    <cellStyle name="Positive 2 3 14 17 2" xfId="21092" xr:uid="{00000000-0005-0000-0000-000071520000}"/>
    <cellStyle name="Positive 2 3 14 18" xfId="21093" xr:uid="{00000000-0005-0000-0000-000072520000}"/>
    <cellStyle name="Positive 2 3 14 18 2" xfId="21094" xr:uid="{00000000-0005-0000-0000-000073520000}"/>
    <cellStyle name="Positive 2 3 14 19" xfId="21095" xr:uid="{00000000-0005-0000-0000-000074520000}"/>
    <cellStyle name="Positive 2 3 14 19 2" xfId="21096" xr:uid="{00000000-0005-0000-0000-000075520000}"/>
    <cellStyle name="Positive 2 3 14 2" xfId="21097" xr:uid="{00000000-0005-0000-0000-000076520000}"/>
    <cellStyle name="Positive 2 3 14 2 10" xfId="21098" xr:uid="{00000000-0005-0000-0000-000077520000}"/>
    <cellStyle name="Positive 2 3 14 2 10 2" xfId="21099" xr:uid="{00000000-0005-0000-0000-000078520000}"/>
    <cellStyle name="Positive 2 3 14 2 11" xfId="21100" xr:uid="{00000000-0005-0000-0000-000079520000}"/>
    <cellStyle name="Positive 2 3 14 2 11 2" xfId="21101" xr:uid="{00000000-0005-0000-0000-00007A520000}"/>
    <cellStyle name="Positive 2 3 14 2 12" xfId="21102" xr:uid="{00000000-0005-0000-0000-00007B520000}"/>
    <cellStyle name="Positive 2 3 14 2 12 2" xfId="21103" xr:uid="{00000000-0005-0000-0000-00007C520000}"/>
    <cellStyle name="Positive 2 3 14 2 13" xfId="21104" xr:uid="{00000000-0005-0000-0000-00007D520000}"/>
    <cellStyle name="Positive 2 3 14 2 13 2" xfId="21105" xr:uid="{00000000-0005-0000-0000-00007E520000}"/>
    <cellStyle name="Positive 2 3 14 2 14" xfId="21106" xr:uid="{00000000-0005-0000-0000-00007F520000}"/>
    <cellStyle name="Positive 2 3 14 2 14 2" xfId="21107" xr:uid="{00000000-0005-0000-0000-000080520000}"/>
    <cellStyle name="Positive 2 3 14 2 15" xfId="21108" xr:uid="{00000000-0005-0000-0000-000081520000}"/>
    <cellStyle name="Positive 2 3 14 2 15 2" xfId="21109" xr:uid="{00000000-0005-0000-0000-000082520000}"/>
    <cellStyle name="Positive 2 3 14 2 16" xfId="21110" xr:uid="{00000000-0005-0000-0000-000083520000}"/>
    <cellStyle name="Positive 2 3 14 2 16 2" xfId="21111" xr:uid="{00000000-0005-0000-0000-000084520000}"/>
    <cellStyle name="Positive 2 3 14 2 17" xfId="21112" xr:uid="{00000000-0005-0000-0000-000085520000}"/>
    <cellStyle name="Positive 2 3 14 2 17 2" xfId="21113" xr:uid="{00000000-0005-0000-0000-000086520000}"/>
    <cellStyle name="Positive 2 3 14 2 18" xfId="21114" xr:uid="{00000000-0005-0000-0000-000087520000}"/>
    <cellStyle name="Positive 2 3 14 2 18 2" xfId="21115" xr:uid="{00000000-0005-0000-0000-000088520000}"/>
    <cellStyle name="Positive 2 3 14 2 19" xfId="21116" xr:uid="{00000000-0005-0000-0000-000089520000}"/>
    <cellStyle name="Positive 2 3 14 2 19 2" xfId="21117" xr:uid="{00000000-0005-0000-0000-00008A520000}"/>
    <cellStyle name="Positive 2 3 14 2 2" xfId="21118" xr:uid="{00000000-0005-0000-0000-00008B520000}"/>
    <cellStyle name="Positive 2 3 14 2 2 10" xfId="21119" xr:uid="{00000000-0005-0000-0000-00008C520000}"/>
    <cellStyle name="Positive 2 3 14 2 2 10 2" xfId="21120" xr:uid="{00000000-0005-0000-0000-00008D520000}"/>
    <cellStyle name="Positive 2 3 14 2 2 11" xfId="21121" xr:uid="{00000000-0005-0000-0000-00008E520000}"/>
    <cellStyle name="Positive 2 3 14 2 2 11 2" xfId="21122" xr:uid="{00000000-0005-0000-0000-00008F520000}"/>
    <cellStyle name="Positive 2 3 14 2 2 12" xfId="21123" xr:uid="{00000000-0005-0000-0000-000090520000}"/>
    <cellStyle name="Positive 2 3 14 2 2 12 2" xfId="21124" xr:uid="{00000000-0005-0000-0000-000091520000}"/>
    <cellStyle name="Positive 2 3 14 2 2 13" xfId="21125" xr:uid="{00000000-0005-0000-0000-000092520000}"/>
    <cellStyle name="Positive 2 3 14 2 2 13 2" xfId="21126" xr:uid="{00000000-0005-0000-0000-000093520000}"/>
    <cellStyle name="Positive 2 3 14 2 2 14" xfId="21127" xr:uid="{00000000-0005-0000-0000-000094520000}"/>
    <cellStyle name="Positive 2 3 14 2 2 14 2" xfId="21128" xr:uid="{00000000-0005-0000-0000-000095520000}"/>
    <cellStyle name="Positive 2 3 14 2 2 15" xfId="21129" xr:uid="{00000000-0005-0000-0000-000096520000}"/>
    <cellStyle name="Positive 2 3 14 2 2 15 2" xfId="21130" xr:uid="{00000000-0005-0000-0000-000097520000}"/>
    <cellStyle name="Positive 2 3 14 2 2 16" xfId="21131" xr:uid="{00000000-0005-0000-0000-000098520000}"/>
    <cellStyle name="Positive 2 3 14 2 2 16 2" xfId="21132" xr:uid="{00000000-0005-0000-0000-000099520000}"/>
    <cellStyle name="Positive 2 3 14 2 2 17" xfId="21133" xr:uid="{00000000-0005-0000-0000-00009A520000}"/>
    <cellStyle name="Positive 2 3 14 2 2 2" xfId="21134" xr:uid="{00000000-0005-0000-0000-00009B520000}"/>
    <cellStyle name="Positive 2 3 14 2 2 2 2" xfId="21135" xr:uid="{00000000-0005-0000-0000-00009C520000}"/>
    <cellStyle name="Positive 2 3 14 2 2 3" xfId="21136" xr:uid="{00000000-0005-0000-0000-00009D520000}"/>
    <cellStyle name="Positive 2 3 14 2 2 3 2" xfId="21137" xr:uid="{00000000-0005-0000-0000-00009E520000}"/>
    <cellStyle name="Positive 2 3 14 2 2 4" xfId="21138" xr:uid="{00000000-0005-0000-0000-00009F520000}"/>
    <cellStyle name="Positive 2 3 14 2 2 4 2" xfId="21139" xr:uid="{00000000-0005-0000-0000-0000A0520000}"/>
    <cellStyle name="Positive 2 3 14 2 2 5" xfId="21140" xr:uid="{00000000-0005-0000-0000-0000A1520000}"/>
    <cellStyle name="Positive 2 3 14 2 2 5 2" xfId="21141" xr:uid="{00000000-0005-0000-0000-0000A2520000}"/>
    <cellStyle name="Positive 2 3 14 2 2 6" xfId="21142" xr:uid="{00000000-0005-0000-0000-0000A3520000}"/>
    <cellStyle name="Positive 2 3 14 2 2 6 2" xfId="21143" xr:uid="{00000000-0005-0000-0000-0000A4520000}"/>
    <cellStyle name="Positive 2 3 14 2 2 7" xfId="21144" xr:uid="{00000000-0005-0000-0000-0000A5520000}"/>
    <cellStyle name="Positive 2 3 14 2 2 7 2" xfId="21145" xr:uid="{00000000-0005-0000-0000-0000A6520000}"/>
    <cellStyle name="Positive 2 3 14 2 2 8" xfId="21146" xr:uid="{00000000-0005-0000-0000-0000A7520000}"/>
    <cellStyle name="Positive 2 3 14 2 2 8 2" xfId="21147" xr:uid="{00000000-0005-0000-0000-0000A8520000}"/>
    <cellStyle name="Positive 2 3 14 2 2 9" xfId="21148" xr:uid="{00000000-0005-0000-0000-0000A9520000}"/>
    <cellStyle name="Positive 2 3 14 2 2 9 2" xfId="21149" xr:uid="{00000000-0005-0000-0000-0000AA520000}"/>
    <cellStyle name="Positive 2 3 14 2 20" xfId="21150" xr:uid="{00000000-0005-0000-0000-0000AB520000}"/>
    <cellStyle name="Positive 2 3 14 2 3" xfId="21151" xr:uid="{00000000-0005-0000-0000-0000AC520000}"/>
    <cellStyle name="Positive 2 3 14 2 3 2" xfId="21152" xr:uid="{00000000-0005-0000-0000-0000AD520000}"/>
    <cellStyle name="Positive 2 3 14 2 3 2 2" xfId="21153" xr:uid="{00000000-0005-0000-0000-0000AE520000}"/>
    <cellStyle name="Positive 2 3 14 2 3 3" xfId="21154" xr:uid="{00000000-0005-0000-0000-0000AF520000}"/>
    <cellStyle name="Positive 2 3 14 2 4" xfId="21155" xr:uid="{00000000-0005-0000-0000-0000B0520000}"/>
    <cellStyle name="Positive 2 3 14 2 4 2" xfId="21156" xr:uid="{00000000-0005-0000-0000-0000B1520000}"/>
    <cellStyle name="Positive 2 3 14 2 4 2 2" xfId="21157" xr:uid="{00000000-0005-0000-0000-0000B2520000}"/>
    <cellStyle name="Positive 2 3 14 2 4 3" xfId="21158" xr:uid="{00000000-0005-0000-0000-0000B3520000}"/>
    <cellStyle name="Positive 2 3 14 2 5" xfId="21159" xr:uid="{00000000-0005-0000-0000-0000B4520000}"/>
    <cellStyle name="Positive 2 3 14 2 5 2" xfId="21160" xr:uid="{00000000-0005-0000-0000-0000B5520000}"/>
    <cellStyle name="Positive 2 3 14 2 6" xfId="21161" xr:uid="{00000000-0005-0000-0000-0000B6520000}"/>
    <cellStyle name="Positive 2 3 14 2 6 2" xfId="21162" xr:uid="{00000000-0005-0000-0000-0000B7520000}"/>
    <cellStyle name="Positive 2 3 14 2 7" xfId="21163" xr:uid="{00000000-0005-0000-0000-0000B8520000}"/>
    <cellStyle name="Positive 2 3 14 2 7 2" xfId="21164" xr:uid="{00000000-0005-0000-0000-0000B9520000}"/>
    <cellStyle name="Positive 2 3 14 2 8" xfId="21165" xr:uid="{00000000-0005-0000-0000-0000BA520000}"/>
    <cellStyle name="Positive 2 3 14 2 8 2" xfId="21166" xr:uid="{00000000-0005-0000-0000-0000BB520000}"/>
    <cellStyle name="Positive 2 3 14 2 9" xfId="21167" xr:uid="{00000000-0005-0000-0000-0000BC520000}"/>
    <cellStyle name="Positive 2 3 14 2 9 2" xfId="21168" xr:uid="{00000000-0005-0000-0000-0000BD520000}"/>
    <cellStyle name="Positive 2 3 14 20" xfId="21169" xr:uid="{00000000-0005-0000-0000-0000BE520000}"/>
    <cellStyle name="Positive 2 3 14 20 2" xfId="21170" xr:uid="{00000000-0005-0000-0000-0000BF520000}"/>
    <cellStyle name="Positive 2 3 14 21" xfId="21171" xr:uid="{00000000-0005-0000-0000-0000C0520000}"/>
    <cellStyle name="Positive 2 3 14 21 2" xfId="21172" xr:uid="{00000000-0005-0000-0000-0000C1520000}"/>
    <cellStyle name="Positive 2 3 14 22" xfId="21173" xr:uid="{00000000-0005-0000-0000-0000C2520000}"/>
    <cellStyle name="Positive 2 3 14 22 2" xfId="21174" xr:uid="{00000000-0005-0000-0000-0000C3520000}"/>
    <cellStyle name="Positive 2 3 14 23" xfId="21175" xr:uid="{00000000-0005-0000-0000-0000C4520000}"/>
    <cellStyle name="Positive 2 3 14 3" xfId="21176" xr:uid="{00000000-0005-0000-0000-0000C5520000}"/>
    <cellStyle name="Positive 2 3 14 3 10" xfId="21177" xr:uid="{00000000-0005-0000-0000-0000C6520000}"/>
    <cellStyle name="Positive 2 3 14 3 10 2" xfId="21178" xr:uid="{00000000-0005-0000-0000-0000C7520000}"/>
    <cellStyle name="Positive 2 3 14 3 11" xfId="21179" xr:uid="{00000000-0005-0000-0000-0000C8520000}"/>
    <cellStyle name="Positive 2 3 14 3 11 2" xfId="21180" xr:uid="{00000000-0005-0000-0000-0000C9520000}"/>
    <cellStyle name="Positive 2 3 14 3 12" xfId="21181" xr:uid="{00000000-0005-0000-0000-0000CA520000}"/>
    <cellStyle name="Positive 2 3 14 3 12 2" xfId="21182" xr:uid="{00000000-0005-0000-0000-0000CB520000}"/>
    <cellStyle name="Positive 2 3 14 3 13" xfId="21183" xr:uid="{00000000-0005-0000-0000-0000CC520000}"/>
    <cellStyle name="Positive 2 3 14 3 13 2" xfId="21184" xr:uid="{00000000-0005-0000-0000-0000CD520000}"/>
    <cellStyle name="Positive 2 3 14 3 14" xfId="21185" xr:uid="{00000000-0005-0000-0000-0000CE520000}"/>
    <cellStyle name="Positive 2 3 14 3 14 2" xfId="21186" xr:uid="{00000000-0005-0000-0000-0000CF520000}"/>
    <cellStyle name="Positive 2 3 14 3 15" xfId="21187" xr:uid="{00000000-0005-0000-0000-0000D0520000}"/>
    <cellStyle name="Positive 2 3 14 3 15 2" xfId="21188" xr:uid="{00000000-0005-0000-0000-0000D1520000}"/>
    <cellStyle name="Positive 2 3 14 3 16" xfId="21189" xr:uid="{00000000-0005-0000-0000-0000D2520000}"/>
    <cellStyle name="Positive 2 3 14 3 16 2" xfId="21190" xr:uid="{00000000-0005-0000-0000-0000D3520000}"/>
    <cellStyle name="Positive 2 3 14 3 17" xfId="21191" xr:uid="{00000000-0005-0000-0000-0000D4520000}"/>
    <cellStyle name="Positive 2 3 14 3 17 2" xfId="21192" xr:uid="{00000000-0005-0000-0000-0000D5520000}"/>
    <cellStyle name="Positive 2 3 14 3 18" xfId="21193" xr:uid="{00000000-0005-0000-0000-0000D6520000}"/>
    <cellStyle name="Positive 2 3 14 3 18 2" xfId="21194" xr:uid="{00000000-0005-0000-0000-0000D7520000}"/>
    <cellStyle name="Positive 2 3 14 3 19" xfId="21195" xr:uid="{00000000-0005-0000-0000-0000D8520000}"/>
    <cellStyle name="Positive 2 3 14 3 19 2" xfId="21196" xr:uid="{00000000-0005-0000-0000-0000D9520000}"/>
    <cellStyle name="Positive 2 3 14 3 2" xfId="21197" xr:uid="{00000000-0005-0000-0000-0000DA520000}"/>
    <cellStyle name="Positive 2 3 14 3 2 10" xfId="21198" xr:uid="{00000000-0005-0000-0000-0000DB520000}"/>
    <cellStyle name="Positive 2 3 14 3 2 10 2" xfId="21199" xr:uid="{00000000-0005-0000-0000-0000DC520000}"/>
    <cellStyle name="Positive 2 3 14 3 2 11" xfId="21200" xr:uid="{00000000-0005-0000-0000-0000DD520000}"/>
    <cellStyle name="Positive 2 3 14 3 2 11 2" xfId="21201" xr:uid="{00000000-0005-0000-0000-0000DE520000}"/>
    <cellStyle name="Positive 2 3 14 3 2 12" xfId="21202" xr:uid="{00000000-0005-0000-0000-0000DF520000}"/>
    <cellStyle name="Positive 2 3 14 3 2 12 2" xfId="21203" xr:uid="{00000000-0005-0000-0000-0000E0520000}"/>
    <cellStyle name="Positive 2 3 14 3 2 13" xfId="21204" xr:uid="{00000000-0005-0000-0000-0000E1520000}"/>
    <cellStyle name="Positive 2 3 14 3 2 13 2" xfId="21205" xr:uid="{00000000-0005-0000-0000-0000E2520000}"/>
    <cellStyle name="Positive 2 3 14 3 2 14" xfId="21206" xr:uid="{00000000-0005-0000-0000-0000E3520000}"/>
    <cellStyle name="Positive 2 3 14 3 2 14 2" xfId="21207" xr:uid="{00000000-0005-0000-0000-0000E4520000}"/>
    <cellStyle name="Positive 2 3 14 3 2 15" xfId="21208" xr:uid="{00000000-0005-0000-0000-0000E5520000}"/>
    <cellStyle name="Positive 2 3 14 3 2 15 2" xfId="21209" xr:uid="{00000000-0005-0000-0000-0000E6520000}"/>
    <cellStyle name="Positive 2 3 14 3 2 16" xfId="21210" xr:uid="{00000000-0005-0000-0000-0000E7520000}"/>
    <cellStyle name="Positive 2 3 14 3 2 16 2" xfId="21211" xr:uid="{00000000-0005-0000-0000-0000E8520000}"/>
    <cellStyle name="Positive 2 3 14 3 2 17" xfId="21212" xr:uid="{00000000-0005-0000-0000-0000E9520000}"/>
    <cellStyle name="Positive 2 3 14 3 2 2" xfId="21213" xr:uid="{00000000-0005-0000-0000-0000EA520000}"/>
    <cellStyle name="Positive 2 3 14 3 2 2 2" xfId="21214" xr:uid="{00000000-0005-0000-0000-0000EB520000}"/>
    <cellStyle name="Positive 2 3 14 3 2 3" xfId="21215" xr:uid="{00000000-0005-0000-0000-0000EC520000}"/>
    <cellStyle name="Positive 2 3 14 3 2 3 2" xfId="21216" xr:uid="{00000000-0005-0000-0000-0000ED520000}"/>
    <cellStyle name="Positive 2 3 14 3 2 4" xfId="21217" xr:uid="{00000000-0005-0000-0000-0000EE520000}"/>
    <cellStyle name="Positive 2 3 14 3 2 4 2" xfId="21218" xr:uid="{00000000-0005-0000-0000-0000EF520000}"/>
    <cellStyle name="Positive 2 3 14 3 2 5" xfId="21219" xr:uid="{00000000-0005-0000-0000-0000F0520000}"/>
    <cellStyle name="Positive 2 3 14 3 2 5 2" xfId="21220" xr:uid="{00000000-0005-0000-0000-0000F1520000}"/>
    <cellStyle name="Positive 2 3 14 3 2 6" xfId="21221" xr:uid="{00000000-0005-0000-0000-0000F2520000}"/>
    <cellStyle name="Positive 2 3 14 3 2 6 2" xfId="21222" xr:uid="{00000000-0005-0000-0000-0000F3520000}"/>
    <cellStyle name="Positive 2 3 14 3 2 7" xfId="21223" xr:uid="{00000000-0005-0000-0000-0000F4520000}"/>
    <cellStyle name="Positive 2 3 14 3 2 7 2" xfId="21224" xr:uid="{00000000-0005-0000-0000-0000F5520000}"/>
    <cellStyle name="Positive 2 3 14 3 2 8" xfId="21225" xr:uid="{00000000-0005-0000-0000-0000F6520000}"/>
    <cellStyle name="Positive 2 3 14 3 2 8 2" xfId="21226" xr:uid="{00000000-0005-0000-0000-0000F7520000}"/>
    <cellStyle name="Positive 2 3 14 3 2 9" xfId="21227" xr:uid="{00000000-0005-0000-0000-0000F8520000}"/>
    <cellStyle name="Positive 2 3 14 3 2 9 2" xfId="21228" xr:uid="{00000000-0005-0000-0000-0000F9520000}"/>
    <cellStyle name="Positive 2 3 14 3 20" xfId="21229" xr:uid="{00000000-0005-0000-0000-0000FA520000}"/>
    <cellStyle name="Positive 2 3 14 3 3" xfId="21230" xr:uid="{00000000-0005-0000-0000-0000FB520000}"/>
    <cellStyle name="Positive 2 3 14 3 3 2" xfId="21231" xr:uid="{00000000-0005-0000-0000-0000FC520000}"/>
    <cellStyle name="Positive 2 3 14 3 3 2 2" xfId="21232" xr:uid="{00000000-0005-0000-0000-0000FD520000}"/>
    <cellStyle name="Positive 2 3 14 3 3 3" xfId="21233" xr:uid="{00000000-0005-0000-0000-0000FE520000}"/>
    <cellStyle name="Positive 2 3 14 3 4" xfId="21234" xr:uid="{00000000-0005-0000-0000-0000FF520000}"/>
    <cellStyle name="Positive 2 3 14 3 4 2" xfId="21235" xr:uid="{00000000-0005-0000-0000-000000530000}"/>
    <cellStyle name="Positive 2 3 14 3 4 2 2" xfId="21236" xr:uid="{00000000-0005-0000-0000-000001530000}"/>
    <cellStyle name="Positive 2 3 14 3 4 3" xfId="21237" xr:uid="{00000000-0005-0000-0000-000002530000}"/>
    <cellStyle name="Positive 2 3 14 3 5" xfId="21238" xr:uid="{00000000-0005-0000-0000-000003530000}"/>
    <cellStyle name="Positive 2 3 14 3 5 2" xfId="21239" xr:uid="{00000000-0005-0000-0000-000004530000}"/>
    <cellStyle name="Positive 2 3 14 3 6" xfId="21240" xr:uid="{00000000-0005-0000-0000-000005530000}"/>
    <cellStyle name="Positive 2 3 14 3 6 2" xfId="21241" xr:uid="{00000000-0005-0000-0000-000006530000}"/>
    <cellStyle name="Positive 2 3 14 3 7" xfId="21242" xr:uid="{00000000-0005-0000-0000-000007530000}"/>
    <cellStyle name="Positive 2 3 14 3 7 2" xfId="21243" xr:uid="{00000000-0005-0000-0000-000008530000}"/>
    <cellStyle name="Positive 2 3 14 3 8" xfId="21244" xr:uid="{00000000-0005-0000-0000-000009530000}"/>
    <cellStyle name="Positive 2 3 14 3 8 2" xfId="21245" xr:uid="{00000000-0005-0000-0000-00000A530000}"/>
    <cellStyle name="Positive 2 3 14 3 9" xfId="21246" xr:uid="{00000000-0005-0000-0000-00000B530000}"/>
    <cellStyle name="Positive 2 3 14 3 9 2" xfId="21247" xr:uid="{00000000-0005-0000-0000-00000C530000}"/>
    <cellStyle name="Positive 2 3 14 4" xfId="21248" xr:uid="{00000000-0005-0000-0000-00000D530000}"/>
    <cellStyle name="Positive 2 3 14 4 10" xfId="21249" xr:uid="{00000000-0005-0000-0000-00000E530000}"/>
    <cellStyle name="Positive 2 3 14 4 10 2" xfId="21250" xr:uid="{00000000-0005-0000-0000-00000F530000}"/>
    <cellStyle name="Positive 2 3 14 4 11" xfId="21251" xr:uid="{00000000-0005-0000-0000-000010530000}"/>
    <cellStyle name="Positive 2 3 14 4 11 2" xfId="21252" xr:uid="{00000000-0005-0000-0000-000011530000}"/>
    <cellStyle name="Positive 2 3 14 4 12" xfId="21253" xr:uid="{00000000-0005-0000-0000-000012530000}"/>
    <cellStyle name="Positive 2 3 14 4 12 2" xfId="21254" xr:uid="{00000000-0005-0000-0000-000013530000}"/>
    <cellStyle name="Positive 2 3 14 4 13" xfId="21255" xr:uid="{00000000-0005-0000-0000-000014530000}"/>
    <cellStyle name="Positive 2 3 14 4 13 2" xfId="21256" xr:uid="{00000000-0005-0000-0000-000015530000}"/>
    <cellStyle name="Positive 2 3 14 4 14" xfId="21257" xr:uid="{00000000-0005-0000-0000-000016530000}"/>
    <cellStyle name="Positive 2 3 14 4 14 2" xfId="21258" xr:uid="{00000000-0005-0000-0000-000017530000}"/>
    <cellStyle name="Positive 2 3 14 4 15" xfId="21259" xr:uid="{00000000-0005-0000-0000-000018530000}"/>
    <cellStyle name="Positive 2 3 14 4 15 2" xfId="21260" xr:uid="{00000000-0005-0000-0000-000019530000}"/>
    <cellStyle name="Positive 2 3 14 4 16" xfId="21261" xr:uid="{00000000-0005-0000-0000-00001A530000}"/>
    <cellStyle name="Positive 2 3 14 4 16 2" xfId="21262" xr:uid="{00000000-0005-0000-0000-00001B530000}"/>
    <cellStyle name="Positive 2 3 14 4 17" xfId="21263" xr:uid="{00000000-0005-0000-0000-00001C530000}"/>
    <cellStyle name="Positive 2 3 14 4 17 2" xfId="21264" xr:uid="{00000000-0005-0000-0000-00001D530000}"/>
    <cellStyle name="Positive 2 3 14 4 18" xfId="21265" xr:uid="{00000000-0005-0000-0000-00001E530000}"/>
    <cellStyle name="Positive 2 3 14 4 18 2" xfId="21266" xr:uid="{00000000-0005-0000-0000-00001F530000}"/>
    <cellStyle name="Positive 2 3 14 4 19" xfId="21267" xr:uid="{00000000-0005-0000-0000-000020530000}"/>
    <cellStyle name="Positive 2 3 14 4 19 2" xfId="21268" xr:uid="{00000000-0005-0000-0000-000021530000}"/>
    <cellStyle name="Positive 2 3 14 4 2" xfId="21269" xr:uid="{00000000-0005-0000-0000-000022530000}"/>
    <cellStyle name="Positive 2 3 14 4 2 10" xfId="21270" xr:uid="{00000000-0005-0000-0000-000023530000}"/>
    <cellStyle name="Positive 2 3 14 4 2 10 2" xfId="21271" xr:uid="{00000000-0005-0000-0000-000024530000}"/>
    <cellStyle name="Positive 2 3 14 4 2 11" xfId="21272" xr:uid="{00000000-0005-0000-0000-000025530000}"/>
    <cellStyle name="Positive 2 3 14 4 2 11 2" xfId="21273" xr:uid="{00000000-0005-0000-0000-000026530000}"/>
    <cellStyle name="Positive 2 3 14 4 2 12" xfId="21274" xr:uid="{00000000-0005-0000-0000-000027530000}"/>
    <cellStyle name="Positive 2 3 14 4 2 12 2" xfId="21275" xr:uid="{00000000-0005-0000-0000-000028530000}"/>
    <cellStyle name="Positive 2 3 14 4 2 13" xfId="21276" xr:uid="{00000000-0005-0000-0000-000029530000}"/>
    <cellStyle name="Positive 2 3 14 4 2 13 2" xfId="21277" xr:uid="{00000000-0005-0000-0000-00002A530000}"/>
    <cellStyle name="Positive 2 3 14 4 2 14" xfId="21278" xr:uid="{00000000-0005-0000-0000-00002B530000}"/>
    <cellStyle name="Positive 2 3 14 4 2 14 2" xfId="21279" xr:uid="{00000000-0005-0000-0000-00002C530000}"/>
    <cellStyle name="Positive 2 3 14 4 2 15" xfId="21280" xr:uid="{00000000-0005-0000-0000-00002D530000}"/>
    <cellStyle name="Positive 2 3 14 4 2 15 2" xfId="21281" xr:uid="{00000000-0005-0000-0000-00002E530000}"/>
    <cellStyle name="Positive 2 3 14 4 2 16" xfId="21282" xr:uid="{00000000-0005-0000-0000-00002F530000}"/>
    <cellStyle name="Positive 2 3 14 4 2 16 2" xfId="21283" xr:uid="{00000000-0005-0000-0000-000030530000}"/>
    <cellStyle name="Positive 2 3 14 4 2 17" xfId="21284" xr:uid="{00000000-0005-0000-0000-000031530000}"/>
    <cellStyle name="Positive 2 3 14 4 2 2" xfId="21285" xr:uid="{00000000-0005-0000-0000-000032530000}"/>
    <cellStyle name="Positive 2 3 14 4 2 2 2" xfId="21286" xr:uid="{00000000-0005-0000-0000-000033530000}"/>
    <cellStyle name="Positive 2 3 14 4 2 3" xfId="21287" xr:uid="{00000000-0005-0000-0000-000034530000}"/>
    <cellStyle name="Positive 2 3 14 4 2 3 2" xfId="21288" xr:uid="{00000000-0005-0000-0000-000035530000}"/>
    <cellStyle name="Positive 2 3 14 4 2 4" xfId="21289" xr:uid="{00000000-0005-0000-0000-000036530000}"/>
    <cellStyle name="Positive 2 3 14 4 2 4 2" xfId="21290" xr:uid="{00000000-0005-0000-0000-000037530000}"/>
    <cellStyle name="Positive 2 3 14 4 2 5" xfId="21291" xr:uid="{00000000-0005-0000-0000-000038530000}"/>
    <cellStyle name="Positive 2 3 14 4 2 5 2" xfId="21292" xr:uid="{00000000-0005-0000-0000-000039530000}"/>
    <cellStyle name="Positive 2 3 14 4 2 6" xfId="21293" xr:uid="{00000000-0005-0000-0000-00003A530000}"/>
    <cellStyle name="Positive 2 3 14 4 2 6 2" xfId="21294" xr:uid="{00000000-0005-0000-0000-00003B530000}"/>
    <cellStyle name="Positive 2 3 14 4 2 7" xfId="21295" xr:uid="{00000000-0005-0000-0000-00003C530000}"/>
    <cellStyle name="Positive 2 3 14 4 2 7 2" xfId="21296" xr:uid="{00000000-0005-0000-0000-00003D530000}"/>
    <cellStyle name="Positive 2 3 14 4 2 8" xfId="21297" xr:uid="{00000000-0005-0000-0000-00003E530000}"/>
    <cellStyle name="Positive 2 3 14 4 2 8 2" xfId="21298" xr:uid="{00000000-0005-0000-0000-00003F530000}"/>
    <cellStyle name="Positive 2 3 14 4 2 9" xfId="21299" xr:uid="{00000000-0005-0000-0000-000040530000}"/>
    <cellStyle name="Positive 2 3 14 4 2 9 2" xfId="21300" xr:uid="{00000000-0005-0000-0000-000041530000}"/>
    <cellStyle name="Positive 2 3 14 4 20" xfId="21301" xr:uid="{00000000-0005-0000-0000-000042530000}"/>
    <cellStyle name="Positive 2 3 14 4 3" xfId="21302" xr:uid="{00000000-0005-0000-0000-000043530000}"/>
    <cellStyle name="Positive 2 3 14 4 3 2" xfId="21303" xr:uid="{00000000-0005-0000-0000-000044530000}"/>
    <cellStyle name="Positive 2 3 14 4 3 2 2" xfId="21304" xr:uid="{00000000-0005-0000-0000-000045530000}"/>
    <cellStyle name="Positive 2 3 14 4 3 3" xfId="21305" xr:uid="{00000000-0005-0000-0000-000046530000}"/>
    <cellStyle name="Positive 2 3 14 4 4" xfId="21306" xr:uid="{00000000-0005-0000-0000-000047530000}"/>
    <cellStyle name="Positive 2 3 14 4 4 2" xfId="21307" xr:uid="{00000000-0005-0000-0000-000048530000}"/>
    <cellStyle name="Positive 2 3 14 4 4 2 2" xfId="21308" xr:uid="{00000000-0005-0000-0000-000049530000}"/>
    <cellStyle name="Positive 2 3 14 4 4 3" xfId="21309" xr:uid="{00000000-0005-0000-0000-00004A530000}"/>
    <cellStyle name="Positive 2 3 14 4 5" xfId="21310" xr:uid="{00000000-0005-0000-0000-00004B530000}"/>
    <cellStyle name="Positive 2 3 14 4 5 2" xfId="21311" xr:uid="{00000000-0005-0000-0000-00004C530000}"/>
    <cellStyle name="Positive 2 3 14 4 6" xfId="21312" xr:uid="{00000000-0005-0000-0000-00004D530000}"/>
    <cellStyle name="Positive 2 3 14 4 6 2" xfId="21313" xr:uid="{00000000-0005-0000-0000-00004E530000}"/>
    <cellStyle name="Positive 2 3 14 4 7" xfId="21314" xr:uid="{00000000-0005-0000-0000-00004F530000}"/>
    <cellStyle name="Positive 2 3 14 4 7 2" xfId="21315" xr:uid="{00000000-0005-0000-0000-000050530000}"/>
    <cellStyle name="Positive 2 3 14 4 8" xfId="21316" xr:uid="{00000000-0005-0000-0000-000051530000}"/>
    <cellStyle name="Positive 2 3 14 4 8 2" xfId="21317" xr:uid="{00000000-0005-0000-0000-000052530000}"/>
    <cellStyle name="Positive 2 3 14 4 9" xfId="21318" xr:uid="{00000000-0005-0000-0000-000053530000}"/>
    <cellStyle name="Positive 2 3 14 4 9 2" xfId="21319" xr:uid="{00000000-0005-0000-0000-000054530000}"/>
    <cellStyle name="Positive 2 3 14 5" xfId="21320" xr:uid="{00000000-0005-0000-0000-000055530000}"/>
    <cellStyle name="Positive 2 3 14 5 10" xfId="21321" xr:uid="{00000000-0005-0000-0000-000056530000}"/>
    <cellStyle name="Positive 2 3 14 5 10 2" xfId="21322" xr:uid="{00000000-0005-0000-0000-000057530000}"/>
    <cellStyle name="Positive 2 3 14 5 11" xfId="21323" xr:uid="{00000000-0005-0000-0000-000058530000}"/>
    <cellStyle name="Positive 2 3 14 5 11 2" xfId="21324" xr:uid="{00000000-0005-0000-0000-000059530000}"/>
    <cellStyle name="Positive 2 3 14 5 12" xfId="21325" xr:uid="{00000000-0005-0000-0000-00005A530000}"/>
    <cellStyle name="Positive 2 3 14 5 12 2" xfId="21326" xr:uid="{00000000-0005-0000-0000-00005B530000}"/>
    <cellStyle name="Positive 2 3 14 5 13" xfId="21327" xr:uid="{00000000-0005-0000-0000-00005C530000}"/>
    <cellStyle name="Positive 2 3 14 5 13 2" xfId="21328" xr:uid="{00000000-0005-0000-0000-00005D530000}"/>
    <cellStyle name="Positive 2 3 14 5 14" xfId="21329" xr:uid="{00000000-0005-0000-0000-00005E530000}"/>
    <cellStyle name="Positive 2 3 14 5 14 2" xfId="21330" xr:uid="{00000000-0005-0000-0000-00005F530000}"/>
    <cellStyle name="Positive 2 3 14 5 15" xfId="21331" xr:uid="{00000000-0005-0000-0000-000060530000}"/>
    <cellStyle name="Positive 2 3 14 5 15 2" xfId="21332" xr:uid="{00000000-0005-0000-0000-000061530000}"/>
    <cellStyle name="Positive 2 3 14 5 16" xfId="21333" xr:uid="{00000000-0005-0000-0000-000062530000}"/>
    <cellStyle name="Positive 2 3 14 5 16 2" xfId="21334" xr:uid="{00000000-0005-0000-0000-000063530000}"/>
    <cellStyle name="Positive 2 3 14 5 17" xfId="21335" xr:uid="{00000000-0005-0000-0000-000064530000}"/>
    <cellStyle name="Positive 2 3 14 5 2" xfId="21336" xr:uid="{00000000-0005-0000-0000-000065530000}"/>
    <cellStyle name="Positive 2 3 14 5 2 2" xfId="21337" xr:uid="{00000000-0005-0000-0000-000066530000}"/>
    <cellStyle name="Positive 2 3 14 5 3" xfId="21338" xr:uid="{00000000-0005-0000-0000-000067530000}"/>
    <cellStyle name="Positive 2 3 14 5 3 2" xfId="21339" xr:uid="{00000000-0005-0000-0000-000068530000}"/>
    <cellStyle name="Positive 2 3 14 5 4" xfId="21340" xr:uid="{00000000-0005-0000-0000-000069530000}"/>
    <cellStyle name="Positive 2 3 14 5 4 2" xfId="21341" xr:uid="{00000000-0005-0000-0000-00006A530000}"/>
    <cellStyle name="Positive 2 3 14 5 5" xfId="21342" xr:uid="{00000000-0005-0000-0000-00006B530000}"/>
    <cellStyle name="Positive 2 3 14 5 5 2" xfId="21343" xr:uid="{00000000-0005-0000-0000-00006C530000}"/>
    <cellStyle name="Positive 2 3 14 5 6" xfId="21344" xr:uid="{00000000-0005-0000-0000-00006D530000}"/>
    <cellStyle name="Positive 2 3 14 5 6 2" xfId="21345" xr:uid="{00000000-0005-0000-0000-00006E530000}"/>
    <cellStyle name="Positive 2 3 14 5 7" xfId="21346" xr:uid="{00000000-0005-0000-0000-00006F530000}"/>
    <cellStyle name="Positive 2 3 14 5 7 2" xfId="21347" xr:uid="{00000000-0005-0000-0000-000070530000}"/>
    <cellStyle name="Positive 2 3 14 5 8" xfId="21348" xr:uid="{00000000-0005-0000-0000-000071530000}"/>
    <cellStyle name="Positive 2 3 14 5 8 2" xfId="21349" xr:uid="{00000000-0005-0000-0000-000072530000}"/>
    <cellStyle name="Positive 2 3 14 5 9" xfId="21350" xr:uid="{00000000-0005-0000-0000-000073530000}"/>
    <cellStyle name="Positive 2 3 14 5 9 2" xfId="21351" xr:uid="{00000000-0005-0000-0000-000074530000}"/>
    <cellStyle name="Positive 2 3 14 6" xfId="21352" xr:uid="{00000000-0005-0000-0000-000075530000}"/>
    <cellStyle name="Positive 2 3 14 6 2" xfId="21353" xr:uid="{00000000-0005-0000-0000-000076530000}"/>
    <cellStyle name="Positive 2 3 14 6 2 2" xfId="21354" xr:uid="{00000000-0005-0000-0000-000077530000}"/>
    <cellStyle name="Positive 2 3 14 6 3" xfId="21355" xr:uid="{00000000-0005-0000-0000-000078530000}"/>
    <cellStyle name="Positive 2 3 14 7" xfId="21356" xr:uid="{00000000-0005-0000-0000-000079530000}"/>
    <cellStyle name="Positive 2 3 14 7 2" xfId="21357" xr:uid="{00000000-0005-0000-0000-00007A530000}"/>
    <cellStyle name="Positive 2 3 14 7 2 2" xfId="21358" xr:uid="{00000000-0005-0000-0000-00007B530000}"/>
    <cellStyle name="Positive 2 3 14 7 3" xfId="21359" xr:uid="{00000000-0005-0000-0000-00007C530000}"/>
    <cellStyle name="Positive 2 3 14 8" xfId="21360" xr:uid="{00000000-0005-0000-0000-00007D530000}"/>
    <cellStyle name="Positive 2 3 14 8 2" xfId="21361" xr:uid="{00000000-0005-0000-0000-00007E530000}"/>
    <cellStyle name="Positive 2 3 14 9" xfId="21362" xr:uid="{00000000-0005-0000-0000-00007F530000}"/>
    <cellStyle name="Positive 2 3 14 9 2" xfId="21363" xr:uid="{00000000-0005-0000-0000-000080530000}"/>
    <cellStyle name="Positive 2 3 15" xfId="21364" xr:uid="{00000000-0005-0000-0000-000081530000}"/>
    <cellStyle name="Positive 2 3 15 10" xfId="21365" xr:uid="{00000000-0005-0000-0000-000082530000}"/>
    <cellStyle name="Positive 2 3 15 10 2" xfId="21366" xr:uid="{00000000-0005-0000-0000-000083530000}"/>
    <cellStyle name="Positive 2 3 15 11" xfId="21367" xr:uid="{00000000-0005-0000-0000-000084530000}"/>
    <cellStyle name="Positive 2 3 15 11 2" xfId="21368" xr:uid="{00000000-0005-0000-0000-000085530000}"/>
    <cellStyle name="Positive 2 3 15 12" xfId="21369" xr:uid="{00000000-0005-0000-0000-000086530000}"/>
    <cellStyle name="Positive 2 3 15 12 2" xfId="21370" xr:uid="{00000000-0005-0000-0000-000087530000}"/>
    <cellStyle name="Positive 2 3 15 13" xfId="21371" xr:uid="{00000000-0005-0000-0000-000088530000}"/>
    <cellStyle name="Positive 2 3 15 13 2" xfId="21372" xr:uid="{00000000-0005-0000-0000-000089530000}"/>
    <cellStyle name="Positive 2 3 15 14" xfId="21373" xr:uid="{00000000-0005-0000-0000-00008A530000}"/>
    <cellStyle name="Positive 2 3 15 14 2" xfId="21374" xr:uid="{00000000-0005-0000-0000-00008B530000}"/>
    <cellStyle name="Positive 2 3 15 15" xfId="21375" xr:uid="{00000000-0005-0000-0000-00008C530000}"/>
    <cellStyle name="Positive 2 3 15 15 2" xfId="21376" xr:uid="{00000000-0005-0000-0000-00008D530000}"/>
    <cellStyle name="Positive 2 3 15 16" xfId="21377" xr:uid="{00000000-0005-0000-0000-00008E530000}"/>
    <cellStyle name="Positive 2 3 15 16 2" xfId="21378" xr:uid="{00000000-0005-0000-0000-00008F530000}"/>
    <cellStyle name="Positive 2 3 15 17" xfId="21379" xr:uid="{00000000-0005-0000-0000-000090530000}"/>
    <cellStyle name="Positive 2 3 15 17 2" xfId="21380" xr:uid="{00000000-0005-0000-0000-000091530000}"/>
    <cellStyle name="Positive 2 3 15 18" xfId="21381" xr:uid="{00000000-0005-0000-0000-000092530000}"/>
    <cellStyle name="Positive 2 3 15 18 2" xfId="21382" xr:uid="{00000000-0005-0000-0000-000093530000}"/>
    <cellStyle name="Positive 2 3 15 19" xfId="21383" xr:uid="{00000000-0005-0000-0000-000094530000}"/>
    <cellStyle name="Positive 2 3 15 19 2" xfId="21384" xr:uid="{00000000-0005-0000-0000-000095530000}"/>
    <cellStyle name="Positive 2 3 15 2" xfId="21385" xr:uid="{00000000-0005-0000-0000-000096530000}"/>
    <cellStyle name="Positive 2 3 15 2 10" xfId="21386" xr:uid="{00000000-0005-0000-0000-000097530000}"/>
    <cellStyle name="Positive 2 3 15 2 10 2" xfId="21387" xr:uid="{00000000-0005-0000-0000-000098530000}"/>
    <cellStyle name="Positive 2 3 15 2 11" xfId="21388" xr:uid="{00000000-0005-0000-0000-000099530000}"/>
    <cellStyle name="Positive 2 3 15 2 11 2" xfId="21389" xr:uid="{00000000-0005-0000-0000-00009A530000}"/>
    <cellStyle name="Positive 2 3 15 2 12" xfId="21390" xr:uid="{00000000-0005-0000-0000-00009B530000}"/>
    <cellStyle name="Positive 2 3 15 2 12 2" xfId="21391" xr:uid="{00000000-0005-0000-0000-00009C530000}"/>
    <cellStyle name="Positive 2 3 15 2 13" xfId="21392" xr:uid="{00000000-0005-0000-0000-00009D530000}"/>
    <cellStyle name="Positive 2 3 15 2 13 2" xfId="21393" xr:uid="{00000000-0005-0000-0000-00009E530000}"/>
    <cellStyle name="Positive 2 3 15 2 14" xfId="21394" xr:uid="{00000000-0005-0000-0000-00009F530000}"/>
    <cellStyle name="Positive 2 3 15 2 14 2" xfId="21395" xr:uid="{00000000-0005-0000-0000-0000A0530000}"/>
    <cellStyle name="Positive 2 3 15 2 15" xfId="21396" xr:uid="{00000000-0005-0000-0000-0000A1530000}"/>
    <cellStyle name="Positive 2 3 15 2 15 2" xfId="21397" xr:uid="{00000000-0005-0000-0000-0000A2530000}"/>
    <cellStyle name="Positive 2 3 15 2 16" xfId="21398" xr:uid="{00000000-0005-0000-0000-0000A3530000}"/>
    <cellStyle name="Positive 2 3 15 2 16 2" xfId="21399" xr:uid="{00000000-0005-0000-0000-0000A4530000}"/>
    <cellStyle name="Positive 2 3 15 2 17" xfId="21400" xr:uid="{00000000-0005-0000-0000-0000A5530000}"/>
    <cellStyle name="Positive 2 3 15 2 17 2" xfId="21401" xr:uid="{00000000-0005-0000-0000-0000A6530000}"/>
    <cellStyle name="Positive 2 3 15 2 18" xfId="21402" xr:uid="{00000000-0005-0000-0000-0000A7530000}"/>
    <cellStyle name="Positive 2 3 15 2 18 2" xfId="21403" xr:uid="{00000000-0005-0000-0000-0000A8530000}"/>
    <cellStyle name="Positive 2 3 15 2 19" xfId="21404" xr:uid="{00000000-0005-0000-0000-0000A9530000}"/>
    <cellStyle name="Positive 2 3 15 2 19 2" xfId="21405" xr:uid="{00000000-0005-0000-0000-0000AA530000}"/>
    <cellStyle name="Positive 2 3 15 2 2" xfId="21406" xr:uid="{00000000-0005-0000-0000-0000AB530000}"/>
    <cellStyle name="Positive 2 3 15 2 2 10" xfId="21407" xr:uid="{00000000-0005-0000-0000-0000AC530000}"/>
    <cellStyle name="Positive 2 3 15 2 2 10 2" xfId="21408" xr:uid="{00000000-0005-0000-0000-0000AD530000}"/>
    <cellStyle name="Positive 2 3 15 2 2 11" xfId="21409" xr:uid="{00000000-0005-0000-0000-0000AE530000}"/>
    <cellStyle name="Positive 2 3 15 2 2 11 2" xfId="21410" xr:uid="{00000000-0005-0000-0000-0000AF530000}"/>
    <cellStyle name="Positive 2 3 15 2 2 12" xfId="21411" xr:uid="{00000000-0005-0000-0000-0000B0530000}"/>
    <cellStyle name="Positive 2 3 15 2 2 12 2" xfId="21412" xr:uid="{00000000-0005-0000-0000-0000B1530000}"/>
    <cellStyle name="Positive 2 3 15 2 2 13" xfId="21413" xr:uid="{00000000-0005-0000-0000-0000B2530000}"/>
    <cellStyle name="Positive 2 3 15 2 2 13 2" xfId="21414" xr:uid="{00000000-0005-0000-0000-0000B3530000}"/>
    <cellStyle name="Positive 2 3 15 2 2 14" xfId="21415" xr:uid="{00000000-0005-0000-0000-0000B4530000}"/>
    <cellStyle name="Positive 2 3 15 2 2 14 2" xfId="21416" xr:uid="{00000000-0005-0000-0000-0000B5530000}"/>
    <cellStyle name="Positive 2 3 15 2 2 15" xfId="21417" xr:uid="{00000000-0005-0000-0000-0000B6530000}"/>
    <cellStyle name="Positive 2 3 15 2 2 15 2" xfId="21418" xr:uid="{00000000-0005-0000-0000-0000B7530000}"/>
    <cellStyle name="Positive 2 3 15 2 2 16" xfId="21419" xr:uid="{00000000-0005-0000-0000-0000B8530000}"/>
    <cellStyle name="Positive 2 3 15 2 2 16 2" xfId="21420" xr:uid="{00000000-0005-0000-0000-0000B9530000}"/>
    <cellStyle name="Positive 2 3 15 2 2 17" xfId="21421" xr:uid="{00000000-0005-0000-0000-0000BA530000}"/>
    <cellStyle name="Positive 2 3 15 2 2 2" xfId="21422" xr:uid="{00000000-0005-0000-0000-0000BB530000}"/>
    <cellStyle name="Positive 2 3 15 2 2 2 2" xfId="21423" xr:uid="{00000000-0005-0000-0000-0000BC530000}"/>
    <cellStyle name="Positive 2 3 15 2 2 3" xfId="21424" xr:uid="{00000000-0005-0000-0000-0000BD530000}"/>
    <cellStyle name="Positive 2 3 15 2 2 3 2" xfId="21425" xr:uid="{00000000-0005-0000-0000-0000BE530000}"/>
    <cellStyle name="Positive 2 3 15 2 2 4" xfId="21426" xr:uid="{00000000-0005-0000-0000-0000BF530000}"/>
    <cellStyle name="Positive 2 3 15 2 2 4 2" xfId="21427" xr:uid="{00000000-0005-0000-0000-0000C0530000}"/>
    <cellStyle name="Positive 2 3 15 2 2 5" xfId="21428" xr:uid="{00000000-0005-0000-0000-0000C1530000}"/>
    <cellStyle name="Positive 2 3 15 2 2 5 2" xfId="21429" xr:uid="{00000000-0005-0000-0000-0000C2530000}"/>
    <cellStyle name="Positive 2 3 15 2 2 6" xfId="21430" xr:uid="{00000000-0005-0000-0000-0000C3530000}"/>
    <cellStyle name="Positive 2 3 15 2 2 6 2" xfId="21431" xr:uid="{00000000-0005-0000-0000-0000C4530000}"/>
    <cellStyle name="Positive 2 3 15 2 2 7" xfId="21432" xr:uid="{00000000-0005-0000-0000-0000C5530000}"/>
    <cellStyle name="Positive 2 3 15 2 2 7 2" xfId="21433" xr:uid="{00000000-0005-0000-0000-0000C6530000}"/>
    <cellStyle name="Positive 2 3 15 2 2 8" xfId="21434" xr:uid="{00000000-0005-0000-0000-0000C7530000}"/>
    <cellStyle name="Positive 2 3 15 2 2 8 2" xfId="21435" xr:uid="{00000000-0005-0000-0000-0000C8530000}"/>
    <cellStyle name="Positive 2 3 15 2 2 9" xfId="21436" xr:uid="{00000000-0005-0000-0000-0000C9530000}"/>
    <cellStyle name="Positive 2 3 15 2 2 9 2" xfId="21437" xr:uid="{00000000-0005-0000-0000-0000CA530000}"/>
    <cellStyle name="Positive 2 3 15 2 20" xfId="21438" xr:uid="{00000000-0005-0000-0000-0000CB530000}"/>
    <cellStyle name="Positive 2 3 15 2 3" xfId="21439" xr:uid="{00000000-0005-0000-0000-0000CC530000}"/>
    <cellStyle name="Positive 2 3 15 2 3 2" xfId="21440" xr:uid="{00000000-0005-0000-0000-0000CD530000}"/>
    <cellStyle name="Positive 2 3 15 2 3 2 2" xfId="21441" xr:uid="{00000000-0005-0000-0000-0000CE530000}"/>
    <cellStyle name="Positive 2 3 15 2 3 3" xfId="21442" xr:uid="{00000000-0005-0000-0000-0000CF530000}"/>
    <cellStyle name="Positive 2 3 15 2 4" xfId="21443" xr:uid="{00000000-0005-0000-0000-0000D0530000}"/>
    <cellStyle name="Positive 2 3 15 2 4 2" xfId="21444" xr:uid="{00000000-0005-0000-0000-0000D1530000}"/>
    <cellStyle name="Positive 2 3 15 2 4 2 2" xfId="21445" xr:uid="{00000000-0005-0000-0000-0000D2530000}"/>
    <cellStyle name="Positive 2 3 15 2 4 3" xfId="21446" xr:uid="{00000000-0005-0000-0000-0000D3530000}"/>
    <cellStyle name="Positive 2 3 15 2 5" xfId="21447" xr:uid="{00000000-0005-0000-0000-0000D4530000}"/>
    <cellStyle name="Positive 2 3 15 2 5 2" xfId="21448" xr:uid="{00000000-0005-0000-0000-0000D5530000}"/>
    <cellStyle name="Positive 2 3 15 2 6" xfId="21449" xr:uid="{00000000-0005-0000-0000-0000D6530000}"/>
    <cellStyle name="Positive 2 3 15 2 6 2" xfId="21450" xr:uid="{00000000-0005-0000-0000-0000D7530000}"/>
    <cellStyle name="Positive 2 3 15 2 7" xfId="21451" xr:uid="{00000000-0005-0000-0000-0000D8530000}"/>
    <cellStyle name="Positive 2 3 15 2 7 2" xfId="21452" xr:uid="{00000000-0005-0000-0000-0000D9530000}"/>
    <cellStyle name="Positive 2 3 15 2 8" xfId="21453" xr:uid="{00000000-0005-0000-0000-0000DA530000}"/>
    <cellStyle name="Positive 2 3 15 2 8 2" xfId="21454" xr:uid="{00000000-0005-0000-0000-0000DB530000}"/>
    <cellStyle name="Positive 2 3 15 2 9" xfId="21455" xr:uid="{00000000-0005-0000-0000-0000DC530000}"/>
    <cellStyle name="Positive 2 3 15 2 9 2" xfId="21456" xr:uid="{00000000-0005-0000-0000-0000DD530000}"/>
    <cellStyle name="Positive 2 3 15 20" xfId="21457" xr:uid="{00000000-0005-0000-0000-0000DE530000}"/>
    <cellStyle name="Positive 2 3 15 20 2" xfId="21458" xr:uid="{00000000-0005-0000-0000-0000DF530000}"/>
    <cellStyle name="Positive 2 3 15 21" xfId="21459" xr:uid="{00000000-0005-0000-0000-0000E0530000}"/>
    <cellStyle name="Positive 2 3 15 21 2" xfId="21460" xr:uid="{00000000-0005-0000-0000-0000E1530000}"/>
    <cellStyle name="Positive 2 3 15 22" xfId="21461" xr:uid="{00000000-0005-0000-0000-0000E2530000}"/>
    <cellStyle name="Positive 2 3 15 22 2" xfId="21462" xr:uid="{00000000-0005-0000-0000-0000E3530000}"/>
    <cellStyle name="Positive 2 3 15 23" xfId="21463" xr:uid="{00000000-0005-0000-0000-0000E4530000}"/>
    <cellStyle name="Positive 2 3 15 3" xfId="21464" xr:uid="{00000000-0005-0000-0000-0000E5530000}"/>
    <cellStyle name="Positive 2 3 15 3 10" xfId="21465" xr:uid="{00000000-0005-0000-0000-0000E6530000}"/>
    <cellStyle name="Positive 2 3 15 3 10 2" xfId="21466" xr:uid="{00000000-0005-0000-0000-0000E7530000}"/>
    <cellStyle name="Positive 2 3 15 3 11" xfId="21467" xr:uid="{00000000-0005-0000-0000-0000E8530000}"/>
    <cellStyle name="Positive 2 3 15 3 11 2" xfId="21468" xr:uid="{00000000-0005-0000-0000-0000E9530000}"/>
    <cellStyle name="Positive 2 3 15 3 12" xfId="21469" xr:uid="{00000000-0005-0000-0000-0000EA530000}"/>
    <cellStyle name="Positive 2 3 15 3 12 2" xfId="21470" xr:uid="{00000000-0005-0000-0000-0000EB530000}"/>
    <cellStyle name="Positive 2 3 15 3 13" xfId="21471" xr:uid="{00000000-0005-0000-0000-0000EC530000}"/>
    <cellStyle name="Positive 2 3 15 3 13 2" xfId="21472" xr:uid="{00000000-0005-0000-0000-0000ED530000}"/>
    <cellStyle name="Positive 2 3 15 3 14" xfId="21473" xr:uid="{00000000-0005-0000-0000-0000EE530000}"/>
    <cellStyle name="Positive 2 3 15 3 14 2" xfId="21474" xr:uid="{00000000-0005-0000-0000-0000EF530000}"/>
    <cellStyle name="Positive 2 3 15 3 15" xfId="21475" xr:uid="{00000000-0005-0000-0000-0000F0530000}"/>
    <cellStyle name="Positive 2 3 15 3 15 2" xfId="21476" xr:uid="{00000000-0005-0000-0000-0000F1530000}"/>
    <cellStyle name="Positive 2 3 15 3 16" xfId="21477" xr:uid="{00000000-0005-0000-0000-0000F2530000}"/>
    <cellStyle name="Positive 2 3 15 3 16 2" xfId="21478" xr:uid="{00000000-0005-0000-0000-0000F3530000}"/>
    <cellStyle name="Positive 2 3 15 3 17" xfId="21479" xr:uid="{00000000-0005-0000-0000-0000F4530000}"/>
    <cellStyle name="Positive 2 3 15 3 17 2" xfId="21480" xr:uid="{00000000-0005-0000-0000-0000F5530000}"/>
    <cellStyle name="Positive 2 3 15 3 18" xfId="21481" xr:uid="{00000000-0005-0000-0000-0000F6530000}"/>
    <cellStyle name="Positive 2 3 15 3 18 2" xfId="21482" xr:uid="{00000000-0005-0000-0000-0000F7530000}"/>
    <cellStyle name="Positive 2 3 15 3 19" xfId="21483" xr:uid="{00000000-0005-0000-0000-0000F8530000}"/>
    <cellStyle name="Positive 2 3 15 3 19 2" xfId="21484" xr:uid="{00000000-0005-0000-0000-0000F9530000}"/>
    <cellStyle name="Positive 2 3 15 3 2" xfId="21485" xr:uid="{00000000-0005-0000-0000-0000FA530000}"/>
    <cellStyle name="Positive 2 3 15 3 2 10" xfId="21486" xr:uid="{00000000-0005-0000-0000-0000FB530000}"/>
    <cellStyle name="Positive 2 3 15 3 2 10 2" xfId="21487" xr:uid="{00000000-0005-0000-0000-0000FC530000}"/>
    <cellStyle name="Positive 2 3 15 3 2 11" xfId="21488" xr:uid="{00000000-0005-0000-0000-0000FD530000}"/>
    <cellStyle name="Positive 2 3 15 3 2 11 2" xfId="21489" xr:uid="{00000000-0005-0000-0000-0000FE530000}"/>
    <cellStyle name="Positive 2 3 15 3 2 12" xfId="21490" xr:uid="{00000000-0005-0000-0000-0000FF530000}"/>
    <cellStyle name="Positive 2 3 15 3 2 12 2" xfId="21491" xr:uid="{00000000-0005-0000-0000-000000540000}"/>
    <cellStyle name="Positive 2 3 15 3 2 13" xfId="21492" xr:uid="{00000000-0005-0000-0000-000001540000}"/>
    <cellStyle name="Positive 2 3 15 3 2 13 2" xfId="21493" xr:uid="{00000000-0005-0000-0000-000002540000}"/>
    <cellStyle name="Positive 2 3 15 3 2 14" xfId="21494" xr:uid="{00000000-0005-0000-0000-000003540000}"/>
    <cellStyle name="Positive 2 3 15 3 2 14 2" xfId="21495" xr:uid="{00000000-0005-0000-0000-000004540000}"/>
    <cellStyle name="Positive 2 3 15 3 2 15" xfId="21496" xr:uid="{00000000-0005-0000-0000-000005540000}"/>
    <cellStyle name="Positive 2 3 15 3 2 15 2" xfId="21497" xr:uid="{00000000-0005-0000-0000-000006540000}"/>
    <cellStyle name="Positive 2 3 15 3 2 16" xfId="21498" xr:uid="{00000000-0005-0000-0000-000007540000}"/>
    <cellStyle name="Positive 2 3 15 3 2 16 2" xfId="21499" xr:uid="{00000000-0005-0000-0000-000008540000}"/>
    <cellStyle name="Positive 2 3 15 3 2 17" xfId="21500" xr:uid="{00000000-0005-0000-0000-000009540000}"/>
    <cellStyle name="Positive 2 3 15 3 2 2" xfId="21501" xr:uid="{00000000-0005-0000-0000-00000A540000}"/>
    <cellStyle name="Positive 2 3 15 3 2 2 2" xfId="21502" xr:uid="{00000000-0005-0000-0000-00000B540000}"/>
    <cellStyle name="Positive 2 3 15 3 2 3" xfId="21503" xr:uid="{00000000-0005-0000-0000-00000C540000}"/>
    <cellStyle name="Positive 2 3 15 3 2 3 2" xfId="21504" xr:uid="{00000000-0005-0000-0000-00000D540000}"/>
    <cellStyle name="Positive 2 3 15 3 2 4" xfId="21505" xr:uid="{00000000-0005-0000-0000-00000E540000}"/>
    <cellStyle name="Positive 2 3 15 3 2 4 2" xfId="21506" xr:uid="{00000000-0005-0000-0000-00000F540000}"/>
    <cellStyle name="Positive 2 3 15 3 2 5" xfId="21507" xr:uid="{00000000-0005-0000-0000-000010540000}"/>
    <cellStyle name="Positive 2 3 15 3 2 5 2" xfId="21508" xr:uid="{00000000-0005-0000-0000-000011540000}"/>
    <cellStyle name="Positive 2 3 15 3 2 6" xfId="21509" xr:uid="{00000000-0005-0000-0000-000012540000}"/>
    <cellStyle name="Positive 2 3 15 3 2 6 2" xfId="21510" xr:uid="{00000000-0005-0000-0000-000013540000}"/>
    <cellStyle name="Positive 2 3 15 3 2 7" xfId="21511" xr:uid="{00000000-0005-0000-0000-000014540000}"/>
    <cellStyle name="Positive 2 3 15 3 2 7 2" xfId="21512" xr:uid="{00000000-0005-0000-0000-000015540000}"/>
    <cellStyle name="Positive 2 3 15 3 2 8" xfId="21513" xr:uid="{00000000-0005-0000-0000-000016540000}"/>
    <cellStyle name="Positive 2 3 15 3 2 8 2" xfId="21514" xr:uid="{00000000-0005-0000-0000-000017540000}"/>
    <cellStyle name="Positive 2 3 15 3 2 9" xfId="21515" xr:uid="{00000000-0005-0000-0000-000018540000}"/>
    <cellStyle name="Positive 2 3 15 3 2 9 2" xfId="21516" xr:uid="{00000000-0005-0000-0000-000019540000}"/>
    <cellStyle name="Positive 2 3 15 3 20" xfId="21517" xr:uid="{00000000-0005-0000-0000-00001A540000}"/>
    <cellStyle name="Positive 2 3 15 3 3" xfId="21518" xr:uid="{00000000-0005-0000-0000-00001B540000}"/>
    <cellStyle name="Positive 2 3 15 3 3 2" xfId="21519" xr:uid="{00000000-0005-0000-0000-00001C540000}"/>
    <cellStyle name="Positive 2 3 15 3 3 2 2" xfId="21520" xr:uid="{00000000-0005-0000-0000-00001D540000}"/>
    <cellStyle name="Positive 2 3 15 3 3 3" xfId="21521" xr:uid="{00000000-0005-0000-0000-00001E540000}"/>
    <cellStyle name="Positive 2 3 15 3 4" xfId="21522" xr:uid="{00000000-0005-0000-0000-00001F540000}"/>
    <cellStyle name="Positive 2 3 15 3 4 2" xfId="21523" xr:uid="{00000000-0005-0000-0000-000020540000}"/>
    <cellStyle name="Positive 2 3 15 3 4 2 2" xfId="21524" xr:uid="{00000000-0005-0000-0000-000021540000}"/>
    <cellStyle name="Positive 2 3 15 3 4 3" xfId="21525" xr:uid="{00000000-0005-0000-0000-000022540000}"/>
    <cellStyle name="Positive 2 3 15 3 5" xfId="21526" xr:uid="{00000000-0005-0000-0000-000023540000}"/>
    <cellStyle name="Positive 2 3 15 3 5 2" xfId="21527" xr:uid="{00000000-0005-0000-0000-000024540000}"/>
    <cellStyle name="Positive 2 3 15 3 6" xfId="21528" xr:uid="{00000000-0005-0000-0000-000025540000}"/>
    <cellStyle name="Positive 2 3 15 3 6 2" xfId="21529" xr:uid="{00000000-0005-0000-0000-000026540000}"/>
    <cellStyle name="Positive 2 3 15 3 7" xfId="21530" xr:uid="{00000000-0005-0000-0000-000027540000}"/>
    <cellStyle name="Positive 2 3 15 3 7 2" xfId="21531" xr:uid="{00000000-0005-0000-0000-000028540000}"/>
    <cellStyle name="Positive 2 3 15 3 8" xfId="21532" xr:uid="{00000000-0005-0000-0000-000029540000}"/>
    <cellStyle name="Positive 2 3 15 3 8 2" xfId="21533" xr:uid="{00000000-0005-0000-0000-00002A540000}"/>
    <cellStyle name="Positive 2 3 15 3 9" xfId="21534" xr:uid="{00000000-0005-0000-0000-00002B540000}"/>
    <cellStyle name="Positive 2 3 15 3 9 2" xfId="21535" xr:uid="{00000000-0005-0000-0000-00002C540000}"/>
    <cellStyle name="Positive 2 3 15 4" xfId="21536" xr:uid="{00000000-0005-0000-0000-00002D540000}"/>
    <cellStyle name="Positive 2 3 15 4 10" xfId="21537" xr:uid="{00000000-0005-0000-0000-00002E540000}"/>
    <cellStyle name="Positive 2 3 15 4 10 2" xfId="21538" xr:uid="{00000000-0005-0000-0000-00002F540000}"/>
    <cellStyle name="Positive 2 3 15 4 11" xfId="21539" xr:uid="{00000000-0005-0000-0000-000030540000}"/>
    <cellStyle name="Positive 2 3 15 4 11 2" xfId="21540" xr:uid="{00000000-0005-0000-0000-000031540000}"/>
    <cellStyle name="Positive 2 3 15 4 12" xfId="21541" xr:uid="{00000000-0005-0000-0000-000032540000}"/>
    <cellStyle name="Positive 2 3 15 4 12 2" xfId="21542" xr:uid="{00000000-0005-0000-0000-000033540000}"/>
    <cellStyle name="Positive 2 3 15 4 13" xfId="21543" xr:uid="{00000000-0005-0000-0000-000034540000}"/>
    <cellStyle name="Positive 2 3 15 4 13 2" xfId="21544" xr:uid="{00000000-0005-0000-0000-000035540000}"/>
    <cellStyle name="Positive 2 3 15 4 14" xfId="21545" xr:uid="{00000000-0005-0000-0000-000036540000}"/>
    <cellStyle name="Positive 2 3 15 4 14 2" xfId="21546" xr:uid="{00000000-0005-0000-0000-000037540000}"/>
    <cellStyle name="Positive 2 3 15 4 15" xfId="21547" xr:uid="{00000000-0005-0000-0000-000038540000}"/>
    <cellStyle name="Positive 2 3 15 4 15 2" xfId="21548" xr:uid="{00000000-0005-0000-0000-000039540000}"/>
    <cellStyle name="Positive 2 3 15 4 16" xfId="21549" xr:uid="{00000000-0005-0000-0000-00003A540000}"/>
    <cellStyle name="Positive 2 3 15 4 16 2" xfId="21550" xr:uid="{00000000-0005-0000-0000-00003B540000}"/>
    <cellStyle name="Positive 2 3 15 4 17" xfId="21551" xr:uid="{00000000-0005-0000-0000-00003C540000}"/>
    <cellStyle name="Positive 2 3 15 4 17 2" xfId="21552" xr:uid="{00000000-0005-0000-0000-00003D540000}"/>
    <cellStyle name="Positive 2 3 15 4 18" xfId="21553" xr:uid="{00000000-0005-0000-0000-00003E540000}"/>
    <cellStyle name="Positive 2 3 15 4 18 2" xfId="21554" xr:uid="{00000000-0005-0000-0000-00003F540000}"/>
    <cellStyle name="Positive 2 3 15 4 19" xfId="21555" xr:uid="{00000000-0005-0000-0000-000040540000}"/>
    <cellStyle name="Positive 2 3 15 4 19 2" xfId="21556" xr:uid="{00000000-0005-0000-0000-000041540000}"/>
    <cellStyle name="Positive 2 3 15 4 2" xfId="21557" xr:uid="{00000000-0005-0000-0000-000042540000}"/>
    <cellStyle name="Positive 2 3 15 4 2 10" xfId="21558" xr:uid="{00000000-0005-0000-0000-000043540000}"/>
    <cellStyle name="Positive 2 3 15 4 2 10 2" xfId="21559" xr:uid="{00000000-0005-0000-0000-000044540000}"/>
    <cellStyle name="Positive 2 3 15 4 2 11" xfId="21560" xr:uid="{00000000-0005-0000-0000-000045540000}"/>
    <cellStyle name="Positive 2 3 15 4 2 11 2" xfId="21561" xr:uid="{00000000-0005-0000-0000-000046540000}"/>
    <cellStyle name="Positive 2 3 15 4 2 12" xfId="21562" xr:uid="{00000000-0005-0000-0000-000047540000}"/>
    <cellStyle name="Positive 2 3 15 4 2 12 2" xfId="21563" xr:uid="{00000000-0005-0000-0000-000048540000}"/>
    <cellStyle name="Positive 2 3 15 4 2 13" xfId="21564" xr:uid="{00000000-0005-0000-0000-000049540000}"/>
    <cellStyle name="Positive 2 3 15 4 2 13 2" xfId="21565" xr:uid="{00000000-0005-0000-0000-00004A540000}"/>
    <cellStyle name="Positive 2 3 15 4 2 14" xfId="21566" xr:uid="{00000000-0005-0000-0000-00004B540000}"/>
    <cellStyle name="Positive 2 3 15 4 2 14 2" xfId="21567" xr:uid="{00000000-0005-0000-0000-00004C540000}"/>
    <cellStyle name="Positive 2 3 15 4 2 15" xfId="21568" xr:uid="{00000000-0005-0000-0000-00004D540000}"/>
    <cellStyle name="Positive 2 3 15 4 2 15 2" xfId="21569" xr:uid="{00000000-0005-0000-0000-00004E540000}"/>
    <cellStyle name="Positive 2 3 15 4 2 16" xfId="21570" xr:uid="{00000000-0005-0000-0000-00004F540000}"/>
    <cellStyle name="Positive 2 3 15 4 2 16 2" xfId="21571" xr:uid="{00000000-0005-0000-0000-000050540000}"/>
    <cellStyle name="Positive 2 3 15 4 2 17" xfId="21572" xr:uid="{00000000-0005-0000-0000-000051540000}"/>
    <cellStyle name="Positive 2 3 15 4 2 2" xfId="21573" xr:uid="{00000000-0005-0000-0000-000052540000}"/>
    <cellStyle name="Positive 2 3 15 4 2 2 2" xfId="21574" xr:uid="{00000000-0005-0000-0000-000053540000}"/>
    <cellStyle name="Positive 2 3 15 4 2 3" xfId="21575" xr:uid="{00000000-0005-0000-0000-000054540000}"/>
    <cellStyle name="Positive 2 3 15 4 2 3 2" xfId="21576" xr:uid="{00000000-0005-0000-0000-000055540000}"/>
    <cellStyle name="Positive 2 3 15 4 2 4" xfId="21577" xr:uid="{00000000-0005-0000-0000-000056540000}"/>
    <cellStyle name="Positive 2 3 15 4 2 4 2" xfId="21578" xr:uid="{00000000-0005-0000-0000-000057540000}"/>
    <cellStyle name="Positive 2 3 15 4 2 5" xfId="21579" xr:uid="{00000000-0005-0000-0000-000058540000}"/>
    <cellStyle name="Positive 2 3 15 4 2 5 2" xfId="21580" xr:uid="{00000000-0005-0000-0000-000059540000}"/>
    <cellStyle name="Positive 2 3 15 4 2 6" xfId="21581" xr:uid="{00000000-0005-0000-0000-00005A540000}"/>
    <cellStyle name="Positive 2 3 15 4 2 6 2" xfId="21582" xr:uid="{00000000-0005-0000-0000-00005B540000}"/>
    <cellStyle name="Positive 2 3 15 4 2 7" xfId="21583" xr:uid="{00000000-0005-0000-0000-00005C540000}"/>
    <cellStyle name="Positive 2 3 15 4 2 7 2" xfId="21584" xr:uid="{00000000-0005-0000-0000-00005D540000}"/>
    <cellStyle name="Positive 2 3 15 4 2 8" xfId="21585" xr:uid="{00000000-0005-0000-0000-00005E540000}"/>
    <cellStyle name="Positive 2 3 15 4 2 8 2" xfId="21586" xr:uid="{00000000-0005-0000-0000-00005F540000}"/>
    <cellStyle name="Positive 2 3 15 4 2 9" xfId="21587" xr:uid="{00000000-0005-0000-0000-000060540000}"/>
    <cellStyle name="Positive 2 3 15 4 2 9 2" xfId="21588" xr:uid="{00000000-0005-0000-0000-000061540000}"/>
    <cellStyle name="Positive 2 3 15 4 20" xfId="21589" xr:uid="{00000000-0005-0000-0000-000062540000}"/>
    <cellStyle name="Positive 2 3 15 4 3" xfId="21590" xr:uid="{00000000-0005-0000-0000-000063540000}"/>
    <cellStyle name="Positive 2 3 15 4 3 2" xfId="21591" xr:uid="{00000000-0005-0000-0000-000064540000}"/>
    <cellStyle name="Positive 2 3 15 4 3 2 2" xfId="21592" xr:uid="{00000000-0005-0000-0000-000065540000}"/>
    <cellStyle name="Positive 2 3 15 4 3 3" xfId="21593" xr:uid="{00000000-0005-0000-0000-000066540000}"/>
    <cellStyle name="Positive 2 3 15 4 4" xfId="21594" xr:uid="{00000000-0005-0000-0000-000067540000}"/>
    <cellStyle name="Positive 2 3 15 4 4 2" xfId="21595" xr:uid="{00000000-0005-0000-0000-000068540000}"/>
    <cellStyle name="Positive 2 3 15 4 4 2 2" xfId="21596" xr:uid="{00000000-0005-0000-0000-000069540000}"/>
    <cellStyle name="Positive 2 3 15 4 4 3" xfId="21597" xr:uid="{00000000-0005-0000-0000-00006A540000}"/>
    <cellStyle name="Positive 2 3 15 4 5" xfId="21598" xr:uid="{00000000-0005-0000-0000-00006B540000}"/>
    <cellStyle name="Positive 2 3 15 4 5 2" xfId="21599" xr:uid="{00000000-0005-0000-0000-00006C540000}"/>
    <cellStyle name="Positive 2 3 15 4 6" xfId="21600" xr:uid="{00000000-0005-0000-0000-00006D540000}"/>
    <cellStyle name="Positive 2 3 15 4 6 2" xfId="21601" xr:uid="{00000000-0005-0000-0000-00006E540000}"/>
    <cellStyle name="Positive 2 3 15 4 7" xfId="21602" xr:uid="{00000000-0005-0000-0000-00006F540000}"/>
    <cellStyle name="Positive 2 3 15 4 7 2" xfId="21603" xr:uid="{00000000-0005-0000-0000-000070540000}"/>
    <cellStyle name="Positive 2 3 15 4 8" xfId="21604" xr:uid="{00000000-0005-0000-0000-000071540000}"/>
    <cellStyle name="Positive 2 3 15 4 8 2" xfId="21605" xr:uid="{00000000-0005-0000-0000-000072540000}"/>
    <cellStyle name="Positive 2 3 15 4 9" xfId="21606" xr:uid="{00000000-0005-0000-0000-000073540000}"/>
    <cellStyle name="Positive 2 3 15 4 9 2" xfId="21607" xr:uid="{00000000-0005-0000-0000-000074540000}"/>
    <cellStyle name="Positive 2 3 15 5" xfId="21608" xr:uid="{00000000-0005-0000-0000-000075540000}"/>
    <cellStyle name="Positive 2 3 15 5 10" xfId="21609" xr:uid="{00000000-0005-0000-0000-000076540000}"/>
    <cellStyle name="Positive 2 3 15 5 10 2" xfId="21610" xr:uid="{00000000-0005-0000-0000-000077540000}"/>
    <cellStyle name="Positive 2 3 15 5 11" xfId="21611" xr:uid="{00000000-0005-0000-0000-000078540000}"/>
    <cellStyle name="Positive 2 3 15 5 11 2" xfId="21612" xr:uid="{00000000-0005-0000-0000-000079540000}"/>
    <cellStyle name="Positive 2 3 15 5 12" xfId="21613" xr:uid="{00000000-0005-0000-0000-00007A540000}"/>
    <cellStyle name="Positive 2 3 15 5 12 2" xfId="21614" xr:uid="{00000000-0005-0000-0000-00007B540000}"/>
    <cellStyle name="Positive 2 3 15 5 13" xfId="21615" xr:uid="{00000000-0005-0000-0000-00007C540000}"/>
    <cellStyle name="Positive 2 3 15 5 13 2" xfId="21616" xr:uid="{00000000-0005-0000-0000-00007D540000}"/>
    <cellStyle name="Positive 2 3 15 5 14" xfId="21617" xr:uid="{00000000-0005-0000-0000-00007E540000}"/>
    <cellStyle name="Positive 2 3 15 5 14 2" xfId="21618" xr:uid="{00000000-0005-0000-0000-00007F540000}"/>
    <cellStyle name="Positive 2 3 15 5 15" xfId="21619" xr:uid="{00000000-0005-0000-0000-000080540000}"/>
    <cellStyle name="Positive 2 3 15 5 15 2" xfId="21620" xr:uid="{00000000-0005-0000-0000-000081540000}"/>
    <cellStyle name="Positive 2 3 15 5 16" xfId="21621" xr:uid="{00000000-0005-0000-0000-000082540000}"/>
    <cellStyle name="Positive 2 3 15 5 16 2" xfId="21622" xr:uid="{00000000-0005-0000-0000-000083540000}"/>
    <cellStyle name="Positive 2 3 15 5 17" xfId="21623" xr:uid="{00000000-0005-0000-0000-000084540000}"/>
    <cellStyle name="Positive 2 3 15 5 2" xfId="21624" xr:uid="{00000000-0005-0000-0000-000085540000}"/>
    <cellStyle name="Positive 2 3 15 5 2 2" xfId="21625" xr:uid="{00000000-0005-0000-0000-000086540000}"/>
    <cellStyle name="Positive 2 3 15 5 3" xfId="21626" xr:uid="{00000000-0005-0000-0000-000087540000}"/>
    <cellStyle name="Positive 2 3 15 5 3 2" xfId="21627" xr:uid="{00000000-0005-0000-0000-000088540000}"/>
    <cellStyle name="Positive 2 3 15 5 4" xfId="21628" xr:uid="{00000000-0005-0000-0000-000089540000}"/>
    <cellStyle name="Positive 2 3 15 5 4 2" xfId="21629" xr:uid="{00000000-0005-0000-0000-00008A540000}"/>
    <cellStyle name="Positive 2 3 15 5 5" xfId="21630" xr:uid="{00000000-0005-0000-0000-00008B540000}"/>
    <cellStyle name="Positive 2 3 15 5 5 2" xfId="21631" xr:uid="{00000000-0005-0000-0000-00008C540000}"/>
    <cellStyle name="Positive 2 3 15 5 6" xfId="21632" xr:uid="{00000000-0005-0000-0000-00008D540000}"/>
    <cellStyle name="Positive 2 3 15 5 6 2" xfId="21633" xr:uid="{00000000-0005-0000-0000-00008E540000}"/>
    <cellStyle name="Positive 2 3 15 5 7" xfId="21634" xr:uid="{00000000-0005-0000-0000-00008F540000}"/>
    <cellStyle name="Positive 2 3 15 5 7 2" xfId="21635" xr:uid="{00000000-0005-0000-0000-000090540000}"/>
    <cellStyle name="Positive 2 3 15 5 8" xfId="21636" xr:uid="{00000000-0005-0000-0000-000091540000}"/>
    <cellStyle name="Positive 2 3 15 5 8 2" xfId="21637" xr:uid="{00000000-0005-0000-0000-000092540000}"/>
    <cellStyle name="Positive 2 3 15 5 9" xfId="21638" xr:uid="{00000000-0005-0000-0000-000093540000}"/>
    <cellStyle name="Positive 2 3 15 5 9 2" xfId="21639" xr:uid="{00000000-0005-0000-0000-000094540000}"/>
    <cellStyle name="Positive 2 3 15 6" xfId="21640" xr:uid="{00000000-0005-0000-0000-000095540000}"/>
    <cellStyle name="Positive 2 3 15 6 2" xfId="21641" xr:uid="{00000000-0005-0000-0000-000096540000}"/>
    <cellStyle name="Positive 2 3 15 6 2 2" xfId="21642" xr:uid="{00000000-0005-0000-0000-000097540000}"/>
    <cellStyle name="Positive 2 3 15 6 3" xfId="21643" xr:uid="{00000000-0005-0000-0000-000098540000}"/>
    <cellStyle name="Positive 2 3 15 7" xfId="21644" xr:uid="{00000000-0005-0000-0000-000099540000}"/>
    <cellStyle name="Positive 2 3 15 7 2" xfId="21645" xr:uid="{00000000-0005-0000-0000-00009A540000}"/>
    <cellStyle name="Positive 2 3 15 7 2 2" xfId="21646" xr:uid="{00000000-0005-0000-0000-00009B540000}"/>
    <cellStyle name="Positive 2 3 15 7 3" xfId="21647" xr:uid="{00000000-0005-0000-0000-00009C540000}"/>
    <cellStyle name="Positive 2 3 15 8" xfId="21648" xr:uid="{00000000-0005-0000-0000-00009D540000}"/>
    <cellStyle name="Positive 2 3 15 8 2" xfId="21649" xr:uid="{00000000-0005-0000-0000-00009E540000}"/>
    <cellStyle name="Positive 2 3 15 9" xfId="21650" xr:uid="{00000000-0005-0000-0000-00009F540000}"/>
    <cellStyle name="Positive 2 3 15 9 2" xfId="21651" xr:uid="{00000000-0005-0000-0000-0000A0540000}"/>
    <cellStyle name="Positive 2 3 16" xfId="21652" xr:uid="{00000000-0005-0000-0000-0000A1540000}"/>
    <cellStyle name="Positive 2 3 16 10" xfId="21653" xr:uid="{00000000-0005-0000-0000-0000A2540000}"/>
    <cellStyle name="Positive 2 3 16 10 2" xfId="21654" xr:uid="{00000000-0005-0000-0000-0000A3540000}"/>
    <cellStyle name="Positive 2 3 16 11" xfId="21655" xr:uid="{00000000-0005-0000-0000-0000A4540000}"/>
    <cellStyle name="Positive 2 3 16 11 2" xfId="21656" xr:uid="{00000000-0005-0000-0000-0000A5540000}"/>
    <cellStyle name="Positive 2 3 16 12" xfId="21657" xr:uid="{00000000-0005-0000-0000-0000A6540000}"/>
    <cellStyle name="Positive 2 3 16 12 2" xfId="21658" xr:uid="{00000000-0005-0000-0000-0000A7540000}"/>
    <cellStyle name="Positive 2 3 16 13" xfId="21659" xr:uid="{00000000-0005-0000-0000-0000A8540000}"/>
    <cellStyle name="Positive 2 3 16 13 2" xfId="21660" xr:uid="{00000000-0005-0000-0000-0000A9540000}"/>
    <cellStyle name="Positive 2 3 16 14" xfId="21661" xr:uid="{00000000-0005-0000-0000-0000AA540000}"/>
    <cellStyle name="Positive 2 3 16 14 2" xfId="21662" xr:uid="{00000000-0005-0000-0000-0000AB540000}"/>
    <cellStyle name="Positive 2 3 16 15" xfId="21663" xr:uid="{00000000-0005-0000-0000-0000AC540000}"/>
    <cellStyle name="Positive 2 3 16 15 2" xfId="21664" xr:uid="{00000000-0005-0000-0000-0000AD540000}"/>
    <cellStyle name="Positive 2 3 16 16" xfId="21665" xr:uid="{00000000-0005-0000-0000-0000AE540000}"/>
    <cellStyle name="Positive 2 3 16 16 2" xfId="21666" xr:uid="{00000000-0005-0000-0000-0000AF540000}"/>
    <cellStyle name="Positive 2 3 16 17" xfId="21667" xr:uid="{00000000-0005-0000-0000-0000B0540000}"/>
    <cellStyle name="Positive 2 3 16 17 2" xfId="21668" xr:uid="{00000000-0005-0000-0000-0000B1540000}"/>
    <cellStyle name="Positive 2 3 16 18" xfId="21669" xr:uid="{00000000-0005-0000-0000-0000B2540000}"/>
    <cellStyle name="Positive 2 3 16 18 2" xfId="21670" xr:uid="{00000000-0005-0000-0000-0000B3540000}"/>
    <cellStyle name="Positive 2 3 16 19" xfId="21671" xr:uid="{00000000-0005-0000-0000-0000B4540000}"/>
    <cellStyle name="Positive 2 3 16 19 2" xfId="21672" xr:uid="{00000000-0005-0000-0000-0000B5540000}"/>
    <cellStyle name="Positive 2 3 16 2" xfId="21673" xr:uid="{00000000-0005-0000-0000-0000B6540000}"/>
    <cellStyle name="Positive 2 3 16 2 10" xfId="21674" xr:uid="{00000000-0005-0000-0000-0000B7540000}"/>
    <cellStyle name="Positive 2 3 16 2 10 2" xfId="21675" xr:uid="{00000000-0005-0000-0000-0000B8540000}"/>
    <cellStyle name="Positive 2 3 16 2 11" xfId="21676" xr:uid="{00000000-0005-0000-0000-0000B9540000}"/>
    <cellStyle name="Positive 2 3 16 2 11 2" xfId="21677" xr:uid="{00000000-0005-0000-0000-0000BA540000}"/>
    <cellStyle name="Positive 2 3 16 2 12" xfId="21678" xr:uid="{00000000-0005-0000-0000-0000BB540000}"/>
    <cellStyle name="Positive 2 3 16 2 12 2" xfId="21679" xr:uid="{00000000-0005-0000-0000-0000BC540000}"/>
    <cellStyle name="Positive 2 3 16 2 13" xfId="21680" xr:uid="{00000000-0005-0000-0000-0000BD540000}"/>
    <cellStyle name="Positive 2 3 16 2 13 2" xfId="21681" xr:uid="{00000000-0005-0000-0000-0000BE540000}"/>
    <cellStyle name="Positive 2 3 16 2 14" xfId="21682" xr:uid="{00000000-0005-0000-0000-0000BF540000}"/>
    <cellStyle name="Positive 2 3 16 2 14 2" xfId="21683" xr:uid="{00000000-0005-0000-0000-0000C0540000}"/>
    <cellStyle name="Positive 2 3 16 2 15" xfId="21684" xr:uid="{00000000-0005-0000-0000-0000C1540000}"/>
    <cellStyle name="Positive 2 3 16 2 15 2" xfId="21685" xr:uid="{00000000-0005-0000-0000-0000C2540000}"/>
    <cellStyle name="Positive 2 3 16 2 16" xfId="21686" xr:uid="{00000000-0005-0000-0000-0000C3540000}"/>
    <cellStyle name="Positive 2 3 16 2 16 2" xfId="21687" xr:uid="{00000000-0005-0000-0000-0000C4540000}"/>
    <cellStyle name="Positive 2 3 16 2 17" xfId="21688" xr:uid="{00000000-0005-0000-0000-0000C5540000}"/>
    <cellStyle name="Positive 2 3 16 2 2" xfId="21689" xr:uid="{00000000-0005-0000-0000-0000C6540000}"/>
    <cellStyle name="Positive 2 3 16 2 2 2" xfId="21690" xr:uid="{00000000-0005-0000-0000-0000C7540000}"/>
    <cellStyle name="Positive 2 3 16 2 3" xfId="21691" xr:uid="{00000000-0005-0000-0000-0000C8540000}"/>
    <cellStyle name="Positive 2 3 16 2 3 2" xfId="21692" xr:uid="{00000000-0005-0000-0000-0000C9540000}"/>
    <cellStyle name="Positive 2 3 16 2 4" xfId="21693" xr:uid="{00000000-0005-0000-0000-0000CA540000}"/>
    <cellStyle name="Positive 2 3 16 2 4 2" xfId="21694" xr:uid="{00000000-0005-0000-0000-0000CB540000}"/>
    <cellStyle name="Positive 2 3 16 2 5" xfId="21695" xr:uid="{00000000-0005-0000-0000-0000CC540000}"/>
    <cellStyle name="Positive 2 3 16 2 5 2" xfId="21696" xr:uid="{00000000-0005-0000-0000-0000CD540000}"/>
    <cellStyle name="Positive 2 3 16 2 6" xfId="21697" xr:uid="{00000000-0005-0000-0000-0000CE540000}"/>
    <cellStyle name="Positive 2 3 16 2 6 2" xfId="21698" xr:uid="{00000000-0005-0000-0000-0000CF540000}"/>
    <cellStyle name="Positive 2 3 16 2 7" xfId="21699" xr:uid="{00000000-0005-0000-0000-0000D0540000}"/>
    <cellStyle name="Positive 2 3 16 2 7 2" xfId="21700" xr:uid="{00000000-0005-0000-0000-0000D1540000}"/>
    <cellStyle name="Positive 2 3 16 2 8" xfId="21701" xr:uid="{00000000-0005-0000-0000-0000D2540000}"/>
    <cellStyle name="Positive 2 3 16 2 8 2" xfId="21702" xr:uid="{00000000-0005-0000-0000-0000D3540000}"/>
    <cellStyle name="Positive 2 3 16 2 9" xfId="21703" xr:uid="{00000000-0005-0000-0000-0000D4540000}"/>
    <cellStyle name="Positive 2 3 16 2 9 2" xfId="21704" xr:uid="{00000000-0005-0000-0000-0000D5540000}"/>
    <cellStyle name="Positive 2 3 16 20" xfId="21705" xr:uid="{00000000-0005-0000-0000-0000D6540000}"/>
    <cellStyle name="Positive 2 3 16 3" xfId="21706" xr:uid="{00000000-0005-0000-0000-0000D7540000}"/>
    <cellStyle name="Positive 2 3 16 3 2" xfId="21707" xr:uid="{00000000-0005-0000-0000-0000D8540000}"/>
    <cellStyle name="Positive 2 3 16 3 2 2" xfId="21708" xr:uid="{00000000-0005-0000-0000-0000D9540000}"/>
    <cellStyle name="Positive 2 3 16 3 3" xfId="21709" xr:uid="{00000000-0005-0000-0000-0000DA540000}"/>
    <cellStyle name="Positive 2 3 16 4" xfId="21710" xr:uid="{00000000-0005-0000-0000-0000DB540000}"/>
    <cellStyle name="Positive 2 3 16 4 2" xfId="21711" xr:uid="{00000000-0005-0000-0000-0000DC540000}"/>
    <cellStyle name="Positive 2 3 16 4 2 2" xfId="21712" xr:uid="{00000000-0005-0000-0000-0000DD540000}"/>
    <cellStyle name="Positive 2 3 16 4 3" xfId="21713" xr:uid="{00000000-0005-0000-0000-0000DE540000}"/>
    <cellStyle name="Positive 2 3 16 5" xfId="21714" xr:uid="{00000000-0005-0000-0000-0000DF540000}"/>
    <cellStyle name="Positive 2 3 16 5 2" xfId="21715" xr:uid="{00000000-0005-0000-0000-0000E0540000}"/>
    <cellStyle name="Positive 2 3 16 6" xfId="21716" xr:uid="{00000000-0005-0000-0000-0000E1540000}"/>
    <cellStyle name="Positive 2 3 16 6 2" xfId="21717" xr:uid="{00000000-0005-0000-0000-0000E2540000}"/>
    <cellStyle name="Positive 2 3 16 7" xfId="21718" xr:uid="{00000000-0005-0000-0000-0000E3540000}"/>
    <cellStyle name="Positive 2 3 16 7 2" xfId="21719" xr:uid="{00000000-0005-0000-0000-0000E4540000}"/>
    <cellStyle name="Positive 2 3 16 8" xfId="21720" xr:uid="{00000000-0005-0000-0000-0000E5540000}"/>
    <cellStyle name="Positive 2 3 16 8 2" xfId="21721" xr:uid="{00000000-0005-0000-0000-0000E6540000}"/>
    <cellStyle name="Positive 2 3 16 9" xfId="21722" xr:uid="{00000000-0005-0000-0000-0000E7540000}"/>
    <cellStyle name="Positive 2 3 16 9 2" xfId="21723" xr:uid="{00000000-0005-0000-0000-0000E8540000}"/>
    <cellStyle name="Positive 2 3 17" xfId="21724" xr:uid="{00000000-0005-0000-0000-0000E9540000}"/>
    <cellStyle name="Positive 2 3 17 10" xfId="21725" xr:uid="{00000000-0005-0000-0000-0000EA540000}"/>
    <cellStyle name="Positive 2 3 17 10 2" xfId="21726" xr:uid="{00000000-0005-0000-0000-0000EB540000}"/>
    <cellStyle name="Positive 2 3 17 11" xfId="21727" xr:uid="{00000000-0005-0000-0000-0000EC540000}"/>
    <cellStyle name="Positive 2 3 17 11 2" xfId="21728" xr:uid="{00000000-0005-0000-0000-0000ED540000}"/>
    <cellStyle name="Positive 2 3 17 12" xfId="21729" xr:uid="{00000000-0005-0000-0000-0000EE540000}"/>
    <cellStyle name="Positive 2 3 17 12 2" xfId="21730" xr:uid="{00000000-0005-0000-0000-0000EF540000}"/>
    <cellStyle name="Positive 2 3 17 13" xfId="21731" xr:uid="{00000000-0005-0000-0000-0000F0540000}"/>
    <cellStyle name="Positive 2 3 17 13 2" xfId="21732" xr:uid="{00000000-0005-0000-0000-0000F1540000}"/>
    <cellStyle name="Positive 2 3 17 14" xfId="21733" xr:uid="{00000000-0005-0000-0000-0000F2540000}"/>
    <cellStyle name="Positive 2 3 17 14 2" xfId="21734" xr:uid="{00000000-0005-0000-0000-0000F3540000}"/>
    <cellStyle name="Positive 2 3 17 15" xfId="21735" xr:uid="{00000000-0005-0000-0000-0000F4540000}"/>
    <cellStyle name="Positive 2 3 17 15 2" xfId="21736" xr:uid="{00000000-0005-0000-0000-0000F5540000}"/>
    <cellStyle name="Positive 2 3 17 16" xfId="21737" xr:uid="{00000000-0005-0000-0000-0000F6540000}"/>
    <cellStyle name="Positive 2 3 17 16 2" xfId="21738" xr:uid="{00000000-0005-0000-0000-0000F7540000}"/>
    <cellStyle name="Positive 2 3 17 17" xfId="21739" xr:uid="{00000000-0005-0000-0000-0000F8540000}"/>
    <cellStyle name="Positive 2 3 17 17 2" xfId="21740" xr:uid="{00000000-0005-0000-0000-0000F9540000}"/>
    <cellStyle name="Positive 2 3 17 18" xfId="21741" xr:uid="{00000000-0005-0000-0000-0000FA540000}"/>
    <cellStyle name="Positive 2 3 17 18 2" xfId="21742" xr:uid="{00000000-0005-0000-0000-0000FB540000}"/>
    <cellStyle name="Positive 2 3 17 19" xfId="21743" xr:uid="{00000000-0005-0000-0000-0000FC540000}"/>
    <cellStyle name="Positive 2 3 17 19 2" xfId="21744" xr:uid="{00000000-0005-0000-0000-0000FD540000}"/>
    <cellStyle name="Positive 2 3 17 2" xfId="21745" xr:uid="{00000000-0005-0000-0000-0000FE540000}"/>
    <cellStyle name="Positive 2 3 17 2 10" xfId="21746" xr:uid="{00000000-0005-0000-0000-0000FF540000}"/>
    <cellStyle name="Positive 2 3 17 2 10 2" xfId="21747" xr:uid="{00000000-0005-0000-0000-000000550000}"/>
    <cellStyle name="Positive 2 3 17 2 11" xfId="21748" xr:uid="{00000000-0005-0000-0000-000001550000}"/>
    <cellStyle name="Positive 2 3 17 2 11 2" xfId="21749" xr:uid="{00000000-0005-0000-0000-000002550000}"/>
    <cellStyle name="Positive 2 3 17 2 12" xfId="21750" xr:uid="{00000000-0005-0000-0000-000003550000}"/>
    <cellStyle name="Positive 2 3 17 2 12 2" xfId="21751" xr:uid="{00000000-0005-0000-0000-000004550000}"/>
    <cellStyle name="Positive 2 3 17 2 13" xfId="21752" xr:uid="{00000000-0005-0000-0000-000005550000}"/>
    <cellStyle name="Positive 2 3 17 2 13 2" xfId="21753" xr:uid="{00000000-0005-0000-0000-000006550000}"/>
    <cellStyle name="Positive 2 3 17 2 14" xfId="21754" xr:uid="{00000000-0005-0000-0000-000007550000}"/>
    <cellStyle name="Positive 2 3 17 2 14 2" xfId="21755" xr:uid="{00000000-0005-0000-0000-000008550000}"/>
    <cellStyle name="Positive 2 3 17 2 15" xfId="21756" xr:uid="{00000000-0005-0000-0000-000009550000}"/>
    <cellStyle name="Positive 2 3 17 2 15 2" xfId="21757" xr:uid="{00000000-0005-0000-0000-00000A550000}"/>
    <cellStyle name="Positive 2 3 17 2 16" xfId="21758" xr:uid="{00000000-0005-0000-0000-00000B550000}"/>
    <cellStyle name="Positive 2 3 17 2 16 2" xfId="21759" xr:uid="{00000000-0005-0000-0000-00000C550000}"/>
    <cellStyle name="Positive 2 3 17 2 17" xfId="21760" xr:uid="{00000000-0005-0000-0000-00000D550000}"/>
    <cellStyle name="Positive 2 3 17 2 2" xfId="21761" xr:uid="{00000000-0005-0000-0000-00000E550000}"/>
    <cellStyle name="Positive 2 3 17 2 2 2" xfId="21762" xr:uid="{00000000-0005-0000-0000-00000F550000}"/>
    <cellStyle name="Positive 2 3 17 2 3" xfId="21763" xr:uid="{00000000-0005-0000-0000-000010550000}"/>
    <cellStyle name="Positive 2 3 17 2 3 2" xfId="21764" xr:uid="{00000000-0005-0000-0000-000011550000}"/>
    <cellStyle name="Positive 2 3 17 2 4" xfId="21765" xr:uid="{00000000-0005-0000-0000-000012550000}"/>
    <cellStyle name="Positive 2 3 17 2 4 2" xfId="21766" xr:uid="{00000000-0005-0000-0000-000013550000}"/>
    <cellStyle name="Positive 2 3 17 2 5" xfId="21767" xr:uid="{00000000-0005-0000-0000-000014550000}"/>
    <cellStyle name="Positive 2 3 17 2 5 2" xfId="21768" xr:uid="{00000000-0005-0000-0000-000015550000}"/>
    <cellStyle name="Positive 2 3 17 2 6" xfId="21769" xr:uid="{00000000-0005-0000-0000-000016550000}"/>
    <cellStyle name="Positive 2 3 17 2 6 2" xfId="21770" xr:uid="{00000000-0005-0000-0000-000017550000}"/>
    <cellStyle name="Positive 2 3 17 2 7" xfId="21771" xr:uid="{00000000-0005-0000-0000-000018550000}"/>
    <cellStyle name="Positive 2 3 17 2 7 2" xfId="21772" xr:uid="{00000000-0005-0000-0000-000019550000}"/>
    <cellStyle name="Positive 2 3 17 2 8" xfId="21773" xr:uid="{00000000-0005-0000-0000-00001A550000}"/>
    <cellStyle name="Positive 2 3 17 2 8 2" xfId="21774" xr:uid="{00000000-0005-0000-0000-00001B550000}"/>
    <cellStyle name="Positive 2 3 17 2 9" xfId="21775" xr:uid="{00000000-0005-0000-0000-00001C550000}"/>
    <cellStyle name="Positive 2 3 17 2 9 2" xfId="21776" xr:uid="{00000000-0005-0000-0000-00001D550000}"/>
    <cellStyle name="Positive 2 3 17 20" xfId="21777" xr:uid="{00000000-0005-0000-0000-00001E550000}"/>
    <cellStyle name="Positive 2 3 17 3" xfId="21778" xr:uid="{00000000-0005-0000-0000-00001F550000}"/>
    <cellStyle name="Positive 2 3 17 3 2" xfId="21779" xr:uid="{00000000-0005-0000-0000-000020550000}"/>
    <cellStyle name="Positive 2 3 17 3 2 2" xfId="21780" xr:uid="{00000000-0005-0000-0000-000021550000}"/>
    <cellStyle name="Positive 2 3 17 3 3" xfId="21781" xr:uid="{00000000-0005-0000-0000-000022550000}"/>
    <cellStyle name="Positive 2 3 17 4" xfId="21782" xr:uid="{00000000-0005-0000-0000-000023550000}"/>
    <cellStyle name="Positive 2 3 17 4 2" xfId="21783" xr:uid="{00000000-0005-0000-0000-000024550000}"/>
    <cellStyle name="Positive 2 3 17 4 2 2" xfId="21784" xr:uid="{00000000-0005-0000-0000-000025550000}"/>
    <cellStyle name="Positive 2 3 17 4 3" xfId="21785" xr:uid="{00000000-0005-0000-0000-000026550000}"/>
    <cellStyle name="Positive 2 3 17 5" xfId="21786" xr:uid="{00000000-0005-0000-0000-000027550000}"/>
    <cellStyle name="Positive 2 3 17 5 2" xfId="21787" xr:uid="{00000000-0005-0000-0000-000028550000}"/>
    <cellStyle name="Positive 2 3 17 6" xfId="21788" xr:uid="{00000000-0005-0000-0000-000029550000}"/>
    <cellStyle name="Positive 2 3 17 6 2" xfId="21789" xr:uid="{00000000-0005-0000-0000-00002A550000}"/>
    <cellStyle name="Positive 2 3 17 7" xfId="21790" xr:uid="{00000000-0005-0000-0000-00002B550000}"/>
    <cellStyle name="Positive 2 3 17 7 2" xfId="21791" xr:uid="{00000000-0005-0000-0000-00002C550000}"/>
    <cellStyle name="Positive 2 3 17 8" xfId="21792" xr:uid="{00000000-0005-0000-0000-00002D550000}"/>
    <cellStyle name="Positive 2 3 17 8 2" xfId="21793" xr:uid="{00000000-0005-0000-0000-00002E550000}"/>
    <cellStyle name="Positive 2 3 17 9" xfId="21794" xr:uid="{00000000-0005-0000-0000-00002F550000}"/>
    <cellStyle name="Positive 2 3 17 9 2" xfId="21795" xr:uid="{00000000-0005-0000-0000-000030550000}"/>
    <cellStyle name="Positive 2 3 18" xfId="21796" xr:uid="{00000000-0005-0000-0000-000031550000}"/>
    <cellStyle name="Positive 2 3 18 10" xfId="21797" xr:uid="{00000000-0005-0000-0000-000032550000}"/>
    <cellStyle name="Positive 2 3 18 10 2" xfId="21798" xr:uid="{00000000-0005-0000-0000-000033550000}"/>
    <cellStyle name="Positive 2 3 18 11" xfId="21799" xr:uid="{00000000-0005-0000-0000-000034550000}"/>
    <cellStyle name="Positive 2 3 18 11 2" xfId="21800" xr:uid="{00000000-0005-0000-0000-000035550000}"/>
    <cellStyle name="Positive 2 3 18 12" xfId="21801" xr:uid="{00000000-0005-0000-0000-000036550000}"/>
    <cellStyle name="Positive 2 3 18 12 2" xfId="21802" xr:uid="{00000000-0005-0000-0000-000037550000}"/>
    <cellStyle name="Positive 2 3 18 13" xfId="21803" xr:uid="{00000000-0005-0000-0000-000038550000}"/>
    <cellStyle name="Positive 2 3 18 13 2" xfId="21804" xr:uid="{00000000-0005-0000-0000-000039550000}"/>
    <cellStyle name="Positive 2 3 18 14" xfId="21805" xr:uid="{00000000-0005-0000-0000-00003A550000}"/>
    <cellStyle name="Positive 2 3 18 14 2" xfId="21806" xr:uid="{00000000-0005-0000-0000-00003B550000}"/>
    <cellStyle name="Positive 2 3 18 15" xfId="21807" xr:uid="{00000000-0005-0000-0000-00003C550000}"/>
    <cellStyle name="Positive 2 3 18 15 2" xfId="21808" xr:uid="{00000000-0005-0000-0000-00003D550000}"/>
    <cellStyle name="Positive 2 3 18 16" xfId="21809" xr:uid="{00000000-0005-0000-0000-00003E550000}"/>
    <cellStyle name="Positive 2 3 18 16 2" xfId="21810" xr:uid="{00000000-0005-0000-0000-00003F550000}"/>
    <cellStyle name="Positive 2 3 18 17" xfId="21811" xr:uid="{00000000-0005-0000-0000-000040550000}"/>
    <cellStyle name="Positive 2 3 18 17 2" xfId="21812" xr:uid="{00000000-0005-0000-0000-000041550000}"/>
    <cellStyle name="Positive 2 3 18 18" xfId="21813" xr:uid="{00000000-0005-0000-0000-000042550000}"/>
    <cellStyle name="Positive 2 3 18 18 2" xfId="21814" xr:uid="{00000000-0005-0000-0000-000043550000}"/>
    <cellStyle name="Positive 2 3 18 19" xfId="21815" xr:uid="{00000000-0005-0000-0000-000044550000}"/>
    <cellStyle name="Positive 2 3 18 19 2" xfId="21816" xr:uid="{00000000-0005-0000-0000-000045550000}"/>
    <cellStyle name="Positive 2 3 18 2" xfId="21817" xr:uid="{00000000-0005-0000-0000-000046550000}"/>
    <cellStyle name="Positive 2 3 18 2 10" xfId="21818" xr:uid="{00000000-0005-0000-0000-000047550000}"/>
    <cellStyle name="Positive 2 3 18 2 10 2" xfId="21819" xr:uid="{00000000-0005-0000-0000-000048550000}"/>
    <cellStyle name="Positive 2 3 18 2 11" xfId="21820" xr:uid="{00000000-0005-0000-0000-000049550000}"/>
    <cellStyle name="Positive 2 3 18 2 11 2" xfId="21821" xr:uid="{00000000-0005-0000-0000-00004A550000}"/>
    <cellStyle name="Positive 2 3 18 2 12" xfId="21822" xr:uid="{00000000-0005-0000-0000-00004B550000}"/>
    <cellStyle name="Positive 2 3 18 2 12 2" xfId="21823" xr:uid="{00000000-0005-0000-0000-00004C550000}"/>
    <cellStyle name="Positive 2 3 18 2 13" xfId="21824" xr:uid="{00000000-0005-0000-0000-00004D550000}"/>
    <cellStyle name="Positive 2 3 18 2 13 2" xfId="21825" xr:uid="{00000000-0005-0000-0000-00004E550000}"/>
    <cellStyle name="Positive 2 3 18 2 14" xfId="21826" xr:uid="{00000000-0005-0000-0000-00004F550000}"/>
    <cellStyle name="Positive 2 3 18 2 14 2" xfId="21827" xr:uid="{00000000-0005-0000-0000-000050550000}"/>
    <cellStyle name="Positive 2 3 18 2 15" xfId="21828" xr:uid="{00000000-0005-0000-0000-000051550000}"/>
    <cellStyle name="Positive 2 3 18 2 15 2" xfId="21829" xr:uid="{00000000-0005-0000-0000-000052550000}"/>
    <cellStyle name="Positive 2 3 18 2 16" xfId="21830" xr:uid="{00000000-0005-0000-0000-000053550000}"/>
    <cellStyle name="Positive 2 3 18 2 16 2" xfId="21831" xr:uid="{00000000-0005-0000-0000-000054550000}"/>
    <cellStyle name="Positive 2 3 18 2 17" xfId="21832" xr:uid="{00000000-0005-0000-0000-000055550000}"/>
    <cellStyle name="Positive 2 3 18 2 2" xfId="21833" xr:uid="{00000000-0005-0000-0000-000056550000}"/>
    <cellStyle name="Positive 2 3 18 2 2 2" xfId="21834" xr:uid="{00000000-0005-0000-0000-000057550000}"/>
    <cellStyle name="Positive 2 3 18 2 3" xfId="21835" xr:uid="{00000000-0005-0000-0000-000058550000}"/>
    <cellStyle name="Positive 2 3 18 2 3 2" xfId="21836" xr:uid="{00000000-0005-0000-0000-000059550000}"/>
    <cellStyle name="Positive 2 3 18 2 4" xfId="21837" xr:uid="{00000000-0005-0000-0000-00005A550000}"/>
    <cellStyle name="Positive 2 3 18 2 4 2" xfId="21838" xr:uid="{00000000-0005-0000-0000-00005B550000}"/>
    <cellStyle name="Positive 2 3 18 2 5" xfId="21839" xr:uid="{00000000-0005-0000-0000-00005C550000}"/>
    <cellStyle name="Positive 2 3 18 2 5 2" xfId="21840" xr:uid="{00000000-0005-0000-0000-00005D550000}"/>
    <cellStyle name="Positive 2 3 18 2 6" xfId="21841" xr:uid="{00000000-0005-0000-0000-00005E550000}"/>
    <cellStyle name="Positive 2 3 18 2 6 2" xfId="21842" xr:uid="{00000000-0005-0000-0000-00005F550000}"/>
    <cellStyle name="Positive 2 3 18 2 7" xfId="21843" xr:uid="{00000000-0005-0000-0000-000060550000}"/>
    <cellStyle name="Positive 2 3 18 2 7 2" xfId="21844" xr:uid="{00000000-0005-0000-0000-000061550000}"/>
    <cellStyle name="Positive 2 3 18 2 8" xfId="21845" xr:uid="{00000000-0005-0000-0000-000062550000}"/>
    <cellStyle name="Positive 2 3 18 2 8 2" xfId="21846" xr:uid="{00000000-0005-0000-0000-000063550000}"/>
    <cellStyle name="Positive 2 3 18 2 9" xfId="21847" xr:uid="{00000000-0005-0000-0000-000064550000}"/>
    <cellStyle name="Positive 2 3 18 2 9 2" xfId="21848" xr:uid="{00000000-0005-0000-0000-000065550000}"/>
    <cellStyle name="Positive 2 3 18 20" xfId="21849" xr:uid="{00000000-0005-0000-0000-000066550000}"/>
    <cellStyle name="Positive 2 3 18 3" xfId="21850" xr:uid="{00000000-0005-0000-0000-000067550000}"/>
    <cellStyle name="Positive 2 3 18 3 2" xfId="21851" xr:uid="{00000000-0005-0000-0000-000068550000}"/>
    <cellStyle name="Positive 2 3 18 3 2 2" xfId="21852" xr:uid="{00000000-0005-0000-0000-000069550000}"/>
    <cellStyle name="Positive 2 3 18 3 3" xfId="21853" xr:uid="{00000000-0005-0000-0000-00006A550000}"/>
    <cellStyle name="Positive 2 3 18 4" xfId="21854" xr:uid="{00000000-0005-0000-0000-00006B550000}"/>
    <cellStyle name="Positive 2 3 18 4 2" xfId="21855" xr:uid="{00000000-0005-0000-0000-00006C550000}"/>
    <cellStyle name="Positive 2 3 18 4 2 2" xfId="21856" xr:uid="{00000000-0005-0000-0000-00006D550000}"/>
    <cellStyle name="Positive 2 3 18 4 3" xfId="21857" xr:uid="{00000000-0005-0000-0000-00006E550000}"/>
    <cellStyle name="Positive 2 3 18 5" xfId="21858" xr:uid="{00000000-0005-0000-0000-00006F550000}"/>
    <cellStyle name="Positive 2 3 18 5 2" xfId="21859" xr:uid="{00000000-0005-0000-0000-000070550000}"/>
    <cellStyle name="Positive 2 3 18 6" xfId="21860" xr:uid="{00000000-0005-0000-0000-000071550000}"/>
    <cellStyle name="Positive 2 3 18 6 2" xfId="21861" xr:uid="{00000000-0005-0000-0000-000072550000}"/>
    <cellStyle name="Positive 2 3 18 7" xfId="21862" xr:uid="{00000000-0005-0000-0000-000073550000}"/>
    <cellStyle name="Positive 2 3 18 7 2" xfId="21863" xr:uid="{00000000-0005-0000-0000-000074550000}"/>
    <cellStyle name="Positive 2 3 18 8" xfId="21864" xr:uid="{00000000-0005-0000-0000-000075550000}"/>
    <cellStyle name="Positive 2 3 18 8 2" xfId="21865" xr:uid="{00000000-0005-0000-0000-000076550000}"/>
    <cellStyle name="Positive 2 3 18 9" xfId="21866" xr:uid="{00000000-0005-0000-0000-000077550000}"/>
    <cellStyle name="Positive 2 3 18 9 2" xfId="21867" xr:uid="{00000000-0005-0000-0000-000078550000}"/>
    <cellStyle name="Positive 2 3 19" xfId="21868" xr:uid="{00000000-0005-0000-0000-000079550000}"/>
    <cellStyle name="Positive 2 3 19 10" xfId="21869" xr:uid="{00000000-0005-0000-0000-00007A550000}"/>
    <cellStyle name="Positive 2 3 19 10 2" xfId="21870" xr:uid="{00000000-0005-0000-0000-00007B550000}"/>
    <cellStyle name="Positive 2 3 19 11" xfId="21871" xr:uid="{00000000-0005-0000-0000-00007C550000}"/>
    <cellStyle name="Positive 2 3 19 11 2" xfId="21872" xr:uid="{00000000-0005-0000-0000-00007D550000}"/>
    <cellStyle name="Positive 2 3 19 12" xfId="21873" xr:uid="{00000000-0005-0000-0000-00007E550000}"/>
    <cellStyle name="Positive 2 3 19 12 2" xfId="21874" xr:uid="{00000000-0005-0000-0000-00007F550000}"/>
    <cellStyle name="Positive 2 3 19 13" xfId="21875" xr:uid="{00000000-0005-0000-0000-000080550000}"/>
    <cellStyle name="Positive 2 3 19 13 2" xfId="21876" xr:uid="{00000000-0005-0000-0000-000081550000}"/>
    <cellStyle name="Positive 2 3 19 14" xfId="21877" xr:uid="{00000000-0005-0000-0000-000082550000}"/>
    <cellStyle name="Positive 2 3 19 14 2" xfId="21878" xr:uid="{00000000-0005-0000-0000-000083550000}"/>
    <cellStyle name="Positive 2 3 19 15" xfId="21879" xr:uid="{00000000-0005-0000-0000-000084550000}"/>
    <cellStyle name="Positive 2 3 19 15 2" xfId="21880" xr:uid="{00000000-0005-0000-0000-000085550000}"/>
    <cellStyle name="Positive 2 3 19 16" xfId="21881" xr:uid="{00000000-0005-0000-0000-000086550000}"/>
    <cellStyle name="Positive 2 3 19 16 2" xfId="21882" xr:uid="{00000000-0005-0000-0000-000087550000}"/>
    <cellStyle name="Positive 2 3 19 17" xfId="21883" xr:uid="{00000000-0005-0000-0000-000088550000}"/>
    <cellStyle name="Positive 2 3 19 2" xfId="21884" xr:uid="{00000000-0005-0000-0000-000089550000}"/>
    <cellStyle name="Positive 2 3 19 2 2" xfId="21885" xr:uid="{00000000-0005-0000-0000-00008A550000}"/>
    <cellStyle name="Positive 2 3 19 3" xfId="21886" xr:uid="{00000000-0005-0000-0000-00008B550000}"/>
    <cellStyle name="Positive 2 3 19 3 2" xfId="21887" xr:uid="{00000000-0005-0000-0000-00008C550000}"/>
    <cellStyle name="Positive 2 3 19 4" xfId="21888" xr:uid="{00000000-0005-0000-0000-00008D550000}"/>
    <cellStyle name="Positive 2 3 19 4 2" xfId="21889" xr:uid="{00000000-0005-0000-0000-00008E550000}"/>
    <cellStyle name="Positive 2 3 19 5" xfId="21890" xr:uid="{00000000-0005-0000-0000-00008F550000}"/>
    <cellStyle name="Positive 2 3 19 5 2" xfId="21891" xr:uid="{00000000-0005-0000-0000-000090550000}"/>
    <cellStyle name="Positive 2 3 19 6" xfId="21892" xr:uid="{00000000-0005-0000-0000-000091550000}"/>
    <cellStyle name="Positive 2 3 19 6 2" xfId="21893" xr:uid="{00000000-0005-0000-0000-000092550000}"/>
    <cellStyle name="Positive 2 3 19 7" xfId="21894" xr:uid="{00000000-0005-0000-0000-000093550000}"/>
    <cellStyle name="Positive 2 3 19 7 2" xfId="21895" xr:uid="{00000000-0005-0000-0000-000094550000}"/>
    <cellStyle name="Positive 2 3 19 8" xfId="21896" xr:uid="{00000000-0005-0000-0000-000095550000}"/>
    <cellStyle name="Positive 2 3 19 8 2" xfId="21897" xr:uid="{00000000-0005-0000-0000-000096550000}"/>
    <cellStyle name="Positive 2 3 19 9" xfId="21898" xr:uid="{00000000-0005-0000-0000-000097550000}"/>
    <cellStyle name="Positive 2 3 19 9 2" xfId="21899" xr:uid="{00000000-0005-0000-0000-000098550000}"/>
    <cellStyle name="Positive 2 3 2" xfId="21900" xr:uid="{00000000-0005-0000-0000-000099550000}"/>
    <cellStyle name="Positive 2 3 2 10" xfId="21901" xr:uid="{00000000-0005-0000-0000-00009A550000}"/>
    <cellStyle name="Positive 2 3 2 10 2" xfId="21902" xr:uid="{00000000-0005-0000-0000-00009B550000}"/>
    <cellStyle name="Positive 2 3 2 11" xfId="21903" xr:uid="{00000000-0005-0000-0000-00009C550000}"/>
    <cellStyle name="Positive 2 3 2 11 2" xfId="21904" xr:uid="{00000000-0005-0000-0000-00009D550000}"/>
    <cellStyle name="Positive 2 3 2 12" xfId="21905" xr:uid="{00000000-0005-0000-0000-00009E550000}"/>
    <cellStyle name="Positive 2 3 2 12 2" xfId="21906" xr:uid="{00000000-0005-0000-0000-00009F550000}"/>
    <cellStyle name="Positive 2 3 2 13" xfId="21907" xr:uid="{00000000-0005-0000-0000-0000A0550000}"/>
    <cellStyle name="Positive 2 3 2 13 2" xfId="21908" xr:uid="{00000000-0005-0000-0000-0000A1550000}"/>
    <cellStyle name="Positive 2 3 2 14" xfId="21909" xr:uid="{00000000-0005-0000-0000-0000A2550000}"/>
    <cellStyle name="Positive 2 3 2 14 2" xfId="21910" xr:uid="{00000000-0005-0000-0000-0000A3550000}"/>
    <cellStyle name="Positive 2 3 2 15" xfId="21911" xr:uid="{00000000-0005-0000-0000-0000A4550000}"/>
    <cellStyle name="Positive 2 3 2 15 2" xfId="21912" xr:uid="{00000000-0005-0000-0000-0000A5550000}"/>
    <cellStyle name="Positive 2 3 2 16" xfId="21913" xr:uid="{00000000-0005-0000-0000-0000A6550000}"/>
    <cellStyle name="Positive 2 3 2 16 2" xfId="21914" xr:uid="{00000000-0005-0000-0000-0000A7550000}"/>
    <cellStyle name="Positive 2 3 2 17" xfId="21915" xr:uid="{00000000-0005-0000-0000-0000A8550000}"/>
    <cellStyle name="Positive 2 3 2 17 2" xfId="21916" xr:uid="{00000000-0005-0000-0000-0000A9550000}"/>
    <cellStyle name="Positive 2 3 2 18" xfId="21917" xr:uid="{00000000-0005-0000-0000-0000AA550000}"/>
    <cellStyle name="Positive 2 3 2 18 2" xfId="21918" xr:uid="{00000000-0005-0000-0000-0000AB550000}"/>
    <cellStyle name="Positive 2 3 2 19" xfId="21919" xr:uid="{00000000-0005-0000-0000-0000AC550000}"/>
    <cellStyle name="Positive 2 3 2 19 2" xfId="21920" xr:uid="{00000000-0005-0000-0000-0000AD550000}"/>
    <cellStyle name="Positive 2 3 2 2" xfId="21921" xr:uid="{00000000-0005-0000-0000-0000AE550000}"/>
    <cellStyle name="Positive 2 3 2 2 10" xfId="21922" xr:uid="{00000000-0005-0000-0000-0000AF550000}"/>
    <cellStyle name="Positive 2 3 2 2 10 2" xfId="21923" xr:uid="{00000000-0005-0000-0000-0000B0550000}"/>
    <cellStyle name="Positive 2 3 2 2 11" xfId="21924" xr:uid="{00000000-0005-0000-0000-0000B1550000}"/>
    <cellStyle name="Positive 2 3 2 2 11 2" xfId="21925" xr:uid="{00000000-0005-0000-0000-0000B2550000}"/>
    <cellStyle name="Positive 2 3 2 2 12" xfId="21926" xr:uid="{00000000-0005-0000-0000-0000B3550000}"/>
    <cellStyle name="Positive 2 3 2 2 12 2" xfId="21927" xr:uid="{00000000-0005-0000-0000-0000B4550000}"/>
    <cellStyle name="Positive 2 3 2 2 13" xfId="21928" xr:uid="{00000000-0005-0000-0000-0000B5550000}"/>
    <cellStyle name="Positive 2 3 2 2 13 2" xfId="21929" xr:uid="{00000000-0005-0000-0000-0000B6550000}"/>
    <cellStyle name="Positive 2 3 2 2 14" xfId="21930" xr:uid="{00000000-0005-0000-0000-0000B7550000}"/>
    <cellStyle name="Positive 2 3 2 2 14 2" xfId="21931" xr:uid="{00000000-0005-0000-0000-0000B8550000}"/>
    <cellStyle name="Positive 2 3 2 2 15" xfId="21932" xr:uid="{00000000-0005-0000-0000-0000B9550000}"/>
    <cellStyle name="Positive 2 3 2 2 15 2" xfId="21933" xr:uid="{00000000-0005-0000-0000-0000BA550000}"/>
    <cellStyle name="Positive 2 3 2 2 16" xfId="21934" xr:uid="{00000000-0005-0000-0000-0000BB550000}"/>
    <cellStyle name="Positive 2 3 2 2 16 2" xfId="21935" xr:uid="{00000000-0005-0000-0000-0000BC550000}"/>
    <cellStyle name="Positive 2 3 2 2 17" xfId="21936" xr:uid="{00000000-0005-0000-0000-0000BD550000}"/>
    <cellStyle name="Positive 2 3 2 2 17 2" xfId="21937" xr:uid="{00000000-0005-0000-0000-0000BE550000}"/>
    <cellStyle name="Positive 2 3 2 2 18" xfId="21938" xr:uid="{00000000-0005-0000-0000-0000BF550000}"/>
    <cellStyle name="Positive 2 3 2 2 18 2" xfId="21939" xr:uid="{00000000-0005-0000-0000-0000C0550000}"/>
    <cellStyle name="Positive 2 3 2 2 19" xfId="21940" xr:uid="{00000000-0005-0000-0000-0000C1550000}"/>
    <cellStyle name="Positive 2 3 2 2 19 2" xfId="21941" xr:uid="{00000000-0005-0000-0000-0000C2550000}"/>
    <cellStyle name="Positive 2 3 2 2 2" xfId="21942" xr:uid="{00000000-0005-0000-0000-0000C3550000}"/>
    <cellStyle name="Positive 2 3 2 2 2 10" xfId="21943" xr:uid="{00000000-0005-0000-0000-0000C4550000}"/>
    <cellStyle name="Positive 2 3 2 2 2 10 2" xfId="21944" xr:uid="{00000000-0005-0000-0000-0000C5550000}"/>
    <cellStyle name="Positive 2 3 2 2 2 11" xfId="21945" xr:uid="{00000000-0005-0000-0000-0000C6550000}"/>
    <cellStyle name="Positive 2 3 2 2 2 11 2" xfId="21946" xr:uid="{00000000-0005-0000-0000-0000C7550000}"/>
    <cellStyle name="Positive 2 3 2 2 2 12" xfId="21947" xr:uid="{00000000-0005-0000-0000-0000C8550000}"/>
    <cellStyle name="Positive 2 3 2 2 2 12 2" xfId="21948" xr:uid="{00000000-0005-0000-0000-0000C9550000}"/>
    <cellStyle name="Positive 2 3 2 2 2 13" xfId="21949" xr:uid="{00000000-0005-0000-0000-0000CA550000}"/>
    <cellStyle name="Positive 2 3 2 2 2 13 2" xfId="21950" xr:uid="{00000000-0005-0000-0000-0000CB550000}"/>
    <cellStyle name="Positive 2 3 2 2 2 14" xfId="21951" xr:uid="{00000000-0005-0000-0000-0000CC550000}"/>
    <cellStyle name="Positive 2 3 2 2 2 14 2" xfId="21952" xr:uid="{00000000-0005-0000-0000-0000CD550000}"/>
    <cellStyle name="Positive 2 3 2 2 2 15" xfId="21953" xr:uid="{00000000-0005-0000-0000-0000CE550000}"/>
    <cellStyle name="Positive 2 3 2 2 2 15 2" xfId="21954" xr:uid="{00000000-0005-0000-0000-0000CF550000}"/>
    <cellStyle name="Positive 2 3 2 2 2 16" xfId="21955" xr:uid="{00000000-0005-0000-0000-0000D0550000}"/>
    <cellStyle name="Positive 2 3 2 2 2 16 2" xfId="21956" xr:uid="{00000000-0005-0000-0000-0000D1550000}"/>
    <cellStyle name="Positive 2 3 2 2 2 17" xfId="21957" xr:uid="{00000000-0005-0000-0000-0000D2550000}"/>
    <cellStyle name="Positive 2 3 2 2 2 2" xfId="21958" xr:uid="{00000000-0005-0000-0000-0000D3550000}"/>
    <cellStyle name="Positive 2 3 2 2 2 2 2" xfId="21959" xr:uid="{00000000-0005-0000-0000-0000D4550000}"/>
    <cellStyle name="Positive 2 3 2 2 2 3" xfId="21960" xr:uid="{00000000-0005-0000-0000-0000D5550000}"/>
    <cellStyle name="Positive 2 3 2 2 2 3 2" xfId="21961" xr:uid="{00000000-0005-0000-0000-0000D6550000}"/>
    <cellStyle name="Positive 2 3 2 2 2 4" xfId="21962" xr:uid="{00000000-0005-0000-0000-0000D7550000}"/>
    <cellStyle name="Positive 2 3 2 2 2 4 2" xfId="21963" xr:uid="{00000000-0005-0000-0000-0000D8550000}"/>
    <cellStyle name="Positive 2 3 2 2 2 5" xfId="21964" xr:uid="{00000000-0005-0000-0000-0000D9550000}"/>
    <cellStyle name="Positive 2 3 2 2 2 5 2" xfId="21965" xr:uid="{00000000-0005-0000-0000-0000DA550000}"/>
    <cellStyle name="Positive 2 3 2 2 2 6" xfId="21966" xr:uid="{00000000-0005-0000-0000-0000DB550000}"/>
    <cellStyle name="Positive 2 3 2 2 2 6 2" xfId="21967" xr:uid="{00000000-0005-0000-0000-0000DC550000}"/>
    <cellStyle name="Positive 2 3 2 2 2 7" xfId="21968" xr:uid="{00000000-0005-0000-0000-0000DD550000}"/>
    <cellStyle name="Positive 2 3 2 2 2 7 2" xfId="21969" xr:uid="{00000000-0005-0000-0000-0000DE550000}"/>
    <cellStyle name="Positive 2 3 2 2 2 8" xfId="21970" xr:uid="{00000000-0005-0000-0000-0000DF550000}"/>
    <cellStyle name="Positive 2 3 2 2 2 8 2" xfId="21971" xr:uid="{00000000-0005-0000-0000-0000E0550000}"/>
    <cellStyle name="Positive 2 3 2 2 2 9" xfId="21972" xr:uid="{00000000-0005-0000-0000-0000E1550000}"/>
    <cellStyle name="Positive 2 3 2 2 2 9 2" xfId="21973" xr:uid="{00000000-0005-0000-0000-0000E2550000}"/>
    <cellStyle name="Positive 2 3 2 2 20" xfId="21974" xr:uid="{00000000-0005-0000-0000-0000E3550000}"/>
    <cellStyle name="Positive 2 3 2 2 3" xfId="21975" xr:uid="{00000000-0005-0000-0000-0000E4550000}"/>
    <cellStyle name="Positive 2 3 2 2 3 2" xfId="21976" xr:uid="{00000000-0005-0000-0000-0000E5550000}"/>
    <cellStyle name="Positive 2 3 2 2 3 2 2" xfId="21977" xr:uid="{00000000-0005-0000-0000-0000E6550000}"/>
    <cellStyle name="Positive 2 3 2 2 3 3" xfId="21978" xr:uid="{00000000-0005-0000-0000-0000E7550000}"/>
    <cellStyle name="Positive 2 3 2 2 4" xfId="21979" xr:uid="{00000000-0005-0000-0000-0000E8550000}"/>
    <cellStyle name="Positive 2 3 2 2 4 2" xfId="21980" xr:uid="{00000000-0005-0000-0000-0000E9550000}"/>
    <cellStyle name="Positive 2 3 2 2 4 2 2" xfId="21981" xr:uid="{00000000-0005-0000-0000-0000EA550000}"/>
    <cellStyle name="Positive 2 3 2 2 4 3" xfId="21982" xr:uid="{00000000-0005-0000-0000-0000EB550000}"/>
    <cellStyle name="Positive 2 3 2 2 5" xfId="21983" xr:uid="{00000000-0005-0000-0000-0000EC550000}"/>
    <cellStyle name="Positive 2 3 2 2 5 2" xfId="21984" xr:uid="{00000000-0005-0000-0000-0000ED550000}"/>
    <cellStyle name="Positive 2 3 2 2 6" xfId="21985" xr:uid="{00000000-0005-0000-0000-0000EE550000}"/>
    <cellStyle name="Positive 2 3 2 2 6 2" xfId="21986" xr:uid="{00000000-0005-0000-0000-0000EF550000}"/>
    <cellStyle name="Positive 2 3 2 2 7" xfId="21987" xr:uid="{00000000-0005-0000-0000-0000F0550000}"/>
    <cellStyle name="Positive 2 3 2 2 7 2" xfId="21988" xr:uid="{00000000-0005-0000-0000-0000F1550000}"/>
    <cellStyle name="Positive 2 3 2 2 8" xfId="21989" xr:uid="{00000000-0005-0000-0000-0000F2550000}"/>
    <cellStyle name="Positive 2 3 2 2 8 2" xfId="21990" xr:uid="{00000000-0005-0000-0000-0000F3550000}"/>
    <cellStyle name="Positive 2 3 2 2 9" xfId="21991" xr:uid="{00000000-0005-0000-0000-0000F4550000}"/>
    <cellStyle name="Positive 2 3 2 2 9 2" xfId="21992" xr:uid="{00000000-0005-0000-0000-0000F5550000}"/>
    <cellStyle name="Positive 2 3 2 20" xfId="21993" xr:uid="{00000000-0005-0000-0000-0000F6550000}"/>
    <cellStyle name="Positive 2 3 2 20 2" xfId="21994" xr:uid="{00000000-0005-0000-0000-0000F7550000}"/>
    <cellStyle name="Positive 2 3 2 21" xfId="21995" xr:uid="{00000000-0005-0000-0000-0000F8550000}"/>
    <cellStyle name="Positive 2 3 2 21 2" xfId="21996" xr:uid="{00000000-0005-0000-0000-0000F9550000}"/>
    <cellStyle name="Positive 2 3 2 22" xfId="21997" xr:uid="{00000000-0005-0000-0000-0000FA550000}"/>
    <cellStyle name="Positive 2 3 2 22 2" xfId="21998" xr:uid="{00000000-0005-0000-0000-0000FB550000}"/>
    <cellStyle name="Positive 2 3 2 23" xfId="21999" xr:uid="{00000000-0005-0000-0000-0000FC550000}"/>
    <cellStyle name="Positive 2 3 2 3" xfId="22000" xr:uid="{00000000-0005-0000-0000-0000FD550000}"/>
    <cellStyle name="Positive 2 3 2 3 10" xfId="22001" xr:uid="{00000000-0005-0000-0000-0000FE550000}"/>
    <cellStyle name="Positive 2 3 2 3 10 2" xfId="22002" xr:uid="{00000000-0005-0000-0000-0000FF550000}"/>
    <cellStyle name="Positive 2 3 2 3 11" xfId="22003" xr:uid="{00000000-0005-0000-0000-000000560000}"/>
    <cellStyle name="Positive 2 3 2 3 11 2" xfId="22004" xr:uid="{00000000-0005-0000-0000-000001560000}"/>
    <cellStyle name="Positive 2 3 2 3 12" xfId="22005" xr:uid="{00000000-0005-0000-0000-000002560000}"/>
    <cellStyle name="Positive 2 3 2 3 12 2" xfId="22006" xr:uid="{00000000-0005-0000-0000-000003560000}"/>
    <cellStyle name="Positive 2 3 2 3 13" xfId="22007" xr:uid="{00000000-0005-0000-0000-000004560000}"/>
    <cellStyle name="Positive 2 3 2 3 13 2" xfId="22008" xr:uid="{00000000-0005-0000-0000-000005560000}"/>
    <cellStyle name="Positive 2 3 2 3 14" xfId="22009" xr:uid="{00000000-0005-0000-0000-000006560000}"/>
    <cellStyle name="Positive 2 3 2 3 14 2" xfId="22010" xr:uid="{00000000-0005-0000-0000-000007560000}"/>
    <cellStyle name="Positive 2 3 2 3 15" xfId="22011" xr:uid="{00000000-0005-0000-0000-000008560000}"/>
    <cellStyle name="Positive 2 3 2 3 15 2" xfId="22012" xr:uid="{00000000-0005-0000-0000-000009560000}"/>
    <cellStyle name="Positive 2 3 2 3 16" xfId="22013" xr:uid="{00000000-0005-0000-0000-00000A560000}"/>
    <cellStyle name="Positive 2 3 2 3 16 2" xfId="22014" xr:uid="{00000000-0005-0000-0000-00000B560000}"/>
    <cellStyle name="Positive 2 3 2 3 17" xfId="22015" xr:uid="{00000000-0005-0000-0000-00000C560000}"/>
    <cellStyle name="Positive 2 3 2 3 17 2" xfId="22016" xr:uid="{00000000-0005-0000-0000-00000D560000}"/>
    <cellStyle name="Positive 2 3 2 3 18" xfId="22017" xr:uid="{00000000-0005-0000-0000-00000E560000}"/>
    <cellStyle name="Positive 2 3 2 3 18 2" xfId="22018" xr:uid="{00000000-0005-0000-0000-00000F560000}"/>
    <cellStyle name="Positive 2 3 2 3 19" xfId="22019" xr:uid="{00000000-0005-0000-0000-000010560000}"/>
    <cellStyle name="Positive 2 3 2 3 19 2" xfId="22020" xr:uid="{00000000-0005-0000-0000-000011560000}"/>
    <cellStyle name="Positive 2 3 2 3 2" xfId="22021" xr:uid="{00000000-0005-0000-0000-000012560000}"/>
    <cellStyle name="Positive 2 3 2 3 2 10" xfId="22022" xr:uid="{00000000-0005-0000-0000-000013560000}"/>
    <cellStyle name="Positive 2 3 2 3 2 10 2" xfId="22023" xr:uid="{00000000-0005-0000-0000-000014560000}"/>
    <cellStyle name="Positive 2 3 2 3 2 11" xfId="22024" xr:uid="{00000000-0005-0000-0000-000015560000}"/>
    <cellStyle name="Positive 2 3 2 3 2 11 2" xfId="22025" xr:uid="{00000000-0005-0000-0000-000016560000}"/>
    <cellStyle name="Positive 2 3 2 3 2 12" xfId="22026" xr:uid="{00000000-0005-0000-0000-000017560000}"/>
    <cellStyle name="Positive 2 3 2 3 2 12 2" xfId="22027" xr:uid="{00000000-0005-0000-0000-000018560000}"/>
    <cellStyle name="Positive 2 3 2 3 2 13" xfId="22028" xr:uid="{00000000-0005-0000-0000-000019560000}"/>
    <cellStyle name="Positive 2 3 2 3 2 13 2" xfId="22029" xr:uid="{00000000-0005-0000-0000-00001A560000}"/>
    <cellStyle name="Positive 2 3 2 3 2 14" xfId="22030" xr:uid="{00000000-0005-0000-0000-00001B560000}"/>
    <cellStyle name="Positive 2 3 2 3 2 14 2" xfId="22031" xr:uid="{00000000-0005-0000-0000-00001C560000}"/>
    <cellStyle name="Positive 2 3 2 3 2 15" xfId="22032" xr:uid="{00000000-0005-0000-0000-00001D560000}"/>
    <cellStyle name="Positive 2 3 2 3 2 15 2" xfId="22033" xr:uid="{00000000-0005-0000-0000-00001E560000}"/>
    <cellStyle name="Positive 2 3 2 3 2 16" xfId="22034" xr:uid="{00000000-0005-0000-0000-00001F560000}"/>
    <cellStyle name="Positive 2 3 2 3 2 16 2" xfId="22035" xr:uid="{00000000-0005-0000-0000-000020560000}"/>
    <cellStyle name="Positive 2 3 2 3 2 17" xfId="22036" xr:uid="{00000000-0005-0000-0000-000021560000}"/>
    <cellStyle name="Positive 2 3 2 3 2 2" xfId="22037" xr:uid="{00000000-0005-0000-0000-000022560000}"/>
    <cellStyle name="Positive 2 3 2 3 2 2 2" xfId="22038" xr:uid="{00000000-0005-0000-0000-000023560000}"/>
    <cellStyle name="Positive 2 3 2 3 2 3" xfId="22039" xr:uid="{00000000-0005-0000-0000-000024560000}"/>
    <cellStyle name="Positive 2 3 2 3 2 3 2" xfId="22040" xr:uid="{00000000-0005-0000-0000-000025560000}"/>
    <cellStyle name="Positive 2 3 2 3 2 4" xfId="22041" xr:uid="{00000000-0005-0000-0000-000026560000}"/>
    <cellStyle name="Positive 2 3 2 3 2 4 2" xfId="22042" xr:uid="{00000000-0005-0000-0000-000027560000}"/>
    <cellStyle name="Positive 2 3 2 3 2 5" xfId="22043" xr:uid="{00000000-0005-0000-0000-000028560000}"/>
    <cellStyle name="Positive 2 3 2 3 2 5 2" xfId="22044" xr:uid="{00000000-0005-0000-0000-000029560000}"/>
    <cellStyle name="Positive 2 3 2 3 2 6" xfId="22045" xr:uid="{00000000-0005-0000-0000-00002A560000}"/>
    <cellStyle name="Positive 2 3 2 3 2 6 2" xfId="22046" xr:uid="{00000000-0005-0000-0000-00002B560000}"/>
    <cellStyle name="Positive 2 3 2 3 2 7" xfId="22047" xr:uid="{00000000-0005-0000-0000-00002C560000}"/>
    <cellStyle name="Positive 2 3 2 3 2 7 2" xfId="22048" xr:uid="{00000000-0005-0000-0000-00002D560000}"/>
    <cellStyle name="Positive 2 3 2 3 2 8" xfId="22049" xr:uid="{00000000-0005-0000-0000-00002E560000}"/>
    <cellStyle name="Positive 2 3 2 3 2 8 2" xfId="22050" xr:uid="{00000000-0005-0000-0000-00002F560000}"/>
    <cellStyle name="Positive 2 3 2 3 2 9" xfId="22051" xr:uid="{00000000-0005-0000-0000-000030560000}"/>
    <cellStyle name="Positive 2 3 2 3 2 9 2" xfId="22052" xr:uid="{00000000-0005-0000-0000-000031560000}"/>
    <cellStyle name="Positive 2 3 2 3 20" xfId="22053" xr:uid="{00000000-0005-0000-0000-000032560000}"/>
    <cellStyle name="Positive 2 3 2 3 3" xfId="22054" xr:uid="{00000000-0005-0000-0000-000033560000}"/>
    <cellStyle name="Positive 2 3 2 3 3 2" xfId="22055" xr:uid="{00000000-0005-0000-0000-000034560000}"/>
    <cellStyle name="Positive 2 3 2 3 3 2 2" xfId="22056" xr:uid="{00000000-0005-0000-0000-000035560000}"/>
    <cellStyle name="Positive 2 3 2 3 3 3" xfId="22057" xr:uid="{00000000-0005-0000-0000-000036560000}"/>
    <cellStyle name="Positive 2 3 2 3 4" xfId="22058" xr:uid="{00000000-0005-0000-0000-000037560000}"/>
    <cellStyle name="Positive 2 3 2 3 4 2" xfId="22059" xr:uid="{00000000-0005-0000-0000-000038560000}"/>
    <cellStyle name="Positive 2 3 2 3 4 2 2" xfId="22060" xr:uid="{00000000-0005-0000-0000-000039560000}"/>
    <cellStyle name="Positive 2 3 2 3 4 3" xfId="22061" xr:uid="{00000000-0005-0000-0000-00003A560000}"/>
    <cellStyle name="Positive 2 3 2 3 5" xfId="22062" xr:uid="{00000000-0005-0000-0000-00003B560000}"/>
    <cellStyle name="Positive 2 3 2 3 5 2" xfId="22063" xr:uid="{00000000-0005-0000-0000-00003C560000}"/>
    <cellStyle name="Positive 2 3 2 3 6" xfId="22064" xr:uid="{00000000-0005-0000-0000-00003D560000}"/>
    <cellStyle name="Positive 2 3 2 3 6 2" xfId="22065" xr:uid="{00000000-0005-0000-0000-00003E560000}"/>
    <cellStyle name="Positive 2 3 2 3 7" xfId="22066" xr:uid="{00000000-0005-0000-0000-00003F560000}"/>
    <cellStyle name="Positive 2 3 2 3 7 2" xfId="22067" xr:uid="{00000000-0005-0000-0000-000040560000}"/>
    <cellStyle name="Positive 2 3 2 3 8" xfId="22068" xr:uid="{00000000-0005-0000-0000-000041560000}"/>
    <cellStyle name="Positive 2 3 2 3 8 2" xfId="22069" xr:uid="{00000000-0005-0000-0000-000042560000}"/>
    <cellStyle name="Positive 2 3 2 3 9" xfId="22070" xr:uid="{00000000-0005-0000-0000-000043560000}"/>
    <cellStyle name="Positive 2 3 2 3 9 2" xfId="22071" xr:uid="{00000000-0005-0000-0000-000044560000}"/>
    <cellStyle name="Positive 2 3 2 4" xfId="22072" xr:uid="{00000000-0005-0000-0000-000045560000}"/>
    <cellStyle name="Positive 2 3 2 4 10" xfId="22073" xr:uid="{00000000-0005-0000-0000-000046560000}"/>
    <cellStyle name="Positive 2 3 2 4 10 2" xfId="22074" xr:uid="{00000000-0005-0000-0000-000047560000}"/>
    <cellStyle name="Positive 2 3 2 4 11" xfId="22075" xr:uid="{00000000-0005-0000-0000-000048560000}"/>
    <cellStyle name="Positive 2 3 2 4 11 2" xfId="22076" xr:uid="{00000000-0005-0000-0000-000049560000}"/>
    <cellStyle name="Positive 2 3 2 4 12" xfId="22077" xr:uid="{00000000-0005-0000-0000-00004A560000}"/>
    <cellStyle name="Positive 2 3 2 4 12 2" xfId="22078" xr:uid="{00000000-0005-0000-0000-00004B560000}"/>
    <cellStyle name="Positive 2 3 2 4 13" xfId="22079" xr:uid="{00000000-0005-0000-0000-00004C560000}"/>
    <cellStyle name="Positive 2 3 2 4 13 2" xfId="22080" xr:uid="{00000000-0005-0000-0000-00004D560000}"/>
    <cellStyle name="Positive 2 3 2 4 14" xfId="22081" xr:uid="{00000000-0005-0000-0000-00004E560000}"/>
    <cellStyle name="Positive 2 3 2 4 14 2" xfId="22082" xr:uid="{00000000-0005-0000-0000-00004F560000}"/>
    <cellStyle name="Positive 2 3 2 4 15" xfId="22083" xr:uid="{00000000-0005-0000-0000-000050560000}"/>
    <cellStyle name="Positive 2 3 2 4 15 2" xfId="22084" xr:uid="{00000000-0005-0000-0000-000051560000}"/>
    <cellStyle name="Positive 2 3 2 4 16" xfId="22085" xr:uid="{00000000-0005-0000-0000-000052560000}"/>
    <cellStyle name="Positive 2 3 2 4 16 2" xfId="22086" xr:uid="{00000000-0005-0000-0000-000053560000}"/>
    <cellStyle name="Positive 2 3 2 4 17" xfId="22087" xr:uid="{00000000-0005-0000-0000-000054560000}"/>
    <cellStyle name="Positive 2 3 2 4 17 2" xfId="22088" xr:uid="{00000000-0005-0000-0000-000055560000}"/>
    <cellStyle name="Positive 2 3 2 4 18" xfId="22089" xr:uid="{00000000-0005-0000-0000-000056560000}"/>
    <cellStyle name="Positive 2 3 2 4 18 2" xfId="22090" xr:uid="{00000000-0005-0000-0000-000057560000}"/>
    <cellStyle name="Positive 2 3 2 4 19" xfId="22091" xr:uid="{00000000-0005-0000-0000-000058560000}"/>
    <cellStyle name="Positive 2 3 2 4 19 2" xfId="22092" xr:uid="{00000000-0005-0000-0000-000059560000}"/>
    <cellStyle name="Positive 2 3 2 4 2" xfId="22093" xr:uid="{00000000-0005-0000-0000-00005A560000}"/>
    <cellStyle name="Positive 2 3 2 4 2 10" xfId="22094" xr:uid="{00000000-0005-0000-0000-00005B560000}"/>
    <cellStyle name="Positive 2 3 2 4 2 10 2" xfId="22095" xr:uid="{00000000-0005-0000-0000-00005C560000}"/>
    <cellStyle name="Positive 2 3 2 4 2 11" xfId="22096" xr:uid="{00000000-0005-0000-0000-00005D560000}"/>
    <cellStyle name="Positive 2 3 2 4 2 11 2" xfId="22097" xr:uid="{00000000-0005-0000-0000-00005E560000}"/>
    <cellStyle name="Positive 2 3 2 4 2 12" xfId="22098" xr:uid="{00000000-0005-0000-0000-00005F560000}"/>
    <cellStyle name="Positive 2 3 2 4 2 12 2" xfId="22099" xr:uid="{00000000-0005-0000-0000-000060560000}"/>
    <cellStyle name="Positive 2 3 2 4 2 13" xfId="22100" xr:uid="{00000000-0005-0000-0000-000061560000}"/>
    <cellStyle name="Positive 2 3 2 4 2 13 2" xfId="22101" xr:uid="{00000000-0005-0000-0000-000062560000}"/>
    <cellStyle name="Positive 2 3 2 4 2 14" xfId="22102" xr:uid="{00000000-0005-0000-0000-000063560000}"/>
    <cellStyle name="Positive 2 3 2 4 2 14 2" xfId="22103" xr:uid="{00000000-0005-0000-0000-000064560000}"/>
    <cellStyle name="Positive 2 3 2 4 2 15" xfId="22104" xr:uid="{00000000-0005-0000-0000-000065560000}"/>
    <cellStyle name="Positive 2 3 2 4 2 15 2" xfId="22105" xr:uid="{00000000-0005-0000-0000-000066560000}"/>
    <cellStyle name="Positive 2 3 2 4 2 16" xfId="22106" xr:uid="{00000000-0005-0000-0000-000067560000}"/>
    <cellStyle name="Positive 2 3 2 4 2 16 2" xfId="22107" xr:uid="{00000000-0005-0000-0000-000068560000}"/>
    <cellStyle name="Positive 2 3 2 4 2 17" xfId="22108" xr:uid="{00000000-0005-0000-0000-000069560000}"/>
    <cellStyle name="Positive 2 3 2 4 2 2" xfId="22109" xr:uid="{00000000-0005-0000-0000-00006A560000}"/>
    <cellStyle name="Positive 2 3 2 4 2 2 2" xfId="22110" xr:uid="{00000000-0005-0000-0000-00006B560000}"/>
    <cellStyle name="Positive 2 3 2 4 2 3" xfId="22111" xr:uid="{00000000-0005-0000-0000-00006C560000}"/>
    <cellStyle name="Positive 2 3 2 4 2 3 2" xfId="22112" xr:uid="{00000000-0005-0000-0000-00006D560000}"/>
    <cellStyle name="Positive 2 3 2 4 2 4" xfId="22113" xr:uid="{00000000-0005-0000-0000-00006E560000}"/>
    <cellStyle name="Positive 2 3 2 4 2 4 2" xfId="22114" xr:uid="{00000000-0005-0000-0000-00006F560000}"/>
    <cellStyle name="Positive 2 3 2 4 2 5" xfId="22115" xr:uid="{00000000-0005-0000-0000-000070560000}"/>
    <cellStyle name="Positive 2 3 2 4 2 5 2" xfId="22116" xr:uid="{00000000-0005-0000-0000-000071560000}"/>
    <cellStyle name="Positive 2 3 2 4 2 6" xfId="22117" xr:uid="{00000000-0005-0000-0000-000072560000}"/>
    <cellStyle name="Positive 2 3 2 4 2 6 2" xfId="22118" xr:uid="{00000000-0005-0000-0000-000073560000}"/>
    <cellStyle name="Positive 2 3 2 4 2 7" xfId="22119" xr:uid="{00000000-0005-0000-0000-000074560000}"/>
    <cellStyle name="Positive 2 3 2 4 2 7 2" xfId="22120" xr:uid="{00000000-0005-0000-0000-000075560000}"/>
    <cellStyle name="Positive 2 3 2 4 2 8" xfId="22121" xr:uid="{00000000-0005-0000-0000-000076560000}"/>
    <cellStyle name="Positive 2 3 2 4 2 8 2" xfId="22122" xr:uid="{00000000-0005-0000-0000-000077560000}"/>
    <cellStyle name="Positive 2 3 2 4 2 9" xfId="22123" xr:uid="{00000000-0005-0000-0000-000078560000}"/>
    <cellStyle name="Positive 2 3 2 4 2 9 2" xfId="22124" xr:uid="{00000000-0005-0000-0000-000079560000}"/>
    <cellStyle name="Positive 2 3 2 4 20" xfId="22125" xr:uid="{00000000-0005-0000-0000-00007A560000}"/>
    <cellStyle name="Positive 2 3 2 4 3" xfId="22126" xr:uid="{00000000-0005-0000-0000-00007B560000}"/>
    <cellStyle name="Positive 2 3 2 4 3 2" xfId="22127" xr:uid="{00000000-0005-0000-0000-00007C560000}"/>
    <cellStyle name="Positive 2 3 2 4 3 2 2" xfId="22128" xr:uid="{00000000-0005-0000-0000-00007D560000}"/>
    <cellStyle name="Positive 2 3 2 4 3 3" xfId="22129" xr:uid="{00000000-0005-0000-0000-00007E560000}"/>
    <cellStyle name="Positive 2 3 2 4 4" xfId="22130" xr:uid="{00000000-0005-0000-0000-00007F560000}"/>
    <cellStyle name="Positive 2 3 2 4 4 2" xfId="22131" xr:uid="{00000000-0005-0000-0000-000080560000}"/>
    <cellStyle name="Positive 2 3 2 4 4 2 2" xfId="22132" xr:uid="{00000000-0005-0000-0000-000081560000}"/>
    <cellStyle name="Positive 2 3 2 4 4 3" xfId="22133" xr:uid="{00000000-0005-0000-0000-000082560000}"/>
    <cellStyle name="Positive 2 3 2 4 5" xfId="22134" xr:uid="{00000000-0005-0000-0000-000083560000}"/>
    <cellStyle name="Positive 2 3 2 4 5 2" xfId="22135" xr:uid="{00000000-0005-0000-0000-000084560000}"/>
    <cellStyle name="Positive 2 3 2 4 6" xfId="22136" xr:uid="{00000000-0005-0000-0000-000085560000}"/>
    <cellStyle name="Positive 2 3 2 4 6 2" xfId="22137" xr:uid="{00000000-0005-0000-0000-000086560000}"/>
    <cellStyle name="Positive 2 3 2 4 7" xfId="22138" xr:uid="{00000000-0005-0000-0000-000087560000}"/>
    <cellStyle name="Positive 2 3 2 4 7 2" xfId="22139" xr:uid="{00000000-0005-0000-0000-000088560000}"/>
    <cellStyle name="Positive 2 3 2 4 8" xfId="22140" xr:uid="{00000000-0005-0000-0000-000089560000}"/>
    <cellStyle name="Positive 2 3 2 4 8 2" xfId="22141" xr:uid="{00000000-0005-0000-0000-00008A560000}"/>
    <cellStyle name="Positive 2 3 2 4 9" xfId="22142" xr:uid="{00000000-0005-0000-0000-00008B560000}"/>
    <cellStyle name="Positive 2 3 2 4 9 2" xfId="22143" xr:uid="{00000000-0005-0000-0000-00008C560000}"/>
    <cellStyle name="Positive 2 3 2 5" xfId="22144" xr:uid="{00000000-0005-0000-0000-00008D560000}"/>
    <cellStyle name="Positive 2 3 2 5 10" xfId="22145" xr:uid="{00000000-0005-0000-0000-00008E560000}"/>
    <cellStyle name="Positive 2 3 2 5 10 2" xfId="22146" xr:uid="{00000000-0005-0000-0000-00008F560000}"/>
    <cellStyle name="Positive 2 3 2 5 11" xfId="22147" xr:uid="{00000000-0005-0000-0000-000090560000}"/>
    <cellStyle name="Positive 2 3 2 5 11 2" xfId="22148" xr:uid="{00000000-0005-0000-0000-000091560000}"/>
    <cellStyle name="Positive 2 3 2 5 12" xfId="22149" xr:uid="{00000000-0005-0000-0000-000092560000}"/>
    <cellStyle name="Positive 2 3 2 5 12 2" xfId="22150" xr:uid="{00000000-0005-0000-0000-000093560000}"/>
    <cellStyle name="Positive 2 3 2 5 13" xfId="22151" xr:uid="{00000000-0005-0000-0000-000094560000}"/>
    <cellStyle name="Positive 2 3 2 5 13 2" xfId="22152" xr:uid="{00000000-0005-0000-0000-000095560000}"/>
    <cellStyle name="Positive 2 3 2 5 14" xfId="22153" xr:uid="{00000000-0005-0000-0000-000096560000}"/>
    <cellStyle name="Positive 2 3 2 5 14 2" xfId="22154" xr:uid="{00000000-0005-0000-0000-000097560000}"/>
    <cellStyle name="Positive 2 3 2 5 15" xfId="22155" xr:uid="{00000000-0005-0000-0000-000098560000}"/>
    <cellStyle name="Positive 2 3 2 5 15 2" xfId="22156" xr:uid="{00000000-0005-0000-0000-000099560000}"/>
    <cellStyle name="Positive 2 3 2 5 16" xfId="22157" xr:uid="{00000000-0005-0000-0000-00009A560000}"/>
    <cellStyle name="Positive 2 3 2 5 16 2" xfId="22158" xr:uid="{00000000-0005-0000-0000-00009B560000}"/>
    <cellStyle name="Positive 2 3 2 5 17" xfId="22159" xr:uid="{00000000-0005-0000-0000-00009C560000}"/>
    <cellStyle name="Positive 2 3 2 5 2" xfId="22160" xr:uid="{00000000-0005-0000-0000-00009D560000}"/>
    <cellStyle name="Positive 2 3 2 5 2 2" xfId="22161" xr:uid="{00000000-0005-0000-0000-00009E560000}"/>
    <cellStyle name="Positive 2 3 2 5 3" xfId="22162" xr:uid="{00000000-0005-0000-0000-00009F560000}"/>
    <cellStyle name="Positive 2 3 2 5 3 2" xfId="22163" xr:uid="{00000000-0005-0000-0000-0000A0560000}"/>
    <cellStyle name="Positive 2 3 2 5 4" xfId="22164" xr:uid="{00000000-0005-0000-0000-0000A1560000}"/>
    <cellStyle name="Positive 2 3 2 5 4 2" xfId="22165" xr:uid="{00000000-0005-0000-0000-0000A2560000}"/>
    <cellStyle name="Positive 2 3 2 5 5" xfId="22166" xr:uid="{00000000-0005-0000-0000-0000A3560000}"/>
    <cellStyle name="Positive 2 3 2 5 5 2" xfId="22167" xr:uid="{00000000-0005-0000-0000-0000A4560000}"/>
    <cellStyle name="Positive 2 3 2 5 6" xfId="22168" xr:uid="{00000000-0005-0000-0000-0000A5560000}"/>
    <cellStyle name="Positive 2 3 2 5 6 2" xfId="22169" xr:uid="{00000000-0005-0000-0000-0000A6560000}"/>
    <cellStyle name="Positive 2 3 2 5 7" xfId="22170" xr:uid="{00000000-0005-0000-0000-0000A7560000}"/>
    <cellStyle name="Positive 2 3 2 5 7 2" xfId="22171" xr:uid="{00000000-0005-0000-0000-0000A8560000}"/>
    <cellStyle name="Positive 2 3 2 5 8" xfId="22172" xr:uid="{00000000-0005-0000-0000-0000A9560000}"/>
    <cellStyle name="Positive 2 3 2 5 8 2" xfId="22173" xr:uid="{00000000-0005-0000-0000-0000AA560000}"/>
    <cellStyle name="Positive 2 3 2 5 9" xfId="22174" xr:uid="{00000000-0005-0000-0000-0000AB560000}"/>
    <cellStyle name="Positive 2 3 2 5 9 2" xfId="22175" xr:uid="{00000000-0005-0000-0000-0000AC560000}"/>
    <cellStyle name="Positive 2 3 2 6" xfId="22176" xr:uid="{00000000-0005-0000-0000-0000AD560000}"/>
    <cellStyle name="Positive 2 3 2 6 2" xfId="22177" xr:uid="{00000000-0005-0000-0000-0000AE560000}"/>
    <cellStyle name="Positive 2 3 2 6 2 2" xfId="22178" xr:uid="{00000000-0005-0000-0000-0000AF560000}"/>
    <cellStyle name="Positive 2 3 2 6 3" xfId="22179" xr:uid="{00000000-0005-0000-0000-0000B0560000}"/>
    <cellStyle name="Positive 2 3 2 7" xfId="22180" xr:uid="{00000000-0005-0000-0000-0000B1560000}"/>
    <cellStyle name="Positive 2 3 2 7 2" xfId="22181" xr:uid="{00000000-0005-0000-0000-0000B2560000}"/>
    <cellStyle name="Positive 2 3 2 7 2 2" xfId="22182" xr:uid="{00000000-0005-0000-0000-0000B3560000}"/>
    <cellStyle name="Positive 2 3 2 7 3" xfId="22183" xr:uid="{00000000-0005-0000-0000-0000B4560000}"/>
    <cellStyle name="Positive 2 3 2 8" xfId="22184" xr:uid="{00000000-0005-0000-0000-0000B5560000}"/>
    <cellStyle name="Positive 2 3 2 8 2" xfId="22185" xr:uid="{00000000-0005-0000-0000-0000B6560000}"/>
    <cellStyle name="Positive 2 3 2 9" xfId="22186" xr:uid="{00000000-0005-0000-0000-0000B7560000}"/>
    <cellStyle name="Positive 2 3 2 9 2" xfId="22187" xr:uid="{00000000-0005-0000-0000-0000B8560000}"/>
    <cellStyle name="Positive 2 3 20" xfId="22188" xr:uid="{00000000-0005-0000-0000-0000B9560000}"/>
    <cellStyle name="Positive 2 3 20 2" xfId="22189" xr:uid="{00000000-0005-0000-0000-0000BA560000}"/>
    <cellStyle name="Positive 2 3 20 2 2" xfId="22190" xr:uid="{00000000-0005-0000-0000-0000BB560000}"/>
    <cellStyle name="Positive 2 3 20 3" xfId="22191" xr:uid="{00000000-0005-0000-0000-0000BC560000}"/>
    <cellStyle name="Positive 2 3 21" xfId="22192" xr:uid="{00000000-0005-0000-0000-0000BD560000}"/>
    <cellStyle name="Positive 2 3 21 2" xfId="22193" xr:uid="{00000000-0005-0000-0000-0000BE560000}"/>
    <cellStyle name="Positive 2 3 21 2 2" xfId="22194" xr:uid="{00000000-0005-0000-0000-0000BF560000}"/>
    <cellStyle name="Positive 2 3 21 3" xfId="22195" xr:uid="{00000000-0005-0000-0000-0000C0560000}"/>
    <cellStyle name="Positive 2 3 22" xfId="22196" xr:uid="{00000000-0005-0000-0000-0000C1560000}"/>
    <cellStyle name="Positive 2 3 22 2" xfId="22197" xr:uid="{00000000-0005-0000-0000-0000C2560000}"/>
    <cellStyle name="Positive 2 3 23" xfId="22198" xr:uid="{00000000-0005-0000-0000-0000C3560000}"/>
    <cellStyle name="Positive 2 3 23 2" xfId="22199" xr:uid="{00000000-0005-0000-0000-0000C4560000}"/>
    <cellStyle name="Positive 2 3 24" xfId="22200" xr:uid="{00000000-0005-0000-0000-0000C5560000}"/>
    <cellStyle name="Positive 2 3 24 2" xfId="22201" xr:uid="{00000000-0005-0000-0000-0000C6560000}"/>
    <cellStyle name="Positive 2 3 25" xfId="22202" xr:uid="{00000000-0005-0000-0000-0000C7560000}"/>
    <cellStyle name="Positive 2 3 25 2" xfId="22203" xr:uid="{00000000-0005-0000-0000-0000C8560000}"/>
    <cellStyle name="Positive 2 3 26" xfId="22204" xr:uid="{00000000-0005-0000-0000-0000C9560000}"/>
    <cellStyle name="Positive 2 3 26 2" xfId="22205" xr:uid="{00000000-0005-0000-0000-0000CA560000}"/>
    <cellStyle name="Positive 2 3 27" xfId="22206" xr:uid="{00000000-0005-0000-0000-0000CB560000}"/>
    <cellStyle name="Positive 2 3 27 2" xfId="22207" xr:uid="{00000000-0005-0000-0000-0000CC560000}"/>
    <cellStyle name="Positive 2 3 28" xfId="22208" xr:uid="{00000000-0005-0000-0000-0000CD560000}"/>
    <cellStyle name="Positive 2 3 28 2" xfId="22209" xr:uid="{00000000-0005-0000-0000-0000CE560000}"/>
    <cellStyle name="Positive 2 3 29" xfId="22210" xr:uid="{00000000-0005-0000-0000-0000CF560000}"/>
    <cellStyle name="Positive 2 3 29 2" xfId="22211" xr:uid="{00000000-0005-0000-0000-0000D0560000}"/>
    <cellStyle name="Positive 2 3 3" xfId="22212" xr:uid="{00000000-0005-0000-0000-0000D1560000}"/>
    <cellStyle name="Positive 2 3 3 10" xfId="22213" xr:uid="{00000000-0005-0000-0000-0000D2560000}"/>
    <cellStyle name="Positive 2 3 3 10 2" xfId="22214" xr:uid="{00000000-0005-0000-0000-0000D3560000}"/>
    <cellStyle name="Positive 2 3 3 11" xfId="22215" xr:uid="{00000000-0005-0000-0000-0000D4560000}"/>
    <cellStyle name="Positive 2 3 3 11 2" xfId="22216" xr:uid="{00000000-0005-0000-0000-0000D5560000}"/>
    <cellStyle name="Positive 2 3 3 12" xfId="22217" xr:uid="{00000000-0005-0000-0000-0000D6560000}"/>
    <cellStyle name="Positive 2 3 3 12 2" xfId="22218" xr:uid="{00000000-0005-0000-0000-0000D7560000}"/>
    <cellStyle name="Positive 2 3 3 13" xfId="22219" xr:uid="{00000000-0005-0000-0000-0000D8560000}"/>
    <cellStyle name="Positive 2 3 3 13 2" xfId="22220" xr:uid="{00000000-0005-0000-0000-0000D9560000}"/>
    <cellStyle name="Positive 2 3 3 14" xfId="22221" xr:uid="{00000000-0005-0000-0000-0000DA560000}"/>
    <cellStyle name="Positive 2 3 3 14 2" xfId="22222" xr:uid="{00000000-0005-0000-0000-0000DB560000}"/>
    <cellStyle name="Positive 2 3 3 15" xfId="22223" xr:uid="{00000000-0005-0000-0000-0000DC560000}"/>
    <cellStyle name="Positive 2 3 3 15 2" xfId="22224" xr:uid="{00000000-0005-0000-0000-0000DD560000}"/>
    <cellStyle name="Positive 2 3 3 16" xfId="22225" xr:uid="{00000000-0005-0000-0000-0000DE560000}"/>
    <cellStyle name="Positive 2 3 3 16 2" xfId="22226" xr:uid="{00000000-0005-0000-0000-0000DF560000}"/>
    <cellStyle name="Positive 2 3 3 17" xfId="22227" xr:uid="{00000000-0005-0000-0000-0000E0560000}"/>
    <cellStyle name="Positive 2 3 3 17 2" xfId="22228" xr:uid="{00000000-0005-0000-0000-0000E1560000}"/>
    <cellStyle name="Positive 2 3 3 18" xfId="22229" xr:uid="{00000000-0005-0000-0000-0000E2560000}"/>
    <cellStyle name="Positive 2 3 3 18 2" xfId="22230" xr:uid="{00000000-0005-0000-0000-0000E3560000}"/>
    <cellStyle name="Positive 2 3 3 19" xfId="22231" xr:uid="{00000000-0005-0000-0000-0000E4560000}"/>
    <cellStyle name="Positive 2 3 3 19 2" xfId="22232" xr:uid="{00000000-0005-0000-0000-0000E5560000}"/>
    <cellStyle name="Positive 2 3 3 2" xfId="22233" xr:uid="{00000000-0005-0000-0000-0000E6560000}"/>
    <cellStyle name="Positive 2 3 3 2 10" xfId="22234" xr:uid="{00000000-0005-0000-0000-0000E7560000}"/>
    <cellStyle name="Positive 2 3 3 2 10 2" xfId="22235" xr:uid="{00000000-0005-0000-0000-0000E8560000}"/>
    <cellStyle name="Positive 2 3 3 2 11" xfId="22236" xr:uid="{00000000-0005-0000-0000-0000E9560000}"/>
    <cellStyle name="Positive 2 3 3 2 11 2" xfId="22237" xr:uid="{00000000-0005-0000-0000-0000EA560000}"/>
    <cellStyle name="Positive 2 3 3 2 12" xfId="22238" xr:uid="{00000000-0005-0000-0000-0000EB560000}"/>
    <cellStyle name="Positive 2 3 3 2 12 2" xfId="22239" xr:uid="{00000000-0005-0000-0000-0000EC560000}"/>
    <cellStyle name="Positive 2 3 3 2 13" xfId="22240" xr:uid="{00000000-0005-0000-0000-0000ED560000}"/>
    <cellStyle name="Positive 2 3 3 2 13 2" xfId="22241" xr:uid="{00000000-0005-0000-0000-0000EE560000}"/>
    <cellStyle name="Positive 2 3 3 2 14" xfId="22242" xr:uid="{00000000-0005-0000-0000-0000EF560000}"/>
    <cellStyle name="Positive 2 3 3 2 14 2" xfId="22243" xr:uid="{00000000-0005-0000-0000-0000F0560000}"/>
    <cellStyle name="Positive 2 3 3 2 15" xfId="22244" xr:uid="{00000000-0005-0000-0000-0000F1560000}"/>
    <cellStyle name="Positive 2 3 3 2 15 2" xfId="22245" xr:uid="{00000000-0005-0000-0000-0000F2560000}"/>
    <cellStyle name="Positive 2 3 3 2 16" xfId="22246" xr:uid="{00000000-0005-0000-0000-0000F3560000}"/>
    <cellStyle name="Positive 2 3 3 2 16 2" xfId="22247" xr:uid="{00000000-0005-0000-0000-0000F4560000}"/>
    <cellStyle name="Positive 2 3 3 2 17" xfId="22248" xr:uid="{00000000-0005-0000-0000-0000F5560000}"/>
    <cellStyle name="Positive 2 3 3 2 17 2" xfId="22249" xr:uid="{00000000-0005-0000-0000-0000F6560000}"/>
    <cellStyle name="Positive 2 3 3 2 18" xfId="22250" xr:uid="{00000000-0005-0000-0000-0000F7560000}"/>
    <cellStyle name="Positive 2 3 3 2 18 2" xfId="22251" xr:uid="{00000000-0005-0000-0000-0000F8560000}"/>
    <cellStyle name="Positive 2 3 3 2 19" xfId="22252" xr:uid="{00000000-0005-0000-0000-0000F9560000}"/>
    <cellStyle name="Positive 2 3 3 2 19 2" xfId="22253" xr:uid="{00000000-0005-0000-0000-0000FA560000}"/>
    <cellStyle name="Positive 2 3 3 2 2" xfId="22254" xr:uid="{00000000-0005-0000-0000-0000FB560000}"/>
    <cellStyle name="Positive 2 3 3 2 2 10" xfId="22255" xr:uid="{00000000-0005-0000-0000-0000FC560000}"/>
    <cellStyle name="Positive 2 3 3 2 2 10 2" xfId="22256" xr:uid="{00000000-0005-0000-0000-0000FD560000}"/>
    <cellStyle name="Positive 2 3 3 2 2 11" xfId="22257" xr:uid="{00000000-0005-0000-0000-0000FE560000}"/>
    <cellStyle name="Positive 2 3 3 2 2 11 2" xfId="22258" xr:uid="{00000000-0005-0000-0000-0000FF560000}"/>
    <cellStyle name="Positive 2 3 3 2 2 12" xfId="22259" xr:uid="{00000000-0005-0000-0000-000000570000}"/>
    <cellStyle name="Positive 2 3 3 2 2 12 2" xfId="22260" xr:uid="{00000000-0005-0000-0000-000001570000}"/>
    <cellStyle name="Positive 2 3 3 2 2 13" xfId="22261" xr:uid="{00000000-0005-0000-0000-000002570000}"/>
    <cellStyle name="Positive 2 3 3 2 2 13 2" xfId="22262" xr:uid="{00000000-0005-0000-0000-000003570000}"/>
    <cellStyle name="Positive 2 3 3 2 2 14" xfId="22263" xr:uid="{00000000-0005-0000-0000-000004570000}"/>
    <cellStyle name="Positive 2 3 3 2 2 14 2" xfId="22264" xr:uid="{00000000-0005-0000-0000-000005570000}"/>
    <cellStyle name="Positive 2 3 3 2 2 15" xfId="22265" xr:uid="{00000000-0005-0000-0000-000006570000}"/>
    <cellStyle name="Positive 2 3 3 2 2 15 2" xfId="22266" xr:uid="{00000000-0005-0000-0000-000007570000}"/>
    <cellStyle name="Positive 2 3 3 2 2 16" xfId="22267" xr:uid="{00000000-0005-0000-0000-000008570000}"/>
    <cellStyle name="Positive 2 3 3 2 2 16 2" xfId="22268" xr:uid="{00000000-0005-0000-0000-000009570000}"/>
    <cellStyle name="Positive 2 3 3 2 2 17" xfId="22269" xr:uid="{00000000-0005-0000-0000-00000A570000}"/>
    <cellStyle name="Positive 2 3 3 2 2 2" xfId="22270" xr:uid="{00000000-0005-0000-0000-00000B570000}"/>
    <cellStyle name="Positive 2 3 3 2 2 2 2" xfId="22271" xr:uid="{00000000-0005-0000-0000-00000C570000}"/>
    <cellStyle name="Positive 2 3 3 2 2 3" xfId="22272" xr:uid="{00000000-0005-0000-0000-00000D570000}"/>
    <cellStyle name="Positive 2 3 3 2 2 3 2" xfId="22273" xr:uid="{00000000-0005-0000-0000-00000E570000}"/>
    <cellStyle name="Positive 2 3 3 2 2 4" xfId="22274" xr:uid="{00000000-0005-0000-0000-00000F570000}"/>
    <cellStyle name="Positive 2 3 3 2 2 4 2" xfId="22275" xr:uid="{00000000-0005-0000-0000-000010570000}"/>
    <cellStyle name="Positive 2 3 3 2 2 5" xfId="22276" xr:uid="{00000000-0005-0000-0000-000011570000}"/>
    <cellStyle name="Positive 2 3 3 2 2 5 2" xfId="22277" xr:uid="{00000000-0005-0000-0000-000012570000}"/>
    <cellStyle name="Positive 2 3 3 2 2 6" xfId="22278" xr:uid="{00000000-0005-0000-0000-000013570000}"/>
    <cellStyle name="Positive 2 3 3 2 2 6 2" xfId="22279" xr:uid="{00000000-0005-0000-0000-000014570000}"/>
    <cellStyle name="Positive 2 3 3 2 2 7" xfId="22280" xr:uid="{00000000-0005-0000-0000-000015570000}"/>
    <cellStyle name="Positive 2 3 3 2 2 7 2" xfId="22281" xr:uid="{00000000-0005-0000-0000-000016570000}"/>
    <cellStyle name="Positive 2 3 3 2 2 8" xfId="22282" xr:uid="{00000000-0005-0000-0000-000017570000}"/>
    <cellStyle name="Positive 2 3 3 2 2 8 2" xfId="22283" xr:uid="{00000000-0005-0000-0000-000018570000}"/>
    <cellStyle name="Positive 2 3 3 2 2 9" xfId="22284" xr:uid="{00000000-0005-0000-0000-000019570000}"/>
    <cellStyle name="Positive 2 3 3 2 2 9 2" xfId="22285" xr:uid="{00000000-0005-0000-0000-00001A570000}"/>
    <cellStyle name="Positive 2 3 3 2 20" xfId="22286" xr:uid="{00000000-0005-0000-0000-00001B570000}"/>
    <cellStyle name="Positive 2 3 3 2 3" xfId="22287" xr:uid="{00000000-0005-0000-0000-00001C570000}"/>
    <cellStyle name="Positive 2 3 3 2 3 2" xfId="22288" xr:uid="{00000000-0005-0000-0000-00001D570000}"/>
    <cellStyle name="Positive 2 3 3 2 3 2 2" xfId="22289" xr:uid="{00000000-0005-0000-0000-00001E570000}"/>
    <cellStyle name="Positive 2 3 3 2 3 3" xfId="22290" xr:uid="{00000000-0005-0000-0000-00001F570000}"/>
    <cellStyle name="Positive 2 3 3 2 4" xfId="22291" xr:uid="{00000000-0005-0000-0000-000020570000}"/>
    <cellStyle name="Positive 2 3 3 2 4 2" xfId="22292" xr:uid="{00000000-0005-0000-0000-000021570000}"/>
    <cellStyle name="Positive 2 3 3 2 4 2 2" xfId="22293" xr:uid="{00000000-0005-0000-0000-000022570000}"/>
    <cellStyle name="Positive 2 3 3 2 4 3" xfId="22294" xr:uid="{00000000-0005-0000-0000-000023570000}"/>
    <cellStyle name="Positive 2 3 3 2 5" xfId="22295" xr:uid="{00000000-0005-0000-0000-000024570000}"/>
    <cellStyle name="Positive 2 3 3 2 5 2" xfId="22296" xr:uid="{00000000-0005-0000-0000-000025570000}"/>
    <cellStyle name="Positive 2 3 3 2 6" xfId="22297" xr:uid="{00000000-0005-0000-0000-000026570000}"/>
    <cellStyle name="Positive 2 3 3 2 6 2" xfId="22298" xr:uid="{00000000-0005-0000-0000-000027570000}"/>
    <cellStyle name="Positive 2 3 3 2 7" xfId="22299" xr:uid="{00000000-0005-0000-0000-000028570000}"/>
    <cellStyle name="Positive 2 3 3 2 7 2" xfId="22300" xr:uid="{00000000-0005-0000-0000-000029570000}"/>
    <cellStyle name="Positive 2 3 3 2 8" xfId="22301" xr:uid="{00000000-0005-0000-0000-00002A570000}"/>
    <cellStyle name="Positive 2 3 3 2 8 2" xfId="22302" xr:uid="{00000000-0005-0000-0000-00002B570000}"/>
    <cellStyle name="Positive 2 3 3 2 9" xfId="22303" xr:uid="{00000000-0005-0000-0000-00002C570000}"/>
    <cellStyle name="Positive 2 3 3 2 9 2" xfId="22304" xr:uid="{00000000-0005-0000-0000-00002D570000}"/>
    <cellStyle name="Positive 2 3 3 20" xfId="22305" xr:uid="{00000000-0005-0000-0000-00002E570000}"/>
    <cellStyle name="Positive 2 3 3 20 2" xfId="22306" xr:uid="{00000000-0005-0000-0000-00002F570000}"/>
    <cellStyle name="Positive 2 3 3 21" xfId="22307" xr:uid="{00000000-0005-0000-0000-000030570000}"/>
    <cellStyle name="Positive 2 3 3 21 2" xfId="22308" xr:uid="{00000000-0005-0000-0000-000031570000}"/>
    <cellStyle name="Positive 2 3 3 22" xfId="22309" xr:uid="{00000000-0005-0000-0000-000032570000}"/>
    <cellStyle name="Positive 2 3 3 22 2" xfId="22310" xr:uid="{00000000-0005-0000-0000-000033570000}"/>
    <cellStyle name="Positive 2 3 3 23" xfId="22311" xr:uid="{00000000-0005-0000-0000-000034570000}"/>
    <cellStyle name="Positive 2 3 3 3" xfId="22312" xr:uid="{00000000-0005-0000-0000-000035570000}"/>
    <cellStyle name="Positive 2 3 3 3 10" xfId="22313" xr:uid="{00000000-0005-0000-0000-000036570000}"/>
    <cellStyle name="Positive 2 3 3 3 10 2" xfId="22314" xr:uid="{00000000-0005-0000-0000-000037570000}"/>
    <cellStyle name="Positive 2 3 3 3 11" xfId="22315" xr:uid="{00000000-0005-0000-0000-000038570000}"/>
    <cellStyle name="Positive 2 3 3 3 11 2" xfId="22316" xr:uid="{00000000-0005-0000-0000-000039570000}"/>
    <cellStyle name="Positive 2 3 3 3 12" xfId="22317" xr:uid="{00000000-0005-0000-0000-00003A570000}"/>
    <cellStyle name="Positive 2 3 3 3 12 2" xfId="22318" xr:uid="{00000000-0005-0000-0000-00003B570000}"/>
    <cellStyle name="Positive 2 3 3 3 13" xfId="22319" xr:uid="{00000000-0005-0000-0000-00003C570000}"/>
    <cellStyle name="Positive 2 3 3 3 13 2" xfId="22320" xr:uid="{00000000-0005-0000-0000-00003D570000}"/>
    <cellStyle name="Positive 2 3 3 3 14" xfId="22321" xr:uid="{00000000-0005-0000-0000-00003E570000}"/>
    <cellStyle name="Positive 2 3 3 3 14 2" xfId="22322" xr:uid="{00000000-0005-0000-0000-00003F570000}"/>
    <cellStyle name="Positive 2 3 3 3 15" xfId="22323" xr:uid="{00000000-0005-0000-0000-000040570000}"/>
    <cellStyle name="Positive 2 3 3 3 15 2" xfId="22324" xr:uid="{00000000-0005-0000-0000-000041570000}"/>
    <cellStyle name="Positive 2 3 3 3 16" xfId="22325" xr:uid="{00000000-0005-0000-0000-000042570000}"/>
    <cellStyle name="Positive 2 3 3 3 16 2" xfId="22326" xr:uid="{00000000-0005-0000-0000-000043570000}"/>
    <cellStyle name="Positive 2 3 3 3 17" xfId="22327" xr:uid="{00000000-0005-0000-0000-000044570000}"/>
    <cellStyle name="Positive 2 3 3 3 17 2" xfId="22328" xr:uid="{00000000-0005-0000-0000-000045570000}"/>
    <cellStyle name="Positive 2 3 3 3 18" xfId="22329" xr:uid="{00000000-0005-0000-0000-000046570000}"/>
    <cellStyle name="Positive 2 3 3 3 18 2" xfId="22330" xr:uid="{00000000-0005-0000-0000-000047570000}"/>
    <cellStyle name="Positive 2 3 3 3 19" xfId="22331" xr:uid="{00000000-0005-0000-0000-000048570000}"/>
    <cellStyle name="Positive 2 3 3 3 19 2" xfId="22332" xr:uid="{00000000-0005-0000-0000-000049570000}"/>
    <cellStyle name="Positive 2 3 3 3 2" xfId="22333" xr:uid="{00000000-0005-0000-0000-00004A570000}"/>
    <cellStyle name="Positive 2 3 3 3 2 10" xfId="22334" xr:uid="{00000000-0005-0000-0000-00004B570000}"/>
    <cellStyle name="Positive 2 3 3 3 2 10 2" xfId="22335" xr:uid="{00000000-0005-0000-0000-00004C570000}"/>
    <cellStyle name="Positive 2 3 3 3 2 11" xfId="22336" xr:uid="{00000000-0005-0000-0000-00004D570000}"/>
    <cellStyle name="Positive 2 3 3 3 2 11 2" xfId="22337" xr:uid="{00000000-0005-0000-0000-00004E570000}"/>
    <cellStyle name="Positive 2 3 3 3 2 12" xfId="22338" xr:uid="{00000000-0005-0000-0000-00004F570000}"/>
    <cellStyle name="Positive 2 3 3 3 2 12 2" xfId="22339" xr:uid="{00000000-0005-0000-0000-000050570000}"/>
    <cellStyle name="Positive 2 3 3 3 2 13" xfId="22340" xr:uid="{00000000-0005-0000-0000-000051570000}"/>
    <cellStyle name="Positive 2 3 3 3 2 13 2" xfId="22341" xr:uid="{00000000-0005-0000-0000-000052570000}"/>
    <cellStyle name="Positive 2 3 3 3 2 14" xfId="22342" xr:uid="{00000000-0005-0000-0000-000053570000}"/>
    <cellStyle name="Positive 2 3 3 3 2 14 2" xfId="22343" xr:uid="{00000000-0005-0000-0000-000054570000}"/>
    <cellStyle name="Positive 2 3 3 3 2 15" xfId="22344" xr:uid="{00000000-0005-0000-0000-000055570000}"/>
    <cellStyle name="Positive 2 3 3 3 2 15 2" xfId="22345" xr:uid="{00000000-0005-0000-0000-000056570000}"/>
    <cellStyle name="Positive 2 3 3 3 2 16" xfId="22346" xr:uid="{00000000-0005-0000-0000-000057570000}"/>
    <cellStyle name="Positive 2 3 3 3 2 16 2" xfId="22347" xr:uid="{00000000-0005-0000-0000-000058570000}"/>
    <cellStyle name="Positive 2 3 3 3 2 17" xfId="22348" xr:uid="{00000000-0005-0000-0000-000059570000}"/>
    <cellStyle name="Positive 2 3 3 3 2 2" xfId="22349" xr:uid="{00000000-0005-0000-0000-00005A570000}"/>
    <cellStyle name="Positive 2 3 3 3 2 2 2" xfId="22350" xr:uid="{00000000-0005-0000-0000-00005B570000}"/>
    <cellStyle name="Positive 2 3 3 3 2 3" xfId="22351" xr:uid="{00000000-0005-0000-0000-00005C570000}"/>
    <cellStyle name="Positive 2 3 3 3 2 3 2" xfId="22352" xr:uid="{00000000-0005-0000-0000-00005D570000}"/>
    <cellStyle name="Positive 2 3 3 3 2 4" xfId="22353" xr:uid="{00000000-0005-0000-0000-00005E570000}"/>
    <cellStyle name="Positive 2 3 3 3 2 4 2" xfId="22354" xr:uid="{00000000-0005-0000-0000-00005F570000}"/>
    <cellStyle name="Positive 2 3 3 3 2 5" xfId="22355" xr:uid="{00000000-0005-0000-0000-000060570000}"/>
    <cellStyle name="Positive 2 3 3 3 2 5 2" xfId="22356" xr:uid="{00000000-0005-0000-0000-000061570000}"/>
    <cellStyle name="Positive 2 3 3 3 2 6" xfId="22357" xr:uid="{00000000-0005-0000-0000-000062570000}"/>
    <cellStyle name="Positive 2 3 3 3 2 6 2" xfId="22358" xr:uid="{00000000-0005-0000-0000-000063570000}"/>
    <cellStyle name="Positive 2 3 3 3 2 7" xfId="22359" xr:uid="{00000000-0005-0000-0000-000064570000}"/>
    <cellStyle name="Positive 2 3 3 3 2 7 2" xfId="22360" xr:uid="{00000000-0005-0000-0000-000065570000}"/>
    <cellStyle name="Positive 2 3 3 3 2 8" xfId="22361" xr:uid="{00000000-0005-0000-0000-000066570000}"/>
    <cellStyle name="Positive 2 3 3 3 2 8 2" xfId="22362" xr:uid="{00000000-0005-0000-0000-000067570000}"/>
    <cellStyle name="Positive 2 3 3 3 2 9" xfId="22363" xr:uid="{00000000-0005-0000-0000-000068570000}"/>
    <cellStyle name="Positive 2 3 3 3 2 9 2" xfId="22364" xr:uid="{00000000-0005-0000-0000-000069570000}"/>
    <cellStyle name="Positive 2 3 3 3 20" xfId="22365" xr:uid="{00000000-0005-0000-0000-00006A570000}"/>
    <cellStyle name="Positive 2 3 3 3 3" xfId="22366" xr:uid="{00000000-0005-0000-0000-00006B570000}"/>
    <cellStyle name="Positive 2 3 3 3 3 2" xfId="22367" xr:uid="{00000000-0005-0000-0000-00006C570000}"/>
    <cellStyle name="Positive 2 3 3 3 3 2 2" xfId="22368" xr:uid="{00000000-0005-0000-0000-00006D570000}"/>
    <cellStyle name="Positive 2 3 3 3 3 3" xfId="22369" xr:uid="{00000000-0005-0000-0000-00006E570000}"/>
    <cellStyle name="Positive 2 3 3 3 4" xfId="22370" xr:uid="{00000000-0005-0000-0000-00006F570000}"/>
    <cellStyle name="Positive 2 3 3 3 4 2" xfId="22371" xr:uid="{00000000-0005-0000-0000-000070570000}"/>
    <cellStyle name="Positive 2 3 3 3 4 2 2" xfId="22372" xr:uid="{00000000-0005-0000-0000-000071570000}"/>
    <cellStyle name="Positive 2 3 3 3 4 3" xfId="22373" xr:uid="{00000000-0005-0000-0000-000072570000}"/>
    <cellStyle name="Positive 2 3 3 3 5" xfId="22374" xr:uid="{00000000-0005-0000-0000-000073570000}"/>
    <cellStyle name="Positive 2 3 3 3 5 2" xfId="22375" xr:uid="{00000000-0005-0000-0000-000074570000}"/>
    <cellStyle name="Positive 2 3 3 3 6" xfId="22376" xr:uid="{00000000-0005-0000-0000-000075570000}"/>
    <cellStyle name="Positive 2 3 3 3 6 2" xfId="22377" xr:uid="{00000000-0005-0000-0000-000076570000}"/>
    <cellStyle name="Positive 2 3 3 3 7" xfId="22378" xr:uid="{00000000-0005-0000-0000-000077570000}"/>
    <cellStyle name="Positive 2 3 3 3 7 2" xfId="22379" xr:uid="{00000000-0005-0000-0000-000078570000}"/>
    <cellStyle name="Positive 2 3 3 3 8" xfId="22380" xr:uid="{00000000-0005-0000-0000-000079570000}"/>
    <cellStyle name="Positive 2 3 3 3 8 2" xfId="22381" xr:uid="{00000000-0005-0000-0000-00007A570000}"/>
    <cellStyle name="Positive 2 3 3 3 9" xfId="22382" xr:uid="{00000000-0005-0000-0000-00007B570000}"/>
    <cellStyle name="Positive 2 3 3 3 9 2" xfId="22383" xr:uid="{00000000-0005-0000-0000-00007C570000}"/>
    <cellStyle name="Positive 2 3 3 4" xfId="22384" xr:uid="{00000000-0005-0000-0000-00007D570000}"/>
    <cellStyle name="Positive 2 3 3 4 10" xfId="22385" xr:uid="{00000000-0005-0000-0000-00007E570000}"/>
    <cellStyle name="Positive 2 3 3 4 10 2" xfId="22386" xr:uid="{00000000-0005-0000-0000-00007F570000}"/>
    <cellStyle name="Positive 2 3 3 4 11" xfId="22387" xr:uid="{00000000-0005-0000-0000-000080570000}"/>
    <cellStyle name="Positive 2 3 3 4 11 2" xfId="22388" xr:uid="{00000000-0005-0000-0000-000081570000}"/>
    <cellStyle name="Positive 2 3 3 4 12" xfId="22389" xr:uid="{00000000-0005-0000-0000-000082570000}"/>
    <cellStyle name="Positive 2 3 3 4 12 2" xfId="22390" xr:uid="{00000000-0005-0000-0000-000083570000}"/>
    <cellStyle name="Positive 2 3 3 4 13" xfId="22391" xr:uid="{00000000-0005-0000-0000-000084570000}"/>
    <cellStyle name="Positive 2 3 3 4 13 2" xfId="22392" xr:uid="{00000000-0005-0000-0000-000085570000}"/>
    <cellStyle name="Positive 2 3 3 4 14" xfId="22393" xr:uid="{00000000-0005-0000-0000-000086570000}"/>
    <cellStyle name="Positive 2 3 3 4 14 2" xfId="22394" xr:uid="{00000000-0005-0000-0000-000087570000}"/>
    <cellStyle name="Positive 2 3 3 4 15" xfId="22395" xr:uid="{00000000-0005-0000-0000-000088570000}"/>
    <cellStyle name="Positive 2 3 3 4 15 2" xfId="22396" xr:uid="{00000000-0005-0000-0000-000089570000}"/>
    <cellStyle name="Positive 2 3 3 4 16" xfId="22397" xr:uid="{00000000-0005-0000-0000-00008A570000}"/>
    <cellStyle name="Positive 2 3 3 4 16 2" xfId="22398" xr:uid="{00000000-0005-0000-0000-00008B570000}"/>
    <cellStyle name="Positive 2 3 3 4 17" xfId="22399" xr:uid="{00000000-0005-0000-0000-00008C570000}"/>
    <cellStyle name="Positive 2 3 3 4 17 2" xfId="22400" xr:uid="{00000000-0005-0000-0000-00008D570000}"/>
    <cellStyle name="Positive 2 3 3 4 18" xfId="22401" xr:uid="{00000000-0005-0000-0000-00008E570000}"/>
    <cellStyle name="Positive 2 3 3 4 18 2" xfId="22402" xr:uid="{00000000-0005-0000-0000-00008F570000}"/>
    <cellStyle name="Positive 2 3 3 4 19" xfId="22403" xr:uid="{00000000-0005-0000-0000-000090570000}"/>
    <cellStyle name="Positive 2 3 3 4 19 2" xfId="22404" xr:uid="{00000000-0005-0000-0000-000091570000}"/>
    <cellStyle name="Positive 2 3 3 4 2" xfId="22405" xr:uid="{00000000-0005-0000-0000-000092570000}"/>
    <cellStyle name="Positive 2 3 3 4 2 10" xfId="22406" xr:uid="{00000000-0005-0000-0000-000093570000}"/>
    <cellStyle name="Positive 2 3 3 4 2 10 2" xfId="22407" xr:uid="{00000000-0005-0000-0000-000094570000}"/>
    <cellStyle name="Positive 2 3 3 4 2 11" xfId="22408" xr:uid="{00000000-0005-0000-0000-000095570000}"/>
    <cellStyle name="Positive 2 3 3 4 2 11 2" xfId="22409" xr:uid="{00000000-0005-0000-0000-000096570000}"/>
    <cellStyle name="Positive 2 3 3 4 2 12" xfId="22410" xr:uid="{00000000-0005-0000-0000-000097570000}"/>
    <cellStyle name="Positive 2 3 3 4 2 12 2" xfId="22411" xr:uid="{00000000-0005-0000-0000-000098570000}"/>
    <cellStyle name="Positive 2 3 3 4 2 13" xfId="22412" xr:uid="{00000000-0005-0000-0000-000099570000}"/>
    <cellStyle name="Positive 2 3 3 4 2 13 2" xfId="22413" xr:uid="{00000000-0005-0000-0000-00009A570000}"/>
    <cellStyle name="Positive 2 3 3 4 2 14" xfId="22414" xr:uid="{00000000-0005-0000-0000-00009B570000}"/>
    <cellStyle name="Positive 2 3 3 4 2 14 2" xfId="22415" xr:uid="{00000000-0005-0000-0000-00009C570000}"/>
    <cellStyle name="Positive 2 3 3 4 2 15" xfId="22416" xr:uid="{00000000-0005-0000-0000-00009D570000}"/>
    <cellStyle name="Positive 2 3 3 4 2 15 2" xfId="22417" xr:uid="{00000000-0005-0000-0000-00009E570000}"/>
    <cellStyle name="Positive 2 3 3 4 2 16" xfId="22418" xr:uid="{00000000-0005-0000-0000-00009F570000}"/>
    <cellStyle name="Positive 2 3 3 4 2 16 2" xfId="22419" xr:uid="{00000000-0005-0000-0000-0000A0570000}"/>
    <cellStyle name="Positive 2 3 3 4 2 17" xfId="22420" xr:uid="{00000000-0005-0000-0000-0000A1570000}"/>
    <cellStyle name="Positive 2 3 3 4 2 2" xfId="22421" xr:uid="{00000000-0005-0000-0000-0000A2570000}"/>
    <cellStyle name="Positive 2 3 3 4 2 2 2" xfId="22422" xr:uid="{00000000-0005-0000-0000-0000A3570000}"/>
    <cellStyle name="Positive 2 3 3 4 2 3" xfId="22423" xr:uid="{00000000-0005-0000-0000-0000A4570000}"/>
    <cellStyle name="Positive 2 3 3 4 2 3 2" xfId="22424" xr:uid="{00000000-0005-0000-0000-0000A5570000}"/>
    <cellStyle name="Positive 2 3 3 4 2 4" xfId="22425" xr:uid="{00000000-0005-0000-0000-0000A6570000}"/>
    <cellStyle name="Positive 2 3 3 4 2 4 2" xfId="22426" xr:uid="{00000000-0005-0000-0000-0000A7570000}"/>
    <cellStyle name="Positive 2 3 3 4 2 5" xfId="22427" xr:uid="{00000000-0005-0000-0000-0000A8570000}"/>
    <cellStyle name="Positive 2 3 3 4 2 5 2" xfId="22428" xr:uid="{00000000-0005-0000-0000-0000A9570000}"/>
    <cellStyle name="Positive 2 3 3 4 2 6" xfId="22429" xr:uid="{00000000-0005-0000-0000-0000AA570000}"/>
    <cellStyle name="Positive 2 3 3 4 2 6 2" xfId="22430" xr:uid="{00000000-0005-0000-0000-0000AB570000}"/>
    <cellStyle name="Positive 2 3 3 4 2 7" xfId="22431" xr:uid="{00000000-0005-0000-0000-0000AC570000}"/>
    <cellStyle name="Positive 2 3 3 4 2 7 2" xfId="22432" xr:uid="{00000000-0005-0000-0000-0000AD570000}"/>
    <cellStyle name="Positive 2 3 3 4 2 8" xfId="22433" xr:uid="{00000000-0005-0000-0000-0000AE570000}"/>
    <cellStyle name="Positive 2 3 3 4 2 8 2" xfId="22434" xr:uid="{00000000-0005-0000-0000-0000AF570000}"/>
    <cellStyle name="Positive 2 3 3 4 2 9" xfId="22435" xr:uid="{00000000-0005-0000-0000-0000B0570000}"/>
    <cellStyle name="Positive 2 3 3 4 2 9 2" xfId="22436" xr:uid="{00000000-0005-0000-0000-0000B1570000}"/>
    <cellStyle name="Positive 2 3 3 4 20" xfId="22437" xr:uid="{00000000-0005-0000-0000-0000B2570000}"/>
    <cellStyle name="Positive 2 3 3 4 3" xfId="22438" xr:uid="{00000000-0005-0000-0000-0000B3570000}"/>
    <cellStyle name="Positive 2 3 3 4 3 2" xfId="22439" xr:uid="{00000000-0005-0000-0000-0000B4570000}"/>
    <cellStyle name="Positive 2 3 3 4 3 2 2" xfId="22440" xr:uid="{00000000-0005-0000-0000-0000B5570000}"/>
    <cellStyle name="Positive 2 3 3 4 3 3" xfId="22441" xr:uid="{00000000-0005-0000-0000-0000B6570000}"/>
    <cellStyle name="Positive 2 3 3 4 4" xfId="22442" xr:uid="{00000000-0005-0000-0000-0000B7570000}"/>
    <cellStyle name="Positive 2 3 3 4 4 2" xfId="22443" xr:uid="{00000000-0005-0000-0000-0000B8570000}"/>
    <cellStyle name="Positive 2 3 3 4 4 2 2" xfId="22444" xr:uid="{00000000-0005-0000-0000-0000B9570000}"/>
    <cellStyle name="Positive 2 3 3 4 4 3" xfId="22445" xr:uid="{00000000-0005-0000-0000-0000BA570000}"/>
    <cellStyle name="Positive 2 3 3 4 5" xfId="22446" xr:uid="{00000000-0005-0000-0000-0000BB570000}"/>
    <cellStyle name="Positive 2 3 3 4 5 2" xfId="22447" xr:uid="{00000000-0005-0000-0000-0000BC570000}"/>
    <cellStyle name="Positive 2 3 3 4 6" xfId="22448" xr:uid="{00000000-0005-0000-0000-0000BD570000}"/>
    <cellStyle name="Positive 2 3 3 4 6 2" xfId="22449" xr:uid="{00000000-0005-0000-0000-0000BE570000}"/>
    <cellStyle name="Positive 2 3 3 4 7" xfId="22450" xr:uid="{00000000-0005-0000-0000-0000BF570000}"/>
    <cellStyle name="Positive 2 3 3 4 7 2" xfId="22451" xr:uid="{00000000-0005-0000-0000-0000C0570000}"/>
    <cellStyle name="Positive 2 3 3 4 8" xfId="22452" xr:uid="{00000000-0005-0000-0000-0000C1570000}"/>
    <cellStyle name="Positive 2 3 3 4 8 2" xfId="22453" xr:uid="{00000000-0005-0000-0000-0000C2570000}"/>
    <cellStyle name="Positive 2 3 3 4 9" xfId="22454" xr:uid="{00000000-0005-0000-0000-0000C3570000}"/>
    <cellStyle name="Positive 2 3 3 4 9 2" xfId="22455" xr:uid="{00000000-0005-0000-0000-0000C4570000}"/>
    <cellStyle name="Positive 2 3 3 5" xfId="22456" xr:uid="{00000000-0005-0000-0000-0000C5570000}"/>
    <cellStyle name="Positive 2 3 3 5 10" xfId="22457" xr:uid="{00000000-0005-0000-0000-0000C6570000}"/>
    <cellStyle name="Positive 2 3 3 5 10 2" xfId="22458" xr:uid="{00000000-0005-0000-0000-0000C7570000}"/>
    <cellStyle name="Positive 2 3 3 5 11" xfId="22459" xr:uid="{00000000-0005-0000-0000-0000C8570000}"/>
    <cellStyle name="Positive 2 3 3 5 11 2" xfId="22460" xr:uid="{00000000-0005-0000-0000-0000C9570000}"/>
    <cellStyle name="Positive 2 3 3 5 12" xfId="22461" xr:uid="{00000000-0005-0000-0000-0000CA570000}"/>
    <cellStyle name="Positive 2 3 3 5 12 2" xfId="22462" xr:uid="{00000000-0005-0000-0000-0000CB570000}"/>
    <cellStyle name="Positive 2 3 3 5 13" xfId="22463" xr:uid="{00000000-0005-0000-0000-0000CC570000}"/>
    <cellStyle name="Positive 2 3 3 5 13 2" xfId="22464" xr:uid="{00000000-0005-0000-0000-0000CD570000}"/>
    <cellStyle name="Positive 2 3 3 5 14" xfId="22465" xr:uid="{00000000-0005-0000-0000-0000CE570000}"/>
    <cellStyle name="Positive 2 3 3 5 14 2" xfId="22466" xr:uid="{00000000-0005-0000-0000-0000CF570000}"/>
    <cellStyle name="Positive 2 3 3 5 15" xfId="22467" xr:uid="{00000000-0005-0000-0000-0000D0570000}"/>
    <cellStyle name="Positive 2 3 3 5 15 2" xfId="22468" xr:uid="{00000000-0005-0000-0000-0000D1570000}"/>
    <cellStyle name="Positive 2 3 3 5 16" xfId="22469" xr:uid="{00000000-0005-0000-0000-0000D2570000}"/>
    <cellStyle name="Positive 2 3 3 5 16 2" xfId="22470" xr:uid="{00000000-0005-0000-0000-0000D3570000}"/>
    <cellStyle name="Positive 2 3 3 5 17" xfId="22471" xr:uid="{00000000-0005-0000-0000-0000D4570000}"/>
    <cellStyle name="Positive 2 3 3 5 2" xfId="22472" xr:uid="{00000000-0005-0000-0000-0000D5570000}"/>
    <cellStyle name="Positive 2 3 3 5 2 2" xfId="22473" xr:uid="{00000000-0005-0000-0000-0000D6570000}"/>
    <cellStyle name="Positive 2 3 3 5 3" xfId="22474" xr:uid="{00000000-0005-0000-0000-0000D7570000}"/>
    <cellStyle name="Positive 2 3 3 5 3 2" xfId="22475" xr:uid="{00000000-0005-0000-0000-0000D8570000}"/>
    <cellStyle name="Positive 2 3 3 5 4" xfId="22476" xr:uid="{00000000-0005-0000-0000-0000D9570000}"/>
    <cellStyle name="Positive 2 3 3 5 4 2" xfId="22477" xr:uid="{00000000-0005-0000-0000-0000DA570000}"/>
    <cellStyle name="Positive 2 3 3 5 5" xfId="22478" xr:uid="{00000000-0005-0000-0000-0000DB570000}"/>
    <cellStyle name="Positive 2 3 3 5 5 2" xfId="22479" xr:uid="{00000000-0005-0000-0000-0000DC570000}"/>
    <cellStyle name="Positive 2 3 3 5 6" xfId="22480" xr:uid="{00000000-0005-0000-0000-0000DD570000}"/>
    <cellStyle name="Positive 2 3 3 5 6 2" xfId="22481" xr:uid="{00000000-0005-0000-0000-0000DE570000}"/>
    <cellStyle name="Positive 2 3 3 5 7" xfId="22482" xr:uid="{00000000-0005-0000-0000-0000DF570000}"/>
    <cellStyle name="Positive 2 3 3 5 7 2" xfId="22483" xr:uid="{00000000-0005-0000-0000-0000E0570000}"/>
    <cellStyle name="Positive 2 3 3 5 8" xfId="22484" xr:uid="{00000000-0005-0000-0000-0000E1570000}"/>
    <cellStyle name="Positive 2 3 3 5 8 2" xfId="22485" xr:uid="{00000000-0005-0000-0000-0000E2570000}"/>
    <cellStyle name="Positive 2 3 3 5 9" xfId="22486" xr:uid="{00000000-0005-0000-0000-0000E3570000}"/>
    <cellStyle name="Positive 2 3 3 5 9 2" xfId="22487" xr:uid="{00000000-0005-0000-0000-0000E4570000}"/>
    <cellStyle name="Positive 2 3 3 6" xfId="22488" xr:uid="{00000000-0005-0000-0000-0000E5570000}"/>
    <cellStyle name="Positive 2 3 3 6 2" xfId="22489" xr:uid="{00000000-0005-0000-0000-0000E6570000}"/>
    <cellStyle name="Positive 2 3 3 6 2 2" xfId="22490" xr:uid="{00000000-0005-0000-0000-0000E7570000}"/>
    <cellStyle name="Positive 2 3 3 6 3" xfId="22491" xr:uid="{00000000-0005-0000-0000-0000E8570000}"/>
    <cellStyle name="Positive 2 3 3 7" xfId="22492" xr:uid="{00000000-0005-0000-0000-0000E9570000}"/>
    <cellStyle name="Positive 2 3 3 7 2" xfId="22493" xr:uid="{00000000-0005-0000-0000-0000EA570000}"/>
    <cellStyle name="Positive 2 3 3 7 2 2" xfId="22494" xr:uid="{00000000-0005-0000-0000-0000EB570000}"/>
    <cellStyle name="Positive 2 3 3 7 3" xfId="22495" xr:uid="{00000000-0005-0000-0000-0000EC570000}"/>
    <cellStyle name="Positive 2 3 3 8" xfId="22496" xr:uid="{00000000-0005-0000-0000-0000ED570000}"/>
    <cellStyle name="Positive 2 3 3 8 2" xfId="22497" xr:uid="{00000000-0005-0000-0000-0000EE570000}"/>
    <cellStyle name="Positive 2 3 3 9" xfId="22498" xr:uid="{00000000-0005-0000-0000-0000EF570000}"/>
    <cellStyle name="Positive 2 3 3 9 2" xfId="22499" xr:uid="{00000000-0005-0000-0000-0000F0570000}"/>
    <cellStyle name="Positive 2 3 30" xfId="22500" xr:uid="{00000000-0005-0000-0000-0000F1570000}"/>
    <cellStyle name="Positive 2 3 30 2" xfId="22501" xr:uid="{00000000-0005-0000-0000-0000F2570000}"/>
    <cellStyle name="Positive 2 3 31" xfId="22502" xr:uid="{00000000-0005-0000-0000-0000F3570000}"/>
    <cellStyle name="Positive 2 3 31 2" xfId="22503" xr:uid="{00000000-0005-0000-0000-0000F4570000}"/>
    <cellStyle name="Positive 2 3 32" xfId="22504" xr:uid="{00000000-0005-0000-0000-0000F5570000}"/>
    <cellStyle name="Positive 2 3 32 2" xfId="22505" xr:uid="{00000000-0005-0000-0000-0000F6570000}"/>
    <cellStyle name="Positive 2 3 33" xfId="22506" xr:uid="{00000000-0005-0000-0000-0000F7570000}"/>
    <cellStyle name="Positive 2 3 33 2" xfId="22507" xr:uid="{00000000-0005-0000-0000-0000F8570000}"/>
    <cellStyle name="Positive 2 3 34" xfId="22508" xr:uid="{00000000-0005-0000-0000-0000F9570000}"/>
    <cellStyle name="Positive 2 3 34 2" xfId="22509" xr:uid="{00000000-0005-0000-0000-0000FA570000}"/>
    <cellStyle name="Positive 2 3 35" xfId="22510" xr:uid="{00000000-0005-0000-0000-0000FB570000}"/>
    <cellStyle name="Positive 2 3 35 2" xfId="22511" xr:uid="{00000000-0005-0000-0000-0000FC570000}"/>
    <cellStyle name="Positive 2 3 36" xfId="22512" xr:uid="{00000000-0005-0000-0000-0000FD570000}"/>
    <cellStyle name="Positive 2 3 36 2" xfId="22513" xr:uid="{00000000-0005-0000-0000-0000FE570000}"/>
    <cellStyle name="Positive 2 3 37" xfId="22514" xr:uid="{00000000-0005-0000-0000-0000FF570000}"/>
    <cellStyle name="Positive 2 3 4" xfId="22515" xr:uid="{00000000-0005-0000-0000-000000580000}"/>
    <cellStyle name="Positive 2 3 4 10" xfId="22516" xr:uid="{00000000-0005-0000-0000-000001580000}"/>
    <cellStyle name="Positive 2 3 4 10 2" xfId="22517" xr:uid="{00000000-0005-0000-0000-000002580000}"/>
    <cellStyle name="Positive 2 3 4 11" xfId="22518" xr:uid="{00000000-0005-0000-0000-000003580000}"/>
    <cellStyle name="Positive 2 3 4 11 2" xfId="22519" xr:uid="{00000000-0005-0000-0000-000004580000}"/>
    <cellStyle name="Positive 2 3 4 12" xfId="22520" xr:uid="{00000000-0005-0000-0000-000005580000}"/>
    <cellStyle name="Positive 2 3 4 12 2" xfId="22521" xr:uid="{00000000-0005-0000-0000-000006580000}"/>
    <cellStyle name="Positive 2 3 4 13" xfId="22522" xr:uid="{00000000-0005-0000-0000-000007580000}"/>
    <cellStyle name="Positive 2 3 4 13 2" xfId="22523" xr:uid="{00000000-0005-0000-0000-000008580000}"/>
    <cellStyle name="Positive 2 3 4 14" xfId="22524" xr:uid="{00000000-0005-0000-0000-000009580000}"/>
    <cellStyle name="Positive 2 3 4 14 2" xfId="22525" xr:uid="{00000000-0005-0000-0000-00000A580000}"/>
    <cellStyle name="Positive 2 3 4 15" xfId="22526" xr:uid="{00000000-0005-0000-0000-00000B580000}"/>
    <cellStyle name="Positive 2 3 4 15 2" xfId="22527" xr:uid="{00000000-0005-0000-0000-00000C580000}"/>
    <cellStyle name="Positive 2 3 4 16" xfId="22528" xr:uid="{00000000-0005-0000-0000-00000D580000}"/>
    <cellStyle name="Positive 2 3 4 16 2" xfId="22529" xr:uid="{00000000-0005-0000-0000-00000E580000}"/>
    <cellStyle name="Positive 2 3 4 17" xfId="22530" xr:uid="{00000000-0005-0000-0000-00000F580000}"/>
    <cellStyle name="Positive 2 3 4 17 2" xfId="22531" xr:uid="{00000000-0005-0000-0000-000010580000}"/>
    <cellStyle name="Positive 2 3 4 18" xfId="22532" xr:uid="{00000000-0005-0000-0000-000011580000}"/>
    <cellStyle name="Positive 2 3 4 18 2" xfId="22533" xr:uid="{00000000-0005-0000-0000-000012580000}"/>
    <cellStyle name="Positive 2 3 4 19" xfId="22534" xr:uid="{00000000-0005-0000-0000-000013580000}"/>
    <cellStyle name="Positive 2 3 4 19 2" xfId="22535" xr:uid="{00000000-0005-0000-0000-000014580000}"/>
    <cellStyle name="Positive 2 3 4 2" xfId="22536" xr:uid="{00000000-0005-0000-0000-000015580000}"/>
    <cellStyle name="Positive 2 3 4 2 10" xfId="22537" xr:uid="{00000000-0005-0000-0000-000016580000}"/>
    <cellStyle name="Positive 2 3 4 2 10 2" xfId="22538" xr:uid="{00000000-0005-0000-0000-000017580000}"/>
    <cellStyle name="Positive 2 3 4 2 11" xfId="22539" xr:uid="{00000000-0005-0000-0000-000018580000}"/>
    <cellStyle name="Positive 2 3 4 2 11 2" xfId="22540" xr:uid="{00000000-0005-0000-0000-000019580000}"/>
    <cellStyle name="Positive 2 3 4 2 12" xfId="22541" xr:uid="{00000000-0005-0000-0000-00001A580000}"/>
    <cellStyle name="Positive 2 3 4 2 12 2" xfId="22542" xr:uid="{00000000-0005-0000-0000-00001B580000}"/>
    <cellStyle name="Positive 2 3 4 2 13" xfId="22543" xr:uid="{00000000-0005-0000-0000-00001C580000}"/>
    <cellStyle name="Positive 2 3 4 2 13 2" xfId="22544" xr:uid="{00000000-0005-0000-0000-00001D580000}"/>
    <cellStyle name="Positive 2 3 4 2 14" xfId="22545" xr:uid="{00000000-0005-0000-0000-00001E580000}"/>
    <cellStyle name="Positive 2 3 4 2 14 2" xfId="22546" xr:uid="{00000000-0005-0000-0000-00001F580000}"/>
    <cellStyle name="Positive 2 3 4 2 15" xfId="22547" xr:uid="{00000000-0005-0000-0000-000020580000}"/>
    <cellStyle name="Positive 2 3 4 2 15 2" xfId="22548" xr:uid="{00000000-0005-0000-0000-000021580000}"/>
    <cellStyle name="Positive 2 3 4 2 16" xfId="22549" xr:uid="{00000000-0005-0000-0000-000022580000}"/>
    <cellStyle name="Positive 2 3 4 2 16 2" xfId="22550" xr:uid="{00000000-0005-0000-0000-000023580000}"/>
    <cellStyle name="Positive 2 3 4 2 17" xfId="22551" xr:uid="{00000000-0005-0000-0000-000024580000}"/>
    <cellStyle name="Positive 2 3 4 2 17 2" xfId="22552" xr:uid="{00000000-0005-0000-0000-000025580000}"/>
    <cellStyle name="Positive 2 3 4 2 18" xfId="22553" xr:uid="{00000000-0005-0000-0000-000026580000}"/>
    <cellStyle name="Positive 2 3 4 2 18 2" xfId="22554" xr:uid="{00000000-0005-0000-0000-000027580000}"/>
    <cellStyle name="Positive 2 3 4 2 19" xfId="22555" xr:uid="{00000000-0005-0000-0000-000028580000}"/>
    <cellStyle name="Positive 2 3 4 2 19 2" xfId="22556" xr:uid="{00000000-0005-0000-0000-000029580000}"/>
    <cellStyle name="Positive 2 3 4 2 2" xfId="22557" xr:uid="{00000000-0005-0000-0000-00002A580000}"/>
    <cellStyle name="Positive 2 3 4 2 2 10" xfId="22558" xr:uid="{00000000-0005-0000-0000-00002B580000}"/>
    <cellStyle name="Positive 2 3 4 2 2 10 2" xfId="22559" xr:uid="{00000000-0005-0000-0000-00002C580000}"/>
    <cellStyle name="Positive 2 3 4 2 2 11" xfId="22560" xr:uid="{00000000-0005-0000-0000-00002D580000}"/>
    <cellStyle name="Positive 2 3 4 2 2 11 2" xfId="22561" xr:uid="{00000000-0005-0000-0000-00002E580000}"/>
    <cellStyle name="Positive 2 3 4 2 2 12" xfId="22562" xr:uid="{00000000-0005-0000-0000-00002F580000}"/>
    <cellStyle name="Positive 2 3 4 2 2 12 2" xfId="22563" xr:uid="{00000000-0005-0000-0000-000030580000}"/>
    <cellStyle name="Positive 2 3 4 2 2 13" xfId="22564" xr:uid="{00000000-0005-0000-0000-000031580000}"/>
    <cellStyle name="Positive 2 3 4 2 2 13 2" xfId="22565" xr:uid="{00000000-0005-0000-0000-000032580000}"/>
    <cellStyle name="Positive 2 3 4 2 2 14" xfId="22566" xr:uid="{00000000-0005-0000-0000-000033580000}"/>
    <cellStyle name="Positive 2 3 4 2 2 14 2" xfId="22567" xr:uid="{00000000-0005-0000-0000-000034580000}"/>
    <cellStyle name="Positive 2 3 4 2 2 15" xfId="22568" xr:uid="{00000000-0005-0000-0000-000035580000}"/>
    <cellStyle name="Positive 2 3 4 2 2 15 2" xfId="22569" xr:uid="{00000000-0005-0000-0000-000036580000}"/>
    <cellStyle name="Positive 2 3 4 2 2 16" xfId="22570" xr:uid="{00000000-0005-0000-0000-000037580000}"/>
    <cellStyle name="Positive 2 3 4 2 2 16 2" xfId="22571" xr:uid="{00000000-0005-0000-0000-000038580000}"/>
    <cellStyle name="Positive 2 3 4 2 2 17" xfId="22572" xr:uid="{00000000-0005-0000-0000-000039580000}"/>
    <cellStyle name="Positive 2 3 4 2 2 2" xfId="22573" xr:uid="{00000000-0005-0000-0000-00003A580000}"/>
    <cellStyle name="Positive 2 3 4 2 2 2 2" xfId="22574" xr:uid="{00000000-0005-0000-0000-00003B580000}"/>
    <cellStyle name="Positive 2 3 4 2 2 3" xfId="22575" xr:uid="{00000000-0005-0000-0000-00003C580000}"/>
    <cellStyle name="Positive 2 3 4 2 2 3 2" xfId="22576" xr:uid="{00000000-0005-0000-0000-00003D580000}"/>
    <cellStyle name="Positive 2 3 4 2 2 4" xfId="22577" xr:uid="{00000000-0005-0000-0000-00003E580000}"/>
    <cellStyle name="Positive 2 3 4 2 2 4 2" xfId="22578" xr:uid="{00000000-0005-0000-0000-00003F580000}"/>
    <cellStyle name="Positive 2 3 4 2 2 5" xfId="22579" xr:uid="{00000000-0005-0000-0000-000040580000}"/>
    <cellStyle name="Positive 2 3 4 2 2 5 2" xfId="22580" xr:uid="{00000000-0005-0000-0000-000041580000}"/>
    <cellStyle name="Positive 2 3 4 2 2 6" xfId="22581" xr:uid="{00000000-0005-0000-0000-000042580000}"/>
    <cellStyle name="Positive 2 3 4 2 2 6 2" xfId="22582" xr:uid="{00000000-0005-0000-0000-000043580000}"/>
    <cellStyle name="Positive 2 3 4 2 2 7" xfId="22583" xr:uid="{00000000-0005-0000-0000-000044580000}"/>
    <cellStyle name="Positive 2 3 4 2 2 7 2" xfId="22584" xr:uid="{00000000-0005-0000-0000-000045580000}"/>
    <cellStyle name="Positive 2 3 4 2 2 8" xfId="22585" xr:uid="{00000000-0005-0000-0000-000046580000}"/>
    <cellStyle name="Positive 2 3 4 2 2 8 2" xfId="22586" xr:uid="{00000000-0005-0000-0000-000047580000}"/>
    <cellStyle name="Positive 2 3 4 2 2 9" xfId="22587" xr:uid="{00000000-0005-0000-0000-000048580000}"/>
    <cellStyle name="Positive 2 3 4 2 2 9 2" xfId="22588" xr:uid="{00000000-0005-0000-0000-000049580000}"/>
    <cellStyle name="Positive 2 3 4 2 20" xfId="22589" xr:uid="{00000000-0005-0000-0000-00004A580000}"/>
    <cellStyle name="Positive 2 3 4 2 3" xfId="22590" xr:uid="{00000000-0005-0000-0000-00004B580000}"/>
    <cellStyle name="Positive 2 3 4 2 3 2" xfId="22591" xr:uid="{00000000-0005-0000-0000-00004C580000}"/>
    <cellStyle name="Positive 2 3 4 2 3 2 2" xfId="22592" xr:uid="{00000000-0005-0000-0000-00004D580000}"/>
    <cellStyle name="Positive 2 3 4 2 3 3" xfId="22593" xr:uid="{00000000-0005-0000-0000-00004E580000}"/>
    <cellStyle name="Positive 2 3 4 2 4" xfId="22594" xr:uid="{00000000-0005-0000-0000-00004F580000}"/>
    <cellStyle name="Positive 2 3 4 2 4 2" xfId="22595" xr:uid="{00000000-0005-0000-0000-000050580000}"/>
    <cellStyle name="Positive 2 3 4 2 4 2 2" xfId="22596" xr:uid="{00000000-0005-0000-0000-000051580000}"/>
    <cellStyle name="Positive 2 3 4 2 4 3" xfId="22597" xr:uid="{00000000-0005-0000-0000-000052580000}"/>
    <cellStyle name="Positive 2 3 4 2 5" xfId="22598" xr:uid="{00000000-0005-0000-0000-000053580000}"/>
    <cellStyle name="Positive 2 3 4 2 5 2" xfId="22599" xr:uid="{00000000-0005-0000-0000-000054580000}"/>
    <cellStyle name="Positive 2 3 4 2 6" xfId="22600" xr:uid="{00000000-0005-0000-0000-000055580000}"/>
    <cellStyle name="Positive 2 3 4 2 6 2" xfId="22601" xr:uid="{00000000-0005-0000-0000-000056580000}"/>
    <cellStyle name="Positive 2 3 4 2 7" xfId="22602" xr:uid="{00000000-0005-0000-0000-000057580000}"/>
    <cellStyle name="Positive 2 3 4 2 7 2" xfId="22603" xr:uid="{00000000-0005-0000-0000-000058580000}"/>
    <cellStyle name="Positive 2 3 4 2 8" xfId="22604" xr:uid="{00000000-0005-0000-0000-000059580000}"/>
    <cellStyle name="Positive 2 3 4 2 8 2" xfId="22605" xr:uid="{00000000-0005-0000-0000-00005A580000}"/>
    <cellStyle name="Positive 2 3 4 2 9" xfId="22606" xr:uid="{00000000-0005-0000-0000-00005B580000}"/>
    <cellStyle name="Positive 2 3 4 2 9 2" xfId="22607" xr:uid="{00000000-0005-0000-0000-00005C580000}"/>
    <cellStyle name="Positive 2 3 4 20" xfId="22608" xr:uid="{00000000-0005-0000-0000-00005D580000}"/>
    <cellStyle name="Positive 2 3 4 20 2" xfId="22609" xr:uid="{00000000-0005-0000-0000-00005E580000}"/>
    <cellStyle name="Positive 2 3 4 21" xfId="22610" xr:uid="{00000000-0005-0000-0000-00005F580000}"/>
    <cellStyle name="Positive 2 3 4 21 2" xfId="22611" xr:uid="{00000000-0005-0000-0000-000060580000}"/>
    <cellStyle name="Positive 2 3 4 22" xfId="22612" xr:uid="{00000000-0005-0000-0000-000061580000}"/>
    <cellStyle name="Positive 2 3 4 22 2" xfId="22613" xr:uid="{00000000-0005-0000-0000-000062580000}"/>
    <cellStyle name="Positive 2 3 4 23" xfId="22614" xr:uid="{00000000-0005-0000-0000-000063580000}"/>
    <cellStyle name="Positive 2 3 4 3" xfId="22615" xr:uid="{00000000-0005-0000-0000-000064580000}"/>
    <cellStyle name="Positive 2 3 4 3 10" xfId="22616" xr:uid="{00000000-0005-0000-0000-000065580000}"/>
    <cellStyle name="Positive 2 3 4 3 10 2" xfId="22617" xr:uid="{00000000-0005-0000-0000-000066580000}"/>
    <cellStyle name="Positive 2 3 4 3 11" xfId="22618" xr:uid="{00000000-0005-0000-0000-000067580000}"/>
    <cellStyle name="Positive 2 3 4 3 11 2" xfId="22619" xr:uid="{00000000-0005-0000-0000-000068580000}"/>
    <cellStyle name="Positive 2 3 4 3 12" xfId="22620" xr:uid="{00000000-0005-0000-0000-000069580000}"/>
    <cellStyle name="Positive 2 3 4 3 12 2" xfId="22621" xr:uid="{00000000-0005-0000-0000-00006A580000}"/>
    <cellStyle name="Positive 2 3 4 3 13" xfId="22622" xr:uid="{00000000-0005-0000-0000-00006B580000}"/>
    <cellStyle name="Positive 2 3 4 3 13 2" xfId="22623" xr:uid="{00000000-0005-0000-0000-00006C580000}"/>
    <cellStyle name="Positive 2 3 4 3 14" xfId="22624" xr:uid="{00000000-0005-0000-0000-00006D580000}"/>
    <cellStyle name="Positive 2 3 4 3 14 2" xfId="22625" xr:uid="{00000000-0005-0000-0000-00006E580000}"/>
    <cellStyle name="Positive 2 3 4 3 15" xfId="22626" xr:uid="{00000000-0005-0000-0000-00006F580000}"/>
    <cellStyle name="Positive 2 3 4 3 15 2" xfId="22627" xr:uid="{00000000-0005-0000-0000-000070580000}"/>
    <cellStyle name="Positive 2 3 4 3 16" xfId="22628" xr:uid="{00000000-0005-0000-0000-000071580000}"/>
    <cellStyle name="Positive 2 3 4 3 16 2" xfId="22629" xr:uid="{00000000-0005-0000-0000-000072580000}"/>
    <cellStyle name="Positive 2 3 4 3 17" xfId="22630" xr:uid="{00000000-0005-0000-0000-000073580000}"/>
    <cellStyle name="Positive 2 3 4 3 17 2" xfId="22631" xr:uid="{00000000-0005-0000-0000-000074580000}"/>
    <cellStyle name="Positive 2 3 4 3 18" xfId="22632" xr:uid="{00000000-0005-0000-0000-000075580000}"/>
    <cellStyle name="Positive 2 3 4 3 18 2" xfId="22633" xr:uid="{00000000-0005-0000-0000-000076580000}"/>
    <cellStyle name="Positive 2 3 4 3 19" xfId="22634" xr:uid="{00000000-0005-0000-0000-000077580000}"/>
    <cellStyle name="Positive 2 3 4 3 19 2" xfId="22635" xr:uid="{00000000-0005-0000-0000-000078580000}"/>
    <cellStyle name="Positive 2 3 4 3 2" xfId="22636" xr:uid="{00000000-0005-0000-0000-000079580000}"/>
    <cellStyle name="Positive 2 3 4 3 2 10" xfId="22637" xr:uid="{00000000-0005-0000-0000-00007A580000}"/>
    <cellStyle name="Positive 2 3 4 3 2 10 2" xfId="22638" xr:uid="{00000000-0005-0000-0000-00007B580000}"/>
    <cellStyle name="Positive 2 3 4 3 2 11" xfId="22639" xr:uid="{00000000-0005-0000-0000-00007C580000}"/>
    <cellStyle name="Positive 2 3 4 3 2 11 2" xfId="22640" xr:uid="{00000000-0005-0000-0000-00007D580000}"/>
    <cellStyle name="Positive 2 3 4 3 2 12" xfId="22641" xr:uid="{00000000-0005-0000-0000-00007E580000}"/>
    <cellStyle name="Positive 2 3 4 3 2 12 2" xfId="22642" xr:uid="{00000000-0005-0000-0000-00007F580000}"/>
    <cellStyle name="Positive 2 3 4 3 2 13" xfId="22643" xr:uid="{00000000-0005-0000-0000-000080580000}"/>
    <cellStyle name="Positive 2 3 4 3 2 13 2" xfId="22644" xr:uid="{00000000-0005-0000-0000-000081580000}"/>
    <cellStyle name="Positive 2 3 4 3 2 14" xfId="22645" xr:uid="{00000000-0005-0000-0000-000082580000}"/>
    <cellStyle name="Positive 2 3 4 3 2 14 2" xfId="22646" xr:uid="{00000000-0005-0000-0000-000083580000}"/>
    <cellStyle name="Positive 2 3 4 3 2 15" xfId="22647" xr:uid="{00000000-0005-0000-0000-000084580000}"/>
    <cellStyle name="Positive 2 3 4 3 2 15 2" xfId="22648" xr:uid="{00000000-0005-0000-0000-000085580000}"/>
    <cellStyle name="Positive 2 3 4 3 2 16" xfId="22649" xr:uid="{00000000-0005-0000-0000-000086580000}"/>
    <cellStyle name="Positive 2 3 4 3 2 16 2" xfId="22650" xr:uid="{00000000-0005-0000-0000-000087580000}"/>
    <cellStyle name="Positive 2 3 4 3 2 17" xfId="22651" xr:uid="{00000000-0005-0000-0000-000088580000}"/>
    <cellStyle name="Positive 2 3 4 3 2 2" xfId="22652" xr:uid="{00000000-0005-0000-0000-000089580000}"/>
    <cellStyle name="Positive 2 3 4 3 2 2 2" xfId="22653" xr:uid="{00000000-0005-0000-0000-00008A580000}"/>
    <cellStyle name="Positive 2 3 4 3 2 3" xfId="22654" xr:uid="{00000000-0005-0000-0000-00008B580000}"/>
    <cellStyle name="Positive 2 3 4 3 2 3 2" xfId="22655" xr:uid="{00000000-0005-0000-0000-00008C580000}"/>
    <cellStyle name="Positive 2 3 4 3 2 4" xfId="22656" xr:uid="{00000000-0005-0000-0000-00008D580000}"/>
    <cellStyle name="Positive 2 3 4 3 2 4 2" xfId="22657" xr:uid="{00000000-0005-0000-0000-00008E580000}"/>
    <cellStyle name="Positive 2 3 4 3 2 5" xfId="22658" xr:uid="{00000000-0005-0000-0000-00008F580000}"/>
    <cellStyle name="Positive 2 3 4 3 2 5 2" xfId="22659" xr:uid="{00000000-0005-0000-0000-000090580000}"/>
    <cellStyle name="Positive 2 3 4 3 2 6" xfId="22660" xr:uid="{00000000-0005-0000-0000-000091580000}"/>
    <cellStyle name="Positive 2 3 4 3 2 6 2" xfId="22661" xr:uid="{00000000-0005-0000-0000-000092580000}"/>
    <cellStyle name="Positive 2 3 4 3 2 7" xfId="22662" xr:uid="{00000000-0005-0000-0000-000093580000}"/>
    <cellStyle name="Positive 2 3 4 3 2 7 2" xfId="22663" xr:uid="{00000000-0005-0000-0000-000094580000}"/>
    <cellStyle name="Positive 2 3 4 3 2 8" xfId="22664" xr:uid="{00000000-0005-0000-0000-000095580000}"/>
    <cellStyle name="Positive 2 3 4 3 2 8 2" xfId="22665" xr:uid="{00000000-0005-0000-0000-000096580000}"/>
    <cellStyle name="Positive 2 3 4 3 2 9" xfId="22666" xr:uid="{00000000-0005-0000-0000-000097580000}"/>
    <cellStyle name="Positive 2 3 4 3 2 9 2" xfId="22667" xr:uid="{00000000-0005-0000-0000-000098580000}"/>
    <cellStyle name="Positive 2 3 4 3 20" xfId="22668" xr:uid="{00000000-0005-0000-0000-000099580000}"/>
    <cellStyle name="Positive 2 3 4 3 3" xfId="22669" xr:uid="{00000000-0005-0000-0000-00009A580000}"/>
    <cellStyle name="Positive 2 3 4 3 3 2" xfId="22670" xr:uid="{00000000-0005-0000-0000-00009B580000}"/>
    <cellStyle name="Positive 2 3 4 3 3 2 2" xfId="22671" xr:uid="{00000000-0005-0000-0000-00009C580000}"/>
    <cellStyle name="Positive 2 3 4 3 3 3" xfId="22672" xr:uid="{00000000-0005-0000-0000-00009D580000}"/>
    <cellStyle name="Positive 2 3 4 3 4" xfId="22673" xr:uid="{00000000-0005-0000-0000-00009E580000}"/>
    <cellStyle name="Positive 2 3 4 3 4 2" xfId="22674" xr:uid="{00000000-0005-0000-0000-00009F580000}"/>
    <cellStyle name="Positive 2 3 4 3 4 2 2" xfId="22675" xr:uid="{00000000-0005-0000-0000-0000A0580000}"/>
    <cellStyle name="Positive 2 3 4 3 4 3" xfId="22676" xr:uid="{00000000-0005-0000-0000-0000A1580000}"/>
    <cellStyle name="Positive 2 3 4 3 5" xfId="22677" xr:uid="{00000000-0005-0000-0000-0000A2580000}"/>
    <cellStyle name="Positive 2 3 4 3 5 2" xfId="22678" xr:uid="{00000000-0005-0000-0000-0000A3580000}"/>
    <cellStyle name="Positive 2 3 4 3 6" xfId="22679" xr:uid="{00000000-0005-0000-0000-0000A4580000}"/>
    <cellStyle name="Positive 2 3 4 3 6 2" xfId="22680" xr:uid="{00000000-0005-0000-0000-0000A5580000}"/>
    <cellStyle name="Positive 2 3 4 3 7" xfId="22681" xr:uid="{00000000-0005-0000-0000-0000A6580000}"/>
    <cellStyle name="Positive 2 3 4 3 7 2" xfId="22682" xr:uid="{00000000-0005-0000-0000-0000A7580000}"/>
    <cellStyle name="Positive 2 3 4 3 8" xfId="22683" xr:uid="{00000000-0005-0000-0000-0000A8580000}"/>
    <cellStyle name="Positive 2 3 4 3 8 2" xfId="22684" xr:uid="{00000000-0005-0000-0000-0000A9580000}"/>
    <cellStyle name="Positive 2 3 4 3 9" xfId="22685" xr:uid="{00000000-0005-0000-0000-0000AA580000}"/>
    <cellStyle name="Positive 2 3 4 3 9 2" xfId="22686" xr:uid="{00000000-0005-0000-0000-0000AB580000}"/>
    <cellStyle name="Positive 2 3 4 4" xfId="22687" xr:uid="{00000000-0005-0000-0000-0000AC580000}"/>
    <cellStyle name="Positive 2 3 4 4 10" xfId="22688" xr:uid="{00000000-0005-0000-0000-0000AD580000}"/>
    <cellStyle name="Positive 2 3 4 4 10 2" xfId="22689" xr:uid="{00000000-0005-0000-0000-0000AE580000}"/>
    <cellStyle name="Positive 2 3 4 4 11" xfId="22690" xr:uid="{00000000-0005-0000-0000-0000AF580000}"/>
    <cellStyle name="Positive 2 3 4 4 11 2" xfId="22691" xr:uid="{00000000-0005-0000-0000-0000B0580000}"/>
    <cellStyle name="Positive 2 3 4 4 12" xfId="22692" xr:uid="{00000000-0005-0000-0000-0000B1580000}"/>
    <cellStyle name="Positive 2 3 4 4 12 2" xfId="22693" xr:uid="{00000000-0005-0000-0000-0000B2580000}"/>
    <cellStyle name="Positive 2 3 4 4 13" xfId="22694" xr:uid="{00000000-0005-0000-0000-0000B3580000}"/>
    <cellStyle name="Positive 2 3 4 4 13 2" xfId="22695" xr:uid="{00000000-0005-0000-0000-0000B4580000}"/>
    <cellStyle name="Positive 2 3 4 4 14" xfId="22696" xr:uid="{00000000-0005-0000-0000-0000B5580000}"/>
    <cellStyle name="Positive 2 3 4 4 14 2" xfId="22697" xr:uid="{00000000-0005-0000-0000-0000B6580000}"/>
    <cellStyle name="Positive 2 3 4 4 15" xfId="22698" xr:uid="{00000000-0005-0000-0000-0000B7580000}"/>
    <cellStyle name="Positive 2 3 4 4 15 2" xfId="22699" xr:uid="{00000000-0005-0000-0000-0000B8580000}"/>
    <cellStyle name="Positive 2 3 4 4 16" xfId="22700" xr:uid="{00000000-0005-0000-0000-0000B9580000}"/>
    <cellStyle name="Positive 2 3 4 4 16 2" xfId="22701" xr:uid="{00000000-0005-0000-0000-0000BA580000}"/>
    <cellStyle name="Positive 2 3 4 4 17" xfId="22702" xr:uid="{00000000-0005-0000-0000-0000BB580000}"/>
    <cellStyle name="Positive 2 3 4 4 17 2" xfId="22703" xr:uid="{00000000-0005-0000-0000-0000BC580000}"/>
    <cellStyle name="Positive 2 3 4 4 18" xfId="22704" xr:uid="{00000000-0005-0000-0000-0000BD580000}"/>
    <cellStyle name="Positive 2 3 4 4 18 2" xfId="22705" xr:uid="{00000000-0005-0000-0000-0000BE580000}"/>
    <cellStyle name="Positive 2 3 4 4 19" xfId="22706" xr:uid="{00000000-0005-0000-0000-0000BF580000}"/>
    <cellStyle name="Positive 2 3 4 4 19 2" xfId="22707" xr:uid="{00000000-0005-0000-0000-0000C0580000}"/>
    <cellStyle name="Positive 2 3 4 4 2" xfId="22708" xr:uid="{00000000-0005-0000-0000-0000C1580000}"/>
    <cellStyle name="Positive 2 3 4 4 2 10" xfId="22709" xr:uid="{00000000-0005-0000-0000-0000C2580000}"/>
    <cellStyle name="Positive 2 3 4 4 2 10 2" xfId="22710" xr:uid="{00000000-0005-0000-0000-0000C3580000}"/>
    <cellStyle name="Positive 2 3 4 4 2 11" xfId="22711" xr:uid="{00000000-0005-0000-0000-0000C4580000}"/>
    <cellStyle name="Positive 2 3 4 4 2 11 2" xfId="22712" xr:uid="{00000000-0005-0000-0000-0000C5580000}"/>
    <cellStyle name="Positive 2 3 4 4 2 12" xfId="22713" xr:uid="{00000000-0005-0000-0000-0000C6580000}"/>
    <cellStyle name="Positive 2 3 4 4 2 12 2" xfId="22714" xr:uid="{00000000-0005-0000-0000-0000C7580000}"/>
    <cellStyle name="Positive 2 3 4 4 2 13" xfId="22715" xr:uid="{00000000-0005-0000-0000-0000C8580000}"/>
    <cellStyle name="Positive 2 3 4 4 2 13 2" xfId="22716" xr:uid="{00000000-0005-0000-0000-0000C9580000}"/>
    <cellStyle name="Positive 2 3 4 4 2 14" xfId="22717" xr:uid="{00000000-0005-0000-0000-0000CA580000}"/>
    <cellStyle name="Positive 2 3 4 4 2 14 2" xfId="22718" xr:uid="{00000000-0005-0000-0000-0000CB580000}"/>
    <cellStyle name="Positive 2 3 4 4 2 15" xfId="22719" xr:uid="{00000000-0005-0000-0000-0000CC580000}"/>
    <cellStyle name="Positive 2 3 4 4 2 15 2" xfId="22720" xr:uid="{00000000-0005-0000-0000-0000CD580000}"/>
    <cellStyle name="Positive 2 3 4 4 2 16" xfId="22721" xr:uid="{00000000-0005-0000-0000-0000CE580000}"/>
    <cellStyle name="Positive 2 3 4 4 2 16 2" xfId="22722" xr:uid="{00000000-0005-0000-0000-0000CF580000}"/>
    <cellStyle name="Positive 2 3 4 4 2 17" xfId="22723" xr:uid="{00000000-0005-0000-0000-0000D0580000}"/>
    <cellStyle name="Positive 2 3 4 4 2 2" xfId="22724" xr:uid="{00000000-0005-0000-0000-0000D1580000}"/>
    <cellStyle name="Positive 2 3 4 4 2 2 2" xfId="22725" xr:uid="{00000000-0005-0000-0000-0000D2580000}"/>
    <cellStyle name="Positive 2 3 4 4 2 3" xfId="22726" xr:uid="{00000000-0005-0000-0000-0000D3580000}"/>
    <cellStyle name="Positive 2 3 4 4 2 3 2" xfId="22727" xr:uid="{00000000-0005-0000-0000-0000D4580000}"/>
    <cellStyle name="Positive 2 3 4 4 2 4" xfId="22728" xr:uid="{00000000-0005-0000-0000-0000D5580000}"/>
    <cellStyle name="Positive 2 3 4 4 2 4 2" xfId="22729" xr:uid="{00000000-0005-0000-0000-0000D6580000}"/>
    <cellStyle name="Positive 2 3 4 4 2 5" xfId="22730" xr:uid="{00000000-0005-0000-0000-0000D7580000}"/>
    <cellStyle name="Positive 2 3 4 4 2 5 2" xfId="22731" xr:uid="{00000000-0005-0000-0000-0000D8580000}"/>
    <cellStyle name="Positive 2 3 4 4 2 6" xfId="22732" xr:uid="{00000000-0005-0000-0000-0000D9580000}"/>
    <cellStyle name="Positive 2 3 4 4 2 6 2" xfId="22733" xr:uid="{00000000-0005-0000-0000-0000DA580000}"/>
    <cellStyle name="Positive 2 3 4 4 2 7" xfId="22734" xr:uid="{00000000-0005-0000-0000-0000DB580000}"/>
    <cellStyle name="Positive 2 3 4 4 2 7 2" xfId="22735" xr:uid="{00000000-0005-0000-0000-0000DC580000}"/>
    <cellStyle name="Positive 2 3 4 4 2 8" xfId="22736" xr:uid="{00000000-0005-0000-0000-0000DD580000}"/>
    <cellStyle name="Positive 2 3 4 4 2 8 2" xfId="22737" xr:uid="{00000000-0005-0000-0000-0000DE580000}"/>
    <cellStyle name="Positive 2 3 4 4 2 9" xfId="22738" xr:uid="{00000000-0005-0000-0000-0000DF580000}"/>
    <cellStyle name="Positive 2 3 4 4 2 9 2" xfId="22739" xr:uid="{00000000-0005-0000-0000-0000E0580000}"/>
    <cellStyle name="Positive 2 3 4 4 20" xfId="22740" xr:uid="{00000000-0005-0000-0000-0000E1580000}"/>
    <cellStyle name="Positive 2 3 4 4 3" xfId="22741" xr:uid="{00000000-0005-0000-0000-0000E2580000}"/>
    <cellStyle name="Positive 2 3 4 4 3 2" xfId="22742" xr:uid="{00000000-0005-0000-0000-0000E3580000}"/>
    <cellStyle name="Positive 2 3 4 4 3 2 2" xfId="22743" xr:uid="{00000000-0005-0000-0000-0000E4580000}"/>
    <cellStyle name="Positive 2 3 4 4 3 3" xfId="22744" xr:uid="{00000000-0005-0000-0000-0000E5580000}"/>
    <cellStyle name="Positive 2 3 4 4 4" xfId="22745" xr:uid="{00000000-0005-0000-0000-0000E6580000}"/>
    <cellStyle name="Positive 2 3 4 4 4 2" xfId="22746" xr:uid="{00000000-0005-0000-0000-0000E7580000}"/>
    <cellStyle name="Positive 2 3 4 4 4 2 2" xfId="22747" xr:uid="{00000000-0005-0000-0000-0000E8580000}"/>
    <cellStyle name="Positive 2 3 4 4 4 3" xfId="22748" xr:uid="{00000000-0005-0000-0000-0000E9580000}"/>
    <cellStyle name="Positive 2 3 4 4 5" xfId="22749" xr:uid="{00000000-0005-0000-0000-0000EA580000}"/>
    <cellStyle name="Positive 2 3 4 4 5 2" xfId="22750" xr:uid="{00000000-0005-0000-0000-0000EB580000}"/>
    <cellStyle name="Positive 2 3 4 4 6" xfId="22751" xr:uid="{00000000-0005-0000-0000-0000EC580000}"/>
    <cellStyle name="Positive 2 3 4 4 6 2" xfId="22752" xr:uid="{00000000-0005-0000-0000-0000ED580000}"/>
    <cellStyle name="Positive 2 3 4 4 7" xfId="22753" xr:uid="{00000000-0005-0000-0000-0000EE580000}"/>
    <cellStyle name="Positive 2 3 4 4 7 2" xfId="22754" xr:uid="{00000000-0005-0000-0000-0000EF580000}"/>
    <cellStyle name="Positive 2 3 4 4 8" xfId="22755" xr:uid="{00000000-0005-0000-0000-0000F0580000}"/>
    <cellStyle name="Positive 2 3 4 4 8 2" xfId="22756" xr:uid="{00000000-0005-0000-0000-0000F1580000}"/>
    <cellStyle name="Positive 2 3 4 4 9" xfId="22757" xr:uid="{00000000-0005-0000-0000-0000F2580000}"/>
    <cellStyle name="Positive 2 3 4 4 9 2" xfId="22758" xr:uid="{00000000-0005-0000-0000-0000F3580000}"/>
    <cellStyle name="Positive 2 3 4 5" xfId="22759" xr:uid="{00000000-0005-0000-0000-0000F4580000}"/>
    <cellStyle name="Positive 2 3 4 5 10" xfId="22760" xr:uid="{00000000-0005-0000-0000-0000F5580000}"/>
    <cellStyle name="Positive 2 3 4 5 10 2" xfId="22761" xr:uid="{00000000-0005-0000-0000-0000F6580000}"/>
    <cellStyle name="Positive 2 3 4 5 11" xfId="22762" xr:uid="{00000000-0005-0000-0000-0000F7580000}"/>
    <cellStyle name="Positive 2 3 4 5 11 2" xfId="22763" xr:uid="{00000000-0005-0000-0000-0000F8580000}"/>
    <cellStyle name="Positive 2 3 4 5 12" xfId="22764" xr:uid="{00000000-0005-0000-0000-0000F9580000}"/>
    <cellStyle name="Positive 2 3 4 5 12 2" xfId="22765" xr:uid="{00000000-0005-0000-0000-0000FA580000}"/>
    <cellStyle name="Positive 2 3 4 5 13" xfId="22766" xr:uid="{00000000-0005-0000-0000-0000FB580000}"/>
    <cellStyle name="Positive 2 3 4 5 13 2" xfId="22767" xr:uid="{00000000-0005-0000-0000-0000FC580000}"/>
    <cellStyle name="Positive 2 3 4 5 14" xfId="22768" xr:uid="{00000000-0005-0000-0000-0000FD580000}"/>
    <cellStyle name="Positive 2 3 4 5 14 2" xfId="22769" xr:uid="{00000000-0005-0000-0000-0000FE580000}"/>
    <cellStyle name="Positive 2 3 4 5 15" xfId="22770" xr:uid="{00000000-0005-0000-0000-0000FF580000}"/>
    <cellStyle name="Positive 2 3 4 5 15 2" xfId="22771" xr:uid="{00000000-0005-0000-0000-000000590000}"/>
    <cellStyle name="Positive 2 3 4 5 16" xfId="22772" xr:uid="{00000000-0005-0000-0000-000001590000}"/>
    <cellStyle name="Positive 2 3 4 5 16 2" xfId="22773" xr:uid="{00000000-0005-0000-0000-000002590000}"/>
    <cellStyle name="Positive 2 3 4 5 17" xfId="22774" xr:uid="{00000000-0005-0000-0000-000003590000}"/>
    <cellStyle name="Positive 2 3 4 5 2" xfId="22775" xr:uid="{00000000-0005-0000-0000-000004590000}"/>
    <cellStyle name="Positive 2 3 4 5 2 2" xfId="22776" xr:uid="{00000000-0005-0000-0000-000005590000}"/>
    <cellStyle name="Positive 2 3 4 5 3" xfId="22777" xr:uid="{00000000-0005-0000-0000-000006590000}"/>
    <cellStyle name="Positive 2 3 4 5 3 2" xfId="22778" xr:uid="{00000000-0005-0000-0000-000007590000}"/>
    <cellStyle name="Positive 2 3 4 5 4" xfId="22779" xr:uid="{00000000-0005-0000-0000-000008590000}"/>
    <cellStyle name="Positive 2 3 4 5 4 2" xfId="22780" xr:uid="{00000000-0005-0000-0000-000009590000}"/>
    <cellStyle name="Positive 2 3 4 5 5" xfId="22781" xr:uid="{00000000-0005-0000-0000-00000A590000}"/>
    <cellStyle name="Positive 2 3 4 5 5 2" xfId="22782" xr:uid="{00000000-0005-0000-0000-00000B590000}"/>
    <cellStyle name="Positive 2 3 4 5 6" xfId="22783" xr:uid="{00000000-0005-0000-0000-00000C590000}"/>
    <cellStyle name="Positive 2 3 4 5 6 2" xfId="22784" xr:uid="{00000000-0005-0000-0000-00000D590000}"/>
    <cellStyle name="Positive 2 3 4 5 7" xfId="22785" xr:uid="{00000000-0005-0000-0000-00000E590000}"/>
    <cellStyle name="Positive 2 3 4 5 7 2" xfId="22786" xr:uid="{00000000-0005-0000-0000-00000F590000}"/>
    <cellStyle name="Positive 2 3 4 5 8" xfId="22787" xr:uid="{00000000-0005-0000-0000-000010590000}"/>
    <cellStyle name="Positive 2 3 4 5 8 2" xfId="22788" xr:uid="{00000000-0005-0000-0000-000011590000}"/>
    <cellStyle name="Positive 2 3 4 5 9" xfId="22789" xr:uid="{00000000-0005-0000-0000-000012590000}"/>
    <cellStyle name="Positive 2 3 4 5 9 2" xfId="22790" xr:uid="{00000000-0005-0000-0000-000013590000}"/>
    <cellStyle name="Positive 2 3 4 6" xfId="22791" xr:uid="{00000000-0005-0000-0000-000014590000}"/>
    <cellStyle name="Positive 2 3 4 6 2" xfId="22792" xr:uid="{00000000-0005-0000-0000-000015590000}"/>
    <cellStyle name="Positive 2 3 4 6 2 2" xfId="22793" xr:uid="{00000000-0005-0000-0000-000016590000}"/>
    <cellStyle name="Positive 2 3 4 6 3" xfId="22794" xr:uid="{00000000-0005-0000-0000-000017590000}"/>
    <cellStyle name="Positive 2 3 4 7" xfId="22795" xr:uid="{00000000-0005-0000-0000-000018590000}"/>
    <cellStyle name="Positive 2 3 4 7 2" xfId="22796" xr:uid="{00000000-0005-0000-0000-000019590000}"/>
    <cellStyle name="Positive 2 3 4 7 2 2" xfId="22797" xr:uid="{00000000-0005-0000-0000-00001A590000}"/>
    <cellStyle name="Positive 2 3 4 7 3" xfId="22798" xr:uid="{00000000-0005-0000-0000-00001B590000}"/>
    <cellStyle name="Positive 2 3 4 8" xfId="22799" xr:uid="{00000000-0005-0000-0000-00001C590000}"/>
    <cellStyle name="Positive 2 3 4 8 2" xfId="22800" xr:uid="{00000000-0005-0000-0000-00001D590000}"/>
    <cellStyle name="Positive 2 3 4 9" xfId="22801" xr:uid="{00000000-0005-0000-0000-00001E590000}"/>
    <cellStyle name="Positive 2 3 4 9 2" xfId="22802" xr:uid="{00000000-0005-0000-0000-00001F590000}"/>
    <cellStyle name="Positive 2 3 5" xfId="22803" xr:uid="{00000000-0005-0000-0000-000020590000}"/>
    <cellStyle name="Positive 2 3 5 10" xfId="22804" xr:uid="{00000000-0005-0000-0000-000021590000}"/>
    <cellStyle name="Positive 2 3 5 10 2" xfId="22805" xr:uid="{00000000-0005-0000-0000-000022590000}"/>
    <cellStyle name="Positive 2 3 5 11" xfId="22806" xr:uid="{00000000-0005-0000-0000-000023590000}"/>
    <cellStyle name="Positive 2 3 5 11 2" xfId="22807" xr:uid="{00000000-0005-0000-0000-000024590000}"/>
    <cellStyle name="Positive 2 3 5 12" xfId="22808" xr:uid="{00000000-0005-0000-0000-000025590000}"/>
    <cellStyle name="Positive 2 3 5 12 2" xfId="22809" xr:uid="{00000000-0005-0000-0000-000026590000}"/>
    <cellStyle name="Positive 2 3 5 13" xfId="22810" xr:uid="{00000000-0005-0000-0000-000027590000}"/>
    <cellStyle name="Positive 2 3 5 13 2" xfId="22811" xr:uid="{00000000-0005-0000-0000-000028590000}"/>
    <cellStyle name="Positive 2 3 5 14" xfId="22812" xr:uid="{00000000-0005-0000-0000-000029590000}"/>
    <cellStyle name="Positive 2 3 5 14 2" xfId="22813" xr:uid="{00000000-0005-0000-0000-00002A590000}"/>
    <cellStyle name="Positive 2 3 5 15" xfId="22814" xr:uid="{00000000-0005-0000-0000-00002B590000}"/>
    <cellStyle name="Positive 2 3 5 15 2" xfId="22815" xr:uid="{00000000-0005-0000-0000-00002C590000}"/>
    <cellStyle name="Positive 2 3 5 16" xfId="22816" xr:uid="{00000000-0005-0000-0000-00002D590000}"/>
    <cellStyle name="Positive 2 3 5 16 2" xfId="22817" xr:uid="{00000000-0005-0000-0000-00002E590000}"/>
    <cellStyle name="Positive 2 3 5 17" xfId="22818" xr:uid="{00000000-0005-0000-0000-00002F590000}"/>
    <cellStyle name="Positive 2 3 5 17 2" xfId="22819" xr:uid="{00000000-0005-0000-0000-000030590000}"/>
    <cellStyle name="Positive 2 3 5 18" xfId="22820" xr:uid="{00000000-0005-0000-0000-000031590000}"/>
    <cellStyle name="Positive 2 3 5 18 2" xfId="22821" xr:uid="{00000000-0005-0000-0000-000032590000}"/>
    <cellStyle name="Positive 2 3 5 19" xfId="22822" xr:uid="{00000000-0005-0000-0000-000033590000}"/>
    <cellStyle name="Positive 2 3 5 19 2" xfId="22823" xr:uid="{00000000-0005-0000-0000-000034590000}"/>
    <cellStyle name="Positive 2 3 5 2" xfId="22824" xr:uid="{00000000-0005-0000-0000-000035590000}"/>
    <cellStyle name="Positive 2 3 5 2 10" xfId="22825" xr:uid="{00000000-0005-0000-0000-000036590000}"/>
    <cellStyle name="Positive 2 3 5 2 10 2" xfId="22826" xr:uid="{00000000-0005-0000-0000-000037590000}"/>
    <cellStyle name="Positive 2 3 5 2 11" xfId="22827" xr:uid="{00000000-0005-0000-0000-000038590000}"/>
    <cellStyle name="Positive 2 3 5 2 11 2" xfId="22828" xr:uid="{00000000-0005-0000-0000-000039590000}"/>
    <cellStyle name="Positive 2 3 5 2 12" xfId="22829" xr:uid="{00000000-0005-0000-0000-00003A590000}"/>
    <cellStyle name="Positive 2 3 5 2 12 2" xfId="22830" xr:uid="{00000000-0005-0000-0000-00003B590000}"/>
    <cellStyle name="Positive 2 3 5 2 13" xfId="22831" xr:uid="{00000000-0005-0000-0000-00003C590000}"/>
    <cellStyle name="Positive 2 3 5 2 13 2" xfId="22832" xr:uid="{00000000-0005-0000-0000-00003D590000}"/>
    <cellStyle name="Positive 2 3 5 2 14" xfId="22833" xr:uid="{00000000-0005-0000-0000-00003E590000}"/>
    <cellStyle name="Positive 2 3 5 2 14 2" xfId="22834" xr:uid="{00000000-0005-0000-0000-00003F590000}"/>
    <cellStyle name="Positive 2 3 5 2 15" xfId="22835" xr:uid="{00000000-0005-0000-0000-000040590000}"/>
    <cellStyle name="Positive 2 3 5 2 15 2" xfId="22836" xr:uid="{00000000-0005-0000-0000-000041590000}"/>
    <cellStyle name="Positive 2 3 5 2 16" xfId="22837" xr:uid="{00000000-0005-0000-0000-000042590000}"/>
    <cellStyle name="Positive 2 3 5 2 16 2" xfId="22838" xr:uid="{00000000-0005-0000-0000-000043590000}"/>
    <cellStyle name="Positive 2 3 5 2 17" xfId="22839" xr:uid="{00000000-0005-0000-0000-000044590000}"/>
    <cellStyle name="Positive 2 3 5 2 17 2" xfId="22840" xr:uid="{00000000-0005-0000-0000-000045590000}"/>
    <cellStyle name="Positive 2 3 5 2 18" xfId="22841" xr:uid="{00000000-0005-0000-0000-000046590000}"/>
    <cellStyle name="Positive 2 3 5 2 18 2" xfId="22842" xr:uid="{00000000-0005-0000-0000-000047590000}"/>
    <cellStyle name="Positive 2 3 5 2 19" xfId="22843" xr:uid="{00000000-0005-0000-0000-000048590000}"/>
    <cellStyle name="Positive 2 3 5 2 19 2" xfId="22844" xr:uid="{00000000-0005-0000-0000-000049590000}"/>
    <cellStyle name="Positive 2 3 5 2 2" xfId="22845" xr:uid="{00000000-0005-0000-0000-00004A590000}"/>
    <cellStyle name="Positive 2 3 5 2 2 10" xfId="22846" xr:uid="{00000000-0005-0000-0000-00004B590000}"/>
    <cellStyle name="Positive 2 3 5 2 2 10 2" xfId="22847" xr:uid="{00000000-0005-0000-0000-00004C590000}"/>
    <cellStyle name="Positive 2 3 5 2 2 11" xfId="22848" xr:uid="{00000000-0005-0000-0000-00004D590000}"/>
    <cellStyle name="Positive 2 3 5 2 2 11 2" xfId="22849" xr:uid="{00000000-0005-0000-0000-00004E590000}"/>
    <cellStyle name="Positive 2 3 5 2 2 12" xfId="22850" xr:uid="{00000000-0005-0000-0000-00004F590000}"/>
    <cellStyle name="Positive 2 3 5 2 2 12 2" xfId="22851" xr:uid="{00000000-0005-0000-0000-000050590000}"/>
    <cellStyle name="Positive 2 3 5 2 2 13" xfId="22852" xr:uid="{00000000-0005-0000-0000-000051590000}"/>
    <cellStyle name="Positive 2 3 5 2 2 13 2" xfId="22853" xr:uid="{00000000-0005-0000-0000-000052590000}"/>
    <cellStyle name="Positive 2 3 5 2 2 14" xfId="22854" xr:uid="{00000000-0005-0000-0000-000053590000}"/>
    <cellStyle name="Positive 2 3 5 2 2 14 2" xfId="22855" xr:uid="{00000000-0005-0000-0000-000054590000}"/>
    <cellStyle name="Positive 2 3 5 2 2 15" xfId="22856" xr:uid="{00000000-0005-0000-0000-000055590000}"/>
    <cellStyle name="Positive 2 3 5 2 2 15 2" xfId="22857" xr:uid="{00000000-0005-0000-0000-000056590000}"/>
    <cellStyle name="Positive 2 3 5 2 2 16" xfId="22858" xr:uid="{00000000-0005-0000-0000-000057590000}"/>
    <cellStyle name="Positive 2 3 5 2 2 16 2" xfId="22859" xr:uid="{00000000-0005-0000-0000-000058590000}"/>
    <cellStyle name="Positive 2 3 5 2 2 17" xfId="22860" xr:uid="{00000000-0005-0000-0000-000059590000}"/>
    <cellStyle name="Positive 2 3 5 2 2 2" xfId="22861" xr:uid="{00000000-0005-0000-0000-00005A590000}"/>
    <cellStyle name="Positive 2 3 5 2 2 2 2" xfId="22862" xr:uid="{00000000-0005-0000-0000-00005B590000}"/>
    <cellStyle name="Positive 2 3 5 2 2 3" xfId="22863" xr:uid="{00000000-0005-0000-0000-00005C590000}"/>
    <cellStyle name="Positive 2 3 5 2 2 3 2" xfId="22864" xr:uid="{00000000-0005-0000-0000-00005D590000}"/>
    <cellStyle name="Positive 2 3 5 2 2 4" xfId="22865" xr:uid="{00000000-0005-0000-0000-00005E590000}"/>
    <cellStyle name="Positive 2 3 5 2 2 4 2" xfId="22866" xr:uid="{00000000-0005-0000-0000-00005F590000}"/>
    <cellStyle name="Positive 2 3 5 2 2 5" xfId="22867" xr:uid="{00000000-0005-0000-0000-000060590000}"/>
    <cellStyle name="Positive 2 3 5 2 2 5 2" xfId="22868" xr:uid="{00000000-0005-0000-0000-000061590000}"/>
    <cellStyle name="Positive 2 3 5 2 2 6" xfId="22869" xr:uid="{00000000-0005-0000-0000-000062590000}"/>
    <cellStyle name="Positive 2 3 5 2 2 6 2" xfId="22870" xr:uid="{00000000-0005-0000-0000-000063590000}"/>
    <cellStyle name="Positive 2 3 5 2 2 7" xfId="22871" xr:uid="{00000000-0005-0000-0000-000064590000}"/>
    <cellStyle name="Positive 2 3 5 2 2 7 2" xfId="22872" xr:uid="{00000000-0005-0000-0000-000065590000}"/>
    <cellStyle name="Positive 2 3 5 2 2 8" xfId="22873" xr:uid="{00000000-0005-0000-0000-000066590000}"/>
    <cellStyle name="Positive 2 3 5 2 2 8 2" xfId="22874" xr:uid="{00000000-0005-0000-0000-000067590000}"/>
    <cellStyle name="Positive 2 3 5 2 2 9" xfId="22875" xr:uid="{00000000-0005-0000-0000-000068590000}"/>
    <cellStyle name="Positive 2 3 5 2 2 9 2" xfId="22876" xr:uid="{00000000-0005-0000-0000-000069590000}"/>
    <cellStyle name="Positive 2 3 5 2 20" xfId="22877" xr:uid="{00000000-0005-0000-0000-00006A590000}"/>
    <cellStyle name="Positive 2 3 5 2 3" xfId="22878" xr:uid="{00000000-0005-0000-0000-00006B590000}"/>
    <cellStyle name="Positive 2 3 5 2 3 2" xfId="22879" xr:uid="{00000000-0005-0000-0000-00006C590000}"/>
    <cellStyle name="Positive 2 3 5 2 3 2 2" xfId="22880" xr:uid="{00000000-0005-0000-0000-00006D590000}"/>
    <cellStyle name="Positive 2 3 5 2 3 3" xfId="22881" xr:uid="{00000000-0005-0000-0000-00006E590000}"/>
    <cellStyle name="Positive 2 3 5 2 4" xfId="22882" xr:uid="{00000000-0005-0000-0000-00006F590000}"/>
    <cellStyle name="Positive 2 3 5 2 4 2" xfId="22883" xr:uid="{00000000-0005-0000-0000-000070590000}"/>
    <cellStyle name="Positive 2 3 5 2 4 2 2" xfId="22884" xr:uid="{00000000-0005-0000-0000-000071590000}"/>
    <cellStyle name="Positive 2 3 5 2 4 3" xfId="22885" xr:uid="{00000000-0005-0000-0000-000072590000}"/>
    <cellStyle name="Positive 2 3 5 2 5" xfId="22886" xr:uid="{00000000-0005-0000-0000-000073590000}"/>
    <cellStyle name="Positive 2 3 5 2 5 2" xfId="22887" xr:uid="{00000000-0005-0000-0000-000074590000}"/>
    <cellStyle name="Positive 2 3 5 2 6" xfId="22888" xr:uid="{00000000-0005-0000-0000-000075590000}"/>
    <cellStyle name="Positive 2 3 5 2 6 2" xfId="22889" xr:uid="{00000000-0005-0000-0000-000076590000}"/>
    <cellStyle name="Positive 2 3 5 2 7" xfId="22890" xr:uid="{00000000-0005-0000-0000-000077590000}"/>
    <cellStyle name="Positive 2 3 5 2 7 2" xfId="22891" xr:uid="{00000000-0005-0000-0000-000078590000}"/>
    <cellStyle name="Positive 2 3 5 2 8" xfId="22892" xr:uid="{00000000-0005-0000-0000-000079590000}"/>
    <cellStyle name="Positive 2 3 5 2 8 2" xfId="22893" xr:uid="{00000000-0005-0000-0000-00007A590000}"/>
    <cellStyle name="Positive 2 3 5 2 9" xfId="22894" xr:uid="{00000000-0005-0000-0000-00007B590000}"/>
    <cellStyle name="Positive 2 3 5 2 9 2" xfId="22895" xr:uid="{00000000-0005-0000-0000-00007C590000}"/>
    <cellStyle name="Positive 2 3 5 20" xfId="22896" xr:uid="{00000000-0005-0000-0000-00007D590000}"/>
    <cellStyle name="Positive 2 3 5 20 2" xfId="22897" xr:uid="{00000000-0005-0000-0000-00007E590000}"/>
    <cellStyle name="Positive 2 3 5 21" xfId="22898" xr:uid="{00000000-0005-0000-0000-00007F590000}"/>
    <cellStyle name="Positive 2 3 5 21 2" xfId="22899" xr:uid="{00000000-0005-0000-0000-000080590000}"/>
    <cellStyle name="Positive 2 3 5 22" xfId="22900" xr:uid="{00000000-0005-0000-0000-000081590000}"/>
    <cellStyle name="Positive 2 3 5 22 2" xfId="22901" xr:uid="{00000000-0005-0000-0000-000082590000}"/>
    <cellStyle name="Positive 2 3 5 23" xfId="22902" xr:uid="{00000000-0005-0000-0000-000083590000}"/>
    <cellStyle name="Positive 2 3 5 3" xfId="22903" xr:uid="{00000000-0005-0000-0000-000084590000}"/>
    <cellStyle name="Positive 2 3 5 3 10" xfId="22904" xr:uid="{00000000-0005-0000-0000-000085590000}"/>
    <cellStyle name="Positive 2 3 5 3 10 2" xfId="22905" xr:uid="{00000000-0005-0000-0000-000086590000}"/>
    <cellStyle name="Positive 2 3 5 3 11" xfId="22906" xr:uid="{00000000-0005-0000-0000-000087590000}"/>
    <cellStyle name="Positive 2 3 5 3 11 2" xfId="22907" xr:uid="{00000000-0005-0000-0000-000088590000}"/>
    <cellStyle name="Positive 2 3 5 3 12" xfId="22908" xr:uid="{00000000-0005-0000-0000-000089590000}"/>
    <cellStyle name="Positive 2 3 5 3 12 2" xfId="22909" xr:uid="{00000000-0005-0000-0000-00008A590000}"/>
    <cellStyle name="Positive 2 3 5 3 13" xfId="22910" xr:uid="{00000000-0005-0000-0000-00008B590000}"/>
    <cellStyle name="Positive 2 3 5 3 13 2" xfId="22911" xr:uid="{00000000-0005-0000-0000-00008C590000}"/>
    <cellStyle name="Positive 2 3 5 3 14" xfId="22912" xr:uid="{00000000-0005-0000-0000-00008D590000}"/>
    <cellStyle name="Positive 2 3 5 3 14 2" xfId="22913" xr:uid="{00000000-0005-0000-0000-00008E590000}"/>
    <cellStyle name="Positive 2 3 5 3 15" xfId="22914" xr:uid="{00000000-0005-0000-0000-00008F590000}"/>
    <cellStyle name="Positive 2 3 5 3 15 2" xfId="22915" xr:uid="{00000000-0005-0000-0000-000090590000}"/>
    <cellStyle name="Positive 2 3 5 3 16" xfId="22916" xr:uid="{00000000-0005-0000-0000-000091590000}"/>
    <cellStyle name="Positive 2 3 5 3 16 2" xfId="22917" xr:uid="{00000000-0005-0000-0000-000092590000}"/>
    <cellStyle name="Positive 2 3 5 3 17" xfId="22918" xr:uid="{00000000-0005-0000-0000-000093590000}"/>
    <cellStyle name="Positive 2 3 5 3 17 2" xfId="22919" xr:uid="{00000000-0005-0000-0000-000094590000}"/>
    <cellStyle name="Positive 2 3 5 3 18" xfId="22920" xr:uid="{00000000-0005-0000-0000-000095590000}"/>
    <cellStyle name="Positive 2 3 5 3 18 2" xfId="22921" xr:uid="{00000000-0005-0000-0000-000096590000}"/>
    <cellStyle name="Positive 2 3 5 3 19" xfId="22922" xr:uid="{00000000-0005-0000-0000-000097590000}"/>
    <cellStyle name="Positive 2 3 5 3 19 2" xfId="22923" xr:uid="{00000000-0005-0000-0000-000098590000}"/>
    <cellStyle name="Positive 2 3 5 3 2" xfId="22924" xr:uid="{00000000-0005-0000-0000-000099590000}"/>
    <cellStyle name="Positive 2 3 5 3 2 10" xfId="22925" xr:uid="{00000000-0005-0000-0000-00009A590000}"/>
    <cellStyle name="Positive 2 3 5 3 2 10 2" xfId="22926" xr:uid="{00000000-0005-0000-0000-00009B590000}"/>
    <cellStyle name="Positive 2 3 5 3 2 11" xfId="22927" xr:uid="{00000000-0005-0000-0000-00009C590000}"/>
    <cellStyle name="Positive 2 3 5 3 2 11 2" xfId="22928" xr:uid="{00000000-0005-0000-0000-00009D590000}"/>
    <cellStyle name="Positive 2 3 5 3 2 12" xfId="22929" xr:uid="{00000000-0005-0000-0000-00009E590000}"/>
    <cellStyle name="Positive 2 3 5 3 2 12 2" xfId="22930" xr:uid="{00000000-0005-0000-0000-00009F590000}"/>
    <cellStyle name="Positive 2 3 5 3 2 13" xfId="22931" xr:uid="{00000000-0005-0000-0000-0000A0590000}"/>
    <cellStyle name="Positive 2 3 5 3 2 13 2" xfId="22932" xr:uid="{00000000-0005-0000-0000-0000A1590000}"/>
    <cellStyle name="Positive 2 3 5 3 2 14" xfId="22933" xr:uid="{00000000-0005-0000-0000-0000A2590000}"/>
    <cellStyle name="Positive 2 3 5 3 2 14 2" xfId="22934" xr:uid="{00000000-0005-0000-0000-0000A3590000}"/>
    <cellStyle name="Positive 2 3 5 3 2 15" xfId="22935" xr:uid="{00000000-0005-0000-0000-0000A4590000}"/>
    <cellStyle name="Positive 2 3 5 3 2 15 2" xfId="22936" xr:uid="{00000000-0005-0000-0000-0000A5590000}"/>
    <cellStyle name="Positive 2 3 5 3 2 16" xfId="22937" xr:uid="{00000000-0005-0000-0000-0000A6590000}"/>
    <cellStyle name="Positive 2 3 5 3 2 16 2" xfId="22938" xr:uid="{00000000-0005-0000-0000-0000A7590000}"/>
    <cellStyle name="Positive 2 3 5 3 2 17" xfId="22939" xr:uid="{00000000-0005-0000-0000-0000A8590000}"/>
    <cellStyle name="Positive 2 3 5 3 2 2" xfId="22940" xr:uid="{00000000-0005-0000-0000-0000A9590000}"/>
    <cellStyle name="Positive 2 3 5 3 2 2 2" xfId="22941" xr:uid="{00000000-0005-0000-0000-0000AA590000}"/>
    <cellStyle name="Positive 2 3 5 3 2 3" xfId="22942" xr:uid="{00000000-0005-0000-0000-0000AB590000}"/>
    <cellStyle name="Positive 2 3 5 3 2 3 2" xfId="22943" xr:uid="{00000000-0005-0000-0000-0000AC590000}"/>
    <cellStyle name="Positive 2 3 5 3 2 4" xfId="22944" xr:uid="{00000000-0005-0000-0000-0000AD590000}"/>
    <cellStyle name="Positive 2 3 5 3 2 4 2" xfId="22945" xr:uid="{00000000-0005-0000-0000-0000AE590000}"/>
    <cellStyle name="Positive 2 3 5 3 2 5" xfId="22946" xr:uid="{00000000-0005-0000-0000-0000AF590000}"/>
    <cellStyle name="Positive 2 3 5 3 2 5 2" xfId="22947" xr:uid="{00000000-0005-0000-0000-0000B0590000}"/>
    <cellStyle name="Positive 2 3 5 3 2 6" xfId="22948" xr:uid="{00000000-0005-0000-0000-0000B1590000}"/>
    <cellStyle name="Positive 2 3 5 3 2 6 2" xfId="22949" xr:uid="{00000000-0005-0000-0000-0000B2590000}"/>
    <cellStyle name="Positive 2 3 5 3 2 7" xfId="22950" xr:uid="{00000000-0005-0000-0000-0000B3590000}"/>
    <cellStyle name="Positive 2 3 5 3 2 7 2" xfId="22951" xr:uid="{00000000-0005-0000-0000-0000B4590000}"/>
    <cellStyle name="Positive 2 3 5 3 2 8" xfId="22952" xr:uid="{00000000-0005-0000-0000-0000B5590000}"/>
    <cellStyle name="Positive 2 3 5 3 2 8 2" xfId="22953" xr:uid="{00000000-0005-0000-0000-0000B6590000}"/>
    <cellStyle name="Positive 2 3 5 3 2 9" xfId="22954" xr:uid="{00000000-0005-0000-0000-0000B7590000}"/>
    <cellStyle name="Positive 2 3 5 3 2 9 2" xfId="22955" xr:uid="{00000000-0005-0000-0000-0000B8590000}"/>
    <cellStyle name="Positive 2 3 5 3 20" xfId="22956" xr:uid="{00000000-0005-0000-0000-0000B9590000}"/>
    <cellStyle name="Positive 2 3 5 3 3" xfId="22957" xr:uid="{00000000-0005-0000-0000-0000BA590000}"/>
    <cellStyle name="Positive 2 3 5 3 3 2" xfId="22958" xr:uid="{00000000-0005-0000-0000-0000BB590000}"/>
    <cellStyle name="Positive 2 3 5 3 3 2 2" xfId="22959" xr:uid="{00000000-0005-0000-0000-0000BC590000}"/>
    <cellStyle name="Positive 2 3 5 3 3 3" xfId="22960" xr:uid="{00000000-0005-0000-0000-0000BD590000}"/>
    <cellStyle name="Positive 2 3 5 3 4" xfId="22961" xr:uid="{00000000-0005-0000-0000-0000BE590000}"/>
    <cellStyle name="Positive 2 3 5 3 4 2" xfId="22962" xr:uid="{00000000-0005-0000-0000-0000BF590000}"/>
    <cellStyle name="Positive 2 3 5 3 4 2 2" xfId="22963" xr:uid="{00000000-0005-0000-0000-0000C0590000}"/>
    <cellStyle name="Positive 2 3 5 3 4 3" xfId="22964" xr:uid="{00000000-0005-0000-0000-0000C1590000}"/>
    <cellStyle name="Positive 2 3 5 3 5" xfId="22965" xr:uid="{00000000-0005-0000-0000-0000C2590000}"/>
    <cellStyle name="Positive 2 3 5 3 5 2" xfId="22966" xr:uid="{00000000-0005-0000-0000-0000C3590000}"/>
    <cellStyle name="Positive 2 3 5 3 6" xfId="22967" xr:uid="{00000000-0005-0000-0000-0000C4590000}"/>
    <cellStyle name="Positive 2 3 5 3 6 2" xfId="22968" xr:uid="{00000000-0005-0000-0000-0000C5590000}"/>
    <cellStyle name="Positive 2 3 5 3 7" xfId="22969" xr:uid="{00000000-0005-0000-0000-0000C6590000}"/>
    <cellStyle name="Positive 2 3 5 3 7 2" xfId="22970" xr:uid="{00000000-0005-0000-0000-0000C7590000}"/>
    <cellStyle name="Positive 2 3 5 3 8" xfId="22971" xr:uid="{00000000-0005-0000-0000-0000C8590000}"/>
    <cellStyle name="Positive 2 3 5 3 8 2" xfId="22972" xr:uid="{00000000-0005-0000-0000-0000C9590000}"/>
    <cellStyle name="Positive 2 3 5 3 9" xfId="22973" xr:uid="{00000000-0005-0000-0000-0000CA590000}"/>
    <cellStyle name="Positive 2 3 5 3 9 2" xfId="22974" xr:uid="{00000000-0005-0000-0000-0000CB590000}"/>
    <cellStyle name="Positive 2 3 5 4" xfId="22975" xr:uid="{00000000-0005-0000-0000-0000CC590000}"/>
    <cellStyle name="Positive 2 3 5 4 10" xfId="22976" xr:uid="{00000000-0005-0000-0000-0000CD590000}"/>
    <cellStyle name="Positive 2 3 5 4 10 2" xfId="22977" xr:uid="{00000000-0005-0000-0000-0000CE590000}"/>
    <cellStyle name="Positive 2 3 5 4 11" xfId="22978" xr:uid="{00000000-0005-0000-0000-0000CF590000}"/>
    <cellStyle name="Positive 2 3 5 4 11 2" xfId="22979" xr:uid="{00000000-0005-0000-0000-0000D0590000}"/>
    <cellStyle name="Positive 2 3 5 4 12" xfId="22980" xr:uid="{00000000-0005-0000-0000-0000D1590000}"/>
    <cellStyle name="Positive 2 3 5 4 12 2" xfId="22981" xr:uid="{00000000-0005-0000-0000-0000D2590000}"/>
    <cellStyle name="Positive 2 3 5 4 13" xfId="22982" xr:uid="{00000000-0005-0000-0000-0000D3590000}"/>
    <cellStyle name="Positive 2 3 5 4 13 2" xfId="22983" xr:uid="{00000000-0005-0000-0000-0000D4590000}"/>
    <cellStyle name="Positive 2 3 5 4 14" xfId="22984" xr:uid="{00000000-0005-0000-0000-0000D5590000}"/>
    <cellStyle name="Positive 2 3 5 4 14 2" xfId="22985" xr:uid="{00000000-0005-0000-0000-0000D6590000}"/>
    <cellStyle name="Positive 2 3 5 4 15" xfId="22986" xr:uid="{00000000-0005-0000-0000-0000D7590000}"/>
    <cellStyle name="Positive 2 3 5 4 15 2" xfId="22987" xr:uid="{00000000-0005-0000-0000-0000D8590000}"/>
    <cellStyle name="Positive 2 3 5 4 16" xfId="22988" xr:uid="{00000000-0005-0000-0000-0000D9590000}"/>
    <cellStyle name="Positive 2 3 5 4 16 2" xfId="22989" xr:uid="{00000000-0005-0000-0000-0000DA590000}"/>
    <cellStyle name="Positive 2 3 5 4 17" xfId="22990" xr:uid="{00000000-0005-0000-0000-0000DB590000}"/>
    <cellStyle name="Positive 2 3 5 4 17 2" xfId="22991" xr:uid="{00000000-0005-0000-0000-0000DC590000}"/>
    <cellStyle name="Positive 2 3 5 4 18" xfId="22992" xr:uid="{00000000-0005-0000-0000-0000DD590000}"/>
    <cellStyle name="Positive 2 3 5 4 18 2" xfId="22993" xr:uid="{00000000-0005-0000-0000-0000DE590000}"/>
    <cellStyle name="Positive 2 3 5 4 19" xfId="22994" xr:uid="{00000000-0005-0000-0000-0000DF590000}"/>
    <cellStyle name="Positive 2 3 5 4 19 2" xfId="22995" xr:uid="{00000000-0005-0000-0000-0000E0590000}"/>
    <cellStyle name="Positive 2 3 5 4 2" xfId="22996" xr:uid="{00000000-0005-0000-0000-0000E1590000}"/>
    <cellStyle name="Positive 2 3 5 4 2 10" xfId="22997" xr:uid="{00000000-0005-0000-0000-0000E2590000}"/>
    <cellStyle name="Positive 2 3 5 4 2 10 2" xfId="22998" xr:uid="{00000000-0005-0000-0000-0000E3590000}"/>
    <cellStyle name="Positive 2 3 5 4 2 11" xfId="22999" xr:uid="{00000000-0005-0000-0000-0000E4590000}"/>
    <cellStyle name="Positive 2 3 5 4 2 11 2" xfId="23000" xr:uid="{00000000-0005-0000-0000-0000E5590000}"/>
    <cellStyle name="Positive 2 3 5 4 2 12" xfId="23001" xr:uid="{00000000-0005-0000-0000-0000E6590000}"/>
    <cellStyle name="Positive 2 3 5 4 2 12 2" xfId="23002" xr:uid="{00000000-0005-0000-0000-0000E7590000}"/>
    <cellStyle name="Positive 2 3 5 4 2 13" xfId="23003" xr:uid="{00000000-0005-0000-0000-0000E8590000}"/>
    <cellStyle name="Positive 2 3 5 4 2 13 2" xfId="23004" xr:uid="{00000000-0005-0000-0000-0000E9590000}"/>
    <cellStyle name="Positive 2 3 5 4 2 14" xfId="23005" xr:uid="{00000000-0005-0000-0000-0000EA590000}"/>
    <cellStyle name="Positive 2 3 5 4 2 14 2" xfId="23006" xr:uid="{00000000-0005-0000-0000-0000EB590000}"/>
    <cellStyle name="Positive 2 3 5 4 2 15" xfId="23007" xr:uid="{00000000-0005-0000-0000-0000EC590000}"/>
    <cellStyle name="Positive 2 3 5 4 2 15 2" xfId="23008" xr:uid="{00000000-0005-0000-0000-0000ED590000}"/>
    <cellStyle name="Positive 2 3 5 4 2 16" xfId="23009" xr:uid="{00000000-0005-0000-0000-0000EE590000}"/>
    <cellStyle name="Positive 2 3 5 4 2 16 2" xfId="23010" xr:uid="{00000000-0005-0000-0000-0000EF590000}"/>
    <cellStyle name="Positive 2 3 5 4 2 17" xfId="23011" xr:uid="{00000000-0005-0000-0000-0000F0590000}"/>
    <cellStyle name="Positive 2 3 5 4 2 2" xfId="23012" xr:uid="{00000000-0005-0000-0000-0000F1590000}"/>
    <cellStyle name="Positive 2 3 5 4 2 2 2" xfId="23013" xr:uid="{00000000-0005-0000-0000-0000F2590000}"/>
    <cellStyle name="Positive 2 3 5 4 2 3" xfId="23014" xr:uid="{00000000-0005-0000-0000-0000F3590000}"/>
    <cellStyle name="Positive 2 3 5 4 2 3 2" xfId="23015" xr:uid="{00000000-0005-0000-0000-0000F4590000}"/>
    <cellStyle name="Positive 2 3 5 4 2 4" xfId="23016" xr:uid="{00000000-0005-0000-0000-0000F5590000}"/>
    <cellStyle name="Positive 2 3 5 4 2 4 2" xfId="23017" xr:uid="{00000000-0005-0000-0000-0000F6590000}"/>
    <cellStyle name="Positive 2 3 5 4 2 5" xfId="23018" xr:uid="{00000000-0005-0000-0000-0000F7590000}"/>
    <cellStyle name="Positive 2 3 5 4 2 5 2" xfId="23019" xr:uid="{00000000-0005-0000-0000-0000F8590000}"/>
    <cellStyle name="Positive 2 3 5 4 2 6" xfId="23020" xr:uid="{00000000-0005-0000-0000-0000F9590000}"/>
    <cellStyle name="Positive 2 3 5 4 2 6 2" xfId="23021" xr:uid="{00000000-0005-0000-0000-0000FA590000}"/>
    <cellStyle name="Positive 2 3 5 4 2 7" xfId="23022" xr:uid="{00000000-0005-0000-0000-0000FB590000}"/>
    <cellStyle name="Positive 2 3 5 4 2 7 2" xfId="23023" xr:uid="{00000000-0005-0000-0000-0000FC590000}"/>
    <cellStyle name="Positive 2 3 5 4 2 8" xfId="23024" xr:uid="{00000000-0005-0000-0000-0000FD590000}"/>
    <cellStyle name="Positive 2 3 5 4 2 8 2" xfId="23025" xr:uid="{00000000-0005-0000-0000-0000FE590000}"/>
    <cellStyle name="Positive 2 3 5 4 2 9" xfId="23026" xr:uid="{00000000-0005-0000-0000-0000FF590000}"/>
    <cellStyle name="Positive 2 3 5 4 2 9 2" xfId="23027" xr:uid="{00000000-0005-0000-0000-0000005A0000}"/>
    <cellStyle name="Positive 2 3 5 4 20" xfId="23028" xr:uid="{00000000-0005-0000-0000-0000015A0000}"/>
    <cellStyle name="Positive 2 3 5 4 3" xfId="23029" xr:uid="{00000000-0005-0000-0000-0000025A0000}"/>
    <cellStyle name="Positive 2 3 5 4 3 2" xfId="23030" xr:uid="{00000000-0005-0000-0000-0000035A0000}"/>
    <cellStyle name="Positive 2 3 5 4 3 2 2" xfId="23031" xr:uid="{00000000-0005-0000-0000-0000045A0000}"/>
    <cellStyle name="Positive 2 3 5 4 3 3" xfId="23032" xr:uid="{00000000-0005-0000-0000-0000055A0000}"/>
    <cellStyle name="Positive 2 3 5 4 4" xfId="23033" xr:uid="{00000000-0005-0000-0000-0000065A0000}"/>
    <cellStyle name="Positive 2 3 5 4 4 2" xfId="23034" xr:uid="{00000000-0005-0000-0000-0000075A0000}"/>
    <cellStyle name="Positive 2 3 5 4 4 2 2" xfId="23035" xr:uid="{00000000-0005-0000-0000-0000085A0000}"/>
    <cellStyle name="Positive 2 3 5 4 4 3" xfId="23036" xr:uid="{00000000-0005-0000-0000-0000095A0000}"/>
    <cellStyle name="Positive 2 3 5 4 5" xfId="23037" xr:uid="{00000000-0005-0000-0000-00000A5A0000}"/>
    <cellStyle name="Positive 2 3 5 4 5 2" xfId="23038" xr:uid="{00000000-0005-0000-0000-00000B5A0000}"/>
    <cellStyle name="Positive 2 3 5 4 6" xfId="23039" xr:uid="{00000000-0005-0000-0000-00000C5A0000}"/>
    <cellStyle name="Positive 2 3 5 4 6 2" xfId="23040" xr:uid="{00000000-0005-0000-0000-00000D5A0000}"/>
    <cellStyle name="Positive 2 3 5 4 7" xfId="23041" xr:uid="{00000000-0005-0000-0000-00000E5A0000}"/>
    <cellStyle name="Positive 2 3 5 4 7 2" xfId="23042" xr:uid="{00000000-0005-0000-0000-00000F5A0000}"/>
    <cellStyle name="Positive 2 3 5 4 8" xfId="23043" xr:uid="{00000000-0005-0000-0000-0000105A0000}"/>
    <cellStyle name="Positive 2 3 5 4 8 2" xfId="23044" xr:uid="{00000000-0005-0000-0000-0000115A0000}"/>
    <cellStyle name="Positive 2 3 5 4 9" xfId="23045" xr:uid="{00000000-0005-0000-0000-0000125A0000}"/>
    <cellStyle name="Positive 2 3 5 4 9 2" xfId="23046" xr:uid="{00000000-0005-0000-0000-0000135A0000}"/>
    <cellStyle name="Positive 2 3 5 5" xfId="23047" xr:uid="{00000000-0005-0000-0000-0000145A0000}"/>
    <cellStyle name="Positive 2 3 5 5 10" xfId="23048" xr:uid="{00000000-0005-0000-0000-0000155A0000}"/>
    <cellStyle name="Positive 2 3 5 5 10 2" xfId="23049" xr:uid="{00000000-0005-0000-0000-0000165A0000}"/>
    <cellStyle name="Positive 2 3 5 5 11" xfId="23050" xr:uid="{00000000-0005-0000-0000-0000175A0000}"/>
    <cellStyle name="Positive 2 3 5 5 11 2" xfId="23051" xr:uid="{00000000-0005-0000-0000-0000185A0000}"/>
    <cellStyle name="Positive 2 3 5 5 12" xfId="23052" xr:uid="{00000000-0005-0000-0000-0000195A0000}"/>
    <cellStyle name="Positive 2 3 5 5 12 2" xfId="23053" xr:uid="{00000000-0005-0000-0000-00001A5A0000}"/>
    <cellStyle name="Positive 2 3 5 5 13" xfId="23054" xr:uid="{00000000-0005-0000-0000-00001B5A0000}"/>
    <cellStyle name="Positive 2 3 5 5 13 2" xfId="23055" xr:uid="{00000000-0005-0000-0000-00001C5A0000}"/>
    <cellStyle name="Positive 2 3 5 5 14" xfId="23056" xr:uid="{00000000-0005-0000-0000-00001D5A0000}"/>
    <cellStyle name="Positive 2 3 5 5 14 2" xfId="23057" xr:uid="{00000000-0005-0000-0000-00001E5A0000}"/>
    <cellStyle name="Positive 2 3 5 5 15" xfId="23058" xr:uid="{00000000-0005-0000-0000-00001F5A0000}"/>
    <cellStyle name="Positive 2 3 5 5 15 2" xfId="23059" xr:uid="{00000000-0005-0000-0000-0000205A0000}"/>
    <cellStyle name="Positive 2 3 5 5 16" xfId="23060" xr:uid="{00000000-0005-0000-0000-0000215A0000}"/>
    <cellStyle name="Positive 2 3 5 5 16 2" xfId="23061" xr:uid="{00000000-0005-0000-0000-0000225A0000}"/>
    <cellStyle name="Positive 2 3 5 5 17" xfId="23062" xr:uid="{00000000-0005-0000-0000-0000235A0000}"/>
    <cellStyle name="Positive 2 3 5 5 2" xfId="23063" xr:uid="{00000000-0005-0000-0000-0000245A0000}"/>
    <cellStyle name="Positive 2 3 5 5 2 2" xfId="23064" xr:uid="{00000000-0005-0000-0000-0000255A0000}"/>
    <cellStyle name="Positive 2 3 5 5 3" xfId="23065" xr:uid="{00000000-0005-0000-0000-0000265A0000}"/>
    <cellStyle name="Positive 2 3 5 5 3 2" xfId="23066" xr:uid="{00000000-0005-0000-0000-0000275A0000}"/>
    <cellStyle name="Positive 2 3 5 5 4" xfId="23067" xr:uid="{00000000-0005-0000-0000-0000285A0000}"/>
    <cellStyle name="Positive 2 3 5 5 4 2" xfId="23068" xr:uid="{00000000-0005-0000-0000-0000295A0000}"/>
    <cellStyle name="Positive 2 3 5 5 5" xfId="23069" xr:uid="{00000000-0005-0000-0000-00002A5A0000}"/>
    <cellStyle name="Positive 2 3 5 5 5 2" xfId="23070" xr:uid="{00000000-0005-0000-0000-00002B5A0000}"/>
    <cellStyle name="Positive 2 3 5 5 6" xfId="23071" xr:uid="{00000000-0005-0000-0000-00002C5A0000}"/>
    <cellStyle name="Positive 2 3 5 5 6 2" xfId="23072" xr:uid="{00000000-0005-0000-0000-00002D5A0000}"/>
    <cellStyle name="Positive 2 3 5 5 7" xfId="23073" xr:uid="{00000000-0005-0000-0000-00002E5A0000}"/>
    <cellStyle name="Positive 2 3 5 5 7 2" xfId="23074" xr:uid="{00000000-0005-0000-0000-00002F5A0000}"/>
    <cellStyle name="Positive 2 3 5 5 8" xfId="23075" xr:uid="{00000000-0005-0000-0000-0000305A0000}"/>
    <cellStyle name="Positive 2 3 5 5 8 2" xfId="23076" xr:uid="{00000000-0005-0000-0000-0000315A0000}"/>
    <cellStyle name="Positive 2 3 5 5 9" xfId="23077" xr:uid="{00000000-0005-0000-0000-0000325A0000}"/>
    <cellStyle name="Positive 2 3 5 5 9 2" xfId="23078" xr:uid="{00000000-0005-0000-0000-0000335A0000}"/>
    <cellStyle name="Positive 2 3 5 6" xfId="23079" xr:uid="{00000000-0005-0000-0000-0000345A0000}"/>
    <cellStyle name="Positive 2 3 5 6 2" xfId="23080" xr:uid="{00000000-0005-0000-0000-0000355A0000}"/>
    <cellStyle name="Positive 2 3 5 6 2 2" xfId="23081" xr:uid="{00000000-0005-0000-0000-0000365A0000}"/>
    <cellStyle name="Positive 2 3 5 6 3" xfId="23082" xr:uid="{00000000-0005-0000-0000-0000375A0000}"/>
    <cellStyle name="Positive 2 3 5 7" xfId="23083" xr:uid="{00000000-0005-0000-0000-0000385A0000}"/>
    <cellStyle name="Positive 2 3 5 7 2" xfId="23084" xr:uid="{00000000-0005-0000-0000-0000395A0000}"/>
    <cellStyle name="Positive 2 3 5 7 2 2" xfId="23085" xr:uid="{00000000-0005-0000-0000-00003A5A0000}"/>
    <cellStyle name="Positive 2 3 5 7 3" xfId="23086" xr:uid="{00000000-0005-0000-0000-00003B5A0000}"/>
    <cellStyle name="Positive 2 3 5 8" xfId="23087" xr:uid="{00000000-0005-0000-0000-00003C5A0000}"/>
    <cellStyle name="Positive 2 3 5 8 2" xfId="23088" xr:uid="{00000000-0005-0000-0000-00003D5A0000}"/>
    <cellStyle name="Positive 2 3 5 9" xfId="23089" xr:uid="{00000000-0005-0000-0000-00003E5A0000}"/>
    <cellStyle name="Positive 2 3 5 9 2" xfId="23090" xr:uid="{00000000-0005-0000-0000-00003F5A0000}"/>
    <cellStyle name="Positive 2 3 6" xfId="23091" xr:uid="{00000000-0005-0000-0000-0000405A0000}"/>
    <cellStyle name="Positive 2 3 6 10" xfId="23092" xr:uid="{00000000-0005-0000-0000-0000415A0000}"/>
    <cellStyle name="Positive 2 3 6 10 2" xfId="23093" xr:uid="{00000000-0005-0000-0000-0000425A0000}"/>
    <cellStyle name="Positive 2 3 6 11" xfId="23094" xr:uid="{00000000-0005-0000-0000-0000435A0000}"/>
    <cellStyle name="Positive 2 3 6 11 2" xfId="23095" xr:uid="{00000000-0005-0000-0000-0000445A0000}"/>
    <cellStyle name="Positive 2 3 6 12" xfId="23096" xr:uid="{00000000-0005-0000-0000-0000455A0000}"/>
    <cellStyle name="Positive 2 3 6 12 2" xfId="23097" xr:uid="{00000000-0005-0000-0000-0000465A0000}"/>
    <cellStyle name="Positive 2 3 6 13" xfId="23098" xr:uid="{00000000-0005-0000-0000-0000475A0000}"/>
    <cellStyle name="Positive 2 3 6 13 2" xfId="23099" xr:uid="{00000000-0005-0000-0000-0000485A0000}"/>
    <cellStyle name="Positive 2 3 6 14" xfId="23100" xr:uid="{00000000-0005-0000-0000-0000495A0000}"/>
    <cellStyle name="Positive 2 3 6 14 2" xfId="23101" xr:uid="{00000000-0005-0000-0000-00004A5A0000}"/>
    <cellStyle name="Positive 2 3 6 15" xfId="23102" xr:uid="{00000000-0005-0000-0000-00004B5A0000}"/>
    <cellStyle name="Positive 2 3 6 15 2" xfId="23103" xr:uid="{00000000-0005-0000-0000-00004C5A0000}"/>
    <cellStyle name="Positive 2 3 6 16" xfId="23104" xr:uid="{00000000-0005-0000-0000-00004D5A0000}"/>
    <cellStyle name="Positive 2 3 6 16 2" xfId="23105" xr:uid="{00000000-0005-0000-0000-00004E5A0000}"/>
    <cellStyle name="Positive 2 3 6 17" xfId="23106" xr:uid="{00000000-0005-0000-0000-00004F5A0000}"/>
    <cellStyle name="Positive 2 3 6 17 2" xfId="23107" xr:uid="{00000000-0005-0000-0000-0000505A0000}"/>
    <cellStyle name="Positive 2 3 6 18" xfId="23108" xr:uid="{00000000-0005-0000-0000-0000515A0000}"/>
    <cellStyle name="Positive 2 3 6 18 2" xfId="23109" xr:uid="{00000000-0005-0000-0000-0000525A0000}"/>
    <cellStyle name="Positive 2 3 6 19" xfId="23110" xr:uid="{00000000-0005-0000-0000-0000535A0000}"/>
    <cellStyle name="Positive 2 3 6 19 2" xfId="23111" xr:uid="{00000000-0005-0000-0000-0000545A0000}"/>
    <cellStyle name="Positive 2 3 6 2" xfId="23112" xr:uid="{00000000-0005-0000-0000-0000555A0000}"/>
    <cellStyle name="Positive 2 3 6 2 10" xfId="23113" xr:uid="{00000000-0005-0000-0000-0000565A0000}"/>
    <cellStyle name="Positive 2 3 6 2 10 2" xfId="23114" xr:uid="{00000000-0005-0000-0000-0000575A0000}"/>
    <cellStyle name="Positive 2 3 6 2 11" xfId="23115" xr:uid="{00000000-0005-0000-0000-0000585A0000}"/>
    <cellStyle name="Positive 2 3 6 2 11 2" xfId="23116" xr:uid="{00000000-0005-0000-0000-0000595A0000}"/>
    <cellStyle name="Positive 2 3 6 2 12" xfId="23117" xr:uid="{00000000-0005-0000-0000-00005A5A0000}"/>
    <cellStyle name="Positive 2 3 6 2 12 2" xfId="23118" xr:uid="{00000000-0005-0000-0000-00005B5A0000}"/>
    <cellStyle name="Positive 2 3 6 2 13" xfId="23119" xr:uid="{00000000-0005-0000-0000-00005C5A0000}"/>
    <cellStyle name="Positive 2 3 6 2 13 2" xfId="23120" xr:uid="{00000000-0005-0000-0000-00005D5A0000}"/>
    <cellStyle name="Positive 2 3 6 2 14" xfId="23121" xr:uid="{00000000-0005-0000-0000-00005E5A0000}"/>
    <cellStyle name="Positive 2 3 6 2 14 2" xfId="23122" xr:uid="{00000000-0005-0000-0000-00005F5A0000}"/>
    <cellStyle name="Positive 2 3 6 2 15" xfId="23123" xr:uid="{00000000-0005-0000-0000-0000605A0000}"/>
    <cellStyle name="Positive 2 3 6 2 15 2" xfId="23124" xr:uid="{00000000-0005-0000-0000-0000615A0000}"/>
    <cellStyle name="Positive 2 3 6 2 16" xfId="23125" xr:uid="{00000000-0005-0000-0000-0000625A0000}"/>
    <cellStyle name="Positive 2 3 6 2 16 2" xfId="23126" xr:uid="{00000000-0005-0000-0000-0000635A0000}"/>
    <cellStyle name="Positive 2 3 6 2 17" xfId="23127" xr:uid="{00000000-0005-0000-0000-0000645A0000}"/>
    <cellStyle name="Positive 2 3 6 2 17 2" xfId="23128" xr:uid="{00000000-0005-0000-0000-0000655A0000}"/>
    <cellStyle name="Positive 2 3 6 2 18" xfId="23129" xr:uid="{00000000-0005-0000-0000-0000665A0000}"/>
    <cellStyle name="Positive 2 3 6 2 18 2" xfId="23130" xr:uid="{00000000-0005-0000-0000-0000675A0000}"/>
    <cellStyle name="Positive 2 3 6 2 19" xfId="23131" xr:uid="{00000000-0005-0000-0000-0000685A0000}"/>
    <cellStyle name="Positive 2 3 6 2 19 2" xfId="23132" xr:uid="{00000000-0005-0000-0000-0000695A0000}"/>
    <cellStyle name="Positive 2 3 6 2 2" xfId="23133" xr:uid="{00000000-0005-0000-0000-00006A5A0000}"/>
    <cellStyle name="Positive 2 3 6 2 2 10" xfId="23134" xr:uid="{00000000-0005-0000-0000-00006B5A0000}"/>
    <cellStyle name="Positive 2 3 6 2 2 10 2" xfId="23135" xr:uid="{00000000-0005-0000-0000-00006C5A0000}"/>
    <cellStyle name="Positive 2 3 6 2 2 11" xfId="23136" xr:uid="{00000000-0005-0000-0000-00006D5A0000}"/>
    <cellStyle name="Positive 2 3 6 2 2 11 2" xfId="23137" xr:uid="{00000000-0005-0000-0000-00006E5A0000}"/>
    <cellStyle name="Positive 2 3 6 2 2 12" xfId="23138" xr:uid="{00000000-0005-0000-0000-00006F5A0000}"/>
    <cellStyle name="Positive 2 3 6 2 2 12 2" xfId="23139" xr:uid="{00000000-0005-0000-0000-0000705A0000}"/>
    <cellStyle name="Positive 2 3 6 2 2 13" xfId="23140" xr:uid="{00000000-0005-0000-0000-0000715A0000}"/>
    <cellStyle name="Positive 2 3 6 2 2 13 2" xfId="23141" xr:uid="{00000000-0005-0000-0000-0000725A0000}"/>
    <cellStyle name="Positive 2 3 6 2 2 14" xfId="23142" xr:uid="{00000000-0005-0000-0000-0000735A0000}"/>
    <cellStyle name="Positive 2 3 6 2 2 14 2" xfId="23143" xr:uid="{00000000-0005-0000-0000-0000745A0000}"/>
    <cellStyle name="Positive 2 3 6 2 2 15" xfId="23144" xr:uid="{00000000-0005-0000-0000-0000755A0000}"/>
    <cellStyle name="Positive 2 3 6 2 2 15 2" xfId="23145" xr:uid="{00000000-0005-0000-0000-0000765A0000}"/>
    <cellStyle name="Positive 2 3 6 2 2 16" xfId="23146" xr:uid="{00000000-0005-0000-0000-0000775A0000}"/>
    <cellStyle name="Positive 2 3 6 2 2 16 2" xfId="23147" xr:uid="{00000000-0005-0000-0000-0000785A0000}"/>
    <cellStyle name="Positive 2 3 6 2 2 17" xfId="23148" xr:uid="{00000000-0005-0000-0000-0000795A0000}"/>
    <cellStyle name="Positive 2 3 6 2 2 2" xfId="23149" xr:uid="{00000000-0005-0000-0000-00007A5A0000}"/>
    <cellStyle name="Positive 2 3 6 2 2 2 2" xfId="23150" xr:uid="{00000000-0005-0000-0000-00007B5A0000}"/>
    <cellStyle name="Positive 2 3 6 2 2 3" xfId="23151" xr:uid="{00000000-0005-0000-0000-00007C5A0000}"/>
    <cellStyle name="Positive 2 3 6 2 2 3 2" xfId="23152" xr:uid="{00000000-0005-0000-0000-00007D5A0000}"/>
    <cellStyle name="Positive 2 3 6 2 2 4" xfId="23153" xr:uid="{00000000-0005-0000-0000-00007E5A0000}"/>
    <cellStyle name="Positive 2 3 6 2 2 4 2" xfId="23154" xr:uid="{00000000-0005-0000-0000-00007F5A0000}"/>
    <cellStyle name="Positive 2 3 6 2 2 5" xfId="23155" xr:uid="{00000000-0005-0000-0000-0000805A0000}"/>
    <cellStyle name="Positive 2 3 6 2 2 5 2" xfId="23156" xr:uid="{00000000-0005-0000-0000-0000815A0000}"/>
    <cellStyle name="Positive 2 3 6 2 2 6" xfId="23157" xr:uid="{00000000-0005-0000-0000-0000825A0000}"/>
    <cellStyle name="Positive 2 3 6 2 2 6 2" xfId="23158" xr:uid="{00000000-0005-0000-0000-0000835A0000}"/>
    <cellStyle name="Positive 2 3 6 2 2 7" xfId="23159" xr:uid="{00000000-0005-0000-0000-0000845A0000}"/>
    <cellStyle name="Positive 2 3 6 2 2 7 2" xfId="23160" xr:uid="{00000000-0005-0000-0000-0000855A0000}"/>
    <cellStyle name="Positive 2 3 6 2 2 8" xfId="23161" xr:uid="{00000000-0005-0000-0000-0000865A0000}"/>
    <cellStyle name="Positive 2 3 6 2 2 8 2" xfId="23162" xr:uid="{00000000-0005-0000-0000-0000875A0000}"/>
    <cellStyle name="Positive 2 3 6 2 2 9" xfId="23163" xr:uid="{00000000-0005-0000-0000-0000885A0000}"/>
    <cellStyle name="Positive 2 3 6 2 2 9 2" xfId="23164" xr:uid="{00000000-0005-0000-0000-0000895A0000}"/>
    <cellStyle name="Positive 2 3 6 2 20" xfId="23165" xr:uid="{00000000-0005-0000-0000-00008A5A0000}"/>
    <cellStyle name="Positive 2 3 6 2 3" xfId="23166" xr:uid="{00000000-0005-0000-0000-00008B5A0000}"/>
    <cellStyle name="Positive 2 3 6 2 3 2" xfId="23167" xr:uid="{00000000-0005-0000-0000-00008C5A0000}"/>
    <cellStyle name="Positive 2 3 6 2 3 2 2" xfId="23168" xr:uid="{00000000-0005-0000-0000-00008D5A0000}"/>
    <cellStyle name="Positive 2 3 6 2 3 3" xfId="23169" xr:uid="{00000000-0005-0000-0000-00008E5A0000}"/>
    <cellStyle name="Positive 2 3 6 2 4" xfId="23170" xr:uid="{00000000-0005-0000-0000-00008F5A0000}"/>
    <cellStyle name="Positive 2 3 6 2 4 2" xfId="23171" xr:uid="{00000000-0005-0000-0000-0000905A0000}"/>
    <cellStyle name="Positive 2 3 6 2 4 2 2" xfId="23172" xr:uid="{00000000-0005-0000-0000-0000915A0000}"/>
    <cellStyle name="Positive 2 3 6 2 4 3" xfId="23173" xr:uid="{00000000-0005-0000-0000-0000925A0000}"/>
    <cellStyle name="Positive 2 3 6 2 5" xfId="23174" xr:uid="{00000000-0005-0000-0000-0000935A0000}"/>
    <cellStyle name="Positive 2 3 6 2 5 2" xfId="23175" xr:uid="{00000000-0005-0000-0000-0000945A0000}"/>
    <cellStyle name="Positive 2 3 6 2 6" xfId="23176" xr:uid="{00000000-0005-0000-0000-0000955A0000}"/>
    <cellStyle name="Positive 2 3 6 2 6 2" xfId="23177" xr:uid="{00000000-0005-0000-0000-0000965A0000}"/>
    <cellStyle name="Positive 2 3 6 2 7" xfId="23178" xr:uid="{00000000-0005-0000-0000-0000975A0000}"/>
    <cellStyle name="Positive 2 3 6 2 7 2" xfId="23179" xr:uid="{00000000-0005-0000-0000-0000985A0000}"/>
    <cellStyle name="Positive 2 3 6 2 8" xfId="23180" xr:uid="{00000000-0005-0000-0000-0000995A0000}"/>
    <cellStyle name="Positive 2 3 6 2 8 2" xfId="23181" xr:uid="{00000000-0005-0000-0000-00009A5A0000}"/>
    <cellStyle name="Positive 2 3 6 2 9" xfId="23182" xr:uid="{00000000-0005-0000-0000-00009B5A0000}"/>
    <cellStyle name="Positive 2 3 6 2 9 2" xfId="23183" xr:uid="{00000000-0005-0000-0000-00009C5A0000}"/>
    <cellStyle name="Positive 2 3 6 20" xfId="23184" xr:uid="{00000000-0005-0000-0000-00009D5A0000}"/>
    <cellStyle name="Positive 2 3 6 20 2" xfId="23185" xr:uid="{00000000-0005-0000-0000-00009E5A0000}"/>
    <cellStyle name="Positive 2 3 6 21" xfId="23186" xr:uid="{00000000-0005-0000-0000-00009F5A0000}"/>
    <cellStyle name="Positive 2 3 6 21 2" xfId="23187" xr:uid="{00000000-0005-0000-0000-0000A05A0000}"/>
    <cellStyle name="Positive 2 3 6 22" xfId="23188" xr:uid="{00000000-0005-0000-0000-0000A15A0000}"/>
    <cellStyle name="Positive 2 3 6 22 2" xfId="23189" xr:uid="{00000000-0005-0000-0000-0000A25A0000}"/>
    <cellStyle name="Positive 2 3 6 23" xfId="23190" xr:uid="{00000000-0005-0000-0000-0000A35A0000}"/>
    <cellStyle name="Positive 2 3 6 3" xfId="23191" xr:uid="{00000000-0005-0000-0000-0000A45A0000}"/>
    <cellStyle name="Positive 2 3 6 3 10" xfId="23192" xr:uid="{00000000-0005-0000-0000-0000A55A0000}"/>
    <cellStyle name="Positive 2 3 6 3 10 2" xfId="23193" xr:uid="{00000000-0005-0000-0000-0000A65A0000}"/>
    <cellStyle name="Positive 2 3 6 3 11" xfId="23194" xr:uid="{00000000-0005-0000-0000-0000A75A0000}"/>
    <cellStyle name="Positive 2 3 6 3 11 2" xfId="23195" xr:uid="{00000000-0005-0000-0000-0000A85A0000}"/>
    <cellStyle name="Positive 2 3 6 3 12" xfId="23196" xr:uid="{00000000-0005-0000-0000-0000A95A0000}"/>
    <cellStyle name="Positive 2 3 6 3 12 2" xfId="23197" xr:uid="{00000000-0005-0000-0000-0000AA5A0000}"/>
    <cellStyle name="Positive 2 3 6 3 13" xfId="23198" xr:uid="{00000000-0005-0000-0000-0000AB5A0000}"/>
    <cellStyle name="Positive 2 3 6 3 13 2" xfId="23199" xr:uid="{00000000-0005-0000-0000-0000AC5A0000}"/>
    <cellStyle name="Positive 2 3 6 3 14" xfId="23200" xr:uid="{00000000-0005-0000-0000-0000AD5A0000}"/>
    <cellStyle name="Positive 2 3 6 3 14 2" xfId="23201" xr:uid="{00000000-0005-0000-0000-0000AE5A0000}"/>
    <cellStyle name="Positive 2 3 6 3 15" xfId="23202" xr:uid="{00000000-0005-0000-0000-0000AF5A0000}"/>
    <cellStyle name="Positive 2 3 6 3 15 2" xfId="23203" xr:uid="{00000000-0005-0000-0000-0000B05A0000}"/>
    <cellStyle name="Positive 2 3 6 3 16" xfId="23204" xr:uid="{00000000-0005-0000-0000-0000B15A0000}"/>
    <cellStyle name="Positive 2 3 6 3 16 2" xfId="23205" xr:uid="{00000000-0005-0000-0000-0000B25A0000}"/>
    <cellStyle name="Positive 2 3 6 3 17" xfId="23206" xr:uid="{00000000-0005-0000-0000-0000B35A0000}"/>
    <cellStyle name="Positive 2 3 6 3 17 2" xfId="23207" xr:uid="{00000000-0005-0000-0000-0000B45A0000}"/>
    <cellStyle name="Positive 2 3 6 3 18" xfId="23208" xr:uid="{00000000-0005-0000-0000-0000B55A0000}"/>
    <cellStyle name="Positive 2 3 6 3 18 2" xfId="23209" xr:uid="{00000000-0005-0000-0000-0000B65A0000}"/>
    <cellStyle name="Positive 2 3 6 3 19" xfId="23210" xr:uid="{00000000-0005-0000-0000-0000B75A0000}"/>
    <cellStyle name="Positive 2 3 6 3 19 2" xfId="23211" xr:uid="{00000000-0005-0000-0000-0000B85A0000}"/>
    <cellStyle name="Positive 2 3 6 3 2" xfId="23212" xr:uid="{00000000-0005-0000-0000-0000B95A0000}"/>
    <cellStyle name="Positive 2 3 6 3 2 10" xfId="23213" xr:uid="{00000000-0005-0000-0000-0000BA5A0000}"/>
    <cellStyle name="Positive 2 3 6 3 2 10 2" xfId="23214" xr:uid="{00000000-0005-0000-0000-0000BB5A0000}"/>
    <cellStyle name="Positive 2 3 6 3 2 11" xfId="23215" xr:uid="{00000000-0005-0000-0000-0000BC5A0000}"/>
    <cellStyle name="Positive 2 3 6 3 2 11 2" xfId="23216" xr:uid="{00000000-0005-0000-0000-0000BD5A0000}"/>
    <cellStyle name="Positive 2 3 6 3 2 12" xfId="23217" xr:uid="{00000000-0005-0000-0000-0000BE5A0000}"/>
    <cellStyle name="Positive 2 3 6 3 2 12 2" xfId="23218" xr:uid="{00000000-0005-0000-0000-0000BF5A0000}"/>
    <cellStyle name="Positive 2 3 6 3 2 13" xfId="23219" xr:uid="{00000000-0005-0000-0000-0000C05A0000}"/>
    <cellStyle name="Positive 2 3 6 3 2 13 2" xfId="23220" xr:uid="{00000000-0005-0000-0000-0000C15A0000}"/>
    <cellStyle name="Positive 2 3 6 3 2 14" xfId="23221" xr:uid="{00000000-0005-0000-0000-0000C25A0000}"/>
    <cellStyle name="Positive 2 3 6 3 2 14 2" xfId="23222" xr:uid="{00000000-0005-0000-0000-0000C35A0000}"/>
    <cellStyle name="Positive 2 3 6 3 2 15" xfId="23223" xr:uid="{00000000-0005-0000-0000-0000C45A0000}"/>
    <cellStyle name="Positive 2 3 6 3 2 15 2" xfId="23224" xr:uid="{00000000-0005-0000-0000-0000C55A0000}"/>
    <cellStyle name="Positive 2 3 6 3 2 16" xfId="23225" xr:uid="{00000000-0005-0000-0000-0000C65A0000}"/>
    <cellStyle name="Positive 2 3 6 3 2 16 2" xfId="23226" xr:uid="{00000000-0005-0000-0000-0000C75A0000}"/>
    <cellStyle name="Positive 2 3 6 3 2 17" xfId="23227" xr:uid="{00000000-0005-0000-0000-0000C85A0000}"/>
    <cellStyle name="Positive 2 3 6 3 2 2" xfId="23228" xr:uid="{00000000-0005-0000-0000-0000C95A0000}"/>
    <cellStyle name="Positive 2 3 6 3 2 2 2" xfId="23229" xr:uid="{00000000-0005-0000-0000-0000CA5A0000}"/>
    <cellStyle name="Positive 2 3 6 3 2 3" xfId="23230" xr:uid="{00000000-0005-0000-0000-0000CB5A0000}"/>
    <cellStyle name="Positive 2 3 6 3 2 3 2" xfId="23231" xr:uid="{00000000-0005-0000-0000-0000CC5A0000}"/>
    <cellStyle name="Positive 2 3 6 3 2 4" xfId="23232" xr:uid="{00000000-0005-0000-0000-0000CD5A0000}"/>
    <cellStyle name="Positive 2 3 6 3 2 4 2" xfId="23233" xr:uid="{00000000-0005-0000-0000-0000CE5A0000}"/>
    <cellStyle name="Positive 2 3 6 3 2 5" xfId="23234" xr:uid="{00000000-0005-0000-0000-0000CF5A0000}"/>
    <cellStyle name="Positive 2 3 6 3 2 5 2" xfId="23235" xr:uid="{00000000-0005-0000-0000-0000D05A0000}"/>
    <cellStyle name="Positive 2 3 6 3 2 6" xfId="23236" xr:uid="{00000000-0005-0000-0000-0000D15A0000}"/>
    <cellStyle name="Positive 2 3 6 3 2 6 2" xfId="23237" xr:uid="{00000000-0005-0000-0000-0000D25A0000}"/>
    <cellStyle name="Positive 2 3 6 3 2 7" xfId="23238" xr:uid="{00000000-0005-0000-0000-0000D35A0000}"/>
    <cellStyle name="Positive 2 3 6 3 2 7 2" xfId="23239" xr:uid="{00000000-0005-0000-0000-0000D45A0000}"/>
    <cellStyle name="Positive 2 3 6 3 2 8" xfId="23240" xr:uid="{00000000-0005-0000-0000-0000D55A0000}"/>
    <cellStyle name="Positive 2 3 6 3 2 8 2" xfId="23241" xr:uid="{00000000-0005-0000-0000-0000D65A0000}"/>
    <cellStyle name="Positive 2 3 6 3 2 9" xfId="23242" xr:uid="{00000000-0005-0000-0000-0000D75A0000}"/>
    <cellStyle name="Positive 2 3 6 3 2 9 2" xfId="23243" xr:uid="{00000000-0005-0000-0000-0000D85A0000}"/>
    <cellStyle name="Positive 2 3 6 3 20" xfId="23244" xr:uid="{00000000-0005-0000-0000-0000D95A0000}"/>
    <cellStyle name="Positive 2 3 6 3 3" xfId="23245" xr:uid="{00000000-0005-0000-0000-0000DA5A0000}"/>
    <cellStyle name="Positive 2 3 6 3 3 2" xfId="23246" xr:uid="{00000000-0005-0000-0000-0000DB5A0000}"/>
    <cellStyle name="Positive 2 3 6 3 3 2 2" xfId="23247" xr:uid="{00000000-0005-0000-0000-0000DC5A0000}"/>
    <cellStyle name="Positive 2 3 6 3 3 3" xfId="23248" xr:uid="{00000000-0005-0000-0000-0000DD5A0000}"/>
    <cellStyle name="Positive 2 3 6 3 4" xfId="23249" xr:uid="{00000000-0005-0000-0000-0000DE5A0000}"/>
    <cellStyle name="Positive 2 3 6 3 4 2" xfId="23250" xr:uid="{00000000-0005-0000-0000-0000DF5A0000}"/>
    <cellStyle name="Positive 2 3 6 3 4 2 2" xfId="23251" xr:uid="{00000000-0005-0000-0000-0000E05A0000}"/>
    <cellStyle name="Positive 2 3 6 3 4 3" xfId="23252" xr:uid="{00000000-0005-0000-0000-0000E15A0000}"/>
    <cellStyle name="Positive 2 3 6 3 5" xfId="23253" xr:uid="{00000000-0005-0000-0000-0000E25A0000}"/>
    <cellStyle name="Positive 2 3 6 3 5 2" xfId="23254" xr:uid="{00000000-0005-0000-0000-0000E35A0000}"/>
    <cellStyle name="Positive 2 3 6 3 6" xfId="23255" xr:uid="{00000000-0005-0000-0000-0000E45A0000}"/>
    <cellStyle name="Positive 2 3 6 3 6 2" xfId="23256" xr:uid="{00000000-0005-0000-0000-0000E55A0000}"/>
    <cellStyle name="Positive 2 3 6 3 7" xfId="23257" xr:uid="{00000000-0005-0000-0000-0000E65A0000}"/>
    <cellStyle name="Positive 2 3 6 3 7 2" xfId="23258" xr:uid="{00000000-0005-0000-0000-0000E75A0000}"/>
    <cellStyle name="Positive 2 3 6 3 8" xfId="23259" xr:uid="{00000000-0005-0000-0000-0000E85A0000}"/>
    <cellStyle name="Positive 2 3 6 3 8 2" xfId="23260" xr:uid="{00000000-0005-0000-0000-0000E95A0000}"/>
    <cellStyle name="Positive 2 3 6 3 9" xfId="23261" xr:uid="{00000000-0005-0000-0000-0000EA5A0000}"/>
    <cellStyle name="Positive 2 3 6 3 9 2" xfId="23262" xr:uid="{00000000-0005-0000-0000-0000EB5A0000}"/>
    <cellStyle name="Positive 2 3 6 4" xfId="23263" xr:uid="{00000000-0005-0000-0000-0000EC5A0000}"/>
    <cellStyle name="Positive 2 3 6 4 10" xfId="23264" xr:uid="{00000000-0005-0000-0000-0000ED5A0000}"/>
    <cellStyle name="Positive 2 3 6 4 10 2" xfId="23265" xr:uid="{00000000-0005-0000-0000-0000EE5A0000}"/>
    <cellStyle name="Positive 2 3 6 4 11" xfId="23266" xr:uid="{00000000-0005-0000-0000-0000EF5A0000}"/>
    <cellStyle name="Positive 2 3 6 4 11 2" xfId="23267" xr:uid="{00000000-0005-0000-0000-0000F05A0000}"/>
    <cellStyle name="Positive 2 3 6 4 12" xfId="23268" xr:uid="{00000000-0005-0000-0000-0000F15A0000}"/>
    <cellStyle name="Positive 2 3 6 4 12 2" xfId="23269" xr:uid="{00000000-0005-0000-0000-0000F25A0000}"/>
    <cellStyle name="Positive 2 3 6 4 13" xfId="23270" xr:uid="{00000000-0005-0000-0000-0000F35A0000}"/>
    <cellStyle name="Positive 2 3 6 4 13 2" xfId="23271" xr:uid="{00000000-0005-0000-0000-0000F45A0000}"/>
    <cellStyle name="Positive 2 3 6 4 14" xfId="23272" xr:uid="{00000000-0005-0000-0000-0000F55A0000}"/>
    <cellStyle name="Positive 2 3 6 4 14 2" xfId="23273" xr:uid="{00000000-0005-0000-0000-0000F65A0000}"/>
    <cellStyle name="Positive 2 3 6 4 15" xfId="23274" xr:uid="{00000000-0005-0000-0000-0000F75A0000}"/>
    <cellStyle name="Positive 2 3 6 4 15 2" xfId="23275" xr:uid="{00000000-0005-0000-0000-0000F85A0000}"/>
    <cellStyle name="Positive 2 3 6 4 16" xfId="23276" xr:uid="{00000000-0005-0000-0000-0000F95A0000}"/>
    <cellStyle name="Positive 2 3 6 4 16 2" xfId="23277" xr:uid="{00000000-0005-0000-0000-0000FA5A0000}"/>
    <cellStyle name="Positive 2 3 6 4 17" xfId="23278" xr:uid="{00000000-0005-0000-0000-0000FB5A0000}"/>
    <cellStyle name="Positive 2 3 6 4 17 2" xfId="23279" xr:uid="{00000000-0005-0000-0000-0000FC5A0000}"/>
    <cellStyle name="Positive 2 3 6 4 18" xfId="23280" xr:uid="{00000000-0005-0000-0000-0000FD5A0000}"/>
    <cellStyle name="Positive 2 3 6 4 18 2" xfId="23281" xr:uid="{00000000-0005-0000-0000-0000FE5A0000}"/>
    <cellStyle name="Positive 2 3 6 4 19" xfId="23282" xr:uid="{00000000-0005-0000-0000-0000FF5A0000}"/>
    <cellStyle name="Positive 2 3 6 4 19 2" xfId="23283" xr:uid="{00000000-0005-0000-0000-0000005B0000}"/>
    <cellStyle name="Positive 2 3 6 4 2" xfId="23284" xr:uid="{00000000-0005-0000-0000-0000015B0000}"/>
    <cellStyle name="Positive 2 3 6 4 2 10" xfId="23285" xr:uid="{00000000-0005-0000-0000-0000025B0000}"/>
    <cellStyle name="Positive 2 3 6 4 2 10 2" xfId="23286" xr:uid="{00000000-0005-0000-0000-0000035B0000}"/>
    <cellStyle name="Positive 2 3 6 4 2 11" xfId="23287" xr:uid="{00000000-0005-0000-0000-0000045B0000}"/>
    <cellStyle name="Positive 2 3 6 4 2 11 2" xfId="23288" xr:uid="{00000000-0005-0000-0000-0000055B0000}"/>
    <cellStyle name="Positive 2 3 6 4 2 12" xfId="23289" xr:uid="{00000000-0005-0000-0000-0000065B0000}"/>
    <cellStyle name="Positive 2 3 6 4 2 12 2" xfId="23290" xr:uid="{00000000-0005-0000-0000-0000075B0000}"/>
    <cellStyle name="Positive 2 3 6 4 2 13" xfId="23291" xr:uid="{00000000-0005-0000-0000-0000085B0000}"/>
    <cellStyle name="Positive 2 3 6 4 2 13 2" xfId="23292" xr:uid="{00000000-0005-0000-0000-0000095B0000}"/>
    <cellStyle name="Positive 2 3 6 4 2 14" xfId="23293" xr:uid="{00000000-0005-0000-0000-00000A5B0000}"/>
    <cellStyle name="Positive 2 3 6 4 2 14 2" xfId="23294" xr:uid="{00000000-0005-0000-0000-00000B5B0000}"/>
    <cellStyle name="Positive 2 3 6 4 2 15" xfId="23295" xr:uid="{00000000-0005-0000-0000-00000C5B0000}"/>
    <cellStyle name="Positive 2 3 6 4 2 15 2" xfId="23296" xr:uid="{00000000-0005-0000-0000-00000D5B0000}"/>
    <cellStyle name="Positive 2 3 6 4 2 16" xfId="23297" xr:uid="{00000000-0005-0000-0000-00000E5B0000}"/>
    <cellStyle name="Positive 2 3 6 4 2 16 2" xfId="23298" xr:uid="{00000000-0005-0000-0000-00000F5B0000}"/>
    <cellStyle name="Positive 2 3 6 4 2 17" xfId="23299" xr:uid="{00000000-0005-0000-0000-0000105B0000}"/>
    <cellStyle name="Positive 2 3 6 4 2 2" xfId="23300" xr:uid="{00000000-0005-0000-0000-0000115B0000}"/>
    <cellStyle name="Positive 2 3 6 4 2 2 2" xfId="23301" xr:uid="{00000000-0005-0000-0000-0000125B0000}"/>
    <cellStyle name="Positive 2 3 6 4 2 3" xfId="23302" xr:uid="{00000000-0005-0000-0000-0000135B0000}"/>
    <cellStyle name="Positive 2 3 6 4 2 3 2" xfId="23303" xr:uid="{00000000-0005-0000-0000-0000145B0000}"/>
    <cellStyle name="Positive 2 3 6 4 2 4" xfId="23304" xr:uid="{00000000-0005-0000-0000-0000155B0000}"/>
    <cellStyle name="Positive 2 3 6 4 2 4 2" xfId="23305" xr:uid="{00000000-0005-0000-0000-0000165B0000}"/>
    <cellStyle name="Positive 2 3 6 4 2 5" xfId="23306" xr:uid="{00000000-0005-0000-0000-0000175B0000}"/>
    <cellStyle name="Positive 2 3 6 4 2 5 2" xfId="23307" xr:uid="{00000000-0005-0000-0000-0000185B0000}"/>
    <cellStyle name="Positive 2 3 6 4 2 6" xfId="23308" xr:uid="{00000000-0005-0000-0000-0000195B0000}"/>
    <cellStyle name="Positive 2 3 6 4 2 6 2" xfId="23309" xr:uid="{00000000-0005-0000-0000-00001A5B0000}"/>
    <cellStyle name="Positive 2 3 6 4 2 7" xfId="23310" xr:uid="{00000000-0005-0000-0000-00001B5B0000}"/>
    <cellStyle name="Positive 2 3 6 4 2 7 2" xfId="23311" xr:uid="{00000000-0005-0000-0000-00001C5B0000}"/>
    <cellStyle name="Positive 2 3 6 4 2 8" xfId="23312" xr:uid="{00000000-0005-0000-0000-00001D5B0000}"/>
    <cellStyle name="Positive 2 3 6 4 2 8 2" xfId="23313" xr:uid="{00000000-0005-0000-0000-00001E5B0000}"/>
    <cellStyle name="Positive 2 3 6 4 2 9" xfId="23314" xr:uid="{00000000-0005-0000-0000-00001F5B0000}"/>
    <cellStyle name="Positive 2 3 6 4 2 9 2" xfId="23315" xr:uid="{00000000-0005-0000-0000-0000205B0000}"/>
    <cellStyle name="Positive 2 3 6 4 20" xfId="23316" xr:uid="{00000000-0005-0000-0000-0000215B0000}"/>
    <cellStyle name="Positive 2 3 6 4 3" xfId="23317" xr:uid="{00000000-0005-0000-0000-0000225B0000}"/>
    <cellStyle name="Positive 2 3 6 4 3 2" xfId="23318" xr:uid="{00000000-0005-0000-0000-0000235B0000}"/>
    <cellStyle name="Positive 2 3 6 4 3 2 2" xfId="23319" xr:uid="{00000000-0005-0000-0000-0000245B0000}"/>
    <cellStyle name="Positive 2 3 6 4 3 3" xfId="23320" xr:uid="{00000000-0005-0000-0000-0000255B0000}"/>
    <cellStyle name="Positive 2 3 6 4 4" xfId="23321" xr:uid="{00000000-0005-0000-0000-0000265B0000}"/>
    <cellStyle name="Positive 2 3 6 4 4 2" xfId="23322" xr:uid="{00000000-0005-0000-0000-0000275B0000}"/>
    <cellStyle name="Positive 2 3 6 4 4 2 2" xfId="23323" xr:uid="{00000000-0005-0000-0000-0000285B0000}"/>
    <cellStyle name="Positive 2 3 6 4 4 3" xfId="23324" xr:uid="{00000000-0005-0000-0000-0000295B0000}"/>
    <cellStyle name="Positive 2 3 6 4 5" xfId="23325" xr:uid="{00000000-0005-0000-0000-00002A5B0000}"/>
    <cellStyle name="Positive 2 3 6 4 5 2" xfId="23326" xr:uid="{00000000-0005-0000-0000-00002B5B0000}"/>
    <cellStyle name="Positive 2 3 6 4 6" xfId="23327" xr:uid="{00000000-0005-0000-0000-00002C5B0000}"/>
    <cellStyle name="Positive 2 3 6 4 6 2" xfId="23328" xr:uid="{00000000-0005-0000-0000-00002D5B0000}"/>
    <cellStyle name="Positive 2 3 6 4 7" xfId="23329" xr:uid="{00000000-0005-0000-0000-00002E5B0000}"/>
    <cellStyle name="Positive 2 3 6 4 7 2" xfId="23330" xr:uid="{00000000-0005-0000-0000-00002F5B0000}"/>
    <cellStyle name="Positive 2 3 6 4 8" xfId="23331" xr:uid="{00000000-0005-0000-0000-0000305B0000}"/>
    <cellStyle name="Positive 2 3 6 4 8 2" xfId="23332" xr:uid="{00000000-0005-0000-0000-0000315B0000}"/>
    <cellStyle name="Positive 2 3 6 4 9" xfId="23333" xr:uid="{00000000-0005-0000-0000-0000325B0000}"/>
    <cellStyle name="Positive 2 3 6 4 9 2" xfId="23334" xr:uid="{00000000-0005-0000-0000-0000335B0000}"/>
    <cellStyle name="Positive 2 3 6 5" xfId="23335" xr:uid="{00000000-0005-0000-0000-0000345B0000}"/>
    <cellStyle name="Positive 2 3 6 5 10" xfId="23336" xr:uid="{00000000-0005-0000-0000-0000355B0000}"/>
    <cellStyle name="Positive 2 3 6 5 10 2" xfId="23337" xr:uid="{00000000-0005-0000-0000-0000365B0000}"/>
    <cellStyle name="Positive 2 3 6 5 11" xfId="23338" xr:uid="{00000000-0005-0000-0000-0000375B0000}"/>
    <cellStyle name="Positive 2 3 6 5 11 2" xfId="23339" xr:uid="{00000000-0005-0000-0000-0000385B0000}"/>
    <cellStyle name="Positive 2 3 6 5 12" xfId="23340" xr:uid="{00000000-0005-0000-0000-0000395B0000}"/>
    <cellStyle name="Positive 2 3 6 5 12 2" xfId="23341" xr:uid="{00000000-0005-0000-0000-00003A5B0000}"/>
    <cellStyle name="Positive 2 3 6 5 13" xfId="23342" xr:uid="{00000000-0005-0000-0000-00003B5B0000}"/>
    <cellStyle name="Positive 2 3 6 5 13 2" xfId="23343" xr:uid="{00000000-0005-0000-0000-00003C5B0000}"/>
    <cellStyle name="Positive 2 3 6 5 14" xfId="23344" xr:uid="{00000000-0005-0000-0000-00003D5B0000}"/>
    <cellStyle name="Positive 2 3 6 5 14 2" xfId="23345" xr:uid="{00000000-0005-0000-0000-00003E5B0000}"/>
    <cellStyle name="Positive 2 3 6 5 15" xfId="23346" xr:uid="{00000000-0005-0000-0000-00003F5B0000}"/>
    <cellStyle name="Positive 2 3 6 5 15 2" xfId="23347" xr:uid="{00000000-0005-0000-0000-0000405B0000}"/>
    <cellStyle name="Positive 2 3 6 5 16" xfId="23348" xr:uid="{00000000-0005-0000-0000-0000415B0000}"/>
    <cellStyle name="Positive 2 3 6 5 16 2" xfId="23349" xr:uid="{00000000-0005-0000-0000-0000425B0000}"/>
    <cellStyle name="Positive 2 3 6 5 17" xfId="23350" xr:uid="{00000000-0005-0000-0000-0000435B0000}"/>
    <cellStyle name="Positive 2 3 6 5 2" xfId="23351" xr:uid="{00000000-0005-0000-0000-0000445B0000}"/>
    <cellStyle name="Positive 2 3 6 5 2 2" xfId="23352" xr:uid="{00000000-0005-0000-0000-0000455B0000}"/>
    <cellStyle name="Positive 2 3 6 5 3" xfId="23353" xr:uid="{00000000-0005-0000-0000-0000465B0000}"/>
    <cellStyle name="Positive 2 3 6 5 3 2" xfId="23354" xr:uid="{00000000-0005-0000-0000-0000475B0000}"/>
    <cellStyle name="Positive 2 3 6 5 4" xfId="23355" xr:uid="{00000000-0005-0000-0000-0000485B0000}"/>
    <cellStyle name="Positive 2 3 6 5 4 2" xfId="23356" xr:uid="{00000000-0005-0000-0000-0000495B0000}"/>
    <cellStyle name="Positive 2 3 6 5 5" xfId="23357" xr:uid="{00000000-0005-0000-0000-00004A5B0000}"/>
    <cellStyle name="Positive 2 3 6 5 5 2" xfId="23358" xr:uid="{00000000-0005-0000-0000-00004B5B0000}"/>
    <cellStyle name="Positive 2 3 6 5 6" xfId="23359" xr:uid="{00000000-0005-0000-0000-00004C5B0000}"/>
    <cellStyle name="Positive 2 3 6 5 6 2" xfId="23360" xr:uid="{00000000-0005-0000-0000-00004D5B0000}"/>
    <cellStyle name="Positive 2 3 6 5 7" xfId="23361" xr:uid="{00000000-0005-0000-0000-00004E5B0000}"/>
    <cellStyle name="Positive 2 3 6 5 7 2" xfId="23362" xr:uid="{00000000-0005-0000-0000-00004F5B0000}"/>
    <cellStyle name="Positive 2 3 6 5 8" xfId="23363" xr:uid="{00000000-0005-0000-0000-0000505B0000}"/>
    <cellStyle name="Positive 2 3 6 5 8 2" xfId="23364" xr:uid="{00000000-0005-0000-0000-0000515B0000}"/>
    <cellStyle name="Positive 2 3 6 5 9" xfId="23365" xr:uid="{00000000-0005-0000-0000-0000525B0000}"/>
    <cellStyle name="Positive 2 3 6 5 9 2" xfId="23366" xr:uid="{00000000-0005-0000-0000-0000535B0000}"/>
    <cellStyle name="Positive 2 3 6 6" xfId="23367" xr:uid="{00000000-0005-0000-0000-0000545B0000}"/>
    <cellStyle name="Positive 2 3 6 6 2" xfId="23368" xr:uid="{00000000-0005-0000-0000-0000555B0000}"/>
    <cellStyle name="Positive 2 3 6 6 2 2" xfId="23369" xr:uid="{00000000-0005-0000-0000-0000565B0000}"/>
    <cellStyle name="Positive 2 3 6 6 3" xfId="23370" xr:uid="{00000000-0005-0000-0000-0000575B0000}"/>
    <cellStyle name="Positive 2 3 6 7" xfId="23371" xr:uid="{00000000-0005-0000-0000-0000585B0000}"/>
    <cellStyle name="Positive 2 3 6 7 2" xfId="23372" xr:uid="{00000000-0005-0000-0000-0000595B0000}"/>
    <cellStyle name="Positive 2 3 6 7 2 2" xfId="23373" xr:uid="{00000000-0005-0000-0000-00005A5B0000}"/>
    <cellStyle name="Positive 2 3 6 7 3" xfId="23374" xr:uid="{00000000-0005-0000-0000-00005B5B0000}"/>
    <cellStyle name="Positive 2 3 6 8" xfId="23375" xr:uid="{00000000-0005-0000-0000-00005C5B0000}"/>
    <cellStyle name="Positive 2 3 6 8 2" xfId="23376" xr:uid="{00000000-0005-0000-0000-00005D5B0000}"/>
    <cellStyle name="Positive 2 3 6 9" xfId="23377" xr:uid="{00000000-0005-0000-0000-00005E5B0000}"/>
    <cellStyle name="Positive 2 3 6 9 2" xfId="23378" xr:uid="{00000000-0005-0000-0000-00005F5B0000}"/>
    <cellStyle name="Positive 2 3 7" xfId="23379" xr:uid="{00000000-0005-0000-0000-0000605B0000}"/>
    <cellStyle name="Positive 2 3 7 10" xfId="23380" xr:uid="{00000000-0005-0000-0000-0000615B0000}"/>
    <cellStyle name="Positive 2 3 7 10 2" xfId="23381" xr:uid="{00000000-0005-0000-0000-0000625B0000}"/>
    <cellStyle name="Positive 2 3 7 11" xfId="23382" xr:uid="{00000000-0005-0000-0000-0000635B0000}"/>
    <cellStyle name="Positive 2 3 7 11 2" xfId="23383" xr:uid="{00000000-0005-0000-0000-0000645B0000}"/>
    <cellStyle name="Positive 2 3 7 12" xfId="23384" xr:uid="{00000000-0005-0000-0000-0000655B0000}"/>
    <cellStyle name="Positive 2 3 7 12 2" xfId="23385" xr:uid="{00000000-0005-0000-0000-0000665B0000}"/>
    <cellStyle name="Positive 2 3 7 13" xfId="23386" xr:uid="{00000000-0005-0000-0000-0000675B0000}"/>
    <cellStyle name="Positive 2 3 7 13 2" xfId="23387" xr:uid="{00000000-0005-0000-0000-0000685B0000}"/>
    <cellStyle name="Positive 2 3 7 14" xfId="23388" xr:uid="{00000000-0005-0000-0000-0000695B0000}"/>
    <cellStyle name="Positive 2 3 7 14 2" xfId="23389" xr:uid="{00000000-0005-0000-0000-00006A5B0000}"/>
    <cellStyle name="Positive 2 3 7 15" xfId="23390" xr:uid="{00000000-0005-0000-0000-00006B5B0000}"/>
    <cellStyle name="Positive 2 3 7 15 2" xfId="23391" xr:uid="{00000000-0005-0000-0000-00006C5B0000}"/>
    <cellStyle name="Positive 2 3 7 16" xfId="23392" xr:uid="{00000000-0005-0000-0000-00006D5B0000}"/>
    <cellStyle name="Positive 2 3 7 16 2" xfId="23393" xr:uid="{00000000-0005-0000-0000-00006E5B0000}"/>
    <cellStyle name="Positive 2 3 7 17" xfId="23394" xr:uid="{00000000-0005-0000-0000-00006F5B0000}"/>
    <cellStyle name="Positive 2 3 7 17 2" xfId="23395" xr:uid="{00000000-0005-0000-0000-0000705B0000}"/>
    <cellStyle name="Positive 2 3 7 18" xfId="23396" xr:uid="{00000000-0005-0000-0000-0000715B0000}"/>
    <cellStyle name="Positive 2 3 7 18 2" xfId="23397" xr:uid="{00000000-0005-0000-0000-0000725B0000}"/>
    <cellStyle name="Positive 2 3 7 19" xfId="23398" xr:uid="{00000000-0005-0000-0000-0000735B0000}"/>
    <cellStyle name="Positive 2 3 7 19 2" xfId="23399" xr:uid="{00000000-0005-0000-0000-0000745B0000}"/>
    <cellStyle name="Positive 2 3 7 2" xfId="23400" xr:uid="{00000000-0005-0000-0000-0000755B0000}"/>
    <cellStyle name="Positive 2 3 7 2 10" xfId="23401" xr:uid="{00000000-0005-0000-0000-0000765B0000}"/>
    <cellStyle name="Positive 2 3 7 2 10 2" xfId="23402" xr:uid="{00000000-0005-0000-0000-0000775B0000}"/>
    <cellStyle name="Positive 2 3 7 2 11" xfId="23403" xr:uid="{00000000-0005-0000-0000-0000785B0000}"/>
    <cellStyle name="Positive 2 3 7 2 11 2" xfId="23404" xr:uid="{00000000-0005-0000-0000-0000795B0000}"/>
    <cellStyle name="Positive 2 3 7 2 12" xfId="23405" xr:uid="{00000000-0005-0000-0000-00007A5B0000}"/>
    <cellStyle name="Positive 2 3 7 2 12 2" xfId="23406" xr:uid="{00000000-0005-0000-0000-00007B5B0000}"/>
    <cellStyle name="Positive 2 3 7 2 13" xfId="23407" xr:uid="{00000000-0005-0000-0000-00007C5B0000}"/>
    <cellStyle name="Positive 2 3 7 2 13 2" xfId="23408" xr:uid="{00000000-0005-0000-0000-00007D5B0000}"/>
    <cellStyle name="Positive 2 3 7 2 14" xfId="23409" xr:uid="{00000000-0005-0000-0000-00007E5B0000}"/>
    <cellStyle name="Positive 2 3 7 2 14 2" xfId="23410" xr:uid="{00000000-0005-0000-0000-00007F5B0000}"/>
    <cellStyle name="Positive 2 3 7 2 15" xfId="23411" xr:uid="{00000000-0005-0000-0000-0000805B0000}"/>
    <cellStyle name="Positive 2 3 7 2 15 2" xfId="23412" xr:uid="{00000000-0005-0000-0000-0000815B0000}"/>
    <cellStyle name="Positive 2 3 7 2 16" xfId="23413" xr:uid="{00000000-0005-0000-0000-0000825B0000}"/>
    <cellStyle name="Positive 2 3 7 2 16 2" xfId="23414" xr:uid="{00000000-0005-0000-0000-0000835B0000}"/>
    <cellStyle name="Positive 2 3 7 2 17" xfId="23415" xr:uid="{00000000-0005-0000-0000-0000845B0000}"/>
    <cellStyle name="Positive 2 3 7 2 17 2" xfId="23416" xr:uid="{00000000-0005-0000-0000-0000855B0000}"/>
    <cellStyle name="Positive 2 3 7 2 18" xfId="23417" xr:uid="{00000000-0005-0000-0000-0000865B0000}"/>
    <cellStyle name="Positive 2 3 7 2 18 2" xfId="23418" xr:uid="{00000000-0005-0000-0000-0000875B0000}"/>
    <cellStyle name="Positive 2 3 7 2 19" xfId="23419" xr:uid="{00000000-0005-0000-0000-0000885B0000}"/>
    <cellStyle name="Positive 2 3 7 2 19 2" xfId="23420" xr:uid="{00000000-0005-0000-0000-0000895B0000}"/>
    <cellStyle name="Positive 2 3 7 2 2" xfId="23421" xr:uid="{00000000-0005-0000-0000-00008A5B0000}"/>
    <cellStyle name="Positive 2 3 7 2 2 10" xfId="23422" xr:uid="{00000000-0005-0000-0000-00008B5B0000}"/>
    <cellStyle name="Positive 2 3 7 2 2 10 2" xfId="23423" xr:uid="{00000000-0005-0000-0000-00008C5B0000}"/>
    <cellStyle name="Positive 2 3 7 2 2 11" xfId="23424" xr:uid="{00000000-0005-0000-0000-00008D5B0000}"/>
    <cellStyle name="Positive 2 3 7 2 2 11 2" xfId="23425" xr:uid="{00000000-0005-0000-0000-00008E5B0000}"/>
    <cellStyle name="Positive 2 3 7 2 2 12" xfId="23426" xr:uid="{00000000-0005-0000-0000-00008F5B0000}"/>
    <cellStyle name="Positive 2 3 7 2 2 12 2" xfId="23427" xr:uid="{00000000-0005-0000-0000-0000905B0000}"/>
    <cellStyle name="Positive 2 3 7 2 2 13" xfId="23428" xr:uid="{00000000-0005-0000-0000-0000915B0000}"/>
    <cellStyle name="Positive 2 3 7 2 2 13 2" xfId="23429" xr:uid="{00000000-0005-0000-0000-0000925B0000}"/>
    <cellStyle name="Positive 2 3 7 2 2 14" xfId="23430" xr:uid="{00000000-0005-0000-0000-0000935B0000}"/>
    <cellStyle name="Positive 2 3 7 2 2 14 2" xfId="23431" xr:uid="{00000000-0005-0000-0000-0000945B0000}"/>
    <cellStyle name="Positive 2 3 7 2 2 15" xfId="23432" xr:uid="{00000000-0005-0000-0000-0000955B0000}"/>
    <cellStyle name="Positive 2 3 7 2 2 15 2" xfId="23433" xr:uid="{00000000-0005-0000-0000-0000965B0000}"/>
    <cellStyle name="Positive 2 3 7 2 2 16" xfId="23434" xr:uid="{00000000-0005-0000-0000-0000975B0000}"/>
    <cellStyle name="Positive 2 3 7 2 2 16 2" xfId="23435" xr:uid="{00000000-0005-0000-0000-0000985B0000}"/>
    <cellStyle name="Positive 2 3 7 2 2 17" xfId="23436" xr:uid="{00000000-0005-0000-0000-0000995B0000}"/>
    <cellStyle name="Positive 2 3 7 2 2 2" xfId="23437" xr:uid="{00000000-0005-0000-0000-00009A5B0000}"/>
    <cellStyle name="Positive 2 3 7 2 2 2 2" xfId="23438" xr:uid="{00000000-0005-0000-0000-00009B5B0000}"/>
    <cellStyle name="Positive 2 3 7 2 2 3" xfId="23439" xr:uid="{00000000-0005-0000-0000-00009C5B0000}"/>
    <cellStyle name="Positive 2 3 7 2 2 3 2" xfId="23440" xr:uid="{00000000-0005-0000-0000-00009D5B0000}"/>
    <cellStyle name="Positive 2 3 7 2 2 4" xfId="23441" xr:uid="{00000000-0005-0000-0000-00009E5B0000}"/>
    <cellStyle name="Positive 2 3 7 2 2 4 2" xfId="23442" xr:uid="{00000000-0005-0000-0000-00009F5B0000}"/>
    <cellStyle name="Positive 2 3 7 2 2 5" xfId="23443" xr:uid="{00000000-0005-0000-0000-0000A05B0000}"/>
    <cellStyle name="Positive 2 3 7 2 2 5 2" xfId="23444" xr:uid="{00000000-0005-0000-0000-0000A15B0000}"/>
    <cellStyle name="Positive 2 3 7 2 2 6" xfId="23445" xr:uid="{00000000-0005-0000-0000-0000A25B0000}"/>
    <cellStyle name="Positive 2 3 7 2 2 6 2" xfId="23446" xr:uid="{00000000-0005-0000-0000-0000A35B0000}"/>
    <cellStyle name="Positive 2 3 7 2 2 7" xfId="23447" xr:uid="{00000000-0005-0000-0000-0000A45B0000}"/>
    <cellStyle name="Positive 2 3 7 2 2 7 2" xfId="23448" xr:uid="{00000000-0005-0000-0000-0000A55B0000}"/>
    <cellStyle name="Positive 2 3 7 2 2 8" xfId="23449" xr:uid="{00000000-0005-0000-0000-0000A65B0000}"/>
    <cellStyle name="Positive 2 3 7 2 2 8 2" xfId="23450" xr:uid="{00000000-0005-0000-0000-0000A75B0000}"/>
    <cellStyle name="Positive 2 3 7 2 2 9" xfId="23451" xr:uid="{00000000-0005-0000-0000-0000A85B0000}"/>
    <cellStyle name="Positive 2 3 7 2 2 9 2" xfId="23452" xr:uid="{00000000-0005-0000-0000-0000A95B0000}"/>
    <cellStyle name="Positive 2 3 7 2 20" xfId="23453" xr:uid="{00000000-0005-0000-0000-0000AA5B0000}"/>
    <cellStyle name="Positive 2 3 7 2 3" xfId="23454" xr:uid="{00000000-0005-0000-0000-0000AB5B0000}"/>
    <cellStyle name="Positive 2 3 7 2 3 2" xfId="23455" xr:uid="{00000000-0005-0000-0000-0000AC5B0000}"/>
    <cellStyle name="Positive 2 3 7 2 3 2 2" xfId="23456" xr:uid="{00000000-0005-0000-0000-0000AD5B0000}"/>
    <cellStyle name="Positive 2 3 7 2 3 3" xfId="23457" xr:uid="{00000000-0005-0000-0000-0000AE5B0000}"/>
    <cellStyle name="Positive 2 3 7 2 4" xfId="23458" xr:uid="{00000000-0005-0000-0000-0000AF5B0000}"/>
    <cellStyle name="Positive 2 3 7 2 4 2" xfId="23459" xr:uid="{00000000-0005-0000-0000-0000B05B0000}"/>
    <cellStyle name="Positive 2 3 7 2 4 2 2" xfId="23460" xr:uid="{00000000-0005-0000-0000-0000B15B0000}"/>
    <cellStyle name="Positive 2 3 7 2 4 3" xfId="23461" xr:uid="{00000000-0005-0000-0000-0000B25B0000}"/>
    <cellStyle name="Positive 2 3 7 2 5" xfId="23462" xr:uid="{00000000-0005-0000-0000-0000B35B0000}"/>
    <cellStyle name="Positive 2 3 7 2 5 2" xfId="23463" xr:uid="{00000000-0005-0000-0000-0000B45B0000}"/>
    <cellStyle name="Positive 2 3 7 2 6" xfId="23464" xr:uid="{00000000-0005-0000-0000-0000B55B0000}"/>
    <cellStyle name="Positive 2 3 7 2 6 2" xfId="23465" xr:uid="{00000000-0005-0000-0000-0000B65B0000}"/>
    <cellStyle name="Positive 2 3 7 2 7" xfId="23466" xr:uid="{00000000-0005-0000-0000-0000B75B0000}"/>
    <cellStyle name="Positive 2 3 7 2 7 2" xfId="23467" xr:uid="{00000000-0005-0000-0000-0000B85B0000}"/>
    <cellStyle name="Positive 2 3 7 2 8" xfId="23468" xr:uid="{00000000-0005-0000-0000-0000B95B0000}"/>
    <cellStyle name="Positive 2 3 7 2 8 2" xfId="23469" xr:uid="{00000000-0005-0000-0000-0000BA5B0000}"/>
    <cellStyle name="Positive 2 3 7 2 9" xfId="23470" xr:uid="{00000000-0005-0000-0000-0000BB5B0000}"/>
    <cellStyle name="Positive 2 3 7 2 9 2" xfId="23471" xr:uid="{00000000-0005-0000-0000-0000BC5B0000}"/>
    <cellStyle name="Positive 2 3 7 20" xfId="23472" xr:uid="{00000000-0005-0000-0000-0000BD5B0000}"/>
    <cellStyle name="Positive 2 3 7 20 2" xfId="23473" xr:uid="{00000000-0005-0000-0000-0000BE5B0000}"/>
    <cellStyle name="Positive 2 3 7 21" xfId="23474" xr:uid="{00000000-0005-0000-0000-0000BF5B0000}"/>
    <cellStyle name="Positive 2 3 7 21 2" xfId="23475" xr:uid="{00000000-0005-0000-0000-0000C05B0000}"/>
    <cellStyle name="Positive 2 3 7 22" xfId="23476" xr:uid="{00000000-0005-0000-0000-0000C15B0000}"/>
    <cellStyle name="Positive 2 3 7 22 2" xfId="23477" xr:uid="{00000000-0005-0000-0000-0000C25B0000}"/>
    <cellStyle name="Positive 2 3 7 23" xfId="23478" xr:uid="{00000000-0005-0000-0000-0000C35B0000}"/>
    <cellStyle name="Positive 2 3 7 3" xfId="23479" xr:uid="{00000000-0005-0000-0000-0000C45B0000}"/>
    <cellStyle name="Positive 2 3 7 3 10" xfId="23480" xr:uid="{00000000-0005-0000-0000-0000C55B0000}"/>
    <cellStyle name="Positive 2 3 7 3 10 2" xfId="23481" xr:uid="{00000000-0005-0000-0000-0000C65B0000}"/>
    <cellStyle name="Positive 2 3 7 3 11" xfId="23482" xr:uid="{00000000-0005-0000-0000-0000C75B0000}"/>
    <cellStyle name="Positive 2 3 7 3 11 2" xfId="23483" xr:uid="{00000000-0005-0000-0000-0000C85B0000}"/>
    <cellStyle name="Positive 2 3 7 3 12" xfId="23484" xr:uid="{00000000-0005-0000-0000-0000C95B0000}"/>
    <cellStyle name="Positive 2 3 7 3 12 2" xfId="23485" xr:uid="{00000000-0005-0000-0000-0000CA5B0000}"/>
    <cellStyle name="Positive 2 3 7 3 13" xfId="23486" xr:uid="{00000000-0005-0000-0000-0000CB5B0000}"/>
    <cellStyle name="Positive 2 3 7 3 13 2" xfId="23487" xr:uid="{00000000-0005-0000-0000-0000CC5B0000}"/>
    <cellStyle name="Positive 2 3 7 3 14" xfId="23488" xr:uid="{00000000-0005-0000-0000-0000CD5B0000}"/>
    <cellStyle name="Positive 2 3 7 3 14 2" xfId="23489" xr:uid="{00000000-0005-0000-0000-0000CE5B0000}"/>
    <cellStyle name="Positive 2 3 7 3 15" xfId="23490" xr:uid="{00000000-0005-0000-0000-0000CF5B0000}"/>
    <cellStyle name="Positive 2 3 7 3 15 2" xfId="23491" xr:uid="{00000000-0005-0000-0000-0000D05B0000}"/>
    <cellStyle name="Positive 2 3 7 3 16" xfId="23492" xr:uid="{00000000-0005-0000-0000-0000D15B0000}"/>
    <cellStyle name="Positive 2 3 7 3 16 2" xfId="23493" xr:uid="{00000000-0005-0000-0000-0000D25B0000}"/>
    <cellStyle name="Positive 2 3 7 3 17" xfId="23494" xr:uid="{00000000-0005-0000-0000-0000D35B0000}"/>
    <cellStyle name="Positive 2 3 7 3 17 2" xfId="23495" xr:uid="{00000000-0005-0000-0000-0000D45B0000}"/>
    <cellStyle name="Positive 2 3 7 3 18" xfId="23496" xr:uid="{00000000-0005-0000-0000-0000D55B0000}"/>
    <cellStyle name="Positive 2 3 7 3 18 2" xfId="23497" xr:uid="{00000000-0005-0000-0000-0000D65B0000}"/>
    <cellStyle name="Positive 2 3 7 3 19" xfId="23498" xr:uid="{00000000-0005-0000-0000-0000D75B0000}"/>
    <cellStyle name="Positive 2 3 7 3 19 2" xfId="23499" xr:uid="{00000000-0005-0000-0000-0000D85B0000}"/>
    <cellStyle name="Positive 2 3 7 3 2" xfId="23500" xr:uid="{00000000-0005-0000-0000-0000D95B0000}"/>
    <cellStyle name="Positive 2 3 7 3 2 10" xfId="23501" xr:uid="{00000000-0005-0000-0000-0000DA5B0000}"/>
    <cellStyle name="Positive 2 3 7 3 2 10 2" xfId="23502" xr:uid="{00000000-0005-0000-0000-0000DB5B0000}"/>
    <cellStyle name="Positive 2 3 7 3 2 11" xfId="23503" xr:uid="{00000000-0005-0000-0000-0000DC5B0000}"/>
    <cellStyle name="Positive 2 3 7 3 2 11 2" xfId="23504" xr:uid="{00000000-0005-0000-0000-0000DD5B0000}"/>
    <cellStyle name="Positive 2 3 7 3 2 12" xfId="23505" xr:uid="{00000000-0005-0000-0000-0000DE5B0000}"/>
    <cellStyle name="Positive 2 3 7 3 2 12 2" xfId="23506" xr:uid="{00000000-0005-0000-0000-0000DF5B0000}"/>
    <cellStyle name="Positive 2 3 7 3 2 13" xfId="23507" xr:uid="{00000000-0005-0000-0000-0000E05B0000}"/>
    <cellStyle name="Positive 2 3 7 3 2 13 2" xfId="23508" xr:uid="{00000000-0005-0000-0000-0000E15B0000}"/>
    <cellStyle name="Positive 2 3 7 3 2 14" xfId="23509" xr:uid="{00000000-0005-0000-0000-0000E25B0000}"/>
    <cellStyle name="Positive 2 3 7 3 2 14 2" xfId="23510" xr:uid="{00000000-0005-0000-0000-0000E35B0000}"/>
    <cellStyle name="Positive 2 3 7 3 2 15" xfId="23511" xr:uid="{00000000-0005-0000-0000-0000E45B0000}"/>
    <cellStyle name="Positive 2 3 7 3 2 15 2" xfId="23512" xr:uid="{00000000-0005-0000-0000-0000E55B0000}"/>
    <cellStyle name="Positive 2 3 7 3 2 16" xfId="23513" xr:uid="{00000000-0005-0000-0000-0000E65B0000}"/>
    <cellStyle name="Positive 2 3 7 3 2 16 2" xfId="23514" xr:uid="{00000000-0005-0000-0000-0000E75B0000}"/>
    <cellStyle name="Positive 2 3 7 3 2 17" xfId="23515" xr:uid="{00000000-0005-0000-0000-0000E85B0000}"/>
    <cellStyle name="Positive 2 3 7 3 2 2" xfId="23516" xr:uid="{00000000-0005-0000-0000-0000E95B0000}"/>
    <cellStyle name="Positive 2 3 7 3 2 2 2" xfId="23517" xr:uid="{00000000-0005-0000-0000-0000EA5B0000}"/>
    <cellStyle name="Positive 2 3 7 3 2 3" xfId="23518" xr:uid="{00000000-0005-0000-0000-0000EB5B0000}"/>
    <cellStyle name="Positive 2 3 7 3 2 3 2" xfId="23519" xr:uid="{00000000-0005-0000-0000-0000EC5B0000}"/>
    <cellStyle name="Positive 2 3 7 3 2 4" xfId="23520" xr:uid="{00000000-0005-0000-0000-0000ED5B0000}"/>
    <cellStyle name="Positive 2 3 7 3 2 4 2" xfId="23521" xr:uid="{00000000-0005-0000-0000-0000EE5B0000}"/>
    <cellStyle name="Positive 2 3 7 3 2 5" xfId="23522" xr:uid="{00000000-0005-0000-0000-0000EF5B0000}"/>
    <cellStyle name="Positive 2 3 7 3 2 5 2" xfId="23523" xr:uid="{00000000-0005-0000-0000-0000F05B0000}"/>
    <cellStyle name="Positive 2 3 7 3 2 6" xfId="23524" xr:uid="{00000000-0005-0000-0000-0000F15B0000}"/>
    <cellStyle name="Positive 2 3 7 3 2 6 2" xfId="23525" xr:uid="{00000000-0005-0000-0000-0000F25B0000}"/>
    <cellStyle name="Positive 2 3 7 3 2 7" xfId="23526" xr:uid="{00000000-0005-0000-0000-0000F35B0000}"/>
    <cellStyle name="Positive 2 3 7 3 2 7 2" xfId="23527" xr:uid="{00000000-0005-0000-0000-0000F45B0000}"/>
    <cellStyle name="Positive 2 3 7 3 2 8" xfId="23528" xr:uid="{00000000-0005-0000-0000-0000F55B0000}"/>
    <cellStyle name="Positive 2 3 7 3 2 8 2" xfId="23529" xr:uid="{00000000-0005-0000-0000-0000F65B0000}"/>
    <cellStyle name="Positive 2 3 7 3 2 9" xfId="23530" xr:uid="{00000000-0005-0000-0000-0000F75B0000}"/>
    <cellStyle name="Positive 2 3 7 3 2 9 2" xfId="23531" xr:uid="{00000000-0005-0000-0000-0000F85B0000}"/>
    <cellStyle name="Positive 2 3 7 3 20" xfId="23532" xr:uid="{00000000-0005-0000-0000-0000F95B0000}"/>
    <cellStyle name="Positive 2 3 7 3 3" xfId="23533" xr:uid="{00000000-0005-0000-0000-0000FA5B0000}"/>
    <cellStyle name="Positive 2 3 7 3 3 2" xfId="23534" xr:uid="{00000000-0005-0000-0000-0000FB5B0000}"/>
    <cellStyle name="Positive 2 3 7 3 3 2 2" xfId="23535" xr:uid="{00000000-0005-0000-0000-0000FC5B0000}"/>
    <cellStyle name="Positive 2 3 7 3 3 3" xfId="23536" xr:uid="{00000000-0005-0000-0000-0000FD5B0000}"/>
    <cellStyle name="Positive 2 3 7 3 4" xfId="23537" xr:uid="{00000000-0005-0000-0000-0000FE5B0000}"/>
    <cellStyle name="Positive 2 3 7 3 4 2" xfId="23538" xr:uid="{00000000-0005-0000-0000-0000FF5B0000}"/>
    <cellStyle name="Positive 2 3 7 3 4 2 2" xfId="23539" xr:uid="{00000000-0005-0000-0000-0000005C0000}"/>
    <cellStyle name="Positive 2 3 7 3 4 3" xfId="23540" xr:uid="{00000000-0005-0000-0000-0000015C0000}"/>
    <cellStyle name="Positive 2 3 7 3 5" xfId="23541" xr:uid="{00000000-0005-0000-0000-0000025C0000}"/>
    <cellStyle name="Positive 2 3 7 3 5 2" xfId="23542" xr:uid="{00000000-0005-0000-0000-0000035C0000}"/>
    <cellStyle name="Positive 2 3 7 3 6" xfId="23543" xr:uid="{00000000-0005-0000-0000-0000045C0000}"/>
    <cellStyle name="Positive 2 3 7 3 6 2" xfId="23544" xr:uid="{00000000-0005-0000-0000-0000055C0000}"/>
    <cellStyle name="Positive 2 3 7 3 7" xfId="23545" xr:uid="{00000000-0005-0000-0000-0000065C0000}"/>
    <cellStyle name="Positive 2 3 7 3 7 2" xfId="23546" xr:uid="{00000000-0005-0000-0000-0000075C0000}"/>
    <cellStyle name="Positive 2 3 7 3 8" xfId="23547" xr:uid="{00000000-0005-0000-0000-0000085C0000}"/>
    <cellStyle name="Positive 2 3 7 3 8 2" xfId="23548" xr:uid="{00000000-0005-0000-0000-0000095C0000}"/>
    <cellStyle name="Positive 2 3 7 3 9" xfId="23549" xr:uid="{00000000-0005-0000-0000-00000A5C0000}"/>
    <cellStyle name="Positive 2 3 7 3 9 2" xfId="23550" xr:uid="{00000000-0005-0000-0000-00000B5C0000}"/>
    <cellStyle name="Positive 2 3 7 4" xfId="23551" xr:uid="{00000000-0005-0000-0000-00000C5C0000}"/>
    <cellStyle name="Positive 2 3 7 4 10" xfId="23552" xr:uid="{00000000-0005-0000-0000-00000D5C0000}"/>
    <cellStyle name="Positive 2 3 7 4 10 2" xfId="23553" xr:uid="{00000000-0005-0000-0000-00000E5C0000}"/>
    <cellStyle name="Positive 2 3 7 4 11" xfId="23554" xr:uid="{00000000-0005-0000-0000-00000F5C0000}"/>
    <cellStyle name="Positive 2 3 7 4 11 2" xfId="23555" xr:uid="{00000000-0005-0000-0000-0000105C0000}"/>
    <cellStyle name="Positive 2 3 7 4 12" xfId="23556" xr:uid="{00000000-0005-0000-0000-0000115C0000}"/>
    <cellStyle name="Positive 2 3 7 4 12 2" xfId="23557" xr:uid="{00000000-0005-0000-0000-0000125C0000}"/>
    <cellStyle name="Positive 2 3 7 4 13" xfId="23558" xr:uid="{00000000-0005-0000-0000-0000135C0000}"/>
    <cellStyle name="Positive 2 3 7 4 13 2" xfId="23559" xr:uid="{00000000-0005-0000-0000-0000145C0000}"/>
    <cellStyle name="Positive 2 3 7 4 14" xfId="23560" xr:uid="{00000000-0005-0000-0000-0000155C0000}"/>
    <cellStyle name="Positive 2 3 7 4 14 2" xfId="23561" xr:uid="{00000000-0005-0000-0000-0000165C0000}"/>
    <cellStyle name="Positive 2 3 7 4 15" xfId="23562" xr:uid="{00000000-0005-0000-0000-0000175C0000}"/>
    <cellStyle name="Positive 2 3 7 4 15 2" xfId="23563" xr:uid="{00000000-0005-0000-0000-0000185C0000}"/>
    <cellStyle name="Positive 2 3 7 4 16" xfId="23564" xr:uid="{00000000-0005-0000-0000-0000195C0000}"/>
    <cellStyle name="Positive 2 3 7 4 16 2" xfId="23565" xr:uid="{00000000-0005-0000-0000-00001A5C0000}"/>
    <cellStyle name="Positive 2 3 7 4 17" xfId="23566" xr:uid="{00000000-0005-0000-0000-00001B5C0000}"/>
    <cellStyle name="Positive 2 3 7 4 17 2" xfId="23567" xr:uid="{00000000-0005-0000-0000-00001C5C0000}"/>
    <cellStyle name="Positive 2 3 7 4 18" xfId="23568" xr:uid="{00000000-0005-0000-0000-00001D5C0000}"/>
    <cellStyle name="Positive 2 3 7 4 18 2" xfId="23569" xr:uid="{00000000-0005-0000-0000-00001E5C0000}"/>
    <cellStyle name="Positive 2 3 7 4 19" xfId="23570" xr:uid="{00000000-0005-0000-0000-00001F5C0000}"/>
    <cellStyle name="Positive 2 3 7 4 19 2" xfId="23571" xr:uid="{00000000-0005-0000-0000-0000205C0000}"/>
    <cellStyle name="Positive 2 3 7 4 2" xfId="23572" xr:uid="{00000000-0005-0000-0000-0000215C0000}"/>
    <cellStyle name="Positive 2 3 7 4 2 10" xfId="23573" xr:uid="{00000000-0005-0000-0000-0000225C0000}"/>
    <cellStyle name="Positive 2 3 7 4 2 10 2" xfId="23574" xr:uid="{00000000-0005-0000-0000-0000235C0000}"/>
    <cellStyle name="Positive 2 3 7 4 2 11" xfId="23575" xr:uid="{00000000-0005-0000-0000-0000245C0000}"/>
    <cellStyle name="Positive 2 3 7 4 2 11 2" xfId="23576" xr:uid="{00000000-0005-0000-0000-0000255C0000}"/>
    <cellStyle name="Positive 2 3 7 4 2 12" xfId="23577" xr:uid="{00000000-0005-0000-0000-0000265C0000}"/>
    <cellStyle name="Positive 2 3 7 4 2 12 2" xfId="23578" xr:uid="{00000000-0005-0000-0000-0000275C0000}"/>
    <cellStyle name="Positive 2 3 7 4 2 13" xfId="23579" xr:uid="{00000000-0005-0000-0000-0000285C0000}"/>
    <cellStyle name="Positive 2 3 7 4 2 13 2" xfId="23580" xr:uid="{00000000-0005-0000-0000-0000295C0000}"/>
    <cellStyle name="Positive 2 3 7 4 2 14" xfId="23581" xr:uid="{00000000-0005-0000-0000-00002A5C0000}"/>
    <cellStyle name="Positive 2 3 7 4 2 14 2" xfId="23582" xr:uid="{00000000-0005-0000-0000-00002B5C0000}"/>
    <cellStyle name="Positive 2 3 7 4 2 15" xfId="23583" xr:uid="{00000000-0005-0000-0000-00002C5C0000}"/>
    <cellStyle name="Positive 2 3 7 4 2 15 2" xfId="23584" xr:uid="{00000000-0005-0000-0000-00002D5C0000}"/>
    <cellStyle name="Positive 2 3 7 4 2 16" xfId="23585" xr:uid="{00000000-0005-0000-0000-00002E5C0000}"/>
    <cellStyle name="Positive 2 3 7 4 2 16 2" xfId="23586" xr:uid="{00000000-0005-0000-0000-00002F5C0000}"/>
    <cellStyle name="Positive 2 3 7 4 2 17" xfId="23587" xr:uid="{00000000-0005-0000-0000-0000305C0000}"/>
    <cellStyle name="Positive 2 3 7 4 2 2" xfId="23588" xr:uid="{00000000-0005-0000-0000-0000315C0000}"/>
    <cellStyle name="Positive 2 3 7 4 2 2 2" xfId="23589" xr:uid="{00000000-0005-0000-0000-0000325C0000}"/>
    <cellStyle name="Positive 2 3 7 4 2 3" xfId="23590" xr:uid="{00000000-0005-0000-0000-0000335C0000}"/>
    <cellStyle name="Positive 2 3 7 4 2 3 2" xfId="23591" xr:uid="{00000000-0005-0000-0000-0000345C0000}"/>
    <cellStyle name="Positive 2 3 7 4 2 4" xfId="23592" xr:uid="{00000000-0005-0000-0000-0000355C0000}"/>
    <cellStyle name="Positive 2 3 7 4 2 4 2" xfId="23593" xr:uid="{00000000-0005-0000-0000-0000365C0000}"/>
    <cellStyle name="Positive 2 3 7 4 2 5" xfId="23594" xr:uid="{00000000-0005-0000-0000-0000375C0000}"/>
    <cellStyle name="Positive 2 3 7 4 2 5 2" xfId="23595" xr:uid="{00000000-0005-0000-0000-0000385C0000}"/>
    <cellStyle name="Positive 2 3 7 4 2 6" xfId="23596" xr:uid="{00000000-0005-0000-0000-0000395C0000}"/>
    <cellStyle name="Positive 2 3 7 4 2 6 2" xfId="23597" xr:uid="{00000000-0005-0000-0000-00003A5C0000}"/>
    <cellStyle name="Positive 2 3 7 4 2 7" xfId="23598" xr:uid="{00000000-0005-0000-0000-00003B5C0000}"/>
    <cellStyle name="Positive 2 3 7 4 2 7 2" xfId="23599" xr:uid="{00000000-0005-0000-0000-00003C5C0000}"/>
    <cellStyle name="Positive 2 3 7 4 2 8" xfId="23600" xr:uid="{00000000-0005-0000-0000-00003D5C0000}"/>
    <cellStyle name="Positive 2 3 7 4 2 8 2" xfId="23601" xr:uid="{00000000-0005-0000-0000-00003E5C0000}"/>
    <cellStyle name="Positive 2 3 7 4 2 9" xfId="23602" xr:uid="{00000000-0005-0000-0000-00003F5C0000}"/>
    <cellStyle name="Positive 2 3 7 4 2 9 2" xfId="23603" xr:uid="{00000000-0005-0000-0000-0000405C0000}"/>
    <cellStyle name="Positive 2 3 7 4 20" xfId="23604" xr:uid="{00000000-0005-0000-0000-0000415C0000}"/>
    <cellStyle name="Positive 2 3 7 4 3" xfId="23605" xr:uid="{00000000-0005-0000-0000-0000425C0000}"/>
    <cellStyle name="Positive 2 3 7 4 3 2" xfId="23606" xr:uid="{00000000-0005-0000-0000-0000435C0000}"/>
    <cellStyle name="Positive 2 3 7 4 3 2 2" xfId="23607" xr:uid="{00000000-0005-0000-0000-0000445C0000}"/>
    <cellStyle name="Positive 2 3 7 4 3 3" xfId="23608" xr:uid="{00000000-0005-0000-0000-0000455C0000}"/>
    <cellStyle name="Positive 2 3 7 4 4" xfId="23609" xr:uid="{00000000-0005-0000-0000-0000465C0000}"/>
    <cellStyle name="Positive 2 3 7 4 4 2" xfId="23610" xr:uid="{00000000-0005-0000-0000-0000475C0000}"/>
    <cellStyle name="Positive 2 3 7 4 4 2 2" xfId="23611" xr:uid="{00000000-0005-0000-0000-0000485C0000}"/>
    <cellStyle name="Positive 2 3 7 4 4 3" xfId="23612" xr:uid="{00000000-0005-0000-0000-0000495C0000}"/>
    <cellStyle name="Positive 2 3 7 4 5" xfId="23613" xr:uid="{00000000-0005-0000-0000-00004A5C0000}"/>
    <cellStyle name="Positive 2 3 7 4 5 2" xfId="23614" xr:uid="{00000000-0005-0000-0000-00004B5C0000}"/>
    <cellStyle name="Positive 2 3 7 4 6" xfId="23615" xr:uid="{00000000-0005-0000-0000-00004C5C0000}"/>
    <cellStyle name="Positive 2 3 7 4 6 2" xfId="23616" xr:uid="{00000000-0005-0000-0000-00004D5C0000}"/>
    <cellStyle name="Positive 2 3 7 4 7" xfId="23617" xr:uid="{00000000-0005-0000-0000-00004E5C0000}"/>
    <cellStyle name="Positive 2 3 7 4 7 2" xfId="23618" xr:uid="{00000000-0005-0000-0000-00004F5C0000}"/>
    <cellStyle name="Positive 2 3 7 4 8" xfId="23619" xr:uid="{00000000-0005-0000-0000-0000505C0000}"/>
    <cellStyle name="Positive 2 3 7 4 8 2" xfId="23620" xr:uid="{00000000-0005-0000-0000-0000515C0000}"/>
    <cellStyle name="Positive 2 3 7 4 9" xfId="23621" xr:uid="{00000000-0005-0000-0000-0000525C0000}"/>
    <cellStyle name="Positive 2 3 7 4 9 2" xfId="23622" xr:uid="{00000000-0005-0000-0000-0000535C0000}"/>
    <cellStyle name="Positive 2 3 7 5" xfId="23623" xr:uid="{00000000-0005-0000-0000-0000545C0000}"/>
    <cellStyle name="Positive 2 3 7 5 10" xfId="23624" xr:uid="{00000000-0005-0000-0000-0000555C0000}"/>
    <cellStyle name="Positive 2 3 7 5 10 2" xfId="23625" xr:uid="{00000000-0005-0000-0000-0000565C0000}"/>
    <cellStyle name="Positive 2 3 7 5 11" xfId="23626" xr:uid="{00000000-0005-0000-0000-0000575C0000}"/>
    <cellStyle name="Positive 2 3 7 5 11 2" xfId="23627" xr:uid="{00000000-0005-0000-0000-0000585C0000}"/>
    <cellStyle name="Positive 2 3 7 5 12" xfId="23628" xr:uid="{00000000-0005-0000-0000-0000595C0000}"/>
    <cellStyle name="Positive 2 3 7 5 12 2" xfId="23629" xr:uid="{00000000-0005-0000-0000-00005A5C0000}"/>
    <cellStyle name="Positive 2 3 7 5 13" xfId="23630" xr:uid="{00000000-0005-0000-0000-00005B5C0000}"/>
    <cellStyle name="Positive 2 3 7 5 13 2" xfId="23631" xr:uid="{00000000-0005-0000-0000-00005C5C0000}"/>
    <cellStyle name="Positive 2 3 7 5 14" xfId="23632" xr:uid="{00000000-0005-0000-0000-00005D5C0000}"/>
    <cellStyle name="Positive 2 3 7 5 14 2" xfId="23633" xr:uid="{00000000-0005-0000-0000-00005E5C0000}"/>
    <cellStyle name="Positive 2 3 7 5 15" xfId="23634" xr:uid="{00000000-0005-0000-0000-00005F5C0000}"/>
    <cellStyle name="Positive 2 3 7 5 15 2" xfId="23635" xr:uid="{00000000-0005-0000-0000-0000605C0000}"/>
    <cellStyle name="Positive 2 3 7 5 16" xfId="23636" xr:uid="{00000000-0005-0000-0000-0000615C0000}"/>
    <cellStyle name="Positive 2 3 7 5 16 2" xfId="23637" xr:uid="{00000000-0005-0000-0000-0000625C0000}"/>
    <cellStyle name="Positive 2 3 7 5 17" xfId="23638" xr:uid="{00000000-0005-0000-0000-0000635C0000}"/>
    <cellStyle name="Positive 2 3 7 5 2" xfId="23639" xr:uid="{00000000-0005-0000-0000-0000645C0000}"/>
    <cellStyle name="Positive 2 3 7 5 2 2" xfId="23640" xr:uid="{00000000-0005-0000-0000-0000655C0000}"/>
    <cellStyle name="Positive 2 3 7 5 3" xfId="23641" xr:uid="{00000000-0005-0000-0000-0000665C0000}"/>
    <cellStyle name="Positive 2 3 7 5 3 2" xfId="23642" xr:uid="{00000000-0005-0000-0000-0000675C0000}"/>
    <cellStyle name="Positive 2 3 7 5 4" xfId="23643" xr:uid="{00000000-0005-0000-0000-0000685C0000}"/>
    <cellStyle name="Positive 2 3 7 5 4 2" xfId="23644" xr:uid="{00000000-0005-0000-0000-0000695C0000}"/>
    <cellStyle name="Positive 2 3 7 5 5" xfId="23645" xr:uid="{00000000-0005-0000-0000-00006A5C0000}"/>
    <cellStyle name="Positive 2 3 7 5 5 2" xfId="23646" xr:uid="{00000000-0005-0000-0000-00006B5C0000}"/>
    <cellStyle name="Positive 2 3 7 5 6" xfId="23647" xr:uid="{00000000-0005-0000-0000-00006C5C0000}"/>
    <cellStyle name="Positive 2 3 7 5 6 2" xfId="23648" xr:uid="{00000000-0005-0000-0000-00006D5C0000}"/>
    <cellStyle name="Positive 2 3 7 5 7" xfId="23649" xr:uid="{00000000-0005-0000-0000-00006E5C0000}"/>
    <cellStyle name="Positive 2 3 7 5 7 2" xfId="23650" xr:uid="{00000000-0005-0000-0000-00006F5C0000}"/>
    <cellStyle name="Positive 2 3 7 5 8" xfId="23651" xr:uid="{00000000-0005-0000-0000-0000705C0000}"/>
    <cellStyle name="Positive 2 3 7 5 8 2" xfId="23652" xr:uid="{00000000-0005-0000-0000-0000715C0000}"/>
    <cellStyle name="Positive 2 3 7 5 9" xfId="23653" xr:uid="{00000000-0005-0000-0000-0000725C0000}"/>
    <cellStyle name="Positive 2 3 7 5 9 2" xfId="23654" xr:uid="{00000000-0005-0000-0000-0000735C0000}"/>
    <cellStyle name="Positive 2 3 7 6" xfId="23655" xr:uid="{00000000-0005-0000-0000-0000745C0000}"/>
    <cellStyle name="Positive 2 3 7 6 2" xfId="23656" xr:uid="{00000000-0005-0000-0000-0000755C0000}"/>
    <cellStyle name="Positive 2 3 7 6 2 2" xfId="23657" xr:uid="{00000000-0005-0000-0000-0000765C0000}"/>
    <cellStyle name="Positive 2 3 7 6 3" xfId="23658" xr:uid="{00000000-0005-0000-0000-0000775C0000}"/>
    <cellStyle name="Positive 2 3 7 7" xfId="23659" xr:uid="{00000000-0005-0000-0000-0000785C0000}"/>
    <cellStyle name="Positive 2 3 7 7 2" xfId="23660" xr:uid="{00000000-0005-0000-0000-0000795C0000}"/>
    <cellStyle name="Positive 2 3 7 7 2 2" xfId="23661" xr:uid="{00000000-0005-0000-0000-00007A5C0000}"/>
    <cellStyle name="Positive 2 3 7 7 3" xfId="23662" xr:uid="{00000000-0005-0000-0000-00007B5C0000}"/>
    <cellStyle name="Positive 2 3 7 8" xfId="23663" xr:uid="{00000000-0005-0000-0000-00007C5C0000}"/>
    <cellStyle name="Positive 2 3 7 8 2" xfId="23664" xr:uid="{00000000-0005-0000-0000-00007D5C0000}"/>
    <cellStyle name="Positive 2 3 7 9" xfId="23665" xr:uid="{00000000-0005-0000-0000-00007E5C0000}"/>
    <cellStyle name="Positive 2 3 7 9 2" xfId="23666" xr:uid="{00000000-0005-0000-0000-00007F5C0000}"/>
    <cellStyle name="Positive 2 3 8" xfId="23667" xr:uid="{00000000-0005-0000-0000-0000805C0000}"/>
    <cellStyle name="Positive 2 3 8 10" xfId="23668" xr:uid="{00000000-0005-0000-0000-0000815C0000}"/>
    <cellStyle name="Positive 2 3 8 10 2" xfId="23669" xr:uid="{00000000-0005-0000-0000-0000825C0000}"/>
    <cellStyle name="Positive 2 3 8 11" xfId="23670" xr:uid="{00000000-0005-0000-0000-0000835C0000}"/>
    <cellStyle name="Positive 2 3 8 11 2" xfId="23671" xr:uid="{00000000-0005-0000-0000-0000845C0000}"/>
    <cellStyle name="Positive 2 3 8 12" xfId="23672" xr:uid="{00000000-0005-0000-0000-0000855C0000}"/>
    <cellStyle name="Positive 2 3 8 12 2" xfId="23673" xr:uid="{00000000-0005-0000-0000-0000865C0000}"/>
    <cellStyle name="Positive 2 3 8 13" xfId="23674" xr:uid="{00000000-0005-0000-0000-0000875C0000}"/>
    <cellStyle name="Positive 2 3 8 13 2" xfId="23675" xr:uid="{00000000-0005-0000-0000-0000885C0000}"/>
    <cellStyle name="Positive 2 3 8 14" xfId="23676" xr:uid="{00000000-0005-0000-0000-0000895C0000}"/>
    <cellStyle name="Positive 2 3 8 14 2" xfId="23677" xr:uid="{00000000-0005-0000-0000-00008A5C0000}"/>
    <cellStyle name="Positive 2 3 8 15" xfId="23678" xr:uid="{00000000-0005-0000-0000-00008B5C0000}"/>
    <cellStyle name="Positive 2 3 8 15 2" xfId="23679" xr:uid="{00000000-0005-0000-0000-00008C5C0000}"/>
    <cellStyle name="Positive 2 3 8 16" xfId="23680" xr:uid="{00000000-0005-0000-0000-00008D5C0000}"/>
    <cellStyle name="Positive 2 3 8 16 2" xfId="23681" xr:uid="{00000000-0005-0000-0000-00008E5C0000}"/>
    <cellStyle name="Positive 2 3 8 17" xfId="23682" xr:uid="{00000000-0005-0000-0000-00008F5C0000}"/>
    <cellStyle name="Positive 2 3 8 17 2" xfId="23683" xr:uid="{00000000-0005-0000-0000-0000905C0000}"/>
    <cellStyle name="Positive 2 3 8 18" xfId="23684" xr:uid="{00000000-0005-0000-0000-0000915C0000}"/>
    <cellStyle name="Positive 2 3 8 18 2" xfId="23685" xr:uid="{00000000-0005-0000-0000-0000925C0000}"/>
    <cellStyle name="Positive 2 3 8 19" xfId="23686" xr:uid="{00000000-0005-0000-0000-0000935C0000}"/>
    <cellStyle name="Positive 2 3 8 19 2" xfId="23687" xr:uid="{00000000-0005-0000-0000-0000945C0000}"/>
    <cellStyle name="Positive 2 3 8 2" xfId="23688" xr:uid="{00000000-0005-0000-0000-0000955C0000}"/>
    <cellStyle name="Positive 2 3 8 2 10" xfId="23689" xr:uid="{00000000-0005-0000-0000-0000965C0000}"/>
    <cellStyle name="Positive 2 3 8 2 10 2" xfId="23690" xr:uid="{00000000-0005-0000-0000-0000975C0000}"/>
    <cellStyle name="Positive 2 3 8 2 11" xfId="23691" xr:uid="{00000000-0005-0000-0000-0000985C0000}"/>
    <cellStyle name="Positive 2 3 8 2 11 2" xfId="23692" xr:uid="{00000000-0005-0000-0000-0000995C0000}"/>
    <cellStyle name="Positive 2 3 8 2 12" xfId="23693" xr:uid="{00000000-0005-0000-0000-00009A5C0000}"/>
    <cellStyle name="Positive 2 3 8 2 12 2" xfId="23694" xr:uid="{00000000-0005-0000-0000-00009B5C0000}"/>
    <cellStyle name="Positive 2 3 8 2 13" xfId="23695" xr:uid="{00000000-0005-0000-0000-00009C5C0000}"/>
    <cellStyle name="Positive 2 3 8 2 13 2" xfId="23696" xr:uid="{00000000-0005-0000-0000-00009D5C0000}"/>
    <cellStyle name="Positive 2 3 8 2 14" xfId="23697" xr:uid="{00000000-0005-0000-0000-00009E5C0000}"/>
    <cellStyle name="Positive 2 3 8 2 14 2" xfId="23698" xr:uid="{00000000-0005-0000-0000-00009F5C0000}"/>
    <cellStyle name="Positive 2 3 8 2 15" xfId="23699" xr:uid="{00000000-0005-0000-0000-0000A05C0000}"/>
    <cellStyle name="Positive 2 3 8 2 15 2" xfId="23700" xr:uid="{00000000-0005-0000-0000-0000A15C0000}"/>
    <cellStyle name="Positive 2 3 8 2 16" xfId="23701" xr:uid="{00000000-0005-0000-0000-0000A25C0000}"/>
    <cellStyle name="Positive 2 3 8 2 16 2" xfId="23702" xr:uid="{00000000-0005-0000-0000-0000A35C0000}"/>
    <cellStyle name="Positive 2 3 8 2 17" xfId="23703" xr:uid="{00000000-0005-0000-0000-0000A45C0000}"/>
    <cellStyle name="Positive 2 3 8 2 17 2" xfId="23704" xr:uid="{00000000-0005-0000-0000-0000A55C0000}"/>
    <cellStyle name="Positive 2 3 8 2 18" xfId="23705" xr:uid="{00000000-0005-0000-0000-0000A65C0000}"/>
    <cellStyle name="Positive 2 3 8 2 18 2" xfId="23706" xr:uid="{00000000-0005-0000-0000-0000A75C0000}"/>
    <cellStyle name="Positive 2 3 8 2 19" xfId="23707" xr:uid="{00000000-0005-0000-0000-0000A85C0000}"/>
    <cellStyle name="Positive 2 3 8 2 19 2" xfId="23708" xr:uid="{00000000-0005-0000-0000-0000A95C0000}"/>
    <cellStyle name="Positive 2 3 8 2 2" xfId="23709" xr:uid="{00000000-0005-0000-0000-0000AA5C0000}"/>
    <cellStyle name="Positive 2 3 8 2 2 10" xfId="23710" xr:uid="{00000000-0005-0000-0000-0000AB5C0000}"/>
    <cellStyle name="Positive 2 3 8 2 2 10 2" xfId="23711" xr:uid="{00000000-0005-0000-0000-0000AC5C0000}"/>
    <cellStyle name="Positive 2 3 8 2 2 11" xfId="23712" xr:uid="{00000000-0005-0000-0000-0000AD5C0000}"/>
    <cellStyle name="Positive 2 3 8 2 2 11 2" xfId="23713" xr:uid="{00000000-0005-0000-0000-0000AE5C0000}"/>
    <cellStyle name="Positive 2 3 8 2 2 12" xfId="23714" xr:uid="{00000000-0005-0000-0000-0000AF5C0000}"/>
    <cellStyle name="Positive 2 3 8 2 2 12 2" xfId="23715" xr:uid="{00000000-0005-0000-0000-0000B05C0000}"/>
    <cellStyle name="Positive 2 3 8 2 2 13" xfId="23716" xr:uid="{00000000-0005-0000-0000-0000B15C0000}"/>
    <cellStyle name="Positive 2 3 8 2 2 13 2" xfId="23717" xr:uid="{00000000-0005-0000-0000-0000B25C0000}"/>
    <cellStyle name="Positive 2 3 8 2 2 14" xfId="23718" xr:uid="{00000000-0005-0000-0000-0000B35C0000}"/>
    <cellStyle name="Positive 2 3 8 2 2 14 2" xfId="23719" xr:uid="{00000000-0005-0000-0000-0000B45C0000}"/>
    <cellStyle name="Positive 2 3 8 2 2 15" xfId="23720" xr:uid="{00000000-0005-0000-0000-0000B55C0000}"/>
    <cellStyle name="Positive 2 3 8 2 2 15 2" xfId="23721" xr:uid="{00000000-0005-0000-0000-0000B65C0000}"/>
    <cellStyle name="Positive 2 3 8 2 2 16" xfId="23722" xr:uid="{00000000-0005-0000-0000-0000B75C0000}"/>
    <cellStyle name="Positive 2 3 8 2 2 16 2" xfId="23723" xr:uid="{00000000-0005-0000-0000-0000B85C0000}"/>
    <cellStyle name="Positive 2 3 8 2 2 17" xfId="23724" xr:uid="{00000000-0005-0000-0000-0000B95C0000}"/>
    <cellStyle name="Positive 2 3 8 2 2 2" xfId="23725" xr:uid="{00000000-0005-0000-0000-0000BA5C0000}"/>
    <cellStyle name="Positive 2 3 8 2 2 2 2" xfId="23726" xr:uid="{00000000-0005-0000-0000-0000BB5C0000}"/>
    <cellStyle name="Positive 2 3 8 2 2 3" xfId="23727" xr:uid="{00000000-0005-0000-0000-0000BC5C0000}"/>
    <cellStyle name="Positive 2 3 8 2 2 3 2" xfId="23728" xr:uid="{00000000-0005-0000-0000-0000BD5C0000}"/>
    <cellStyle name="Positive 2 3 8 2 2 4" xfId="23729" xr:uid="{00000000-0005-0000-0000-0000BE5C0000}"/>
    <cellStyle name="Positive 2 3 8 2 2 4 2" xfId="23730" xr:uid="{00000000-0005-0000-0000-0000BF5C0000}"/>
    <cellStyle name="Positive 2 3 8 2 2 5" xfId="23731" xr:uid="{00000000-0005-0000-0000-0000C05C0000}"/>
    <cellStyle name="Positive 2 3 8 2 2 5 2" xfId="23732" xr:uid="{00000000-0005-0000-0000-0000C15C0000}"/>
    <cellStyle name="Positive 2 3 8 2 2 6" xfId="23733" xr:uid="{00000000-0005-0000-0000-0000C25C0000}"/>
    <cellStyle name="Positive 2 3 8 2 2 6 2" xfId="23734" xr:uid="{00000000-0005-0000-0000-0000C35C0000}"/>
    <cellStyle name="Positive 2 3 8 2 2 7" xfId="23735" xr:uid="{00000000-0005-0000-0000-0000C45C0000}"/>
    <cellStyle name="Positive 2 3 8 2 2 7 2" xfId="23736" xr:uid="{00000000-0005-0000-0000-0000C55C0000}"/>
    <cellStyle name="Positive 2 3 8 2 2 8" xfId="23737" xr:uid="{00000000-0005-0000-0000-0000C65C0000}"/>
    <cellStyle name="Positive 2 3 8 2 2 8 2" xfId="23738" xr:uid="{00000000-0005-0000-0000-0000C75C0000}"/>
    <cellStyle name="Positive 2 3 8 2 2 9" xfId="23739" xr:uid="{00000000-0005-0000-0000-0000C85C0000}"/>
    <cellStyle name="Positive 2 3 8 2 2 9 2" xfId="23740" xr:uid="{00000000-0005-0000-0000-0000C95C0000}"/>
    <cellStyle name="Positive 2 3 8 2 20" xfId="23741" xr:uid="{00000000-0005-0000-0000-0000CA5C0000}"/>
    <cellStyle name="Positive 2 3 8 2 3" xfId="23742" xr:uid="{00000000-0005-0000-0000-0000CB5C0000}"/>
    <cellStyle name="Positive 2 3 8 2 3 2" xfId="23743" xr:uid="{00000000-0005-0000-0000-0000CC5C0000}"/>
    <cellStyle name="Positive 2 3 8 2 3 2 2" xfId="23744" xr:uid="{00000000-0005-0000-0000-0000CD5C0000}"/>
    <cellStyle name="Positive 2 3 8 2 3 3" xfId="23745" xr:uid="{00000000-0005-0000-0000-0000CE5C0000}"/>
    <cellStyle name="Positive 2 3 8 2 4" xfId="23746" xr:uid="{00000000-0005-0000-0000-0000CF5C0000}"/>
    <cellStyle name="Positive 2 3 8 2 4 2" xfId="23747" xr:uid="{00000000-0005-0000-0000-0000D05C0000}"/>
    <cellStyle name="Positive 2 3 8 2 4 2 2" xfId="23748" xr:uid="{00000000-0005-0000-0000-0000D15C0000}"/>
    <cellStyle name="Positive 2 3 8 2 4 3" xfId="23749" xr:uid="{00000000-0005-0000-0000-0000D25C0000}"/>
    <cellStyle name="Positive 2 3 8 2 5" xfId="23750" xr:uid="{00000000-0005-0000-0000-0000D35C0000}"/>
    <cellStyle name="Positive 2 3 8 2 5 2" xfId="23751" xr:uid="{00000000-0005-0000-0000-0000D45C0000}"/>
    <cellStyle name="Positive 2 3 8 2 6" xfId="23752" xr:uid="{00000000-0005-0000-0000-0000D55C0000}"/>
    <cellStyle name="Positive 2 3 8 2 6 2" xfId="23753" xr:uid="{00000000-0005-0000-0000-0000D65C0000}"/>
    <cellStyle name="Positive 2 3 8 2 7" xfId="23754" xr:uid="{00000000-0005-0000-0000-0000D75C0000}"/>
    <cellStyle name="Positive 2 3 8 2 7 2" xfId="23755" xr:uid="{00000000-0005-0000-0000-0000D85C0000}"/>
    <cellStyle name="Positive 2 3 8 2 8" xfId="23756" xr:uid="{00000000-0005-0000-0000-0000D95C0000}"/>
    <cellStyle name="Positive 2 3 8 2 8 2" xfId="23757" xr:uid="{00000000-0005-0000-0000-0000DA5C0000}"/>
    <cellStyle name="Positive 2 3 8 2 9" xfId="23758" xr:uid="{00000000-0005-0000-0000-0000DB5C0000}"/>
    <cellStyle name="Positive 2 3 8 2 9 2" xfId="23759" xr:uid="{00000000-0005-0000-0000-0000DC5C0000}"/>
    <cellStyle name="Positive 2 3 8 20" xfId="23760" xr:uid="{00000000-0005-0000-0000-0000DD5C0000}"/>
    <cellStyle name="Positive 2 3 8 20 2" xfId="23761" xr:uid="{00000000-0005-0000-0000-0000DE5C0000}"/>
    <cellStyle name="Positive 2 3 8 21" xfId="23762" xr:uid="{00000000-0005-0000-0000-0000DF5C0000}"/>
    <cellStyle name="Positive 2 3 8 21 2" xfId="23763" xr:uid="{00000000-0005-0000-0000-0000E05C0000}"/>
    <cellStyle name="Positive 2 3 8 22" xfId="23764" xr:uid="{00000000-0005-0000-0000-0000E15C0000}"/>
    <cellStyle name="Positive 2 3 8 22 2" xfId="23765" xr:uid="{00000000-0005-0000-0000-0000E25C0000}"/>
    <cellStyle name="Positive 2 3 8 23" xfId="23766" xr:uid="{00000000-0005-0000-0000-0000E35C0000}"/>
    <cellStyle name="Positive 2 3 8 3" xfId="23767" xr:uid="{00000000-0005-0000-0000-0000E45C0000}"/>
    <cellStyle name="Positive 2 3 8 3 10" xfId="23768" xr:uid="{00000000-0005-0000-0000-0000E55C0000}"/>
    <cellStyle name="Positive 2 3 8 3 10 2" xfId="23769" xr:uid="{00000000-0005-0000-0000-0000E65C0000}"/>
    <cellStyle name="Positive 2 3 8 3 11" xfId="23770" xr:uid="{00000000-0005-0000-0000-0000E75C0000}"/>
    <cellStyle name="Positive 2 3 8 3 11 2" xfId="23771" xr:uid="{00000000-0005-0000-0000-0000E85C0000}"/>
    <cellStyle name="Positive 2 3 8 3 12" xfId="23772" xr:uid="{00000000-0005-0000-0000-0000E95C0000}"/>
    <cellStyle name="Positive 2 3 8 3 12 2" xfId="23773" xr:uid="{00000000-0005-0000-0000-0000EA5C0000}"/>
    <cellStyle name="Positive 2 3 8 3 13" xfId="23774" xr:uid="{00000000-0005-0000-0000-0000EB5C0000}"/>
    <cellStyle name="Positive 2 3 8 3 13 2" xfId="23775" xr:uid="{00000000-0005-0000-0000-0000EC5C0000}"/>
    <cellStyle name="Positive 2 3 8 3 14" xfId="23776" xr:uid="{00000000-0005-0000-0000-0000ED5C0000}"/>
    <cellStyle name="Positive 2 3 8 3 14 2" xfId="23777" xr:uid="{00000000-0005-0000-0000-0000EE5C0000}"/>
    <cellStyle name="Positive 2 3 8 3 15" xfId="23778" xr:uid="{00000000-0005-0000-0000-0000EF5C0000}"/>
    <cellStyle name="Positive 2 3 8 3 15 2" xfId="23779" xr:uid="{00000000-0005-0000-0000-0000F05C0000}"/>
    <cellStyle name="Positive 2 3 8 3 16" xfId="23780" xr:uid="{00000000-0005-0000-0000-0000F15C0000}"/>
    <cellStyle name="Positive 2 3 8 3 16 2" xfId="23781" xr:uid="{00000000-0005-0000-0000-0000F25C0000}"/>
    <cellStyle name="Positive 2 3 8 3 17" xfId="23782" xr:uid="{00000000-0005-0000-0000-0000F35C0000}"/>
    <cellStyle name="Positive 2 3 8 3 17 2" xfId="23783" xr:uid="{00000000-0005-0000-0000-0000F45C0000}"/>
    <cellStyle name="Positive 2 3 8 3 18" xfId="23784" xr:uid="{00000000-0005-0000-0000-0000F55C0000}"/>
    <cellStyle name="Positive 2 3 8 3 18 2" xfId="23785" xr:uid="{00000000-0005-0000-0000-0000F65C0000}"/>
    <cellStyle name="Positive 2 3 8 3 19" xfId="23786" xr:uid="{00000000-0005-0000-0000-0000F75C0000}"/>
    <cellStyle name="Positive 2 3 8 3 19 2" xfId="23787" xr:uid="{00000000-0005-0000-0000-0000F85C0000}"/>
    <cellStyle name="Positive 2 3 8 3 2" xfId="23788" xr:uid="{00000000-0005-0000-0000-0000F95C0000}"/>
    <cellStyle name="Positive 2 3 8 3 2 10" xfId="23789" xr:uid="{00000000-0005-0000-0000-0000FA5C0000}"/>
    <cellStyle name="Positive 2 3 8 3 2 10 2" xfId="23790" xr:uid="{00000000-0005-0000-0000-0000FB5C0000}"/>
    <cellStyle name="Positive 2 3 8 3 2 11" xfId="23791" xr:uid="{00000000-0005-0000-0000-0000FC5C0000}"/>
    <cellStyle name="Positive 2 3 8 3 2 11 2" xfId="23792" xr:uid="{00000000-0005-0000-0000-0000FD5C0000}"/>
    <cellStyle name="Positive 2 3 8 3 2 12" xfId="23793" xr:uid="{00000000-0005-0000-0000-0000FE5C0000}"/>
    <cellStyle name="Positive 2 3 8 3 2 12 2" xfId="23794" xr:uid="{00000000-0005-0000-0000-0000FF5C0000}"/>
    <cellStyle name="Positive 2 3 8 3 2 13" xfId="23795" xr:uid="{00000000-0005-0000-0000-0000005D0000}"/>
    <cellStyle name="Positive 2 3 8 3 2 13 2" xfId="23796" xr:uid="{00000000-0005-0000-0000-0000015D0000}"/>
    <cellStyle name="Positive 2 3 8 3 2 14" xfId="23797" xr:uid="{00000000-0005-0000-0000-0000025D0000}"/>
    <cellStyle name="Positive 2 3 8 3 2 14 2" xfId="23798" xr:uid="{00000000-0005-0000-0000-0000035D0000}"/>
    <cellStyle name="Positive 2 3 8 3 2 15" xfId="23799" xr:uid="{00000000-0005-0000-0000-0000045D0000}"/>
    <cellStyle name="Positive 2 3 8 3 2 15 2" xfId="23800" xr:uid="{00000000-0005-0000-0000-0000055D0000}"/>
    <cellStyle name="Positive 2 3 8 3 2 16" xfId="23801" xr:uid="{00000000-0005-0000-0000-0000065D0000}"/>
    <cellStyle name="Positive 2 3 8 3 2 16 2" xfId="23802" xr:uid="{00000000-0005-0000-0000-0000075D0000}"/>
    <cellStyle name="Positive 2 3 8 3 2 17" xfId="23803" xr:uid="{00000000-0005-0000-0000-0000085D0000}"/>
    <cellStyle name="Positive 2 3 8 3 2 2" xfId="23804" xr:uid="{00000000-0005-0000-0000-0000095D0000}"/>
    <cellStyle name="Positive 2 3 8 3 2 2 2" xfId="23805" xr:uid="{00000000-0005-0000-0000-00000A5D0000}"/>
    <cellStyle name="Positive 2 3 8 3 2 3" xfId="23806" xr:uid="{00000000-0005-0000-0000-00000B5D0000}"/>
    <cellStyle name="Positive 2 3 8 3 2 3 2" xfId="23807" xr:uid="{00000000-0005-0000-0000-00000C5D0000}"/>
    <cellStyle name="Positive 2 3 8 3 2 4" xfId="23808" xr:uid="{00000000-0005-0000-0000-00000D5D0000}"/>
    <cellStyle name="Positive 2 3 8 3 2 4 2" xfId="23809" xr:uid="{00000000-0005-0000-0000-00000E5D0000}"/>
    <cellStyle name="Positive 2 3 8 3 2 5" xfId="23810" xr:uid="{00000000-0005-0000-0000-00000F5D0000}"/>
    <cellStyle name="Positive 2 3 8 3 2 5 2" xfId="23811" xr:uid="{00000000-0005-0000-0000-0000105D0000}"/>
    <cellStyle name="Positive 2 3 8 3 2 6" xfId="23812" xr:uid="{00000000-0005-0000-0000-0000115D0000}"/>
    <cellStyle name="Positive 2 3 8 3 2 6 2" xfId="23813" xr:uid="{00000000-0005-0000-0000-0000125D0000}"/>
    <cellStyle name="Positive 2 3 8 3 2 7" xfId="23814" xr:uid="{00000000-0005-0000-0000-0000135D0000}"/>
    <cellStyle name="Positive 2 3 8 3 2 7 2" xfId="23815" xr:uid="{00000000-0005-0000-0000-0000145D0000}"/>
    <cellStyle name="Positive 2 3 8 3 2 8" xfId="23816" xr:uid="{00000000-0005-0000-0000-0000155D0000}"/>
    <cellStyle name="Positive 2 3 8 3 2 8 2" xfId="23817" xr:uid="{00000000-0005-0000-0000-0000165D0000}"/>
    <cellStyle name="Positive 2 3 8 3 2 9" xfId="23818" xr:uid="{00000000-0005-0000-0000-0000175D0000}"/>
    <cellStyle name="Positive 2 3 8 3 2 9 2" xfId="23819" xr:uid="{00000000-0005-0000-0000-0000185D0000}"/>
    <cellStyle name="Positive 2 3 8 3 20" xfId="23820" xr:uid="{00000000-0005-0000-0000-0000195D0000}"/>
    <cellStyle name="Positive 2 3 8 3 3" xfId="23821" xr:uid="{00000000-0005-0000-0000-00001A5D0000}"/>
    <cellStyle name="Positive 2 3 8 3 3 2" xfId="23822" xr:uid="{00000000-0005-0000-0000-00001B5D0000}"/>
    <cellStyle name="Positive 2 3 8 3 3 2 2" xfId="23823" xr:uid="{00000000-0005-0000-0000-00001C5D0000}"/>
    <cellStyle name="Positive 2 3 8 3 3 3" xfId="23824" xr:uid="{00000000-0005-0000-0000-00001D5D0000}"/>
    <cellStyle name="Positive 2 3 8 3 4" xfId="23825" xr:uid="{00000000-0005-0000-0000-00001E5D0000}"/>
    <cellStyle name="Positive 2 3 8 3 4 2" xfId="23826" xr:uid="{00000000-0005-0000-0000-00001F5D0000}"/>
    <cellStyle name="Positive 2 3 8 3 4 2 2" xfId="23827" xr:uid="{00000000-0005-0000-0000-0000205D0000}"/>
    <cellStyle name="Positive 2 3 8 3 4 3" xfId="23828" xr:uid="{00000000-0005-0000-0000-0000215D0000}"/>
    <cellStyle name="Positive 2 3 8 3 5" xfId="23829" xr:uid="{00000000-0005-0000-0000-0000225D0000}"/>
    <cellStyle name="Positive 2 3 8 3 5 2" xfId="23830" xr:uid="{00000000-0005-0000-0000-0000235D0000}"/>
    <cellStyle name="Positive 2 3 8 3 6" xfId="23831" xr:uid="{00000000-0005-0000-0000-0000245D0000}"/>
    <cellStyle name="Positive 2 3 8 3 6 2" xfId="23832" xr:uid="{00000000-0005-0000-0000-0000255D0000}"/>
    <cellStyle name="Positive 2 3 8 3 7" xfId="23833" xr:uid="{00000000-0005-0000-0000-0000265D0000}"/>
    <cellStyle name="Positive 2 3 8 3 7 2" xfId="23834" xr:uid="{00000000-0005-0000-0000-0000275D0000}"/>
    <cellStyle name="Positive 2 3 8 3 8" xfId="23835" xr:uid="{00000000-0005-0000-0000-0000285D0000}"/>
    <cellStyle name="Positive 2 3 8 3 8 2" xfId="23836" xr:uid="{00000000-0005-0000-0000-0000295D0000}"/>
    <cellStyle name="Positive 2 3 8 3 9" xfId="23837" xr:uid="{00000000-0005-0000-0000-00002A5D0000}"/>
    <cellStyle name="Positive 2 3 8 3 9 2" xfId="23838" xr:uid="{00000000-0005-0000-0000-00002B5D0000}"/>
    <cellStyle name="Positive 2 3 8 4" xfId="23839" xr:uid="{00000000-0005-0000-0000-00002C5D0000}"/>
    <cellStyle name="Positive 2 3 8 4 10" xfId="23840" xr:uid="{00000000-0005-0000-0000-00002D5D0000}"/>
    <cellStyle name="Positive 2 3 8 4 10 2" xfId="23841" xr:uid="{00000000-0005-0000-0000-00002E5D0000}"/>
    <cellStyle name="Positive 2 3 8 4 11" xfId="23842" xr:uid="{00000000-0005-0000-0000-00002F5D0000}"/>
    <cellStyle name="Positive 2 3 8 4 11 2" xfId="23843" xr:uid="{00000000-0005-0000-0000-0000305D0000}"/>
    <cellStyle name="Positive 2 3 8 4 12" xfId="23844" xr:uid="{00000000-0005-0000-0000-0000315D0000}"/>
    <cellStyle name="Positive 2 3 8 4 12 2" xfId="23845" xr:uid="{00000000-0005-0000-0000-0000325D0000}"/>
    <cellStyle name="Positive 2 3 8 4 13" xfId="23846" xr:uid="{00000000-0005-0000-0000-0000335D0000}"/>
    <cellStyle name="Positive 2 3 8 4 13 2" xfId="23847" xr:uid="{00000000-0005-0000-0000-0000345D0000}"/>
    <cellStyle name="Positive 2 3 8 4 14" xfId="23848" xr:uid="{00000000-0005-0000-0000-0000355D0000}"/>
    <cellStyle name="Positive 2 3 8 4 14 2" xfId="23849" xr:uid="{00000000-0005-0000-0000-0000365D0000}"/>
    <cellStyle name="Positive 2 3 8 4 15" xfId="23850" xr:uid="{00000000-0005-0000-0000-0000375D0000}"/>
    <cellStyle name="Positive 2 3 8 4 15 2" xfId="23851" xr:uid="{00000000-0005-0000-0000-0000385D0000}"/>
    <cellStyle name="Positive 2 3 8 4 16" xfId="23852" xr:uid="{00000000-0005-0000-0000-0000395D0000}"/>
    <cellStyle name="Positive 2 3 8 4 16 2" xfId="23853" xr:uid="{00000000-0005-0000-0000-00003A5D0000}"/>
    <cellStyle name="Positive 2 3 8 4 17" xfId="23854" xr:uid="{00000000-0005-0000-0000-00003B5D0000}"/>
    <cellStyle name="Positive 2 3 8 4 17 2" xfId="23855" xr:uid="{00000000-0005-0000-0000-00003C5D0000}"/>
    <cellStyle name="Positive 2 3 8 4 18" xfId="23856" xr:uid="{00000000-0005-0000-0000-00003D5D0000}"/>
    <cellStyle name="Positive 2 3 8 4 18 2" xfId="23857" xr:uid="{00000000-0005-0000-0000-00003E5D0000}"/>
    <cellStyle name="Positive 2 3 8 4 19" xfId="23858" xr:uid="{00000000-0005-0000-0000-00003F5D0000}"/>
    <cellStyle name="Positive 2 3 8 4 19 2" xfId="23859" xr:uid="{00000000-0005-0000-0000-0000405D0000}"/>
    <cellStyle name="Positive 2 3 8 4 2" xfId="23860" xr:uid="{00000000-0005-0000-0000-0000415D0000}"/>
    <cellStyle name="Positive 2 3 8 4 2 10" xfId="23861" xr:uid="{00000000-0005-0000-0000-0000425D0000}"/>
    <cellStyle name="Positive 2 3 8 4 2 10 2" xfId="23862" xr:uid="{00000000-0005-0000-0000-0000435D0000}"/>
    <cellStyle name="Positive 2 3 8 4 2 11" xfId="23863" xr:uid="{00000000-0005-0000-0000-0000445D0000}"/>
    <cellStyle name="Positive 2 3 8 4 2 11 2" xfId="23864" xr:uid="{00000000-0005-0000-0000-0000455D0000}"/>
    <cellStyle name="Positive 2 3 8 4 2 12" xfId="23865" xr:uid="{00000000-0005-0000-0000-0000465D0000}"/>
    <cellStyle name="Positive 2 3 8 4 2 12 2" xfId="23866" xr:uid="{00000000-0005-0000-0000-0000475D0000}"/>
    <cellStyle name="Positive 2 3 8 4 2 13" xfId="23867" xr:uid="{00000000-0005-0000-0000-0000485D0000}"/>
    <cellStyle name="Positive 2 3 8 4 2 13 2" xfId="23868" xr:uid="{00000000-0005-0000-0000-0000495D0000}"/>
    <cellStyle name="Positive 2 3 8 4 2 14" xfId="23869" xr:uid="{00000000-0005-0000-0000-00004A5D0000}"/>
    <cellStyle name="Positive 2 3 8 4 2 14 2" xfId="23870" xr:uid="{00000000-0005-0000-0000-00004B5D0000}"/>
    <cellStyle name="Positive 2 3 8 4 2 15" xfId="23871" xr:uid="{00000000-0005-0000-0000-00004C5D0000}"/>
    <cellStyle name="Positive 2 3 8 4 2 15 2" xfId="23872" xr:uid="{00000000-0005-0000-0000-00004D5D0000}"/>
    <cellStyle name="Positive 2 3 8 4 2 16" xfId="23873" xr:uid="{00000000-0005-0000-0000-00004E5D0000}"/>
    <cellStyle name="Positive 2 3 8 4 2 16 2" xfId="23874" xr:uid="{00000000-0005-0000-0000-00004F5D0000}"/>
    <cellStyle name="Positive 2 3 8 4 2 17" xfId="23875" xr:uid="{00000000-0005-0000-0000-0000505D0000}"/>
    <cellStyle name="Positive 2 3 8 4 2 2" xfId="23876" xr:uid="{00000000-0005-0000-0000-0000515D0000}"/>
    <cellStyle name="Positive 2 3 8 4 2 2 2" xfId="23877" xr:uid="{00000000-0005-0000-0000-0000525D0000}"/>
    <cellStyle name="Positive 2 3 8 4 2 3" xfId="23878" xr:uid="{00000000-0005-0000-0000-0000535D0000}"/>
    <cellStyle name="Positive 2 3 8 4 2 3 2" xfId="23879" xr:uid="{00000000-0005-0000-0000-0000545D0000}"/>
    <cellStyle name="Positive 2 3 8 4 2 4" xfId="23880" xr:uid="{00000000-0005-0000-0000-0000555D0000}"/>
    <cellStyle name="Positive 2 3 8 4 2 4 2" xfId="23881" xr:uid="{00000000-0005-0000-0000-0000565D0000}"/>
    <cellStyle name="Positive 2 3 8 4 2 5" xfId="23882" xr:uid="{00000000-0005-0000-0000-0000575D0000}"/>
    <cellStyle name="Positive 2 3 8 4 2 5 2" xfId="23883" xr:uid="{00000000-0005-0000-0000-0000585D0000}"/>
    <cellStyle name="Positive 2 3 8 4 2 6" xfId="23884" xr:uid="{00000000-0005-0000-0000-0000595D0000}"/>
    <cellStyle name="Positive 2 3 8 4 2 6 2" xfId="23885" xr:uid="{00000000-0005-0000-0000-00005A5D0000}"/>
    <cellStyle name="Positive 2 3 8 4 2 7" xfId="23886" xr:uid="{00000000-0005-0000-0000-00005B5D0000}"/>
    <cellStyle name="Positive 2 3 8 4 2 7 2" xfId="23887" xr:uid="{00000000-0005-0000-0000-00005C5D0000}"/>
    <cellStyle name="Positive 2 3 8 4 2 8" xfId="23888" xr:uid="{00000000-0005-0000-0000-00005D5D0000}"/>
    <cellStyle name="Positive 2 3 8 4 2 8 2" xfId="23889" xr:uid="{00000000-0005-0000-0000-00005E5D0000}"/>
    <cellStyle name="Positive 2 3 8 4 2 9" xfId="23890" xr:uid="{00000000-0005-0000-0000-00005F5D0000}"/>
    <cellStyle name="Positive 2 3 8 4 2 9 2" xfId="23891" xr:uid="{00000000-0005-0000-0000-0000605D0000}"/>
    <cellStyle name="Positive 2 3 8 4 20" xfId="23892" xr:uid="{00000000-0005-0000-0000-0000615D0000}"/>
    <cellStyle name="Positive 2 3 8 4 3" xfId="23893" xr:uid="{00000000-0005-0000-0000-0000625D0000}"/>
    <cellStyle name="Positive 2 3 8 4 3 2" xfId="23894" xr:uid="{00000000-0005-0000-0000-0000635D0000}"/>
    <cellStyle name="Positive 2 3 8 4 3 2 2" xfId="23895" xr:uid="{00000000-0005-0000-0000-0000645D0000}"/>
    <cellStyle name="Positive 2 3 8 4 3 3" xfId="23896" xr:uid="{00000000-0005-0000-0000-0000655D0000}"/>
    <cellStyle name="Positive 2 3 8 4 4" xfId="23897" xr:uid="{00000000-0005-0000-0000-0000665D0000}"/>
    <cellStyle name="Positive 2 3 8 4 4 2" xfId="23898" xr:uid="{00000000-0005-0000-0000-0000675D0000}"/>
    <cellStyle name="Positive 2 3 8 4 4 2 2" xfId="23899" xr:uid="{00000000-0005-0000-0000-0000685D0000}"/>
    <cellStyle name="Positive 2 3 8 4 4 3" xfId="23900" xr:uid="{00000000-0005-0000-0000-0000695D0000}"/>
    <cellStyle name="Positive 2 3 8 4 5" xfId="23901" xr:uid="{00000000-0005-0000-0000-00006A5D0000}"/>
    <cellStyle name="Positive 2 3 8 4 5 2" xfId="23902" xr:uid="{00000000-0005-0000-0000-00006B5D0000}"/>
    <cellStyle name="Positive 2 3 8 4 6" xfId="23903" xr:uid="{00000000-0005-0000-0000-00006C5D0000}"/>
    <cellStyle name="Positive 2 3 8 4 6 2" xfId="23904" xr:uid="{00000000-0005-0000-0000-00006D5D0000}"/>
    <cellStyle name="Positive 2 3 8 4 7" xfId="23905" xr:uid="{00000000-0005-0000-0000-00006E5D0000}"/>
    <cellStyle name="Positive 2 3 8 4 7 2" xfId="23906" xr:uid="{00000000-0005-0000-0000-00006F5D0000}"/>
    <cellStyle name="Positive 2 3 8 4 8" xfId="23907" xr:uid="{00000000-0005-0000-0000-0000705D0000}"/>
    <cellStyle name="Positive 2 3 8 4 8 2" xfId="23908" xr:uid="{00000000-0005-0000-0000-0000715D0000}"/>
    <cellStyle name="Positive 2 3 8 4 9" xfId="23909" xr:uid="{00000000-0005-0000-0000-0000725D0000}"/>
    <cellStyle name="Positive 2 3 8 4 9 2" xfId="23910" xr:uid="{00000000-0005-0000-0000-0000735D0000}"/>
    <cellStyle name="Positive 2 3 8 5" xfId="23911" xr:uid="{00000000-0005-0000-0000-0000745D0000}"/>
    <cellStyle name="Positive 2 3 8 5 10" xfId="23912" xr:uid="{00000000-0005-0000-0000-0000755D0000}"/>
    <cellStyle name="Positive 2 3 8 5 10 2" xfId="23913" xr:uid="{00000000-0005-0000-0000-0000765D0000}"/>
    <cellStyle name="Positive 2 3 8 5 11" xfId="23914" xr:uid="{00000000-0005-0000-0000-0000775D0000}"/>
    <cellStyle name="Positive 2 3 8 5 11 2" xfId="23915" xr:uid="{00000000-0005-0000-0000-0000785D0000}"/>
    <cellStyle name="Positive 2 3 8 5 12" xfId="23916" xr:uid="{00000000-0005-0000-0000-0000795D0000}"/>
    <cellStyle name="Positive 2 3 8 5 12 2" xfId="23917" xr:uid="{00000000-0005-0000-0000-00007A5D0000}"/>
    <cellStyle name="Positive 2 3 8 5 13" xfId="23918" xr:uid="{00000000-0005-0000-0000-00007B5D0000}"/>
    <cellStyle name="Positive 2 3 8 5 13 2" xfId="23919" xr:uid="{00000000-0005-0000-0000-00007C5D0000}"/>
    <cellStyle name="Positive 2 3 8 5 14" xfId="23920" xr:uid="{00000000-0005-0000-0000-00007D5D0000}"/>
    <cellStyle name="Positive 2 3 8 5 14 2" xfId="23921" xr:uid="{00000000-0005-0000-0000-00007E5D0000}"/>
    <cellStyle name="Positive 2 3 8 5 15" xfId="23922" xr:uid="{00000000-0005-0000-0000-00007F5D0000}"/>
    <cellStyle name="Positive 2 3 8 5 15 2" xfId="23923" xr:uid="{00000000-0005-0000-0000-0000805D0000}"/>
    <cellStyle name="Positive 2 3 8 5 16" xfId="23924" xr:uid="{00000000-0005-0000-0000-0000815D0000}"/>
    <cellStyle name="Positive 2 3 8 5 16 2" xfId="23925" xr:uid="{00000000-0005-0000-0000-0000825D0000}"/>
    <cellStyle name="Positive 2 3 8 5 17" xfId="23926" xr:uid="{00000000-0005-0000-0000-0000835D0000}"/>
    <cellStyle name="Positive 2 3 8 5 2" xfId="23927" xr:uid="{00000000-0005-0000-0000-0000845D0000}"/>
    <cellStyle name="Positive 2 3 8 5 2 2" xfId="23928" xr:uid="{00000000-0005-0000-0000-0000855D0000}"/>
    <cellStyle name="Positive 2 3 8 5 3" xfId="23929" xr:uid="{00000000-0005-0000-0000-0000865D0000}"/>
    <cellStyle name="Positive 2 3 8 5 3 2" xfId="23930" xr:uid="{00000000-0005-0000-0000-0000875D0000}"/>
    <cellStyle name="Positive 2 3 8 5 4" xfId="23931" xr:uid="{00000000-0005-0000-0000-0000885D0000}"/>
    <cellStyle name="Positive 2 3 8 5 4 2" xfId="23932" xr:uid="{00000000-0005-0000-0000-0000895D0000}"/>
    <cellStyle name="Positive 2 3 8 5 5" xfId="23933" xr:uid="{00000000-0005-0000-0000-00008A5D0000}"/>
    <cellStyle name="Positive 2 3 8 5 5 2" xfId="23934" xr:uid="{00000000-0005-0000-0000-00008B5D0000}"/>
    <cellStyle name="Positive 2 3 8 5 6" xfId="23935" xr:uid="{00000000-0005-0000-0000-00008C5D0000}"/>
    <cellStyle name="Positive 2 3 8 5 6 2" xfId="23936" xr:uid="{00000000-0005-0000-0000-00008D5D0000}"/>
    <cellStyle name="Positive 2 3 8 5 7" xfId="23937" xr:uid="{00000000-0005-0000-0000-00008E5D0000}"/>
    <cellStyle name="Positive 2 3 8 5 7 2" xfId="23938" xr:uid="{00000000-0005-0000-0000-00008F5D0000}"/>
    <cellStyle name="Positive 2 3 8 5 8" xfId="23939" xr:uid="{00000000-0005-0000-0000-0000905D0000}"/>
    <cellStyle name="Positive 2 3 8 5 8 2" xfId="23940" xr:uid="{00000000-0005-0000-0000-0000915D0000}"/>
    <cellStyle name="Positive 2 3 8 5 9" xfId="23941" xr:uid="{00000000-0005-0000-0000-0000925D0000}"/>
    <cellStyle name="Positive 2 3 8 5 9 2" xfId="23942" xr:uid="{00000000-0005-0000-0000-0000935D0000}"/>
    <cellStyle name="Positive 2 3 8 6" xfId="23943" xr:uid="{00000000-0005-0000-0000-0000945D0000}"/>
    <cellStyle name="Positive 2 3 8 6 2" xfId="23944" xr:uid="{00000000-0005-0000-0000-0000955D0000}"/>
    <cellStyle name="Positive 2 3 8 6 2 2" xfId="23945" xr:uid="{00000000-0005-0000-0000-0000965D0000}"/>
    <cellStyle name="Positive 2 3 8 6 3" xfId="23946" xr:uid="{00000000-0005-0000-0000-0000975D0000}"/>
    <cellStyle name="Positive 2 3 8 7" xfId="23947" xr:uid="{00000000-0005-0000-0000-0000985D0000}"/>
    <cellStyle name="Positive 2 3 8 7 2" xfId="23948" xr:uid="{00000000-0005-0000-0000-0000995D0000}"/>
    <cellStyle name="Positive 2 3 8 7 2 2" xfId="23949" xr:uid="{00000000-0005-0000-0000-00009A5D0000}"/>
    <cellStyle name="Positive 2 3 8 7 3" xfId="23950" xr:uid="{00000000-0005-0000-0000-00009B5D0000}"/>
    <cellStyle name="Positive 2 3 8 8" xfId="23951" xr:uid="{00000000-0005-0000-0000-00009C5D0000}"/>
    <cellStyle name="Positive 2 3 8 8 2" xfId="23952" xr:uid="{00000000-0005-0000-0000-00009D5D0000}"/>
    <cellStyle name="Positive 2 3 8 9" xfId="23953" xr:uid="{00000000-0005-0000-0000-00009E5D0000}"/>
    <cellStyle name="Positive 2 3 8 9 2" xfId="23954" xr:uid="{00000000-0005-0000-0000-00009F5D0000}"/>
    <cellStyle name="Positive 2 3 9" xfId="23955" xr:uid="{00000000-0005-0000-0000-0000A05D0000}"/>
    <cellStyle name="Positive 2 3 9 10" xfId="23956" xr:uid="{00000000-0005-0000-0000-0000A15D0000}"/>
    <cellStyle name="Positive 2 3 9 10 2" xfId="23957" xr:uid="{00000000-0005-0000-0000-0000A25D0000}"/>
    <cellStyle name="Positive 2 3 9 11" xfId="23958" xr:uid="{00000000-0005-0000-0000-0000A35D0000}"/>
    <cellStyle name="Positive 2 3 9 11 2" xfId="23959" xr:uid="{00000000-0005-0000-0000-0000A45D0000}"/>
    <cellStyle name="Positive 2 3 9 12" xfId="23960" xr:uid="{00000000-0005-0000-0000-0000A55D0000}"/>
    <cellStyle name="Positive 2 3 9 12 2" xfId="23961" xr:uid="{00000000-0005-0000-0000-0000A65D0000}"/>
    <cellStyle name="Positive 2 3 9 13" xfId="23962" xr:uid="{00000000-0005-0000-0000-0000A75D0000}"/>
    <cellStyle name="Positive 2 3 9 13 2" xfId="23963" xr:uid="{00000000-0005-0000-0000-0000A85D0000}"/>
    <cellStyle name="Positive 2 3 9 14" xfId="23964" xr:uid="{00000000-0005-0000-0000-0000A95D0000}"/>
    <cellStyle name="Positive 2 3 9 14 2" xfId="23965" xr:uid="{00000000-0005-0000-0000-0000AA5D0000}"/>
    <cellStyle name="Positive 2 3 9 15" xfId="23966" xr:uid="{00000000-0005-0000-0000-0000AB5D0000}"/>
    <cellStyle name="Positive 2 3 9 15 2" xfId="23967" xr:uid="{00000000-0005-0000-0000-0000AC5D0000}"/>
    <cellStyle name="Positive 2 3 9 16" xfId="23968" xr:uid="{00000000-0005-0000-0000-0000AD5D0000}"/>
    <cellStyle name="Positive 2 3 9 16 2" xfId="23969" xr:uid="{00000000-0005-0000-0000-0000AE5D0000}"/>
    <cellStyle name="Positive 2 3 9 17" xfId="23970" xr:uid="{00000000-0005-0000-0000-0000AF5D0000}"/>
    <cellStyle name="Positive 2 3 9 17 2" xfId="23971" xr:uid="{00000000-0005-0000-0000-0000B05D0000}"/>
    <cellStyle name="Positive 2 3 9 18" xfId="23972" xr:uid="{00000000-0005-0000-0000-0000B15D0000}"/>
    <cellStyle name="Positive 2 3 9 18 2" xfId="23973" xr:uid="{00000000-0005-0000-0000-0000B25D0000}"/>
    <cellStyle name="Positive 2 3 9 19" xfId="23974" xr:uid="{00000000-0005-0000-0000-0000B35D0000}"/>
    <cellStyle name="Positive 2 3 9 19 2" xfId="23975" xr:uid="{00000000-0005-0000-0000-0000B45D0000}"/>
    <cellStyle name="Positive 2 3 9 2" xfId="23976" xr:uid="{00000000-0005-0000-0000-0000B55D0000}"/>
    <cellStyle name="Positive 2 3 9 2 10" xfId="23977" xr:uid="{00000000-0005-0000-0000-0000B65D0000}"/>
    <cellStyle name="Positive 2 3 9 2 10 2" xfId="23978" xr:uid="{00000000-0005-0000-0000-0000B75D0000}"/>
    <cellStyle name="Positive 2 3 9 2 11" xfId="23979" xr:uid="{00000000-0005-0000-0000-0000B85D0000}"/>
    <cellStyle name="Positive 2 3 9 2 11 2" xfId="23980" xr:uid="{00000000-0005-0000-0000-0000B95D0000}"/>
    <cellStyle name="Positive 2 3 9 2 12" xfId="23981" xr:uid="{00000000-0005-0000-0000-0000BA5D0000}"/>
    <cellStyle name="Positive 2 3 9 2 12 2" xfId="23982" xr:uid="{00000000-0005-0000-0000-0000BB5D0000}"/>
    <cellStyle name="Positive 2 3 9 2 13" xfId="23983" xr:uid="{00000000-0005-0000-0000-0000BC5D0000}"/>
    <cellStyle name="Positive 2 3 9 2 13 2" xfId="23984" xr:uid="{00000000-0005-0000-0000-0000BD5D0000}"/>
    <cellStyle name="Positive 2 3 9 2 14" xfId="23985" xr:uid="{00000000-0005-0000-0000-0000BE5D0000}"/>
    <cellStyle name="Positive 2 3 9 2 14 2" xfId="23986" xr:uid="{00000000-0005-0000-0000-0000BF5D0000}"/>
    <cellStyle name="Positive 2 3 9 2 15" xfId="23987" xr:uid="{00000000-0005-0000-0000-0000C05D0000}"/>
    <cellStyle name="Positive 2 3 9 2 15 2" xfId="23988" xr:uid="{00000000-0005-0000-0000-0000C15D0000}"/>
    <cellStyle name="Positive 2 3 9 2 16" xfId="23989" xr:uid="{00000000-0005-0000-0000-0000C25D0000}"/>
    <cellStyle name="Positive 2 3 9 2 16 2" xfId="23990" xr:uid="{00000000-0005-0000-0000-0000C35D0000}"/>
    <cellStyle name="Positive 2 3 9 2 17" xfId="23991" xr:uid="{00000000-0005-0000-0000-0000C45D0000}"/>
    <cellStyle name="Positive 2 3 9 2 17 2" xfId="23992" xr:uid="{00000000-0005-0000-0000-0000C55D0000}"/>
    <cellStyle name="Positive 2 3 9 2 18" xfId="23993" xr:uid="{00000000-0005-0000-0000-0000C65D0000}"/>
    <cellStyle name="Positive 2 3 9 2 18 2" xfId="23994" xr:uid="{00000000-0005-0000-0000-0000C75D0000}"/>
    <cellStyle name="Positive 2 3 9 2 19" xfId="23995" xr:uid="{00000000-0005-0000-0000-0000C85D0000}"/>
    <cellStyle name="Positive 2 3 9 2 19 2" xfId="23996" xr:uid="{00000000-0005-0000-0000-0000C95D0000}"/>
    <cellStyle name="Positive 2 3 9 2 2" xfId="23997" xr:uid="{00000000-0005-0000-0000-0000CA5D0000}"/>
    <cellStyle name="Positive 2 3 9 2 2 10" xfId="23998" xr:uid="{00000000-0005-0000-0000-0000CB5D0000}"/>
    <cellStyle name="Positive 2 3 9 2 2 10 2" xfId="23999" xr:uid="{00000000-0005-0000-0000-0000CC5D0000}"/>
    <cellStyle name="Positive 2 3 9 2 2 11" xfId="24000" xr:uid="{00000000-0005-0000-0000-0000CD5D0000}"/>
    <cellStyle name="Positive 2 3 9 2 2 11 2" xfId="24001" xr:uid="{00000000-0005-0000-0000-0000CE5D0000}"/>
    <cellStyle name="Positive 2 3 9 2 2 12" xfId="24002" xr:uid="{00000000-0005-0000-0000-0000CF5D0000}"/>
    <cellStyle name="Positive 2 3 9 2 2 12 2" xfId="24003" xr:uid="{00000000-0005-0000-0000-0000D05D0000}"/>
    <cellStyle name="Positive 2 3 9 2 2 13" xfId="24004" xr:uid="{00000000-0005-0000-0000-0000D15D0000}"/>
    <cellStyle name="Positive 2 3 9 2 2 13 2" xfId="24005" xr:uid="{00000000-0005-0000-0000-0000D25D0000}"/>
    <cellStyle name="Positive 2 3 9 2 2 14" xfId="24006" xr:uid="{00000000-0005-0000-0000-0000D35D0000}"/>
    <cellStyle name="Positive 2 3 9 2 2 14 2" xfId="24007" xr:uid="{00000000-0005-0000-0000-0000D45D0000}"/>
    <cellStyle name="Positive 2 3 9 2 2 15" xfId="24008" xr:uid="{00000000-0005-0000-0000-0000D55D0000}"/>
    <cellStyle name="Positive 2 3 9 2 2 15 2" xfId="24009" xr:uid="{00000000-0005-0000-0000-0000D65D0000}"/>
    <cellStyle name="Positive 2 3 9 2 2 16" xfId="24010" xr:uid="{00000000-0005-0000-0000-0000D75D0000}"/>
    <cellStyle name="Positive 2 3 9 2 2 16 2" xfId="24011" xr:uid="{00000000-0005-0000-0000-0000D85D0000}"/>
    <cellStyle name="Positive 2 3 9 2 2 17" xfId="24012" xr:uid="{00000000-0005-0000-0000-0000D95D0000}"/>
    <cellStyle name="Positive 2 3 9 2 2 2" xfId="24013" xr:uid="{00000000-0005-0000-0000-0000DA5D0000}"/>
    <cellStyle name="Positive 2 3 9 2 2 2 2" xfId="24014" xr:uid="{00000000-0005-0000-0000-0000DB5D0000}"/>
    <cellStyle name="Positive 2 3 9 2 2 3" xfId="24015" xr:uid="{00000000-0005-0000-0000-0000DC5D0000}"/>
    <cellStyle name="Positive 2 3 9 2 2 3 2" xfId="24016" xr:uid="{00000000-0005-0000-0000-0000DD5D0000}"/>
    <cellStyle name="Positive 2 3 9 2 2 4" xfId="24017" xr:uid="{00000000-0005-0000-0000-0000DE5D0000}"/>
    <cellStyle name="Positive 2 3 9 2 2 4 2" xfId="24018" xr:uid="{00000000-0005-0000-0000-0000DF5D0000}"/>
    <cellStyle name="Positive 2 3 9 2 2 5" xfId="24019" xr:uid="{00000000-0005-0000-0000-0000E05D0000}"/>
    <cellStyle name="Positive 2 3 9 2 2 5 2" xfId="24020" xr:uid="{00000000-0005-0000-0000-0000E15D0000}"/>
    <cellStyle name="Positive 2 3 9 2 2 6" xfId="24021" xr:uid="{00000000-0005-0000-0000-0000E25D0000}"/>
    <cellStyle name="Positive 2 3 9 2 2 6 2" xfId="24022" xr:uid="{00000000-0005-0000-0000-0000E35D0000}"/>
    <cellStyle name="Positive 2 3 9 2 2 7" xfId="24023" xr:uid="{00000000-0005-0000-0000-0000E45D0000}"/>
    <cellStyle name="Positive 2 3 9 2 2 7 2" xfId="24024" xr:uid="{00000000-0005-0000-0000-0000E55D0000}"/>
    <cellStyle name="Positive 2 3 9 2 2 8" xfId="24025" xr:uid="{00000000-0005-0000-0000-0000E65D0000}"/>
    <cellStyle name="Positive 2 3 9 2 2 8 2" xfId="24026" xr:uid="{00000000-0005-0000-0000-0000E75D0000}"/>
    <cellStyle name="Positive 2 3 9 2 2 9" xfId="24027" xr:uid="{00000000-0005-0000-0000-0000E85D0000}"/>
    <cellStyle name="Positive 2 3 9 2 2 9 2" xfId="24028" xr:uid="{00000000-0005-0000-0000-0000E95D0000}"/>
    <cellStyle name="Positive 2 3 9 2 20" xfId="24029" xr:uid="{00000000-0005-0000-0000-0000EA5D0000}"/>
    <cellStyle name="Positive 2 3 9 2 3" xfId="24030" xr:uid="{00000000-0005-0000-0000-0000EB5D0000}"/>
    <cellStyle name="Positive 2 3 9 2 3 2" xfId="24031" xr:uid="{00000000-0005-0000-0000-0000EC5D0000}"/>
    <cellStyle name="Positive 2 3 9 2 3 2 2" xfId="24032" xr:uid="{00000000-0005-0000-0000-0000ED5D0000}"/>
    <cellStyle name="Positive 2 3 9 2 3 3" xfId="24033" xr:uid="{00000000-0005-0000-0000-0000EE5D0000}"/>
    <cellStyle name="Positive 2 3 9 2 4" xfId="24034" xr:uid="{00000000-0005-0000-0000-0000EF5D0000}"/>
    <cellStyle name="Positive 2 3 9 2 4 2" xfId="24035" xr:uid="{00000000-0005-0000-0000-0000F05D0000}"/>
    <cellStyle name="Positive 2 3 9 2 4 2 2" xfId="24036" xr:uid="{00000000-0005-0000-0000-0000F15D0000}"/>
    <cellStyle name="Positive 2 3 9 2 4 3" xfId="24037" xr:uid="{00000000-0005-0000-0000-0000F25D0000}"/>
    <cellStyle name="Positive 2 3 9 2 5" xfId="24038" xr:uid="{00000000-0005-0000-0000-0000F35D0000}"/>
    <cellStyle name="Positive 2 3 9 2 5 2" xfId="24039" xr:uid="{00000000-0005-0000-0000-0000F45D0000}"/>
    <cellStyle name="Positive 2 3 9 2 6" xfId="24040" xr:uid="{00000000-0005-0000-0000-0000F55D0000}"/>
    <cellStyle name="Positive 2 3 9 2 6 2" xfId="24041" xr:uid="{00000000-0005-0000-0000-0000F65D0000}"/>
    <cellStyle name="Positive 2 3 9 2 7" xfId="24042" xr:uid="{00000000-0005-0000-0000-0000F75D0000}"/>
    <cellStyle name="Positive 2 3 9 2 7 2" xfId="24043" xr:uid="{00000000-0005-0000-0000-0000F85D0000}"/>
    <cellStyle name="Positive 2 3 9 2 8" xfId="24044" xr:uid="{00000000-0005-0000-0000-0000F95D0000}"/>
    <cellStyle name="Positive 2 3 9 2 8 2" xfId="24045" xr:uid="{00000000-0005-0000-0000-0000FA5D0000}"/>
    <cellStyle name="Positive 2 3 9 2 9" xfId="24046" xr:uid="{00000000-0005-0000-0000-0000FB5D0000}"/>
    <cellStyle name="Positive 2 3 9 2 9 2" xfId="24047" xr:uid="{00000000-0005-0000-0000-0000FC5D0000}"/>
    <cellStyle name="Positive 2 3 9 20" xfId="24048" xr:uid="{00000000-0005-0000-0000-0000FD5D0000}"/>
    <cellStyle name="Positive 2 3 9 20 2" xfId="24049" xr:uid="{00000000-0005-0000-0000-0000FE5D0000}"/>
    <cellStyle name="Positive 2 3 9 21" xfId="24050" xr:uid="{00000000-0005-0000-0000-0000FF5D0000}"/>
    <cellStyle name="Positive 2 3 9 21 2" xfId="24051" xr:uid="{00000000-0005-0000-0000-0000005E0000}"/>
    <cellStyle name="Positive 2 3 9 22" xfId="24052" xr:uid="{00000000-0005-0000-0000-0000015E0000}"/>
    <cellStyle name="Positive 2 3 9 22 2" xfId="24053" xr:uid="{00000000-0005-0000-0000-0000025E0000}"/>
    <cellStyle name="Positive 2 3 9 23" xfId="24054" xr:uid="{00000000-0005-0000-0000-0000035E0000}"/>
    <cellStyle name="Positive 2 3 9 3" xfId="24055" xr:uid="{00000000-0005-0000-0000-0000045E0000}"/>
    <cellStyle name="Positive 2 3 9 3 10" xfId="24056" xr:uid="{00000000-0005-0000-0000-0000055E0000}"/>
    <cellStyle name="Positive 2 3 9 3 10 2" xfId="24057" xr:uid="{00000000-0005-0000-0000-0000065E0000}"/>
    <cellStyle name="Positive 2 3 9 3 11" xfId="24058" xr:uid="{00000000-0005-0000-0000-0000075E0000}"/>
    <cellStyle name="Positive 2 3 9 3 11 2" xfId="24059" xr:uid="{00000000-0005-0000-0000-0000085E0000}"/>
    <cellStyle name="Positive 2 3 9 3 12" xfId="24060" xr:uid="{00000000-0005-0000-0000-0000095E0000}"/>
    <cellStyle name="Positive 2 3 9 3 12 2" xfId="24061" xr:uid="{00000000-0005-0000-0000-00000A5E0000}"/>
    <cellStyle name="Positive 2 3 9 3 13" xfId="24062" xr:uid="{00000000-0005-0000-0000-00000B5E0000}"/>
    <cellStyle name="Positive 2 3 9 3 13 2" xfId="24063" xr:uid="{00000000-0005-0000-0000-00000C5E0000}"/>
    <cellStyle name="Positive 2 3 9 3 14" xfId="24064" xr:uid="{00000000-0005-0000-0000-00000D5E0000}"/>
    <cellStyle name="Positive 2 3 9 3 14 2" xfId="24065" xr:uid="{00000000-0005-0000-0000-00000E5E0000}"/>
    <cellStyle name="Positive 2 3 9 3 15" xfId="24066" xr:uid="{00000000-0005-0000-0000-00000F5E0000}"/>
    <cellStyle name="Positive 2 3 9 3 15 2" xfId="24067" xr:uid="{00000000-0005-0000-0000-0000105E0000}"/>
    <cellStyle name="Positive 2 3 9 3 16" xfId="24068" xr:uid="{00000000-0005-0000-0000-0000115E0000}"/>
    <cellStyle name="Positive 2 3 9 3 16 2" xfId="24069" xr:uid="{00000000-0005-0000-0000-0000125E0000}"/>
    <cellStyle name="Positive 2 3 9 3 17" xfId="24070" xr:uid="{00000000-0005-0000-0000-0000135E0000}"/>
    <cellStyle name="Positive 2 3 9 3 17 2" xfId="24071" xr:uid="{00000000-0005-0000-0000-0000145E0000}"/>
    <cellStyle name="Positive 2 3 9 3 18" xfId="24072" xr:uid="{00000000-0005-0000-0000-0000155E0000}"/>
    <cellStyle name="Positive 2 3 9 3 18 2" xfId="24073" xr:uid="{00000000-0005-0000-0000-0000165E0000}"/>
    <cellStyle name="Positive 2 3 9 3 19" xfId="24074" xr:uid="{00000000-0005-0000-0000-0000175E0000}"/>
    <cellStyle name="Positive 2 3 9 3 19 2" xfId="24075" xr:uid="{00000000-0005-0000-0000-0000185E0000}"/>
    <cellStyle name="Positive 2 3 9 3 2" xfId="24076" xr:uid="{00000000-0005-0000-0000-0000195E0000}"/>
    <cellStyle name="Positive 2 3 9 3 2 10" xfId="24077" xr:uid="{00000000-0005-0000-0000-00001A5E0000}"/>
    <cellStyle name="Positive 2 3 9 3 2 10 2" xfId="24078" xr:uid="{00000000-0005-0000-0000-00001B5E0000}"/>
    <cellStyle name="Positive 2 3 9 3 2 11" xfId="24079" xr:uid="{00000000-0005-0000-0000-00001C5E0000}"/>
    <cellStyle name="Positive 2 3 9 3 2 11 2" xfId="24080" xr:uid="{00000000-0005-0000-0000-00001D5E0000}"/>
    <cellStyle name="Positive 2 3 9 3 2 12" xfId="24081" xr:uid="{00000000-0005-0000-0000-00001E5E0000}"/>
    <cellStyle name="Positive 2 3 9 3 2 12 2" xfId="24082" xr:uid="{00000000-0005-0000-0000-00001F5E0000}"/>
    <cellStyle name="Positive 2 3 9 3 2 13" xfId="24083" xr:uid="{00000000-0005-0000-0000-0000205E0000}"/>
    <cellStyle name="Positive 2 3 9 3 2 13 2" xfId="24084" xr:uid="{00000000-0005-0000-0000-0000215E0000}"/>
    <cellStyle name="Positive 2 3 9 3 2 14" xfId="24085" xr:uid="{00000000-0005-0000-0000-0000225E0000}"/>
    <cellStyle name="Positive 2 3 9 3 2 14 2" xfId="24086" xr:uid="{00000000-0005-0000-0000-0000235E0000}"/>
    <cellStyle name="Positive 2 3 9 3 2 15" xfId="24087" xr:uid="{00000000-0005-0000-0000-0000245E0000}"/>
    <cellStyle name="Positive 2 3 9 3 2 15 2" xfId="24088" xr:uid="{00000000-0005-0000-0000-0000255E0000}"/>
    <cellStyle name="Positive 2 3 9 3 2 16" xfId="24089" xr:uid="{00000000-0005-0000-0000-0000265E0000}"/>
    <cellStyle name="Positive 2 3 9 3 2 16 2" xfId="24090" xr:uid="{00000000-0005-0000-0000-0000275E0000}"/>
    <cellStyle name="Positive 2 3 9 3 2 17" xfId="24091" xr:uid="{00000000-0005-0000-0000-0000285E0000}"/>
    <cellStyle name="Positive 2 3 9 3 2 2" xfId="24092" xr:uid="{00000000-0005-0000-0000-0000295E0000}"/>
    <cellStyle name="Positive 2 3 9 3 2 2 2" xfId="24093" xr:uid="{00000000-0005-0000-0000-00002A5E0000}"/>
    <cellStyle name="Positive 2 3 9 3 2 3" xfId="24094" xr:uid="{00000000-0005-0000-0000-00002B5E0000}"/>
    <cellStyle name="Positive 2 3 9 3 2 3 2" xfId="24095" xr:uid="{00000000-0005-0000-0000-00002C5E0000}"/>
    <cellStyle name="Positive 2 3 9 3 2 4" xfId="24096" xr:uid="{00000000-0005-0000-0000-00002D5E0000}"/>
    <cellStyle name="Positive 2 3 9 3 2 4 2" xfId="24097" xr:uid="{00000000-0005-0000-0000-00002E5E0000}"/>
    <cellStyle name="Positive 2 3 9 3 2 5" xfId="24098" xr:uid="{00000000-0005-0000-0000-00002F5E0000}"/>
    <cellStyle name="Positive 2 3 9 3 2 5 2" xfId="24099" xr:uid="{00000000-0005-0000-0000-0000305E0000}"/>
    <cellStyle name="Positive 2 3 9 3 2 6" xfId="24100" xr:uid="{00000000-0005-0000-0000-0000315E0000}"/>
    <cellStyle name="Positive 2 3 9 3 2 6 2" xfId="24101" xr:uid="{00000000-0005-0000-0000-0000325E0000}"/>
    <cellStyle name="Positive 2 3 9 3 2 7" xfId="24102" xr:uid="{00000000-0005-0000-0000-0000335E0000}"/>
    <cellStyle name="Positive 2 3 9 3 2 7 2" xfId="24103" xr:uid="{00000000-0005-0000-0000-0000345E0000}"/>
    <cellStyle name="Positive 2 3 9 3 2 8" xfId="24104" xr:uid="{00000000-0005-0000-0000-0000355E0000}"/>
    <cellStyle name="Positive 2 3 9 3 2 8 2" xfId="24105" xr:uid="{00000000-0005-0000-0000-0000365E0000}"/>
    <cellStyle name="Positive 2 3 9 3 2 9" xfId="24106" xr:uid="{00000000-0005-0000-0000-0000375E0000}"/>
    <cellStyle name="Positive 2 3 9 3 2 9 2" xfId="24107" xr:uid="{00000000-0005-0000-0000-0000385E0000}"/>
    <cellStyle name="Positive 2 3 9 3 20" xfId="24108" xr:uid="{00000000-0005-0000-0000-0000395E0000}"/>
    <cellStyle name="Positive 2 3 9 3 3" xfId="24109" xr:uid="{00000000-0005-0000-0000-00003A5E0000}"/>
    <cellStyle name="Positive 2 3 9 3 3 2" xfId="24110" xr:uid="{00000000-0005-0000-0000-00003B5E0000}"/>
    <cellStyle name="Positive 2 3 9 3 3 2 2" xfId="24111" xr:uid="{00000000-0005-0000-0000-00003C5E0000}"/>
    <cellStyle name="Positive 2 3 9 3 3 3" xfId="24112" xr:uid="{00000000-0005-0000-0000-00003D5E0000}"/>
    <cellStyle name="Positive 2 3 9 3 4" xfId="24113" xr:uid="{00000000-0005-0000-0000-00003E5E0000}"/>
    <cellStyle name="Positive 2 3 9 3 4 2" xfId="24114" xr:uid="{00000000-0005-0000-0000-00003F5E0000}"/>
    <cellStyle name="Positive 2 3 9 3 4 2 2" xfId="24115" xr:uid="{00000000-0005-0000-0000-0000405E0000}"/>
    <cellStyle name="Positive 2 3 9 3 4 3" xfId="24116" xr:uid="{00000000-0005-0000-0000-0000415E0000}"/>
    <cellStyle name="Positive 2 3 9 3 5" xfId="24117" xr:uid="{00000000-0005-0000-0000-0000425E0000}"/>
    <cellStyle name="Positive 2 3 9 3 5 2" xfId="24118" xr:uid="{00000000-0005-0000-0000-0000435E0000}"/>
    <cellStyle name="Positive 2 3 9 3 6" xfId="24119" xr:uid="{00000000-0005-0000-0000-0000445E0000}"/>
    <cellStyle name="Positive 2 3 9 3 6 2" xfId="24120" xr:uid="{00000000-0005-0000-0000-0000455E0000}"/>
    <cellStyle name="Positive 2 3 9 3 7" xfId="24121" xr:uid="{00000000-0005-0000-0000-0000465E0000}"/>
    <cellStyle name="Positive 2 3 9 3 7 2" xfId="24122" xr:uid="{00000000-0005-0000-0000-0000475E0000}"/>
    <cellStyle name="Positive 2 3 9 3 8" xfId="24123" xr:uid="{00000000-0005-0000-0000-0000485E0000}"/>
    <cellStyle name="Positive 2 3 9 3 8 2" xfId="24124" xr:uid="{00000000-0005-0000-0000-0000495E0000}"/>
    <cellStyle name="Positive 2 3 9 3 9" xfId="24125" xr:uid="{00000000-0005-0000-0000-00004A5E0000}"/>
    <cellStyle name="Positive 2 3 9 3 9 2" xfId="24126" xr:uid="{00000000-0005-0000-0000-00004B5E0000}"/>
    <cellStyle name="Positive 2 3 9 4" xfId="24127" xr:uid="{00000000-0005-0000-0000-00004C5E0000}"/>
    <cellStyle name="Positive 2 3 9 4 10" xfId="24128" xr:uid="{00000000-0005-0000-0000-00004D5E0000}"/>
    <cellStyle name="Positive 2 3 9 4 10 2" xfId="24129" xr:uid="{00000000-0005-0000-0000-00004E5E0000}"/>
    <cellStyle name="Positive 2 3 9 4 11" xfId="24130" xr:uid="{00000000-0005-0000-0000-00004F5E0000}"/>
    <cellStyle name="Positive 2 3 9 4 11 2" xfId="24131" xr:uid="{00000000-0005-0000-0000-0000505E0000}"/>
    <cellStyle name="Positive 2 3 9 4 12" xfId="24132" xr:uid="{00000000-0005-0000-0000-0000515E0000}"/>
    <cellStyle name="Positive 2 3 9 4 12 2" xfId="24133" xr:uid="{00000000-0005-0000-0000-0000525E0000}"/>
    <cellStyle name="Positive 2 3 9 4 13" xfId="24134" xr:uid="{00000000-0005-0000-0000-0000535E0000}"/>
    <cellStyle name="Positive 2 3 9 4 13 2" xfId="24135" xr:uid="{00000000-0005-0000-0000-0000545E0000}"/>
    <cellStyle name="Positive 2 3 9 4 14" xfId="24136" xr:uid="{00000000-0005-0000-0000-0000555E0000}"/>
    <cellStyle name="Positive 2 3 9 4 14 2" xfId="24137" xr:uid="{00000000-0005-0000-0000-0000565E0000}"/>
    <cellStyle name="Positive 2 3 9 4 15" xfId="24138" xr:uid="{00000000-0005-0000-0000-0000575E0000}"/>
    <cellStyle name="Positive 2 3 9 4 15 2" xfId="24139" xr:uid="{00000000-0005-0000-0000-0000585E0000}"/>
    <cellStyle name="Positive 2 3 9 4 16" xfId="24140" xr:uid="{00000000-0005-0000-0000-0000595E0000}"/>
    <cellStyle name="Positive 2 3 9 4 16 2" xfId="24141" xr:uid="{00000000-0005-0000-0000-00005A5E0000}"/>
    <cellStyle name="Positive 2 3 9 4 17" xfId="24142" xr:uid="{00000000-0005-0000-0000-00005B5E0000}"/>
    <cellStyle name="Positive 2 3 9 4 17 2" xfId="24143" xr:uid="{00000000-0005-0000-0000-00005C5E0000}"/>
    <cellStyle name="Positive 2 3 9 4 18" xfId="24144" xr:uid="{00000000-0005-0000-0000-00005D5E0000}"/>
    <cellStyle name="Positive 2 3 9 4 18 2" xfId="24145" xr:uid="{00000000-0005-0000-0000-00005E5E0000}"/>
    <cellStyle name="Positive 2 3 9 4 19" xfId="24146" xr:uid="{00000000-0005-0000-0000-00005F5E0000}"/>
    <cellStyle name="Positive 2 3 9 4 19 2" xfId="24147" xr:uid="{00000000-0005-0000-0000-0000605E0000}"/>
    <cellStyle name="Positive 2 3 9 4 2" xfId="24148" xr:uid="{00000000-0005-0000-0000-0000615E0000}"/>
    <cellStyle name="Positive 2 3 9 4 2 10" xfId="24149" xr:uid="{00000000-0005-0000-0000-0000625E0000}"/>
    <cellStyle name="Positive 2 3 9 4 2 10 2" xfId="24150" xr:uid="{00000000-0005-0000-0000-0000635E0000}"/>
    <cellStyle name="Positive 2 3 9 4 2 11" xfId="24151" xr:uid="{00000000-0005-0000-0000-0000645E0000}"/>
    <cellStyle name="Positive 2 3 9 4 2 11 2" xfId="24152" xr:uid="{00000000-0005-0000-0000-0000655E0000}"/>
    <cellStyle name="Positive 2 3 9 4 2 12" xfId="24153" xr:uid="{00000000-0005-0000-0000-0000665E0000}"/>
    <cellStyle name="Positive 2 3 9 4 2 12 2" xfId="24154" xr:uid="{00000000-0005-0000-0000-0000675E0000}"/>
    <cellStyle name="Positive 2 3 9 4 2 13" xfId="24155" xr:uid="{00000000-0005-0000-0000-0000685E0000}"/>
    <cellStyle name="Positive 2 3 9 4 2 13 2" xfId="24156" xr:uid="{00000000-0005-0000-0000-0000695E0000}"/>
    <cellStyle name="Positive 2 3 9 4 2 14" xfId="24157" xr:uid="{00000000-0005-0000-0000-00006A5E0000}"/>
    <cellStyle name="Positive 2 3 9 4 2 14 2" xfId="24158" xr:uid="{00000000-0005-0000-0000-00006B5E0000}"/>
    <cellStyle name="Positive 2 3 9 4 2 15" xfId="24159" xr:uid="{00000000-0005-0000-0000-00006C5E0000}"/>
    <cellStyle name="Positive 2 3 9 4 2 15 2" xfId="24160" xr:uid="{00000000-0005-0000-0000-00006D5E0000}"/>
    <cellStyle name="Positive 2 3 9 4 2 16" xfId="24161" xr:uid="{00000000-0005-0000-0000-00006E5E0000}"/>
    <cellStyle name="Positive 2 3 9 4 2 16 2" xfId="24162" xr:uid="{00000000-0005-0000-0000-00006F5E0000}"/>
    <cellStyle name="Positive 2 3 9 4 2 17" xfId="24163" xr:uid="{00000000-0005-0000-0000-0000705E0000}"/>
    <cellStyle name="Positive 2 3 9 4 2 2" xfId="24164" xr:uid="{00000000-0005-0000-0000-0000715E0000}"/>
    <cellStyle name="Positive 2 3 9 4 2 2 2" xfId="24165" xr:uid="{00000000-0005-0000-0000-0000725E0000}"/>
    <cellStyle name="Positive 2 3 9 4 2 3" xfId="24166" xr:uid="{00000000-0005-0000-0000-0000735E0000}"/>
    <cellStyle name="Positive 2 3 9 4 2 3 2" xfId="24167" xr:uid="{00000000-0005-0000-0000-0000745E0000}"/>
    <cellStyle name="Positive 2 3 9 4 2 4" xfId="24168" xr:uid="{00000000-0005-0000-0000-0000755E0000}"/>
    <cellStyle name="Positive 2 3 9 4 2 4 2" xfId="24169" xr:uid="{00000000-0005-0000-0000-0000765E0000}"/>
    <cellStyle name="Positive 2 3 9 4 2 5" xfId="24170" xr:uid="{00000000-0005-0000-0000-0000775E0000}"/>
    <cellStyle name="Positive 2 3 9 4 2 5 2" xfId="24171" xr:uid="{00000000-0005-0000-0000-0000785E0000}"/>
    <cellStyle name="Positive 2 3 9 4 2 6" xfId="24172" xr:uid="{00000000-0005-0000-0000-0000795E0000}"/>
    <cellStyle name="Positive 2 3 9 4 2 6 2" xfId="24173" xr:uid="{00000000-0005-0000-0000-00007A5E0000}"/>
    <cellStyle name="Positive 2 3 9 4 2 7" xfId="24174" xr:uid="{00000000-0005-0000-0000-00007B5E0000}"/>
    <cellStyle name="Positive 2 3 9 4 2 7 2" xfId="24175" xr:uid="{00000000-0005-0000-0000-00007C5E0000}"/>
    <cellStyle name="Positive 2 3 9 4 2 8" xfId="24176" xr:uid="{00000000-0005-0000-0000-00007D5E0000}"/>
    <cellStyle name="Positive 2 3 9 4 2 8 2" xfId="24177" xr:uid="{00000000-0005-0000-0000-00007E5E0000}"/>
    <cellStyle name="Positive 2 3 9 4 2 9" xfId="24178" xr:uid="{00000000-0005-0000-0000-00007F5E0000}"/>
    <cellStyle name="Positive 2 3 9 4 2 9 2" xfId="24179" xr:uid="{00000000-0005-0000-0000-0000805E0000}"/>
    <cellStyle name="Positive 2 3 9 4 20" xfId="24180" xr:uid="{00000000-0005-0000-0000-0000815E0000}"/>
    <cellStyle name="Positive 2 3 9 4 3" xfId="24181" xr:uid="{00000000-0005-0000-0000-0000825E0000}"/>
    <cellStyle name="Positive 2 3 9 4 3 2" xfId="24182" xr:uid="{00000000-0005-0000-0000-0000835E0000}"/>
    <cellStyle name="Positive 2 3 9 4 3 2 2" xfId="24183" xr:uid="{00000000-0005-0000-0000-0000845E0000}"/>
    <cellStyle name="Positive 2 3 9 4 3 3" xfId="24184" xr:uid="{00000000-0005-0000-0000-0000855E0000}"/>
    <cellStyle name="Positive 2 3 9 4 4" xfId="24185" xr:uid="{00000000-0005-0000-0000-0000865E0000}"/>
    <cellStyle name="Positive 2 3 9 4 4 2" xfId="24186" xr:uid="{00000000-0005-0000-0000-0000875E0000}"/>
    <cellStyle name="Positive 2 3 9 4 4 2 2" xfId="24187" xr:uid="{00000000-0005-0000-0000-0000885E0000}"/>
    <cellStyle name="Positive 2 3 9 4 4 3" xfId="24188" xr:uid="{00000000-0005-0000-0000-0000895E0000}"/>
    <cellStyle name="Positive 2 3 9 4 5" xfId="24189" xr:uid="{00000000-0005-0000-0000-00008A5E0000}"/>
    <cellStyle name="Positive 2 3 9 4 5 2" xfId="24190" xr:uid="{00000000-0005-0000-0000-00008B5E0000}"/>
    <cellStyle name="Positive 2 3 9 4 6" xfId="24191" xr:uid="{00000000-0005-0000-0000-00008C5E0000}"/>
    <cellStyle name="Positive 2 3 9 4 6 2" xfId="24192" xr:uid="{00000000-0005-0000-0000-00008D5E0000}"/>
    <cellStyle name="Positive 2 3 9 4 7" xfId="24193" xr:uid="{00000000-0005-0000-0000-00008E5E0000}"/>
    <cellStyle name="Positive 2 3 9 4 7 2" xfId="24194" xr:uid="{00000000-0005-0000-0000-00008F5E0000}"/>
    <cellStyle name="Positive 2 3 9 4 8" xfId="24195" xr:uid="{00000000-0005-0000-0000-0000905E0000}"/>
    <cellStyle name="Positive 2 3 9 4 8 2" xfId="24196" xr:uid="{00000000-0005-0000-0000-0000915E0000}"/>
    <cellStyle name="Positive 2 3 9 4 9" xfId="24197" xr:uid="{00000000-0005-0000-0000-0000925E0000}"/>
    <cellStyle name="Positive 2 3 9 4 9 2" xfId="24198" xr:uid="{00000000-0005-0000-0000-0000935E0000}"/>
    <cellStyle name="Positive 2 3 9 5" xfId="24199" xr:uid="{00000000-0005-0000-0000-0000945E0000}"/>
    <cellStyle name="Positive 2 3 9 5 10" xfId="24200" xr:uid="{00000000-0005-0000-0000-0000955E0000}"/>
    <cellStyle name="Positive 2 3 9 5 10 2" xfId="24201" xr:uid="{00000000-0005-0000-0000-0000965E0000}"/>
    <cellStyle name="Positive 2 3 9 5 11" xfId="24202" xr:uid="{00000000-0005-0000-0000-0000975E0000}"/>
    <cellStyle name="Positive 2 3 9 5 11 2" xfId="24203" xr:uid="{00000000-0005-0000-0000-0000985E0000}"/>
    <cellStyle name="Positive 2 3 9 5 12" xfId="24204" xr:uid="{00000000-0005-0000-0000-0000995E0000}"/>
    <cellStyle name="Positive 2 3 9 5 12 2" xfId="24205" xr:uid="{00000000-0005-0000-0000-00009A5E0000}"/>
    <cellStyle name="Positive 2 3 9 5 13" xfId="24206" xr:uid="{00000000-0005-0000-0000-00009B5E0000}"/>
    <cellStyle name="Positive 2 3 9 5 13 2" xfId="24207" xr:uid="{00000000-0005-0000-0000-00009C5E0000}"/>
    <cellStyle name="Positive 2 3 9 5 14" xfId="24208" xr:uid="{00000000-0005-0000-0000-00009D5E0000}"/>
    <cellStyle name="Positive 2 3 9 5 14 2" xfId="24209" xr:uid="{00000000-0005-0000-0000-00009E5E0000}"/>
    <cellStyle name="Positive 2 3 9 5 15" xfId="24210" xr:uid="{00000000-0005-0000-0000-00009F5E0000}"/>
    <cellStyle name="Positive 2 3 9 5 15 2" xfId="24211" xr:uid="{00000000-0005-0000-0000-0000A05E0000}"/>
    <cellStyle name="Positive 2 3 9 5 16" xfId="24212" xr:uid="{00000000-0005-0000-0000-0000A15E0000}"/>
    <cellStyle name="Positive 2 3 9 5 16 2" xfId="24213" xr:uid="{00000000-0005-0000-0000-0000A25E0000}"/>
    <cellStyle name="Positive 2 3 9 5 17" xfId="24214" xr:uid="{00000000-0005-0000-0000-0000A35E0000}"/>
    <cellStyle name="Positive 2 3 9 5 2" xfId="24215" xr:uid="{00000000-0005-0000-0000-0000A45E0000}"/>
    <cellStyle name="Positive 2 3 9 5 2 2" xfId="24216" xr:uid="{00000000-0005-0000-0000-0000A55E0000}"/>
    <cellStyle name="Positive 2 3 9 5 3" xfId="24217" xr:uid="{00000000-0005-0000-0000-0000A65E0000}"/>
    <cellStyle name="Positive 2 3 9 5 3 2" xfId="24218" xr:uid="{00000000-0005-0000-0000-0000A75E0000}"/>
    <cellStyle name="Positive 2 3 9 5 4" xfId="24219" xr:uid="{00000000-0005-0000-0000-0000A85E0000}"/>
    <cellStyle name="Positive 2 3 9 5 4 2" xfId="24220" xr:uid="{00000000-0005-0000-0000-0000A95E0000}"/>
    <cellStyle name="Positive 2 3 9 5 5" xfId="24221" xr:uid="{00000000-0005-0000-0000-0000AA5E0000}"/>
    <cellStyle name="Positive 2 3 9 5 5 2" xfId="24222" xr:uid="{00000000-0005-0000-0000-0000AB5E0000}"/>
    <cellStyle name="Positive 2 3 9 5 6" xfId="24223" xr:uid="{00000000-0005-0000-0000-0000AC5E0000}"/>
    <cellStyle name="Positive 2 3 9 5 6 2" xfId="24224" xr:uid="{00000000-0005-0000-0000-0000AD5E0000}"/>
    <cellStyle name="Positive 2 3 9 5 7" xfId="24225" xr:uid="{00000000-0005-0000-0000-0000AE5E0000}"/>
    <cellStyle name="Positive 2 3 9 5 7 2" xfId="24226" xr:uid="{00000000-0005-0000-0000-0000AF5E0000}"/>
    <cellStyle name="Positive 2 3 9 5 8" xfId="24227" xr:uid="{00000000-0005-0000-0000-0000B05E0000}"/>
    <cellStyle name="Positive 2 3 9 5 8 2" xfId="24228" xr:uid="{00000000-0005-0000-0000-0000B15E0000}"/>
    <cellStyle name="Positive 2 3 9 5 9" xfId="24229" xr:uid="{00000000-0005-0000-0000-0000B25E0000}"/>
    <cellStyle name="Positive 2 3 9 5 9 2" xfId="24230" xr:uid="{00000000-0005-0000-0000-0000B35E0000}"/>
    <cellStyle name="Positive 2 3 9 6" xfId="24231" xr:uid="{00000000-0005-0000-0000-0000B45E0000}"/>
    <cellStyle name="Positive 2 3 9 6 2" xfId="24232" xr:uid="{00000000-0005-0000-0000-0000B55E0000}"/>
    <cellStyle name="Positive 2 3 9 6 2 2" xfId="24233" xr:uid="{00000000-0005-0000-0000-0000B65E0000}"/>
    <cellStyle name="Positive 2 3 9 6 3" xfId="24234" xr:uid="{00000000-0005-0000-0000-0000B75E0000}"/>
    <cellStyle name="Positive 2 3 9 7" xfId="24235" xr:uid="{00000000-0005-0000-0000-0000B85E0000}"/>
    <cellStyle name="Positive 2 3 9 7 2" xfId="24236" xr:uid="{00000000-0005-0000-0000-0000B95E0000}"/>
    <cellStyle name="Positive 2 3 9 7 2 2" xfId="24237" xr:uid="{00000000-0005-0000-0000-0000BA5E0000}"/>
    <cellStyle name="Positive 2 3 9 7 3" xfId="24238" xr:uid="{00000000-0005-0000-0000-0000BB5E0000}"/>
    <cellStyle name="Positive 2 3 9 8" xfId="24239" xr:uid="{00000000-0005-0000-0000-0000BC5E0000}"/>
    <cellStyle name="Positive 2 3 9 8 2" xfId="24240" xr:uid="{00000000-0005-0000-0000-0000BD5E0000}"/>
    <cellStyle name="Positive 2 3 9 9" xfId="24241" xr:uid="{00000000-0005-0000-0000-0000BE5E0000}"/>
    <cellStyle name="Positive 2 3 9 9 2" xfId="24242" xr:uid="{00000000-0005-0000-0000-0000BF5E0000}"/>
    <cellStyle name="Positive 2 30" xfId="24243" xr:uid="{00000000-0005-0000-0000-0000C05E0000}"/>
    <cellStyle name="Positive 2 30 2" xfId="24244" xr:uid="{00000000-0005-0000-0000-0000C15E0000}"/>
    <cellStyle name="Positive 2 31" xfId="24245" xr:uid="{00000000-0005-0000-0000-0000C25E0000}"/>
    <cellStyle name="Positive 2 31 2" xfId="24246" xr:uid="{00000000-0005-0000-0000-0000C35E0000}"/>
    <cellStyle name="Positive 2 32" xfId="24247" xr:uid="{00000000-0005-0000-0000-0000C45E0000}"/>
    <cellStyle name="Positive 2 32 2" xfId="24248" xr:uid="{00000000-0005-0000-0000-0000C55E0000}"/>
    <cellStyle name="Positive 2 33" xfId="24249" xr:uid="{00000000-0005-0000-0000-0000C65E0000}"/>
    <cellStyle name="Positive 2 33 2" xfId="24250" xr:uid="{00000000-0005-0000-0000-0000C75E0000}"/>
    <cellStyle name="Positive 2 34" xfId="24251" xr:uid="{00000000-0005-0000-0000-0000C85E0000}"/>
    <cellStyle name="Positive 2 34 2" xfId="24252" xr:uid="{00000000-0005-0000-0000-0000C95E0000}"/>
    <cellStyle name="Positive 2 35" xfId="24253" xr:uid="{00000000-0005-0000-0000-0000CA5E0000}"/>
    <cellStyle name="Positive 2 35 2" xfId="24254" xr:uid="{00000000-0005-0000-0000-0000CB5E0000}"/>
    <cellStyle name="Positive 2 36" xfId="24255" xr:uid="{00000000-0005-0000-0000-0000CC5E0000}"/>
    <cellStyle name="Positive 2 36 2" xfId="24256" xr:uid="{00000000-0005-0000-0000-0000CD5E0000}"/>
    <cellStyle name="Positive 2 37" xfId="24257" xr:uid="{00000000-0005-0000-0000-0000CE5E0000}"/>
    <cellStyle name="Positive 2 37 2" xfId="24258" xr:uid="{00000000-0005-0000-0000-0000CF5E0000}"/>
    <cellStyle name="Positive 2 38" xfId="24259" xr:uid="{00000000-0005-0000-0000-0000D05E0000}"/>
    <cellStyle name="Positive 2 38 2" xfId="24260" xr:uid="{00000000-0005-0000-0000-0000D15E0000}"/>
    <cellStyle name="Positive 2 39" xfId="24261" xr:uid="{00000000-0005-0000-0000-0000D25E0000}"/>
    <cellStyle name="Positive 2 39 2" xfId="24262" xr:uid="{00000000-0005-0000-0000-0000D35E0000}"/>
    <cellStyle name="Positive 2 4" xfId="24263" xr:uid="{00000000-0005-0000-0000-0000D45E0000}"/>
    <cellStyle name="Positive 2 4 10" xfId="24264" xr:uid="{00000000-0005-0000-0000-0000D55E0000}"/>
    <cellStyle name="Positive 2 4 10 2" xfId="24265" xr:uid="{00000000-0005-0000-0000-0000D65E0000}"/>
    <cellStyle name="Positive 2 4 11" xfId="24266" xr:uid="{00000000-0005-0000-0000-0000D75E0000}"/>
    <cellStyle name="Positive 2 4 11 2" xfId="24267" xr:uid="{00000000-0005-0000-0000-0000D85E0000}"/>
    <cellStyle name="Positive 2 4 12" xfId="24268" xr:uid="{00000000-0005-0000-0000-0000D95E0000}"/>
    <cellStyle name="Positive 2 4 12 2" xfId="24269" xr:uid="{00000000-0005-0000-0000-0000DA5E0000}"/>
    <cellStyle name="Positive 2 4 13" xfId="24270" xr:uid="{00000000-0005-0000-0000-0000DB5E0000}"/>
    <cellStyle name="Positive 2 4 13 2" xfId="24271" xr:uid="{00000000-0005-0000-0000-0000DC5E0000}"/>
    <cellStyle name="Positive 2 4 14" xfId="24272" xr:uid="{00000000-0005-0000-0000-0000DD5E0000}"/>
    <cellStyle name="Positive 2 4 14 2" xfId="24273" xr:uid="{00000000-0005-0000-0000-0000DE5E0000}"/>
    <cellStyle name="Positive 2 4 15" xfId="24274" xr:uid="{00000000-0005-0000-0000-0000DF5E0000}"/>
    <cellStyle name="Positive 2 4 15 2" xfId="24275" xr:uid="{00000000-0005-0000-0000-0000E05E0000}"/>
    <cellStyle name="Positive 2 4 16" xfId="24276" xr:uid="{00000000-0005-0000-0000-0000E15E0000}"/>
    <cellStyle name="Positive 2 4 16 2" xfId="24277" xr:uid="{00000000-0005-0000-0000-0000E25E0000}"/>
    <cellStyle name="Positive 2 4 17" xfId="24278" xr:uid="{00000000-0005-0000-0000-0000E35E0000}"/>
    <cellStyle name="Positive 2 4 17 2" xfId="24279" xr:uid="{00000000-0005-0000-0000-0000E45E0000}"/>
    <cellStyle name="Positive 2 4 18" xfId="24280" xr:uid="{00000000-0005-0000-0000-0000E55E0000}"/>
    <cellStyle name="Positive 2 4 18 2" xfId="24281" xr:uid="{00000000-0005-0000-0000-0000E65E0000}"/>
    <cellStyle name="Positive 2 4 19" xfId="24282" xr:uid="{00000000-0005-0000-0000-0000E75E0000}"/>
    <cellStyle name="Positive 2 4 19 2" xfId="24283" xr:uid="{00000000-0005-0000-0000-0000E85E0000}"/>
    <cellStyle name="Positive 2 4 2" xfId="24284" xr:uid="{00000000-0005-0000-0000-0000E95E0000}"/>
    <cellStyle name="Positive 2 4 2 10" xfId="24285" xr:uid="{00000000-0005-0000-0000-0000EA5E0000}"/>
    <cellStyle name="Positive 2 4 2 10 2" xfId="24286" xr:uid="{00000000-0005-0000-0000-0000EB5E0000}"/>
    <cellStyle name="Positive 2 4 2 11" xfId="24287" xr:uid="{00000000-0005-0000-0000-0000EC5E0000}"/>
    <cellStyle name="Positive 2 4 2 11 2" xfId="24288" xr:uid="{00000000-0005-0000-0000-0000ED5E0000}"/>
    <cellStyle name="Positive 2 4 2 12" xfId="24289" xr:uid="{00000000-0005-0000-0000-0000EE5E0000}"/>
    <cellStyle name="Positive 2 4 2 12 2" xfId="24290" xr:uid="{00000000-0005-0000-0000-0000EF5E0000}"/>
    <cellStyle name="Positive 2 4 2 13" xfId="24291" xr:uid="{00000000-0005-0000-0000-0000F05E0000}"/>
    <cellStyle name="Positive 2 4 2 13 2" xfId="24292" xr:uid="{00000000-0005-0000-0000-0000F15E0000}"/>
    <cellStyle name="Positive 2 4 2 14" xfId="24293" xr:uid="{00000000-0005-0000-0000-0000F25E0000}"/>
    <cellStyle name="Positive 2 4 2 14 2" xfId="24294" xr:uid="{00000000-0005-0000-0000-0000F35E0000}"/>
    <cellStyle name="Positive 2 4 2 15" xfId="24295" xr:uid="{00000000-0005-0000-0000-0000F45E0000}"/>
    <cellStyle name="Positive 2 4 2 15 2" xfId="24296" xr:uid="{00000000-0005-0000-0000-0000F55E0000}"/>
    <cellStyle name="Positive 2 4 2 16" xfId="24297" xr:uid="{00000000-0005-0000-0000-0000F65E0000}"/>
    <cellStyle name="Positive 2 4 2 16 2" xfId="24298" xr:uid="{00000000-0005-0000-0000-0000F75E0000}"/>
    <cellStyle name="Positive 2 4 2 17" xfId="24299" xr:uid="{00000000-0005-0000-0000-0000F85E0000}"/>
    <cellStyle name="Positive 2 4 2 17 2" xfId="24300" xr:uid="{00000000-0005-0000-0000-0000F95E0000}"/>
    <cellStyle name="Positive 2 4 2 18" xfId="24301" xr:uid="{00000000-0005-0000-0000-0000FA5E0000}"/>
    <cellStyle name="Positive 2 4 2 18 2" xfId="24302" xr:uid="{00000000-0005-0000-0000-0000FB5E0000}"/>
    <cellStyle name="Positive 2 4 2 19" xfId="24303" xr:uid="{00000000-0005-0000-0000-0000FC5E0000}"/>
    <cellStyle name="Positive 2 4 2 19 2" xfId="24304" xr:uid="{00000000-0005-0000-0000-0000FD5E0000}"/>
    <cellStyle name="Positive 2 4 2 2" xfId="24305" xr:uid="{00000000-0005-0000-0000-0000FE5E0000}"/>
    <cellStyle name="Positive 2 4 2 2 10" xfId="24306" xr:uid="{00000000-0005-0000-0000-0000FF5E0000}"/>
    <cellStyle name="Positive 2 4 2 2 10 2" xfId="24307" xr:uid="{00000000-0005-0000-0000-0000005F0000}"/>
    <cellStyle name="Positive 2 4 2 2 11" xfId="24308" xr:uid="{00000000-0005-0000-0000-0000015F0000}"/>
    <cellStyle name="Positive 2 4 2 2 11 2" xfId="24309" xr:uid="{00000000-0005-0000-0000-0000025F0000}"/>
    <cellStyle name="Positive 2 4 2 2 12" xfId="24310" xr:uid="{00000000-0005-0000-0000-0000035F0000}"/>
    <cellStyle name="Positive 2 4 2 2 12 2" xfId="24311" xr:uid="{00000000-0005-0000-0000-0000045F0000}"/>
    <cellStyle name="Positive 2 4 2 2 13" xfId="24312" xr:uid="{00000000-0005-0000-0000-0000055F0000}"/>
    <cellStyle name="Positive 2 4 2 2 13 2" xfId="24313" xr:uid="{00000000-0005-0000-0000-0000065F0000}"/>
    <cellStyle name="Positive 2 4 2 2 14" xfId="24314" xr:uid="{00000000-0005-0000-0000-0000075F0000}"/>
    <cellStyle name="Positive 2 4 2 2 14 2" xfId="24315" xr:uid="{00000000-0005-0000-0000-0000085F0000}"/>
    <cellStyle name="Positive 2 4 2 2 15" xfId="24316" xr:uid="{00000000-0005-0000-0000-0000095F0000}"/>
    <cellStyle name="Positive 2 4 2 2 15 2" xfId="24317" xr:uid="{00000000-0005-0000-0000-00000A5F0000}"/>
    <cellStyle name="Positive 2 4 2 2 16" xfId="24318" xr:uid="{00000000-0005-0000-0000-00000B5F0000}"/>
    <cellStyle name="Positive 2 4 2 2 16 2" xfId="24319" xr:uid="{00000000-0005-0000-0000-00000C5F0000}"/>
    <cellStyle name="Positive 2 4 2 2 17" xfId="24320" xr:uid="{00000000-0005-0000-0000-00000D5F0000}"/>
    <cellStyle name="Positive 2 4 2 2 2" xfId="24321" xr:uid="{00000000-0005-0000-0000-00000E5F0000}"/>
    <cellStyle name="Positive 2 4 2 2 2 2" xfId="24322" xr:uid="{00000000-0005-0000-0000-00000F5F0000}"/>
    <cellStyle name="Positive 2 4 2 2 3" xfId="24323" xr:uid="{00000000-0005-0000-0000-0000105F0000}"/>
    <cellStyle name="Positive 2 4 2 2 3 2" xfId="24324" xr:uid="{00000000-0005-0000-0000-0000115F0000}"/>
    <cellStyle name="Positive 2 4 2 2 4" xfId="24325" xr:uid="{00000000-0005-0000-0000-0000125F0000}"/>
    <cellStyle name="Positive 2 4 2 2 4 2" xfId="24326" xr:uid="{00000000-0005-0000-0000-0000135F0000}"/>
    <cellStyle name="Positive 2 4 2 2 5" xfId="24327" xr:uid="{00000000-0005-0000-0000-0000145F0000}"/>
    <cellStyle name="Positive 2 4 2 2 5 2" xfId="24328" xr:uid="{00000000-0005-0000-0000-0000155F0000}"/>
    <cellStyle name="Positive 2 4 2 2 6" xfId="24329" xr:uid="{00000000-0005-0000-0000-0000165F0000}"/>
    <cellStyle name="Positive 2 4 2 2 6 2" xfId="24330" xr:uid="{00000000-0005-0000-0000-0000175F0000}"/>
    <cellStyle name="Positive 2 4 2 2 7" xfId="24331" xr:uid="{00000000-0005-0000-0000-0000185F0000}"/>
    <cellStyle name="Positive 2 4 2 2 7 2" xfId="24332" xr:uid="{00000000-0005-0000-0000-0000195F0000}"/>
    <cellStyle name="Positive 2 4 2 2 8" xfId="24333" xr:uid="{00000000-0005-0000-0000-00001A5F0000}"/>
    <cellStyle name="Positive 2 4 2 2 8 2" xfId="24334" xr:uid="{00000000-0005-0000-0000-00001B5F0000}"/>
    <cellStyle name="Positive 2 4 2 2 9" xfId="24335" xr:uid="{00000000-0005-0000-0000-00001C5F0000}"/>
    <cellStyle name="Positive 2 4 2 2 9 2" xfId="24336" xr:uid="{00000000-0005-0000-0000-00001D5F0000}"/>
    <cellStyle name="Positive 2 4 2 20" xfId="24337" xr:uid="{00000000-0005-0000-0000-00001E5F0000}"/>
    <cellStyle name="Positive 2 4 2 3" xfId="24338" xr:uid="{00000000-0005-0000-0000-00001F5F0000}"/>
    <cellStyle name="Positive 2 4 2 3 2" xfId="24339" xr:uid="{00000000-0005-0000-0000-0000205F0000}"/>
    <cellStyle name="Positive 2 4 2 3 2 2" xfId="24340" xr:uid="{00000000-0005-0000-0000-0000215F0000}"/>
    <cellStyle name="Positive 2 4 2 3 3" xfId="24341" xr:uid="{00000000-0005-0000-0000-0000225F0000}"/>
    <cellStyle name="Positive 2 4 2 4" xfId="24342" xr:uid="{00000000-0005-0000-0000-0000235F0000}"/>
    <cellStyle name="Positive 2 4 2 4 2" xfId="24343" xr:uid="{00000000-0005-0000-0000-0000245F0000}"/>
    <cellStyle name="Positive 2 4 2 4 2 2" xfId="24344" xr:uid="{00000000-0005-0000-0000-0000255F0000}"/>
    <cellStyle name="Positive 2 4 2 4 3" xfId="24345" xr:uid="{00000000-0005-0000-0000-0000265F0000}"/>
    <cellStyle name="Positive 2 4 2 5" xfId="24346" xr:uid="{00000000-0005-0000-0000-0000275F0000}"/>
    <cellStyle name="Positive 2 4 2 5 2" xfId="24347" xr:uid="{00000000-0005-0000-0000-0000285F0000}"/>
    <cellStyle name="Positive 2 4 2 6" xfId="24348" xr:uid="{00000000-0005-0000-0000-0000295F0000}"/>
    <cellStyle name="Positive 2 4 2 6 2" xfId="24349" xr:uid="{00000000-0005-0000-0000-00002A5F0000}"/>
    <cellStyle name="Positive 2 4 2 7" xfId="24350" xr:uid="{00000000-0005-0000-0000-00002B5F0000}"/>
    <cellStyle name="Positive 2 4 2 7 2" xfId="24351" xr:uid="{00000000-0005-0000-0000-00002C5F0000}"/>
    <cellStyle name="Positive 2 4 2 8" xfId="24352" xr:uid="{00000000-0005-0000-0000-00002D5F0000}"/>
    <cellStyle name="Positive 2 4 2 8 2" xfId="24353" xr:uid="{00000000-0005-0000-0000-00002E5F0000}"/>
    <cellStyle name="Positive 2 4 2 9" xfId="24354" xr:uid="{00000000-0005-0000-0000-00002F5F0000}"/>
    <cellStyle name="Positive 2 4 2 9 2" xfId="24355" xr:uid="{00000000-0005-0000-0000-0000305F0000}"/>
    <cellStyle name="Positive 2 4 20" xfId="24356" xr:uid="{00000000-0005-0000-0000-0000315F0000}"/>
    <cellStyle name="Positive 2 4 20 2" xfId="24357" xr:uid="{00000000-0005-0000-0000-0000325F0000}"/>
    <cellStyle name="Positive 2 4 21" xfId="24358" xr:uid="{00000000-0005-0000-0000-0000335F0000}"/>
    <cellStyle name="Positive 2 4 21 2" xfId="24359" xr:uid="{00000000-0005-0000-0000-0000345F0000}"/>
    <cellStyle name="Positive 2 4 22" xfId="24360" xr:uid="{00000000-0005-0000-0000-0000355F0000}"/>
    <cellStyle name="Positive 2 4 22 2" xfId="24361" xr:uid="{00000000-0005-0000-0000-0000365F0000}"/>
    <cellStyle name="Positive 2 4 23" xfId="24362" xr:uid="{00000000-0005-0000-0000-0000375F0000}"/>
    <cellStyle name="Positive 2 4 3" xfId="24363" xr:uid="{00000000-0005-0000-0000-0000385F0000}"/>
    <cellStyle name="Positive 2 4 3 10" xfId="24364" xr:uid="{00000000-0005-0000-0000-0000395F0000}"/>
    <cellStyle name="Positive 2 4 3 10 2" xfId="24365" xr:uid="{00000000-0005-0000-0000-00003A5F0000}"/>
    <cellStyle name="Positive 2 4 3 11" xfId="24366" xr:uid="{00000000-0005-0000-0000-00003B5F0000}"/>
    <cellStyle name="Positive 2 4 3 11 2" xfId="24367" xr:uid="{00000000-0005-0000-0000-00003C5F0000}"/>
    <cellStyle name="Positive 2 4 3 12" xfId="24368" xr:uid="{00000000-0005-0000-0000-00003D5F0000}"/>
    <cellStyle name="Positive 2 4 3 12 2" xfId="24369" xr:uid="{00000000-0005-0000-0000-00003E5F0000}"/>
    <cellStyle name="Positive 2 4 3 13" xfId="24370" xr:uid="{00000000-0005-0000-0000-00003F5F0000}"/>
    <cellStyle name="Positive 2 4 3 13 2" xfId="24371" xr:uid="{00000000-0005-0000-0000-0000405F0000}"/>
    <cellStyle name="Positive 2 4 3 14" xfId="24372" xr:uid="{00000000-0005-0000-0000-0000415F0000}"/>
    <cellStyle name="Positive 2 4 3 14 2" xfId="24373" xr:uid="{00000000-0005-0000-0000-0000425F0000}"/>
    <cellStyle name="Positive 2 4 3 15" xfId="24374" xr:uid="{00000000-0005-0000-0000-0000435F0000}"/>
    <cellStyle name="Positive 2 4 3 15 2" xfId="24375" xr:uid="{00000000-0005-0000-0000-0000445F0000}"/>
    <cellStyle name="Positive 2 4 3 16" xfId="24376" xr:uid="{00000000-0005-0000-0000-0000455F0000}"/>
    <cellStyle name="Positive 2 4 3 16 2" xfId="24377" xr:uid="{00000000-0005-0000-0000-0000465F0000}"/>
    <cellStyle name="Positive 2 4 3 17" xfId="24378" xr:uid="{00000000-0005-0000-0000-0000475F0000}"/>
    <cellStyle name="Positive 2 4 3 17 2" xfId="24379" xr:uid="{00000000-0005-0000-0000-0000485F0000}"/>
    <cellStyle name="Positive 2 4 3 18" xfId="24380" xr:uid="{00000000-0005-0000-0000-0000495F0000}"/>
    <cellStyle name="Positive 2 4 3 18 2" xfId="24381" xr:uid="{00000000-0005-0000-0000-00004A5F0000}"/>
    <cellStyle name="Positive 2 4 3 19" xfId="24382" xr:uid="{00000000-0005-0000-0000-00004B5F0000}"/>
    <cellStyle name="Positive 2 4 3 19 2" xfId="24383" xr:uid="{00000000-0005-0000-0000-00004C5F0000}"/>
    <cellStyle name="Positive 2 4 3 2" xfId="24384" xr:uid="{00000000-0005-0000-0000-00004D5F0000}"/>
    <cellStyle name="Positive 2 4 3 2 10" xfId="24385" xr:uid="{00000000-0005-0000-0000-00004E5F0000}"/>
    <cellStyle name="Positive 2 4 3 2 10 2" xfId="24386" xr:uid="{00000000-0005-0000-0000-00004F5F0000}"/>
    <cellStyle name="Positive 2 4 3 2 11" xfId="24387" xr:uid="{00000000-0005-0000-0000-0000505F0000}"/>
    <cellStyle name="Positive 2 4 3 2 11 2" xfId="24388" xr:uid="{00000000-0005-0000-0000-0000515F0000}"/>
    <cellStyle name="Positive 2 4 3 2 12" xfId="24389" xr:uid="{00000000-0005-0000-0000-0000525F0000}"/>
    <cellStyle name="Positive 2 4 3 2 12 2" xfId="24390" xr:uid="{00000000-0005-0000-0000-0000535F0000}"/>
    <cellStyle name="Positive 2 4 3 2 13" xfId="24391" xr:uid="{00000000-0005-0000-0000-0000545F0000}"/>
    <cellStyle name="Positive 2 4 3 2 13 2" xfId="24392" xr:uid="{00000000-0005-0000-0000-0000555F0000}"/>
    <cellStyle name="Positive 2 4 3 2 14" xfId="24393" xr:uid="{00000000-0005-0000-0000-0000565F0000}"/>
    <cellStyle name="Positive 2 4 3 2 14 2" xfId="24394" xr:uid="{00000000-0005-0000-0000-0000575F0000}"/>
    <cellStyle name="Positive 2 4 3 2 15" xfId="24395" xr:uid="{00000000-0005-0000-0000-0000585F0000}"/>
    <cellStyle name="Positive 2 4 3 2 15 2" xfId="24396" xr:uid="{00000000-0005-0000-0000-0000595F0000}"/>
    <cellStyle name="Positive 2 4 3 2 16" xfId="24397" xr:uid="{00000000-0005-0000-0000-00005A5F0000}"/>
    <cellStyle name="Positive 2 4 3 2 16 2" xfId="24398" xr:uid="{00000000-0005-0000-0000-00005B5F0000}"/>
    <cellStyle name="Positive 2 4 3 2 17" xfId="24399" xr:uid="{00000000-0005-0000-0000-00005C5F0000}"/>
    <cellStyle name="Positive 2 4 3 2 2" xfId="24400" xr:uid="{00000000-0005-0000-0000-00005D5F0000}"/>
    <cellStyle name="Positive 2 4 3 2 2 2" xfId="24401" xr:uid="{00000000-0005-0000-0000-00005E5F0000}"/>
    <cellStyle name="Positive 2 4 3 2 3" xfId="24402" xr:uid="{00000000-0005-0000-0000-00005F5F0000}"/>
    <cellStyle name="Positive 2 4 3 2 3 2" xfId="24403" xr:uid="{00000000-0005-0000-0000-0000605F0000}"/>
    <cellStyle name="Positive 2 4 3 2 4" xfId="24404" xr:uid="{00000000-0005-0000-0000-0000615F0000}"/>
    <cellStyle name="Positive 2 4 3 2 4 2" xfId="24405" xr:uid="{00000000-0005-0000-0000-0000625F0000}"/>
    <cellStyle name="Positive 2 4 3 2 5" xfId="24406" xr:uid="{00000000-0005-0000-0000-0000635F0000}"/>
    <cellStyle name="Positive 2 4 3 2 5 2" xfId="24407" xr:uid="{00000000-0005-0000-0000-0000645F0000}"/>
    <cellStyle name="Positive 2 4 3 2 6" xfId="24408" xr:uid="{00000000-0005-0000-0000-0000655F0000}"/>
    <cellStyle name="Positive 2 4 3 2 6 2" xfId="24409" xr:uid="{00000000-0005-0000-0000-0000665F0000}"/>
    <cellStyle name="Positive 2 4 3 2 7" xfId="24410" xr:uid="{00000000-0005-0000-0000-0000675F0000}"/>
    <cellStyle name="Positive 2 4 3 2 7 2" xfId="24411" xr:uid="{00000000-0005-0000-0000-0000685F0000}"/>
    <cellStyle name="Positive 2 4 3 2 8" xfId="24412" xr:uid="{00000000-0005-0000-0000-0000695F0000}"/>
    <cellStyle name="Positive 2 4 3 2 8 2" xfId="24413" xr:uid="{00000000-0005-0000-0000-00006A5F0000}"/>
    <cellStyle name="Positive 2 4 3 2 9" xfId="24414" xr:uid="{00000000-0005-0000-0000-00006B5F0000}"/>
    <cellStyle name="Positive 2 4 3 2 9 2" xfId="24415" xr:uid="{00000000-0005-0000-0000-00006C5F0000}"/>
    <cellStyle name="Positive 2 4 3 20" xfId="24416" xr:uid="{00000000-0005-0000-0000-00006D5F0000}"/>
    <cellStyle name="Positive 2 4 3 3" xfId="24417" xr:uid="{00000000-0005-0000-0000-00006E5F0000}"/>
    <cellStyle name="Positive 2 4 3 3 2" xfId="24418" xr:uid="{00000000-0005-0000-0000-00006F5F0000}"/>
    <cellStyle name="Positive 2 4 3 3 2 2" xfId="24419" xr:uid="{00000000-0005-0000-0000-0000705F0000}"/>
    <cellStyle name="Positive 2 4 3 3 3" xfId="24420" xr:uid="{00000000-0005-0000-0000-0000715F0000}"/>
    <cellStyle name="Positive 2 4 3 4" xfId="24421" xr:uid="{00000000-0005-0000-0000-0000725F0000}"/>
    <cellStyle name="Positive 2 4 3 4 2" xfId="24422" xr:uid="{00000000-0005-0000-0000-0000735F0000}"/>
    <cellStyle name="Positive 2 4 3 4 2 2" xfId="24423" xr:uid="{00000000-0005-0000-0000-0000745F0000}"/>
    <cellStyle name="Positive 2 4 3 4 3" xfId="24424" xr:uid="{00000000-0005-0000-0000-0000755F0000}"/>
    <cellStyle name="Positive 2 4 3 5" xfId="24425" xr:uid="{00000000-0005-0000-0000-0000765F0000}"/>
    <cellStyle name="Positive 2 4 3 5 2" xfId="24426" xr:uid="{00000000-0005-0000-0000-0000775F0000}"/>
    <cellStyle name="Positive 2 4 3 6" xfId="24427" xr:uid="{00000000-0005-0000-0000-0000785F0000}"/>
    <cellStyle name="Positive 2 4 3 6 2" xfId="24428" xr:uid="{00000000-0005-0000-0000-0000795F0000}"/>
    <cellStyle name="Positive 2 4 3 7" xfId="24429" xr:uid="{00000000-0005-0000-0000-00007A5F0000}"/>
    <cellStyle name="Positive 2 4 3 7 2" xfId="24430" xr:uid="{00000000-0005-0000-0000-00007B5F0000}"/>
    <cellStyle name="Positive 2 4 3 8" xfId="24431" xr:uid="{00000000-0005-0000-0000-00007C5F0000}"/>
    <cellStyle name="Positive 2 4 3 8 2" xfId="24432" xr:uid="{00000000-0005-0000-0000-00007D5F0000}"/>
    <cellStyle name="Positive 2 4 3 9" xfId="24433" xr:uid="{00000000-0005-0000-0000-00007E5F0000}"/>
    <cellStyle name="Positive 2 4 3 9 2" xfId="24434" xr:uid="{00000000-0005-0000-0000-00007F5F0000}"/>
    <cellStyle name="Positive 2 4 4" xfId="24435" xr:uid="{00000000-0005-0000-0000-0000805F0000}"/>
    <cellStyle name="Positive 2 4 4 10" xfId="24436" xr:uid="{00000000-0005-0000-0000-0000815F0000}"/>
    <cellStyle name="Positive 2 4 4 10 2" xfId="24437" xr:uid="{00000000-0005-0000-0000-0000825F0000}"/>
    <cellStyle name="Positive 2 4 4 11" xfId="24438" xr:uid="{00000000-0005-0000-0000-0000835F0000}"/>
    <cellStyle name="Positive 2 4 4 11 2" xfId="24439" xr:uid="{00000000-0005-0000-0000-0000845F0000}"/>
    <cellStyle name="Positive 2 4 4 12" xfId="24440" xr:uid="{00000000-0005-0000-0000-0000855F0000}"/>
    <cellStyle name="Positive 2 4 4 12 2" xfId="24441" xr:uid="{00000000-0005-0000-0000-0000865F0000}"/>
    <cellStyle name="Positive 2 4 4 13" xfId="24442" xr:uid="{00000000-0005-0000-0000-0000875F0000}"/>
    <cellStyle name="Positive 2 4 4 13 2" xfId="24443" xr:uid="{00000000-0005-0000-0000-0000885F0000}"/>
    <cellStyle name="Positive 2 4 4 14" xfId="24444" xr:uid="{00000000-0005-0000-0000-0000895F0000}"/>
    <cellStyle name="Positive 2 4 4 14 2" xfId="24445" xr:uid="{00000000-0005-0000-0000-00008A5F0000}"/>
    <cellStyle name="Positive 2 4 4 15" xfId="24446" xr:uid="{00000000-0005-0000-0000-00008B5F0000}"/>
    <cellStyle name="Positive 2 4 4 15 2" xfId="24447" xr:uid="{00000000-0005-0000-0000-00008C5F0000}"/>
    <cellStyle name="Positive 2 4 4 16" xfId="24448" xr:uid="{00000000-0005-0000-0000-00008D5F0000}"/>
    <cellStyle name="Positive 2 4 4 16 2" xfId="24449" xr:uid="{00000000-0005-0000-0000-00008E5F0000}"/>
    <cellStyle name="Positive 2 4 4 17" xfId="24450" xr:uid="{00000000-0005-0000-0000-00008F5F0000}"/>
    <cellStyle name="Positive 2 4 4 17 2" xfId="24451" xr:uid="{00000000-0005-0000-0000-0000905F0000}"/>
    <cellStyle name="Positive 2 4 4 18" xfId="24452" xr:uid="{00000000-0005-0000-0000-0000915F0000}"/>
    <cellStyle name="Positive 2 4 4 18 2" xfId="24453" xr:uid="{00000000-0005-0000-0000-0000925F0000}"/>
    <cellStyle name="Positive 2 4 4 19" xfId="24454" xr:uid="{00000000-0005-0000-0000-0000935F0000}"/>
    <cellStyle name="Positive 2 4 4 19 2" xfId="24455" xr:uid="{00000000-0005-0000-0000-0000945F0000}"/>
    <cellStyle name="Positive 2 4 4 2" xfId="24456" xr:uid="{00000000-0005-0000-0000-0000955F0000}"/>
    <cellStyle name="Positive 2 4 4 2 10" xfId="24457" xr:uid="{00000000-0005-0000-0000-0000965F0000}"/>
    <cellStyle name="Positive 2 4 4 2 10 2" xfId="24458" xr:uid="{00000000-0005-0000-0000-0000975F0000}"/>
    <cellStyle name="Positive 2 4 4 2 11" xfId="24459" xr:uid="{00000000-0005-0000-0000-0000985F0000}"/>
    <cellStyle name="Positive 2 4 4 2 11 2" xfId="24460" xr:uid="{00000000-0005-0000-0000-0000995F0000}"/>
    <cellStyle name="Positive 2 4 4 2 12" xfId="24461" xr:uid="{00000000-0005-0000-0000-00009A5F0000}"/>
    <cellStyle name="Positive 2 4 4 2 12 2" xfId="24462" xr:uid="{00000000-0005-0000-0000-00009B5F0000}"/>
    <cellStyle name="Positive 2 4 4 2 13" xfId="24463" xr:uid="{00000000-0005-0000-0000-00009C5F0000}"/>
    <cellStyle name="Positive 2 4 4 2 13 2" xfId="24464" xr:uid="{00000000-0005-0000-0000-00009D5F0000}"/>
    <cellStyle name="Positive 2 4 4 2 14" xfId="24465" xr:uid="{00000000-0005-0000-0000-00009E5F0000}"/>
    <cellStyle name="Positive 2 4 4 2 14 2" xfId="24466" xr:uid="{00000000-0005-0000-0000-00009F5F0000}"/>
    <cellStyle name="Positive 2 4 4 2 15" xfId="24467" xr:uid="{00000000-0005-0000-0000-0000A05F0000}"/>
    <cellStyle name="Positive 2 4 4 2 15 2" xfId="24468" xr:uid="{00000000-0005-0000-0000-0000A15F0000}"/>
    <cellStyle name="Positive 2 4 4 2 16" xfId="24469" xr:uid="{00000000-0005-0000-0000-0000A25F0000}"/>
    <cellStyle name="Positive 2 4 4 2 16 2" xfId="24470" xr:uid="{00000000-0005-0000-0000-0000A35F0000}"/>
    <cellStyle name="Positive 2 4 4 2 17" xfId="24471" xr:uid="{00000000-0005-0000-0000-0000A45F0000}"/>
    <cellStyle name="Positive 2 4 4 2 2" xfId="24472" xr:uid="{00000000-0005-0000-0000-0000A55F0000}"/>
    <cellStyle name="Positive 2 4 4 2 2 2" xfId="24473" xr:uid="{00000000-0005-0000-0000-0000A65F0000}"/>
    <cellStyle name="Positive 2 4 4 2 3" xfId="24474" xr:uid="{00000000-0005-0000-0000-0000A75F0000}"/>
    <cellStyle name="Positive 2 4 4 2 3 2" xfId="24475" xr:uid="{00000000-0005-0000-0000-0000A85F0000}"/>
    <cellStyle name="Positive 2 4 4 2 4" xfId="24476" xr:uid="{00000000-0005-0000-0000-0000A95F0000}"/>
    <cellStyle name="Positive 2 4 4 2 4 2" xfId="24477" xr:uid="{00000000-0005-0000-0000-0000AA5F0000}"/>
    <cellStyle name="Positive 2 4 4 2 5" xfId="24478" xr:uid="{00000000-0005-0000-0000-0000AB5F0000}"/>
    <cellStyle name="Positive 2 4 4 2 5 2" xfId="24479" xr:uid="{00000000-0005-0000-0000-0000AC5F0000}"/>
    <cellStyle name="Positive 2 4 4 2 6" xfId="24480" xr:uid="{00000000-0005-0000-0000-0000AD5F0000}"/>
    <cellStyle name="Positive 2 4 4 2 6 2" xfId="24481" xr:uid="{00000000-0005-0000-0000-0000AE5F0000}"/>
    <cellStyle name="Positive 2 4 4 2 7" xfId="24482" xr:uid="{00000000-0005-0000-0000-0000AF5F0000}"/>
    <cellStyle name="Positive 2 4 4 2 7 2" xfId="24483" xr:uid="{00000000-0005-0000-0000-0000B05F0000}"/>
    <cellStyle name="Positive 2 4 4 2 8" xfId="24484" xr:uid="{00000000-0005-0000-0000-0000B15F0000}"/>
    <cellStyle name="Positive 2 4 4 2 8 2" xfId="24485" xr:uid="{00000000-0005-0000-0000-0000B25F0000}"/>
    <cellStyle name="Positive 2 4 4 2 9" xfId="24486" xr:uid="{00000000-0005-0000-0000-0000B35F0000}"/>
    <cellStyle name="Positive 2 4 4 2 9 2" xfId="24487" xr:uid="{00000000-0005-0000-0000-0000B45F0000}"/>
    <cellStyle name="Positive 2 4 4 20" xfId="24488" xr:uid="{00000000-0005-0000-0000-0000B55F0000}"/>
    <cellStyle name="Positive 2 4 4 3" xfId="24489" xr:uid="{00000000-0005-0000-0000-0000B65F0000}"/>
    <cellStyle name="Positive 2 4 4 3 2" xfId="24490" xr:uid="{00000000-0005-0000-0000-0000B75F0000}"/>
    <cellStyle name="Positive 2 4 4 3 2 2" xfId="24491" xr:uid="{00000000-0005-0000-0000-0000B85F0000}"/>
    <cellStyle name="Positive 2 4 4 3 3" xfId="24492" xr:uid="{00000000-0005-0000-0000-0000B95F0000}"/>
    <cellStyle name="Positive 2 4 4 4" xfId="24493" xr:uid="{00000000-0005-0000-0000-0000BA5F0000}"/>
    <cellStyle name="Positive 2 4 4 4 2" xfId="24494" xr:uid="{00000000-0005-0000-0000-0000BB5F0000}"/>
    <cellStyle name="Positive 2 4 4 4 2 2" xfId="24495" xr:uid="{00000000-0005-0000-0000-0000BC5F0000}"/>
    <cellStyle name="Positive 2 4 4 4 3" xfId="24496" xr:uid="{00000000-0005-0000-0000-0000BD5F0000}"/>
    <cellStyle name="Positive 2 4 4 5" xfId="24497" xr:uid="{00000000-0005-0000-0000-0000BE5F0000}"/>
    <cellStyle name="Positive 2 4 4 5 2" xfId="24498" xr:uid="{00000000-0005-0000-0000-0000BF5F0000}"/>
    <cellStyle name="Positive 2 4 4 6" xfId="24499" xr:uid="{00000000-0005-0000-0000-0000C05F0000}"/>
    <cellStyle name="Positive 2 4 4 6 2" xfId="24500" xr:uid="{00000000-0005-0000-0000-0000C15F0000}"/>
    <cellStyle name="Positive 2 4 4 7" xfId="24501" xr:uid="{00000000-0005-0000-0000-0000C25F0000}"/>
    <cellStyle name="Positive 2 4 4 7 2" xfId="24502" xr:uid="{00000000-0005-0000-0000-0000C35F0000}"/>
    <cellStyle name="Positive 2 4 4 8" xfId="24503" xr:uid="{00000000-0005-0000-0000-0000C45F0000}"/>
    <cellStyle name="Positive 2 4 4 8 2" xfId="24504" xr:uid="{00000000-0005-0000-0000-0000C55F0000}"/>
    <cellStyle name="Positive 2 4 4 9" xfId="24505" xr:uid="{00000000-0005-0000-0000-0000C65F0000}"/>
    <cellStyle name="Positive 2 4 4 9 2" xfId="24506" xr:uid="{00000000-0005-0000-0000-0000C75F0000}"/>
    <cellStyle name="Positive 2 4 5" xfId="24507" xr:uid="{00000000-0005-0000-0000-0000C85F0000}"/>
    <cellStyle name="Positive 2 4 5 10" xfId="24508" xr:uid="{00000000-0005-0000-0000-0000C95F0000}"/>
    <cellStyle name="Positive 2 4 5 10 2" xfId="24509" xr:uid="{00000000-0005-0000-0000-0000CA5F0000}"/>
    <cellStyle name="Positive 2 4 5 11" xfId="24510" xr:uid="{00000000-0005-0000-0000-0000CB5F0000}"/>
    <cellStyle name="Positive 2 4 5 11 2" xfId="24511" xr:uid="{00000000-0005-0000-0000-0000CC5F0000}"/>
    <cellStyle name="Positive 2 4 5 12" xfId="24512" xr:uid="{00000000-0005-0000-0000-0000CD5F0000}"/>
    <cellStyle name="Positive 2 4 5 12 2" xfId="24513" xr:uid="{00000000-0005-0000-0000-0000CE5F0000}"/>
    <cellStyle name="Positive 2 4 5 13" xfId="24514" xr:uid="{00000000-0005-0000-0000-0000CF5F0000}"/>
    <cellStyle name="Positive 2 4 5 13 2" xfId="24515" xr:uid="{00000000-0005-0000-0000-0000D05F0000}"/>
    <cellStyle name="Positive 2 4 5 14" xfId="24516" xr:uid="{00000000-0005-0000-0000-0000D15F0000}"/>
    <cellStyle name="Positive 2 4 5 14 2" xfId="24517" xr:uid="{00000000-0005-0000-0000-0000D25F0000}"/>
    <cellStyle name="Positive 2 4 5 15" xfId="24518" xr:uid="{00000000-0005-0000-0000-0000D35F0000}"/>
    <cellStyle name="Positive 2 4 5 15 2" xfId="24519" xr:uid="{00000000-0005-0000-0000-0000D45F0000}"/>
    <cellStyle name="Positive 2 4 5 16" xfId="24520" xr:uid="{00000000-0005-0000-0000-0000D55F0000}"/>
    <cellStyle name="Positive 2 4 5 16 2" xfId="24521" xr:uid="{00000000-0005-0000-0000-0000D65F0000}"/>
    <cellStyle name="Positive 2 4 5 17" xfId="24522" xr:uid="{00000000-0005-0000-0000-0000D75F0000}"/>
    <cellStyle name="Positive 2 4 5 2" xfId="24523" xr:uid="{00000000-0005-0000-0000-0000D85F0000}"/>
    <cellStyle name="Positive 2 4 5 2 2" xfId="24524" xr:uid="{00000000-0005-0000-0000-0000D95F0000}"/>
    <cellStyle name="Positive 2 4 5 3" xfId="24525" xr:uid="{00000000-0005-0000-0000-0000DA5F0000}"/>
    <cellStyle name="Positive 2 4 5 3 2" xfId="24526" xr:uid="{00000000-0005-0000-0000-0000DB5F0000}"/>
    <cellStyle name="Positive 2 4 5 4" xfId="24527" xr:uid="{00000000-0005-0000-0000-0000DC5F0000}"/>
    <cellStyle name="Positive 2 4 5 4 2" xfId="24528" xr:uid="{00000000-0005-0000-0000-0000DD5F0000}"/>
    <cellStyle name="Positive 2 4 5 5" xfId="24529" xr:uid="{00000000-0005-0000-0000-0000DE5F0000}"/>
    <cellStyle name="Positive 2 4 5 5 2" xfId="24530" xr:uid="{00000000-0005-0000-0000-0000DF5F0000}"/>
    <cellStyle name="Positive 2 4 5 6" xfId="24531" xr:uid="{00000000-0005-0000-0000-0000E05F0000}"/>
    <cellStyle name="Positive 2 4 5 6 2" xfId="24532" xr:uid="{00000000-0005-0000-0000-0000E15F0000}"/>
    <cellStyle name="Positive 2 4 5 7" xfId="24533" xr:uid="{00000000-0005-0000-0000-0000E25F0000}"/>
    <cellStyle name="Positive 2 4 5 7 2" xfId="24534" xr:uid="{00000000-0005-0000-0000-0000E35F0000}"/>
    <cellStyle name="Positive 2 4 5 8" xfId="24535" xr:uid="{00000000-0005-0000-0000-0000E45F0000}"/>
    <cellStyle name="Positive 2 4 5 8 2" xfId="24536" xr:uid="{00000000-0005-0000-0000-0000E55F0000}"/>
    <cellStyle name="Positive 2 4 5 9" xfId="24537" xr:uid="{00000000-0005-0000-0000-0000E65F0000}"/>
    <cellStyle name="Positive 2 4 5 9 2" xfId="24538" xr:uid="{00000000-0005-0000-0000-0000E75F0000}"/>
    <cellStyle name="Positive 2 4 6" xfId="24539" xr:uid="{00000000-0005-0000-0000-0000E85F0000}"/>
    <cellStyle name="Positive 2 4 6 2" xfId="24540" xr:uid="{00000000-0005-0000-0000-0000E95F0000}"/>
    <cellStyle name="Positive 2 4 6 2 2" xfId="24541" xr:uid="{00000000-0005-0000-0000-0000EA5F0000}"/>
    <cellStyle name="Positive 2 4 6 3" xfId="24542" xr:uid="{00000000-0005-0000-0000-0000EB5F0000}"/>
    <cellStyle name="Positive 2 4 7" xfId="24543" xr:uid="{00000000-0005-0000-0000-0000EC5F0000}"/>
    <cellStyle name="Positive 2 4 7 2" xfId="24544" xr:uid="{00000000-0005-0000-0000-0000ED5F0000}"/>
    <cellStyle name="Positive 2 4 7 2 2" xfId="24545" xr:uid="{00000000-0005-0000-0000-0000EE5F0000}"/>
    <cellStyle name="Positive 2 4 7 3" xfId="24546" xr:uid="{00000000-0005-0000-0000-0000EF5F0000}"/>
    <cellStyle name="Positive 2 4 8" xfId="24547" xr:uid="{00000000-0005-0000-0000-0000F05F0000}"/>
    <cellStyle name="Positive 2 4 8 2" xfId="24548" xr:uid="{00000000-0005-0000-0000-0000F15F0000}"/>
    <cellStyle name="Positive 2 4 9" xfId="24549" xr:uid="{00000000-0005-0000-0000-0000F25F0000}"/>
    <cellStyle name="Positive 2 4 9 2" xfId="24550" xr:uid="{00000000-0005-0000-0000-0000F35F0000}"/>
    <cellStyle name="Positive 2 40" xfId="24551" xr:uid="{00000000-0005-0000-0000-0000F45F0000}"/>
    <cellStyle name="Positive 2 40 2" xfId="24552" xr:uid="{00000000-0005-0000-0000-0000F55F0000}"/>
    <cellStyle name="Positive 2 41" xfId="24553" xr:uid="{00000000-0005-0000-0000-0000F65F0000}"/>
    <cellStyle name="Positive 2 41 2" xfId="24554" xr:uid="{00000000-0005-0000-0000-0000F75F0000}"/>
    <cellStyle name="Positive 2 42" xfId="24555" xr:uid="{00000000-0005-0000-0000-0000F85F0000}"/>
    <cellStyle name="Positive 2 5" xfId="24556" xr:uid="{00000000-0005-0000-0000-0000F95F0000}"/>
    <cellStyle name="Positive 2 5 10" xfId="24557" xr:uid="{00000000-0005-0000-0000-0000FA5F0000}"/>
    <cellStyle name="Positive 2 5 10 2" xfId="24558" xr:uid="{00000000-0005-0000-0000-0000FB5F0000}"/>
    <cellStyle name="Positive 2 5 11" xfId="24559" xr:uid="{00000000-0005-0000-0000-0000FC5F0000}"/>
    <cellStyle name="Positive 2 5 11 2" xfId="24560" xr:uid="{00000000-0005-0000-0000-0000FD5F0000}"/>
    <cellStyle name="Positive 2 5 12" xfId="24561" xr:uid="{00000000-0005-0000-0000-0000FE5F0000}"/>
    <cellStyle name="Positive 2 5 12 2" xfId="24562" xr:uid="{00000000-0005-0000-0000-0000FF5F0000}"/>
    <cellStyle name="Positive 2 5 13" xfId="24563" xr:uid="{00000000-0005-0000-0000-000000600000}"/>
    <cellStyle name="Positive 2 5 13 2" xfId="24564" xr:uid="{00000000-0005-0000-0000-000001600000}"/>
    <cellStyle name="Positive 2 5 14" xfId="24565" xr:uid="{00000000-0005-0000-0000-000002600000}"/>
    <cellStyle name="Positive 2 5 14 2" xfId="24566" xr:uid="{00000000-0005-0000-0000-000003600000}"/>
    <cellStyle name="Positive 2 5 15" xfId="24567" xr:uid="{00000000-0005-0000-0000-000004600000}"/>
    <cellStyle name="Positive 2 5 15 2" xfId="24568" xr:uid="{00000000-0005-0000-0000-000005600000}"/>
    <cellStyle name="Positive 2 5 16" xfId="24569" xr:uid="{00000000-0005-0000-0000-000006600000}"/>
    <cellStyle name="Positive 2 5 16 2" xfId="24570" xr:uid="{00000000-0005-0000-0000-000007600000}"/>
    <cellStyle name="Positive 2 5 17" xfId="24571" xr:uid="{00000000-0005-0000-0000-000008600000}"/>
    <cellStyle name="Positive 2 5 17 2" xfId="24572" xr:uid="{00000000-0005-0000-0000-000009600000}"/>
    <cellStyle name="Positive 2 5 18" xfId="24573" xr:uid="{00000000-0005-0000-0000-00000A600000}"/>
    <cellStyle name="Positive 2 5 18 2" xfId="24574" xr:uid="{00000000-0005-0000-0000-00000B600000}"/>
    <cellStyle name="Positive 2 5 19" xfId="24575" xr:uid="{00000000-0005-0000-0000-00000C600000}"/>
    <cellStyle name="Positive 2 5 19 2" xfId="24576" xr:uid="{00000000-0005-0000-0000-00000D600000}"/>
    <cellStyle name="Positive 2 5 2" xfId="24577" xr:uid="{00000000-0005-0000-0000-00000E600000}"/>
    <cellStyle name="Positive 2 5 2 10" xfId="24578" xr:uid="{00000000-0005-0000-0000-00000F600000}"/>
    <cellStyle name="Positive 2 5 2 10 2" xfId="24579" xr:uid="{00000000-0005-0000-0000-000010600000}"/>
    <cellStyle name="Positive 2 5 2 11" xfId="24580" xr:uid="{00000000-0005-0000-0000-000011600000}"/>
    <cellStyle name="Positive 2 5 2 11 2" xfId="24581" xr:uid="{00000000-0005-0000-0000-000012600000}"/>
    <cellStyle name="Positive 2 5 2 12" xfId="24582" xr:uid="{00000000-0005-0000-0000-000013600000}"/>
    <cellStyle name="Positive 2 5 2 12 2" xfId="24583" xr:uid="{00000000-0005-0000-0000-000014600000}"/>
    <cellStyle name="Positive 2 5 2 13" xfId="24584" xr:uid="{00000000-0005-0000-0000-000015600000}"/>
    <cellStyle name="Positive 2 5 2 13 2" xfId="24585" xr:uid="{00000000-0005-0000-0000-000016600000}"/>
    <cellStyle name="Positive 2 5 2 14" xfId="24586" xr:uid="{00000000-0005-0000-0000-000017600000}"/>
    <cellStyle name="Positive 2 5 2 14 2" xfId="24587" xr:uid="{00000000-0005-0000-0000-000018600000}"/>
    <cellStyle name="Positive 2 5 2 15" xfId="24588" xr:uid="{00000000-0005-0000-0000-000019600000}"/>
    <cellStyle name="Positive 2 5 2 15 2" xfId="24589" xr:uid="{00000000-0005-0000-0000-00001A600000}"/>
    <cellStyle name="Positive 2 5 2 16" xfId="24590" xr:uid="{00000000-0005-0000-0000-00001B600000}"/>
    <cellStyle name="Positive 2 5 2 16 2" xfId="24591" xr:uid="{00000000-0005-0000-0000-00001C600000}"/>
    <cellStyle name="Positive 2 5 2 17" xfId="24592" xr:uid="{00000000-0005-0000-0000-00001D600000}"/>
    <cellStyle name="Positive 2 5 2 17 2" xfId="24593" xr:uid="{00000000-0005-0000-0000-00001E600000}"/>
    <cellStyle name="Positive 2 5 2 18" xfId="24594" xr:uid="{00000000-0005-0000-0000-00001F600000}"/>
    <cellStyle name="Positive 2 5 2 18 2" xfId="24595" xr:uid="{00000000-0005-0000-0000-000020600000}"/>
    <cellStyle name="Positive 2 5 2 19" xfId="24596" xr:uid="{00000000-0005-0000-0000-000021600000}"/>
    <cellStyle name="Positive 2 5 2 19 2" xfId="24597" xr:uid="{00000000-0005-0000-0000-000022600000}"/>
    <cellStyle name="Positive 2 5 2 2" xfId="24598" xr:uid="{00000000-0005-0000-0000-000023600000}"/>
    <cellStyle name="Positive 2 5 2 2 10" xfId="24599" xr:uid="{00000000-0005-0000-0000-000024600000}"/>
    <cellStyle name="Positive 2 5 2 2 10 2" xfId="24600" xr:uid="{00000000-0005-0000-0000-000025600000}"/>
    <cellStyle name="Positive 2 5 2 2 11" xfId="24601" xr:uid="{00000000-0005-0000-0000-000026600000}"/>
    <cellStyle name="Positive 2 5 2 2 11 2" xfId="24602" xr:uid="{00000000-0005-0000-0000-000027600000}"/>
    <cellStyle name="Positive 2 5 2 2 12" xfId="24603" xr:uid="{00000000-0005-0000-0000-000028600000}"/>
    <cellStyle name="Positive 2 5 2 2 12 2" xfId="24604" xr:uid="{00000000-0005-0000-0000-000029600000}"/>
    <cellStyle name="Positive 2 5 2 2 13" xfId="24605" xr:uid="{00000000-0005-0000-0000-00002A600000}"/>
    <cellStyle name="Positive 2 5 2 2 13 2" xfId="24606" xr:uid="{00000000-0005-0000-0000-00002B600000}"/>
    <cellStyle name="Positive 2 5 2 2 14" xfId="24607" xr:uid="{00000000-0005-0000-0000-00002C600000}"/>
    <cellStyle name="Positive 2 5 2 2 14 2" xfId="24608" xr:uid="{00000000-0005-0000-0000-00002D600000}"/>
    <cellStyle name="Positive 2 5 2 2 15" xfId="24609" xr:uid="{00000000-0005-0000-0000-00002E600000}"/>
    <cellStyle name="Positive 2 5 2 2 15 2" xfId="24610" xr:uid="{00000000-0005-0000-0000-00002F600000}"/>
    <cellStyle name="Positive 2 5 2 2 16" xfId="24611" xr:uid="{00000000-0005-0000-0000-000030600000}"/>
    <cellStyle name="Positive 2 5 2 2 16 2" xfId="24612" xr:uid="{00000000-0005-0000-0000-000031600000}"/>
    <cellStyle name="Positive 2 5 2 2 17" xfId="24613" xr:uid="{00000000-0005-0000-0000-000032600000}"/>
    <cellStyle name="Positive 2 5 2 2 2" xfId="24614" xr:uid="{00000000-0005-0000-0000-000033600000}"/>
    <cellStyle name="Positive 2 5 2 2 2 2" xfId="24615" xr:uid="{00000000-0005-0000-0000-000034600000}"/>
    <cellStyle name="Positive 2 5 2 2 3" xfId="24616" xr:uid="{00000000-0005-0000-0000-000035600000}"/>
    <cellStyle name="Positive 2 5 2 2 3 2" xfId="24617" xr:uid="{00000000-0005-0000-0000-000036600000}"/>
    <cellStyle name="Positive 2 5 2 2 4" xfId="24618" xr:uid="{00000000-0005-0000-0000-000037600000}"/>
    <cellStyle name="Positive 2 5 2 2 4 2" xfId="24619" xr:uid="{00000000-0005-0000-0000-000038600000}"/>
    <cellStyle name="Positive 2 5 2 2 5" xfId="24620" xr:uid="{00000000-0005-0000-0000-000039600000}"/>
    <cellStyle name="Positive 2 5 2 2 5 2" xfId="24621" xr:uid="{00000000-0005-0000-0000-00003A600000}"/>
    <cellStyle name="Positive 2 5 2 2 6" xfId="24622" xr:uid="{00000000-0005-0000-0000-00003B600000}"/>
    <cellStyle name="Positive 2 5 2 2 6 2" xfId="24623" xr:uid="{00000000-0005-0000-0000-00003C600000}"/>
    <cellStyle name="Positive 2 5 2 2 7" xfId="24624" xr:uid="{00000000-0005-0000-0000-00003D600000}"/>
    <cellStyle name="Positive 2 5 2 2 7 2" xfId="24625" xr:uid="{00000000-0005-0000-0000-00003E600000}"/>
    <cellStyle name="Positive 2 5 2 2 8" xfId="24626" xr:uid="{00000000-0005-0000-0000-00003F600000}"/>
    <cellStyle name="Positive 2 5 2 2 8 2" xfId="24627" xr:uid="{00000000-0005-0000-0000-000040600000}"/>
    <cellStyle name="Positive 2 5 2 2 9" xfId="24628" xr:uid="{00000000-0005-0000-0000-000041600000}"/>
    <cellStyle name="Positive 2 5 2 2 9 2" xfId="24629" xr:uid="{00000000-0005-0000-0000-000042600000}"/>
    <cellStyle name="Positive 2 5 2 20" xfId="24630" xr:uid="{00000000-0005-0000-0000-000043600000}"/>
    <cellStyle name="Positive 2 5 2 3" xfId="24631" xr:uid="{00000000-0005-0000-0000-000044600000}"/>
    <cellStyle name="Positive 2 5 2 3 2" xfId="24632" xr:uid="{00000000-0005-0000-0000-000045600000}"/>
    <cellStyle name="Positive 2 5 2 3 2 2" xfId="24633" xr:uid="{00000000-0005-0000-0000-000046600000}"/>
    <cellStyle name="Positive 2 5 2 3 3" xfId="24634" xr:uid="{00000000-0005-0000-0000-000047600000}"/>
    <cellStyle name="Positive 2 5 2 4" xfId="24635" xr:uid="{00000000-0005-0000-0000-000048600000}"/>
    <cellStyle name="Positive 2 5 2 4 2" xfId="24636" xr:uid="{00000000-0005-0000-0000-000049600000}"/>
    <cellStyle name="Positive 2 5 2 4 2 2" xfId="24637" xr:uid="{00000000-0005-0000-0000-00004A600000}"/>
    <cellStyle name="Positive 2 5 2 4 3" xfId="24638" xr:uid="{00000000-0005-0000-0000-00004B600000}"/>
    <cellStyle name="Positive 2 5 2 5" xfId="24639" xr:uid="{00000000-0005-0000-0000-00004C600000}"/>
    <cellStyle name="Positive 2 5 2 5 2" xfId="24640" xr:uid="{00000000-0005-0000-0000-00004D600000}"/>
    <cellStyle name="Positive 2 5 2 6" xfId="24641" xr:uid="{00000000-0005-0000-0000-00004E600000}"/>
    <cellStyle name="Positive 2 5 2 6 2" xfId="24642" xr:uid="{00000000-0005-0000-0000-00004F600000}"/>
    <cellStyle name="Positive 2 5 2 7" xfId="24643" xr:uid="{00000000-0005-0000-0000-000050600000}"/>
    <cellStyle name="Positive 2 5 2 7 2" xfId="24644" xr:uid="{00000000-0005-0000-0000-000051600000}"/>
    <cellStyle name="Positive 2 5 2 8" xfId="24645" xr:uid="{00000000-0005-0000-0000-000052600000}"/>
    <cellStyle name="Positive 2 5 2 8 2" xfId="24646" xr:uid="{00000000-0005-0000-0000-000053600000}"/>
    <cellStyle name="Positive 2 5 2 9" xfId="24647" xr:uid="{00000000-0005-0000-0000-000054600000}"/>
    <cellStyle name="Positive 2 5 2 9 2" xfId="24648" xr:uid="{00000000-0005-0000-0000-000055600000}"/>
    <cellStyle name="Positive 2 5 20" xfId="24649" xr:uid="{00000000-0005-0000-0000-000056600000}"/>
    <cellStyle name="Positive 2 5 20 2" xfId="24650" xr:uid="{00000000-0005-0000-0000-000057600000}"/>
    <cellStyle name="Positive 2 5 21" xfId="24651" xr:uid="{00000000-0005-0000-0000-000058600000}"/>
    <cellStyle name="Positive 2 5 21 2" xfId="24652" xr:uid="{00000000-0005-0000-0000-000059600000}"/>
    <cellStyle name="Positive 2 5 22" xfId="24653" xr:uid="{00000000-0005-0000-0000-00005A600000}"/>
    <cellStyle name="Positive 2 5 22 2" xfId="24654" xr:uid="{00000000-0005-0000-0000-00005B600000}"/>
    <cellStyle name="Positive 2 5 23" xfId="24655" xr:uid="{00000000-0005-0000-0000-00005C600000}"/>
    <cellStyle name="Positive 2 5 3" xfId="24656" xr:uid="{00000000-0005-0000-0000-00005D600000}"/>
    <cellStyle name="Positive 2 5 3 10" xfId="24657" xr:uid="{00000000-0005-0000-0000-00005E600000}"/>
    <cellStyle name="Positive 2 5 3 10 2" xfId="24658" xr:uid="{00000000-0005-0000-0000-00005F600000}"/>
    <cellStyle name="Positive 2 5 3 11" xfId="24659" xr:uid="{00000000-0005-0000-0000-000060600000}"/>
    <cellStyle name="Positive 2 5 3 11 2" xfId="24660" xr:uid="{00000000-0005-0000-0000-000061600000}"/>
    <cellStyle name="Positive 2 5 3 12" xfId="24661" xr:uid="{00000000-0005-0000-0000-000062600000}"/>
    <cellStyle name="Positive 2 5 3 12 2" xfId="24662" xr:uid="{00000000-0005-0000-0000-000063600000}"/>
    <cellStyle name="Positive 2 5 3 13" xfId="24663" xr:uid="{00000000-0005-0000-0000-000064600000}"/>
    <cellStyle name="Positive 2 5 3 13 2" xfId="24664" xr:uid="{00000000-0005-0000-0000-000065600000}"/>
    <cellStyle name="Positive 2 5 3 14" xfId="24665" xr:uid="{00000000-0005-0000-0000-000066600000}"/>
    <cellStyle name="Positive 2 5 3 14 2" xfId="24666" xr:uid="{00000000-0005-0000-0000-000067600000}"/>
    <cellStyle name="Positive 2 5 3 15" xfId="24667" xr:uid="{00000000-0005-0000-0000-000068600000}"/>
    <cellStyle name="Positive 2 5 3 15 2" xfId="24668" xr:uid="{00000000-0005-0000-0000-000069600000}"/>
    <cellStyle name="Positive 2 5 3 16" xfId="24669" xr:uid="{00000000-0005-0000-0000-00006A600000}"/>
    <cellStyle name="Positive 2 5 3 16 2" xfId="24670" xr:uid="{00000000-0005-0000-0000-00006B600000}"/>
    <cellStyle name="Positive 2 5 3 17" xfId="24671" xr:uid="{00000000-0005-0000-0000-00006C600000}"/>
    <cellStyle name="Positive 2 5 3 17 2" xfId="24672" xr:uid="{00000000-0005-0000-0000-00006D600000}"/>
    <cellStyle name="Positive 2 5 3 18" xfId="24673" xr:uid="{00000000-0005-0000-0000-00006E600000}"/>
    <cellStyle name="Positive 2 5 3 18 2" xfId="24674" xr:uid="{00000000-0005-0000-0000-00006F600000}"/>
    <cellStyle name="Positive 2 5 3 19" xfId="24675" xr:uid="{00000000-0005-0000-0000-000070600000}"/>
    <cellStyle name="Positive 2 5 3 19 2" xfId="24676" xr:uid="{00000000-0005-0000-0000-000071600000}"/>
    <cellStyle name="Positive 2 5 3 2" xfId="24677" xr:uid="{00000000-0005-0000-0000-000072600000}"/>
    <cellStyle name="Positive 2 5 3 2 10" xfId="24678" xr:uid="{00000000-0005-0000-0000-000073600000}"/>
    <cellStyle name="Positive 2 5 3 2 10 2" xfId="24679" xr:uid="{00000000-0005-0000-0000-000074600000}"/>
    <cellStyle name="Positive 2 5 3 2 11" xfId="24680" xr:uid="{00000000-0005-0000-0000-000075600000}"/>
    <cellStyle name="Positive 2 5 3 2 11 2" xfId="24681" xr:uid="{00000000-0005-0000-0000-000076600000}"/>
    <cellStyle name="Positive 2 5 3 2 12" xfId="24682" xr:uid="{00000000-0005-0000-0000-000077600000}"/>
    <cellStyle name="Positive 2 5 3 2 12 2" xfId="24683" xr:uid="{00000000-0005-0000-0000-000078600000}"/>
    <cellStyle name="Positive 2 5 3 2 13" xfId="24684" xr:uid="{00000000-0005-0000-0000-000079600000}"/>
    <cellStyle name="Positive 2 5 3 2 13 2" xfId="24685" xr:uid="{00000000-0005-0000-0000-00007A600000}"/>
    <cellStyle name="Positive 2 5 3 2 14" xfId="24686" xr:uid="{00000000-0005-0000-0000-00007B600000}"/>
    <cellStyle name="Positive 2 5 3 2 14 2" xfId="24687" xr:uid="{00000000-0005-0000-0000-00007C600000}"/>
    <cellStyle name="Positive 2 5 3 2 15" xfId="24688" xr:uid="{00000000-0005-0000-0000-00007D600000}"/>
    <cellStyle name="Positive 2 5 3 2 15 2" xfId="24689" xr:uid="{00000000-0005-0000-0000-00007E600000}"/>
    <cellStyle name="Positive 2 5 3 2 16" xfId="24690" xr:uid="{00000000-0005-0000-0000-00007F600000}"/>
    <cellStyle name="Positive 2 5 3 2 16 2" xfId="24691" xr:uid="{00000000-0005-0000-0000-000080600000}"/>
    <cellStyle name="Positive 2 5 3 2 17" xfId="24692" xr:uid="{00000000-0005-0000-0000-000081600000}"/>
    <cellStyle name="Positive 2 5 3 2 2" xfId="24693" xr:uid="{00000000-0005-0000-0000-000082600000}"/>
    <cellStyle name="Positive 2 5 3 2 2 2" xfId="24694" xr:uid="{00000000-0005-0000-0000-000083600000}"/>
    <cellStyle name="Positive 2 5 3 2 3" xfId="24695" xr:uid="{00000000-0005-0000-0000-000084600000}"/>
    <cellStyle name="Positive 2 5 3 2 3 2" xfId="24696" xr:uid="{00000000-0005-0000-0000-000085600000}"/>
    <cellStyle name="Positive 2 5 3 2 4" xfId="24697" xr:uid="{00000000-0005-0000-0000-000086600000}"/>
    <cellStyle name="Positive 2 5 3 2 4 2" xfId="24698" xr:uid="{00000000-0005-0000-0000-000087600000}"/>
    <cellStyle name="Positive 2 5 3 2 5" xfId="24699" xr:uid="{00000000-0005-0000-0000-000088600000}"/>
    <cellStyle name="Positive 2 5 3 2 5 2" xfId="24700" xr:uid="{00000000-0005-0000-0000-000089600000}"/>
    <cellStyle name="Positive 2 5 3 2 6" xfId="24701" xr:uid="{00000000-0005-0000-0000-00008A600000}"/>
    <cellStyle name="Positive 2 5 3 2 6 2" xfId="24702" xr:uid="{00000000-0005-0000-0000-00008B600000}"/>
    <cellStyle name="Positive 2 5 3 2 7" xfId="24703" xr:uid="{00000000-0005-0000-0000-00008C600000}"/>
    <cellStyle name="Positive 2 5 3 2 7 2" xfId="24704" xr:uid="{00000000-0005-0000-0000-00008D600000}"/>
    <cellStyle name="Positive 2 5 3 2 8" xfId="24705" xr:uid="{00000000-0005-0000-0000-00008E600000}"/>
    <cellStyle name="Positive 2 5 3 2 8 2" xfId="24706" xr:uid="{00000000-0005-0000-0000-00008F600000}"/>
    <cellStyle name="Positive 2 5 3 2 9" xfId="24707" xr:uid="{00000000-0005-0000-0000-000090600000}"/>
    <cellStyle name="Positive 2 5 3 2 9 2" xfId="24708" xr:uid="{00000000-0005-0000-0000-000091600000}"/>
    <cellStyle name="Positive 2 5 3 20" xfId="24709" xr:uid="{00000000-0005-0000-0000-000092600000}"/>
    <cellStyle name="Positive 2 5 3 3" xfId="24710" xr:uid="{00000000-0005-0000-0000-000093600000}"/>
    <cellStyle name="Positive 2 5 3 3 2" xfId="24711" xr:uid="{00000000-0005-0000-0000-000094600000}"/>
    <cellStyle name="Positive 2 5 3 3 2 2" xfId="24712" xr:uid="{00000000-0005-0000-0000-000095600000}"/>
    <cellStyle name="Positive 2 5 3 3 3" xfId="24713" xr:uid="{00000000-0005-0000-0000-000096600000}"/>
    <cellStyle name="Positive 2 5 3 4" xfId="24714" xr:uid="{00000000-0005-0000-0000-000097600000}"/>
    <cellStyle name="Positive 2 5 3 4 2" xfId="24715" xr:uid="{00000000-0005-0000-0000-000098600000}"/>
    <cellStyle name="Positive 2 5 3 4 2 2" xfId="24716" xr:uid="{00000000-0005-0000-0000-000099600000}"/>
    <cellStyle name="Positive 2 5 3 4 3" xfId="24717" xr:uid="{00000000-0005-0000-0000-00009A600000}"/>
    <cellStyle name="Positive 2 5 3 5" xfId="24718" xr:uid="{00000000-0005-0000-0000-00009B600000}"/>
    <cellStyle name="Positive 2 5 3 5 2" xfId="24719" xr:uid="{00000000-0005-0000-0000-00009C600000}"/>
    <cellStyle name="Positive 2 5 3 6" xfId="24720" xr:uid="{00000000-0005-0000-0000-00009D600000}"/>
    <cellStyle name="Positive 2 5 3 6 2" xfId="24721" xr:uid="{00000000-0005-0000-0000-00009E600000}"/>
    <cellStyle name="Positive 2 5 3 7" xfId="24722" xr:uid="{00000000-0005-0000-0000-00009F600000}"/>
    <cellStyle name="Positive 2 5 3 7 2" xfId="24723" xr:uid="{00000000-0005-0000-0000-0000A0600000}"/>
    <cellStyle name="Positive 2 5 3 8" xfId="24724" xr:uid="{00000000-0005-0000-0000-0000A1600000}"/>
    <cellStyle name="Positive 2 5 3 8 2" xfId="24725" xr:uid="{00000000-0005-0000-0000-0000A2600000}"/>
    <cellStyle name="Positive 2 5 3 9" xfId="24726" xr:uid="{00000000-0005-0000-0000-0000A3600000}"/>
    <cellStyle name="Positive 2 5 3 9 2" xfId="24727" xr:uid="{00000000-0005-0000-0000-0000A4600000}"/>
    <cellStyle name="Positive 2 5 4" xfId="24728" xr:uid="{00000000-0005-0000-0000-0000A5600000}"/>
    <cellStyle name="Positive 2 5 4 10" xfId="24729" xr:uid="{00000000-0005-0000-0000-0000A6600000}"/>
    <cellStyle name="Positive 2 5 4 10 2" xfId="24730" xr:uid="{00000000-0005-0000-0000-0000A7600000}"/>
    <cellStyle name="Positive 2 5 4 11" xfId="24731" xr:uid="{00000000-0005-0000-0000-0000A8600000}"/>
    <cellStyle name="Positive 2 5 4 11 2" xfId="24732" xr:uid="{00000000-0005-0000-0000-0000A9600000}"/>
    <cellStyle name="Positive 2 5 4 12" xfId="24733" xr:uid="{00000000-0005-0000-0000-0000AA600000}"/>
    <cellStyle name="Positive 2 5 4 12 2" xfId="24734" xr:uid="{00000000-0005-0000-0000-0000AB600000}"/>
    <cellStyle name="Positive 2 5 4 13" xfId="24735" xr:uid="{00000000-0005-0000-0000-0000AC600000}"/>
    <cellStyle name="Positive 2 5 4 13 2" xfId="24736" xr:uid="{00000000-0005-0000-0000-0000AD600000}"/>
    <cellStyle name="Positive 2 5 4 14" xfId="24737" xr:uid="{00000000-0005-0000-0000-0000AE600000}"/>
    <cellStyle name="Positive 2 5 4 14 2" xfId="24738" xr:uid="{00000000-0005-0000-0000-0000AF600000}"/>
    <cellStyle name="Positive 2 5 4 15" xfId="24739" xr:uid="{00000000-0005-0000-0000-0000B0600000}"/>
    <cellStyle name="Positive 2 5 4 15 2" xfId="24740" xr:uid="{00000000-0005-0000-0000-0000B1600000}"/>
    <cellStyle name="Positive 2 5 4 16" xfId="24741" xr:uid="{00000000-0005-0000-0000-0000B2600000}"/>
    <cellStyle name="Positive 2 5 4 16 2" xfId="24742" xr:uid="{00000000-0005-0000-0000-0000B3600000}"/>
    <cellStyle name="Positive 2 5 4 17" xfId="24743" xr:uid="{00000000-0005-0000-0000-0000B4600000}"/>
    <cellStyle name="Positive 2 5 4 17 2" xfId="24744" xr:uid="{00000000-0005-0000-0000-0000B5600000}"/>
    <cellStyle name="Positive 2 5 4 18" xfId="24745" xr:uid="{00000000-0005-0000-0000-0000B6600000}"/>
    <cellStyle name="Positive 2 5 4 18 2" xfId="24746" xr:uid="{00000000-0005-0000-0000-0000B7600000}"/>
    <cellStyle name="Positive 2 5 4 19" xfId="24747" xr:uid="{00000000-0005-0000-0000-0000B8600000}"/>
    <cellStyle name="Positive 2 5 4 19 2" xfId="24748" xr:uid="{00000000-0005-0000-0000-0000B9600000}"/>
    <cellStyle name="Positive 2 5 4 2" xfId="24749" xr:uid="{00000000-0005-0000-0000-0000BA600000}"/>
    <cellStyle name="Positive 2 5 4 2 10" xfId="24750" xr:uid="{00000000-0005-0000-0000-0000BB600000}"/>
    <cellStyle name="Positive 2 5 4 2 10 2" xfId="24751" xr:uid="{00000000-0005-0000-0000-0000BC600000}"/>
    <cellStyle name="Positive 2 5 4 2 11" xfId="24752" xr:uid="{00000000-0005-0000-0000-0000BD600000}"/>
    <cellStyle name="Positive 2 5 4 2 11 2" xfId="24753" xr:uid="{00000000-0005-0000-0000-0000BE600000}"/>
    <cellStyle name="Positive 2 5 4 2 12" xfId="24754" xr:uid="{00000000-0005-0000-0000-0000BF600000}"/>
    <cellStyle name="Positive 2 5 4 2 12 2" xfId="24755" xr:uid="{00000000-0005-0000-0000-0000C0600000}"/>
    <cellStyle name="Positive 2 5 4 2 13" xfId="24756" xr:uid="{00000000-0005-0000-0000-0000C1600000}"/>
    <cellStyle name="Positive 2 5 4 2 13 2" xfId="24757" xr:uid="{00000000-0005-0000-0000-0000C2600000}"/>
    <cellStyle name="Positive 2 5 4 2 14" xfId="24758" xr:uid="{00000000-0005-0000-0000-0000C3600000}"/>
    <cellStyle name="Positive 2 5 4 2 14 2" xfId="24759" xr:uid="{00000000-0005-0000-0000-0000C4600000}"/>
    <cellStyle name="Positive 2 5 4 2 15" xfId="24760" xr:uid="{00000000-0005-0000-0000-0000C5600000}"/>
    <cellStyle name="Positive 2 5 4 2 15 2" xfId="24761" xr:uid="{00000000-0005-0000-0000-0000C6600000}"/>
    <cellStyle name="Positive 2 5 4 2 16" xfId="24762" xr:uid="{00000000-0005-0000-0000-0000C7600000}"/>
    <cellStyle name="Positive 2 5 4 2 16 2" xfId="24763" xr:uid="{00000000-0005-0000-0000-0000C8600000}"/>
    <cellStyle name="Positive 2 5 4 2 17" xfId="24764" xr:uid="{00000000-0005-0000-0000-0000C9600000}"/>
    <cellStyle name="Positive 2 5 4 2 2" xfId="24765" xr:uid="{00000000-0005-0000-0000-0000CA600000}"/>
    <cellStyle name="Positive 2 5 4 2 2 2" xfId="24766" xr:uid="{00000000-0005-0000-0000-0000CB600000}"/>
    <cellStyle name="Positive 2 5 4 2 3" xfId="24767" xr:uid="{00000000-0005-0000-0000-0000CC600000}"/>
    <cellStyle name="Positive 2 5 4 2 3 2" xfId="24768" xr:uid="{00000000-0005-0000-0000-0000CD600000}"/>
    <cellStyle name="Positive 2 5 4 2 4" xfId="24769" xr:uid="{00000000-0005-0000-0000-0000CE600000}"/>
    <cellStyle name="Positive 2 5 4 2 4 2" xfId="24770" xr:uid="{00000000-0005-0000-0000-0000CF600000}"/>
    <cellStyle name="Positive 2 5 4 2 5" xfId="24771" xr:uid="{00000000-0005-0000-0000-0000D0600000}"/>
    <cellStyle name="Positive 2 5 4 2 5 2" xfId="24772" xr:uid="{00000000-0005-0000-0000-0000D1600000}"/>
    <cellStyle name="Positive 2 5 4 2 6" xfId="24773" xr:uid="{00000000-0005-0000-0000-0000D2600000}"/>
    <cellStyle name="Positive 2 5 4 2 6 2" xfId="24774" xr:uid="{00000000-0005-0000-0000-0000D3600000}"/>
    <cellStyle name="Positive 2 5 4 2 7" xfId="24775" xr:uid="{00000000-0005-0000-0000-0000D4600000}"/>
    <cellStyle name="Positive 2 5 4 2 7 2" xfId="24776" xr:uid="{00000000-0005-0000-0000-0000D5600000}"/>
    <cellStyle name="Positive 2 5 4 2 8" xfId="24777" xr:uid="{00000000-0005-0000-0000-0000D6600000}"/>
    <cellStyle name="Positive 2 5 4 2 8 2" xfId="24778" xr:uid="{00000000-0005-0000-0000-0000D7600000}"/>
    <cellStyle name="Positive 2 5 4 2 9" xfId="24779" xr:uid="{00000000-0005-0000-0000-0000D8600000}"/>
    <cellStyle name="Positive 2 5 4 2 9 2" xfId="24780" xr:uid="{00000000-0005-0000-0000-0000D9600000}"/>
    <cellStyle name="Positive 2 5 4 20" xfId="24781" xr:uid="{00000000-0005-0000-0000-0000DA600000}"/>
    <cellStyle name="Positive 2 5 4 3" xfId="24782" xr:uid="{00000000-0005-0000-0000-0000DB600000}"/>
    <cellStyle name="Positive 2 5 4 3 2" xfId="24783" xr:uid="{00000000-0005-0000-0000-0000DC600000}"/>
    <cellStyle name="Positive 2 5 4 3 2 2" xfId="24784" xr:uid="{00000000-0005-0000-0000-0000DD600000}"/>
    <cellStyle name="Positive 2 5 4 3 3" xfId="24785" xr:uid="{00000000-0005-0000-0000-0000DE600000}"/>
    <cellStyle name="Positive 2 5 4 4" xfId="24786" xr:uid="{00000000-0005-0000-0000-0000DF600000}"/>
    <cellStyle name="Positive 2 5 4 4 2" xfId="24787" xr:uid="{00000000-0005-0000-0000-0000E0600000}"/>
    <cellStyle name="Positive 2 5 4 4 2 2" xfId="24788" xr:uid="{00000000-0005-0000-0000-0000E1600000}"/>
    <cellStyle name="Positive 2 5 4 4 3" xfId="24789" xr:uid="{00000000-0005-0000-0000-0000E2600000}"/>
    <cellStyle name="Positive 2 5 4 5" xfId="24790" xr:uid="{00000000-0005-0000-0000-0000E3600000}"/>
    <cellStyle name="Positive 2 5 4 5 2" xfId="24791" xr:uid="{00000000-0005-0000-0000-0000E4600000}"/>
    <cellStyle name="Positive 2 5 4 6" xfId="24792" xr:uid="{00000000-0005-0000-0000-0000E5600000}"/>
    <cellStyle name="Positive 2 5 4 6 2" xfId="24793" xr:uid="{00000000-0005-0000-0000-0000E6600000}"/>
    <cellStyle name="Positive 2 5 4 7" xfId="24794" xr:uid="{00000000-0005-0000-0000-0000E7600000}"/>
    <cellStyle name="Positive 2 5 4 7 2" xfId="24795" xr:uid="{00000000-0005-0000-0000-0000E8600000}"/>
    <cellStyle name="Positive 2 5 4 8" xfId="24796" xr:uid="{00000000-0005-0000-0000-0000E9600000}"/>
    <cellStyle name="Positive 2 5 4 8 2" xfId="24797" xr:uid="{00000000-0005-0000-0000-0000EA600000}"/>
    <cellStyle name="Positive 2 5 4 9" xfId="24798" xr:uid="{00000000-0005-0000-0000-0000EB600000}"/>
    <cellStyle name="Positive 2 5 4 9 2" xfId="24799" xr:uid="{00000000-0005-0000-0000-0000EC600000}"/>
    <cellStyle name="Positive 2 5 5" xfId="24800" xr:uid="{00000000-0005-0000-0000-0000ED600000}"/>
    <cellStyle name="Positive 2 5 5 10" xfId="24801" xr:uid="{00000000-0005-0000-0000-0000EE600000}"/>
    <cellStyle name="Positive 2 5 5 10 2" xfId="24802" xr:uid="{00000000-0005-0000-0000-0000EF600000}"/>
    <cellStyle name="Positive 2 5 5 11" xfId="24803" xr:uid="{00000000-0005-0000-0000-0000F0600000}"/>
    <cellStyle name="Positive 2 5 5 11 2" xfId="24804" xr:uid="{00000000-0005-0000-0000-0000F1600000}"/>
    <cellStyle name="Positive 2 5 5 12" xfId="24805" xr:uid="{00000000-0005-0000-0000-0000F2600000}"/>
    <cellStyle name="Positive 2 5 5 12 2" xfId="24806" xr:uid="{00000000-0005-0000-0000-0000F3600000}"/>
    <cellStyle name="Positive 2 5 5 13" xfId="24807" xr:uid="{00000000-0005-0000-0000-0000F4600000}"/>
    <cellStyle name="Positive 2 5 5 13 2" xfId="24808" xr:uid="{00000000-0005-0000-0000-0000F5600000}"/>
    <cellStyle name="Positive 2 5 5 14" xfId="24809" xr:uid="{00000000-0005-0000-0000-0000F6600000}"/>
    <cellStyle name="Positive 2 5 5 14 2" xfId="24810" xr:uid="{00000000-0005-0000-0000-0000F7600000}"/>
    <cellStyle name="Positive 2 5 5 15" xfId="24811" xr:uid="{00000000-0005-0000-0000-0000F8600000}"/>
    <cellStyle name="Positive 2 5 5 15 2" xfId="24812" xr:uid="{00000000-0005-0000-0000-0000F9600000}"/>
    <cellStyle name="Positive 2 5 5 16" xfId="24813" xr:uid="{00000000-0005-0000-0000-0000FA600000}"/>
    <cellStyle name="Positive 2 5 5 16 2" xfId="24814" xr:uid="{00000000-0005-0000-0000-0000FB600000}"/>
    <cellStyle name="Positive 2 5 5 17" xfId="24815" xr:uid="{00000000-0005-0000-0000-0000FC600000}"/>
    <cellStyle name="Positive 2 5 5 2" xfId="24816" xr:uid="{00000000-0005-0000-0000-0000FD600000}"/>
    <cellStyle name="Positive 2 5 5 2 2" xfId="24817" xr:uid="{00000000-0005-0000-0000-0000FE600000}"/>
    <cellStyle name="Positive 2 5 5 3" xfId="24818" xr:uid="{00000000-0005-0000-0000-0000FF600000}"/>
    <cellStyle name="Positive 2 5 5 3 2" xfId="24819" xr:uid="{00000000-0005-0000-0000-000000610000}"/>
    <cellStyle name="Positive 2 5 5 4" xfId="24820" xr:uid="{00000000-0005-0000-0000-000001610000}"/>
    <cellStyle name="Positive 2 5 5 4 2" xfId="24821" xr:uid="{00000000-0005-0000-0000-000002610000}"/>
    <cellStyle name="Positive 2 5 5 5" xfId="24822" xr:uid="{00000000-0005-0000-0000-000003610000}"/>
    <cellStyle name="Positive 2 5 5 5 2" xfId="24823" xr:uid="{00000000-0005-0000-0000-000004610000}"/>
    <cellStyle name="Positive 2 5 5 6" xfId="24824" xr:uid="{00000000-0005-0000-0000-000005610000}"/>
    <cellStyle name="Positive 2 5 5 6 2" xfId="24825" xr:uid="{00000000-0005-0000-0000-000006610000}"/>
    <cellStyle name="Positive 2 5 5 7" xfId="24826" xr:uid="{00000000-0005-0000-0000-000007610000}"/>
    <cellStyle name="Positive 2 5 5 7 2" xfId="24827" xr:uid="{00000000-0005-0000-0000-000008610000}"/>
    <cellStyle name="Positive 2 5 5 8" xfId="24828" xr:uid="{00000000-0005-0000-0000-000009610000}"/>
    <cellStyle name="Positive 2 5 5 8 2" xfId="24829" xr:uid="{00000000-0005-0000-0000-00000A610000}"/>
    <cellStyle name="Positive 2 5 5 9" xfId="24830" xr:uid="{00000000-0005-0000-0000-00000B610000}"/>
    <cellStyle name="Positive 2 5 5 9 2" xfId="24831" xr:uid="{00000000-0005-0000-0000-00000C610000}"/>
    <cellStyle name="Positive 2 5 6" xfId="24832" xr:uid="{00000000-0005-0000-0000-00000D610000}"/>
    <cellStyle name="Positive 2 5 6 2" xfId="24833" xr:uid="{00000000-0005-0000-0000-00000E610000}"/>
    <cellStyle name="Positive 2 5 6 2 2" xfId="24834" xr:uid="{00000000-0005-0000-0000-00000F610000}"/>
    <cellStyle name="Positive 2 5 6 3" xfId="24835" xr:uid="{00000000-0005-0000-0000-000010610000}"/>
    <cellStyle name="Positive 2 5 7" xfId="24836" xr:uid="{00000000-0005-0000-0000-000011610000}"/>
    <cellStyle name="Positive 2 5 7 2" xfId="24837" xr:uid="{00000000-0005-0000-0000-000012610000}"/>
    <cellStyle name="Positive 2 5 7 2 2" xfId="24838" xr:uid="{00000000-0005-0000-0000-000013610000}"/>
    <cellStyle name="Positive 2 5 7 3" xfId="24839" xr:uid="{00000000-0005-0000-0000-000014610000}"/>
    <cellStyle name="Positive 2 5 8" xfId="24840" xr:uid="{00000000-0005-0000-0000-000015610000}"/>
    <cellStyle name="Positive 2 5 8 2" xfId="24841" xr:uid="{00000000-0005-0000-0000-000016610000}"/>
    <cellStyle name="Positive 2 5 9" xfId="24842" xr:uid="{00000000-0005-0000-0000-000017610000}"/>
    <cellStyle name="Positive 2 5 9 2" xfId="24843" xr:uid="{00000000-0005-0000-0000-000018610000}"/>
    <cellStyle name="Positive 2 6" xfId="24844" xr:uid="{00000000-0005-0000-0000-000019610000}"/>
    <cellStyle name="Positive 2 6 10" xfId="24845" xr:uid="{00000000-0005-0000-0000-00001A610000}"/>
    <cellStyle name="Positive 2 6 10 2" xfId="24846" xr:uid="{00000000-0005-0000-0000-00001B610000}"/>
    <cellStyle name="Positive 2 6 11" xfId="24847" xr:uid="{00000000-0005-0000-0000-00001C610000}"/>
    <cellStyle name="Positive 2 6 11 2" xfId="24848" xr:uid="{00000000-0005-0000-0000-00001D610000}"/>
    <cellStyle name="Positive 2 6 12" xfId="24849" xr:uid="{00000000-0005-0000-0000-00001E610000}"/>
    <cellStyle name="Positive 2 6 12 2" xfId="24850" xr:uid="{00000000-0005-0000-0000-00001F610000}"/>
    <cellStyle name="Positive 2 6 13" xfId="24851" xr:uid="{00000000-0005-0000-0000-000020610000}"/>
    <cellStyle name="Positive 2 6 13 2" xfId="24852" xr:uid="{00000000-0005-0000-0000-000021610000}"/>
    <cellStyle name="Positive 2 6 14" xfId="24853" xr:uid="{00000000-0005-0000-0000-000022610000}"/>
    <cellStyle name="Positive 2 6 14 2" xfId="24854" xr:uid="{00000000-0005-0000-0000-000023610000}"/>
    <cellStyle name="Positive 2 6 15" xfId="24855" xr:uid="{00000000-0005-0000-0000-000024610000}"/>
    <cellStyle name="Positive 2 6 15 2" xfId="24856" xr:uid="{00000000-0005-0000-0000-000025610000}"/>
    <cellStyle name="Positive 2 6 16" xfId="24857" xr:uid="{00000000-0005-0000-0000-000026610000}"/>
    <cellStyle name="Positive 2 6 16 2" xfId="24858" xr:uid="{00000000-0005-0000-0000-000027610000}"/>
    <cellStyle name="Positive 2 6 17" xfId="24859" xr:uid="{00000000-0005-0000-0000-000028610000}"/>
    <cellStyle name="Positive 2 6 17 2" xfId="24860" xr:uid="{00000000-0005-0000-0000-000029610000}"/>
    <cellStyle name="Positive 2 6 18" xfId="24861" xr:uid="{00000000-0005-0000-0000-00002A610000}"/>
    <cellStyle name="Positive 2 6 18 2" xfId="24862" xr:uid="{00000000-0005-0000-0000-00002B610000}"/>
    <cellStyle name="Positive 2 6 19" xfId="24863" xr:uid="{00000000-0005-0000-0000-00002C610000}"/>
    <cellStyle name="Positive 2 6 19 2" xfId="24864" xr:uid="{00000000-0005-0000-0000-00002D610000}"/>
    <cellStyle name="Positive 2 6 2" xfId="24865" xr:uid="{00000000-0005-0000-0000-00002E610000}"/>
    <cellStyle name="Positive 2 6 2 10" xfId="24866" xr:uid="{00000000-0005-0000-0000-00002F610000}"/>
    <cellStyle name="Positive 2 6 2 10 2" xfId="24867" xr:uid="{00000000-0005-0000-0000-000030610000}"/>
    <cellStyle name="Positive 2 6 2 11" xfId="24868" xr:uid="{00000000-0005-0000-0000-000031610000}"/>
    <cellStyle name="Positive 2 6 2 11 2" xfId="24869" xr:uid="{00000000-0005-0000-0000-000032610000}"/>
    <cellStyle name="Positive 2 6 2 12" xfId="24870" xr:uid="{00000000-0005-0000-0000-000033610000}"/>
    <cellStyle name="Positive 2 6 2 12 2" xfId="24871" xr:uid="{00000000-0005-0000-0000-000034610000}"/>
    <cellStyle name="Positive 2 6 2 13" xfId="24872" xr:uid="{00000000-0005-0000-0000-000035610000}"/>
    <cellStyle name="Positive 2 6 2 13 2" xfId="24873" xr:uid="{00000000-0005-0000-0000-000036610000}"/>
    <cellStyle name="Positive 2 6 2 14" xfId="24874" xr:uid="{00000000-0005-0000-0000-000037610000}"/>
    <cellStyle name="Positive 2 6 2 14 2" xfId="24875" xr:uid="{00000000-0005-0000-0000-000038610000}"/>
    <cellStyle name="Positive 2 6 2 15" xfId="24876" xr:uid="{00000000-0005-0000-0000-000039610000}"/>
    <cellStyle name="Positive 2 6 2 15 2" xfId="24877" xr:uid="{00000000-0005-0000-0000-00003A610000}"/>
    <cellStyle name="Positive 2 6 2 16" xfId="24878" xr:uid="{00000000-0005-0000-0000-00003B610000}"/>
    <cellStyle name="Positive 2 6 2 16 2" xfId="24879" xr:uid="{00000000-0005-0000-0000-00003C610000}"/>
    <cellStyle name="Positive 2 6 2 17" xfId="24880" xr:uid="{00000000-0005-0000-0000-00003D610000}"/>
    <cellStyle name="Positive 2 6 2 17 2" xfId="24881" xr:uid="{00000000-0005-0000-0000-00003E610000}"/>
    <cellStyle name="Positive 2 6 2 18" xfId="24882" xr:uid="{00000000-0005-0000-0000-00003F610000}"/>
    <cellStyle name="Positive 2 6 2 18 2" xfId="24883" xr:uid="{00000000-0005-0000-0000-000040610000}"/>
    <cellStyle name="Positive 2 6 2 19" xfId="24884" xr:uid="{00000000-0005-0000-0000-000041610000}"/>
    <cellStyle name="Positive 2 6 2 19 2" xfId="24885" xr:uid="{00000000-0005-0000-0000-000042610000}"/>
    <cellStyle name="Positive 2 6 2 2" xfId="24886" xr:uid="{00000000-0005-0000-0000-000043610000}"/>
    <cellStyle name="Positive 2 6 2 2 10" xfId="24887" xr:uid="{00000000-0005-0000-0000-000044610000}"/>
    <cellStyle name="Positive 2 6 2 2 10 2" xfId="24888" xr:uid="{00000000-0005-0000-0000-000045610000}"/>
    <cellStyle name="Positive 2 6 2 2 11" xfId="24889" xr:uid="{00000000-0005-0000-0000-000046610000}"/>
    <cellStyle name="Positive 2 6 2 2 11 2" xfId="24890" xr:uid="{00000000-0005-0000-0000-000047610000}"/>
    <cellStyle name="Positive 2 6 2 2 12" xfId="24891" xr:uid="{00000000-0005-0000-0000-000048610000}"/>
    <cellStyle name="Positive 2 6 2 2 12 2" xfId="24892" xr:uid="{00000000-0005-0000-0000-000049610000}"/>
    <cellStyle name="Positive 2 6 2 2 13" xfId="24893" xr:uid="{00000000-0005-0000-0000-00004A610000}"/>
    <cellStyle name="Positive 2 6 2 2 13 2" xfId="24894" xr:uid="{00000000-0005-0000-0000-00004B610000}"/>
    <cellStyle name="Positive 2 6 2 2 14" xfId="24895" xr:uid="{00000000-0005-0000-0000-00004C610000}"/>
    <cellStyle name="Positive 2 6 2 2 14 2" xfId="24896" xr:uid="{00000000-0005-0000-0000-00004D610000}"/>
    <cellStyle name="Positive 2 6 2 2 15" xfId="24897" xr:uid="{00000000-0005-0000-0000-00004E610000}"/>
    <cellStyle name="Positive 2 6 2 2 15 2" xfId="24898" xr:uid="{00000000-0005-0000-0000-00004F610000}"/>
    <cellStyle name="Positive 2 6 2 2 16" xfId="24899" xr:uid="{00000000-0005-0000-0000-000050610000}"/>
    <cellStyle name="Positive 2 6 2 2 16 2" xfId="24900" xr:uid="{00000000-0005-0000-0000-000051610000}"/>
    <cellStyle name="Positive 2 6 2 2 17" xfId="24901" xr:uid="{00000000-0005-0000-0000-000052610000}"/>
    <cellStyle name="Positive 2 6 2 2 2" xfId="24902" xr:uid="{00000000-0005-0000-0000-000053610000}"/>
    <cellStyle name="Positive 2 6 2 2 2 2" xfId="24903" xr:uid="{00000000-0005-0000-0000-000054610000}"/>
    <cellStyle name="Positive 2 6 2 2 3" xfId="24904" xr:uid="{00000000-0005-0000-0000-000055610000}"/>
    <cellStyle name="Positive 2 6 2 2 3 2" xfId="24905" xr:uid="{00000000-0005-0000-0000-000056610000}"/>
    <cellStyle name="Positive 2 6 2 2 4" xfId="24906" xr:uid="{00000000-0005-0000-0000-000057610000}"/>
    <cellStyle name="Positive 2 6 2 2 4 2" xfId="24907" xr:uid="{00000000-0005-0000-0000-000058610000}"/>
    <cellStyle name="Positive 2 6 2 2 5" xfId="24908" xr:uid="{00000000-0005-0000-0000-000059610000}"/>
    <cellStyle name="Positive 2 6 2 2 5 2" xfId="24909" xr:uid="{00000000-0005-0000-0000-00005A610000}"/>
    <cellStyle name="Positive 2 6 2 2 6" xfId="24910" xr:uid="{00000000-0005-0000-0000-00005B610000}"/>
    <cellStyle name="Positive 2 6 2 2 6 2" xfId="24911" xr:uid="{00000000-0005-0000-0000-00005C610000}"/>
    <cellStyle name="Positive 2 6 2 2 7" xfId="24912" xr:uid="{00000000-0005-0000-0000-00005D610000}"/>
    <cellStyle name="Positive 2 6 2 2 7 2" xfId="24913" xr:uid="{00000000-0005-0000-0000-00005E610000}"/>
    <cellStyle name="Positive 2 6 2 2 8" xfId="24914" xr:uid="{00000000-0005-0000-0000-00005F610000}"/>
    <cellStyle name="Positive 2 6 2 2 8 2" xfId="24915" xr:uid="{00000000-0005-0000-0000-000060610000}"/>
    <cellStyle name="Positive 2 6 2 2 9" xfId="24916" xr:uid="{00000000-0005-0000-0000-000061610000}"/>
    <cellStyle name="Positive 2 6 2 2 9 2" xfId="24917" xr:uid="{00000000-0005-0000-0000-000062610000}"/>
    <cellStyle name="Positive 2 6 2 20" xfId="24918" xr:uid="{00000000-0005-0000-0000-000063610000}"/>
    <cellStyle name="Positive 2 6 2 3" xfId="24919" xr:uid="{00000000-0005-0000-0000-000064610000}"/>
    <cellStyle name="Positive 2 6 2 3 2" xfId="24920" xr:uid="{00000000-0005-0000-0000-000065610000}"/>
    <cellStyle name="Positive 2 6 2 3 2 2" xfId="24921" xr:uid="{00000000-0005-0000-0000-000066610000}"/>
    <cellStyle name="Positive 2 6 2 3 3" xfId="24922" xr:uid="{00000000-0005-0000-0000-000067610000}"/>
    <cellStyle name="Positive 2 6 2 4" xfId="24923" xr:uid="{00000000-0005-0000-0000-000068610000}"/>
    <cellStyle name="Positive 2 6 2 4 2" xfId="24924" xr:uid="{00000000-0005-0000-0000-000069610000}"/>
    <cellStyle name="Positive 2 6 2 4 2 2" xfId="24925" xr:uid="{00000000-0005-0000-0000-00006A610000}"/>
    <cellStyle name="Positive 2 6 2 4 3" xfId="24926" xr:uid="{00000000-0005-0000-0000-00006B610000}"/>
    <cellStyle name="Positive 2 6 2 5" xfId="24927" xr:uid="{00000000-0005-0000-0000-00006C610000}"/>
    <cellStyle name="Positive 2 6 2 5 2" xfId="24928" xr:uid="{00000000-0005-0000-0000-00006D610000}"/>
    <cellStyle name="Positive 2 6 2 6" xfId="24929" xr:uid="{00000000-0005-0000-0000-00006E610000}"/>
    <cellStyle name="Positive 2 6 2 6 2" xfId="24930" xr:uid="{00000000-0005-0000-0000-00006F610000}"/>
    <cellStyle name="Positive 2 6 2 7" xfId="24931" xr:uid="{00000000-0005-0000-0000-000070610000}"/>
    <cellStyle name="Positive 2 6 2 7 2" xfId="24932" xr:uid="{00000000-0005-0000-0000-000071610000}"/>
    <cellStyle name="Positive 2 6 2 8" xfId="24933" xr:uid="{00000000-0005-0000-0000-000072610000}"/>
    <cellStyle name="Positive 2 6 2 8 2" xfId="24934" xr:uid="{00000000-0005-0000-0000-000073610000}"/>
    <cellStyle name="Positive 2 6 2 9" xfId="24935" xr:uid="{00000000-0005-0000-0000-000074610000}"/>
    <cellStyle name="Positive 2 6 2 9 2" xfId="24936" xr:uid="{00000000-0005-0000-0000-000075610000}"/>
    <cellStyle name="Positive 2 6 20" xfId="24937" xr:uid="{00000000-0005-0000-0000-000076610000}"/>
    <cellStyle name="Positive 2 6 20 2" xfId="24938" xr:uid="{00000000-0005-0000-0000-000077610000}"/>
    <cellStyle name="Positive 2 6 21" xfId="24939" xr:uid="{00000000-0005-0000-0000-000078610000}"/>
    <cellStyle name="Positive 2 6 21 2" xfId="24940" xr:uid="{00000000-0005-0000-0000-000079610000}"/>
    <cellStyle name="Positive 2 6 22" xfId="24941" xr:uid="{00000000-0005-0000-0000-00007A610000}"/>
    <cellStyle name="Positive 2 6 22 2" xfId="24942" xr:uid="{00000000-0005-0000-0000-00007B610000}"/>
    <cellStyle name="Positive 2 6 23" xfId="24943" xr:uid="{00000000-0005-0000-0000-00007C610000}"/>
    <cellStyle name="Positive 2 6 3" xfId="24944" xr:uid="{00000000-0005-0000-0000-00007D610000}"/>
    <cellStyle name="Positive 2 6 3 10" xfId="24945" xr:uid="{00000000-0005-0000-0000-00007E610000}"/>
    <cellStyle name="Positive 2 6 3 10 2" xfId="24946" xr:uid="{00000000-0005-0000-0000-00007F610000}"/>
    <cellStyle name="Positive 2 6 3 11" xfId="24947" xr:uid="{00000000-0005-0000-0000-000080610000}"/>
    <cellStyle name="Positive 2 6 3 11 2" xfId="24948" xr:uid="{00000000-0005-0000-0000-000081610000}"/>
    <cellStyle name="Positive 2 6 3 12" xfId="24949" xr:uid="{00000000-0005-0000-0000-000082610000}"/>
    <cellStyle name="Positive 2 6 3 12 2" xfId="24950" xr:uid="{00000000-0005-0000-0000-000083610000}"/>
    <cellStyle name="Positive 2 6 3 13" xfId="24951" xr:uid="{00000000-0005-0000-0000-000084610000}"/>
    <cellStyle name="Positive 2 6 3 13 2" xfId="24952" xr:uid="{00000000-0005-0000-0000-000085610000}"/>
    <cellStyle name="Positive 2 6 3 14" xfId="24953" xr:uid="{00000000-0005-0000-0000-000086610000}"/>
    <cellStyle name="Positive 2 6 3 14 2" xfId="24954" xr:uid="{00000000-0005-0000-0000-000087610000}"/>
    <cellStyle name="Positive 2 6 3 15" xfId="24955" xr:uid="{00000000-0005-0000-0000-000088610000}"/>
    <cellStyle name="Positive 2 6 3 15 2" xfId="24956" xr:uid="{00000000-0005-0000-0000-000089610000}"/>
    <cellStyle name="Positive 2 6 3 16" xfId="24957" xr:uid="{00000000-0005-0000-0000-00008A610000}"/>
    <cellStyle name="Positive 2 6 3 16 2" xfId="24958" xr:uid="{00000000-0005-0000-0000-00008B610000}"/>
    <cellStyle name="Positive 2 6 3 17" xfId="24959" xr:uid="{00000000-0005-0000-0000-00008C610000}"/>
    <cellStyle name="Positive 2 6 3 17 2" xfId="24960" xr:uid="{00000000-0005-0000-0000-00008D610000}"/>
    <cellStyle name="Positive 2 6 3 18" xfId="24961" xr:uid="{00000000-0005-0000-0000-00008E610000}"/>
    <cellStyle name="Positive 2 6 3 18 2" xfId="24962" xr:uid="{00000000-0005-0000-0000-00008F610000}"/>
    <cellStyle name="Positive 2 6 3 19" xfId="24963" xr:uid="{00000000-0005-0000-0000-000090610000}"/>
    <cellStyle name="Positive 2 6 3 19 2" xfId="24964" xr:uid="{00000000-0005-0000-0000-000091610000}"/>
    <cellStyle name="Positive 2 6 3 2" xfId="24965" xr:uid="{00000000-0005-0000-0000-000092610000}"/>
    <cellStyle name="Positive 2 6 3 2 10" xfId="24966" xr:uid="{00000000-0005-0000-0000-000093610000}"/>
    <cellStyle name="Positive 2 6 3 2 10 2" xfId="24967" xr:uid="{00000000-0005-0000-0000-000094610000}"/>
    <cellStyle name="Positive 2 6 3 2 11" xfId="24968" xr:uid="{00000000-0005-0000-0000-000095610000}"/>
    <cellStyle name="Positive 2 6 3 2 11 2" xfId="24969" xr:uid="{00000000-0005-0000-0000-000096610000}"/>
    <cellStyle name="Positive 2 6 3 2 12" xfId="24970" xr:uid="{00000000-0005-0000-0000-000097610000}"/>
    <cellStyle name="Positive 2 6 3 2 12 2" xfId="24971" xr:uid="{00000000-0005-0000-0000-000098610000}"/>
    <cellStyle name="Positive 2 6 3 2 13" xfId="24972" xr:uid="{00000000-0005-0000-0000-000099610000}"/>
    <cellStyle name="Positive 2 6 3 2 13 2" xfId="24973" xr:uid="{00000000-0005-0000-0000-00009A610000}"/>
    <cellStyle name="Positive 2 6 3 2 14" xfId="24974" xr:uid="{00000000-0005-0000-0000-00009B610000}"/>
    <cellStyle name="Positive 2 6 3 2 14 2" xfId="24975" xr:uid="{00000000-0005-0000-0000-00009C610000}"/>
    <cellStyle name="Positive 2 6 3 2 15" xfId="24976" xr:uid="{00000000-0005-0000-0000-00009D610000}"/>
    <cellStyle name="Positive 2 6 3 2 15 2" xfId="24977" xr:uid="{00000000-0005-0000-0000-00009E610000}"/>
    <cellStyle name="Positive 2 6 3 2 16" xfId="24978" xr:uid="{00000000-0005-0000-0000-00009F610000}"/>
    <cellStyle name="Positive 2 6 3 2 16 2" xfId="24979" xr:uid="{00000000-0005-0000-0000-0000A0610000}"/>
    <cellStyle name="Positive 2 6 3 2 17" xfId="24980" xr:uid="{00000000-0005-0000-0000-0000A1610000}"/>
    <cellStyle name="Positive 2 6 3 2 2" xfId="24981" xr:uid="{00000000-0005-0000-0000-0000A2610000}"/>
    <cellStyle name="Positive 2 6 3 2 2 2" xfId="24982" xr:uid="{00000000-0005-0000-0000-0000A3610000}"/>
    <cellStyle name="Positive 2 6 3 2 3" xfId="24983" xr:uid="{00000000-0005-0000-0000-0000A4610000}"/>
    <cellStyle name="Positive 2 6 3 2 3 2" xfId="24984" xr:uid="{00000000-0005-0000-0000-0000A5610000}"/>
    <cellStyle name="Positive 2 6 3 2 4" xfId="24985" xr:uid="{00000000-0005-0000-0000-0000A6610000}"/>
    <cellStyle name="Positive 2 6 3 2 4 2" xfId="24986" xr:uid="{00000000-0005-0000-0000-0000A7610000}"/>
    <cellStyle name="Positive 2 6 3 2 5" xfId="24987" xr:uid="{00000000-0005-0000-0000-0000A8610000}"/>
    <cellStyle name="Positive 2 6 3 2 5 2" xfId="24988" xr:uid="{00000000-0005-0000-0000-0000A9610000}"/>
    <cellStyle name="Positive 2 6 3 2 6" xfId="24989" xr:uid="{00000000-0005-0000-0000-0000AA610000}"/>
    <cellStyle name="Positive 2 6 3 2 6 2" xfId="24990" xr:uid="{00000000-0005-0000-0000-0000AB610000}"/>
    <cellStyle name="Positive 2 6 3 2 7" xfId="24991" xr:uid="{00000000-0005-0000-0000-0000AC610000}"/>
    <cellStyle name="Positive 2 6 3 2 7 2" xfId="24992" xr:uid="{00000000-0005-0000-0000-0000AD610000}"/>
    <cellStyle name="Positive 2 6 3 2 8" xfId="24993" xr:uid="{00000000-0005-0000-0000-0000AE610000}"/>
    <cellStyle name="Positive 2 6 3 2 8 2" xfId="24994" xr:uid="{00000000-0005-0000-0000-0000AF610000}"/>
    <cellStyle name="Positive 2 6 3 2 9" xfId="24995" xr:uid="{00000000-0005-0000-0000-0000B0610000}"/>
    <cellStyle name="Positive 2 6 3 2 9 2" xfId="24996" xr:uid="{00000000-0005-0000-0000-0000B1610000}"/>
    <cellStyle name="Positive 2 6 3 20" xfId="24997" xr:uid="{00000000-0005-0000-0000-0000B2610000}"/>
    <cellStyle name="Positive 2 6 3 3" xfId="24998" xr:uid="{00000000-0005-0000-0000-0000B3610000}"/>
    <cellStyle name="Positive 2 6 3 3 2" xfId="24999" xr:uid="{00000000-0005-0000-0000-0000B4610000}"/>
    <cellStyle name="Positive 2 6 3 3 2 2" xfId="25000" xr:uid="{00000000-0005-0000-0000-0000B5610000}"/>
    <cellStyle name="Positive 2 6 3 3 3" xfId="25001" xr:uid="{00000000-0005-0000-0000-0000B6610000}"/>
    <cellStyle name="Positive 2 6 3 4" xfId="25002" xr:uid="{00000000-0005-0000-0000-0000B7610000}"/>
    <cellStyle name="Positive 2 6 3 4 2" xfId="25003" xr:uid="{00000000-0005-0000-0000-0000B8610000}"/>
    <cellStyle name="Positive 2 6 3 4 2 2" xfId="25004" xr:uid="{00000000-0005-0000-0000-0000B9610000}"/>
    <cellStyle name="Positive 2 6 3 4 3" xfId="25005" xr:uid="{00000000-0005-0000-0000-0000BA610000}"/>
    <cellStyle name="Positive 2 6 3 5" xfId="25006" xr:uid="{00000000-0005-0000-0000-0000BB610000}"/>
    <cellStyle name="Positive 2 6 3 5 2" xfId="25007" xr:uid="{00000000-0005-0000-0000-0000BC610000}"/>
    <cellStyle name="Positive 2 6 3 6" xfId="25008" xr:uid="{00000000-0005-0000-0000-0000BD610000}"/>
    <cellStyle name="Positive 2 6 3 6 2" xfId="25009" xr:uid="{00000000-0005-0000-0000-0000BE610000}"/>
    <cellStyle name="Positive 2 6 3 7" xfId="25010" xr:uid="{00000000-0005-0000-0000-0000BF610000}"/>
    <cellStyle name="Positive 2 6 3 7 2" xfId="25011" xr:uid="{00000000-0005-0000-0000-0000C0610000}"/>
    <cellStyle name="Positive 2 6 3 8" xfId="25012" xr:uid="{00000000-0005-0000-0000-0000C1610000}"/>
    <cellStyle name="Positive 2 6 3 8 2" xfId="25013" xr:uid="{00000000-0005-0000-0000-0000C2610000}"/>
    <cellStyle name="Positive 2 6 3 9" xfId="25014" xr:uid="{00000000-0005-0000-0000-0000C3610000}"/>
    <cellStyle name="Positive 2 6 3 9 2" xfId="25015" xr:uid="{00000000-0005-0000-0000-0000C4610000}"/>
    <cellStyle name="Positive 2 6 4" xfId="25016" xr:uid="{00000000-0005-0000-0000-0000C5610000}"/>
    <cellStyle name="Positive 2 6 4 10" xfId="25017" xr:uid="{00000000-0005-0000-0000-0000C6610000}"/>
    <cellStyle name="Positive 2 6 4 10 2" xfId="25018" xr:uid="{00000000-0005-0000-0000-0000C7610000}"/>
    <cellStyle name="Positive 2 6 4 11" xfId="25019" xr:uid="{00000000-0005-0000-0000-0000C8610000}"/>
    <cellStyle name="Positive 2 6 4 11 2" xfId="25020" xr:uid="{00000000-0005-0000-0000-0000C9610000}"/>
    <cellStyle name="Positive 2 6 4 12" xfId="25021" xr:uid="{00000000-0005-0000-0000-0000CA610000}"/>
    <cellStyle name="Positive 2 6 4 12 2" xfId="25022" xr:uid="{00000000-0005-0000-0000-0000CB610000}"/>
    <cellStyle name="Positive 2 6 4 13" xfId="25023" xr:uid="{00000000-0005-0000-0000-0000CC610000}"/>
    <cellStyle name="Positive 2 6 4 13 2" xfId="25024" xr:uid="{00000000-0005-0000-0000-0000CD610000}"/>
    <cellStyle name="Positive 2 6 4 14" xfId="25025" xr:uid="{00000000-0005-0000-0000-0000CE610000}"/>
    <cellStyle name="Positive 2 6 4 14 2" xfId="25026" xr:uid="{00000000-0005-0000-0000-0000CF610000}"/>
    <cellStyle name="Positive 2 6 4 15" xfId="25027" xr:uid="{00000000-0005-0000-0000-0000D0610000}"/>
    <cellStyle name="Positive 2 6 4 15 2" xfId="25028" xr:uid="{00000000-0005-0000-0000-0000D1610000}"/>
    <cellStyle name="Positive 2 6 4 16" xfId="25029" xr:uid="{00000000-0005-0000-0000-0000D2610000}"/>
    <cellStyle name="Positive 2 6 4 16 2" xfId="25030" xr:uid="{00000000-0005-0000-0000-0000D3610000}"/>
    <cellStyle name="Positive 2 6 4 17" xfId="25031" xr:uid="{00000000-0005-0000-0000-0000D4610000}"/>
    <cellStyle name="Positive 2 6 4 17 2" xfId="25032" xr:uid="{00000000-0005-0000-0000-0000D5610000}"/>
    <cellStyle name="Positive 2 6 4 18" xfId="25033" xr:uid="{00000000-0005-0000-0000-0000D6610000}"/>
    <cellStyle name="Positive 2 6 4 18 2" xfId="25034" xr:uid="{00000000-0005-0000-0000-0000D7610000}"/>
    <cellStyle name="Positive 2 6 4 19" xfId="25035" xr:uid="{00000000-0005-0000-0000-0000D8610000}"/>
    <cellStyle name="Positive 2 6 4 19 2" xfId="25036" xr:uid="{00000000-0005-0000-0000-0000D9610000}"/>
    <cellStyle name="Positive 2 6 4 2" xfId="25037" xr:uid="{00000000-0005-0000-0000-0000DA610000}"/>
    <cellStyle name="Positive 2 6 4 2 10" xfId="25038" xr:uid="{00000000-0005-0000-0000-0000DB610000}"/>
    <cellStyle name="Positive 2 6 4 2 10 2" xfId="25039" xr:uid="{00000000-0005-0000-0000-0000DC610000}"/>
    <cellStyle name="Positive 2 6 4 2 11" xfId="25040" xr:uid="{00000000-0005-0000-0000-0000DD610000}"/>
    <cellStyle name="Positive 2 6 4 2 11 2" xfId="25041" xr:uid="{00000000-0005-0000-0000-0000DE610000}"/>
    <cellStyle name="Positive 2 6 4 2 12" xfId="25042" xr:uid="{00000000-0005-0000-0000-0000DF610000}"/>
    <cellStyle name="Positive 2 6 4 2 12 2" xfId="25043" xr:uid="{00000000-0005-0000-0000-0000E0610000}"/>
    <cellStyle name="Positive 2 6 4 2 13" xfId="25044" xr:uid="{00000000-0005-0000-0000-0000E1610000}"/>
    <cellStyle name="Positive 2 6 4 2 13 2" xfId="25045" xr:uid="{00000000-0005-0000-0000-0000E2610000}"/>
    <cellStyle name="Positive 2 6 4 2 14" xfId="25046" xr:uid="{00000000-0005-0000-0000-0000E3610000}"/>
    <cellStyle name="Positive 2 6 4 2 14 2" xfId="25047" xr:uid="{00000000-0005-0000-0000-0000E4610000}"/>
    <cellStyle name="Positive 2 6 4 2 15" xfId="25048" xr:uid="{00000000-0005-0000-0000-0000E5610000}"/>
    <cellStyle name="Positive 2 6 4 2 15 2" xfId="25049" xr:uid="{00000000-0005-0000-0000-0000E6610000}"/>
    <cellStyle name="Positive 2 6 4 2 16" xfId="25050" xr:uid="{00000000-0005-0000-0000-0000E7610000}"/>
    <cellStyle name="Positive 2 6 4 2 16 2" xfId="25051" xr:uid="{00000000-0005-0000-0000-0000E8610000}"/>
    <cellStyle name="Positive 2 6 4 2 17" xfId="25052" xr:uid="{00000000-0005-0000-0000-0000E9610000}"/>
    <cellStyle name="Positive 2 6 4 2 2" xfId="25053" xr:uid="{00000000-0005-0000-0000-0000EA610000}"/>
    <cellStyle name="Positive 2 6 4 2 2 2" xfId="25054" xr:uid="{00000000-0005-0000-0000-0000EB610000}"/>
    <cellStyle name="Positive 2 6 4 2 3" xfId="25055" xr:uid="{00000000-0005-0000-0000-0000EC610000}"/>
    <cellStyle name="Positive 2 6 4 2 3 2" xfId="25056" xr:uid="{00000000-0005-0000-0000-0000ED610000}"/>
    <cellStyle name="Positive 2 6 4 2 4" xfId="25057" xr:uid="{00000000-0005-0000-0000-0000EE610000}"/>
    <cellStyle name="Positive 2 6 4 2 4 2" xfId="25058" xr:uid="{00000000-0005-0000-0000-0000EF610000}"/>
    <cellStyle name="Positive 2 6 4 2 5" xfId="25059" xr:uid="{00000000-0005-0000-0000-0000F0610000}"/>
    <cellStyle name="Positive 2 6 4 2 5 2" xfId="25060" xr:uid="{00000000-0005-0000-0000-0000F1610000}"/>
    <cellStyle name="Positive 2 6 4 2 6" xfId="25061" xr:uid="{00000000-0005-0000-0000-0000F2610000}"/>
    <cellStyle name="Positive 2 6 4 2 6 2" xfId="25062" xr:uid="{00000000-0005-0000-0000-0000F3610000}"/>
    <cellStyle name="Positive 2 6 4 2 7" xfId="25063" xr:uid="{00000000-0005-0000-0000-0000F4610000}"/>
    <cellStyle name="Positive 2 6 4 2 7 2" xfId="25064" xr:uid="{00000000-0005-0000-0000-0000F5610000}"/>
    <cellStyle name="Positive 2 6 4 2 8" xfId="25065" xr:uid="{00000000-0005-0000-0000-0000F6610000}"/>
    <cellStyle name="Positive 2 6 4 2 8 2" xfId="25066" xr:uid="{00000000-0005-0000-0000-0000F7610000}"/>
    <cellStyle name="Positive 2 6 4 2 9" xfId="25067" xr:uid="{00000000-0005-0000-0000-0000F8610000}"/>
    <cellStyle name="Positive 2 6 4 2 9 2" xfId="25068" xr:uid="{00000000-0005-0000-0000-0000F9610000}"/>
    <cellStyle name="Positive 2 6 4 20" xfId="25069" xr:uid="{00000000-0005-0000-0000-0000FA610000}"/>
    <cellStyle name="Positive 2 6 4 3" xfId="25070" xr:uid="{00000000-0005-0000-0000-0000FB610000}"/>
    <cellStyle name="Positive 2 6 4 3 2" xfId="25071" xr:uid="{00000000-0005-0000-0000-0000FC610000}"/>
    <cellStyle name="Positive 2 6 4 3 2 2" xfId="25072" xr:uid="{00000000-0005-0000-0000-0000FD610000}"/>
    <cellStyle name="Positive 2 6 4 3 3" xfId="25073" xr:uid="{00000000-0005-0000-0000-0000FE610000}"/>
    <cellStyle name="Positive 2 6 4 4" xfId="25074" xr:uid="{00000000-0005-0000-0000-0000FF610000}"/>
    <cellStyle name="Positive 2 6 4 4 2" xfId="25075" xr:uid="{00000000-0005-0000-0000-000000620000}"/>
    <cellStyle name="Positive 2 6 4 4 2 2" xfId="25076" xr:uid="{00000000-0005-0000-0000-000001620000}"/>
    <cellStyle name="Positive 2 6 4 4 3" xfId="25077" xr:uid="{00000000-0005-0000-0000-000002620000}"/>
    <cellStyle name="Positive 2 6 4 5" xfId="25078" xr:uid="{00000000-0005-0000-0000-000003620000}"/>
    <cellStyle name="Positive 2 6 4 5 2" xfId="25079" xr:uid="{00000000-0005-0000-0000-000004620000}"/>
    <cellStyle name="Positive 2 6 4 6" xfId="25080" xr:uid="{00000000-0005-0000-0000-000005620000}"/>
    <cellStyle name="Positive 2 6 4 6 2" xfId="25081" xr:uid="{00000000-0005-0000-0000-000006620000}"/>
    <cellStyle name="Positive 2 6 4 7" xfId="25082" xr:uid="{00000000-0005-0000-0000-000007620000}"/>
    <cellStyle name="Positive 2 6 4 7 2" xfId="25083" xr:uid="{00000000-0005-0000-0000-000008620000}"/>
    <cellStyle name="Positive 2 6 4 8" xfId="25084" xr:uid="{00000000-0005-0000-0000-000009620000}"/>
    <cellStyle name="Positive 2 6 4 8 2" xfId="25085" xr:uid="{00000000-0005-0000-0000-00000A620000}"/>
    <cellStyle name="Positive 2 6 4 9" xfId="25086" xr:uid="{00000000-0005-0000-0000-00000B620000}"/>
    <cellStyle name="Positive 2 6 4 9 2" xfId="25087" xr:uid="{00000000-0005-0000-0000-00000C620000}"/>
    <cellStyle name="Positive 2 6 5" xfId="25088" xr:uid="{00000000-0005-0000-0000-00000D620000}"/>
    <cellStyle name="Positive 2 6 5 10" xfId="25089" xr:uid="{00000000-0005-0000-0000-00000E620000}"/>
    <cellStyle name="Positive 2 6 5 10 2" xfId="25090" xr:uid="{00000000-0005-0000-0000-00000F620000}"/>
    <cellStyle name="Positive 2 6 5 11" xfId="25091" xr:uid="{00000000-0005-0000-0000-000010620000}"/>
    <cellStyle name="Positive 2 6 5 11 2" xfId="25092" xr:uid="{00000000-0005-0000-0000-000011620000}"/>
    <cellStyle name="Positive 2 6 5 12" xfId="25093" xr:uid="{00000000-0005-0000-0000-000012620000}"/>
    <cellStyle name="Positive 2 6 5 12 2" xfId="25094" xr:uid="{00000000-0005-0000-0000-000013620000}"/>
    <cellStyle name="Positive 2 6 5 13" xfId="25095" xr:uid="{00000000-0005-0000-0000-000014620000}"/>
    <cellStyle name="Positive 2 6 5 13 2" xfId="25096" xr:uid="{00000000-0005-0000-0000-000015620000}"/>
    <cellStyle name="Positive 2 6 5 14" xfId="25097" xr:uid="{00000000-0005-0000-0000-000016620000}"/>
    <cellStyle name="Positive 2 6 5 14 2" xfId="25098" xr:uid="{00000000-0005-0000-0000-000017620000}"/>
    <cellStyle name="Positive 2 6 5 15" xfId="25099" xr:uid="{00000000-0005-0000-0000-000018620000}"/>
    <cellStyle name="Positive 2 6 5 15 2" xfId="25100" xr:uid="{00000000-0005-0000-0000-000019620000}"/>
    <cellStyle name="Positive 2 6 5 16" xfId="25101" xr:uid="{00000000-0005-0000-0000-00001A620000}"/>
    <cellStyle name="Positive 2 6 5 16 2" xfId="25102" xr:uid="{00000000-0005-0000-0000-00001B620000}"/>
    <cellStyle name="Positive 2 6 5 17" xfId="25103" xr:uid="{00000000-0005-0000-0000-00001C620000}"/>
    <cellStyle name="Positive 2 6 5 2" xfId="25104" xr:uid="{00000000-0005-0000-0000-00001D620000}"/>
    <cellStyle name="Positive 2 6 5 2 2" xfId="25105" xr:uid="{00000000-0005-0000-0000-00001E620000}"/>
    <cellStyle name="Positive 2 6 5 3" xfId="25106" xr:uid="{00000000-0005-0000-0000-00001F620000}"/>
    <cellStyle name="Positive 2 6 5 3 2" xfId="25107" xr:uid="{00000000-0005-0000-0000-000020620000}"/>
    <cellStyle name="Positive 2 6 5 4" xfId="25108" xr:uid="{00000000-0005-0000-0000-000021620000}"/>
    <cellStyle name="Positive 2 6 5 4 2" xfId="25109" xr:uid="{00000000-0005-0000-0000-000022620000}"/>
    <cellStyle name="Positive 2 6 5 5" xfId="25110" xr:uid="{00000000-0005-0000-0000-000023620000}"/>
    <cellStyle name="Positive 2 6 5 5 2" xfId="25111" xr:uid="{00000000-0005-0000-0000-000024620000}"/>
    <cellStyle name="Positive 2 6 5 6" xfId="25112" xr:uid="{00000000-0005-0000-0000-000025620000}"/>
    <cellStyle name="Positive 2 6 5 6 2" xfId="25113" xr:uid="{00000000-0005-0000-0000-000026620000}"/>
    <cellStyle name="Positive 2 6 5 7" xfId="25114" xr:uid="{00000000-0005-0000-0000-000027620000}"/>
    <cellStyle name="Positive 2 6 5 7 2" xfId="25115" xr:uid="{00000000-0005-0000-0000-000028620000}"/>
    <cellStyle name="Positive 2 6 5 8" xfId="25116" xr:uid="{00000000-0005-0000-0000-000029620000}"/>
    <cellStyle name="Positive 2 6 5 8 2" xfId="25117" xr:uid="{00000000-0005-0000-0000-00002A620000}"/>
    <cellStyle name="Positive 2 6 5 9" xfId="25118" xr:uid="{00000000-0005-0000-0000-00002B620000}"/>
    <cellStyle name="Positive 2 6 5 9 2" xfId="25119" xr:uid="{00000000-0005-0000-0000-00002C620000}"/>
    <cellStyle name="Positive 2 6 6" xfId="25120" xr:uid="{00000000-0005-0000-0000-00002D620000}"/>
    <cellStyle name="Positive 2 6 6 2" xfId="25121" xr:uid="{00000000-0005-0000-0000-00002E620000}"/>
    <cellStyle name="Positive 2 6 6 2 2" xfId="25122" xr:uid="{00000000-0005-0000-0000-00002F620000}"/>
    <cellStyle name="Positive 2 6 6 3" xfId="25123" xr:uid="{00000000-0005-0000-0000-000030620000}"/>
    <cellStyle name="Positive 2 6 7" xfId="25124" xr:uid="{00000000-0005-0000-0000-000031620000}"/>
    <cellStyle name="Positive 2 6 7 2" xfId="25125" xr:uid="{00000000-0005-0000-0000-000032620000}"/>
    <cellStyle name="Positive 2 6 7 2 2" xfId="25126" xr:uid="{00000000-0005-0000-0000-000033620000}"/>
    <cellStyle name="Positive 2 6 7 3" xfId="25127" xr:uid="{00000000-0005-0000-0000-000034620000}"/>
    <cellStyle name="Positive 2 6 8" xfId="25128" xr:uid="{00000000-0005-0000-0000-000035620000}"/>
    <cellStyle name="Positive 2 6 8 2" xfId="25129" xr:uid="{00000000-0005-0000-0000-000036620000}"/>
    <cellStyle name="Positive 2 6 9" xfId="25130" xr:uid="{00000000-0005-0000-0000-000037620000}"/>
    <cellStyle name="Positive 2 6 9 2" xfId="25131" xr:uid="{00000000-0005-0000-0000-000038620000}"/>
    <cellStyle name="Positive 2 7" xfId="25132" xr:uid="{00000000-0005-0000-0000-000039620000}"/>
    <cellStyle name="Positive 2 7 10" xfId="25133" xr:uid="{00000000-0005-0000-0000-00003A620000}"/>
    <cellStyle name="Positive 2 7 10 2" xfId="25134" xr:uid="{00000000-0005-0000-0000-00003B620000}"/>
    <cellStyle name="Positive 2 7 11" xfId="25135" xr:uid="{00000000-0005-0000-0000-00003C620000}"/>
    <cellStyle name="Positive 2 7 11 2" xfId="25136" xr:uid="{00000000-0005-0000-0000-00003D620000}"/>
    <cellStyle name="Positive 2 7 12" xfId="25137" xr:uid="{00000000-0005-0000-0000-00003E620000}"/>
    <cellStyle name="Positive 2 7 12 2" xfId="25138" xr:uid="{00000000-0005-0000-0000-00003F620000}"/>
    <cellStyle name="Positive 2 7 13" xfId="25139" xr:uid="{00000000-0005-0000-0000-000040620000}"/>
    <cellStyle name="Positive 2 7 13 2" xfId="25140" xr:uid="{00000000-0005-0000-0000-000041620000}"/>
    <cellStyle name="Positive 2 7 14" xfId="25141" xr:uid="{00000000-0005-0000-0000-000042620000}"/>
    <cellStyle name="Positive 2 7 14 2" xfId="25142" xr:uid="{00000000-0005-0000-0000-000043620000}"/>
    <cellStyle name="Positive 2 7 15" xfId="25143" xr:uid="{00000000-0005-0000-0000-000044620000}"/>
    <cellStyle name="Positive 2 7 15 2" xfId="25144" xr:uid="{00000000-0005-0000-0000-000045620000}"/>
    <cellStyle name="Positive 2 7 16" xfId="25145" xr:uid="{00000000-0005-0000-0000-000046620000}"/>
    <cellStyle name="Positive 2 7 16 2" xfId="25146" xr:uid="{00000000-0005-0000-0000-000047620000}"/>
    <cellStyle name="Positive 2 7 17" xfId="25147" xr:uid="{00000000-0005-0000-0000-000048620000}"/>
    <cellStyle name="Positive 2 7 17 2" xfId="25148" xr:uid="{00000000-0005-0000-0000-000049620000}"/>
    <cellStyle name="Positive 2 7 18" xfId="25149" xr:uid="{00000000-0005-0000-0000-00004A620000}"/>
    <cellStyle name="Positive 2 7 18 2" xfId="25150" xr:uid="{00000000-0005-0000-0000-00004B620000}"/>
    <cellStyle name="Positive 2 7 19" xfId="25151" xr:uid="{00000000-0005-0000-0000-00004C620000}"/>
    <cellStyle name="Positive 2 7 19 2" xfId="25152" xr:uid="{00000000-0005-0000-0000-00004D620000}"/>
    <cellStyle name="Positive 2 7 2" xfId="25153" xr:uid="{00000000-0005-0000-0000-00004E620000}"/>
    <cellStyle name="Positive 2 7 2 10" xfId="25154" xr:uid="{00000000-0005-0000-0000-00004F620000}"/>
    <cellStyle name="Positive 2 7 2 10 2" xfId="25155" xr:uid="{00000000-0005-0000-0000-000050620000}"/>
    <cellStyle name="Positive 2 7 2 11" xfId="25156" xr:uid="{00000000-0005-0000-0000-000051620000}"/>
    <cellStyle name="Positive 2 7 2 11 2" xfId="25157" xr:uid="{00000000-0005-0000-0000-000052620000}"/>
    <cellStyle name="Positive 2 7 2 12" xfId="25158" xr:uid="{00000000-0005-0000-0000-000053620000}"/>
    <cellStyle name="Positive 2 7 2 12 2" xfId="25159" xr:uid="{00000000-0005-0000-0000-000054620000}"/>
    <cellStyle name="Positive 2 7 2 13" xfId="25160" xr:uid="{00000000-0005-0000-0000-000055620000}"/>
    <cellStyle name="Positive 2 7 2 13 2" xfId="25161" xr:uid="{00000000-0005-0000-0000-000056620000}"/>
    <cellStyle name="Positive 2 7 2 14" xfId="25162" xr:uid="{00000000-0005-0000-0000-000057620000}"/>
    <cellStyle name="Positive 2 7 2 14 2" xfId="25163" xr:uid="{00000000-0005-0000-0000-000058620000}"/>
    <cellStyle name="Positive 2 7 2 15" xfId="25164" xr:uid="{00000000-0005-0000-0000-000059620000}"/>
    <cellStyle name="Positive 2 7 2 15 2" xfId="25165" xr:uid="{00000000-0005-0000-0000-00005A620000}"/>
    <cellStyle name="Positive 2 7 2 16" xfId="25166" xr:uid="{00000000-0005-0000-0000-00005B620000}"/>
    <cellStyle name="Positive 2 7 2 16 2" xfId="25167" xr:uid="{00000000-0005-0000-0000-00005C620000}"/>
    <cellStyle name="Positive 2 7 2 17" xfId="25168" xr:uid="{00000000-0005-0000-0000-00005D620000}"/>
    <cellStyle name="Positive 2 7 2 17 2" xfId="25169" xr:uid="{00000000-0005-0000-0000-00005E620000}"/>
    <cellStyle name="Positive 2 7 2 18" xfId="25170" xr:uid="{00000000-0005-0000-0000-00005F620000}"/>
    <cellStyle name="Positive 2 7 2 18 2" xfId="25171" xr:uid="{00000000-0005-0000-0000-000060620000}"/>
    <cellStyle name="Positive 2 7 2 19" xfId="25172" xr:uid="{00000000-0005-0000-0000-000061620000}"/>
    <cellStyle name="Positive 2 7 2 19 2" xfId="25173" xr:uid="{00000000-0005-0000-0000-000062620000}"/>
    <cellStyle name="Positive 2 7 2 2" xfId="25174" xr:uid="{00000000-0005-0000-0000-000063620000}"/>
    <cellStyle name="Positive 2 7 2 2 10" xfId="25175" xr:uid="{00000000-0005-0000-0000-000064620000}"/>
    <cellStyle name="Positive 2 7 2 2 10 2" xfId="25176" xr:uid="{00000000-0005-0000-0000-000065620000}"/>
    <cellStyle name="Positive 2 7 2 2 11" xfId="25177" xr:uid="{00000000-0005-0000-0000-000066620000}"/>
    <cellStyle name="Positive 2 7 2 2 11 2" xfId="25178" xr:uid="{00000000-0005-0000-0000-000067620000}"/>
    <cellStyle name="Positive 2 7 2 2 12" xfId="25179" xr:uid="{00000000-0005-0000-0000-000068620000}"/>
    <cellStyle name="Positive 2 7 2 2 12 2" xfId="25180" xr:uid="{00000000-0005-0000-0000-000069620000}"/>
    <cellStyle name="Positive 2 7 2 2 13" xfId="25181" xr:uid="{00000000-0005-0000-0000-00006A620000}"/>
    <cellStyle name="Positive 2 7 2 2 13 2" xfId="25182" xr:uid="{00000000-0005-0000-0000-00006B620000}"/>
    <cellStyle name="Positive 2 7 2 2 14" xfId="25183" xr:uid="{00000000-0005-0000-0000-00006C620000}"/>
    <cellStyle name="Positive 2 7 2 2 14 2" xfId="25184" xr:uid="{00000000-0005-0000-0000-00006D620000}"/>
    <cellStyle name="Positive 2 7 2 2 15" xfId="25185" xr:uid="{00000000-0005-0000-0000-00006E620000}"/>
    <cellStyle name="Positive 2 7 2 2 15 2" xfId="25186" xr:uid="{00000000-0005-0000-0000-00006F620000}"/>
    <cellStyle name="Positive 2 7 2 2 16" xfId="25187" xr:uid="{00000000-0005-0000-0000-000070620000}"/>
    <cellStyle name="Positive 2 7 2 2 16 2" xfId="25188" xr:uid="{00000000-0005-0000-0000-000071620000}"/>
    <cellStyle name="Positive 2 7 2 2 17" xfId="25189" xr:uid="{00000000-0005-0000-0000-000072620000}"/>
    <cellStyle name="Positive 2 7 2 2 2" xfId="25190" xr:uid="{00000000-0005-0000-0000-000073620000}"/>
    <cellStyle name="Positive 2 7 2 2 2 2" xfId="25191" xr:uid="{00000000-0005-0000-0000-000074620000}"/>
    <cellStyle name="Positive 2 7 2 2 3" xfId="25192" xr:uid="{00000000-0005-0000-0000-000075620000}"/>
    <cellStyle name="Positive 2 7 2 2 3 2" xfId="25193" xr:uid="{00000000-0005-0000-0000-000076620000}"/>
    <cellStyle name="Positive 2 7 2 2 4" xfId="25194" xr:uid="{00000000-0005-0000-0000-000077620000}"/>
    <cellStyle name="Positive 2 7 2 2 4 2" xfId="25195" xr:uid="{00000000-0005-0000-0000-000078620000}"/>
    <cellStyle name="Positive 2 7 2 2 5" xfId="25196" xr:uid="{00000000-0005-0000-0000-000079620000}"/>
    <cellStyle name="Positive 2 7 2 2 5 2" xfId="25197" xr:uid="{00000000-0005-0000-0000-00007A620000}"/>
    <cellStyle name="Positive 2 7 2 2 6" xfId="25198" xr:uid="{00000000-0005-0000-0000-00007B620000}"/>
    <cellStyle name="Positive 2 7 2 2 6 2" xfId="25199" xr:uid="{00000000-0005-0000-0000-00007C620000}"/>
    <cellStyle name="Positive 2 7 2 2 7" xfId="25200" xr:uid="{00000000-0005-0000-0000-00007D620000}"/>
    <cellStyle name="Positive 2 7 2 2 7 2" xfId="25201" xr:uid="{00000000-0005-0000-0000-00007E620000}"/>
    <cellStyle name="Positive 2 7 2 2 8" xfId="25202" xr:uid="{00000000-0005-0000-0000-00007F620000}"/>
    <cellStyle name="Positive 2 7 2 2 8 2" xfId="25203" xr:uid="{00000000-0005-0000-0000-000080620000}"/>
    <cellStyle name="Positive 2 7 2 2 9" xfId="25204" xr:uid="{00000000-0005-0000-0000-000081620000}"/>
    <cellStyle name="Positive 2 7 2 2 9 2" xfId="25205" xr:uid="{00000000-0005-0000-0000-000082620000}"/>
    <cellStyle name="Positive 2 7 2 20" xfId="25206" xr:uid="{00000000-0005-0000-0000-000083620000}"/>
    <cellStyle name="Positive 2 7 2 3" xfId="25207" xr:uid="{00000000-0005-0000-0000-000084620000}"/>
    <cellStyle name="Positive 2 7 2 3 2" xfId="25208" xr:uid="{00000000-0005-0000-0000-000085620000}"/>
    <cellStyle name="Positive 2 7 2 3 2 2" xfId="25209" xr:uid="{00000000-0005-0000-0000-000086620000}"/>
    <cellStyle name="Positive 2 7 2 3 3" xfId="25210" xr:uid="{00000000-0005-0000-0000-000087620000}"/>
    <cellStyle name="Positive 2 7 2 4" xfId="25211" xr:uid="{00000000-0005-0000-0000-000088620000}"/>
    <cellStyle name="Positive 2 7 2 4 2" xfId="25212" xr:uid="{00000000-0005-0000-0000-000089620000}"/>
    <cellStyle name="Positive 2 7 2 4 2 2" xfId="25213" xr:uid="{00000000-0005-0000-0000-00008A620000}"/>
    <cellStyle name="Positive 2 7 2 4 3" xfId="25214" xr:uid="{00000000-0005-0000-0000-00008B620000}"/>
    <cellStyle name="Positive 2 7 2 5" xfId="25215" xr:uid="{00000000-0005-0000-0000-00008C620000}"/>
    <cellStyle name="Positive 2 7 2 5 2" xfId="25216" xr:uid="{00000000-0005-0000-0000-00008D620000}"/>
    <cellStyle name="Positive 2 7 2 6" xfId="25217" xr:uid="{00000000-0005-0000-0000-00008E620000}"/>
    <cellStyle name="Positive 2 7 2 6 2" xfId="25218" xr:uid="{00000000-0005-0000-0000-00008F620000}"/>
    <cellStyle name="Positive 2 7 2 7" xfId="25219" xr:uid="{00000000-0005-0000-0000-000090620000}"/>
    <cellStyle name="Positive 2 7 2 7 2" xfId="25220" xr:uid="{00000000-0005-0000-0000-000091620000}"/>
    <cellStyle name="Positive 2 7 2 8" xfId="25221" xr:uid="{00000000-0005-0000-0000-000092620000}"/>
    <cellStyle name="Positive 2 7 2 8 2" xfId="25222" xr:uid="{00000000-0005-0000-0000-000093620000}"/>
    <cellStyle name="Positive 2 7 2 9" xfId="25223" xr:uid="{00000000-0005-0000-0000-000094620000}"/>
    <cellStyle name="Positive 2 7 2 9 2" xfId="25224" xr:uid="{00000000-0005-0000-0000-000095620000}"/>
    <cellStyle name="Positive 2 7 20" xfId="25225" xr:uid="{00000000-0005-0000-0000-000096620000}"/>
    <cellStyle name="Positive 2 7 20 2" xfId="25226" xr:uid="{00000000-0005-0000-0000-000097620000}"/>
    <cellStyle name="Positive 2 7 21" xfId="25227" xr:uid="{00000000-0005-0000-0000-000098620000}"/>
    <cellStyle name="Positive 2 7 21 2" xfId="25228" xr:uid="{00000000-0005-0000-0000-000099620000}"/>
    <cellStyle name="Positive 2 7 22" xfId="25229" xr:uid="{00000000-0005-0000-0000-00009A620000}"/>
    <cellStyle name="Positive 2 7 22 2" xfId="25230" xr:uid="{00000000-0005-0000-0000-00009B620000}"/>
    <cellStyle name="Positive 2 7 23" xfId="25231" xr:uid="{00000000-0005-0000-0000-00009C620000}"/>
    <cellStyle name="Positive 2 7 3" xfId="25232" xr:uid="{00000000-0005-0000-0000-00009D620000}"/>
    <cellStyle name="Positive 2 7 3 10" xfId="25233" xr:uid="{00000000-0005-0000-0000-00009E620000}"/>
    <cellStyle name="Positive 2 7 3 10 2" xfId="25234" xr:uid="{00000000-0005-0000-0000-00009F620000}"/>
    <cellStyle name="Positive 2 7 3 11" xfId="25235" xr:uid="{00000000-0005-0000-0000-0000A0620000}"/>
    <cellStyle name="Positive 2 7 3 11 2" xfId="25236" xr:uid="{00000000-0005-0000-0000-0000A1620000}"/>
    <cellStyle name="Positive 2 7 3 12" xfId="25237" xr:uid="{00000000-0005-0000-0000-0000A2620000}"/>
    <cellStyle name="Positive 2 7 3 12 2" xfId="25238" xr:uid="{00000000-0005-0000-0000-0000A3620000}"/>
    <cellStyle name="Positive 2 7 3 13" xfId="25239" xr:uid="{00000000-0005-0000-0000-0000A4620000}"/>
    <cellStyle name="Positive 2 7 3 13 2" xfId="25240" xr:uid="{00000000-0005-0000-0000-0000A5620000}"/>
    <cellStyle name="Positive 2 7 3 14" xfId="25241" xr:uid="{00000000-0005-0000-0000-0000A6620000}"/>
    <cellStyle name="Positive 2 7 3 14 2" xfId="25242" xr:uid="{00000000-0005-0000-0000-0000A7620000}"/>
    <cellStyle name="Positive 2 7 3 15" xfId="25243" xr:uid="{00000000-0005-0000-0000-0000A8620000}"/>
    <cellStyle name="Positive 2 7 3 15 2" xfId="25244" xr:uid="{00000000-0005-0000-0000-0000A9620000}"/>
    <cellStyle name="Positive 2 7 3 16" xfId="25245" xr:uid="{00000000-0005-0000-0000-0000AA620000}"/>
    <cellStyle name="Positive 2 7 3 16 2" xfId="25246" xr:uid="{00000000-0005-0000-0000-0000AB620000}"/>
    <cellStyle name="Positive 2 7 3 17" xfId="25247" xr:uid="{00000000-0005-0000-0000-0000AC620000}"/>
    <cellStyle name="Positive 2 7 3 17 2" xfId="25248" xr:uid="{00000000-0005-0000-0000-0000AD620000}"/>
    <cellStyle name="Positive 2 7 3 18" xfId="25249" xr:uid="{00000000-0005-0000-0000-0000AE620000}"/>
    <cellStyle name="Positive 2 7 3 18 2" xfId="25250" xr:uid="{00000000-0005-0000-0000-0000AF620000}"/>
    <cellStyle name="Positive 2 7 3 19" xfId="25251" xr:uid="{00000000-0005-0000-0000-0000B0620000}"/>
    <cellStyle name="Positive 2 7 3 19 2" xfId="25252" xr:uid="{00000000-0005-0000-0000-0000B1620000}"/>
    <cellStyle name="Positive 2 7 3 2" xfId="25253" xr:uid="{00000000-0005-0000-0000-0000B2620000}"/>
    <cellStyle name="Positive 2 7 3 2 10" xfId="25254" xr:uid="{00000000-0005-0000-0000-0000B3620000}"/>
    <cellStyle name="Positive 2 7 3 2 10 2" xfId="25255" xr:uid="{00000000-0005-0000-0000-0000B4620000}"/>
    <cellStyle name="Positive 2 7 3 2 11" xfId="25256" xr:uid="{00000000-0005-0000-0000-0000B5620000}"/>
    <cellStyle name="Positive 2 7 3 2 11 2" xfId="25257" xr:uid="{00000000-0005-0000-0000-0000B6620000}"/>
    <cellStyle name="Positive 2 7 3 2 12" xfId="25258" xr:uid="{00000000-0005-0000-0000-0000B7620000}"/>
    <cellStyle name="Positive 2 7 3 2 12 2" xfId="25259" xr:uid="{00000000-0005-0000-0000-0000B8620000}"/>
    <cellStyle name="Positive 2 7 3 2 13" xfId="25260" xr:uid="{00000000-0005-0000-0000-0000B9620000}"/>
    <cellStyle name="Positive 2 7 3 2 13 2" xfId="25261" xr:uid="{00000000-0005-0000-0000-0000BA620000}"/>
    <cellStyle name="Positive 2 7 3 2 14" xfId="25262" xr:uid="{00000000-0005-0000-0000-0000BB620000}"/>
    <cellStyle name="Positive 2 7 3 2 14 2" xfId="25263" xr:uid="{00000000-0005-0000-0000-0000BC620000}"/>
    <cellStyle name="Positive 2 7 3 2 15" xfId="25264" xr:uid="{00000000-0005-0000-0000-0000BD620000}"/>
    <cellStyle name="Positive 2 7 3 2 15 2" xfId="25265" xr:uid="{00000000-0005-0000-0000-0000BE620000}"/>
    <cellStyle name="Positive 2 7 3 2 16" xfId="25266" xr:uid="{00000000-0005-0000-0000-0000BF620000}"/>
    <cellStyle name="Positive 2 7 3 2 16 2" xfId="25267" xr:uid="{00000000-0005-0000-0000-0000C0620000}"/>
    <cellStyle name="Positive 2 7 3 2 17" xfId="25268" xr:uid="{00000000-0005-0000-0000-0000C1620000}"/>
    <cellStyle name="Positive 2 7 3 2 2" xfId="25269" xr:uid="{00000000-0005-0000-0000-0000C2620000}"/>
    <cellStyle name="Positive 2 7 3 2 2 2" xfId="25270" xr:uid="{00000000-0005-0000-0000-0000C3620000}"/>
    <cellStyle name="Positive 2 7 3 2 3" xfId="25271" xr:uid="{00000000-0005-0000-0000-0000C4620000}"/>
    <cellStyle name="Positive 2 7 3 2 3 2" xfId="25272" xr:uid="{00000000-0005-0000-0000-0000C5620000}"/>
    <cellStyle name="Positive 2 7 3 2 4" xfId="25273" xr:uid="{00000000-0005-0000-0000-0000C6620000}"/>
    <cellStyle name="Positive 2 7 3 2 4 2" xfId="25274" xr:uid="{00000000-0005-0000-0000-0000C7620000}"/>
    <cellStyle name="Positive 2 7 3 2 5" xfId="25275" xr:uid="{00000000-0005-0000-0000-0000C8620000}"/>
    <cellStyle name="Positive 2 7 3 2 5 2" xfId="25276" xr:uid="{00000000-0005-0000-0000-0000C9620000}"/>
    <cellStyle name="Positive 2 7 3 2 6" xfId="25277" xr:uid="{00000000-0005-0000-0000-0000CA620000}"/>
    <cellStyle name="Positive 2 7 3 2 6 2" xfId="25278" xr:uid="{00000000-0005-0000-0000-0000CB620000}"/>
    <cellStyle name="Positive 2 7 3 2 7" xfId="25279" xr:uid="{00000000-0005-0000-0000-0000CC620000}"/>
    <cellStyle name="Positive 2 7 3 2 7 2" xfId="25280" xr:uid="{00000000-0005-0000-0000-0000CD620000}"/>
    <cellStyle name="Positive 2 7 3 2 8" xfId="25281" xr:uid="{00000000-0005-0000-0000-0000CE620000}"/>
    <cellStyle name="Positive 2 7 3 2 8 2" xfId="25282" xr:uid="{00000000-0005-0000-0000-0000CF620000}"/>
    <cellStyle name="Positive 2 7 3 2 9" xfId="25283" xr:uid="{00000000-0005-0000-0000-0000D0620000}"/>
    <cellStyle name="Positive 2 7 3 2 9 2" xfId="25284" xr:uid="{00000000-0005-0000-0000-0000D1620000}"/>
    <cellStyle name="Positive 2 7 3 20" xfId="25285" xr:uid="{00000000-0005-0000-0000-0000D2620000}"/>
    <cellStyle name="Positive 2 7 3 3" xfId="25286" xr:uid="{00000000-0005-0000-0000-0000D3620000}"/>
    <cellStyle name="Positive 2 7 3 3 2" xfId="25287" xr:uid="{00000000-0005-0000-0000-0000D4620000}"/>
    <cellStyle name="Positive 2 7 3 3 2 2" xfId="25288" xr:uid="{00000000-0005-0000-0000-0000D5620000}"/>
    <cellStyle name="Positive 2 7 3 3 3" xfId="25289" xr:uid="{00000000-0005-0000-0000-0000D6620000}"/>
    <cellStyle name="Positive 2 7 3 4" xfId="25290" xr:uid="{00000000-0005-0000-0000-0000D7620000}"/>
    <cellStyle name="Positive 2 7 3 4 2" xfId="25291" xr:uid="{00000000-0005-0000-0000-0000D8620000}"/>
    <cellStyle name="Positive 2 7 3 4 2 2" xfId="25292" xr:uid="{00000000-0005-0000-0000-0000D9620000}"/>
    <cellStyle name="Positive 2 7 3 4 3" xfId="25293" xr:uid="{00000000-0005-0000-0000-0000DA620000}"/>
    <cellStyle name="Positive 2 7 3 5" xfId="25294" xr:uid="{00000000-0005-0000-0000-0000DB620000}"/>
    <cellStyle name="Positive 2 7 3 5 2" xfId="25295" xr:uid="{00000000-0005-0000-0000-0000DC620000}"/>
    <cellStyle name="Positive 2 7 3 6" xfId="25296" xr:uid="{00000000-0005-0000-0000-0000DD620000}"/>
    <cellStyle name="Positive 2 7 3 6 2" xfId="25297" xr:uid="{00000000-0005-0000-0000-0000DE620000}"/>
    <cellStyle name="Positive 2 7 3 7" xfId="25298" xr:uid="{00000000-0005-0000-0000-0000DF620000}"/>
    <cellStyle name="Positive 2 7 3 7 2" xfId="25299" xr:uid="{00000000-0005-0000-0000-0000E0620000}"/>
    <cellStyle name="Positive 2 7 3 8" xfId="25300" xr:uid="{00000000-0005-0000-0000-0000E1620000}"/>
    <cellStyle name="Positive 2 7 3 8 2" xfId="25301" xr:uid="{00000000-0005-0000-0000-0000E2620000}"/>
    <cellStyle name="Positive 2 7 3 9" xfId="25302" xr:uid="{00000000-0005-0000-0000-0000E3620000}"/>
    <cellStyle name="Positive 2 7 3 9 2" xfId="25303" xr:uid="{00000000-0005-0000-0000-0000E4620000}"/>
    <cellStyle name="Positive 2 7 4" xfId="25304" xr:uid="{00000000-0005-0000-0000-0000E5620000}"/>
    <cellStyle name="Positive 2 7 4 10" xfId="25305" xr:uid="{00000000-0005-0000-0000-0000E6620000}"/>
    <cellStyle name="Positive 2 7 4 10 2" xfId="25306" xr:uid="{00000000-0005-0000-0000-0000E7620000}"/>
    <cellStyle name="Positive 2 7 4 11" xfId="25307" xr:uid="{00000000-0005-0000-0000-0000E8620000}"/>
    <cellStyle name="Positive 2 7 4 11 2" xfId="25308" xr:uid="{00000000-0005-0000-0000-0000E9620000}"/>
    <cellStyle name="Positive 2 7 4 12" xfId="25309" xr:uid="{00000000-0005-0000-0000-0000EA620000}"/>
    <cellStyle name="Positive 2 7 4 12 2" xfId="25310" xr:uid="{00000000-0005-0000-0000-0000EB620000}"/>
    <cellStyle name="Positive 2 7 4 13" xfId="25311" xr:uid="{00000000-0005-0000-0000-0000EC620000}"/>
    <cellStyle name="Positive 2 7 4 13 2" xfId="25312" xr:uid="{00000000-0005-0000-0000-0000ED620000}"/>
    <cellStyle name="Positive 2 7 4 14" xfId="25313" xr:uid="{00000000-0005-0000-0000-0000EE620000}"/>
    <cellStyle name="Positive 2 7 4 14 2" xfId="25314" xr:uid="{00000000-0005-0000-0000-0000EF620000}"/>
    <cellStyle name="Positive 2 7 4 15" xfId="25315" xr:uid="{00000000-0005-0000-0000-0000F0620000}"/>
    <cellStyle name="Positive 2 7 4 15 2" xfId="25316" xr:uid="{00000000-0005-0000-0000-0000F1620000}"/>
    <cellStyle name="Positive 2 7 4 16" xfId="25317" xr:uid="{00000000-0005-0000-0000-0000F2620000}"/>
    <cellStyle name="Positive 2 7 4 16 2" xfId="25318" xr:uid="{00000000-0005-0000-0000-0000F3620000}"/>
    <cellStyle name="Positive 2 7 4 17" xfId="25319" xr:uid="{00000000-0005-0000-0000-0000F4620000}"/>
    <cellStyle name="Positive 2 7 4 17 2" xfId="25320" xr:uid="{00000000-0005-0000-0000-0000F5620000}"/>
    <cellStyle name="Positive 2 7 4 18" xfId="25321" xr:uid="{00000000-0005-0000-0000-0000F6620000}"/>
    <cellStyle name="Positive 2 7 4 18 2" xfId="25322" xr:uid="{00000000-0005-0000-0000-0000F7620000}"/>
    <cellStyle name="Positive 2 7 4 19" xfId="25323" xr:uid="{00000000-0005-0000-0000-0000F8620000}"/>
    <cellStyle name="Positive 2 7 4 19 2" xfId="25324" xr:uid="{00000000-0005-0000-0000-0000F9620000}"/>
    <cellStyle name="Positive 2 7 4 2" xfId="25325" xr:uid="{00000000-0005-0000-0000-0000FA620000}"/>
    <cellStyle name="Positive 2 7 4 2 10" xfId="25326" xr:uid="{00000000-0005-0000-0000-0000FB620000}"/>
    <cellStyle name="Positive 2 7 4 2 10 2" xfId="25327" xr:uid="{00000000-0005-0000-0000-0000FC620000}"/>
    <cellStyle name="Positive 2 7 4 2 11" xfId="25328" xr:uid="{00000000-0005-0000-0000-0000FD620000}"/>
    <cellStyle name="Positive 2 7 4 2 11 2" xfId="25329" xr:uid="{00000000-0005-0000-0000-0000FE620000}"/>
    <cellStyle name="Positive 2 7 4 2 12" xfId="25330" xr:uid="{00000000-0005-0000-0000-0000FF620000}"/>
    <cellStyle name="Positive 2 7 4 2 12 2" xfId="25331" xr:uid="{00000000-0005-0000-0000-000000630000}"/>
    <cellStyle name="Positive 2 7 4 2 13" xfId="25332" xr:uid="{00000000-0005-0000-0000-000001630000}"/>
    <cellStyle name="Positive 2 7 4 2 13 2" xfId="25333" xr:uid="{00000000-0005-0000-0000-000002630000}"/>
    <cellStyle name="Positive 2 7 4 2 14" xfId="25334" xr:uid="{00000000-0005-0000-0000-000003630000}"/>
    <cellStyle name="Positive 2 7 4 2 14 2" xfId="25335" xr:uid="{00000000-0005-0000-0000-000004630000}"/>
    <cellStyle name="Positive 2 7 4 2 15" xfId="25336" xr:uid="{00000000-0005-0000-0000-000005630000}"/>
    <cellStyle name="Positive 2 7 4 2 15 2" xfId="25337" xr:uid="{00000000-0005-0000-0000-000006630000}"/>
    <cellStyle name="Positive 2 7 4 2 16" xfId="25338" xr:uid="{00000000-0005-0000-0000-000007630000}"/>
    <cellStyle name="Positive 2 7 4 2 16 2" xfId="25339" xr:uid="{00000000-0005-0000-0000-000008630000}"/>
    <cellStyle name="Positive 2 7 4 2 17" xfId="25340" xr:uid="{00000000-0005-0000-0000-000009630000}"/>
    <cellStyle name="Positive 2 7 4 2 2" xfId="25341" xr:uid="{00000000-0005-0000-0000-00000A630000}"/>
    <cellStyle name="Positive 2 7 4 2 2 2" xfId="25342" xr:uid="{00000000-0005-0000-0000-00000B630000}"/>
    <cellStyle name="Positive 2 7 4 2 3" xfId="25343" xr:uid="{00000000-0005-0000-0000-00000C630000}"/>
    <cellStyle name="Positive 2 7 4 2 3 2" xfId="25344" xr:uid="{00000000-0005-0000-0000-00000D630000}"/>
    <cellStyle name="Positive 2 7 4 2 4" xfId="25345" xr:uid="{00000000-0005-0000-0000-00000E630000}"/>
    <cellStyle name="Positive 2 7 4 2 4 2" xfId="25346" xr:uid="{00000000-0005-0000-0000-00000F630000}"/>
    <cellStyle name="Positive 2 7 4 2 5" xfId="25347" xr:uid="{00000000-0005-0000-0000-000010630000}"/>
    <cellStyle name="Positive 2 7 4 2 5 2" xfId="25348" xr:uid="{00000000-0005-0000-0000-000011630000}"/>
    <cellStyle name="Positive 2 7 4 2 6" xfId="25349" xr:uid="{00000000-0005-0000-0000-000012630000}"/>
    <cellStyle name="Positive 2 7 4 2 6 2" xfId="25350" xr:uid="{00000000-0005-0000-0000-000013630000}"/>
    <cellStyle name="Positive 2 7 4 2 7" xfId="25351" xr:uid="{00000000-0005-0000-0000-000014630000}"/>
    <cellStyle name="Positive 2 7 4 2 7 2" xfId="25352" xr:uid="{00000000-0005-0000-0000-000015630000}"/>
    <cellStyle name="Positive 2 7 4 2 8" xfId="25353" xr:uid="{00000000-0005-0000-0000-000016630000}"/>
    <cellStyle name="Positive 2 7 4 2 8 2" xfId="25354" xr:uid="{00000000-0005-0000-0000-000017630000}"/>
    <cellStyle name="Positive 2 7 4 2 9" xfId="25355" xr:uid="{00000000-0005-0000-0000-000018630000}"/>
    <cellStyle name="Positive 2 7 4 2 9 2" xfId="25356" xr:uid="{00000000-0005-0000-0000-000019630000}"/>
    <cellStyle name="Positive 2 7 4 20" xfId="25357" xr:uid="{00000000-0005-0000-0000-00001A630000}"/>
    <cellStyle name="Positive 2 7 4 3" xfId="25358" xr:uid="{00000000-0005-0000-0000-00001B630000}"/>
    <cellStyle name="Positive 2 7 4 3 2" xfId="25359" xr:uid="{00000000-0005-0000-0000-00001C630000}"/>
    <cellStyle name="Positive 2 7 4 3 2 2" xfId="25360" xr:uid="{00000000-0005-0000-0000-00001D630000}"/>
    <cellStyle name="Positive 2 7 4 3 3" xfId="25361" xr:uid="{00000000-0005-0000-0000-00001E630000}"/>
    <cellStyle name="Positive 2 7 4 4" xfId="25362" xr:uid="{00000000-0005-0000-0000-00001F630000}"/>
    <cellStyle name="Positive 2 7 4 4 2" xfId="25363" xr:uid="{00000000-0005-0000-0000-000020630000}"/>
    <cellStyle name="Positive 2 7 4 4 2 2" xfId="25364" xr:uid="{00000000-0005-0000-0000-000021630000}"/>
    <cellStyle name="Positive 2 7 4 4 3" xfId="25365" xr:uid="{00000000-0005-0000-0000-000022630000}"/>
    <cellStyle name="Positive 2 7 4 5" xfId="25366" xr:uid="{00000000-0005-0000-0000-000023630000}"/>
    <cellStyle name="Positive 2 7 4 5 2" xfId="25367" xr:uid="{00000000-0005-0000-0000-000024630000}"/>
    <cellStyle name="Positive 2 7 4 6" xfId="25368" xr:uid="{00000000-0005-0000-0000-000025630000}"/>
    <cellStyle name="Positive 2 7 4 6 2" xfId="25369" xr:uid="{00000000-0005-0000-0000-000026630000}"/>
    <cellStyle name="Positive 2 7 4 7" xfId="25370" xr:uid="{00000000-0005-0000-0000-000027630000}"/>
    <cellStyle name="Positive 2 7 4 7 2" xfId="25371" xr:uid="{00000000-0005-0000-0000-000028630000}"/>
    <cellStyle name="Positive 2 7 4 8" xfId="25372" xr:uid="{00000000-0005-0000-0000-000029630000}"/>
    <cellStyle name="Positive 2 7 4 8 2" xfId="25373" xr:uid="{00000000-0005-0000-0000-00002A630000}"/>
    <cellStyle name="Positive 2 7 4 9" xfId="25374" xr:uid="{00000000-0005-0000-0000-00002B630000}"/>
    <cellStyle name="Positive 2 7 4 9 2" xfId="25375" xr:uid="{00000000-0005-0000-0000-00002C630000}"/>
    <cellStyle name="Positive 2 7 5" xfId="25376" xr:uid="{00000000-0005-0000-0000-00002D630000}"/>
    <cellStyle name="Positive 2 7 5 10" xfId="25377" xr:uid="{00000000-0005-0000-0000-00002E630000}"/>
    <cellStyle name="Positive 2 7 5 10 2" xfId="25378" xr:uid="{00000000-0005-0000-0000-00002F630000}"/>
    <cellStyle name="Positive 2 7 5 11" xfId="25379" xr:uid="{00000000-0005-0000-0000-000030630000}"/>
    <cellStyle name="Positive 2 7 5 11 2" xfId="25380" xr:uid="{00000000-0005-0000-0000-000031630000}"/>
    <cellStyle name="Positive 2 7 5 12" xfId="25381" xr:uid="{00000000-0005-0000-0000-000032630000}"/>
    <cellStyle name="Positive 2 7 5 12 2" xfId="25382" xr:uid="{00000000-0005-0000-0000-000033630000}"/>
    <cellStyle name="Positive 2 7 5 13" xfId="25383" xr:uid="{00000000-0005-0000-0000-000034630000}"/>
    <cellStyle name="Positive 2 7 5 13 2" xfId="25384" xr:uid="{00000000-0005-0000-0000-000035630000}"/>
    <cellStyle name="Positive 2 7 5 14" xfId="25385" xr:uid="{00000000-0005-0000-0000-000036630000}"/>
    <cellStyle name="Positive 2 7 5 14 2" xfId="25386" xr:uid="{00000000-0005-0000-0000-000037630000}"/>
    <cellStyle name="Positive 2 7 5 15" xfId="25387" xr:uid="{00000000-0005-0000-0000-000038630000}"/>
    <cellStyle name="Positive 2 7 5 15 2" xfId="25388" xr:uid="{00000000-0005-0000-0000-000039630000}"/>
    <cellStyle name="Positive 2 7 5 16" xfId="25389" xr:uid="{00000000-0005-0000-0000-00003A630000}"/>
    <cellStyle name="Positive 2 7 5 16 2" xfId="25390" xr:uid="{00000000-0005-0000-0000-00003B630000}"/>
    <cellStyle name="Positive 2 7 5 17" xfId="25391" xr:uid="{00000000-0005-0000-0000-00003C630000}"/>
    <cellStyle name="Positive 2 7 5 2" xfId="25392" xr:uid="{00000000-0005-0000-0000-00003D630000}"/>
    <cellStyle name="Positive 2 7 5 2 2" xfId="25393" xr:uid="{00000000-0005-0000-0000-00003E630000}"/>
    <cellStyle name="Positive 2 7 5 3" xfId="25394" xr:uid="{00000000-0005-0000-0000-00003F630000}"/>
    <cellStyle name="Positive 2 7 5 3 2" xfId="25395" xr:uid="{00000000-0005-0000-0000-000040630000}"/>
    <cellStyle name="Positive 2 7 5 4" xfId="25396" xr:uid="{00000000-0005-0000-0000-000041630000}"/>
    <cellStyle name="Positive 2 7 5 4 2" xfId="25397" xr:uid="{00000000-0005-0000-0000-000042630000}"/>
    <cellStyle name="Positive 2 7 5 5" xfId="25398" xr:uid="{00000000-0005-0000-0000-000043630000}"/>
    <cellStyle name="Positive 2 7 5 5 2" xfId="25399" xr:uid="{00000000-0005-0000-0000-000044630000}"/>
    <cellStyle name="Positive 2 7 5 6" xfId="25400" xr:uid="{00000000-0005-0000-0000-000045630000}"/>
    <cellStyle name="Positive 2 7 5 6 2" xfId="25401" xr:uid="{00000000-0005-0000-0000-000046630000}"/>
    <cellStyle name="Positive 2 7 5 7" xfId="25402" xr:uid="{00000000-0005-0000-0000-000047630000}"/>
    <cellStyle name="Positive 2 7 5 7 2" xfId="25403" xr:uid="{00000000-0005-0000-0000-000048630000}"/>
    <cellStyle name="Positive 2 7 5 8" xfId="25404" xr:uid="{00000000-0005-0000-0000-000049630000}"/>
    <cellStyle name="Positive 2 7 5 8 2" xfId="25405" xr:uid="{00000000-0005-0000-0000-00004A630000}"/>
    <cellStyle name="Positive 2 7 5 9" xfId="25406" xr:uid="{00000000-0005-0000-0000-00004B630000}"/>
    <cellStyle name="Positive 2 7 5 9 2" xfId="25407" xr:uid="{00000000-0005-0000-0000-00004C630000}"/>
    <cellStyle name="Positive 2 7 6" xfId="25408" xr:uid="{00000000-0005-0000-0000-00004D630000}"/>
    <cellStyle name="Positive 2 7 6 2" xfId="25409" xr:uid="{00000000-0005-0000-0000-00004E630000}"/>
    <cellStyle name="Positive 2 7 6 2 2" xfId="25410" xr:uid="{00000000-0005-0000-0000-00004F630000}"/>
    <cellStyle name="Positive 2 7 6 3" xfId="25411" xr:uid="{00000000-0005-0000-0000-000050630000}"/>
    <cellStyle name="Positive 2 7 7" xfId="25412" xr:uid="{00000000-0005-0000-0000-000051630000}"/>
    <cellStyle name="Positive 2 7 7 2" xfId="25413" xr:uid="{00000000-0005-0000-0000-000052630000}"/>
    <cellStyle name="Positive 2 7 7 2 2" xfId="25414" xr:uid="{00000000-0005-0000-0000-000053630000}"/>
    <cellStyle name="Positive 2 7 7 3" xfId="25415" xr:uid="{00000000-0005-0000-0000-000054630000}"/>
    <cellStyle name="Positive 2 7 8" xfId="25416" xr:uid="{00000000-0005-0000-0000-000055630000}"/>
    <cellStyle name="Positive 2 7 8 2" xfId="25417" xr:uid="{00000000-0005-0000-0000-000056630000}"/>
    <cellStyle name="Positive 2 7 9" xfId="25418" xr:uid="{00000000-0005-0000-0000-000057630000}"/>
    <cellStyle name="Positive 2 7 9 2" xfId="25419" xr:uid="{00000000-0005-0000-0000-000058630000}"/>
    <cellStyle name="Positive 2 8" xfId="25420" xr:uid="{00000000-0005-0000-0000-000059630000}"/>
    <cellStyle name="Positive 2 8 10" xfId="25421" xr:uid="{00000000-0005-0000-0000-00005A630000}"/>
    <cellStyle name="Positive 2 8 10 2" xfId="25422" xr:uid="{00000000-0005-0000-0000-00005B630000}"/>
    <cellStyle name="Positive 2 8 11" xfId="25423" xr:uid="{00000000-0005-0000-0000-00005C630000}"/>
    <cellStyle name="Positive 2 8 11 2" xfId="25424" xr:uid="{00000000-0005-0000-0000-00005D630000}"/>
    <cellStyle name="Positive 2 8 12" xfId="25425" xr:uid="{00000000-0005-0000-0000-00005E630000}"/>
    <cellStyle name="Positive 2 8 12 2" xfId="25426" xr:uid="{00000000-0005-0000-0000-00005F630000}"/>
    <cellStyle name="Positive 2 8 13" xfId="25427" xr:uid="{00000000-0005-0000-0000-000060630000}"/>
    <cellStyle name="Positive 2 8 13 2" xfId="25428" xr:uid="{00000000-0005-0000-0000-000061630000}"/>
    <cellStyle name="Positive 2 8 14" xfId="25429" xr:uid="{00000000-0005-0000-0000-000062630000}"/>
    <cellStyle name="Positive 2 8 14 2" xfId="25430" xr:uid="{00000000-0005-0000-0000-000063630000}"/>
    <cellStyle name="Positive 2 8 15" xfId="25431" xr:uid="{00000000-0005-0000-0000-000064630000}"/>
    <cellStyle name="Positive 2 8 15 2" xfId="25432" xr:uid="{00000000-0005-0000-0000-000065630000}"/>
    <cellStyle name="Positive 2 8 16" xfId="25433" xr:uid="{00000000-0005-0000-0000-000066630000}"/>
    <cellStyle name="Positive 2 8 16 2" xfId="25434" xr:uid="{00000000-0005-0000-0000-000067630000}"/>
    <cellStyle name="Positive 2 8 17" xfId="25435" xr:uid="{00000000-0005-0000-0000-000068630000}"/>
    <cellStyle name="Positive 2 8 17 2" xfId="25436" xr:uid="{00000000-0005-0000-0000-000069630000}"/>
    <cellStyle name="Positive 2 8 18" xfId="25437" xr:uid="{00000000-0005-0000-0000-00006A630000}"/>
    <cellStyle name="Positive 2 8 18 2" xfId="25438" xr:uid="{00000000-0005-0000-0000-00006B630000}"/>
    <cellStyle name="Positive 2 8 19" xfId="25439" xr:uid="{00000000-0005-0000-0000-00006C630000}"/>
    <cellStyle name="Positive 2 8 19 2" xfId="25440" xr:uid="{00000000-0005-0000-0000-00006D630000}"/>
    <cellStyle name="Positive 2 8 2" xfId="25441" xr:uid="{00000000-0005-0000-0000-00006E630000}"/>
    <cellStyle name="Positive 2 8 2 10" xfId="25442" xr:uid="{00000000-0005-0000-0000-00006F630000}"/>
    <cellStyle name="Positive 2 8 2 10 2" xfId="25443" xr:uid="{00000000-0005-0000-0000-000070630000}"/>
    <cellStyle name="Positive 2 8 2 11" xfId="25444" xr:uid="{00000000-0005-0000-0000-000071630000}"/>
    <cellStyle name="Positive 2 8 2 11 2" xfId="25445" xr:uid="{00000000-0005-0000-0000-000072630000}"/>
    <cellStyle name="Positive 2 8 2 12" xfId="25446" xr:uid="{00000000-0005-0000-0000-000073630000}"/>
    <cellStyle name="Positive 2 8 2 12 2" xfId="25447" xr:uid="{00000000-0005-0000-0000-000074630000}"/>
    <cellStyle name="Positive 2 8 2 13" xfId="25448" xr:uid="{00000000-0005-0000-0000-000075630000}"/>
    <cellStyle name="Positive 2 8 2 13 2" xfId="25449" xr:uid="{00000000-0005-0000-0000-000076630000}"/>
    <cellStyle name="Positive 2 8 2 14" xfId="25450" xr:uid="{00000000-0005-0000-0000-000077630000}"/>
    <cellStyle name="Positive 2 8 2 14 2" xfId="25451" xr:uid="{00000000-0005-0000-0000-000078630000}"/>
    <cellStyle name="Positive 2 8 2 15" xfId="25452" xr:uid="{00000000-0005-0000-0000-000079630000}"/>
    <cellStyle name="Positive 2 8 2 15 2" xfId="25453" xr:uid="{00000000-0005-0000-0000-00007A630000}"/>
    <cellStyle name="Positive 2 8 2 16" xfId="25454" xr:uid="{00000000-0005-0000-0000-00007B630000}"/>
    <cellStyle name="Positive 2 8 2 16 2" xfId="25455" xr:uid="{00000000-0005-0000-0000-00007C630000}"/>
    <cellStyle name="Positive 2 8 2 17" xfId="25456" xr:uid="{00000000-0005-0000-0000-00007D630000}"/>
    <cellStyle name="Positive 2 8 2 17 2" xfId="25457" xr:uid="{00000000-0005-0000-0000-00007E630000}"/>
    <cellStyle name="Positive 2 8 2 18" xfId="25458" xr:uid="{00000000-0005-0000-0000-00007F630000}"/>
    <cellStyle name="Positive 2 8 2 18 2" xfId="25459" xr:uid="{00000000-0005-0000-0000-000080630000}"/>
    <cellStyle name="Positive 2 8 2 19" xfId="25460" xr:uid="{00000000-0005-0000-0000-000081630000}"/>
    <cellStyle name="Positive 2 8 2 19 2" xfId="25461" xr:uid="{00000000-0005-0000-0000-000082630000}"/>
    <cellStyle name="Positive 2 8 2 2" xfId="25462" xr:uid="{00000000-0005-0000-0000-000083630000}"/>
    <cellStyle name="Positive 2 8 2 2 10" xfId="25463" xr:uid="{00000000-0005-0000-0000-000084630000}"/>
    <cellStyle name="Positive 2 8 2 2 10 2" xfId="25464" xr:uid="{00000000-0005-0000-0000-000085630000}"/>
    <cellStyle name="Positive 2 8 2 2 11" xfId="25465" xr:uid="{00000000-0005-0000-0000-000086630000}"/>
    <cellStyle name="Positive 2 8 2 2 11 2" xfId="25466" xr:uid="{00000000-0005-0000-0000-000087630000}"/>
    <cellStyle name="Positive 2 8 2 2 12" xfId="25467" xr:uid="{00000000-0005-0000-0000-000088630000}"/>
    <cellStyle name="Positive 2 8 2 2 12 2" xfId="25468" xr:uid="{00000000-0005-0000-0000-000089630000}"/>
    <cellStyle name="Positive 2 8 2 2 13" xfId="25469" xr:uid="{00000000-0005-0000-0000-00008A630000}"/>
    <cellStyle name="Positive 2 8 2 2 13 2" xfId="25470" xr:uid="{00000000-0005-0000-0000-00008B630000}"/>
    <cellStyle name="Positive 2 8 2 2 14" xfId="25471" xr:uid="{00000000-0005-0000-0000-00008C630000}"/>
    <cellStyle name="Positive 2 8 2 2 14 2" xfId="25472" xr:uid="{00000000-0005-0000-0000-00008D630000}"/>
    <cellStyle name="Positive 2 8 2 2 15" xfId="25473" xr:uid="{00000000-0005-0000-0000-00008E630000}"/>
    <cellStyle name="Positive 2 8 2 2 15 2" xfId="25474" xr:uid="{00000000-0005-0000-0000-00008F630000}"/>
    <cellStyle name="Positive 2 8 2 2 16" xfId="25475" xr:uid="{00000000-0005-0000-0000-000090630000}"/>
    <cellStyle name="Positive 2 8 2 2 16 2" xfId="25476" xr:uid="{00000000-0005-0000-0000-000091630000}"/>
    <cellStyle name="Positive 2 8 2 2 17" xfId="25477" xr:uid="{00000000-0005-0000-0000-000092630000}"/>
    <cellStyle name="Positive 2 8 2 2 2" xfId="25478" xr:uid="{00000000-0005-0000-0000-000093630000}"/>
    <cellStyle name="Positive 2 8 2 2 2 2" xfId="25479" xr:uid="{00000000-0005-0000-0000-000094630000}"/>
    <cellStyle name="Positive 2 8 2 2 3" xfId="25480" xr:uid="{00000000-0005-0000-0000-000095630000}"/>
    <cellStyle name="Positive 2 8 2 2 3 2" xfId="25481" xr:uid="{00000000-0005-0000-0000-000096630000}"/>
    <cellStyle name="Positive 2 8 2 2 4" xfId="25482" xr:uid="{00000000-0005-0000-0000-000097630000}"/>
    <cellStyle name="Positive 2 8 2 2 4 2" xfId="25483" xr:uid="{00000000-0005-0000-0000-000098630000}"/>
    <cellStyle name="Positive 2 8 2 2 5" xfId="25484" xr:uid="{00000000-0005-0000-0000-000099630000}"/>
    <cellStyle name="Positive 2 8 2 2 5 2" xfId="25485" xr:uid="{00000000-0005-0000-0000-00009A630000}"/>
    <cellStyle name="Positive 2 8 2 2 6" xfId="25486" xr:uid="{00000000-0005-0000-0000-00009B630000}"/>
    <cellStyle name="Positive 2 8 2 2 6 2" xfId="25487" xr:uid="{00000000-0005-0000-0000-00009C630000}"/>
    <cellStyle name="Positive 2 8 2 2 7" xfId="25488" xr:uid="{00000000-0005-0000-0000-00009D630000}"/>
    <cellStyle name="Positive 2 8 2 2 7 2" xfId="25489" xr:uid="{00000000-0005-0000-0000-00009E630000}"/>
    <cellStyle name="Positive 2 8 2 2 8" xfId="25490" xr:uid="{00000000-0005-0000-0000-00009F630000}"/>
    <cellStyle name="Positive 2 8 2 2 8 2" xfId="25491" xr:uid="{00000000-0005-0000-0000-0000A0630000}"/>
    <cellStyle name="Positive 2 8 2 2 9" xfId="25492" xr:uid="{00000000-0005-0000-0000-0000A1630000}"/>
    <cellStyle name="Positive 2 8 2 2 9 2" xfId="25493" xr:uid="{00000000-0005-0000-0000-0000A2630000}"/>
    <cellStyle name="Positive 2 8 2 20" xfId="25494" xr:uid="{00000000-0005-0000-0000-0000A3630000}"/>
    <cellStyle name="Positive 2 8 2 3" xfId="25495" xr:uid="{00000000-0005-0000-0000-0000A4630000}"/>
    <cellStyle name="Positive 2 8 2 3 2" xfId="25496" xr:uid="{00000000-0005-0000-0000-0000A5630000}"/>
    <cellStyle name="Positive 2 8 2 3 2 2" xfId="25497" xr:uid="{00000000-0005-0000-0000-0000A6630000}"/>
    <cellStyle name="Positive 2 8 2 3 3" xfId="25498" xr:uid="{00000000-0005-0000-0000-0000A7630000}"/>
    <cellStyle name="Positive 2 8 2 4" xfId="25499" xr:uid="{00000000-0005-0000-0000-0000A8630000}"/>
    <cellStyle name="Positive 2 8 2 4 2" xfId="25500" xr:uid="{00000000-0005-0000-0000-0000A9630000}"/>
    <cellStyle name="Positive 2 8 2 4 2 2" xfId="25501" xr:uid="{00000000-0005-0000-0000-0000AA630000}"/>
    <cellStyle name="Positive 2 8 2 4 3" xfId="25502" xr:uid="{00000000-0005-0000-0000-0000AB630000}"/>
    <cellStyle name="Positive 2 8 2 5" xfId="25503" xr:uid="{00000000-0005-0000-0000-0000AC630000}"/>
    <cellStyle name="Positive 2 8 2 5 2" xfId="25504" xr:uid="{00000000-0005-0000-0000-0000AD630000}"/>
    <cellStyle name="Positive 2 8 2 6" xfId="25505" xr:uid="{00000000-0005-0000-0000-0000AE630000}"/>
    <cellStyle name="Positive 2 8 2 6 2" xfId="25506" xr:uid="{00000000-0005-0000-0000-0000AF630000}"/>
    <cellStyle name="Positive 2 8 2 7" xfId="25507" xr:uid="{00000000-0005-0000-0000-0000B0630000}"/>
    <cellStyle name="Positive 2 8 2 7 2" xfId="25508" xr:uid="{00000000-0005-0000-0000-0000B1630000}"/>
    <cellStyle name="Positive 2 8 2 8" xfId="25509" xr:uid="{00000000-0005-0000-0000-0000B2630000}"/>
    <cellStyle name="Positive 2 8 2 8 2" xfId="25510" xr:uid="{00000000-0005-0000-0000-0000B3630000}"/>
    <cellStyle name="Positive 2 8 2 9" xfId="25511" xr:uid="{00000000-0005-0000-0000-0000B4630000}"/>
    <cellStyle name="Positive 2 8 2 9 2" xfId="25512" xr:uid="{00000000-0005-0000-0000-0000B5630000}"/>
    <cellStyle name="Positive 2 8 20" xfId="25513" xr:uid="{00000000-0005-0000-0000-0000B6630000}"/>
    <cellStyle name="Positive 2 8 20 2" xfId="25514" xr:uid="{00000000-0005-0000-0000-0000B7630000}"/>
    <cellStyle name="Positive 2 8 21" xfId="25515" xr:uid="{00000000-0005-0000-0000-0000B8630000}"/>
    <cellStyle name="Positive 2 8 21 2" xfId="25516" xr:uid="{00000000-0005-0000-0000-0000B9630000}"/>
    <cellStyle name="Positive 2 8 22" xfId="25517" xr:uid="{00000000-0005-0000-0000-0000BA630000}"/>
    <cellStyle name="Positive 2 8 22 2" xfId="25518" xr:uid="{00000000-0005-0000-0000-0000BB630000}"/>
    <cellStyle name="Positive 2 8 23" xfId="25519" xr:uid="{00000000-0005-0000-0000-0000BC630000}"/>
    <cellStyle name="Positive 2 8 3" xfId="25520" xr:uid="{00000000-0005-0000-0000-0000BD630000}"/>
    <cellStyle name="Positive 2 8 3 10" xfId="25521" xr:uid="{00000000-0005-0000-0000-0000BE630000}"/>
    <cellStyle name="Positive 2 8 3 10 2" xfId="25522" xr:uid="{00000000-0005-0000-0000-0000BF630000}"/>
    <cellStyle name="Positive 2 8 3 11" xfId="25523" xr:uid="{00000000-0005-0000-0000-0000C0630000}"/>
    <cellStyle name="Positive 2 8 3 11 2" xfId="25524" xr:uid="{00000000-0005-0000-0000-0000C1630000}"/>
    <cellStyle name="Positive 2 8 3 12" xfId="25525" xr:uid="{00000000-0005-0000-0000-0000C2630000}"/>
    <cellStyle name="Positive 2 8 3 12 2" xfId="25526" xr:uid="{00000000-0005-0000-0000-0000C3630000}"/>
    <cellStyle name="Positive 2 8 3 13" xfId="25527" xr:uid="{00000000-0005-0000-0000-0000C4630000}"/>
    <cellStyle name="Positive 2 8 3 13 2" xfId="25528" xr:uid="{00000000-0005-0000-0000-0000C5630000}"/>
    <cellStyle name="Positive 2 8 3 14" xfId="25529" xr:uid="{00000000-0005-0000-0000-0000C6630000}"/>
    <cellStyle name="Positive 2 8 3 14 2" xfId="25530" xr:uid="{00000000-0005-0000-0000-0000C7630000}"/>
    <cellStyle name="Positive 2 8 3 15" xfId="25531" xr:uid="{00000000-0005-0000-0000-0000C8630000}"/>
    <cellStyle name="Positive 2 8 3 15 2" xfId="25532" xr:uid="{00000000-0005-0000-0000-0000C9630000}"/>
    <cellStyle name="Positive 2 8 3 16" xfId="25533" xr:uid="{00000000-0005-0000-0000-0000CA630000}"/>
    <cellStyle name="Positive 2 8 3 16 2" xfId="25534" xr:uid="{00000000-0005-0000-0000-0000CB630000}"/>
    <cellStyle name="Positive 2 8 3 17" xfId="25535" xr:uid="{00000000-0005-0000-0000-0000CC630000}"/>
    <cellStyle name="Positive 2 8 3 17 2" xfId="25536" xr:uid="{00000000-0005-0000-0000-0000CD630000}"/>
    <cellStyle name="Positive 2 8 3 18" xfId="25537" xr:uid="{00000000-0005-0000-0000-0000CE630000}"/>
    <cellStyle name="Positive 2 8 3 18 2" xfId="25538" xr:uid="{00000000-0005-0000-0000-0000CF630000}"/>
    <cellStyle name="Positive 2 8 3 19" xfId="25539" xr:uid="{00000000-0005-0000-0000-0000D0630000}"/>
    <cellStyle name="Positive 2 8 3 19 2" xfId="25540" xr:uid="{00000000-0005-0000-0000-0000D1630000}"/>
    <cellStyle name="Positive 2 8 3 2" xfId="25541" xr:uid="{00000000-0005-0000-0000-0000D2630000}"/>
    <cellStyle name="Positive 2 8 3 2 10" xfId="25542" xr:uid="{00000000-0005-0000-0000-0000D3630000}"/>
    <cellStyle name="Positive 2 8 3 2 10 2" xfId="25543" xr:uid="{00000000-0005-0000-0000-0000D4630000}"/>
    <cellStyle name="Positive 2 8 3 2 11" xfId="25544" xr:uid="{00000000-0005-0000-0000-0000D5630000}"/>
    <cellStyle name="Positive 2 8 3 2 11 2" xfId="25545" xr:uid="{00000000-0005-0000-0000-0000D6630000}"/>
    <cellStyle name="Positive 2 8 3 2 12" xfId="25546" xr:uid="{00000000-0005-0000-0000-0000D7630000}"/>
    <cellStyle name="Positive 2 8 3 2 12 2" xfId="25547" xr:uid="{00000000-0005-0000-0000-0000D8630000}"/>
    <cellStyle name="Positive 2 8 3 2 13" xfId="25548" xr:uid="{00000000-0005-0000-0000-0000D9630000}"/>
    <cellStyle name="Positive 2 8 3 2 13 2" xfId="25549" xr:uid="{00000000-0005-0000-0000-0000DA630000}"/>
    <cellStyle name="Positive 2 8 3 2 14" xfId="25550" xr:uid="{00000000-0005-0000-0000-0000DB630000}"/>
    <cellStyle name="Positive 2 8 3 2 14 2" xfId="25551" xr:uid="{00000000-0005-0000-0000-0000DC630000}"/>
    <cellStyle name="Positive 2 8 3 2 15" xfId="25552" xr:uid="{00000000-0005-0000-0000-0000DD630000}"/>
    <cellStyle name="Positive 2 8 3 2 15 2" xfId="25553" xr:uid="{00000000-0005-0000-0000-0000DE630000}"/>
    <cellStyle name="Positive 2 8 3 2 16" xfId="25554" xr:uid="{00000000-0005-0000-0000-0000DF630000}"/>
    <cellStyle name="Positive 2 8 3 2 16 2" xfId="25555" xr:uid="{00000000-0005-0000-0000-0000E0630000}"/>
    <cellStyle name="Positive 2 8 3 2 17" xfId="25556" xr:uid="{00000000-0005-0000-0000-0000E1630000}"/>
    <cellStyle name="Positive 2 8 3 2 2" xfId="25557" xr:uid="{00000000-0005-0000-0000-0000E2630000}"/>
    <cellStyle name="Positive 2 8 3 2 2 2" xfId="25558" xr:uid="{00000000-0005-0000-0000-0000E3630000}"/>
    <cellStyle name="Positive 2 8 3 2 3" xfId="25559" xr:uid="{00000000-0005-0000-0000-0000E4630000}"/>
    <cellStyle name="Positive 2 8 3 2 3 2" xfId="25560" xr:uid="{00000000-0005-0000-0000-0000E5630000}"/>
    <cellStyle name="Positive 2 8 3 2 4" xfId="25561" xr:uid="{00000000-0005-0000-0000-0000E6630000}"/>
    <cellStyle name="Positive 2 8 3 2 4 2" xfId="25562" xr:uid="{00000000-0005-0000-0000-0000E7630000}"/>
    <cellStyle name="Positive 2 8 3 2 5" xfId="25563" xr:uid="{00000000-0005-0000-0000-0000E8630000}"/>
    <cellStyle name="Positive 2 8 3 2 5 2" xfId="25564" xr:uid="{00000000-0005-0000-0000-0000E9630000}"/>
    <cellStyle name="Positive 2 8 3 2 6" xfId="25565" xr:uid="{00000000-0005-0000-0000-0000EA630000}"/>
    <cellStyle name="Positive 2 8 3 2 6 2" xfId="25566" xr:uid="{00000000-0005-0000-0000-0000EB630000}"/>
    <cellStyle name="Positive 2 8 3 2 7" xfId="25567" xr:uid="{00000000-0005-0000-0000-0000EC630000}"/>
    <cellStyle name="Positive 2 8 3 2 7 2" xfId="25568" xr:uid="{00000000-0005-0000-0000-0000ED630000}"/>
    <cellStyle name="Positive 2 8 3 2 8" xfId="25569" xr:uid="{00000000-0005-0000-0000-0000EE630000}"/>
    <cellStyle name="Positive 2 8 3 2 8 2" xfId="25570" xr:uid="{00000000-0005-0000-0000-0000EF630000}"/>
    <cellStyle name="Positive 2 8 3 2 9" xfId="25571" xr:uid="{00000000-0005-0000-0000-0000F0630000}"/>
    <cellStyle name="Positive 2 8 3 2 9 2" xfId="25572" xr:uid="{00000000-0005-0000-0000-0000F1630000}"/>
    <cellStyle name="Positive 2 8 3 20" xfId="25573" xr:uid="{00000000-0005-0000-0000-0000F2630000}"/>
    <cellStyle name="Positive 2 8 3 3" xfId="25574" xr:uid="{00000000-0005-0000-0000-0000F3630000}"/>
    <cellStyle name="Positive 2 8 3 3 2" xfId="25575" xr:uid="{00000000-0005-0000-0000-0000F4630000}"/>
    <cellStyle name="Positive 2 8 3 3 2 2" xfId="25576" xr:uid="{00000000-0005-0000-0000-0000F5630000}"/>
    <cellStyle name="Positive 2 8 3 3 3" xfId="25577" xr:uid="{00000000-0005-0000-0000-0000F6630000}"/>
    <cellStyle name="Positive 2 8 3 4" xfId="25578" xr:uid="{00000000-0005-0000-0000-0000F7630000}"/>
    <cellStyle name="Positive 2 8 3 4 2" xfId="25579" xr:uid="{00000000-0005-0000-0000-0000F8630000}"/>
    <cellStyle name="Positive 2 8 3 4 2 2" xfId="25580" xr:uid="{00000000-0005-0000-0000-0000F9630000}"/>
    <cellStyle name="Positive 2 8 3 4 3" xfId="25581" xr:uid="{00000000-0005-0000-0000-0000FA630000}"/>
    <cellStyle name="Positive 2 8 3 5" xfId="25582" xr:uid="{00000000-0005-0000-0000-0000FB630000}"/>
    <cellStyle name="Positive 2 8 3 5 2" xfId="25583" xr:uid="{00000000-0005-0000-0000-0000FC630000}"/>
    <cellStyle name="Positive 2 8 3 6" xfId="25584" xr:uid="{00000000-0005-0000-0000-0000FD630000}"/>
    <cellStyle name="Positive 2 8 3 6 2" xfId="25585" xr:uid="{00000000-0005-0000-0000-0000FE630000}"/>
    <cellStyle name="Positive 2 8 3 7" xfId="25586" xr:uid="{00000000-0005-0000-0000-0000FF630000}"/>
    <cellStyle name="Positive 2 8 3 7 2" xfId="25587" xr:uid="{00000000-0005-0000-0000-000000640000}"/>
    <cellStyle name="Positive 2 8 3 8" xfId="25588" xr:uid="{00000000-0005-0000-0000-000001640000}"/>
    <cellStyle name="Positive 2 8 3 8 2" xfId="25589" xr:uid="{00000000-0005-0000-0000-000002640000}"/>
    <cellStyle name="Positive 2 8 3 9" xfId="25590" xr:uid="{00000000-0005-0000-0000-000003640000}"/>
    <cellStyle name="Positive 2 8 3 9 2" xfId="25591" xr:uid="{00000000-0005-0000-0000-000004640000}"/>
    <cellStyle name="Positive 2 8 4" xfId="25592" xr:uid="{00000000-0005-0000-0000-000005640000}"/>
    <cellStyle name="Positive 2 8 4 10" xfId="25593" xr:uid="{00000000-0005-0000-0000-000006640000}"/>
    <cellStyle name="Positive 2 8 4 10 2" xfId="25594" xr:uid="{00000000-0005-0000-0000-000007640000}"/>
    <cellStyle name="Positive 2 8 4 11" xfId="25595" xr:uid="{00000000-0005-0000-0000-000008640000}"/>
    <cellStyle name="Positive 2 8 4 11 2" xfId="25596" xr:uid="{00000000-0005-0000-0000-000009640000}"/>
    <cellStyle name="Positive 2 8 4 12" xfId="25597" xr:uid="{00000000-0005-0000-0000-00000A640000}"/>
    <cellStyle name="Positive 2 8 4 12 2" xfId="25598" xr:uid="{00000000-0005-0000-0000-00000B640000}"/>
    <cellStyle name="Positive 2 8 4 13" xfId="25599" xr:uid="{00000000-0005-0000-0000-00000C640000}"/>
    <cellStyle name="Positive 2 8 4 13 2" xfId="25600" xr:uid="{00000000-0005-0000-0000-00000D640000}"/>
    <cellStyle name="Positive 2 8 4 14" xfId="25601" xr:uid="{00000000-0005-0000-0000-00000E640000}"/>
    <cellStyle name="Positive 2 8 4 14 2" xfId="25602" xr:uid="{00000000-0005-0000-0000-00000F640000}"/>
    <cellStyle name="Positive 2 8 4 15" xfId="25603" xr:uid="{00000000-0005-0000-0000-000010640000}"/>
    <cellStyle name="Positive 2 8 4 15 2" xfId="25604" xr:uid="{00000000-0005-0000-0000-000011640000}"/>
    <cellStyle name="Positive 2 8 4 16" xfId="25605" xr:uid="{00000000-0005-0000-0000-000012640000}"/>
    <cellStyle name="Positive 2 8 4 16 2" xfId="25606" xr:uid="{00000000-0005-0000-0000-000013640000}"/>
    <cellStyle name="Positive 2 8 4 17" xfId="25607" xr:uid="{00000000-0005-0000-0000-000014640000}"/>
    <cellStyle name="Positive 2 8 4 17 2" xfId="25608" xr:uid="{00000000-0005-0000-0000-000015640000}"/>
    <cellStyle name="Positive 2 8 4 18" xfId="25609" xr:uid="{00000000-0005-0000-0000-000016640000}"/>
    <cellStyle name="Positive 2 8 4 18 2" xfId="25610" xr:uid="{00000000-0005-0000-0000-000017640000}"/>
    <cellStyle name="Positive 2 8 4 19" xfId="25611" xr:uid="{00000000-0005-0000-0000-000018640000}"/>
    <cellStyle name="Positive 2 8 4 19 2" xfId="25612" xr:uid="{00000000-0005-0000-0000-000019640000}"/>
    <cellStyle name="Positive 2 8 4 2" xfId="25613" xr:uid="{00000000-0005-0000-0000-00001A640000}"/>
    <cellStyle name="Positive 2 8 4 2 10" xfId="25614" xr:uid="{00000000-0005-0000-0000-00001B640000}"/>
    <cellStyle name="Positive 2 8 4 2 10 2" xfId="25615" xr:uid="{00000000-0005-0000-0000-00001C640000}"/>
    <cellStyle name="Positive 2 8 4 2 11" xfId="25616" xr:uid="{00000000-0005-0000-0000-00001D640000}"/>
    <cellStyle name="Positive 2 8 4 2 11 2" xfId="25617" xr:uid="{00000000-0005-0000-0000-00001E640000}"/>
    <cellStyle name="Positive 2 8 4 2 12" xfId="25618" xr:uid="{00000000-0005-0000-0000-00001F640000}"/>
    <cellStyle name="Positive 2 8 4 2 12 2" xfId="25619" xr:uid="{00000000-0005-0000-0000-000020640000}"/>
    <cellStyle name="Positive 2 8 4 2 13" xfId="25620" xr:uid="{00000000-0005-0000-0000-000021640000}"/>
    <cellStyle name="Positive 2 8 4 2 13 2" xfId="25621" xr:uid="{00000000-0005-0000-0000-000022640000}"/>
    <cellStyle name="Positive 2 8 4 2 14" xfId="25622" xr:uid="{00000000-0005-0000-0000-000023640000}"/>
    <cellStyle name="Positive 2 8 4 2 14 2" xfId="25623" xr:uid="{00000000-0005-0000-0000-000024640000}"/>
    <cellStyle name="Positive 2 8 4 2 15" xfId="25624" xr:uid="{00000000-0005-0000-0000-000025640000}"/>
    <cellStyle name="Positive 2 8 4 2 15 2" xfId="25625" xr:uid="{00000000-0005-0000-0000-000026640000}"/>
    <cellStyle name="Positive 2 8 4 2 16" xfId="25626" xr:uid="{00000000-0005-0000-0000-000027640000}"/>
    <cellStyle name="Positive 2 8 4 2 16 2" xfId="25627" xr:uid="{00000000-0005-0000-0000-000028640000}"/>
    <cellStyle name="Positive 2 8 4 2 17" xfId="25628" xr:uid="{00000000-0005-0000-0000-000029640000}"/>
    <cellStyle name="Positive 2 8 4 2 2" xfId="25629" xr:uid="{00000000-0005-0000-0000-00002A640000}"/>
    <cellStyle name="Positive 2 8 4 2 2 2" xfId="25630" xr:uid="{00000000-0005-0000-0000-00002B640000}"/>
    <cellStyle name="Positive 2 8 4 2 3" xfId="25631" xr:uid="{00000000-0005-0000-0000-00002C640000}"/>
    <cellStyle name="Positive 2 8 4 2 3 2" xfId="25632" xr:uid="{00000000-0005-0000-0000-00002D640000}"/>
    <cellStyle name="Positive 2 8 4 2 4" xfId="25633" xr:uid="{00000000-0005-0000-0000-00002E640000}"/>
    <cellStyle name="Positive 2 8 4 2 4 2" xfId="25634" xr:uid="{00000000-0005-0000-0000-00002F640000}"/>
    <cellStyle name="Positive 2 8 4 2 5" xfId="25635" xr:uid="{00000000-0005-0000-0000-000030640000}"/>
    <cellStyle name="Positive 2 8 4 2 5 2" xfId="25636" xr:uid="{00000000-0005-0000-0000-000031640000}"/>
    <cellStyle name="Positive 2 8 4 2 6" xfId="25637" xr:uid="{00000000-0005-0000-0000-000032640000}"/>
    <cellStyle name="Positive 2 8 4 2 6 2" xfId="25638" xr:uid="{00000000-0005-0000-0000-000033640000}"/>
    <cellStyle name="Positive 2 8 4 2 7" xfId="25639" xr:uid="{00000000-0005-0000-0000-000034640000}"/>
    <cellStyle name="Positive 2 8 4 2 7 2" xfId="25640" xr:uid="{00000000-0005-0000-0000-000035640000}"/>
    <cellStyle name="Positive 2 8 4 2 8" xfId="25641" xr:uid="{00000000-0005-0000-0000-000036640000}"/>
    <cellStyle name="Positive 2 8 4 2 8 2" xfId="25642" xr:uid="{00000000-0005-0000-0000-000037640000}"/>
    <cellStyle name="Positive 2 8 4 2 9" xfId="25643" xr:uid="{00000000-0005-0000-0000-000038640000}"/>
    <cellStyle name="Positive 2 8 4 2 9 2" xfId="25644" xr:uid="{00000000-0005-0000-0000-000039640000}"/>
    <cellStyle name="Positive 2 8 4 20" xfId="25645" xr:uid="{00000000-0005-0000-0000-00003A640000}"/>
    <cellStyle name="Positive 2 8 4 3" xfId="25646" xr:uid="{00000000-0005-0000-0000-00003B640000}"/>
    <cellStyle name="Positive 2 8 4 3 2" xfId="25647" xr:uid="{00000000-0005-0000-0000-00003C640000}"/>
    <cellStyle name="Positive 2 8 4 3 2 2" xfId="25648" xr:uid="{00000000-0005-0000-0000-00003D640000}"/>
    <cellStyle name="Positive 2 8 4 3 3" xfId="25649" xr:uid="{00000000-0005-0000-0000-00003E640000}"/>
    <cellStyle name="Positive 2 8 4 4" xfId="25650" xr:uid="{00000000-0005-0000-0000-00003F640000}"/>
    <cellStyle name="Positive 2 8 4 4 2" xfId="25651" xr:uid="{00000000-0005-0000-0000-000040640000}"/>
    <cellStyle name="Positive 2 8 4 4 2 2" xfId="25652" xr:uid="{00000000-0005-0000-0000-000041640000}"/>
    <cellStyle name="Positive 2 8 4 4 3" xfId="25653" xr:uid="{00000000-0005-0000-0000-000042640000}"/>
    <cellStyle name="Positive 2 8 4 5" xfId="25654" xr:uid="{00000000-0005-0000-0000-000043640000}"/>
    <cellStyle name="Positive 2 8 4 5 2" xfId="25655" xr:uid="{00000000-0005-0000-0000-000044640000}"/>
    <cellStyle name="Positive 2 8 4 6" xfId="25656" xr:uid="{00000000-0005-0000-0000-000045640000}"/>
    <cellStyle name="Positive 2 8 4 6 2" xfId="25657" xr:uid="{00000000-0005-0000-0000-000046640000}"/>
    <cellStyle name="Positive 2 8 4 7" xfId="25658" xr:uid="{00000000-0005-0000-0000-000047640000}"/>
    <cellStyle name="Positive 2 8 4 7 2" xfId="25659" xr:uid="{00000000-0005-0000-0000-000048640000}"/>
    <cellStyle name="Positive 2 8 4 8" xfId="25660" xr:uid="{00000000-0005-0000-0000-000049640000}"/>
    <cellStyle name="Positive 2 8 4 8 2" xfId="25661" xr:uid="{00000000-0005-0000-0000-00004A640000}"/>
    <cellStyle name="Positive 2 8 4 9" xfId="25662" xr:uid="{00000000-0005-0000-0000-00004B640000}"/>
    <cellStyle name="Positive 2 8 4 9 2" xfId="25663" xr:uid="{00000000-0005-0000-0000-00004C640000}"/>
    <cellStyle name="Positive 2 8 5" xfId="25664" xr:uid="{00000000-0005-0000-0000-00004D640000}"/>
    <cellStyle name="Positive 2 8 5 10" xfId="25665" xr:uid="{00000000-0005-0000-0000-00004E640000}"/>
    <cellStyle name="Positive 2 8 5 10 2" xfId="25666" xr:uid="{00000000-0005-0000-0000-00004F640000}"/>
    <cellStyle name="Positive 2 8 5 11" xfId="25667" xr:uid="{00000000-0005-0000-0000-000050640000}"/>
    <cellStyle name="Positive 2 8 5 11 2" xfId="25668" xr:uid="{00000000-0005-0000-0000-000051640000}"/>
    <cellStyle name="Positive 2 8 5 12" xfId="25669" xr:uid="{00000000-0005-0000-0000-000052640000}"/>
    <cellStyle name="Positive 2 8 5 12 2" xfId="25670" xr:uid="{00000000-0005-0000-0000-000053640000}"/>
    <cellStyle name="Positive 2 8 5 13" xfId="25671" xr:uid="{00000000-0005-0000-0000-000054640000}"/>
    <cellStyle name="Positive 2 8 5 13 2" xfId="25672" xr:uid="{00000000-0005-0000-0000-000055640000}"/>
    <cellStyle name="Positive 2 8 5 14" xfId="25673" xr:uid="{00000000-0005-0000-0000-000056640000}"/>
    <cellStyle name="Positive 2 8 5 14 2" xfId="25674" xr:uid="{00000000-0005-0000-0000-000057640000}"/>
    <cellStyle name="Positive 2 8 5 15" xfId="25675" xr:uid="{00000000-0005-0000-0000-000058640000}"/>
    <cellStyle name="Positive 2 8 5 15 2" xfId="25676" xr:uid="{00000000-0005-0000-0000-000059640000}"/>
    <cellStyle name="Positive 2 8 5 16" xfId="25677" xr:uid="{00000000-0005-0000-0000-00005A640000}"/>
    <cellStyle name="Positive 2 8 5 16 2" xfId="25678" xr:uid="{00000000-0005-0000-0000-00005B640000}"/>
    <cellStyle name="Positive 2 8 5 17" xfId="25679" xr:uid="{00000000-0005-0000-0000-00005C640000}"/>
    <cellStyle name="Positive 2 8 5 2" xfId="25680" xr:uid="{00000000-0005-0000-0000-00005D640000}"/>
    <cellStyle name="Positive 2 8 5 2 2" xfId="25681" xr:uid="{00000000-0005-0000-0000-00005E640000}"/>
    <cellStyle name="Positive 2 8 5 3" xfId="25682" xr:uid="{00000000-0005-0000-0000-00005F640000}"/>
    <cellStyle name="Positive 2 8 5 3 2" xfId="25683" xr:uid="{00000000-0005-0000-0000-000060640000}"/>
    <cellStyle name="Positive 2 8 5 4" xfId="25684" xr:uid="{00000000-0005-0000-0000-000061640000}"/>
    <cellStyle name="Positive 2 8 5 4 2" xfId="25685" xr:uid="{00000000-0005-0000-0000-000062640000}"/>
    <cellStyle name="Positive 2 8 5 5" xfId="25686" xr:uid="{00000000-0005-0000-0000-000063640000}"/>
    <cellStyle name="Positive 2 8 5 5 2" xfId="25687" xr:uid="{00000000-0005-0000-0000-000064640000}"/>
    <cellStyle name="Positive 2 8 5 6" xfId="25688" xr:uid="{00000000-0005-0000-0000-000065640000}"/>
    <cellStyle name="Positive 2 8 5 6 2" xfId="25689" xr:uid="{00000000-0005-0000-0000-000066640000}"/>
    <cellStyle name="Positive 2 8 5 7" xfId="25690" xr:uid="{00000000-0005-0000-0000-000067640000}"/>
    <cellStyle name="Positive 2 8 5 7 2" xfId="25691" xr:uid="{00000000-0005-0000-0000-000068640000}"/>
    <cellStyle name="Positive 2 8 5 8" xfId="25692" xr:uid="{00000000-0005-0000-0000-000069640000}"/>
    <cellStyle name="Positive 2 8 5 8 2" xfId="25693" xr:uid="{00000000-0005-0000-0000-00006A640000}"/>
    <cellStyle name="Positive 2 8 5 9" xfId="25694" xr:uid="{00000000-0005-0000-0000-00006B640000}"/>
    <cellStyle name="Positive 2 8 5 9 2" xfId="25695" xr:uid="{00000000-0005-0000-0000-00006C640000}"/>
    <cellStyle name="Positive 2 8 6" xfId="25696" xr:uid="{00000000-0005-0000-0000-00006D640000}"/>
    <cellStyle name="Positive 2 8 6 2" xfId="25697" xr:uid="{00000000-0005-0000-0000-00006E640000}"/>
    <cellStyle name="Positive 2 8 6 2 2" xfId="25698" xr:uid="{00000000-0005-0000-0000-00006F640000}"/>
    <cellStyle name="Positive 2 8 6 3" xfId="25699" xr:uid="{00000000-0005-0000-0000-000070640000}"/>
    <cellStyle name="Positive 2 8 7" xfId="25700" xr:uid="{00000000-0005-0000-0000-000071640000}"/>
    <cellStyle name="Positive 2 8 7 2" xfId="25701" xr:uid="{00000000-0005-0000-0000-000072640000}"/>
    <cellStyle name="Positive 2 8 7 2 2" xfId="25702" xr:uid="{00000000-0005-0000-0000-000073640000}"/>
    <cellStyle name="Positive 2 8 7 3" xfId="25703" xr:uid="{00000000-0005-0000-0000-000074640000}"/>
    <cellStyle name="Positive 2 8 8" xfId="25704" xr:uid="{00000000-0005-0000-0000-000075640000}"/>
    <cellStyle name="Positive 2 8 8 2" xfId="25705" xr:uid="{00000000-0005-0000-0000-000076640000}"/>
    <cellStyle name="Positive 2 8 9" xfId="25706" xr:uid="{00000000-0005-0000-0000-000077640000}"/>
    <cellStyle name="Positive 2 8 9 2" xfId="25707" xr:uid="{00000000-0005-0000-0000-000078640000}"/>
    <cellStyle name="Positive 2 9" xfId="25708" xr:uid="{00000000-0005-0000-0000-000079640000}"/>
    <cellStyle name="Positive 2 9 10" xfId="25709" xr:uid="{00000000-0005-0000-0000-00007A640000}"/>
    <cellStyle name="Positive 2 9 10 2" xfId="25710" xr:uid="{00000000-0005-0000-0000-00007B640000}"/>
    <cellStyle name="Positive 2 9 11" xfId="25711" xr:uid="{00000000-0005-0000-0000-00007C640000}"/>
    <cellStyle name="Positive 2 9 11 2" xfId="25712" xr:uid="{00000000-0005-0000-0000-00007D640000}"/>
    <cellStyle name="Positive 2 9 12" xfId="25713" xr:uid="{00000000-0005-0000-0000-00007E640000}"/>
    <cellStyle name="Positive 2 9 12 2" xfId="25714" xr:uid="{00000000-0005-0000-0000-00007F640000}"/>
    <cellStyle name="Positive 2 9 13" xfId="25715" xr:uid="{00000000-0005-0000-0000-000080640000}"/>
    <cellStyle name="Positive 2 9 13 2" xfId="25716" xr:uid="{00000000-0005-0000-0000-000081640000}"/>
    <cellStyle name="Positive 2 9 14" xfId="25717" xr:uid="{00000000-0005-0000-0000-000082640000}"/>
    <cellStyle name="Positive 2 9 14 2" xfId="25718" xr:uid="{00000000-0005-0000-0000-000083640000}"/>
    <cellStyle name="Positive 2 9 15" xfId="25719" xr:uid="{00000000-0005-0000-0000-000084640000}"/>
    <cellStyle name="Positive 2 9 15 2" xfId="25720" xr:uid="{00000000-0005-0000-0000-000085640000}"/>
    <cellStyle name="Positive 2 9 16" xfId="25721" xr:uid="{00000000-0005-0000-0000-000086640000}"/>
    <cellStyle name="Positive 2 9 16 2" xfId="25722" xr:uid="{00000000-0005-0000-0000-000087640000}"/>
    <cellStyle name="Positive 2 9 17" xfId="25723" xr:uid="{00000000-0005-0000-0000-000088640000}"/>
    <cellStyle name="Positive 2 9 17 2" xfId="25724" xr:uid="{00000000-0005-0000-0000-000089640000}"/>
    <cellStyle name="Positive 2 9 18" xfId="25725" xr:uid="{00000000-0005-0000-0000-00008A640000}"/>
    <cellStyle name="Positive 2 9 18 2" xfId="25726" xr:uid="{00000000-0005-0000-0000-00008B640000}"/>
    <cellStyle name="Positive 2 9 19" xfId="25727" xr:uid="{00000000-0005-0000-0000-00008C640000}"/>
    <cellStyle name="Positive 2 9 19 2" xfId="25728" xr:uid="{00000000-0005-0000-0000-00008D640000}"/>
    <cellStyle name="Positive 2 9 2" xfId="25729" xr:uid="{00000000-0005-0000-0000-00008E640000}"/>
    <cellStyle name="Positive 2 9 2 10" xfId="25730" xr:uid="{00000000-0005-0000-0000-00008F640000}"/>
    <cellStyle name="Positive 2 9 2 10 2" xfId="25731" xr:uid="{00000000-0005-0000-0000-000090640000}"/>
    <cellStyle name="Positive 2 9 2 11" xfId="25732" xr:uid="{00000000-0005-0000-0000-000091640000}"/>
    <cellStyle name="Positive 2 9 2 11 2" xfId="25733" xr:uid="{00000000-0005-0000-0000-000092640000}"/>
    <cellStyle name="Positive 2 9 2 12" xfId="25734" xr:uid="{00000000-0005-0000-0000-000093640000}"/>
    <cellStyle name="Positive 2 9 2 12 2" xfId="25735" xr:uid="{00000000-0005-0000-0000-000094640000}"/>
    <cellStyle name="Positive 2 9 2 13" xfId="25736" xr:uid="{00000000-0005-0000-0000-000095640000}"/>
    <cellStyle name="Positive 2 9 2 13 2" xfId="25737" xr:uid="{00000000-0005-0000-0000-000096640000}"/>
    <cellStyle name="Positive 2 9 2 14" xfId="25738" xr:uid="{00000000-0005-0000-0000-000097640000}"/>
    <cellStyle name="Positive 2 9 2 14 2" xfId="25739" xr:uid="{00000000-0005-0000-0000-000098640000}"/>
    <cellStyle name="Positive 2 9 2 15" xfId="25740" xr:uid="{00000000-0005-0000-0000-000099640000}"/>
    <cellStyle name="Positive 2 9 2 15 2" xfId="25741" xr:uid="{00000000-0005-0000-0000-00009A640000}"/>
    <cellStyle name="Positive 2 9 2 16" xfId="25742" xr:uid="{00000000-0005-0000-0000-00009B640000}"/>
    <cellStyle name="Positive 2 9 2 16 2" xfId="25743" xr:uid="{00000000-0005-0000-0000-00009C640000}"/>
    <cellStyle name="Positive 2 9 2 17" xfId="25744" xr:uid="{00000000-0005-0000-0000-00009D640000}"/>
    <cellStyle name="Positive 2 9 2 17 2" xfId="25745" xr:uid="{00000000-0005-0000-0000-00009E640000}"/>
    <cellStyle name="Positive 2 9 2 18" xfId="25746" xr:uid="{00000000-0005-0000-0000-00009F640000}"/>
    <cellStyle name="Positive 2 9 2 18 2" xfId="25747" xr:uid="{00000000-0005-0000-0000-0000A0640000}"/>
    <cellStyle name="Positive 2 9 2 19" xfId="25748" xr:uid="{00000000-0005-0000-0000-0000A1640000}"/>
    <cellStyle name="Positive 2 9 2 19 2" xfId="25749" xr:uid="{00000000-0005-0000-0000-0000A2640000}"/>
    <cellStyle name="Positive 2 9 2 2" xfId="25750" xr:uid="{00000000-0005-0000-0000-0000A3640000}"/>
    <cellStyle name="Positive 2 9 2 2 10" xfId="25751" xr:uid="{00000000-0005-0000-0000-0000A4640000}"/>
    <cellStyle name="Positive 2 9 2 2 10 2" xfId="25752" xr:uid="{00000000-0005-0000-0000-0000A5640000}"/>
    <cellStyle name="Positive 2 9 2 2 11" xfId="25753" xr:uid="{00000000-0005-0000-0000-0000A6640000}"/>
    <cellStyle name="Positive 2 9 2 2 11 2" xfId="25754" xr:uid="{00000000-0005-0000-0000-0000A7640000}"/>
    <cellStyle name="Positive 2 9 2 2 12" xfId="25755" xr:uid="{00000000-0005-0000-0000-0000A8640000}"/>
    <cellStyle name="Positive 2 9 2 2 12 2" xfId="25756" xr:uid="{00000000-0005-0000-0000-0000A9640000}"/>
    <cellStyle name="Positive 2 9 2 2 13" xfId="25757" xr:uid="{00000000-0005-0000-0000-0000AA640000}"/>
    <cellStyle name="Positive 2 9 2 2 13 2" xfId="25758" xr:uid="{00000000-0005-0000-0000-0000AB640000}"/>
    <cellStyle name="Positive 2 9 2 2 14" xfId="25759" xr:uid="{00000000-0005-0000-0000-0000AC640000}"/>
    <cellStyle name="Positive 2 9 2 2 14 2" xfId="25760" xr:uid="{00000000-0005-0000-0000-0000AD640000}"/>
    <cellStyle name="Positive 2 9 2 2 15" xfId="25761" xr:uid="{00000000-0005-0000-0000-0000AE640000}"/>
    <cellStyle name="Positive 2 9 2 2 15 2" xfId="25762" xr:uid="{00000000-0005-0000-0000-0000AF640000}"/>
    <cellStyle name="Positive 2 9 2 2 16" xfId="25763" xr:uid="{00000000-0005-0000-0000-0000B0640000}"/>
    <cellStyle name="Positive 2 9 2 2 16 2" xfId="25764" xr:uid="{00000000-0005-0000-0000-0000B1640000}"/>
    <cellStyle name="Positive 2 9 2 2 17" xfId="25765" xr:uid="{00000000-0005-0000-0000-0000B2640000}"/>
    <cellStyle name="Positive 2 9 2 2 2" xfId="25766" xr:uid="{00000000-0005-0000-0000-0000B3640000}"/>
    <cellStyle name="Positive 2 9 2 2 2 2" xfId="25767" xr:uid="{00000000-0005-0000-0000-0000B4640000}"/>
    <cellStyle name="Positive 2 9 2 2 3" xfId="25768" xr:uid="{00000000-0005-0000-0000-0000B5640000}"/>
    <cellStyle name="Positive 2 9 2 2 3 2" xfId="25769" xr:uid="{00000000-0005-0000-0000-0000B6640000}"/>
    <cellStyle name="Positive 2 9 2 2 4" xfId="25770" xr:uid="{00000000-0005-0000-0000-0000B7640000}"/>
    <cellStyle name="Positive 2 9 2 2 4 2" xfId="25771" xr:uid="{00000000-0005-0000-0000-0000B8640000}"/>
    <cellStyle name="Positive 2 9 2 2 5" xfId="25772" xr:uid="{00000000-0005-0000-0000-0000B9640000}"/>
    <cellStyle name="Positive 2 9 2 2 5 2" xfId="25773" xr:uid="{00000000-0005-0000-0000-0000BA640000}"/>
    <cellStyle name="Positive 2 9 2 2 6" xfId="25774" xr:uid="{00000000-0005-0000-0000-0000BB640000}"/>
    <cellStyle name="Positive 2 9 2 2 6 2" xfId="25775" xr:uid="{00000000-0005-0000-0000-0000BC640000}"/>
    <cellStyle name="Positive 2 9 2 2 7" xfId="25776" xr:uid="{00000000-0005-0000-0000-0000BD640000}"/>
    <cellStyle name="Positive 2 9 2 2 7 2" xfId="25777" xr:uid="{00000000-0005-0000-0000-0000BE640000}"/>
    <cellStyle name="Positive 2 9 2 2 8" xfId="25778" xr:uid="{00000000-0005-0000-0000-0000BF640000}"/>
    <cellStyle name="Positive 2 9 2 2 8 2" xfId="25779" xr:uid="{00000000-0005-0000-0000-0000C0640000}"/>
    <cellStyle name="Positive 2 9 2 2 9" xfId="25780" xr:uid="{00000000-0005-0000-0000-0000C1640000}"/>
    <cellStyle name="Positive 2 9 2 2 9 2" xfId="25781" xr:uid="{00000000-0005-0000-0000-0000C2640000}"/>
    <cellStyle name="Positive 2 9 2 20" xfId="25782" xr:uid="{00000000-0005-0000-0000-0000C3640000}"/>
    <cellStyle name="Positive 2 9 2 3" xfId="25783" xr:uid="{00000000-0005-0000-0000-0000C4640000}"/>
    <cellStyle name="Positive 2 9 2 3 2" xfId="25784" xr:uid="{00000000-0005-0000-0000-0000C5640000}"/>
    <cellStyle name="Positive 2 9 2 3 2 2" xfId="25785" xr:uid="{00000000-0005-0000-0000-0000C6640000}"/>
    <cellStyle name="Positive 2 9 2 3 3" xfId="25786" xr:uid="{00000000-0005-0000-0000-0000C7640000}"/>
    <cellStyle name="Positive 2 9 2 4" xfId="25787" xr:uid="{00000000-0005-0000-0000-0000C8640000}"/>
    <cellStyle name="Positive 2 9 2 4 2" xfId="25788" xr:uid="{00000000-0005-0000-0000-0000C9640000}"/>
    <cellStyle name="Positive 2 9 2 4 2 2" xfId="25789" xr:uid="{00000000-0005-0000-0000-0000CA640000}"/>
    <cellStyle name="Positive 2 9 2 4 3" xfId="25790" xr:uid="{00000000-0005-0000-0000-0000CB640000}"/>
    <cellStyle name="Positive 2 9 2 5" xfId="25791" xr:uid="{00000000-0005-0000-0000-0000CC640000}"/>
    <cellStyle name="Positive 2 9 2 5 2" xfId="25792" xr:uid="{00000000-0005-0000-0000-0000CD640000}"/>
    <cellStyle name="Positive 2 9 2 6" xfId="25793" xr:uid="{00000000-0005-0000-0000-0000CE640000}"/>
    <cellStyle name="Positive 2 9 2 6 2" xfId="25794" xr:uid="{00000000-0005-0000-0000-0000CF640000}"/>
    <cellStyle name="Positive 2 9 2 7" xfId="25795" xr:uid="{00000000-0005-0000-0000-0000D0640000}"/>
    <cellStyle name="Positive 2 9 2 7 2" xfId="25796" xr:uid="{00000000-0005-0000-0000-0000D1640000}"/>
    <cellStyle name="Positive 2 9 2 8" xfId="25797" xr:uid="{00000000-0005-0000-0000-0000D2640000}"/>
    <cellStyle name="Positive 2 9 2 8 2" xfId="25798" xr:uid="{00000000-0005-0000-0000-0000D3640000}"/>
    <cellStyle name="Positive 2 9 2 9" xfId="25799" xr:uid="{00000000-0005-0000-0000-0000D4640000}"/>
    <cellStyle name="Positive 2 9 2 9 2" xfId="25800" xr:uid="{00000000-0005-0000-0000-0000D5640000}"/>
    <cellStyle name="Positive 2 9 20" xfId="25801" xr:uid="{00000000-0005-0000-0000-0000D6640000}"/>
    <cellStyle name="Positive 2 9 20 2" xfId="25802" xr:uid="{00000000-0005-0000-0000-0000D7640000}"/>
    <cellStyle name="Positive 2 9 21" xfId="25803" xr:uid="{00000000-0005-0000-0000-0000D8640000}"/>
    <cellStyle name="Positive 2 9 21 2" xfId="25804" xr:uid="{00000000-0005-0000-0000-0000D9640000}"/>
    <cellStyle name="Positive 2 9 22" xfId="25805" xr:uid="{00000000-0005-0000-0000-0000DA640000}"/>
    <cellStyle name="Positive 2 9 22 2" xfId="25806" xr:uid="{00000000-0005-0000-0000-0000DB640000}"/>
    <cellStyle name="Positive 2 9 23" xfId="25807" xr:uid="{00000000-0005-0000-0000-0000DC640000}"/>
    <cellStyle name="Positive 2 9 3" xfId="25808" xr:uid="{00000000-0005-0000-0000-0000DD640000}"/>
    <cellStyle name="Positive 2 9 3 10" xfId="25809" xr:uid="{00000000-0005-0000-0000-0000DE640000}"/>
    <cellStyle name="Positive 2 9 3 10 2" xfId="25810" xr:uid="{00000000-0005-0000-0000-0000DF640000}"/>
    <cellStyle name="Positive 2 9 3 11" xfId="25811" xr:uid="{00000000-0005-0000-0000-0000E0640000}"/>
    <cellStyle name="Positive 2 9 3 11 2" xfId="25812" xr:uid="{00000000-0005-0000-0000-0000E1640000}"/>
    <cellStyle name="Positive 2 9 3 12" xfId="25813" xr:uid="{00000000-0005-0000-0000-0000E2640000}"/>
    <cellStyle name="Positive 2 9 3 12 2" xfId="25814" xr:uid="{00000000-0005-0000-0000-0000E3640000}"/>
    <cellStyle name="Positive 2 9 3 13" xfId="25815" xr:uid="{00000000-0005-0000-0000-0000E4640000}"/>
    <cellStyle name="Positive 2 9 3 13 2" xfId="25816" xr:uid="{00000000-0005-0000-0000-0000E5640000}"/>
    <cellStyle name="Positive 2 9 3 14" xfId="25817" xr:uid="{00000000-0005-0000-0000-0000E6640000}"/>
    <cellStyle name="Positive 2 9 3 14 2" xfId="25818" xr:uid="{00000000-0005-0000-0000-0000E7640000}"/>
    <cellStyle name="Positive 2 9 3 15" xfId="25819" xr:uid="{00000000-0005-0000-0000-0000E8640000}"/>
    <cellStyle name="Positive 2 9 3 15 2" xfId="25820" xr:uid="{00000000-0005-0000-0000-0000E9640000}"/>
    <cellStyle name="Positive 2 9 3 16" xfId="25821" xr:uid="{00000000-0005-0000-0000-0000EA640000}"/>
    <cellStyle name="Positive 2 9 3 16 2" xfId="25822" xr:uid="{00000000-0005-0000-0000-0000EB640000}"/>
    <cellStyle name="Positive 2 9 3 17" xfId="25823" xr:uid="{00000000-0005-0000-0000-0000EC640000}"/>
    <cellStyle name="Positive 2 9 3 17 2" xfId="25824" xr:uid="{00000000-0005-0000-0000-0000ED640000}"/>
    <cellStyle name="Positive 2 9 3 18" xfId="25825" xr:uid="{00000000-0005-0000-0000-0000EE640000}"/>
    <cellStyle name="Positive 2 9 3 18 2" xfId="25826" xr:uid="{00000000-0005-0000-0000-0000EF640000}"/>
    <cellStyle name="Positive 2 9 3 19" xfId="25827" xr:uid="{00000000-0005-0000-0000-0000F0640000}"/>
    <cellStyle name="Positive 2 9 3 19 2" xfId="25828" xr:uid="{00000000-0005-0000-0000-0000F1640000}"/>
    <cellStyle name="Positive 2 9 3 2" xfId="25829" xr:uid="{00000000-0005-0000-0000-0000F2640000}"/>
    <cellStyle name="Positive 2 9 3 2 10" xfId="25830" xr:uid="{00000000-0005-0000-0000-0000F3640000}"/>
    <cellStyle name="Positive 2 9 3 2 10 2" xfId="25831" xr:uid="{00000000-0005-0000-0000-0000F4640000}"/>
    <cellStyle name="Positive 2 9 3 2 11" xfId="25832" xr:uid="{00000000-0005-0000-0000-0000F5640000}"/>
    <cellStyle name="Positive 2 9 3 2 11 2" xfId="25833" xr:uid="{00000000-0005-0000-0000-0000F6640000}"/>
    <cellStyle name="Positive 2 9 3 2 12" xfId="25834" xr:uid="{00000000-0005-0000-0000-0000F7640000}"/>
    <cellStyle name="Positive 2 9 3 2 12 2" xfId="25835" xr:uid="{00000000-0005-0000-0000-0000F8640000}"/>
    <cellStyle name="Positive 2 9 3 2 13" xfId="25836" xr:uid="{00000000-0005-0000-0000-0000F9640000}"/>
    <cellStyle name="Positive 2 9 3 2 13 2" xfId="25837" xr:uid="{00000000-0005-0000-0000-0000FA640000}"/>
    <cellStyle name="Positive 2 9 3 2 14" xfId="25838" xr:uid="{00000000-0005-0000-0000-0000FB640000}"/>
    <cellStyle name="Positive 2 9 3 2 14 2" xfId="25839" xr:uid="{00000000-0005-0000-0000-0000FC640000}"/>
    <cellStyle name="Positive 2 9 3 2 15" xfId="25840" xr:uid="{00000000-0005-0000-0000-0000FD640000}"/>
    <cellStyle name="Positive 2 9 3 2 15 2" xfId="25841" xr:uid="{00000000-0005-0000-0000-0000FE640000}"/>
    <cellStyle name="Positive 2 9 3 2 16" xfId="25842" xr:uid="{00000000-0005-0000-0000-0000FF640000}"/>
    <cellStyle name="Positive 2 9 3 2 16 2" xfId="25843" xr:uid="{00000000-0005-0000-0000-000000650000}"/>
    <cellStyle name="Positive 2 9 3 2 17" xfId="25844" xr:uid="{00000000-0005-0000-0000-000001650000}"/>
    <cellStyle name="Positive 2 9 3 2 2" xfId="25845" xr:uid="{00000000-0005-0000-0000-000002650000}"/>
    <cellStyle name="Positive 2 9 3 2 2 2" xfId="25846" xr:uid="{00000000-0005-0000-0000-000003650000}"/>
    <cellStyle name="Positive 2 9 3 2 3" xfId="25847" xr:uid="{00000000-0005-0000-0000-000004650000}"/>
    <cellStyle name="Positive 2 9 3 2 3 2" xfId="25848" xr:uid="{00000000-0005-0000-0000-000005650000}"/>
    <cellStyle name="Positive 2 9 3 2 4" xfId="25849" xr:uid="{00000000-0005-0000-0000-000006650000}"/>
    <cellStyle name="Positive 2 9 3 2 4 2" xfId="25850" xr:uid="{00000000-0005-0000-0000-000007650000}"/>
    <cellStyle name="Positive 2 9 3 2 5" xfId="25851" xr:uid="{00000000-0005-0000-0000-000008650000}"/>
    <cellStyle name="Positive 2 9 3 2 5 2" xfId="25852" xr:uid="{00000000-0005-0000-0000-000009650000}"/>
    <cellStyle name="Positive 2 9 3 2 6" xfId="25853" xr:uid="{00000000-0005-0000-0000-00000A650000}"/>
    <cellStyle name="Positive 2 9 3 2 6 2" xfId="25854" xr:uid="{00000000-0005-0000-0000-00000B650000}"/>
    <cellStyle name="Positive 2 9 3 2 7" xfId="25855" xr:uid="{00000000-0005-0000-0000-00000C650000}"/>
    <cellStyle name="Positive 2 9 3 2 7 2" xfId="25856" xr:uid="{00000000-0005-0000-0000-00000D650000}"/>
    <cellStyle name="Positive 2 9 3 2 8" xfId="25857" xr:uid="{00000000-0005-0000-0000-00000E650000}"/>
    <cellStyle name="Positive 2 9 3 2 8 2" xfId="25858" xr:uid="{00000000-0005-0000-0000-00000F650000}"/>
    <cellStyle name="Positive 2 9 3 2 9" xfId="25859" xr:uid="{00000000-0005-0000-0000-000010650000}"/>
    <cellStyle name="Positive 2 9 3 2 9 2" xfId="25860" xr:uid="{00000000-0005-0000-0000-000011650000}"/>
    <cellStyle name="Positive 2 9 3 20" xfId="25861" xr:uid="{00000000-0005-0000-0000-000012650000}"/>
    <cellStyle name="Positive 2 9 3 3" xfId="25862" xr:uid="{00000000-0005-0000-0000-000013650000}"/>
    <cellStyle name="Positive 2 9 3 3 2" xfId="25863" xr:uid="{00000000-0005-0000-0000-000014650000}"/>
    <cellStyle name="Positive 2 9 3 3 2 2" xfId="25864" xr:uid="{00000000-0005-0000-0000-000015650000}"/>
    <cellStyle name="Positive 2 9 3 3 3" xfId="25865" xr:uid="{00000000-0005-0000-0000-000016650000}"/>
    <cellStyle name="Positive 2 9 3 4" xfId="25866" xr:uid="{00000000-0005-0000-0000-000017650000}"/>
    <cellStyle name="Positive 2 9 3 4 2" xfId="25867" xr:uid="{00000000-0005-0000-0000-000018650000}"/>
    <cellStyle name="Positive 2 9 3 4 2 2" xfId="25868" xr:uid="{00000000-0005-0000-0000-000019650000}"/>
    <cellStyle name="Positive 2 9 3 4 3" xfId="25869" xr:uid="{00000000-0005-0000-0000-00001A650000}"/>
    <cellStyle name="Positive 2 9 3 5" xfId="25870" xr:uid="{00000000-0005-0000-0000-00001B650000}"/>
    <cellStyle name="Positive 2 9 3 5 2" xfId="25871" xr:uid="{00000000-0005-0000-0000-00001C650000}"/>
    <cellStyle name="Positive 2 9 3 6" xfId="25872" xr:uid="{00000000-0005-0000-0000-00001D650000}"/>
    <cellStyle name="Positive 2 9 3 6 2" xfId="25873" xr:uid="{00000000-0005-0000-0000-00001E650000}"/>
    <cellStyle name="Positive 2 9 3 7" xfId="25874" xr:uid="{00000000-0005-0000-0000-00001F650000}"/>
    <cellStyle name="Positive 2 9 3 7 2" xfId="25875" xr:uid="{00000000-0005-0000-0000-000020650000}"/>
    <cellStyle name="Positive 2 9 3 8" xfId="25876" xr:uid="{00000000-0005-0000-0000-000021650000}"/>
    <cellStyle name="Positive 2 9 3 8 2" xfId="25877" xr:uid="{00000000-0005-0000-0000-000022650000}"/>
    <cellStyle name="Positive 2 9 3 9" xfId="25878" xr:uid="{00000000-0005-0000-0000-000023650000}"/>
    <cellStyle name="Positive 2 9 3 9 2" xfId="25879" xr:uid="{00000000-0005-0000-0000-000024650000}"/>
    <cellStyle name="Positive 2 9 4" xfId="25880" xr:uid="{00000000-0005-0000-0000-000025650000}"/>
    <cellStyle name="Positive 2 9 4 10" xfId="25881" xr:uid="{00000000-0005-0000-0000-000026650000}"/>
    <cellStyle name="Positive 2 9 4 10 2" xfId="25882" xr:uid="{00000000-0005-0000-0000-000027650000}"/>
    <cellStyle name="Positive 2 9 4 11" xfId="25883" xr:uid="{00000000-0005-0000-0000-000028650000}"/>
    <cellStyle name="Positive 2 9 4 11 2" xfId="25884" xr:uid="{00000000-0005-0000-0000-000029650000}"/>
    <cellStyle name="Positive 2 9 4 12" xfId="25885" xr:uid="{00000000-0005-0000-0000-00002A650000}"/>
    <cellStyle name="Positive 2 9 4 12 2" xfId="25886" xr:uid="{00000000-0005-0000-0000-00002B650000}"/>
    <cellStyle name="Positive 2 9 4 13" xfId="25887" xr:uid="{00000000-0005-0000-0000-00002C650000}"/>
    <cellStyle name="Positive 2 9 4 13 2" xfId="25888" xr:uid="{00000000-0005-0000-0000-00002D650000}"/>
    <cellStyle name="Positive 2 9 4 14" xfId="25889" xr:uid="{00000000-0005-0000-0000-00002E650000}"/>
    <cellStyle name="Positive 2 9 4 14 2" xfId="25890" xr:uid="{00000000-0005-0000-0000-00002F650000}"/>
    <cellStyle name="Positive 2 9 4 15" xfId="25891" xr:uid="{00000000-0005-0000-0000-000030650000}"/>
    <cellStyle name="Positive 2 9 4 15 2" xfId="25892" xr:uid="{00000000-0005-0000-0000-000031650000}"/>
    <cellStyle name="Positive 2 9 4 16" xfId="25893" xr:uid="{00000000-0005-0000-0000-000032650000}"/>
    <cellStyle name="Positive 2 9 4 16 2" xfId="25894" xr:uid="{00000000-0005-0000-0000-000033650000}"/>
    <cellStyle name="Positive 2 9 4 17" xfId="25895" xr:uid="{00000000-0005-0000-0000-000034650000}"/>
    <cellStyle name="Positive 2 9 4 17 2" xfId="25896" xr:uid="{00000000-0005-0000-0000-000035650000}"/>
    <cellStyle name="Positive 2 9 4 18" xfId="25897" xr:uid="{00000000-0005-0000-0000-000036650000}"/>
    <cellStyle name="Positive 2 9 4 18 2" xfId="25898" xr:uid="{00000000-0005-0000-0000-000037650000}"/>
    <cellStyle name="Positive 2 9 4 19" xfId="25899" xr:uid="{00000000-0005-0000-0000-000038650000}"/>
    <cellStyle name="Positive 2 9 4 19 2" xfId="25900" xr:uid="{00000000-0005-0000-0000-000039650000}"/>
    <cellStyle name="Positive 2 9 4 2" xfId="25901" xr:uid="{00000000-0005-0000-0000-00003A650000}"/>
    <cellStyle name="Positive 2 9 4 2 10" xfId="25902" xr:uid="{00000000-0005-0000-0000-00003B650000}"/>
    <cellStyle name="Positive 2 9 4 2 10 2" xfId="25903" xr:uid="{00000000-0005-0000-0000-00003C650000}"/>
    <cellStyle name="Positive 2 9 4 2 11" xfId="25904" xr:uid="{00000000-0005-0000-0000-00003D650000}"/>
    <cellStyle name="Positive 2 9 4 2 11 2" xfId="25905" xr:uid="{00000000-0005-0000-0000-00003E650000}"/>
    <cellStyle name="Positive 2 9 4 2 12" xfId="25906" xr:uid="{00000000-0005-0000-0000-00003F650000}"/>
    <cellStyle name="Positive 2 9 4 2 12 2" xfId="25907" xr:uid="{00000000-0005-0000-0000-000040650000}"/>
    <cellStyle name="Positive 2 9 4 2 13" xfId="25908" xr:uid="{00000000-0005-0000-0000-000041650000}"/>
    <cellStyle name="Positive 2 9 4 2 13 2" xfId="25909" xr:uid="{00000000-0005-0000-0000-000042650000}"/>
    <cellStyle name="Positive 2 9 4 2 14" xfId="25910" xr:uid="{00000000-0005-0000-0000-000043650000}"/>
    <cellStyle name="Positive 2 9 4 2 14 2" xfId="25911" xr:uid="{00000000-0005-0000-0000-000044650000}"/>
    <cellStyle name="Positive 2 9 4 2 15" xfId="25912" xr:uid="{00000000-0005-0000-0000-000045650000}"/>
    <cellStyle name="Positive 2 9 4 2 15 2" xfId="25913" xr:uid="{00000000-0005-0000-0000-000046650000}"/>
    <cellStyle name="Positive 2 9 4 2 16" xfId="25914" xr:uid="{00000000-0005-0000-0000-000047650000}"/>
    <cellStyle name="Positive 2 9 4 2 16 2" xfId="25915" xr:uid="{00000000-0005-0000-0000-000048650000}"/>
    <cellStyle name="Positive 2 9 4 2 17" xfId="25916" xr:uid="{00000000-0005-0000-0000-000049650000}"/>
    <cellStyle name="Positive 2 9 4 2 2" xfId="25917" xr:uid="{00000000-0005-0000-0000-00004A650000}"/>
    <cellStyle name="Positive 2 9 4 2 2 2" xfId="25918" xr:uid="{00000000-0005-0000-0000-00004B650000}"/>
    <cellStyle name="Positive 2 9 4 2 3" xfId="25919" xr:uid="{00000000-0005-0000-0000-00004C650000}"/>
    <cellStyle name="Positive 2 9 4 2 3 2" xfId="25920" xr:uid="{00000000-0005-0000-0000-00004D650000}"/>
    <cellStyle name="Positive 2 9 4 2 4" xfId="25921" xr:uid="{00000000-0005-0000-0000-00004E650000}"/>
    <cellStyle name="Positive 2 9 4 2 4 2" xfId="25922" xr:uid="{00000000-0005-0000-0000-00004F650000}"/>
    <cellStyle name="Positive 2 9 4 2 5" xfId="25923" xr:uid="{00000000-0005-0000-0000-000050650000}"/>
    <cellStyle name="Positive 2 9 4 2 5 2" xfId="25924" xr:uid="{00000000-0005-0000-0000-000051650000}"/>
    <cellStyle name="Positive 2 9 4 2 6" xfId="25925" xr:uid="{00000000-0005-0000-0000-000052650000}"/>
    <cellStyle name="Positive 2 9 4 2 6 2" xfId="25926" xr:uid="{00000000-0005-0000-0000-000053650000}"/>
    <cellStyle name="Positive 2 9 4 2 7" xfId="25927" xr:uid="{00000000-0005-0000-0000-000054650000}"/>
    <cellStyle name="Positive 2 9 4 2 7 2" xfId="25928" xr:uid="{00000000-0005-0000-0000-000055650000}"/>
    <cellStyle name="Positive 2 9 4 2 8" xfId="25929" xr:uid="{00000000-0005-0000-0000-000056650000}"/>
    <cellStyle name="Positive 2 9 4 2 8 2" xfId="25930" xr:uid="{00000000-0005-0000-0000-000057650000}"/>
    <cellStyle name="Positive 2 9 4 2 9" xfId="25931" xr:uid="{00000000-0005-0000-0000-000058650000}"/>
    <cellStyle name="Positive 2 9 4 2 9 2" xfId="25932" xr:uid="{00000000-0005-0000-0000-000059650000}"/>
    <cellStyle name="Positive 2 9 4 20" xfId="25933" xr:uid="{00000000-0005-0000-0000-00005A650000}"/>
    <cellStyle name="Positive 2 9 4 3" xfId="25934" xr:uid="{00000000-0005-0000-0000-00005B650000}"/>
    <cellStyle name="Positive 2 9 4 3 2" xfId="25935" xr:uid="{00000000-0005-0000-0000-00005C650000}"/>
    <cellStyle name="Positive 2 9 4 3 2 2" xfId="25936" xr:uid="{00000000-0005-0000-0000-00005D650000}"/>
    <cellStyle name="Positive 2 9 4 3 3" xfId="25937" xr:uid="{00000000-0005-0000-0000-00005E650000}"/>
    <cellStyle name="Positive 2 9 4 4" xfId="25938" xr:uid="{00000000-0005-0000-0000-00005F650000}"/>
    <cellStyle name="Positive 2 9 4 4 2" xfId="25939" xr:uid="{00000000-0005-0000-0000-000060650000}"/>
    <cellStyle name="Positive 2 9 4 4 2 2" xfId="25940" xr:uid="{00000000-0005-0000-0000-000061650000}"/>
    <cellStyle name="Positive 2 9 4 4 3" xfId="25941" xr:uid="{00000000-0005-0000-0000-000062650000}"/>
    <cellStyle name="Positive 2 9 4 5" xfId="25942" xr:uid="{00000000-0005-0000-0000-000063650000}"/>
    <cellStyle name="Positive 2 9 4 5 2" xfId="25943" xr:uid="{00000000-0005-0000-0000-000064650000}"/>
    <cellStyle name="Positive 2 9 4 6" xfId="25944" xr:uid="{00000000-0005-0000-0000-000065650000}"/>
    <cellStyle name="Positive 2 9 4 6 2" xfId="25945" xr:uid="{00000000-0005-0000-0000-000066650000}"/>
    <cellStyle name="Positive 2 9 4 7" xfId="25946" xr:uid="{00000000-0005-0000-0000-000067650000}"/>
    <cellStyle name="Positive 2 9 4 7 2" xfId="25947" xr:uid="{00000000-0005-0000-0000-000068650000}"/>
    <cellStyle name="Positive 2 9 4 8" xfId="25948" xr:uid="{00000000-0005-0000-0000-000069650000}"/>
    <cellStyle name="Positive 2 9 4 8 2" xfId="25949" xr:uid="{00000000-0005-0000-0000-00006A650000}"/>
    <cellStyle name="Positive 2 9 4 9" xfId="25950" xr:uid="{00000000-0005-0000-0000-00006B650000}"/>
    <cellStyle name="Positive 2 9 4 9 2" xfId="25951" xr:uid="{00000000-0005-0000-0000-00006C650000}"/>
    <cellStyle name="Positive 2 9 5" xfId="25952" xr:uid="{00000000-0005-0000-0000-00006D650000}"/>
    <cellStyle name="Positive 2 9 5 10" xfId="25953" xr:uid="{00000000-0005-0000-0000-00006E650000}"/>
    <cellStyle name="Positive 2 9 5 10 2" xfId="25954" xr:uid="{00000000-0005-0000-0000-00006F650000}"/>
    <cellStyle name="Positive 2 9 5 11" xfId="25955" xr:uid="{00000000-0005-0000-0000-000070650000}"/>
    <cellStyle name="Positive 2 9 5 11 2" xfId="25956" xr:uid="{00000000-0005-0000-0000-000071650000}"/>
    <cellStyle name="Positive 2 9 5 12" xfId="25957" xr:uid="{00000000-0005-0000-0000-000072650000}"/>
    <cellStyle name="Positive 2 9 5 12 2" xfId="25958" xr:uid="{00000000-0005-0000-0000-000073650000}"/>
    <cellStyle name="Positive 2 9 5 13" xfId="25959" xr:uid="{00000000-0005-0000-0000-000074650000}"/>
    <cellStyle name="Positive 2 9 5 13 2" xfId="25960" xr:uid="{00000000-0005-0000-0000-000075650000}"/>
    <cellStyle name="Positive 2 9 5 14" xfId="25961" xr:uid="{00000000-0005-0000-0000-000076650000}"/>
    <cellStyle name="Positive 2 9 5 14 2" xfId="25962" xr:uid="{00000000-0005-0000-0000-000077650000}"/>
    <cellStyle name="Positive 2 9 5 15" xfId="25963" xr:uid="{00000000-0005-0000-0000-000078650000}"/>
    <cellStyle name="Positive 2 9 5 15 2" xfId="25964" xr:uid="{00000000-0005-0000-0000-000079650000}"/>
    <cellStyle name="Positive 2 9 5 16" xfId="25965" xr:uid="{00000000-0005-0000-0000-00007A650000}"/>
    <cellStyle name="Positive 2 9 5 16 2" xfId="25966" xr:uid="{00000000-0005-0000-0000-00007B650000}"/>
    <cellStyle name="Positive 2 9 5 17" xfId="25967" xr:uid="{00000000-0005-0000-0000-00007C650000}"/>
    <cellStyle name="Positive 2 9 5 2" xfId="25968" xr:uid="{00000000-0005-0000-0000-00007D650000}"/>
    <cellStyle name="Positive 2 9 5 2 2" xfId="25969" xr:uid="{00000000-0005-0000-0000-00007E650000}"/>
    <cellStyle name="Positive 2 9 5 3" xfId="25970" xr:uid="{00000000-0005-0000-0000-00007F650000}"/>
    <cellStyle name="Positive 2 9 5 3 2" xfId="25971" xr:uid="{00000000-0005-0000-0000-000080650000}"/>
    <cellStyle name="Positive 2 9 5 4" xfId="25972" xr:uid="{00000000-0005-0000-0000-000081650000}"/>
    <cellStyle name="Positive 2 9 5 4 2" xfId="25973" xr:uid="{00000000-0005-0000-0000-000082650000}"/>
    <cellStyle name="Positive 2 9 5 5" xfId="25974" xr:uid="{00000000-0005-0000-0000-000083650000}"/>
    <cellStyle name="Positive 2 9 5 5 2" xfId="25975" xr:uid="{00000000-0005-0000-0000-000084650000}"/>
    <cellStyle name="Positive 2 9 5 6" xfId="25976" xr:uid="{00000000-0005-0000-0000-000085650000}"/>
    <cellStyle name="Positive 2 9 5 6 2" xfId="25977" xr:uid="{00000000-0005-0000-0000-000086650000}"/>
    <cellStyle name="Positive 2 9 5 7" xfId="25978" xr:uid="{00000000-0005-0000-0000-000087650000}"/>
    <cellStyle name="Positive 2 9 5 7 2" xfId="25979" xr:uid="{00000000-0005-0000-0000-000088650000}"/>
    <cellStyle name="Positive 2 9 5 8" xfId="25980" xr:uid="{00000000-0005-0000-0000-000089650000}"/>
    <cellStyle name="Positive 2 9 5 8 2" xfId="25981" xr:uid="{00000000-0005-0000-0000-00008A650000}"/>
    <cellStyle name="Positive 2 9 5 9" xfId="25982" xr:uid="{00000000-0005-0000-0000-00008B650000}"/>
    <cellStyle name="Positive 2 9 5 9 2" xfId="25983" xr:uid="{00000000-0005-0000-0000-00008C650000}"/>
    <cellStyle name="Positive 2 9 6" xfId="25984" xr:uid="{00000000-0005-0000-0000-00008D650000}"/>
    <cellStyle name="Positive 2 9 6 2" xfId="25985" xr:uid="{00000000-0005-0000-0000-00008E650000}"/>
    <cellStyle name="Positive 2 9 6 2 2" xfId="25986" xr:uid="{00000000-0005-0000-0000-00008F650000}"/>
    <cellStyle name="Positive 2 9 6 3" xfId="25987" xr:uid="{00000000-0005-0000-0000-000090650000}"/>
    <cellStyle name="Positive 2 9 7" xfId="25988" xr:uid="{00000000-0005-0000-0000-000091650000}"/>
    <cellStyle name="Positive 2 9 7 2" xfId="25989" xr:uid="{00000000-0005-0000-0000-000092650000}"/>
    <cellStyle name="Positive 2 9 7 2 2" xfId="25990" xr:uid="{00000000-0005-0000-0000-000093650000}"/>
    <cellStyle name="Positive 2 9 7 3" xfId="25991" xr:uid="{00000000-0005-0000-0000-000094650000}"/>
    <cellStyle name="Positive 2 9 8" xfId="25992" xr:uid="{00000000-0005-0000-0000-000095650000}"/>
    <cellStyle name="Positive 2 9 8 2" xfId="25993" xr:uid="{00000000-0005-0000-0000-000096650000}"/>
    <cellStyle name="Positive 2 9 9" xfId="25994" xr:uid="{00000000-0005-0000-0000-000097650000}"/>
    <cellStyle name="Positive 2 9 9 2" xfId="25995" xr:uid="{00000000-0005-0000-0000-000098650000}"/>
    <cellStyle name="Positive 3" xfId="25996" xr:uid="{00000000-0005-0000-0000-000099650000}"/>
    <cellStyle name="Positive 3 10" xfId="25997" xr:uid="{00000000-0005-0000-0000-00009A650000}"/>
    <cellStyle name="Positive 3 10 10" xfId="25998" xr:uid="{00000000-0005-0000-0000-00009B650000}"/>
    <cellStyle name="Positive 3 10 10 2" xfId="25999" xr:uid="{00000000-0005-0000-0000-00009C650000}"/>
    <cellStyle name="Positive 3 10 11" xfId="26000" xr:uid="{00000000-0005-0000-0000-00009D650000}"/>
    <cellStyle name="Positive 3 10 11 2" xfId="26001" xr:uid="{00000000-0005-0000-0000-00009E650000}"/>
    <cellStyle name="Positive 3 10 12" xfId="26002" xr:uid="{00000000-0005-0000-0000-00009F650000}"/>
    <cellStyle name="Positive 3 10 12 2" xfId="26003" xr:uid="{00000000-0005-0000-0000-0000A0650000}"/>
    <cellStyle name="Positive 3 10 13" xfId="26004" xr:uid="{00000000-0005-0000-0000-0000A1650000}"/>
    <cellStyle name="Positive 3 10 13 2" xfId="26005" xr:uid="{00000000-0005-0000-0000-0000A2650000}"/>
    <cellStyle name="Positive 3 10 14" xfId="26006" xr:uid="{00000000-0005-0000-0000-0000A3650000}"/>
    <cellStyle name="Positive 3 10 14 2" xfId="26007" xr:uid="{00000000-0005-0000-0000-0000A4650000}"/>
    <cellStyle name="Positive 3 10 15" xfId="26008" xr:uid="{00000000-0005-0000-0000-0000A5650000}"/>
    <cellStyle name="Positive 3 10 15 2" xfId="26009" xr:uid="{00000000-0005-0000-0000-0000A6650000}"/>
    <cellStyle name="Positive 3 10 16" xfId="26010" xr:uid="{00000000-0005-0000-0000-0000A7650000}"/>
    <cellStyle name="Positive 3 10 16 2" xfId="26011" xr:uid="{00000000-0005-0000-0000-0000A8650000}"/>
    <cellStyle name="Positive 3 10 17" xfId="26012" xr:uid="{00000000-0005-0000-0000-0000A9650000}"/>
    <cellStyle name="Positive 3 10 17 2" xfId="26013" xr:uid="{00000000-0005-0000-0000-0000AA650000}"/>
    <cellStyle name="Positive 3 10 18" xfId="26014" xr:uid="{00000000-0005-0000-0000-0000AB650000}"/>
    <cellStyle name="Positive 3 10 18 2" xfId="26015" xr:uid="{00000000-0005-0000-0000-0000AC650000}"/>
    <cellStyle name="Positive 3 10 19" xfId="26016" xr:uid="{00000000-0005-0000-0000-0000AD650000}"/>
    <cellStyle name="Positive 3 10 19 2" xfId="26017" xr:uid="{00000000-0005-0000-0000-0000AE650000}"/>
    <cellStyle name="Positive 3 10 2" xfId="26018" xr:uid="{00000000-0005-0000-0000-0000AF650000}"/>
    <cellStyle name="Positive 3 10 2 10" xfId="26019" xr:uid="{00000000-0005-0000-0000-0000B0650000}"/>
    <cellStyle name="Positive 3 10 2 10 2" xfId="26020" xr:uid="{00000000-0005-0000-0000-0000B1650000}"/>
    <cellStyle name="Positive 3 10 2 11" xfId="26021" xr:uid="{00000000-0005-0000-0000-0000B2650000}"/>
    <cellStyle name="Positive 3 10 2 11 2" xfId="26022" xr:uid="{00000000-0005-0000-0000-0000B3650000}"/>
    <cellStyle name="Positive 3 10 2 12" xfId="26023" xr:uid="{00000000-0005-0000-0000-0000B4650000}"/>
    <cellStyle name="Positive 3 10 2 12 2" xfId="26024" xr:uid="{00000000-0005-0000-0000-0000B5650000}"/>
    <cellStyle name="Positive 3 10 2 13" xfId="26025" xr:uid="{00000000-0005-0000-0000-0000B6650000}"/>
    <cellStyle name="Positive 3 10 2 13 2" xfId="26026" xr:uid="{00000000-0005-0000-0000-0000B7650000}"/>
    <cellStyle name="Positive 3 10 2 14" xfId="26027" xr:uid="{00000000-0005-0000-0000-0000B8650000}"/>
    <cellStyle name="Positive 3 10 2 14 2" xfId="26028" xr:uid="{00000000-0005-0000-0000-0000B9650000}"/>
    <cellStyle name="Positive 3 10 2 15" xfId="26029" xr:uid="{00000000-0005-0000-0000-0000BA650000}"/>
    <cellStyle name="Positive 3 10 2 15 2" xfId="26030" xr:uid="{00000000-0005-0000-0000-0000BB650000}"/>
    <cellStyle name="Positive 3 10 2 16" xfId="26031" xr:uid="{00000000-0005-0000-0000-0000BC650000}"/>
    <cellStyle name="Positive 3 10 2 16 2" xfId="26032" xr:uid="{00000000-0005-0000-0000-0000BD650000}"/>
    <cellStyle name="Positive 3 10 2 17" xfId="26033" xr:uid="{00000000-0005-0000-0000-0000BE650000}"/>
    <cellStyle name="Positive 3 10 2 17 2" xfId="26034" xr:uid="{00000000-0005-0000-0000-0000BF650000}"/>
    <cellStyle name="Positive 3 10 2 18" xfId="26035" xr:uid="{00000000-0005-0000-0000-0000C0650000}"/>
    <cellStyle name="Positive 3 10 2 18 2" xfId="26036" xr:uid="{00000000-0005-0000-0000-0000C1650000}"/>
    <cellStyle name="Positive 3 10 2 19" xfId="26037" xr:uid="{00000000-0005-0000-0000-0000C2650000}"/>
    <cellStyle name="Positive 3 10 2 19 2" xfId="26038" xr:uid="{00000000-0005-0000-0000-0000C3650000}"/>
    <cellStyle name="Positive 3 10 2 2" xfId="26039" xr:uid="{00000000-0005-0000-0000-0000C4650000}"/>
    <cellStyle name="Positive 3 10 2 2 10" xfId="26040" xr:uid="{00000000-0005-0000-0000-0000C5650000}"/>
    <cellStyle name="Positive 3 10 2 2 10 2" xfId="26041" xr:uid="{00000000-0005-0000-0000-0000C6650000}"/>
    <cellStyle name="Positive 3 10 2 2 11" xfId="26042" xr:uid="{00000000-0005-0000-0000-0000C7650000}"/>
    <cellStyle name="Positive 3 10 2 2 11 2" xfId="26043" xr:uid="{00000000-0005-0000-0000-0000C8650000}"/>
    <cellStyle name="Positive 3 10 2 2 12" xfId="26044" xr:uid="{00000000-0005-0000-0000-0000C9650000}"/>
    <cellStyle name="Positive 3 10 2 2 12 2" xfId="26045" xr:uid="{00000000-0005-0000-0000-0000CA650000}"/>
    <cellStyle name="Positive 3 10 2 2 13" xfId="26046" xr:uid="{00000000-0005-0000-0000-0000CB650000}"/>
    <cellStyle name="Positive 3 10 2 2 13 2" xfId="26047" xr:uid="{00000000-0005-0000-0000-0000CC650000}"/>
    <cellStyle name="Positive 3 10 2 2 14" xfId="26048" xr:uid="{00000000-0005-0000-0000-0000CD650000}"/>
    <cellStyle name="Positive 3 10 2 2 14 2" xfId="26049" xr:uid="{00000000-0005-0000-0000-0000CE650000}"/>
    <cellStyle name="Positive 3 10 2 2 15" xfId="26050" xr:uid="{00000000-0005-0000-0000-0000CF650000}"/>
    <cellStyle name="Positive 3 10 2 2 15 2" xfId="26051" xr:uid="{00000000-0005-0000-0000-0000D0650000}"/>
    <cellStyle name="Positive 3 10 2 2 16" xfId="26052" xr:uid="{00000000-0005-0000-0000-0000D1650000}"/>
    <cellStyle name="Positive 3 10 2 2 16 2" xfId="26053" xr:uid="{00000000-0005-0000-0000-0000D2650000}"/>
    <cellStyle name="Positive 3 10 2 2 17" xfId="26054" xr:uid="{00000000-0005-0000-0000-0000D3650000}"/>
    <cellStyle name="Positive 3 10 2 2 2" xfId="26055" xr:uid="{00000000-0005-0000-0000-0000D4650000}"/>
    <cellStyle name="Positive 3 10 2 2 2 2" xfId="26056" xr:uid="{00000000-0005-0000-0000-0000D5650000}"/>
    <cellStyle name="Positive 3 10 2 2 3" xfId="26057" xr:uid="{00000000-0005-0000-0000-0000D6650000}"/>
    <cellStyle name="Positive 3 10 2 2 3 2" xfId="26058" xr:uid="{00000000-0005-0000-0000-0000D7650000}"/>
    <cellStyle name="Positive 3 10 2 2 4" xfId="26059" xr:uid="{00000000-0005-0000-0000-0000D8650000}"/>
    <cellStyle name="Positive 3 10 2 2 4 2" xfId="26060" xr:uid="{00000000-0005-0000-0000-0000D9650000}"/>
    <cellStyle name="Positive 3 10 2 2 5" xfId="26061" xr:uid="{00000000-0005-0000-0000-0000DA650000}"/>
    <cellStyle name="Positive 3 10 2 2 5 2" xfId="26062" xr:uid="{00000000-0005-0000-0000-0000DB650000}"/>
    <cellStyle name="Positive 3 10 2 2 6" xfId="26063" xr:uid="{00000000-0005-0000-0000-0000DC650000}"/>
    <cellStyle name="Positive 3 10 2 2 6 2" xfId="26064" xr:uid="{00000000-0005-0000-0000-0000DD650000}"/>
    <cellStyle name="Positive 3 10 2 2 7" xfId="26065" xr:uid="{00000000-0005-0000-0000-0000DE650000}"/>
    <cellStyle name="Positive 3 10 2 2 7 2" xfId="26066" xr:uid="{00000000-0005-0000-0000-0000DF650000}"/>
    <cellStyle name="Positive 3 10 2 2 8" xfId="26067" xr:uid="{00000000-0005-0000-0000-0000E0650000}"/>
    <cellStyle name="Positive 3 10 2 2 8 2" xfId="26068" xr:uid="{00000000-0005-0000-0000-0000E1650000}"/>
    <cellStyle name="Positive 3 10 2 2 9" xfId="26069" xr:uid="{00000000-0005-0000-0000-0000E2650000}"/>
    <cellStyle name="Positive 3 10 2 2 9 2" xfId="26070" xr:uid="{00000000-0005-0000-0000-0000E3650000}"/>
    <cellStyle name="Positive 3 10 2 20" xfId="26071" xr:uid="{00000000-0005-0000-0000-0000E4650000}"/>
    <cellStyle name="Positive 3 10 2 3" xfId="26072" xr:uid="{00000000-0005-0000-0000-0000E5650000}"/>
    <cellStyle name="Positive 3 10 2 3 2" xfId="26073" xr:uid="{00000000-0005-0000-0000-0000E6650000}"/>
    <cellStyle name="Positive 3 10 2 3 2 2" xfId="26074" xr:uid="{00000000-0005-0000-0000-0000E7650000}"/>
    <cellStyle name="Positive 3 10 2 3 3" xfId="26075" xr:uid="{00000000-0005-0000-0000-0000E8650000}"/>
    <cellStyle name="Positive 3 10 2 4" xfId="26076" xr:uid="{00000000-0005-0000-0000-0000E9650000}"/>
    <cellStyle name="Positive 3 10 2 4 2" xfId="26077" xr:uid="{00000000-0005-0000-0000-0000EA650000}"/>
    <cellStyle name="Positive 3 10 2 4 2 2" xfId="26078" xr:uid="{00000000-0005-0000-0000-0000EB650000}"/>
    <cellStyle name="Positive 3 10 2 4 3" xfId="26079" xr:uid="{00000000-0005-0000-0000-0000EC650000}"/>
    <cellStyle name="Positive 3 10 2 5" xfId="26080" xr:uid="{00000000-0005-0000-0000-0000ED650000}"/>
    <cellStyle name="Positive 3 10 2 5 2" xfId="26081" xr:uid="{00000000-0005-0000-0000-0000EE650000}"/>
    <cellStyle name="Positive 3 10 2 6" xfId="26082" xr:uid="{00000000-0005-0000-0000-0000EF650000}"/>
    <cellStyle name="Positive 3 10 2 6 2" xfId="26083" xr:uid="{00000000-0005-0000-0000-0000F0650000}"/>
    <cellStyle name="Positive 3 10 2 7" xfId="26084" xr:uid="{00000000-0005-0000-0000-0000F1650000}"/>
    <cellStyle name="Positive 3 10 2 7 2" xfId="26085" xr:uid="{00000000-0005-0000-0000-0000F2650000}"/>
    <cellStyle name="Positive 3 10 2 8" xfId="26086" xr:uid="{00000000-0005-0000-0000-0000F3650000}"/>
    <cellStyle name="Positive 3 10 2 8 2" xfId="26087" xr:uid="{00000000-0005-0000-0000-0000F4650000}"/>
    <cellStyle name="Positive 3 10 2 9" xfId="26088" xr:uid="{00000000-0005-0000-0000-0000F5650000}"/>
    <cellStyle name="Positive 3 10 2 9 2" xfId="26089" xr:uid="{00000000-0005-0000-0000-0000F6650000}"/>
    <cellStyle name="Positive 3 10 20" xfId="26090" xr:uid="{00000000-0005-0000-0000-0000F7650000}"/>
    <cellStyle name="Positive 3 10 20 2" xfId="26091" xr:uid="{00000000-0005-0000-0000-0000F8650000}"/>
    <cellStyle name="Positive 3 10 21" xfId="26092" xr:uid="{00000000-0005-0000-0000-0000F9650000}"/>
    <cellStyle name="Positive 3 10 21 2" xfId="26093" xr:uid="{00000000-0005-0000-0000-0000FA650000}"/>
    <cellStyle name="Positive 3 10 22" xfId="26094" xr:uid="{00000000-0005-0000-0000-0000FB650000}"/>
    <cellStyle name="Positive 3 10 22 2" xfId="26095" xr:uid="{00000000-0005-0000-0000-0000FC650000}"/>
    <cellStyle name="Positive 3 10 23" xfId="26096" xr:uid="{00000000-0005-0000-0000-0000FD650000}"/>
    <cellStyle name="Positive 3 10 3" xfId="26097" xr:uid="{00000000-0005-0000-0000-0000FE650000}"/>
    <cellStyle name="Positive 3 10 3 10" xfId="26098" xr:uid="{00000000-0005-0000-0000-0000FF650000}"/>
    <cellStyle name="Positive 3 10 3 10 2" xfId="26099" xr:uid="{00000000-0005-0000-0000-000000660000}"/>
    <cellStyle name="Positive 3 10 3 11" xfId="26100" xr:uid="{00000000-0005-0000-0000-000001660000}"/>
    <cellStyle name="Positive 3 10 3 11 2" xfId="26101" xr:uid="{00000000-0005-0000-0000-000002660000}"/>
    <cellStyle name="Positive 3 10 3 12" xfId="26102" xr:uid="{00000000-0005-0000-0000-000003660000}"/>
    <cellStyle name="Positive 3 10 3 12 2" xfId="26103" xr:uid="{00000000-0005-0000-0000-000004660000}"/>
    <cellStyle name="Positive 3 10 3 13" xfId="26104" xr:uid="{00000000-0005-0000-0000-000005660000}"/>
    <cellStyle name="Positive 3 10 3 13 2" xfId="26105" xr:uid="{00000000-0005-0000-0000-000006660000}"/>
    <cellStyle name="Positive 3 10 3 14" xfId="26106" xr:uid="{00000000-0005-0000-0000-000007660000}"/>
    <cellStyle name="Positive 3 10 3 14 2" xfId="26107" xr:uid="{00000000-0005-0000-0000-000008660000}"/>
    <cellStyle name="Positive 3 10 3 15" xfId="26108" xr:uid="{00000000-0005-0000-0000-000009660000}"/>
    <cellStyle name="Positive 3 10 3 15 2" xfId="26109" xr:uid="{00000000-0005-0000-0000-00000A660000}"/>
    <cellStyle name="Positive 3 10 3 16" xfId="26110" xr:uid="{00000000-0005-0000-0000-00000B660000}"/>
    <cellStyle name="Positive 3 10 3 16 2" xfId="26111" xr:uid="{00000000-0005-0000-0000-00000C660000}"/>
    <cellStyle name="Positive 3 10 3 17" xfId="26112" xr:uid="{00000000-0005-0000-0000-00000D660000}"/>
    <cellStyle name="Positive 3 10 3 17 2" xfId="26113" xr:uid="{00000000-0005-0000-0000-00000E660000}"/>
    <cellStyle name="Positive 3 10 3 18" xfId="26114" xr:uid="{00000000-0005-0000-0000-00000F660000}"/>
    <cellStyle name="Positive 3 10 3 18 2" xfId="26115" xr:uid="{00000000-0005-0000-0000-000010660000}"/>
    <cellStyle name="Positive 3 10 3 19" xfId="26116" xr:uid="{00000000-0005-0000-0000-000011660000}"/>
    <cellStyle name="Positive 3 10 3 19 2" xfId="26117" xr:uid="{00000000-0005-0000-0000-000012660000}"/>
    <cellStyle name="Positive 3 10 3 2" xfId="26118" xr:uid="{00000000-0005-0000-0000-000013660000}"/>
    <cellStyle name="Positive 3 10 3 2 10" xfId="26119" xr:uid="{00000000-0005-0000-0000-000014660000}"/>
    <cellStyle name="Positive 3 10 3 2 10 2" xfId="26120" xr:uid="{00000000-0005-0000-0000-000015660000}"/>
    <cellStyle name="Positive 3 10 3 2 11" xfId="26121" xr:uid="{00000000-0005-0000-0000-000016660000}"/>
    <cellStyle name="Positive 3 10 3 2 11 2" xfId="26122" xr:uid="{00000000-0005-0000-0000-000017660000}"/>
    <cellStyle name="Positive 3 10 3 2 12" xfId="26123" xr:uid="{00000000-0005-0000-0000-000018660000}"/>
    <cellStyle name="Positive 3 10 3 2 12 2" xfId="26124" xr:uid="{00000000-0005-0000-0000-000019660000}"/>
    <cellStyle name="Positive 3 10 3 2 13" xfId="26125" xr:uid="{00000000-0005-0000-0000-00001A660000}"/>
    <cellStyle name="Positive 3 10 3 2 13 2" xfId="26126" xr:uid="{00000000-0005-0000-0000-00001B660000}"/>
    <cellStyle name="Positive 3 10 3 2 14" xfId="26127" xr:uid="{00000000-0005-0000-0000-00001C660000}"/>
    <cellStyle name="Positive 3 10 3 2 14 2" xfId="26128" xr:uid="{00000000-0005-0000-0000-00001D660000}"/>
    <cellStyle name="Positive 3 10 3 2 15" xfId="26129" xr:uid="{00000000-0005-0000-0000-00001E660000}"/>
    <cellStyle name="Positive 3 10 3 2 15 2" xfId="26130" xr:uid="{00000000-0005-0000-0000-00001F660000}"/>
    <cellStyle name="Positive 3 10 3 2 16" xfId="26131" xr:uid="{00000000-0005-0000-0000-000020660000}"/>
    <cellStyle name="Positive 3 10 3 2 16 2" xfId="26132" xr:uid="{00000000-0005-0000-0000-000021660000}"/>
    <cellStyle name="Positive 3 10 3 2 17" xfId="26133" xr:uid="{00000000-0005-0000-0000-000022660000}"/>
    <cellStyle name="Positive 3 10 3 2 2" xfId="26134" xr:uid="{00000000-0005-0000-0000-000023660000}"/>
    <cellStyle name="Positive 3 10 3 2 2 2" xfId="26135" xr:uid="{00000000-0005-0000-0000-000024660000}"/>
    <cellStyle name="Positive 3 10 3 2 3" xfId="26136" xr:uid="{00000000-0005-0000-0000-000025660000}"/>
    <cellStyle name="Positive 3 10 3 2 3 2" xfId="26137" xr:uid="{00000000-0005-0000-0000-000026660000}"/>
    <cellStyle name="Positive 3 10 3 2 4" xfId="26138" xr:uid="{00000000-0005-0000-0000-000027660000}"/>
    <cellStyle name="Positive 3 10 3 2 4 2" xfId="26139" xr:uid="{00000000-0005-0000-0000-000028660000}"/>
    <cellStyle name="Positive 3 10 3 2 5" xfId="26140" xr:uid="{00000000-0005-0000-0000-000029660000}"/>
    <cellStyle name="Positive 3 10 3 2 5 2" xfId="26141" xr:uid="{00000000-0005-0000-0000-00002A660000}"/>
    <cellStyle name="Positive 3 10 3 2 6" xfId="26142" xr:uid="{00000000-0005-0000-0000-00002B660000}"/>
    <cellStyle name="Positive 3 10 3 2 6 2" xfId="26143" xr:uid="{00000000-0005-0000-0000-00002C660000}"/>
    <cellStyle name="Positive 3 10 3 2 7" xfId="26144" xr:uid="{00000000-0005-0000-0000-00002D660000}"/>
    <cellStyle name="Positive 3 10 3 2 7 2" xfId="26145" xr:uid="{00000000-0005-0000-0000-00002E660000}"/>
    <cellStyle name="Positive 3 10 3 2 8" xfId="26146" xr:uid="{00000000-0005-0000-0000-00002F660000}"/>
    <cellStyle name="Positive 3 10 3 2 8 2" xfId="26147" xr:uid="{00000000-0005-0000-0000-000030660000}"/>
    <cellStyle name="Positive 3 10 3 2 9" xfId="26148" xr:uid="{00000000-0005-0000-0000-000031660000}"/>
    <cellStyle name="Positive 3 10 3 2 9 2" xfId="26149" xr:uid="{00000000-0005-0000-0000-000032660000}"/>
    <cellStyle name="Positive 3 10 3 20" xfId="26150" xr:uid="{00000000-0005-0000-0000-000033660000}"/>
    <cellStyle name="Positive 3 10 3 3" xfId="26151" xr:uid="{00000000-0005-0000-0000-000034660000}"/>
    <cellStyle name="Positive 3 10 3 3 2" xfId="26152" xr:uid="{00000000-0005-0000-0000-000035660000}"/>
    <cellStyle name="Positive 3 10 3 3 2 2" xfId="26153" xr:uid="{00000000-0005-0000-0000-000036660000}"/>
    <cellStyle name="Positive 3 10 3 3 3" xfId="26154" xr:uid="{00000000-0005-0000-0000-000037660000}"/>
    <cellStyle name="Positive 3 10 3 4" xfId="26155" xr:uid="{00000000-0005-0000-0000-000038660000}"/>
    <cellStyle name="Positive 3 10 3 4 2" xfId="26156" xr:uid="{00000000-0005-0000-0000-000039660000}"/>
    <cellStyle name="Positive 3 10 3 4 2 2" xfId="26157" xr:uid="{00000000-0005-0000-0000-00003A660000}"/>
    <cellStyle name="Positive 3 10 3 4 3" xfId="26158" xr:uid="{00000000-0005-0000-0000-00003B660000}"/>
    <cellStyle name="Positive 3 10 3 5" xfId="26159" xr:uid="{00000000-0005-0000-0000-00003C660000}"/>
    <cellStyle name="Positive 3 10 3 5 2" xfId="26160" xr:uid="{00000000-0005-0000-0000-00003D660000}"/>
    <cellStyle name="Positive 3 10 3 6" xfId="26161" xr:uid="{00000000-0005-0000-0000-00003E660000}"/>
    <cellStyle name="Positive 3 10 3 6 2" xfId="26162" xr:uid="{00000000-0005-0000-0000-00003F660000}"/>
    <cellStyle name="Positive 3 10 3 7" xfId="26163" xr:uid="{00000000-0005-0000-0000-000040660000}"/>
    <cellStyle name="Positive 3 10 3 7 2" xfId="26164" xr:uid="{00000000-0005-0000-0000-000041660000}"/>
    <cellStyle name="Positive 3 10 3 8" xfId="26165" xr:uid="{00000000-0005-0000-0000-000042660000}"/>
    <cellStyle name="Positive 3 10 3 8 2" xfId="26166" xr:uid="{00000000-0005-0000-0000-000043660000}"/>
    <cellStyle name="Positive 3 10 3 9" xfId="26167" xr:uid="{00000000-0005-0000-0000-000044660000}"/>
    <cellStyle name="Positive 3 10 3 9 2" xfId="26168" xr:uid="{00000000-0005-0000-0000-000045660000}"/>
    <cellStyle name="Positive 3 10 4" xfId="26169" xr:uid="{00000000-0005-0000-0000-000046660000}"/>
    <cellStyle name="Positive 3 10 4 10" xfId="26170" xr:uid="{00000000-0005-0000-0000-000047660000}"/>
    <cellStyle name="Positive 3 10 4 10 2" xfId="26171" xr:uid="{00000000-0005-0000-0000-000048660000}"/>
    <cellStyle name="Positive 3 10 4 11" xfId="26172" xr:uid="{00000000-0005-0000-0000-000049660000}"/>
    <cellStyle name="Positive 3 10 4 11 2" xfId="26173" xr:uid="{00000000-0005-0000-0000-00004A660000}"/>
    <cellStyle name="Positive 3 10 4 12" xfId="26174" xr:uid="{00000000-0005-0000-0000-00004B660000}"/>
    <cellStyle name="Positive 3 10 4 12 2" xfId="26175" xr:uid="{00000000-0005-0000-0000-00004C660000}"/>
    <cellStyle name="Positive 3 10 4 13" xfId="26176" xr:uid="{00000000-0005-0000-0000-00004D660000}"/>
    <cellStyle name="Positive 3 10 4 13 2" xfId="26177" xr:uid="{00000000-0005-0000-0000-00004E660000}"/>
    <cellStyle name="Positive 3 10 4 14" xfId="26178" xr:uid="{00000000-0005-0000-0000-00004F660000}"/>
    <cellStyle name="Positive 3 10 4 14 2" xfId="26179" xr:uid="{00000000-0005-0000-0000-000050660000}"/>
    <cellStyle name="Positive 3 10 4 15" xfId="26180" xr:uid="{00000000-0005-0000-0000-000051660000}"/>
    <cellStyle name="Positive 3 10 4 15 2" xfId="26181" xr:uid="{00000000-0005-0000-0000-000052660000}"/>
    <cellStyle name="Positive 3 10 4 16" xfId="26182" xr:uid="{00000000-0005-0000-0000-000053660000}"/>
    <cellStyle name="Positive 3 10 4 16 2" xfId="26183" xr:uid="{00000000-0005-0000-0000-000054660000}"/>
    <cellStyle name="Positive 3 10 4 17" xfId="26184" xr:uid="{00000000-0005-0000-0000-000055660000}"/>
    <cellStyle name="Positive 3 10 4 17 2" xfId="26185" xr:uid="{00000000-0005-0000-0000-000056660000}"/>
    <cellStyle name="Positive 3 10 4 18" xfId="26186" xr:uid="{00000000-0005-0000-0000-000057660000}"/>
    <cellStyle name="Positive 3 10 4 18 2" xfId="26187" xr:uid="{00000000-0005-0000-0000-000058660000}"/>
    <cellStyle name="Positive 3 10 4 19" xfId="26188" xr:uid="{00000000-0005-0000-0000-000059660000}"/>
    <cellStyle name="Positive 3 10 4 19 2" xfId="26189" xr:uid="{00000000-0005-0000-0000-00005A660000}"/>
    <cellStyle name="Positive 3 10 4 2" xfId="26190" xr:uid="{00000000-0005-0000-0000-00005B660000}"/>
    <cellStyle name="Positive 3 10 4 2 10" xfId="26191" xr:uid="{00000000-0005-0000-0000-00005C660000}"/>
    <cellStyle name="Positive 3 10 4 2 10 2" xfId="26192" xr:uid="{00000000-0005-0000-0000-00005D660000}"/>
    <cellStyle name="Positive 3 10 4 2 11" xfId="26193" xr:uid="{00000000-0005-0000-0000-00005E660000}"/>
    <cellStyle name="Positive 3 10 4 2 11 2" xfId="26194" xr:uid="{00000000-0005-0000-0000-00005F660000}"/>
    <cellStyle name="Positive 3 10 4 2 12" xfId="26195" xr:uid="{00000000-0005-0000-0000-000060660000}"/>
    <cellStyle name="Positive 3 10 4 2 12 2" xfId="26196" xr:uid="{00000000-0005-0000-0000-000061660000}"/>
    <cellStyle name="Positive 3 10 4 2 13" xfId="26197" xr:uid="{00000000-0005-0000-0000-000062660000}"/>
    <cellStyle name="Positive 3 10 4 2 13 2" xfId="26198" xr:uid="{00000000-0005-0000-0000-000063660000}"/>
    <cellStyle name="Positive 3 10 4 2 14" xfId="26199" xr:uid="{00000000-0005-0000-0000-000064660000}"/>
    <cellStyle name="Positive 3 10 4 2 14 2" xfId="26200" xr:uid="{00000000-0005-0000-0000-000065660000}"/>
    <cellStyle name="Positive 3 10 4 2 15" xfId="26201" xr:uid="{00000000-0005-0000-0000-000066660000}"/>
    <cellStyle name="Positive 3 10 4 2 15 2" xfId="26202" xr:uid="{00000000-0005-0000-0000-000067660000}"/>
    <cellStyle name="Positive 3 10 4 2 16" xfId="26203" xr:uid="{00000000-0005-0000-0000-000068660000}"/>
    <cellStyle name="Positive 3 10 4 2 16 2" xfId="26204" xr:uid="{00000000-0005-0000-0000-000069660000}"/>
    <cellStyle name="Positive 3 10 4 2 17" xfId="26205" xr:uid="{00000000-0005-0000-0000-00006A660000}"/>
    <cellStyle name="Positive 3 10 4 2 2" xfId="26206" xr:uid="{00000000-0005-0000-0000-00006B660000}"/>
    <cellStyle name="Positive 3 10 4 2 2 2" xfId="26207" xr:uid="{00000000-0005-0000-0000-00006C660000}"/>
    <cellStyle name="Positive 3 10 4 2 3" xfId="26208" xr:uid="{00000000-0005-0000-0000-00006D660000}"/>
    <cellStyle name="Positive 3 10 4 2 3 2" xfId="26209" xr:uid="{00000000-0005-0000-0000-00006E660000}"/>
    <cellStyle name="Positive 3 10 4 2 4" xfId="26210" xr:uid="{00000000-0005-0000-0000-00006F660000}"/>
    <cellStyle name="Positive 3 10 4 2 4 2" xfId="26211" xr:uid="{00000000-0005-0000-0000-000070660000}"/>
    <cellStyle name="Positive 3 10 4 2 5" xfId="26212" xr:uid="{00000000-0005-0000-0000-000071660000}"/>
    <cellStyle name="Positive 3 10 4 2 5 2" xfId="26213" xr:uid="{00000000-0005-0000-0000-000072660000}"/>
    <cellStyle name="Positive 3 10 4 2 6" xfId="26214" xr:uid="{00000000-0005-0000-0000-000073660000}"/>
    <cellStyle name="Positive 3 10 4 2 6 2" xfId="26215" xr:uid="{00000000-0005-0000-0000-000074660000}"/>
    <cellStyle name="Positive 3 10 4 2 7" xfId="26216" xr:uid="{00000000-0005-0000-0000-000075660000}"/>
    <cellStyle name="Positive 3 10 4 2 7 2" xfId="26217" xr:uid="{00000000-0005-0000-0000-000076660000}"/>
    <cellStyle name="Positive 3 10 4 2 8" xfId="26218" xr:uid="{00000000-0005-0000-0000-000077660000}"/>
    <cellStyle name="Positive 3 10 4 2 8 2" xfId="26219" xr:uid="{00000000-0005-0000-0000-000078660000}"/>
    <cellStyle name="Positive 3 10 4 2 9" xfId="26220" xr:uid="{00000000-0005-0000-0000-000079660000}"/>
    <cellStyle name="Positive 3 10 4 2 9 2" xfId="26221" xr:uid="{00000000-0005-0000-0000-00007A660000}"/>
    <cellStyle name="Positive 3 10 4 20" xfId="26222" xr:uid="{00000000-0005-0000-0000-00007B660000}"/>
    <cellStyle name="Positive 3 10 4 3" xfId="26223" xr:uid="{00000000-0005-0000-0000-00007C660000}"/>
    <cellStyle name="Positive 3 10 4 3 2" xfId="26224" xr:uid="{00000000-0005-0000-0000-00007D660000}"/>
    <cellStyle name="Positive 3 10 4 3 2 2" xfId="26225" xr:uid="{00000000-0005-0000-0000-00007E660000}"/>
    <cellStyle name="Positive 3 10 4 3 3" xfId="26226" xr:uid="{00000000-0005-0000-0000-00007F660000}"/>
    <cellStyle name="Positive 3 10 4 4" xfId="26227" xr:uid="{00000000-0005-0000-0000-000080660000}"/>
    <cellStyle name="Positive 3 10 4 4 2" xfId="26228" xr:uid="{00000000-0005-0000-0000-000081660000}"/>
    <cellStyle name="Positive 3 10 4 4 2 2" xfId="26229" xr:uid="{00000000-0005-0000-0000-000082660000}"/>
    <cellStyle name="Positive 3 10 4 4 3" xfId="26230" xr:uid="{00000000-0005-0000-0000-000083660000}"/>
    <cellStyle name="Positive 3 10 4 5" xfId="26231" xr:uid="{00000000-0005-0000-0000-000084660000}"/>
    <cellStyle name="Positive 3 10 4 5 2" xfId="26232" xr:uid="{00000000-0005-0000-0000-000085660000}"/>
    <cellStyle name="Positive 3 10 4 6" xfId="26233" xr:uid="{00000000-0005-0000-0000-000086660000}"/>
    <cellStyle name="Positive 3 10 4 6 2" xfId="26234" xr:uid="{00000000-0005-0000-0000-000087660000}"/>
    <cellStyle name="Positive 3 10 4 7" xfId="26235" xr:uid="{00000000-0005-0000-0000-000088660000}"/>
    <cellStyle name="Positive 3 10 4 7 2" xfId="26236" xr:uid="{00000000-0005-0000-0000-000089660000}"/>
    <cellStyle name="Positive 3 10 4 8" xfId="26237" xr:uid="{00000000-0005-0000-0000-00008A660000}"/>
    <cellStyle name="Positive 3 10 4 8 2" xfId="26238" xr:uid="{00000000-0005-0000-0000-00008B660000}"/>
    <cellStyle name="Positive 3 10 4 9" xfId="26239" xr:uid="{00000000-0005-0000-0000-00008C660000}"/>
    <cellStyle name="Positive 3 10 4 9 2" xfId="26240" xr:uid="{00000000-0005-0000-0000-00008D660000}"/>
    <cellStyle name="Positive 3 10 5" xfId="26241" xr:uid="{00000000-0005-0000-0000-00008E660000}"/>
    <cellStyle name="Positive 3 10 5 10" xfId="26242" xr:uid="{00000000-0005-0000-0000-00008F660000}"/>
    <cellStyle name="Positive 3 10 5 10 2" xfId="26243" xr:uid="{00000000-0005-0000-0000-000090660000}"/>
    <cellStyle name="Positive 3 10 5 11" xfId="26244" xr:uid="{00000000-0005-0000-0000-000091660000}"/>
    <cellStyle name="Positive 3 10 5 11 2" xfId="26245" xr:uid="{00000000-0005-0000-0000-000092660000}"/>
    <cellStyle name="Positive 3 10 5 12" xfId="26246" xr:uid="{00000000-0005-0000-0000-000093660000}"/>
    <cellStyle name="Positive 3 10 5 12 2" xfId="26247" xr:uid="{00000000-0005-0000-0000-000094660000}"/>
    <cellStyle name="Positive 3 10 5 13" xfId="26248" xr:uid="{00000000-0005-0000-0000-000095660000}"/>
    <cellStyle name="Positive 3 10 5 13 2" xfId="26249" xr:uid="{00000000-0005-0000-0000-000096660000}"/>
    <cellStyle name="Positive 3 10 5 14" xfId="26250" xr:uid="{00000000-0005-0000-0000-000097660000}"/>
    <cellStyle name="Positive 3 10 5 14 2" xfId="26251" xr:uid="{00000000-0005-0000-0000-000098660000}"/>
    <cellStyle name="Positive 3 10 5 15" xfId="26252" xr:uid="{00000000-0005-0000-0000-000099660000}"/>
    <cellStyle name="Positive 3 10 5 15 2" xfId="26253" xr:uid="{00000000-0005-0000-0000-00009A660000}"/>
    <cellStyle name="Positive 3 10 5 16" xfId="26254" xr:uid="{00000000-0005-0000-0000-00009B660000}"/>
    <cellStyle name="Positive 3 10 5 16 2" xfId="26255" xr:uid="{00000000-0005-0000-0000-00009C660000}"/>
    <cellStyle name="Positive 3 10 5 17" xfId="26256" xr:uid="{00000000-0005-0000-0000-00009D660000}"/>
    <cellStyle name="Positive 3 10 5 2" xfId="26257" xr:uid="{00000000-0005-0000-0000-00009E660000}"/>
    <cellStyle name="Positive 3 10 5 2 2" xfId="26258" xr:uid="{00000000-0005-0000-0000-00009F660000}"/>
    <cellStyle name="Positive 3 10 5 3" xfId="26259" xr:uid="{00000000-0005-0000-0000-0000A0660000}"/>
    <cellStyle name="Positive 3 10 5 3 2" xfId="26260" xr:uid="{00000000-0005-0000-0000-0000A1660000}"/>
    <cellStyle name="Positive 3 10 5 4" xfId="26261" xr:uid="{00000000-0005-0000-0000-0000A2660000}"/>
    <cellStyle name="Positive 3 10 5 4 2" xfId="26262" xr:uid="{00000000-0005-0000-0000-0000A3660000}"/>
    <cellStyle name="Positive 3 10 5 5" xfId="26263" xr:uid="{00000000-0005-0000-0000-0000A4660000}"/>
    <cellStyle name="Positive 3 10 5 5 2" xfId="26264" xr:uid="{00000000-0005-0000-0000-0000A5660000}"/>
    <cellStyle name="Positive 3 10 5 6" xfId="26265" xr:uid="{00000000-0005-0000-0000-0000A6660000}"/>
    <cellStyle name="Positive 3 10 5 6 2" xfId="26266" xr:uid="{00000000-0005-0000-0000-0000A7660000}"/>
    <cellStyle name="Positive 3 10 5 7" xfId="26267" xr:uid="{00000000-0005-0000-0000-0000A8660000}"/>
    <cellStyle name="Positive 3 10 5 7 2" xfId="26268" xr:uid="{00000000-0005-0000-0000-0000A9660000}"/>
    <cellStyle name="Positive 3 10 5 8" xfId="26269" xr:uid="{00000000-0005-0000-0000-0000AA660000}"/>
    <cellStyle name="Positive 3 10 5 8 2" xfId="26270" xr:uid="{00000000-0005-0000-0000-0000AB660000}"/>
    <cellStyle name="Positive 3 10 5 9" xfId="26271" xr:uid="{00000000-0005-0000-0000-0000AC660000}"/>
    <cellStyle name="Positive 3 10 5 9 2" xfId="26272" xr:uid="{00000000-0005-0000-0000-0000AD660000}"/>
    <cellStyle name="Positive 3 10 6" xfId="26273" xr:uid="{00000000-0005-0000-0000-0000AE660000}"/>
    <cellStyle name="Positive 3 10 6 2" xfId="26274" xr:uid="{00000000-0005-0000-0000-0000AF660000}"/>
    <cellStyle name="Positive 3 10 6 2 2" xfId="26275" xr:uid="{00000000-0005-0000-0000-0000B0660000}"/>
    <cellStyle name="Positive 3 10 6 3" xfId="26276" xr:uid="{00000000-0005-0000-0000-0000B1660000}"/>
    <cellStyle name="Positive 3 10 7" xfId="26277" xr:uid="{00000000-0005-0000-0000-0000B2660000}"/>
    <cellStyle name="Positive 3 10 7 2" xfId="26278" xr:uid="{00000000-0005-0000-0000-0000B3660000}"/>
    <cellStyle name="Positive 3 10 7 2 2" xfId="26279" xr:uid="{00000000-0005-0000-0000-0000B4660000}"/>
    <cellStyle name="Positive 3 10 7 3" xfId="26280" xr:uid="{00000000-0005-0000-0000-0000B5660000}"/>
    <cellStyle name="Positive 3 10 8" xfId="26281" xr:uid="{00000000-0005-0000-0000-0000B6660000}"/>
    <cellStyle name="Positive 3 10 8 2" xfId="26282" xr:uid="{00000000-0005-0000-0000-0000B7660000}"/>
    <cellStyle name="Positive 3 10 9" xfId="26283" xr:uid="{00000000-0005-0000-0000-0000B8660000}"/>
    <cellStyle name="Positive 3 10 9 2" xfId="26284" xr:uid="{00000000-0005-0000-0000-0000B9660000}"/>
    <cellStyle name="Positive 3 11" xfId="26285" xr:uid="{00000000-0005-0000-0000-0000BA660000}"/>
    <cellStyle name="Positive 3 11 10" xfId="26286" xr:uid="{00000000-0005-0000-0000-0000BB660000}"/>
    <cellStyle name="Positive 3 11 10 2" xfId="26287" xr:uid="{00000000-0005-0000-0000-0000BC660000}"/>
    <cellStyle name="Positive 3 11 11" xfId="26288" xr:uid="{00000000-0005-0000-0000-0000BD660000}"/>
    <cellStyle name="Positive 3 11 11 2" xfId="26289" xr:uid="{00000000-0005-0000-0000-0000BE660000}"/>
    <cellStyle name="Positive 3 11 12" xfId="26290" xr:uid="{00000000-0005-0000-0000-0000BF660000}"/>
    <cellStyle name="Positive 3 11 12 2" xfId="26291" xr:uid="{00000000-0005-0000-0000-0000C0660000}"/>
    <cellStyle name="Positive 3 11 13" xfId="26292" xr:uid="{00000000-0005-0000-0000-0000C1660000}"/>
    <cellStyle name="Positive 3 11 13 2" xfId="26293" xr:uid="{00000000-0005-0000-0000-0000C2660000}"/>
    <cellStyle name="Positive 3 11 14" xfId="26294" xr:uid="{00000000-0005-0000-0000-0000C3660000}"/>
    <cellStyle name="Positive 3 11 14 2" xfId="26295" xr:uid="{00000000-0005-0000-0000-0000C4660000}"/>
    <cellStyle name="Positive 3 11 15" xfId="26296" xr:uid="{00000000-0005-0000-0000-0000C5660000}"/>
    <cellStyle name="Positive 3 11 15 2" xfId="26297" xr:uid="{00000000-0005-0000-0000-0000C6660000}"/>
    <cellStyle name="Positive 3 11 16" xfId="26298" xr:uid="{00000000-0005-0000-0000-0000C7660000}"/>
    <cellStyle name="Positive 3 11 16 2" xfId="26299" xr:uid="{00000000-0005-0000-0000-0000C8660000}"/>
    <cellStyle name="Positive 3 11 17" xfId="26300" xr:uid="{00000000-0005-0000-0000-0000C9660000}"/>
    <cellStyle name="Positive 3 11 17 2" xfId="26301" xr:uid="{00000000-0005-0000-0000-0000CA660000}"/>
    <cellStyle name="Positive 3 11 18" xfId="26302" xr:uid="{00000000-0005-0000-0000-0000CB660000}"/>
    <cellStyle name="Positive 3 11 18 2" xfId="26303" xr:uid="{00000000-0005-0000-0000-0000CC660000}"/>
    <cellStyle name="Positive 3 11 19" xfId="26304" xr:uid="{00000000-0005-0000-0000-0000CD660000}"/>
    <cellStyle name="Positive 3 11 19 2" xfId="26305" xr:uid="{00000000-0005-0000-0000-0000CE660000}"/>
    <cellStyle name="Positive 3 11 2" xfId="26306" xr:uid="{00000000-0005-0000-0000-0000CF660000}"/>
    <cellStyle name="Positive 3 11 2 10" xfId="26307" xr:uid="{00000000-0005-0000-0000-0000D0660000}"/>
    <cellStyle name="Positive 3 11 2 10 2" xfId="26308" xr:uid="{00000000-0005-0000-0000-0000D1660000}"/>
    <cellStyle name="Positive 3 11 2 11" xfId="26309" xr:uid="{00000000-0005-0000-0000-0000D2660000}"/>
    <cellStyle name="Positive 3 11 2 11 2" xfId="26310" xr:uid="{00000000-0005-0000-0000-0000D3660000}"/>
    <cellStyle name="Positive 3 11 2 12" xfId="26311" xr:uid="{00000000-0005-0000-0000-0000D4660000}"/>
    <cellStyle name="Positive 3 11 2 12 2" xfId="26312" xr:uid="{00000000-0005-0000-0000-0000D5660000}"/>
    <cellStyle name="Positive 3 11 2 13" xfId="26313" xr:uid="{00000000-0005-0000-0000-0000D6660000}"/>
    <cellStyle name="Positive 3 11 2 13 2" xfId="26314" xr:uid="{00000000-0005-0000-0000-0000D7660000}"/>
    <cellStyle name="Positive 3 11 2 14" xfId="26315" xr:uid="{00000000-0005-0000-0000-0000D8660000}"/>
    <cellStyle name="Positive 3 11 2 14 2" xfId="26316" xr:uid="{00000000-0005-0000-0000-0000D9660000}"/>
    <cellStyle name="Positive 3 11 2 15" xfId="26317" xr:uid="{00000000-0005-0000-0000-0000DA660000}"/>
    <cellStyle name="Positive 3 11 2 15 2" xfId="26318" xr:uid="{00000000-0005-0000-0000-0000DB660000}"/>
    <cellStyle name="Positive 3 11 2 16" xfId="26319" xr:uid="{00000000-0005-0000-0000-0000DC660000}"/>
    <cellStyle name="Positive 3 11 2 16 2" xfId="26320" xr:uid="{00000000-0005-0000-0000-0000DD660000}"/>
    <cellStyle name="Positive 3 11 2 17" xfId="26321" xr:uid="{00000000-0005-0000-0000-0000DE660000}"/>
    <cellStyle name="Positive 3 11 2 17 2" xfId="26322" xr:uid="{00000000-0005-0000-0000-0000DF660000}"/>
    <cellStyle name="Positive 3 11 2 18" xfId="26323" xr:uid="{00000000-0005-0000-0000-0000E0660000}"/>
    <cellStyle name="Positive 3 11 2 18 2" xfId="26324" xr:uid="{00000000-0005-0000-0000-0000E1660000}"/>
    <cellStyle name="Positive 3 11 2 19" xfId="26325" xr:uid="{00000000-0005-0000-0000-0000E2660000}"/>
    <cellStyle name="Positive 3 11 2 19 2" xfId="26326" xr:uid="{00000000-0005-0000-0000-0000E3660000}"/>
    <cellStyle name="Positive 3 11 2 2" xfId="26327" xr:uid="{00000000-0005-0000-0000-0000E4660000}"/>
    <cellStyle name="Positive 3 11 2 2 10" xfId="26328" xr:uid="{00000000-0005-0000-0000-0000E5660000}"/>
    <cellStyle name="Positive 3 11 2 2 10 2" xfId="26329" xr:uid="{00000000-0005-0000-0000-0000E6660000}"/>
    <cellStyle name="Positive 3 11 2 2 11" xfId="26330" xr:uid="{00000000-0005-0000-0000-0000E7660000}"/>
    <cellStyle name="Positive 3 11 2 2 11 2" xfId="26331" xr:uid="{00000000-0005-0000-0000-0000E8660000}"/>
    <cellStyle name="Positive 3 11 2 2 12" xfId="26332" xr:uid="{00000000-0005-0000-0000-0000E9660000}"/>
    <cellStyle name="Positive 3 11 2 2 12 2" xfId="26333" xr:uid="{00000000-0005-0000-0000-0000EA660000}"/>
    <cellStyle name="Positive 3 11 2 2 13" xfId="26334" xr:uid="{00000000-0005-0000-0000-0000EB660000}"/>
    <cellStyle name="Positive 3 11 2 2 13 2" xfId="26335" xr:uid="{00000000-0005-0000-0000-0000EC660000}"/>
    <cellStyle name="Positive 3 11 2 2 14" xfId="26336" xr:uid="{00000000-0005-0000-0000-0000ED660000}"/>
    <cellStyle name="Positive 3 11 2 2 14 2" xfId="26337" xr:uid="{00000000-0005-0000-0000-0000EE660000}"/>
    <cellStyle name="Positive 3 11 2 2 15" xfId="26338" xr:uid="{00000000-0005-0000-0000-0000EF660000}"/>
    <cellStyle name="Positive 3 11 2 2 15 2" xfId="26339" xr:uid="{00000000-0005-0000-0000-0000F0660000}"/>
    <cellStyle name="Positive 3 11 2 2 16" xfId="26340" xr:uid="{00000000-0005-0000-0000-0000F1660000}"/>
    <cellStyle name="Positive 3 11 2 2 16 2" xfId="26341" xr:uid="{00000000-0005-0000-0000-0000F2660000}"/>
    <cellStyle name="Positive 3 11 2 2 17" xfId="26342" xr:uid="{00000000-0005-0000-0000-0000F3660000}"/>
    <cellStyle name="Positive 3 11 2 2 2" xfId="26343" xr:uid="{00000000-0005-0000-0000-0000F4660000}"/>
    <cellStyle name="Positive 3 11 2 2 2 2" xfId="26344" xr:uid="{00000000-0005-0000-0000-0000F5660000}"/>
    <cellStyle name="Positive 3 11 2 2 3" xfId="26345" xr:uid="{00000000-0005-0000-0000-0000F6660000}"/>
    <cellStyle name="Positive 3 11 2 2 3 2" xfId="26346" xr:uid="{00000000-0005-0000-0000-0000F7660000}"/>
    <cellStyle name="Positive 3 11 2 2 4" xfId="26347" xr:uid="{00000000-0005-0000-0000-0000F8660000}"/>
    <cellStyle name="Positive 3 11 2 2 4 2" xfId="26348" xr:uid="{00000000-0005-0000-0000-0000F9660000}"/>
    <cellStyle name="Positive 3 11 2 2 5" xfId="26349" xr:uid="{00000000-0005-0000-0000-0000FA660000}"/>
    <cellStyle name="Positive 3 11 2 2 5 2" xfId="26350" xr:uid="{00000000-0005-0000-0000-0000FB660000}"/>
    <cellStyle name="Positive 3 11 2 2 6" xfId="26351" xr:uid="{00000000-0005-0000-0000-0000FC660000}"/>
    <cellStyle name="Positive 3 11 2 2 6 2" xfId="26352" xr:uid="{00000000-0005-0000-0000-0000FD660000}"/>
    <cellStyle name="Positive 3 11 2 2 7" xfId="26353" xr:uid="{00000000-0005-0000-0000-0000FE660000}"/>
    <cellStyle name="Positive 3 11 2 2 7 2" xfId="26354" xr:uid="{00000000-0005-0000-0000-0000FF660000}"/>
    <cellStyle name="Positive 3 11 2 2 8" xfId="26355" xr:uid="{00000000-0005-0000-0000-000000670000}"/>
    <cellStyle name="Positive 3 11 2 2 8 2" xfId="26356" xr:uid="{00000000-0005-0000-0000-000001670000}"/>
    <cellStyle name="Positive 3 11 2 2 9" xfId="26357" xr:uid="{00000000-0005-0000-0000-000002670000}"/>
    <cellStyle name="Positive 3 11 2 2 9 2" xfId="26358" xr:uid="{00000000-0005-0000-0000-000003670000}"/>
    <cellStyle name="Positive 3 11 2 20" xfId="26359" xr:uid="{00000000-0005-0000-0000-000004670000}"/>
    <cellStyle name="Positive 3 11 2 3" xfId="26360" xr:uid="{00000000-0005-0000-0000-000005670000}"/>
    <cellStyle name="Positive 3 11 2 3 2" xfId="26361" xr:uid="{00000000-0005-0000-0000-000006670000}"/>
    <cellStyle name="Positive 3 11 2 3 2 2" xfId="26362" xr:uid="{00000000-0005-0000-0000-000007670000}"/>
    <cellStyle name="Positive 3 11 2 3 3" xfId="26363" xr:uid="{00000000-0005-0000-0000-000008670000}"/>
    <cellStyle name="Positive 3 11 2 4" xfId="26364" xr:uid="{00000000-0005-0000-0000-000009670000}"/>
    <cellStyle name="Positive 3 11 2 4 2" xfId="26365" xr:uid="{00000000-0005-0000-0000-00000A670000}"/>
    <cellStyle name="Positive 3 11 2 4 2 2" xfId="26366" xr:uid="{00000000-0005-0000-0000-00000B670000}"/>
    <cellStyle name="Positive 3 11 2 4 3" xfId="26367" xr:uid="{00000000-0005-0000-0000-00000C670000}"/>
    <cellStyle name="Positive 3 11 2 5" xfId="26368" xr:uid="{00000000-0005-0000-0000-00000D670000}"/>
    <cellStyle name="Positive 3 11 2 5 2" xfId="26369" xr:uid="{00000000-0005-0000-0000-00000E670000}"/>
    <cellStyle name="Positive 3 11 2 6" xfId="26370" xr:uid="{00000000-0005-0000-0000-00000F670000}"/>
    <cellStyle name="Positive 3 11 2 6 2" xfId="26371" xr:uid="{00000000-0005-0000-0000-000010670000}"/>
    <cellStyle name="Positive 3 11 2 7" xfId="26372" xr:uid="{00000000-0005-0000-0000-000011670000}"/>
    <cellStyle name="Positive 3 11 2 7 2" xfId="26373" xr:uid="{00000000-0005-0000-0000-000012670000}"/>
    <cellStyle name="Positive 3 11 2 8" xfId="26374" xr:uid="{00000000-0005-0000-0000-000013670000}"/>
    <cellStyle name="Positive 3 11 2 8 2" xfId="26375" xr:uid="{00000000-0005-0000-0000-000014670000}"/>
    <cellStyle name="Positive 3 11 2 9" xfId="26376" xr:uid="{00000000-0005-0000-0000-000015670000}"/>
    <cellStyle name="Positive 3 11 2 9 2" xfId="26377" xr:uid="{00000000-0005-0000-0000-000016670000}"/>
    <cellStyle name="Positive 3 11 20" xfId="26378" xr:uid="{00000000-0005-0000-0000-000017670000}"/>
    <cellStyle name="Positive 3 11 20 2" xfId="26379" xr:uid="{00000000-0005-0000-0000-000018670000}"/>
    <cellStyle name="Positive 3 11 21" xfId="26380" xr:uid="{00000000-0005-0000-0000-000019670000}"/>
    <cellStyle name="Positive 3 11 21 2" xfId="26381" xr:uid="{00000000-0005-0000-0000-00001A670000}"/>
    <cellStyle name="Positive 3 11 22" xfId="26382" xr:uid="{00000000-0005-0000-0000-00001B670000}"/>
    <cellStyle name="Positive 3 11 22 2" xfId="26383" xr:uid="{00000000-0005-0000-0000-00001C670000}"/>
    <cellStyle name="Positive 3 11 23" xfId="26384" xr:uid="{00000000-0005-0000-0000-00001D670000}"/>
    <cellStyle name="Positive 3 11 3" xfId="26385" xr:uid="{00000000-0005-0000-0000-00001E670000}"/>
    <cellStyle name="Positive 3 11 3 10" xfId="26386" xr:uid="{00000000-0005-0000-0000-00001F670000}"/>
    <cellStyle name="Positive 3 11 3 10 2" xfId="26387" xr:uid="{00000000-0005-0000-0000-000020670000}"/>
    <cellStyle name="Positive 3 11 3 11" xfId="26388" xr:uid="{00000000-0005-0000-0000-000021670000}"/>
    <cellStyle name="Positive 3 11 3 11 2" xfId="26389" xr:uid="{00000000-0005-0000-0000-000022670000}"/>
    <cellStyle name="Positive 3 11 3 12" xfId="26390" xr:uid="{00000000-0005-0000-0000-000023670000}"/>
    <cellStyle name="Positive 3 11 3 12 2" xfId="26391" xr:uid="{00000000-0005-0000-0000-000024670000}"/>
    <cellStyle name="Positive 3 11 3 13" xfId="26392" xr:uid="{00000000-0005-0000-0000-000025670000}"/>
    <cellStyle name="Positive 3 11 3 13 2" xfId="26393" xr:uid="{00000000-0005-0000-0000-000026670000}"/>
    <cellStyle name="Positive 3 11 3 14" xfId="26394" xr:uid="{00000000-0005-0000-0000-000027670000}"/>
    <cellStyle name="Positive 3 11 3 14 2" xfId="26395" xr:uid="{00000000-0005-0000-0000-000028670000}"/>
    <cellStyle name="Positive 3 11 3 15" xfId="26396" xr:uid="{00000000-0005-0000-0000-000029670000}"/>
    <cellStyle name="Positive 3 11 3 15 2" xfId="26397" xr:uid="{00000000-0005-0000-0000-00002A670000}"/>
    <cellStyle name="Positive 3 11 3 16" xfId="26398" xr:uid="{00000000-0005-0000-0000-00002B670000}"/>
    <cellStyle name="Positive 3 11 3 16 2" xfId="26399" xr:uid="{00000000-0005-0000-0000-00002C670000}"/>
    <cellStyle name="Positive 3 11 3 17" xfId="26400" xr:uid="{00000000-0005-0000-0000-00002D670000}"/>
    <cellStyle name="Positive 3 11 3 17 2" xfId="26401" xr:uid="{00000000-0005-0000-0000-00002E670000}"/>
    <cellStyle name="Positive 3 11 3 18" xfId="26402" xr:uid="{00000000-0005-0000-0000-00002F670000}"/>
    <cellStyle name="Positive 3 11 3 18 2" xfId="26403" xr:uid="{00000000-0005-0000-0000-000030670000}"/>
    <cellStyle name="Positive 3 11 3 19" xfId="26404" xr:uid="{00000000-0005-0000-0000-000031670000}"/>
    <cellStyle name="Positive 3 11 3 19 2" xfId="26405" xr:uid="{00000000-0005-0000-0000-000032670000}"/>
    <cellStyle name="Positive 3 11 3 2" xfId="26406" xr:uid="{00000000-0005-0000-0000-000033670000}"/>
    <cellStyle name="Positive 3 11 3 2 10" xfId="26407" xr:uid="{00000000-0005-0000-0000-000034670000}"/>
    <cellStyle name="Positive 3 11 3 2 10 2" xfId="26408" xr:uid="{00000000-0005-0000-0000-000035670000}"/>
    <cellStyle name="Positive 3 11 3 2 11" xfId="26409" xr:uid="{00000000-0005-0000-0000-000036670000}"/>
    <cellStyle name="Positive 3 11 3 2 11 2" xfId="26410" xr:uid="{00000000-0005-0000-0000-000037670000}"/>
    <cellStyle name="Positive 3 11 3 2 12" xfId="26411" xr:uid="{00000000-0005-0000-0000-000038670000}"/>
    <cellStyle name="Positive 3 11 3 2 12 2" xfId="26412" xr:uid="{00000000-0005-0000-0000-000039670000}"/>
    <cellStyle name="Positive 3 11 3 2 13" xfId="26413" xr:uid="{00000000-0005-0000-0000-00003A670000}"/>
    <cellStyle name="Positive 3 11 3 2 13 2" xfId="26414" xr:uid="{00000000-0005-0000-0000-00003B670000}"/>
    <cellStyle name="Positive 3 11 3 2 14" xfId="26415" xr:uid="{00000000-0005-0000-0000-00003C670000}"/>
    <cellStyle name="Positive 3 11 3 2 14 2" xfId="26416" xr:uid="{00000000-0005-0000-0000-00003D670000}"/>
    <cellStyle name="Positive 3 11 3 2 15" xfId="26417" xr:uid="{00000000-0005-0000-0000-00003E670000}"/>
    <cellStyle name="Positive 3 11 3 2 15 2" xfId="26418" xr:uid="{00000000-0005-0000-0000-00003F670000}"/>
    <cellStyle name="Positive 3 11 3 2 16" xfId="26419" xr:uid="{00000000-0005-0000-0000-000040670000}"/>
    <cellStyle name="Positive 3 11 3 2 16 2" xfId="26420" xr:uid="{00000000-0005-0000-0000-000041670000}"/>
    <cellStyle name="Positive 3 11 3 2 17" xfId="26421" xr:uid="{00000000-0005-0000-0000-000042670000}"/>
    <cellStyle name="Positive 3 11 3 2 2" xfId="26422" xr:uid="{00000000-0005-0000-0000-000043670000}"/>
    <cellStyle name="Positive 3 11 3 2 2 2" xfId="26423" xr:uid="{00000000-0005-0000-0000-000044670000}"/>
    <cellStyle name="Positive 3 11 3 2 3" xfId="26424" xr:uid="{00000000-0005-0000-0000-000045670000}"/>
    <cellStyle name="Positive 3 11 3 2 3 2" xfId="26425" xr:uid="{00000000-0005-0000-0000-000046670000}"/>
    <cellStyle name="Positive 3 11 3 2 4" xfId="26426" xr:uid="{00000000-0005-0000-0000-000047670000}"/>
    <cellStyle name="Positive 3 11 3 2 4 2" xfId="26427" xr:uid="{00000000-0005-0000-0000-000048670000}"/>
    <cellStyle name="Positive 3 11 3 2 5" xfId="26428" xr:uid="{00000000-0005-0000-0000-000049670000}"/>
    <cellStyle name="Positive 3 11 3 2 5 2" xfId="26429" xr:uid="{00000000-0005-0000-0000-00004A670000}"/>
    <cellStyle name="Positive 3 11 3 2 6" xfId="26430" xr:uid="{00000000-0005-0000-0000-00004B670000}"/>
    <cellStyle name="Positive 3 11 3 2 6 2" xfId="26431" xr:uid="{00000000-0005-0000-0000-00004C670000}"/>
    <cellStyle name="Positive 3 11 3 2 7" xfId="26432" xr:uid="{00000000-0005-0000-0000-00004D670000}"/>
    <cellStyle name="Positive 3 11 3 2 7 2" xfId="26433" xr:uid="{00000000-0005-0000-0000-00004E670000}"/>
    <cellStyle name="Positive 3 11 3 2 8" xfId="26434" xr:uid="{00000000-0005-0000-0000-00004F670000}"/>
    <cellStyle name="Positive 3 11 3 2 8 2" xfId="26435" xr:uid="{00000000-0005-0000-0000-000050670000}"/>
    <cellStyle name="Positive 3 11 3 2 9" xfId="26436" xr:uid="{00000000-0005-0000-0000-000051670000}"/>
    <cellStyle name="Positive 3 11 3 2 9 2" xfId="26437" xr:uid="{00000000-0005-0000-0000-000052670000}"/>
    <cellStyle name="Positive 3 11 3 20" xfId="26438" xr:uid="{00000000-0005-0000-0000-000053670000}"/>
    <cellStyle name="Positive 3 11 3 3" xfId="26439" xr:uid="{00000000-0005-0000-0000-000054670000}"/>
    <cellStyle name="Positive 3 11 3 3 2" xfId="26440" xr:uid="{00000000-0005-0000-0000-000055670000}"/>
    <cellStyle name="Positive 3 11 3 3 2 2" xfId="26441" xr:uid="{00000000-0005-0000-0000-000056670000}"/>
    <cellStyle name="Positive 3 11 3 3 3" xfId="26442" xr:uid="{00000000-0005-0000-0000-000057670000}"/>
    <cellStyle name="Positive 3 11 3 4" xfId="26443" xr:uid="{00000000-0005-0000-0000-000058670000}"/>
    <cellStyle name="Positive 3 11 3 4 2" xfId="26444" xr:uid="{00000000-0005-0000-0000-000059670000}"/>
    <cellStyle name="Positive 3 11 3 4 2 2" xfId="26445" xr:uid="{00000000-0005-0000-0000-00005A670000}"/>
    <cellStyle name="Positive 3 11 3 4 3" xfId="26446" xr:uid="{00000000-0005-0000-0000-00005B670000}"/>
    <cellStyle name="Positive 3 11 3 5" xfId="26447" xr:uid="{00000000-0005-0000-0000-00005C670000}"/>
    <cellStyle name="Positive 3 11 3 5 2" xfId="26448" xr:uid="{00000000-0005-0000-0000-00005D670000}"/>
    <cellStyle name="Positive 3 11 3 6" xfId="26449" xr:uid="{00000000-0005-0000-0000-00005E670000}"/>
    <cellStyle name="Positive 3 11 3 6 2" xfId="26450" xr:uid="{00000000-0005-0000-0000-00005F670000}"/>
    <cellStyle name="Positive 3 11 3 7" xfId="26451" xr:uid="{00000000-0005-0000-0000-000060670000}"/>
    <cellStyle name="Positive 3 11 3 7 2" xfId="26452" xr:uid="{00000000-0005-0000-0000-000061670000}"/>
    <cellStyle name="Positive 3 11 3 8" xfId="26453" xr:uid="{00000000-0005-0000-0000-000062670000}"/>
    <cellStyle name="Positive 3 11 3 8 2" xfId="26454" xr:uid="{00000000-0005-0000-0000-000063670000}"/>
    <cellStyle name="Positive 3 11 3 9" xfId="26455" xr:uid="{00000000-0005-0000-0000-000064670000}"/>
    <cellStyle name="Positive 3 11 3 9 2" xfId="26456" xr:uid="{00000000-0005-0000-0000-000065670000}"/>
    <cellStyle name="Positive 3 11 4" xfId="26457" xr:uid="{00000000-0005-0000-0000-000066670000}"/>
    <cellStyle name="Positive 3 11 4 10" xfId="26458" xr:uid="{00000000-0005-0000-0000-000067670000}"/>
    <cellStyle name="Positive 3 11 4 10 2" xfId="26459" xr:uid="{00000000-0005-0000-0000-000068670000}"/>
    <cellStyle name="Positive 3 11 4 11" xfId="26460" xr:uid="{00000000-0005-0000-0000-000069670000}"/>
    <cellStyle name="Positive 3 11 4 11 2" xfId="26461" xr:uid="{00000000-0005-0000-0000-00006A670000}"/>
    <cellStyle name="Positive 3 11 4 12" xfId="26462" xr:uid="{00000000-0005-0000-0000-00006B670000}"/>
    <cellStyle name="Positive 3 11 4 12 2" xfId="26463" xr:uid="{00000000-0005-0000-0000-00006C670000}"/>
    <cellStyle name="Positive 3 11 4 13" xfId="26464" xr:uid="{00000000-0005-0000-0000-00006D670000}"/>
    <cellStyle name="Positive 3 11 4 13 2" xfId="26465" xr:uid="{00000000-0005-0000-0000-00006E670000}"/>
    <cellStyle name="Positive 3 11 4 14" xfId="26466" xr:uid="{00000000-0005-0000-0000-00006F670000}"/>
    <cellStyle name="Positive 3 11 4 14 2" xfId="26467" xr:uid="{00000000-0005-0000-0000-000070670000}"/>
    <cellStyle name="Positive 3 11 4 15" xfId="26468" xr:uid="{00000000-0005-0000-0000-000071670000}"/>
    <cellStyle name="Positive 3 11 4 15 2" xfId="26469" xr:uid="{00000000-0005-0000-0000-000072670000}"/>
    <cellStyle name="Positive 3 11 4 16" xfId="26470" xr:uid="{00000000-0005-0000-0000-000073670000}"/>
    <cellStyle name="Positive 3 11 4 16 2" xfId="26471" xr:uid="{00000000-0005-0000-0000-000074670000}"/>
    <cellStyle name="Positive 3 11 4 17" xfId="26472" xr:uid="{00000000-0005-0000-0000-000075670000}"/>
    <cellStyle name="Positive 3 11 4 17 2" xfId="26473" xr:uid="{00000000-0005-0000-0000-000076670000}"/>
    <cellStyle name="Positive 3 11 4 18" xfId="26474" xr:uid="{00000000-0005-0000-0000-000077670000}"/>
    <cellStyle name="Positive 3 11 4 18 2" xfId="26475" xr:uid="{00000000-0005-0000-0000-000078670000}"/>
    <cellStyle name="Positive 3 11 4 19" xfId="26476" xr:uid="{00000000-0005-0000-0000-000079670000}"/>
    <cellStyle name="Positive 3 11 4 19 2" xfId="26477" xr:uid="{00000000-0005-0000-0000-00007A670000}"/>
    <cellStyle name="Positive 3 11 4 2" xfId="26478" xr:uid="{00000000-0005-0000-0000-00007B670000}"/>
    <cellStyle name="Positive 3 11 4 2 10" xfId="26479" xr:uid="{00000000-0005-0000-0000-00007C670000}"/>
    <cellStyle name="Positive 3 11 4 2 10 2" xfId="26480" xr:uid="{00000000-0005-0000-0000-00007D670000}"/>
    <cellStyle name="Positive 3 11 4 2 11" xfId="26481" xr:uid="{00000000-0005-0000-0000-00007E670000}"/>
    <cellStyle name="Positive 3 11 4 2 11 2" xfId="26482" xr:uid="{00000000-0005-0000-0000-00007F670000}"/>
    <cellStyle name="Positive 3 11 4 2 12" xfId="26483" xr:uid="{00000000-0005-0000-0000-000080670000}"/>
    <cellStyle name="Positive 3 11 4 2 12 2" xfId="26484" xr:uid="{00000000-0005-0000-0000-000081670000}"/>
    <cellStyle name="Positive 3 11 4 2 13" xfId="26485" xr:uid="{00000000-0005-0000-0000-000082670000}"/>
    <cellStyle name="Positive 3 11 4 2 13 2" xfId="26486" xr:uid="{00000000-0005-0000-0000-000083670000}"/>
    <cellStyle name="Positive 3 11 4 2 14" xfId="26487" xr:uid="{00000000-0005-0000-0000-000084670000}"/>
    <cellStyle name="Positive 3 11 4 2 14 2" xfId="26488" xr:uid="{00000000-0005-0000-0000-000085670000}"/>
    <cellStyle name="Positive 3 11 4 2 15" xfId="26489" xr:uid="{00000000-0005-0000-0000-000086670000}"/>
    <cellStyle name="Positive 3 11 4 2 15 2" xfId="26490" xr:uid="{00000000-0005-0000-0000-000087670000}"/>
    <cellStyle name="Positive 3 11 4 2 16" xfId="26491" xr:uid="{00000000-0005-0000-0000-000088670000}"/>
    <cellStyle name="Positive 3 11 4 2 16 2" xfId="26492" xr:uid="{00000000-0005-0000-0000-000089670000}"/>
    <cellStyle name="Positive 3 11 4 2 17" xfId="26493" xr:uid="{00000000-0005-0000-0000-00008A670000}"/>
    <cellStyle name="Positive 3 11 4 2 2" xfId="26494" xr:uid="{00000000-0005-0000-0000-00008B670000}"/>
    <cellStyle name="Positive 3 11 4 2 2 2" xfId="26495" xr:uid="{00000000-0005-0000-0000-00008C670000}"/>
    <cellStyle name="Positive 3 11 4 2 3" xfId="26496" xr:uid="{00000000-0005-0000-0000-00008D670000}"/>
    <cellStyle name="Positive 3 11 4 2 3 2" xfId="26497" xr:uid="{00000000-0005-0000-0000-00008E670000}"/>
    <cellStyle name="Positive 3 11 4 2 4" xfId="26498" xr:uid="{00000000-0005-0000-0000-00008F670000}"/>
    <cellStyle name="Positive 3 11 4 2 4 2" xfId="26499" xr:uid="{00000000-0005-0000-0000-000090670000}"/>
    <cellStyle name="Positive 3 11 4 2 5" xfId="26500" xr:uid="{00000000-0005-0000-0000-000091670000}"/>
    <cellStyle name="Positive 3 11 4 2 5 2" xfId="26501" xr:uid="{00000000-0005-0000-0000-000092670000}"/>
    <cellStyle name="Positive 3 11 4 2 6" xfId="26502" xr:uid="{00000000-0005-0000-0000-000093670000}"/>
    <cellStyle name="Positive 3 11 4 2 6 2" xfId="26503" xr:uid="{00000000-0005-0000-0000-000094670000}"/>
    <cellStyle name="Positive 3 11 4 2 7" xfId="26504" xr:uid="{00000000-0005-0000-0000-000095670000}"/>
    <cellStyle name="Positive 3 11 4 2 7 2" xfId="26505" xr:uid="{00000000-0005-0000-0000-000096670000}"/>
    <cellStyle name="Positive 3 11 4 2 8" xfId="26506" xr:uid="{00000000-0005-0000-0000-000097670000}"/>
    <cellStyle name="Positive 3 11 4 2 8 2" xfId="26507" xr:uid="{00000000-0005-0000-0000-000098670000}"/>
    <cellStyle name="Positive 3 11 4 2 9" xfId="26508" xr:uid="{00000000-0005-0000-0000-000099670000}"/>
    <cellStyle name="Positive 3 11 4 2 9 2" xfId="26509" xr:uid="{00000000-0005-0000-0000-00009A670000}"/>
    <cellStyle name="Positive 3 11 4 20" xfId="26510" xr:uid="{00000000-0005-0000-0000-00009B670000}"/>
    <cellStyle name="Positive 3 11 4 3" xfId="26511" xr:uid="{00000000-0005-0000-0000-00009C670000}"/>
    <cellStyle name="Positive 3 11 4 3 2" xfId="26512" xr:uid="{00000000-0005-0000-0000-00009D670000}"/>
    <cellStyle name="Positive 3 11 4 3 2 2" xfId="26513" xr:uid="{00000000-0005-0000-0000-00009E670000}"/>
    <cellStyle name="Positive 3 11 4 3 3" xfId="26514" xr:uid="{00000000-0005-0000-0000-00009F670000}"/>
    <cellStyle name="Positive 3 11 4 4" xfId="26515" xr:uid="{00000000-0005-0000-0000-0000A0670000}"/>
    <cellStyle name="Positive 3 11 4 4 2" xfId="26516" xr:uid="{00000000-0005-0000-0000-0000A1670000}"/>
    <cellStyle name="Positive 3 11 4 4 2 2" xfId="26517" xr:uid="{00000000-0005-0000-0000-0000A2670000}"/>
    <cellStyle name="Positive 3 11 4 4 3" xfId="26518" xr:uid="{00000000-0005-0000-0000-0000A3670000}"/>
    <cellStyle name="Positive 3 11 4 5" xfId="26519" xr:uid="{00000000-0005-0000-0000-0000A4670000}"/>
    <cellStyle name="Positive 3 11 4 5 2" xfId="26520" xr:uid="{00000000-0005-0000-0000-0000A5670000}"/>
    <cellStyle name="Positive 3 11 4 6" xfId="26521" xr:uid="{00000000-0005-0000-0000-0000A6670000}"/>
    <cellStyle name="Positive 3 11 4 6 2" xfId="26522" xr:uid="{00000000-0005-0000-0000-0000A7670000}"/>
    <cellStyle name="Positive 3 11 4 7" xfId="26523" xr:uid="{00000000-0005-0000-0000-0000A8670000}"/>
    <cellStyle name="Positive 3 11 4 7 2" xfId="26524" xr:uid="{00000000-0005-0000-0000-0000A9670000}"/>
    <cellStyle name="Positive 3 11 4 8" xfId="26525" xr:uid="{00000000-0005-0000-0000-0000AA670000}"/>
    <cellStyle name="Positive 3 11 4 8 2" xfId="26526" xr:uid="{00000000-0005-0000-0000-0000AB670000}"/>
    <cellStyle name="Positive 3 11 4 9" xfId="26527" xr:uid="{00000000-0005-0000-0000-0000AC670000}"/>
    <cellStyle name="Positive 3 11 4 9 2" xfId="26528" xr:uid="{00000000-0005-0000-0000-0000AD670000}"/>
    <cellStyle name="Positive 3 11 5" xfId="26529" xr:uid="{00000000-0005-0000-0000-0000AE670000}"/>
    <cellStyle name="Positive 3 11 5 10" xfId="26530" xr:uid="{00000000-0005-0000-0000-0000AF670000}"/>
    <cellStyle name="Positive 3 11 5 10 2" xfId="26531" xr:uid="{00000000-0005-0000-0000-0000B0670000}"/>
    <cellStyle name="Positive 3 11 5 11" xfId="26532" xr:uid="{00000000-0005-0000-0000-0000B1670000}"/>
    <cellStyle name="Positive 3 11 5 11 2" xfId="26533" xr:uid="{00000000-0005-0000-0000-0000B2670000}"/>
    <cellStyle name="Positive 3 11 5 12" xfId="26534" xr:uid="{00000000-0005-0000-0000-0000B3670000}"/>
    <cellStyle name="Positive 3 11 5 12 2" xfId="26535" xr:uid="{00000000-0005-0000-0000-0000B4670000}"/>
    <cellStyle name="Positive 3 11 5 13" xfId="26536" xr:uid="{00000000-0005-0000-0000-0000B5670000}"/>
    <cellStyle name="Positive 3 11 5 13 2" xfId="26537" xr:uid="{00000000-0005-0000-0000-0000B6670000}"/>
    <cellStyle name="Positive 3 11 5 14" xfId="26538" xr:uid="{00000000-0005-0000-0000-0000B7670000}"/>
    <cellStyle name="Positive 3 11 5 14 2" xfId="26539" xr:uid="{00000000-0005-0000-0000-0000B8670000}"/>
    <cellStyle name="Positive 3 11 5 15" xfId="26540" xr:uid="{00000000-0005-0000-0000-0000B9670000}"/>
    <cellStyle name="Positive 3 11 5 15 2" xfId="26541" xr:uid="{00000000-0005-0000-0000-0000BA670000}"/>
    <cellStyle name="Positive 3 11 5 16" xfId="26542" xr:uid="{00000000-0005-0000-0000-0000BB670000}"/>
    <cellStyle name="Positive 3 11 5 16 2" xfId="26543" xr:uid="{00000000-0005-0000-0000-0000BC670000}"/>
    <cellStyle name="Positive 3 11 5 17" xfId="26544" xr:uid="{00000000-0005-0000-0000-0000BD670000}"/>
    <cellStyle name="Positive 3 11 5 2" xfId="26545" xr:uid="{00000000-0005-0000-0000-0000BE670000}"/>
    <cellStyle name="Positive 3 11 5 2 2" xfId="26546" xr:uid="{00000000-0005-0000-0000-0000BF670000}"/>
    <cellStyle name="Positive 3 11 5 3" xfId="26547" xr:uid="{00000000-0005-0000-0000-0000C0670000}"/>
    <cellStyle name="Positive 3 11 5 3 2" xfId="26548" xr:uid="{00000000-0005-0000-0000-0000C1670000}"/>
    <cellStyle name="Positive 3 11 5 4" xfId="26549" xr:uid="{00000000-0005-0000-0000-0000C2670000}"/>
    <cellStyle name="Positive 3 11 5 4 2" xfId="26550" xr:uid="{00000000-0005-0000-0000-0000C3670000}"/>
    <cellStyle name="Positive 3 11 5 5" xfId="26551" xr:uid="{00000000-0005-0000-0000-0000C4670000}"/>
    <cellStyle name="Positive 3 11 5 5 2" xfId="26552" xr:uid="{00000000-0005-0000-0000-0000C5670000}"/>
    <cellStyle name="Positive 3 11 5 6" xfId="26553" xr:uid="{00000000-0005-0000-0000-0000C6670000}"/>
    <cellStyle name="Positive 3 11 5 6 2" xfId="26554" xr:uid="{00000000-0005-0000-0000-0000C7670000}"/>
    <cellStyle name="Positive 3 11 5 7" xfId="26555" xr:uid="{00000000-0005-0000-0000-0000C8670000}"/>
    <cellStyle name="Positive 3 11 5 7 2" xfId="26556" xr:uid="{00000000-0005-0000-0000-0000C9670000}"/>
    <cellStyle name="Positive 3 11 5 8" xfId="26557" xr:uid="{00000000-0005-0000-0000-0000CA670000}"/>
    <cellStyle name="Positive 3 11 5 8 2" xfId="26558" xr:uid="{00000000-0005-0000-0000-0000CB670000}"/>
    <cellStyle name="Positive 3 11 5 9" xfId="26559" xr:uid="{00000000-0005-0000-0000-0000CC670000}"/>
    <cellStyle name="Positive 3 11 5 9 2" xfId="26560" xr:uid="{00000000-0005-0000-0000-0000CD670000}"/>
    <cellStyle name="Positive 3 11 6" xfId="26561" xr:uid="{00000000-0005-0000-0000-0000CE670000}"/>
    <cellStyle name="Positive 3 11 6 2" xfId="26562" xr:uid="{00000000-0005-0000-0000-0000CF670000}"/>
    <cellStyle name="Positive 3 11 6 2 2" xfId="26563" xr:uid="{00000000-0005-0000-0000-0000D0670000}"/>
    <cellStyle name="Positive 3 11 6 3" xfId="26564" xr:uid="{00000000-0005-0000-0000-0000D1670000}"/>
    <cellStyle name="Positive 3 11 7" xfId="26565" xr:uid="{00000000-0005-0000-0000-0000D2670000}"/>
    <cellStyle name="Positive 3 11 7 2" xfId="26566" xr:uid="{00000000-0005-0000-0000-0000D3670000}"/>
    <cellStyle name="Positive 3 11 7 2 2" xfId="26567" xr:uid="{00000000-0005-0000-0000-0000D4670000}"/>
    <cellStyle name="Positive 3 11 7 3" xfId="26568" xr:uid="{00000000-0005-0000-0000-0000D5670000}"/>
    <cellStyle name="Positive 3 11 8" xfId="26569" xr:uid="{00000000-0005-0000-0000-0000D6670000}"/>
    <cellStyle name="Positive 3 11 8 2" xfId="26570" xr:uid="{00000000-0005-0000-0000-0000D7670000}"/>
    <cellStyle name="Positive 3 11 9" xfId="26571" xr:uid="{00000000-0005-0000-0000-0000D8670000}"/>
    <cellStyle name="Positive 3 11 9 2" xfId="26572" xr:uid="{00000000-0005-0000-0000-0000D9670000}"/>
    <cellStyle name="Positive 3 12" xfId="26573" xr:uid="{00000000-0005-0000-0000-0000DA670000}"/>
    <cellStyle name="Positive 3 12 10" xfId="26574" xr:uid="{00000000-0005-0000-0000-0000DB670000}"/>
    <cellStyle name="Positive 3 12 10 2" xfId="26575" xr:uid="{00000000-0005-0000-0000-0000DC670000}"/>
    <cellStyle name="Positive 3 12 11" xfId="26576" xr:uid="{00000000-0005-0000-0000-0000DD670000}"/>
    <cellStyle name="Positive 3 12 11 2" xfId="26577" xr:uid="{00000000-0005-0000-0000-0000DE670000}"/>
    <cellStyle name="Positive 3 12 12" xfId="26578" xr:uid="{00000000-0005-0000-0000-0000DF670000}"/>
    <cellStyle name="Positive 3 12 12 2" xfId="26579" xr:uid="{00000000-0005-0000-0000-0000E0670000}"/>
    <cellStyle name="Positive 3 12 13" xfId="26580" xr:uid="{00000000-0005-0000-0000-0000E1670000}"/>
    <cellStyle name="Positive 3 12 13 2" xfId="26581" xr:uid="{00000000-0005-0000-0000-0000E2670000}"/>
    <cellStyle name="Positive 3 12 14" xfId="26582" xr:uid="{00000000-0005-0000-0000-0000E3670000}"/>
    <cellStyle name="Positive 3 12 14 2" xfId="26583" xr:uid="{00000000-0005-0000-0000-0000E4670000}"/>
    <cellStyle name="Positive 3 12 15" xfId="26584" xr:uid="{00000000-0005-0000-0000-0000E5670000}"/>
    <cellStyle name="Positive 3 12 15 2" xfId="26585" xr:uid="{00000000-0005-0000-0000-0000E6670000}"/>
    <cellStyle name="Positive 3 12 16" xfId="26586" xr:uid="{00000000-0005-0000-0000-0000E7670000}"/>
    <cellStyle name="Positive 3 12 16 2" xfId="26587" xr:uid="{00000000-0005-0000-0000-0000E8670000}"/>
    <cellStyle name="Positive 3 12 17" xfId="26588" xr:uid="{00000000-0005-0000-0000-0000E9670000}"/>
    <cellStyle name="Positive 3 12 17 2" xfId="26589" xr:uid="{00000000-0005-0000-0000-0000EA670000}"/>
    <cellStyle name="Positive 3 12 18" xfId="26590" xr:uid="{00000000-0005-0000-0000-0000EB670000}"/>
    <cellStyle name="Positive 3 12 18 2" xfId="26591" xr:uid="{00000000-0005-0000-0000-0000EC670000}"/>
    <cellStyle name="Positive 3 12 19" xfId="26592" xr:uid="{00000000-0005-0000-0000-0000ED670000}"/>
    <cellStyle name="Positive 3 12 19 2" xfId="26593" xr:uid="{00000000-0005-0000-0000-0000EE670000}"/>
    <cellStyle name="Positive 3 12 2" xfId="26594" xr:uid="{00000000-0005-0000-0000-0000EF670000}"/>
    <cellStyle name="Positive 3 12 2 10" xfId="26595" xr:uid="{00000000-0005-0000-0000-0000F0670000}"/>
    <cellStyle name="Positive 3 12 2 10 2" xfId="26596" xr:uid="{00000000-0005-0000-0000-0000F1670000}"/>
    <cellStyle name="Positive 3 12 2 11" xfId="26597" xr:uid="{00000000-0005-0000-0000-0000F2670000}"/>
    <cellStyle name="Positive 3 12 2 11 2" xfId="26598" xr:uid="{00000000-0005-0000-0000-0000F3670000}"/>
    <cellStyle name="Positive 3 12 2 12" xfId="26599" xr:uid="{00000000-0005-0000-0000-0000F4670000}"/>
    <cellStyle name="Positive 3 12 2 12 2" xfId="26600" xr:uid="{00000000-0005-0000-0000-0000F5670000}"/>
    <cellStyle name="Positive 3 12 2 13" xfId="26601" xr:uid="{00000000-0005-0000-0000-0000F6670000}"/>
    <cellStyle name="Positive 3 12 2 13 2" xfId="26602" xr:uid="{00000000-0005-0000-0000-0000F7670000}"/>
    <cellStyle name="Positive 3 12 2 14" xfId="26603" xr:uid="{00000000-0005-0000-0000-0000F8670000}"/>
    <cellStyle name="Positive 3 12 2 14 2" xfId="26604" xr:uid="{00000000-0005-0000-0000-0000F9670000}"/>
    <cellStyle name="Positive 3 12 2 15" xfId="26605" xr:uid="{00000000-0005-0000-0000-0000FA670000}"/>
    <cellStyle name="Positive 3 12 2 15 2" xfId="26606" xr:uid="{00000000-0005-0000-0000-0000FB670000}"/>
    <cellStyle name="Positive 3 12 2 16" xfId="26607" xr:uid="{00000000-0005-0000-0000-0000FC670000}"/>
    <cellStyle name="Positive 3 12 2 16 2" xfId="26608" xr:uid="{00000000-0005-0000-0000-0000FD670000}"/>
    <cellStyle name="Positive 3 12 2 17" xfId="26609" xr:uid="{00000000-0005-0000-0000-0000FE670000}"/>
    <cellStyle name="Positive 3 12 2 17 2" xfId="26610" xr:uid="{00000000-0005-0000-0000-0000FF670000}"/>
    <cellStyle name="Positive 3 12 2 18" xfId="26611" xr:uid="{00000000-0005-0000-0000-000000680000}"/>
    <cellStyle name="Positive 3 12 2 18 2" xfId="26612" xr:uid="{00000000-0005-0000-0000-000001680000}"/>
    <cellStyle name="Positive 3 12 2 19" xfId="26613" xr:uid="{00000000-0005-0000-0000-000002680000}"/>
    <cellStyle name="Positive 3 12 2 19 2" xfId="26614" xr:uid="{00000000-0005-0000-0000-000003680000}"/>
    <cellStyle name="Positive 3 12 2 2" xfId="26615" xr:uid="{00000000-0005-0000-0000-000004680000}"/>
    <cellStyle name="Positive 3 12 2 2 10" xfId="26616" xr:uid="{00000000-0005-0000-0000-000005680000}"/>
    <cellStyle name="Positive 3 12 2 2 10 2" xfId="26617" xr:uid="{00000000-0005-0000-0000-000006680000}"/>
    <cellStyle name="Positive 3 12 2 2 11" xfId="26618" xr:uid="{00000000-0005-0000-0000-000007680000}"/>
    <cellStyle name="Positive 3 12 2 2 11 2" xfId="26619" xr:uid="{00000000-0005-0000-0000-000008680000}"/>
    <cellStyle name="Positive 3 12 2 2 12" xfId="26620" xr:uid="{00000000-0005-0000-0000-000009680000}"/>
    <cellStyle name="Positive 3 12 2 2 12 2" xfId="26621" xr:uid="{00000000-0005-0000-0000-00000A680000}"/>
    <cellStyle name="Positive 3 12 2 2 13" xfId="26622" xr:uid="{00000000-0005-0000-0000-00000B680000}"/>
    <cellStyle name="Positive 3 12 2 2 13 2" xfId="26623" xr:uid="{00000000-0005-0000-0000-00000C680000}"/>
    <cellStyle name="Positive 3 12 2 2 14" xfId="26624" xr:uid="{00000000-0005-0000-0000-00000D680000}"/>
    <cellStyle name="Positive 3 12 2 2 14 2" xfId="26625" xr:uid="{00000000-0005-0000-0000-00000E680000}"/>
    <cellStyle name="Positive 3 12 2 2 15" xfId="26626" xr:uid="{00000000-0005-0000-0000-00000F680000}"/>
    <cellStyle name="Positive 3 12 2 2 15 2" xfId="26627" xr:uid="{00000000-0005-0000-0000-000010680000}"/>
    <cellStyle name="Positive 3 12 2 2 16" xfId="26628" xr:uid="{00000000-0005-0000-0000-000011680000}"/>
    <cellStyle name="Positive 3 12 2 2 16 2" xfId="26629" xr:uid="{00000000-0005-0000-0000-000012680000}"/>
    <cellStyle name="Positive 3 12 2 2 17" xfId="26630" xr:uid="{00000000-0005-0000-0000-000013680000}"/>
    <cellStyle name="Positive 3 12 2 2 2" xfId="26631" xr:uid="{00000000-0005-0000-0000-000014680000}"/>
    <cellStyle name="Positive 3 12 2 2 2 2" xfId="26632" xr:uid="{00000000-0005-0000-0000-000015680000}"/>
    <cellStyle name="Positive 3 12 2 2 3" xfId="26633" xr:uid="{00000000-0005-0000-0000-000016680000}"/>
    <cellStyle name="Positive 3 12 2 2 3 2" xfId="26634" xr:uid="{00000000-0005-0000-0000-000017680000}"/>
    <cellStyle name="Positive 3 12 2 2 4" xfId="26635" xr:uid="{00000000-0005-0000-0000-000018680000}"/>
    <cellStyle name="Positive 3 12 2 2 4 2" xfId="26636" xr:uid="{00000000-0005-0000-0000-000019680000}"/>
    <cellStyle name="Positive 3 12 2 2 5" xfId="26637" xr:uid="{00000000-0005-0000-0000-00001A680000}"/>
    <cellStyle name="Positive 3 12 2 2 5 2" xfId="26638" xr:uid="{00000000-0005-0000-0000-00001B680000}"/>
    <cellStyle name="Positive 3 12 2 2 6" xfId="26639" xr:uid="{00000000-0005-0000-0000-00001C680000}"/>
    <cellStyle name="Positive 3 12 2 2 6 2" xfId="26640" xr:uid="{00000000-0005-0000-0000-00001D680000}"/>
    <cellStyle name="Positive 3 12 2 2 7" xfId="26641" xr:uid="{00000000-0005-0000-0000-00001E680000}"/>
    <cellStyle name="Positive 3 12 2 2 7 2" xfId="26642" xr:uid="{00000000-0005-0000-0000-00001F680000}"/>
    <cellStyle name="Positive 3 12 2 2 8" xfId="26643" xr:uid="{00000000-0005-0000-0000-000020680000}"/>
    <cellStyle name="Positive 3 12 2 2 8 2" xfId="26644" xr:uid="{00000000-0005-0000-0000-000021680000}"/>
    <cellStyle name="Positive 3 12 2 2 9" xfId="26645" xr:uid="{00000000-0005-0000-0000-000022680000}"/>
    <cellStyle name="Positive 3 12 2 2 9 2" xfId="26646" xr:uid="{00000000-0005-0000-0000-000023680000}"/>
    <cellStyle name="Positive 3 12 2 20" xfId="26647" xr:uid="{00000000-0005-0000-0000-000024680000}"/>
    <cellStyle name="Positive 3 12 2 3" xfId="26648" xr:uid="{00000000-0005-0000-0000-000025680000}"/>
    <cellStyle name="Positive 3 12 2 3 2" xfId="26649" xr:uid="{00000000-0005-0000-0000-000026680000}"/>
    <cellStyle name="Positive 3 12 2 3 2 2" xfId="26650" xr:uid="{00000000-0005-0000-0000-000027680000}"/>
    <cellStyle name="Positive 3 12 2 3 3" xfId="26651" xr:uid="{00000000-0005-0000-0000-000028680000}"/>
    <cellStyle name="Positive 3 12 2 4" xfId="26652" xr:uid="{00000000-0005-0000-0000-000029680000}"/>
    <cellStyle name="Positive 3 12 2 4 2" xfId="26653" xr:uid="{00000000-0005-0000-0000-00002A680000}"/>
    <cellStyle name="Positive 3 12 2 4 2 2" xfId="26654" xr:uid="{00000000-0005-0000-0000-00002B680000}"/>
    <cellStyle name="Positive 3 12 2 4 3" xfId="26655" xr:uid="{00000000-0005-0000-0000-00002C680000}"/>
    <cellStyle name="Positive 3 12 2 5" xfId="26656" xr:uid="{00000000-0005-0000-0000-00002D680000}"/>
    <cellStyle name="Positive 3 12 2 5 2" xfId="26657" xr:uid="{00000000-0005-0000-0000-00002E680000}"/>
    <cellStyle name="Positive 3 12 2 6" xfId="26658" xr:uid="{00000000-0005-0000-0000-00002F680000}"/>
    <cellStyle name="Positive 3 12 2 6 2" xfId="26659" xr:uid="{00000000-0005-0000-0000-000030680000}"/>
    <cellStyle name="Positive 3 12 2 7" xfId="26660" xr:uid="{00000000-0005-0000-0000-000031680000}"/>
    <cellStyle name="Positive 3 12 2 7 2" xfId="26661" xr:uid="{00000000-0005-0000-0000-000032680000}"/>
    <cellStyle name="Positive 3 12 2 8" xfId="26662" xr:uid="{00000000-0005-0000-0000-000033680000}"/>
    <cellStyle name="Positive 3 12 2 8 2" xfId="26663" xr:uid="{00000000-0005-0000-0000-000034680000}"/>
    <cellStyle name="Positive 3 12 2 9" xfId="26664" xr:uid="{00000000-0005-0000-0000-000035680000}"/>
    <cellStyle name="Positive 3 12 2 9 2" xfId="26665" xr:uid="{00000000-0005-0000-0000-000036680000}"/>
    <cellStyle name="Positive 3 12 20" xfId="26666" xr:uid="{00000000-0005-0000-0000-000037680000}"/>
    <cellStyle name="Positive 3 12 20 2" xfId="26667" xr:uid="{00000000-0005-0000-0000-000038680000}"/>
    <cellStyle name="Positive 3 12 21" xfId="26668" xr:uid="{00000000-0005-0000-0000-000039680000}"/>
    <cellStyle name="Positive 3 12 21 2" xfId="26669" xr:uid="{00000000-0005-0000-0000-00003A680000}"/>
    <cellStyle name="Positive 3 12 22" xfId="26670" xr:uid="{00000000-0005-0000-0000-00003B680000}"/>
    <cellStyle name="Positive 3 12 22 2" xfId="26671" xr:uid="{00000000-0005-0000-0000-00003C680000}"/>
    <cellStyle name="Positive 3 12 23" xfId="26672" xr:uid="{00000000-0005-0000-0000-00003D680000}"/>
    <cellStyle name="Positive 3 12 3" xfId="26673" xr:uid="{00000000-0005-0000-0000-00003E680000}"/>
    <cellStyle name="Positive 3 12 3 10" xfId="26674" xr:uid="{00000000-0005-0000-0000-00003F680000}"/>
    <cellStyle name="Positive 3 12 3 10 2" xfId="26675" xr:uid="{00000000-0005-0000-0000-000040680000}"/>
    <cellStyle name="Positive 3 12 3 11" xfId="26676" xr:uid="{00000000-0005-0000-0000-000041680000}"/>
    <cellStyle name="Positive 3 12 3 11 2" xfId="26677" xr:uid="{00000000-0005-0000-0000-000042680000}"/>
    <cellStyle name="Positive 3 12 3 12" xfId="26678" xr:uid="{00000000-0005-0000-0000-000043680000}"/>
    <cellStyle name="Positive 3 12 3 12 2" xfId="26679" xr:uid="{00000000-0005-0000-0000-000044680000}"/>
    <cellStyle name="Positive 3 12 3 13" xfId="26680" xr:uid="{00000000-0005-0000-0000-000045680000}"/>
    <cellStyle name="Positive 3 12 3 13 2" xfId="26681" xr:uid="{00000000-0005-0000-0000-000046680000}"/>
    <cellStyle name="Positive 3 12 3 14" xfId="26682" xr:uid="{00000000-0005-0000-0000-000047680000}"/>
    <cellStyle name="Positive 3 12 3 14 2" xfId="26683" xr:uid="{00000000-0005-0000-0000-000048680000}"/>
    <cellStyle name="Positive 3 12 3 15" xfId="26684" xr:uid="{00000000-0005-0000-0000-000049680000}"/>
    <cellStyle name="Positive 3 12 3 15 2" xfId="26685" xr:uid="{00000000-0005-0000-0000-00004A680000}"/>
    <cellStyle name="Positive 3 12 3 16" xfId="26686" xr:uid="{00000000-0005-0000-0000-00004B680000}"/>
    <cellStyle name="Positive 3 12 3 16 2" xfId="26687" xr:uid="{00000000-0005-0000-0000-00004C680000}"/>
    <cellStyle name="Positive 3 12 3 17" xfId="26688" xr:uid="{00000000-0005-0000-0000-00004D680000}"/>
    <cellStyle name="Positive 3 12 3 17 2" xfId="26689" xr:uid="{00000000-0005-0000-0000-00004E680000}"/>
    <cellStyle name="Positive 3 12 3 18" xfId="26690" xr:uid="{00000000-0005-0000-0000-00004F680000}"/>
    <cellStyle name="Positive 3 12 3 18 2" xfId="26691" xr:uid="{00000000-0005-0000-0000-000050680000}"/>
    <cellStyle name="Positive 3 12 3 19" xfId="26692" xr:uid="{00000000-0005-0000-0000-000051680000}"/>
    <cellStyle name="Positive 3 12 3 19 2" xfId="26693" xr:uid="{00000000-0005-0000-0000-000052680000}"/>
    <cellStyle name="Positive 3 12 3 2" xfId="26694" xr:uid="{00000000-0005-0000-0000-000053680000}"/>
    <cellStyle name="Positive 3 12 3 2 10" xfId="26695" xr:uid="{00000000-0005-0000-0000-000054680000}"/>
    <cellStyle name="Positive 3 12 3 2 10 2" xfId="26696" xr:uid="{00000000-0005-0000-0000-000055680000}"/>
    <cellStyle name="Positive 3 12 3 2 11" xfId="26697" xr:uid="{00000000-0005-0000-0000-000056680000}"/>
    <cellStyle name="Positive 3 12 3 2 11 2" xfId="26698" xr:uid="{00000000-0005-0000-0000-000057680000}"/>
    <cellStyle name="Positive 3 12 3 2 12" xfId="26699" xr:uid="{00000000-0005-0000-0000-000058680000}"/>
    <cellStyle name="Positive 3 12 3 2 12 2" xfId="26700" xr:uid="{00000000-0005-0000-0000-000059680000}"/>
    <cellStyle name="Positive 3 12 3 2 13" xfId="26701" xr:uid="{00000000-0005-0000-0000-00005A680000}"/>
    <cellStyle name="Positive 3 12 3 2 13 2" xfId="26702" xr:uid="{00000000-0005-0000-0000-00005B680000}"/>
    <cellStyle name="Positive 3 12 3 2 14" xfId="26703" xr:uid="{00000000-0005-0000-0000-00005C680000}"/>
    <cellStyle name="Positive 3 12 3 2 14 2" xfId="26704" xr:uid="{00000000-0005-0000-0000-00005D680000}"/>
    <cellStyle name="Positive 3 12 3 2 15" xfId="26705" xr:uid="{00000000-0005-0000-0000-00005E680000}"/>
    <cellStyle name="Positive 3 12 3 2 15 2" xfId="26706" xr:uid="{00000000-0005-0000-0000-00005F680000}"/>
    <cellStyle name="Positive 3 12 3 2 16" xfId="26707" xr:uid="{00000000-0005-0000-0000-000060680000}"/>
    <cellStyle name="Positive 3 12 3 2 16 2" xfId="26708" xr:uid="{00000000-0005-0000-0000-000061680000}"/>
    <cellStyle name="Positive 3 12 3 2 17" xfId="26709" xr:uid="{00000000-0005-0000-0000-000062680000}"/>
    <cellStyle name="Positive 3 12 3 2 2" xfId="26710" xr:uid="{00000000-0005-0000-0000-000063680000}"/>
    <cellStyle name="Positive 3 12 3 2 2 2" xfId="26711" xr:uid="{00000000-0005-0000-0000-000064680000}"/>
    <cellStyle name="Positive 3 12 3 2 3" xfId="26712" xr:uid="{00000000-0005-0000-0000-000065680000}"/>
    <cellStyle name="Positive 3 12 3 2 3 2" xfId="26713" xr:uid="{00000000-0005-0000-0000-000066680000}"/>
    <cellStyle name="Positive 3 12 3 2 4" xfId="26714" xr:uid="{00000000-0005-0000-0000-000067680000}"/>
    <cellStyle name="Positive 3 12 3 2 4 2" xfId="26715" xr:uid="{00000000-0005-0000-0000-000068680000}"/>
    <cellStyle name="Positive 3 12 3 2 5" xfId="26716" xr:uid="{00000000-0005-0000-0000-000069680000}"/>
    <cellStyle name="Positive 3 12 3 2 5 2" xfId="26717" xr:uid="{00000000-0005-0000-0000-00006A680000}"/>
    <cellStyle name="Positive 3 12 3 2 6" xfId="26718" xr:uid="{00000000-0005-0000-0000-00006B680000}"/>
    <cellStyle name="Positive 3 12 3 2 6 2" xfId="26719" xr:uid="{00000000-0005-0000-0000-00006C680000}"/>
    <cellStyle name="Positive 3 12 3 2 7" xfId="26720" xr:uid="{00000000-0005-0000-0000-00006D680000}"/>
    <cellStyle name="Positive 3 12 3 2 7 2" xfId="26721" xr:uid="{00000000-0005-0000-0000-00006E680000}"/>
    <cellStyle name="Positive 3 12 3 2 8" xfId="26722" xr:uid="{00000000-0005-0000-0000-00006F680000}"/>
    <cellStyle name="Positive 3 12 3 2 8 2" xfId="26723" xr:uid="{00000000-0005-0000-0000-000070680000}"/>
    <cellStyle name="Positive 3 12 3 2 9" xfId="26724" xr:uid="{00000000-0005-0000-0000-000071680000}"/>
    <cellStyle name="Positive 3 12 3 2 9 2" xfId="26725" xr:uid="{00000000-0005-0000-0000-000072680000}"/>
    <cellStyle name="Positive 3 12 3 20" xfId="26726" xr:uid="{00000000-0005-0000-0000-000073680000}"/>
    <cellStyle name="Positive 3 12 3 3" xfId="26727" xr:uid="{00000000-0005-0000-0000-000074680000}"/>
    <cellStyle name="Positive 3 12 3 3 2" xfId="26728" xr:uid="{00000000-0005-0000-0000-000075680000}"/>
    <cellStyle name="Positive 3 12 3 3 2 2" xfId="26729" xr:uid="{00000000-0005-0000-0000-000076680000}"/>
    <cellStyle name="Positive 3 12 3 3 3" xfId="26730" xr:uid="{00000000-0005-0000-0000-000077680000}"/>
    <cellStyle name="Positive 3 12 3 4" xfId="26731" xr:uid="{00000000-0005-0000-0000-000078680000}"/>
    <cellStyle name="Positive 3 12 3 4 2" xfId="26732" xr:uid="{00000000-0005-0000-0000-000079680000}"/>
    <cellStyle name="Positive 3 12 3 4 2 2" xfId="26733" xr:uid="{00000000-0005-0000-0000-00007A680000}"/>
    <cellStyle name="Positive 3 12 3 4 3" xfId="26734" xr:uid="{00000000-0005-0000-0000-00007B680000}"/>
    <cellStyle name="Positive 3 12 3 5" xfId="26735" xr:uid="{00000000-0005-0000-0000-00007C680000}"/>
    <cellStyle name="Positive 3 12 3 5 2" xfId="26736" xr:uid="{00000000-0005-0000-0000-00007D680000}"/>
    <cellStyle name="Positive 3 12 3 6" xfId="26737" xr:uid="{00000000-0005-0000-0000-00007E680000}"/>
    <cellStyle name="Positive 3 12 3 6 2" xfId="26738" xr:uid="{00000000-0005-0000-0000-00007F680000}"/>
    <cellStyle name="Positive 3 12 3 7" xfId="26739" xr:uid="{00000000-0005-0000-0000-000080680000}"/>
    <cellStyle name="Positive 3 12 3 7 2" xfId="26740" xr:uid="{00000000-0005-0000-0000-000081680000}"/>
    <cellStyle name="Positive 3 12 3 8" xfId="26741" xr:uid="{00000000-0005-0000-0000-000082680000}"/>
    <cellStyle name="Positive 3 12 3 8 2" xfId="26742" xr:uid="{00000000-0005-0000-0000-000083680000}"/>
    <cellStyle name="Positive 3 12 3 9" xfId="26743" xr:uid="{00000000-0005-0000-0000-000084680000}"/>
    <cellStyle name="Positive 3 12 3 9 2" xfId="26744" xr:uid="{00000000-0005-0000-0000-000085680000}"/>
    <cellStyle name="Positive 3 12 4" xfId="26745" xr:uid="{00000000-0005-0000-0000-000086680000}"/>
    <cellStyle name="Positive 3 12 4 10" xfId="26746" xr:uid="{00000000-0005-0000-0000-000087680000}"/>
    <cellStyle name="Positive 3 12 4 10 2" xfId="26747" xr:uid="{00000000-0005-0000-0000-000088680000}"/>
    <cellStyle name="Positive 3 12 4 11" xfId="26748" xr:uid="{00000000-0005-0000-0000-000089680000}"/>
    <cellStyle name="Positive 3 12 4 11 2" xfId="26749" xr:uid="{00000000-0005-0000-0000-00008A680000}"/>
    <cellStyle name="Positive 3 12 4 12" xfId="26750" xr:uid="{00000000-0005-0000-0000-00008B680000}"/>
    <cellStyle name="Positive 3 12 4 12 2" xfId="26751" xr:uid="{00000000-0005-0000-0000-00008C680000}"/>
    <cellStyle name="Positive 3 12 4 13" xfId="26752" xr:uid="{00000000-0005-0000-0000-00008D680000}"/>
    <cellStyle name="Positive 3 12 4 13 2" xfId="26753" xr:uid="{00000000-0005-0000-0000-00008E680000}"/>
    <cellStyle name="Positive 3 12 4 14" xfId="26754" xr:uid="{00000000-0005-0000-0000-00008F680000}"/>
    <cellStyle name="Positive 3 12 4 14 2" xfId="26755" xr:uid="{00000000-0005-0000-0000-000090680000}"/>
    <cellStyle name="Positive 3 12 4 15" xfId="26756" xr:uid="{00000000-0005-0000-0000-000091680000}"/>
    <cellStyle name="Positive 3 12 4 15 2" xfId="26757" xr:uid="{00000000-0005-0000-0000-000092680000}"/>
    <cellStyle name="Positive 3 12 4 16" xfId="26758" xr:uid="{00000000-0005-0000-0000-000093680000}"/>
    <cellStyle name="Positive 3 12 4 16 2" xfId="26759" xr:uid="{00000000-0005-0000-0000-000094680000}"/>
    <cellStyle name="Positive 3 12 4 17" xfId="26760" xr:uid="{00000000-0005-0000-0000-000095680000}"/>
    <cellStyle name="Positive 3 12 4 17 2" xfId="26761" xr:uid="{00000000-0005-0000-0000-000096680000}"/>
    <cellStyle name="Positive 3 12 4 18" xfId="26762" xr:uid="{00000000-0005-0000-0000-000097680000}"/>
    <cellStyle name="Positive 3 12 4 18 2" xfId="26763" xr:uid="{00000000-0005-0000-0000-000098680000}"/>
    <cellStyle name="Positive 3 12 4 19" xfId="26764" xr:uid="{00000000-0005-0000-0000-000099680000}"/>
    <cellStyle name="Positive 3 12 4 19 2" xfId="26765" xr:uid="{00000000-0005-0000-0000-00009A680000}"/>
    <cellStyle name="Positive 3 12 4 2" xfId="26766" xr:uid="{00000000-0005-0000-0000-00009B680000}"/>
    <cellStyle name="Positive 3 12 4 2 10" xfId="26767" xr:uid="{00000000-0005-0000-0000-00009C680000}"/>
    <cellStyle name="Positive 3 12 4 2 10 2" xfId="26768" xr:uid="{00000000-0005-0000-0000-00009D680000}"/>
    <cellStyle name="Positive 3 12 4 2 11" xfId="26769" xr:uid="{00000000-0005-0000-0000-00009E680000}"/>
    <cellStyle name="Positive 3 12 4 2 11 2" xfId="26770" xr:uid="{00000000-0005-0000-0000-00009F680000}"/>
    <cellStyle name="Positive 3 12 4 2 12" xfId="26771" xr:uid="{00000000-0005-0000-0000-0000A0680000}"/>
    <cellStyle name="Positive 3 12 4 2 12 2" xfId="26772" xr:uid="{00000000-0005-0000-0000-0000A1680000}"/>
    <cellStyle name="Positive 3 12 4 2 13" xfId="26773" xr:uid="{00000000-0005-0000-0000-0000A2680000}"/>
    <cellStyle name="Positive 3 12 4 2 13 2" xfId="26774" xr:uid="{00000000-0005-0000-0000-0000A3680000}"/>
    <cellStyle name="Positive 3 12 4 2 14" xfId="26775" xr:uid="{00000000-0005-0000-0000-0000A4680000}"/>
    <cellStyle name="Positive 3 12 4 2 14 2" xfId="26776" xr:uid="{00000000-0005-0000-0000-0000A5680000}"/>
    <cellStyle name="Positive 3 12 4 2 15" xfId="26777" xr:uid="{00000000-0005-0000-0000-0000A6680000}"/>
    <cellStyle name="Positive 3 12 4 2 15 2" xfId="26778" xr:uid="{00000000-0005-0000-0000-0000A7680000}"/>
    <cellStyle name="Positive 3 12 4 2 16" xfId="26779" xr:uid="{00000000-0005-0000-0000-0000A8680000}"/>
    <cellStyle name="Positive 3 12 4 2 16 2" xfId="26780" xr:uid="{00000000-0005-0000-0000-0000A9680000}"/>
    <cellStyle name="Positive 3 12 4 2 17" xfId="26781" xr:uid="{00000000-0005-0000-0000-0000AA680000}"/>
    <cellStyle name="Positive 3 12 4 2 2" xfId="26782" xr:uid="{00000000-0005-0000-0000-0000AB680000}"/>
    <cellStyle name="Positive 3 12 4 2 2 2" xfId="26783" xr:uid="{00000000-0005-0000-0000-0000AC680000}"/>
    <cellStyle name="Positive 3 12 4 2 3" xfId="26784" xr:uid="{00000000-0005-0000-0000-0000AD680000}"/>
    <cellStyle name="Positive 3 12 4 2 3 2" xfId="26785" xr:uid="{00000000-0005-0000-0000-0000AE680000}"/>
    <cellStyle name="Positive 3 12 4 2 4" xfId="26786" xr:uid="{00000000-0005-0000-0000-0000AF680000}"/>
    <cellStyle name="Positive 3 12 4 2 4 2" xfId="26787" xr:uid="{00000000-0005-0000-0000-0000B0680000}"/>
    <cellStyle name="Positive 3 12 4 2 5" xfId="26788" xr:uid="{00000000-0005-0000-0000-0000B1680000}"/>
    <cellStyle name="Positive 3 12 4 2 5 2" xfId="26789" xr:uid="{00000000-0005-0000-0000-0000B2680000}"/>
    <cellStyle name="Positive 3 12 4 2 6" xfId="26790" xr:uid="{00000000-0005-0000-0000-0000B3680000}"/>
    <cellStyle name="Positive 3 12 4 2 6 2" xfId="26791" xr:uid="{00000000-0005-0000-0000-0000B4680000}"/>
    <cellStyle name="Positive 3 12 4 2 7" xfId="26792" xr:uid="{00000000-0005-0000-0000-0000B5680000}"/>
    <cellStyle name="Positive 3 12 4 2 7 2" xfId="26793" xr:uid="{00000000-0005-0000-0000-0000B6680000}"/>
    <cellStyle name="Positive 3 12 4 2 8" xfId="26794" xr:uid="{00000000-0005-0000-0000-0000B7680000}"/>
    <cellStyle name="Positive 3 12 4 2 8 2" xfId="26795" xr:uid="{00000000-0005-0000-0000-0000B8680000}"/>
    <cellStyle name="Positive 3 12 4 2 9" xfId="26796" xr:uid="{00000000-0005-0000-0000-0000B9680000}"/>
    <cellStyle name="Positive 3 12 4 2 9 2" xfId="26797" xr:uid="{00000000-0005-0000-0000-0000BA680000}"/>
    <cellStyle name="Positive 3 12 4 20" xfId="26798" xr:uid="{00000000-0005-0000-0000-0000BB680000}"/>
    <cellStyle name="Positive 3 12 4 3" xfId="26799" xr:uid="{00000000-0005-0000-0000-0000BC680000}"/>
    <cellStyle name="Positive 3 12 4 3 2" xfId="26800" xr:uid="{00000000-0005-0000-0000-0000BD680000}"/>
    <cellStyle name="Positive 3 12 4 3 2 2" xfId="26801" xr:uid="{00000000-0005-0000-0000-0000BE680000}"/>
    <cellStyle name="Positive 3 12 4 3 3" xfId="26802" xr:uid="{00000000-0005-0000-0000-0000BF680000}"/>
    <cellStyle name="Positive 3 12 4 4" xfId="26803" xr:uid="{00000000-0005-0000-0000-0000C0680000}"/>
    <cellStyle name="Positive 3 12 4 4 2" xfId="26804" xr:uid="{00000000-0005-0000-0000-0000C1680000}"/>
    <cellStyle name="Positive 3 12 4 4 2 2" xfId="26805" xr:uid="{00000000-0005-0000-0000-0000C2680000}"/>
    <cellStyle name="Positive 3 12 4 4 3" xfId="26806" xr:uid="{00000000-0005-0000-0000-0000C3680000}"/>
    <cellStyle name="Positive 3 12 4 5" xfId="26807" xr:uid="{00000000-0005-0000-0000-0000C4680000}"/>
    <cellStyle name="Positive 3 12 4 5 2" xfId="26808" xr:uid="{00000000-0005-0000-0000-0000C5680000}"/>
    <cellStyle name="Positive 3 12 4 6" xfId="26809" xr:uid="{00000000-0005-0000-0000-0000C6680000}"/>
    <cellStyle name="Positive 3 12 4 6 2" xfId="26810" xr:uid="{00000000-0005-0000-0000-0000C7680000}"/>
    <cellStyle name="Positive 3 12 4 7" xfId="26811" xr:uid="{00000000-0005-0000-0000-0000C8680000}"/>
    <cellStyle name="Positive 3 12 4 7 2" xfId="26812" xr:uid="{00000000-0005-0000-0000-0000C9680000}"/>
    <cellStyle name="Positive 3 12 4 8" xfId="26813" xr:uid="{00000000-0005-0000-0000-0000CA680000}"/>
    <cellStyle name="Positive 3 12 4 8 2" xfId="26814" xr:uid="{00000000-0005-0000-0000-0000CB680000}"/>
    <cellStyle name="Positive 3 12 4 9" xfId="26815" xr:uid="{00000000-0005-0000-0000-0000CC680000}"/>
    <cellStyle name="Positive 3 12 4 9 2" xfId="26816" xr:uid="{00000000-0005-0000-0000-0000CD680000}"/>
    <cellStyle name="Positive 3 12 5" xfId="26817" xr:uid="{00000000-0005-0000-0000-0000CE680000}"/>
    <cellStyle name="Positive 3 12 5 10" xfId="26818" xr:uid="{00000000-0005-0000-0000-0000CF680000}"/>
    <cellStyle name="Positive 3 12 5 10 2" xfId="26819" xr:uid="{00000000-0005-0000-0000-0000D0680000}"/>
    <cellStyle name="Positive 3 12 5 11" xfId="26820" xr:uid="{00000000-0005-0000-0000-0000D1680000}"/>
    <cellStyle name="Positive 3 12 5 11 2" xfId="26821" xr:uid="{00000000-0005-0000-0000-0000D2680000}"/>
    <cellStyle name="Positive 3 12 5 12" xfId="26822" xr:uid="{00000000-0005-0000-0000-0000D3680000}"/>
    <cellStyle name="Positive 3 12 5 12 2" xfId="26823" xr:uid="{00000000-0005-0000-0000-0000D4680000}"/>
    <cellStyle name="Positive 3 12 5 13" xfId="26824" xr:uid="{00000000-0005-0000-0000-0000D5680000}"/>
    <cellStyle name="Positive 3 12 5 13 2" xfId="26825" xr:uid="{00000000-0005-0000-0000-0000D6680000}"/>
    <cellStyle name="Positive 3 12 5 14" xfId="26826" xr:uid="{00000000-0005-0000-0000-0000D7680000}"/>
    <cellStyle name="Positive 3 12 5 14 2" xfId="26827" xr:uid="{00000000-0005-0000-0000-0000D8680000}"/>
    <cellStyle name="Positive 3 12 5 15" xfId="26828" xr:uid="{00000000-0005-0000-0000-0000D9680000}"/>
    <cellStyle name="Positive 3 12 5 15 2" xfId="26829" xr:uid="{00000000-0005-0000-0000-0000DA680000}"/>
    <cellStyle name="Positive 3 12 5 16" xfId="26830" xr:uid="{00000000-0005-0000-0000-0000DB680000}"/>
    <cellStyle name="Positive 3 12 5 16 2" xfId="26831" xr:uid="{00000000-0005-0000-0000-0000DC680000}"/>
    <cellStyle name="Positive 3 12 5 17" xfId="26832" xr:uid="{00000000-0005-0000-0000-0000DD680000}"/>
    <cellStyle name="Positive 3 12 5 2" xfId="26833" xr:uid="{00000000-0005-0000-0000-0000DE680000}"/>
    <cellStyle name="Positive 3 12 5 2 2" xfId="26834" xr:uid="{00000000-0005-0000-0000-0000DF680000}"/>
    <cellStyle name="Positive 3 12 5 3" xfId="26835" xr:uid="{00000000-0005-0000-0000-0000E0680000}"/>
    <cellStyle name="Positive 3 12 5 3 2" xfId="26836" xr:uid="{00000000-0005-0000-0000-0000E1680000}"/>
    <cellStyle name="Positive 3 12 5 4" xfId="26837" xr:uid="{00000000-0005-0000-0000-0000E2680000}"/>
    <cellStyle name="Positive 3 12 5 4 2" xfId="26838" xr:uid="{00000000-0005-0000-0000-0000E3680000}"/>
    <cellStyle name="Positive 3 12 5 5" xfId="26839" xr:uid="{00000000-0005-0000-0000-0000E4680000}"/>
    <cellStyle name="Positive 3 12 5 5 2" xfId="26840" xr:uid="{00000000-0005-0000-0000-0000E5680000}"/>
    <cellStyle name="Positive 3 12 5 6" xfId="26841" xr:uid="{00000000-0005-0000-0000-0000E6680000}"/>
    <cellStyle name="Positive 3 12 5 6 2" xfId="26842" xr:uid="{00000000-0005-0000-0000-0000E7680000}"/>
    <cellStyle name="Positive 3 12 5 7" xfId="26843" xr:uid="{00000000-0005-0000-0000-0000E8680000}"/>
    <cellStyle name="Positive 3 12 5 7 2" xfId="26844" xr:uid="{00000000-0005-0000-0000-0000E9680000}"/>
    <cellStyle name="Positive 3 12 5 8" xfId="26845" xr:uid="{00000000-0005-0000-0000-0000EA680000}"/>
    <cellStyle name="Positive 3 12 5 8 2" xfId="26846" xr:uid="{00000000-0005-0000-0000-0000EB680000}"/>
    <cellStyle name="Positive 3 12 5 9" xfId="26847" xr:uid="{00000000-0005-0000-0000-0000EC680000}"/>
    <cellStyle name="Positive 3 12 5 9 2" xfId="26848" xr:uid="{00000000-0005-0000-0000-0000ED680000}"/>
    <cellStyle name="Positive 3 12 6" xfId="26849" xr:uid="{00000000-0005-0000-0000-0000EE680000}"/>
    <cellStyle name="Positive 3 12 6 2" xfId="26850" xr:uid="{00000000-0005-0000-0000-0000EF680000}"/>
    <cellStyle name="Positive 3 12 6 2 2" xfId="26851" xr:uid="{00000000-0005-0000-0000-0000F0680000}"/>
    <cellStyle name="Positive 3 12 6 3" xfId="26852" xr:uid="{00000000-0005-0000-0000-0000F1680000}"/>
    <cellStyle name="Positive 3 12 7" xfId="26853" xr:uid="{00000000-0005-0000-0000-0000F2680000}"/>
    <cellStyle name="Positive 3 12 7 2" xfId="26854" xr:uid="{00000000-0005-0000-0000-0000F3680000}"/>
    <cellStyle name="Positive 3 12 7 2 2" xfId="26855" xr:uid="{00000000-0005-0000-0000-0000F4680000}"/>
    <cellStyle name="Positive 3 12 7 3" xfId="26856" xr:uid="{00000000-0005-0000-0000-0000F5680000}"/>
    <cellStyle name="Positive 3 12 8" xfId="26857" xr:uid="{00000000-0005-0000-0000-0000F6680000}"/>
    <cellStyle name="Positive 3 12 8 2" xfId="26858" xr:uid="{00000000-0005-0000-0000-0000F7680000}"/>
    <cellStyle name="Positive 3 12 9" xfId="26859" xr:uid="{00000000-0005-0000-0000-0000F8680000}"/>
    <cellStyle name="Positive 3 12 9 2" xfId="26860" xr:uid="{00000000-0005-0000-0000-0000F9680000}"/>
    <cellStyle name="Positive 3 13" xfId="26861" xr:uid="{00000000-0005-0000-0000-0000FA680000}"/>
    <cellStyle name="Positive 3 13 10" xfId="26862" xr:uid="{00000000-0005-0000-0000-0000FB680000}"/>
    <cellStyle name="Positive 3 13 10 2" xfId="26863" xr:uid="{00000000-0005-0000-0000-0000FC680000}"/>
    <cellStyle name="Positive 3 13 11" xfId="26864" xr:uid="{00000000-0005-0000-0000-0000FD680000}"/>
    <cellStyle name="Positive 3 13 11 2" xfId="26865" xr:uid="{00000000-0005-0000-0000-0000FE680000}"/>
    <cellStyle name="Positive 3 13 12" xfId="26866" xr:uid="{00000000-0005-0000-0000-0000FF680000}"/>
    <cellStyle name="Positive 3 13 12 2" xfId="26867" xr:uid="{00000000-0005-0000-0000-000000690000}"/>
    <cellStyle name="Positive 3 13 13" xfId="26868" xr:uid="{00000000-0005-0000-0000-000001690000}"/>
    <cellStyle name="Positive 3 13 13 2" xfId="26869" xr:uid="{00000000-0005-0000-0000-000002690000}"/>
    <cellStyle name="Positive 3 13 14" xfId="26870" xr:uid="{00000000-0005-0000-0000-000003690000}"/>
    <cellStyle name="Positive 3 13 14 2" xfId="26871" xr:uid="{00000000-0005-0000-0000-000004690000}"/>
    <cellStyle name="Positive 3 13 15" xfId="26872" xr:uid="{00000000-0005-0000-0000-000005690000}"/>
    <cellStyle name="Positive 3 13 15 2" xfId="26873" xr:uid="{00000000-0005-0000-0000-000006690000}"/>
    <cellStyle name="Positive 3 13 16" xfId="26874" xr:uid="{00000000-0005-0000-0000-000007690000}"/>
    <cellStyle name="Positive 3 13 16 2" xfId="26875" xr:uid="{00000000-0005-0000-0000-000008690000}"/>
    <cellStyle name="Positive 3 13 17" xfId="26876" xr:uid="{00000000-0005-0000-0000-000009690000}"/>
    <cellStyle name="Positive 3 13 17 2" xfId="26877" xr:uid="{00000000-0005-0000-0000-00000A690000}"/>
    <cellStyle name="Positive 3 13 18" xfId="26878" xr:uid="{00000000-0005-0000-0000-00000B690000}"/>
    <cellStyle name="Positive 3 13 18 2" xfId="26879" xr:uid="{00000000-0005-0000-0000-00000C690000}"/>
    <cellStyle name="Positive 3 13 19" xfId="26880" xr:uid="{00000000-0005-0000-0000-00000D690000}"/>
    <cellStyle name="Positive 3 13 19 2" xfId="26881" xr:uid="{00000000-0005-0000-0000-00000E690000}"/>
    <cellStyle name="Positive 3 13 2" xfId="26882" xr:uid="{00000000-0005-0000-0000-00000F690000}"/>
    <cellStyle name="Positive 3 13 2 10" xfId="26883" xr:uid="{00000000-0005-0000-0000-000010690000}"/>
    <cellStyle name="Positive 3 13 2 10 2" xfId="26884" xr:uid="{00000000-0005-0000-0000-000011690000}"/>
    <cellStyle name="Positive 3 13 2 11" xfId="26885" xr:uid="{00000000-0005-0000-0000-000012690000}"/>
    <cellStyle name="Positive 3 13 2 11 2" xfId="26886" xr:uid="{00000000-0005-0000-0000-000013690000}"/>
    <cellStyle name="Positive 3 13 2 12" xfId="26887" xr:uid="{00000000-0005-0000-0000-000014690000}"/>
    <cellStyle name="Positive 3 13 2 12 2" xfId="26888" xr:uid="{00000000-0005-0000-0000-000015690000}"/>
    <cellStyle name="Positive 3 13 2 13" xfId="26889" xr:uid="{00000000-0005-0000-0000-000016690000}"/>
    <cellStyle name="Positive 3 13 2 13 2" xfId="26890" xr:uid="{00000000-0005-0000-0000-000017690000}"/>
    <cellStyle name="Positive 3 13 2 14" xfId="26891" xr:uid="{00000000-0005-0000-0000-000018690000}"/>
    <cellStyle name="Positive 3 13 2 14 2" xfId="26892" xr:uid="{00000000-0005-0000-0000-000019690000}"/>
    <cellStyle name="Positive 3 13 2 15" xfId="26893" xr:uid="{00000000-0005-0000-0000-00001A690000}"/>
    <cellStyle name="Positive 3 13 2 15 2" xfId="26894" xr:uid="{00000000-0005-0000-0000-00001B690000}"/>
    <cellStyle name="Positive 3 13 2 16" xfId="26895" xr:uid="{00000000-0005-0000-0000-00001C690000}"/>
    <cellStyle name="Positive 3 13 2 16 2" xfId="26896" xr:uid="{00000000-0005-0000-0000-00001D690000}"/>
    <cellStyle name="Positive 3 13 2 17" xfId="26897" xr:uid="{00000000-0005-0000-0000-00001E690000}"/>
    <cellStyle name="Positive 3 13 2 17 2" xfId="26898" xr:uid="{00000000-0005-0000-0000-00001F690000}"/>
    <cellStyle name="Positive 3 13 2 18" xfId="26899" xr:uid="{00000000-0005-0000-0000-000020690000}"/>
    <cellStyle name="Positive 3 13 2 18 2" xfId="26900" xr:uid="{00000000-0005-0000-0000-000021690000}"/>
    <cellStyle name="Positive 3 13 2 19" xfId="26901" xr:uid="{00000000-0005-0000-0000-000022690000}"/>
    <cellStyle name="Positive 3 13 2 19 2" xfId="26902" xr:uid="{00000000-0005-0000-0000-000023690000}"/>
    <cellStyle name="Positive 3 13 2 2" xfId="26903" xr:uid="{00000000-0005-0000-0000-000024690000}"/>
    <cellStyle name="Positive 3 13 2 2 10" xfId="26904" xr:uid="{00000000-0005-0000-0000-000025690000}"/>
    <cellStyle name="Positive 3 13 2 2 10 2" xfId="26905" xr:uid="{00000000-0005-0000-0000-000026690000}"/>
    <cellStyle name="Positive 3 13 2 2 11" xfId="26906" xr:uid="{00000000-0005-0000-0000-000027690000}"/>
    <cellStyle name="Positive 3 13 2 2 11 2" xfId="26907" xr:uid="{00000000-0005-0000-0000-000028690000}"/>
    <cellStyle name="Positive 3 13 2 2 12" xfId="26908" xr:uid="{00000000-0005-0000-0000-000029690000}"/>
    <cellStyle name="Positive 3 13 2 2 12 2" xfId="26909" xr:uid="{00000000-0005-0000-0000-00002A690000}"/>
    <cellStyle name="Positive 3 13 2 2 13" xfId="26910" xr:uid="{00000000-0005-0000-0000-00002B690000}"/>
    <cellStyle name="Positive 3 13 2 2 13 2" xfId="26911" xr:uid="{00000000-0005-0000-0000-00002C690000}"/>
    <cellStyle name="Positive 3 13 2 2 14" xfId="26912" xr:uid="{00000000-0005-0000-0000-00002D690000}"/>
    <cellStyle name="Positive 3 13 2 2 14 2" xfId="26913" xr:uid="{00000000-0005-0000-0000-00002E690000}"/>
    <cellStyle name="Positive 3 13 2 2 15" xfId="26914" xr:uid="{00000000-0005-0000-0000-00002F690000}"/>
    <cellStyle name="Positive 3 13 2 2 15 2" xfId="26915" xr:uid="{00000000-0005-0000-0000-000030690000}"/>
    <cellStyle name="Positive 3 13 2 2 16" xfId="26916" xr:uid="{00000000-0005-0000-0000-000031690000}"/>
    <cellStyle name="Positive 3 13 2 2 16 2" xfId="26917" xr:uid="{00000000-0005-0000-0000-000032690000}"/>
    <cellStyle name="Positive 3 13 2 2 17" xfId="26918" xr:uid="{00000000-0005-0000-0000-000033690000}"/>
    <cellStyle name="Positive 3 13 2 2 2" xfId="26919" xr:uid="{00000000-0005-0000-0000-000034690000}"/>
    <cellStyle name="Positive 3 13 2 2 2 2" xfId="26920" xr:uid="{00000000-0005-0000-0000-000035690000}"/>
    <cellStyle name="Positive 3 13 2 2 3" xfId="26921" xr:uid="{00000000-0005-0000-0000-000036690000}"/>
    <cellStyle name="Positive 3 13 2 2 3 2" xfId="26922" xr:uid="{00000000-0005-0000-0000-000037690000}"/>
    <cellStyle name="Positive 3 13 2 2 4" xfId="26923" xr:uid="{00000000-0005-0000-0000-000038690000}"/>
    <cellStyle name="Positive 3 13 2 2 4 2" xfId="26924" xr:uid="{00000000-0005-0000-0000-000039690000}"/>
    <cellStyle name="Positive 3 13 2 2 5" xfId="26925" xr:uid="{00000000-0005-0000-0000-00003A690000}"/>
    <cellStyle name="Positive 3 13 2 2 5 2" xfId="26926" xr:uid="{00000000-0005-0000-0000-00003B690000}"/>
    <cellStyle name="Positive 3 13 2 2 6" xfId="26927" xr:uid="{00000000-0005-0000-0000-00003C690000}"/>
    <cellStyle name="Positive 3 13 2 2 6 2" xfId="26928" xr:uid="{00000000-0005-0000-0000-00003D690000}"/>
    <cellStyle name="Positive 3 13 2 2 7" xfId="26929" xr:uid="{00000000-0005-0000-0000-00003E690000}"/>
    <cellStyle name="Positive 3 13 2 2 7 2" xfId="26930" xr:uid="{00000000-0005-0000-0000-00003F690000}"/>
    <cellStyle name="Positive 3 13 2 2 8" xfId="26931" xr:uid="{00000000-0005-0000-0000-000040690000}"/>
    <cellStyle name="Positive 3 13 2 2 8 2" xfId="26932" xr:uid="{00000000-0005-0000-0000-000041690000}"/>
    <cellStyle name="Positive 3 13 2 2 9" xfId="26933" xr:uid="{00000000-0005-0000-0000-000042690000}"/>
    <cellStyle name="Positive 3 13 2 2 9 2" xfId="26934" xr:uid="{00000000-0005-0000-0000-000043690000}"/>
    <cellStyle name="Positive 3 13 2 20" xfId="26935" xr:uid="{00000000-0005-0000-0000-000044690000}"/>
    <cellStyle name="Positive 3 13 2 3" xfId="26936" xr:uid="{00000000-0005-0000-0000-000045690000}"/>
    <cellStyle name="Positive 3 13 2 3 2" xfId="26937" xr:uid="{00000000-0005-0000-0000-000046690000}"/>
    <cellStyle name="Positive 3 13 2 3 2 2" xfId="26938" xr:uid="{00000000-0005-0000-0000-000047690000}"/>
    <cellStyle name="Positive 3 13 2 3 3" xfId="26939" xr:uid="{00000000-0005-0000-0000-000048690000}"/>
    <cellStyle name="Positive 3 13 2 4" xfId="26940" xr:uid="{00000000-0005-0000-0000-000049690000}"/>
    <cellStyle name="Positive 3 13 2 4 2" xfId="26941" xr:uid="{00000000-0005-0000-0000-00004A690000}"/>
    <cellStyle name="Positive 3 13 2 4 2 2" xfId="26942" xr:uid="{00000000-0005-0000-0000-00004B690000}"/>
    <cellStyle name="Positive 3 13 2 4 3" xfId="26943" xr:uid="{00000000-0005-0000-0000-00004C690000}"/>
    <cellStyle name="Positive 3 13 2 5" xfId="26944" xr:uid="{00000000-0005-0000-0000-00004D690000}"/>
    <cellStyle name="Positive 3 13 2 5 2" xfId="26945" xr:uid="{00000000-0005-0000-0000-00004E690000}"/>
    <cellStyle name="Positive 3 13 2 6" xfId="26946" xr:uid="{00000000-0005-0000-0000-00004F690000}"/>
    <cellStyle name="Positive 3 13 2 6 2" xfId="26947" xr:uid="{00000000-0005-0000-0000-000050690000}"/>
    <cellStyle name="Positive 3 13 2 7" xfId="26948" xr:uid="{00000000-0005-0000-0000-000051690000}"/>
    <cellStyle name="Positive 3 13 2 7 2" xfId="26949" xr:uid="{00000000-0005-0000-0000-000052690000}"/>
    <cellStyle name="Positive 3 13 2 8" xfId="26950" xr:uid="{00000000-0005-0000-0000-000053690000}"/>
    <cellStyle name="Positive 3 13 2 8 2" xfId="26951" xr:uid="{00000000-0005-0000-0000-000054690000}"/>
    <cellStyle name="Positive 3 13 2 9" xfId="26952" xr:uid="{00000000-0005-0000-0000-000055690000}"/>
    <cellStyle name="Positive 3 13 2 9 2" xfId="26953" xr:uid="{00000000-0005-0000-0000-000056690000}"/>
    <cellStyle name="Positive 3 13 20" xfId="26954" xr:uid="{00000000-0005-0000-0000-000057690000}"/>
    <cellStyle name="Positive 3 13 20 2" xfId="26955" xr:uid="{00000000-0005-0000-0000-000058690000}"/>
    <cellStyle name="Positive 3 13 21" xfId="26956" xr:uid="{00000000-0005-0000-0000-000059690000}"/>
    <cellStyle name="Positive 3 13 21 2" xfId="26957" xr:uid="{00000000-0005-0000-0000-00005A690000}"/>
    <cellStyle name="Positive 3 13 22" xfId="26958" xr:uid="{00000000-0005-0000-0000-00005B690000}"/>
    <cellStyle name="Positive 3 13 22 2" xfId="26959" xr:uid="{00000000-0005-0000-0000-00005C690000}"/>
    <cellStyle name="Positive 3 13 23" xfId="26960" xr:uid="{00000000-0005-0000-0000-00005D690000}"/>
    <cellStyle name="Positive 3 13 3" xfId="26961" xr:uid="{00000000-0005-0000-0000-00005E690000}"/>
    <cellStyle name="Positive 3 13 3 10" xfId="26962" xr:uid="{00000000-0005-0000-0000-00005F690000}"/>
    <cellStyle name="Positive 3 13 3 10 2" xfId="26963" xr:uid="{00000000-0005-0000-0000-000060690000}"/>
    <cellStyle name="Positive 3 13 3 11" xfId="26964" xr:uid="{00000000-0005-0000-0000-000061690000}"/>
    <cellStyle name="Positive 3 13 3 11 2" xfId="26965" xr:uid="{00000000-0005-0000-0000-000062690000}"/>
    <cellStyle name="Positive 3 13 3 12" xfId="26966" xr:uid="{00000000-0005-0000-0000-000063690000}"/>
    <cellStyle name="Positive 3 13 3 12 2" xfId="26967" xr:uid="{00000000-0005-0000-0000-000064690000}"/>
    <cellStyle name="Positive 3 13 3 13" xfId="26968" xr:uid="{00000000-0005-0000-0000-000065690000}"/>
    <cellStyle name="Positive 3 13 3 13 2" xfId="26969" xr:uid="{00000000-0005-0000-0000-000066690000}"/>
    <cellStyle name="Positive 3 13 3 14" xfId="26970" xr:uid="{00000000-0005-0000-0000-000067690000}"/>
    <cellStyle name="Positive 3 13 3 14 2" xfId="26971" xr:uid="{00000000-0005-0000-0000-000068690000}"/>
    <cellStyle name="Positive 3 13 3 15" xfId="26972" xr:uid="{00000000-0005-0000-0000-000069690000}"/>
    <cellStyle name="Positive 3 13 3 15 2" xfId="26973" xr:uid="{00000000-0005-0000-0000-00006A690000}"/>
    <cellStyle name="Positive 3 13 3 16" xfId="26974" xr:uid="{00000000-0005-0000-0000-00006B690000}"/>
    <cellStyle name="Positive 3 13 3 16 2" xfId="26975" xr:uid="{00000000-0005-0000-0000-00006C690000}"/>
    <cellStyle name="Positive 3 13 3 17" xfId="26976" xr:uid="{00000000-0005-0000-0000-00006D690000}"/>
    <cellStyle name="Positive 3 13 3 17 2" xfId="26977" xr:uid="{00000000-0005-0000-0000-00006E690000}"/>
    <cellStyle name="Positive 3 13 3 18" xfId="26978" xr:uid="{00000000-0005-0000-0000-00006F690000}"/>
    <cellStyle name="Positive 3 13 3 18 2" xfId="26979" xr:uid="{00000000-0005-0000-0000-000070690000}"/>
    <cellStyle name="Positive 3 13 3 19" xfId="26980" xr:uid="{00000000-0005-0000-0000-000071690000}"/>
    <cellStyle name="Positive 3 13 3 19 2" xfId="26981" xr:uid="{00000000-0005-0000-0000-000072690000}"/>
    <cellStyle name="Positive 3 13 3 2" xfId="26982" xr:uid="{00000000-0005-0000-0000-000073690000}"/>
    <cellStyle name="Positive 3 13 3 2 10" xfId="26983" xr:uid="{00000000-0005-0000-0000-000074690000}"/>
    <cellStyle name="Positive 3 13 3 2 10 2" xfId="26984" xr:uid="{00000000-0005-0000-0000-000075690000}"/>
    <cellStyle name="Positive 3 13 3 2 11" xfId="26985" xr:uid="{00000000-0005-0000-0000-000076690000}"/>
    <cellStyle name="Positive 3 13 3 2 11 2" xfId="26986" xr:uid="{00000000-0005-0000-0000-000077690000}"/>
    <cellStyle name="Positive 3 13 3 2 12" xfId="26987" xr:uid="{00000000-0005-0000-0000-000078690000}"/>
    <cellStyle name="Positive 3 13 3 2 12 2" xfId="26988" xr:uid="{00000000-0005-0000-0000-000079690000}"/>
    <cellStyle name="Positive 3 13 3 2 13" xfId="26989" xr:uid="{00000000-0005-0000-0000-00007A690000}"/>
    <cellStyle name="Positive 3 13 3 2 13 2" xfId="26990" xr:uid="{00000000-0005-0000-0000-00007B690000}"/>
    <cellStyle name="Positive 3 13 3 2 14" xfId="26991" xr:uid="{00000000-0005-0000-0000-00007C690000}"/>
    <cellStyle name="Positive 3 13 3 2 14 2" xfId="26992" xr:uid="{00000000-0005-0000-0000-00007D690000}"/>
    <cellStyle name="Positive 3 13 3 2 15" xfId="26993" xr:uid="{00000000-0005-0000-0000-00007E690000}"/>
    <cellStyle name="Positive 3 13 3 2 15 2" xfId="26994" xr:uid="{00000000-0005-0000-0000-00007F690000}"/>
    <cellStyle name="Positive 3 13 3 2 16" xfId="26995" xr:uid="{00000000-0005-0000-0000-000080690000}"/>
    <cellStyle name="Positive 3 13 3 2 16 2" xfId="26996" xr:uid="{00000000-0005-0000-0000-000081690000}"/>
    <cellStyle name="Positive 3 13 3 2 17" xfId="26997" xr:uid="{00000000-0005-0000-0000-000082690000}"/>
    <cellStyle name="Positive 3 13 3 2 2" xfId="26998" xr:uid="{00000000-0005-0000-0000-000083690000}"/>
    <cellStyle name="Positive 3 13 3 2 2 2" xfId="26999" xr:uid="{00000000-0005-0000-0000-000084690000}"/>
    <cellStyle name="Positive 3 13 3 2 3" xfId="27000" xr:uid="{00000000-0005-0000-0000-000085690000}"/>
    <cellStyle name="Positive 3 13 3 2 3 2" xfId="27001" xr:uid="{00000000-0005-0000-0000-000086690000}"/>
    <cellStyle name="Positive 3 13 3 2 4" xfId="27002" xr:uid="{00000000-0005-0000-0000-000087690000}"/>
    <cellStyle name="Positive 3 13 3 2 4 2" xfId="27003" xr:uid="{00000000-0005-0000-0000-000088690000}"/>
    <cellStyle name="Positive 3 13 3 2 5" xfId="27004" xr:uid="{00000000-0005-0000-0000-000089690000}"/>
    <cellStyle name="Positive 3 13 3 2 5 2" xfId="27005" xr:uid="{00000000-0005-0000-0000-00008A690000}"/>
    <cellStyle name="Positive 3 13 3 2 6" xfId="27006" xr:uid="{00000000-0005-0000-0000-00008B690000}"/>
    <cellStyle name="Positive 3 13 3 2 6 2" xfId="27007" xr:uid="{00000000-0005-0000-0000-00008C690000}"/>
    <cellStyle name="Positive 3 13 3 2 7" xfId="27008" xr:uid="{00000000-0005-0000-0000-00008D690000}"/>
    <cellStyle name="Positive 3 13 3 2 7 2" xfId="27009" xr:uid="{00000000-0005-0000-0000-00008E690000}"/>
    <cellStyle name="Positive 3 13 3 2 8" xfId="27010" xr:uid="{00000000-0005-0000-0000-00008F690000}"/>
    <cellStyle name="Positive 3 13 3 2 8 2" xfId="27011" xr:uid="{00000000-0005-0000-0000-000090690000}"/>
    <cellStyle name="Positive 3 13 3 2 9" xfId="27012" xr:uid="{00000000-0005-0000-0000-000091690000}"/>
    <cellStyle name="Positive 3 13 3 2 9 2" xfId="27013" xr:uid="{00000000-0005-0000-0000-000092690000}"/>
    <cellStyle name="Positive 3 13 3 20" xfId="27014" xr:uid="{00000000-0005-0000-0000-000093690000}"/>
    <cellStyle name="Positive 3 13 3 3" xfId="27015" xr:uid="{00000000-0005-0000-0000-000094690000}"/>
    <cellStyle name="Positive 3 13 3 3 2" xfId="27016" xr:uid="{00000000-0005-0000-0000-000095690000}"/>
    <cellStyle name="Positive 3 13 3 3 2 2" xfId="27017" xr:uid="{00000000-0005-0000-0000-000096690000}"/>
    <cellStyle name="Positive 3 13 3 3 3" xfId="27018" xr:uid="{00000000-0005-0000-0000-000097690000}"/>
    <cellStyle name="Positive 3 13 3 4" xfId="27019" xr:uid="{00000000-0005-0000-0000-000098690000}"/>
    <cellStyle name="Positive 3 13 3 4 2" xfId="27020" xr:uid="{00000000-0005-0000-0000-000099690000}"/>
    <cellStyle name="Positive 3 13 3 4 2 2" xfId="27021" xr:uid="{00000000-0005-0000-0000-00009A690000}"/>
    <cellStyle name="Positive 3 13 3 4 3" xfId="27022" xr:uid="{00000000-0005-0000-0000-00009B690000}"/>
    <cellStyle name="Positive 3 13 3 5" xfId="27023" xr:uid="{00000000-0005-0000-0000-00009C690000}"/>
    <cellStyle name="Positive 3 13 3 5 2" xfId="27024" xr:uid="{00000000-0005-0000-0000-00009D690000}"/>
    <cellStyle name="Positive 3 13 3 6" xfId="27025" xr:uid="{00000000-0005-0000-0000-00009E690000}"/>
    <cellStyle name="Positive 3 13 3 6 2" xfId="27026" xr:uid="{00000000-0005-0000-0000-00009F690000}"/>
    <cellStyle name="Positive 3 13 3 7" xfId="27027" xr:uid="{00000000-0005-0000-0000-0000A0690000}"/>
    <cellStyle name="Positive 3 13 3 7 2" xfId="27028" xr:uid="{00000000-0005-0000-0000-0000A1690000}"/>
    <cellStyle name="Positive 3 13 3 8" xfId="27029" xr:uid="{00000000-0005-0000-0000-0000A2690000}"/>
    <cellStyle name="Positive 3 13 3 8 2" xfId="27030" xr:uid="{00000000-0005-0000-0000-0000A3690000}"/>
    <cellStyle name="Positive 3 13 3 9" xfId="27031" xr:uid="{00000000-0005-0000-0000-0000A4690000}"/>
    <cellStyle name="Positive 3 13 3 9 2" xfId="27032" xr:uid="{00000000-0005-0000-0000-0000A5690000}"/>
    <cellStyle name="Positive 3 13 4" xfId="27033" xr:uid="{00000000-0005-0000-0000-0000A6690000}"/>
    <cellStyle name="Positive 3 13 4 10" xfId="27034" xr:uid="{00000000-0005-0000-0000-0000A7690000}"/>
    <cellStyle name="Positive 3 13 4 10 2" xfId="27035" xr:uid="{00000000-0005-0000-0000-0000A8690000}"/>
    <cellStyle name="Positive 3 13 4 11" xfId="27036" xr:uid="{00000000-0005-0000-0000-0000A9690000}"/>
    <cellStyle name="Positive 3 13 4 11 2" xfId="27037" xr:uid="{00000000-0005-0000-0000-0000AA690000}"/>
    <cellStyle name="Positive 3 13 4 12" xfId="27038" xr:uid="{00000000-0005-0000-0000-0000AB690000}"/>
    <cellStyle name="Positive 3 13 4 12 2" xfId="27039" xr:uid="{00000000-0005-0000-0000-0000AC690000}"/>
    <cellStyle name="Positive 3 13 4 13" xfId="27040" xr:uid="{00000000-0005-0000-0000-0000AD690000}"/>
    <cellStyle name="Positive 3 13 4 13 2" xfId="27041" xr:uid="{00000000-0005-0000-0000-0000AE690000}"/>
    <cellStyle name="Positive 3 13 4 14" xfId="27042" xr:uid="{00000000-0005-0000-0000-0000AF690000}"/>
    <cellStyle name="Positive 3 13 4 14 2" xfId="27043" xr:uid="{00000000-0005-0000-0000-0000B0690000}"/>
    <cellStyle name="Positive 3 13 4 15" xfId="27044" xr:uid="{00000000-0005-0000-0000-0000B1690000}"/>
    <cellStyle name="Positive 3 13 4 15 2" xfId="27045" xr:uid="{00000000-0005-0000-0000-0000B2690000}"/>
    <cellStyle name="Positive 3 13 4 16" xfId="27046" xr:uid="{00000000-0005-0000-0000-0000B3690000}"/>
    <cellStyle name="Positive 3 13 4 16 2" xfId="27047" xr:uid="{00000000-0005-0000-0000-0000B4690000}"/>
    <cellStyle name="Positive 3 13 4 17" xfId="27048" xr:uid="{00000000-0005-0000-0000-0000B5690000}"/>
    <cellStyle name="Positive 3 13 4 17 2" xfId="27049" xr:uid="{00000000-0005-0000-0000-0000B6690000}"/>
    <cellStyle name="Positive 3 13 4 18" xfId="27050" xr:uid="{00000000-0005-0000-0000-0000B7690000}"/>
    <cellStyle name="Positive 3 13 4 18 2" xfId="27051" xr:uid="{00000000-0005-0000-0000-0000B8690000}"/>
    <cellStyle name="Positive 3 13 4 19" xfId="27052" xr:uid="{00000000-0005-0000-0000-0000B9690000}"/>
    <cellStyle name="Positive 3 13 4 19 2" xfId="27053" xr:uid="{00000000-0005-0000-0000-0000BA690000}"/>
    <cellStyle name="Positive 3 13 4 2" xfId="27054" xr:uid="{00000000-0005-0000-0000-0000BB690000}"/>
    <cellStyle name="Positive 3 13 4 2 10" xfId="27055" xr:uid="{00000000-0005-0000-0000-0000BC690000}"/>
    <cellStyle name="Positive 3 13 4 2 10 2" xfId="27056" xr:uid="{00000000-0005-0000-0000-0000BD690000}"/>
    <cellStyle name="Positive 3 13 4 2 11" xfId="27057" xr:uid="{00000000-0005-0000-0000-0000BE690000}"/>
    <cellStyle name="Positive 3 13 4 2 11 2" xfId="27058" xr:uid="{00000000-0005-0000-0000-0000BF690000}"/>
    <cellStyle name="Positive 3 13 4 2 12" xfId="27059" xr:uid="{00000000-0005-0000-0000-0000C0690000}"/>
    <cellStyle name="Positive 3 13 4 2 12 2" xfId="27060" xr:uid="{00000000-0005-0000-0000-0000C1690000}"/>
    <cellStyle name="Positive 3 13 4 2 13" xfId="27061" xr:uid="{00000000-0005-0000-0000-0000C2690000}"/>
    <cellStyle name="Positive 3 13 4 2 13 2" xfId="27062" xr:uid="{00000000-0005-0000-0000-0000C3690000}"/>
    <cellStyle name="Positive 3 13 4 2 14" xfId="27063" xr:uid="{00000000-0005-0000-0000-0000C4690000}"/>
    <cellStyle name="Positive 3 13 4 2 14 2" xfId="27064" xr:uid="{00000000-0005-0000-0000-0000C5690000}"/>
    <cellStyle name="Positive 3 13 4 2 15" xfId="27065" xr:uid="{00000000-0005-0000-0000-0000C6690000}"/>
    <cellStyle name="Positive 3 13 4 2 15 2" xfId="27066" xr:uid="{00000000-0005-0000-0000-0000C7690000}"/>
    <cellStyle name="Positive 3 13 4 2 16" xfId="27067" xr:uid="{00000000-0005-0000-0000-0000C8690000}"/>
    <cellStyle name="Positive 3 13 4 2 16 2" xfId="27068" xr:uid="{00000000-0005-0000-0000-0000C9690000}"/>
    <cellStyle name="Positive 3 13 4 2 17" xfId="27069" xr:uid="{00000000-0005-0000-0000-0000CA690000}"/>
    <cellStyle name="Positive 3 13 4 2 2" xfId="27070" xr:uid="{00000000-0005-0000-0000-0000CB690000}"/>
    <cellStyle name="Positive 3 13 4 2 2 2" xfId="27071" xr:uid="{00000000-0005-0000-0000-0000CC690000}"/>
    <cellStyle name="Positive 3 13 4 2 3" xfId="27072" xr:uid="{00000000-0005-0000-0000-0000CD690000}"/>
    <cellStyle name="Positive 3 13 4 2 3 2" xfId="27073" xr:uid="{00000000-0005-0000-0000-0000CE690000}"/>
    <cellStyle name="Positive 3 13 4 2 4" xfId="27074" xr:uid="{00000000-0005-0000-0000-0000CF690000}"/>
    <cellStyle name="Positive 3 13 4 2 4 2" xfId="27075" xr:uid="{00000000-0005-0000-0000-0000D0690000}"/>
    <cellStyle name="Positive 3 13 4 2 5" xfId="27076" xr:uid="{00000000-0005-0000-0000-0000D1690000}"/>
    <cellStyle name="Positive 3 13 4 2 5 2" xfId="27077" xr:uid="{00000000-0005-0000-0000-0000D2690000}"/>
    <cellStyle name="Positive 3 13 4 2 6" xfId="27078" xr:uid="{00000000-0005-0000-0000-0000D3690000}"/>
    <cellStyle name="Positive 3 13 4 2 6 2" xfId="27079" xr:uid="{00000000-0005-0000-0000-0000D4690000}"/>
    <cellStyle name="Positive 3 13 4 2 7" xfId="27080" xr:uid="{00000000-0005-0000-0000-0000D5690000}"/>
    <cellStyle name="Positive 3 13 4 2 7 2" xfId="27081" xr:uid="{00000000-0005-0000-0000-0000D6690000}"/>
    <cellStyle name="Positive 3 13 4 2 8" xfId="27082" xr:uid="{00000000-0005-0000-0000-0000D7690000}"/>
    <cellStyle name="Positive 3 13 4 2 8 2" xfId="27083" xr:uid="{00000000-0005-0000-0000-0000D8690000}"/>
    <cellStyle name="Positive 3 13 4 2 9" xfId="27084" xr:uid="{00000000-0005-0000-0000-0000D9690000}"/>
    <cellStyle name="Positive 3 13 4 2 9 2" xfId="27085" xr:uid="{00000000-0005-0000-0000-0000DA690000}"/>
    <cellStyle name="Positive 3 13 4 20" xfId="27086" xr:uid="{00000000-0005-0000-0000-0000DB690000}"/>
    <cellStyle name="Positive 3 13 4 3" xfId="27087" xr:uid="{00000000-0005-0000-0000-0000DC690000}"/>
    <cellStyle name="Positive 3 13 4 3 2" xfId="27088" xr:uid="{00000000-0005-0000-0000-0000DD690000}"/>
    <cellStyle name="Positive 3 13 4 3 2 2" xfId="27089" xr:uid="{00000000-0005-0000-0000-0000DE690000}"/>
    <cellStyle name="Positive 3 13 4 3 3" xfId="27090" xr:uid="{00000000-0005-0000-0000-0000DF690000}"/>
    <cellStyle name="Positive 3 13 4 4" xfId="27091" xr:uid="{00000000-0005-0000-0000-0000E0690000}"/>
    <cellStyle name="Positive 3 13 4 4 2" xfId="27092" xr:uid="{00000000-0005-0000-0000-0000E1690000}"/>
    <cellStyle name="Positive 3 13 4 4 2 2" xfId="27093" xr:uid="{00000000-0005-0000-0000-0000E2690000}"/>
    <cellStyle name="Positive 3 13 4 4 3" xfId="27094" xr:uid="{00000000-0005-0000-0000-0000E3690000}"/>
    <cellStyle name="Positive 3 13 4 5" xfId="27095" xr:uid="{00000000-0005-0000-0000-0000E4690000}"/>
    <cellStyle name="Positive 3 13 4 5 2" xfId="27096" xr:uid="{00000000-0005-0000-0000-0000E5690000}"/>
    <cellStyle name="Positive 3 13 4 6" xfId="27097" xr:uid="{00000000-0005-0000-0000-0000E6690000}"/>
    <cellStyle name="Positive 3 13 4 6 2" xfId="27098" xr:uid="{00000000-0005-0000-0000-0000E7690000}"/>
    <cellStyle name="Positive 3 13 4 7" xfId="27099" xr:uid="{00000000-0005-0000-0000-0000E8690000}"/>
    <cellStyle name="Positive 3 13 4 7 2" xfId="27100" xr:uid="{00000000-0005-0000-0000-0000E9690000}"/>
    <cellStyle name="Positive 3 13 4 8" xfId="27101" xr:uid="{00000000-0005-0000-0000-0000EA690000}"/>
    <cellStyle name="Positive 3 13 4 8 2" xfId="27102" xr:uid="{00000000-0005-0000-0000-0000EB690000}"/>
    <cellStyle name="Positive 3 13 4 9" xfId="27103" xr:uid="{00000000-0005-0000-0000-0000EC690000}"/>
    <cellStyle name="Positive 3 13 4 9 2" xfId="27104" xr:uid="{00000000-0005-0000-0000-0000ED690000}"/>
    <cellStyle name="Positive 3 13 5" xfId="27105" xr:uid="{00000000-0005-0000-0000-0000EE690000}"/>
    <cellStyle name="Positive 3 13 5 10" xfId="27106" xr:uid="{00000000-0005-0000-0000-0000EF690000}"/>
    <cellStyle name="Positive 3 13 5 10 2" xfId="27107" xr:uid="{00000000-0005-0000-0000-0000F0690000}"/>
    <cellStyle name="Positive 3 13 5 11" xfId="27108" xr:uid="{00000000-0005-0000-0000-0000F1690000}"/>
    <cellStyle name="Positive 3 13 5 11 2" xfId="27109" xr:uid="{00000000-0005-0000-0000-0000F2690000}"/>
    <cellStyle name="Positive 3 13 5 12" xfId="27110" xr:uid="{00000000-0005-0000-0000-0000F3690000}"/>
    <cellStyle name="Positive 3 13 5 12 2" xfId="27111" xr:uid="{00000000-0005-0000-0000-0000F4690000}"/>
    <cellStyle name="Positive 3 13 5 13" xfId="27112" xr:uid="{00000000-0005-0000-0000-0000F5690000}"/>
    <cellStyle name="Positive 3 13 5 13 2" xfId="27113" xr:uid="{00000000-0005-0000-0000-0000F6690000}"/>
    <cellStyle name="Positive 3 13 5 14" xfId="27114" xr:uid="{00000000-0005-0000-0000-0000F7690000}"/>
    <cellStyle name="Positive 3 13 5 14 2" xfId="27115" xr:uid="{00000000-0005-0000-0000-0000F8690000}"/>
    <cellStyle name="Positive 3 13 5 15" xfId="27116" xr:uid="{00000000-0005-0000-0000-0000F9690000}"/>
    <cellStyle name="Positive 3 13 5 15 2" xfId="27117" xr:uid="{00000000-0005-0000-0000-0000FA690000}"/>
    <cellStyle name="Positive 3 13 5 16" xfId="27118" xr:uid="{00000000-0005-0000-0000-0000FB690000}"/>
    <cellStyle name="Positive 3 13 5 16 2" xfId="27119" xr:uid="{00000000-0005-0000-0000-0000FC690000}"/>
    <cellStyle name="Positive 3 13 5 17" xfId="27120" xr:uid="{00000000-0005-0000-0000-0000FD690000}"/>
    <cellStyle name="Positive 3 13 5 2" xfId="27121" xr:uid="{00000000-0005-0000-0000-0000FE690000}"/>
    <cellStyle name="Positive 3 13 5 2 2" xfId="27122" xr:uid="{00000000-0005-0000-0000-0000FF690000}"/>
    <cellStyle name="Positive 3 13 5 3" xfId="27123" xr:uid="{00000000-0005-0000-0000-0000006A0000}"/>
    <cellStyle name="Positive 3 13 5 3 2" xfId="27124" xr:uid="{00000000-0005-0000-0000-0000016A0000}"/>
    <cellStyle name="Positive 3 13 5 4" xfId="27125" xr:uid="{00000000-0005-0000-0000-0000026A0000}"/>
    <cellStyle name="Positive 3 13 5 4 2" xfId="27126" xr:uid="{00000000-0005-0000-0000-0000036A0000}"/>
    <cellStyle name="Positive 3 13 5 5" xfId="27127" xr:uid="{00000000-0005-0000-0000-0000046A0000}"/>
    <cellStyle name="Positive 3 13 5 5 2" xfId="27128" xr:uid="{00000000-0005-0000-0000-0000056A0000}"/>
    <cellStyle name="Positive 3 13 5 6" xfId="27129" xr:uid="{00000000-0005-0000-0000-0000066A0000}"/>
    <cellStyle name="Positive 3 13 5 6 2" xfId="27130" xr:uid="{00000000-0005-0000-0000-0000076A0000}"/>
    <cellStyle name="Positive 3 13 5 7" xfId="27131" xr:uid="{00000000-0005-0000-0000-0000086A0000}"/>
    <cellStyle name="Positive 3 13 5 7 2" xfId="27132" xr:uid="{00000000-0005-0000-0000-0000096A0000}"/>
    <cellStyle name="Positive 3 13 5 8" xfId="27133" xr:uid="{00000000-0005-0000-0000-00000A6A0000}"/>
    <cellStyle name="Positive 3 13 5 8 2" xfId="27134" xr:uid="{00000000-0005-0000-0000-00000B6A0000}"/>
    <cellStyle name="Positive 3 13 5 9" xfId="27135" xr:uid="{00000000-0005-0000-0000-00000C6A0000}"/>
    <cellStyle name="Positive 3 13 5 9 2" xfId="27136" xr:uid="{00000000-0005-0000-0000-00000D6A0000}"/>
    <cellStyle name="Positive 3 13 6" xfId="27137" xr:uid="{00000000-0005-0000-0000-00000E6A0000}"/>
    <cellStyle name="Positive 3 13 6 2" xfId="27138" xr:uid="{00000000-0005-0000-0000-00000F6A0000}"/>
    <cellStyle name="Positive 3 13 6 2 2" xfId="27139" xr:uid="{00000000-0005-0000-0000-0000106A0000}"/>
    <cellStyle name="Positive 3 13 6 3" xfId="27140" xr:uid="{00000000-0005-0000-0000-0000116A0000}"/>
    <cellStyle name="Positive 3 13 7" xfId="27141" xr:uid="{00000000-0005-0000-0000-0000126A0000}"/>
    <cellStyle name="Positive 3 13 7 2" xfId="27142" xr:uid="{00000000-0005-0000-0000-0000136A0000}"/>
    <cellStyle name="Positive 3 13 7 2 2" xfId="27143" xr:uid="{00000000-0005-0000-0000-0000146A0000}"/>
    <cellStyle name="Positive 3 13 7 3" xfId="27144" xr:uid="{00000000-0005-0000-0000-0000156A0000}"/>
    <cellStyle name="Positive 3 13 8" xfId="27145" xr:uid="{00000000-0005-0000-0000-0000166A0000}"/>
    <cellStyle name="Positive 3 13 8 2" xfId="27146" xr:uid="{00000000-0005-0000-0000-0000176A0000}"/>
    <cellStyle name="Positive 3 13 9" xfId="27147" xr:uid="{00000000-0005-0000-0000-0000186A0000}"/>
    <cellStyle name="Positive 3 13 9 2" xfId="27148" xr:uid="{00000000-0005-0000-0000-0000196A0000}"/>
    <cellStyle name="Positive 3 14" xfId="27149" xr:uid="{00000000-0005-0000-0000-00001A6A0000}"/>
    <cellStyle name="Positive 3 14 10" xfId="27150" xr:uid="{00000000-0005-0000-0000-00001B6A0000}"/>
    <cellStyle name="Positive 3 14 10 2" xfId="27151" xr:uid="{00000000-0005-0000-0000-00001C6A0000}"/>
    <cellStyle name="Positive 3 14 11" xfId="27152" xr:uid="{00000000-0005-0000-0000-00001D6A0000}"/>
    <cellStyle name="Positive 3 14 11 2" xfId="27153" xr:uid="{00000000-0005-0000-0000-00001E6A0000}"/>
    <cellStyle name="Positive 3 14 12" xfId="27154" xr:uid="{00000000-0005-0000-0000-00001F6A0000}"/>
    <cellStyle name="Positive 3 14 12 2" xfId="27155" xr:uid="{00000000-0005-0000-0000-0000206A0000}"/>
    <cellStyle name="Positive 3 14 13" xfId="27156" xr:uid="{00000000-0005-0000-0000-0000216A0000}"/>
    <cellStyle name="Positive 3 14 13 2" xfId="27157" xr:uid="{00000000-0005-0000-0000-0000226A0000}"/>
    <cellStyle name="Positive 3 14 14" xfId="27158" xr:uid="{00000000-0005-0000-0000-0000236A0000}"/>
    <cellStyle name="Positive 3 14 14 2" xfId="27159" xr:uid="{00000000-0005-0000-0000-0000246A0000}"/>
    <cellStyle name="Positive 3 14 15" xfId="27160" xr:uid="{00000000-0005-0000-0000-0000256A0000}"/>
    <cellStyle name="Positive 3 14 15 2" xfId="27161" xr:uid="{00000000-0005-0000-0000-0000266A0000}"/>
    <cellStyle name="Positive 3 14 16" xfId="27162" xr:uid="{00000000-0005-0000-0000-0000276A0000}"/>
    <cellStyle name="Positive 3 14 16 2" xfId="27163" xr:uid="{00000000-0005-0000-0000-0000286A0000}"/>
    <cellStyle name="Positive 3 14 17" xfId="27164" xr:uid="{00000000-0005-0000-0000-0000296A0000}"/>
    <cellStyle name="Positive 3 14 17 2" xfId="27165" xr:uid="{00000000-0005-0000-0000-00002A6A0000}"/>
    <cellStyle name="Positive 3 14 18" xfId="27166" xr:uid="{00000000-0005-0000-0000-00002B6A0000}"/>
    <cellStyle name="Positive 3 14 18 2" xfId="27167" xr:uid="{00000000-0005-0000-0000-00002C6A0000}"/>
    <cellStyle name="Positive 3 14 19" xfId="27168" xr:uid="{00000000-0005-0000-0000-00002D6A0000}"/>
    <cellStyle name="Positive 3 14 19 2" xfId="27169" xr:uid="{00000000-0005-0000-0000-00002E6A0000}"/>
    <cellStyle name="Positive 3 14 2" xfId="27170" xr:uid="{00000000-0005-0000-0000-00002F6A0000}"/>
    <cellStyle name="Positive 3 14 2 10" xfId="27171" xr:uid="{00000000-0005-0000-0000-0000306A0000}"/>
    <cellStyle name="Positive 3 14 2 10 2" xfId="27172" xr:uid="{00000000-0005-0000-0000-0000316A0000}"/>
    <cellStyle name="Positive 3 14 2 11" xfId="27173" xr:uid="{00000000-0005-0000-0000-0000326A0000}"/>
    <cellStyle name="Positive 3 14 2 11 2" xfId="27174" xr:uid="{00000000-0005-0000-0000-0000336A0000}"/>
    <cellStyle name="Positive 3 14 2 12" xfId="27175" xr:uid="{00000000-0005-0000-0000-0000346A0000}"/>
    <cellStyle name="Positive 3 14 2 12 2" xfId="27176" xr:uid="{00000000-0005-0000-0000-0000356A0000}"/>
    <cellStyle name="Positive 3 14 2 13" xfId="27177" xr:uid="{00000000-0005-0000-0000-0000366A0000}"/>
    <cellStyle name="Positive 3 14 2 13 2" xfId="27178" xr:uid="{00000000-0005-0000-0000-0000376A0000}"/>
    <cellStyle name="Positive 3 14 2 14" xfId="27179" xr:uid="{00000000-0005-0000-0000-0000386A0000}"/>
    <cellStyle name="Positive 3 14 2 14 2" xfId="27180" xr:uid="{00000000-0005-0000-0000-0000396A0000}"/>
    <cellStyle name="Positive 3 14 2 15" xfId="27181" xr:uid="{00000000-0005-0000-0000-00003A6A0000}"/>
    <cellStyle name="Positive 3 14 2 15 2" xfId="27182" xr:uid="{00000000-0005-0000-0000-00003B6A0000}"/>
    <cellStyle name="Positive 3 14 2 16" xfId="27183" xr:uid="{00000000-0005-0000-0000-00003C6A0000}"/>
    <cellStyle name="Positive 3 14 2 16 2" xfId="27184" xr:uid="{00000000-0005-0000-0000-00003D6A0000}"/>
    <cellStyle name="Positive 3 14 2 17" xfId="27185" xr:uid="{00000000-0005-0000-0000-00003E6A0000}"/>
    <cellStyle name="Positive 3 14 2 17 2" xfId="27186" xr:uid="{00000000-0005-0000-0000-00003F6A0000}"/>
    <cellStyle name="Positive 3 14 2 18" xfId="27187" xr:uid="{00000000-0005-0000-0000-0000406A0000}"/>
    <cellStyle name="Positive 3 14 2 18 2" xfId="27188" xr:uid="{00000000-0005-0000-0000-0000416A0000}"/>
    <cellStyle name="Positive 3 14 2 19" xfId="27189" xr:uid="{00000000-0005-0000-0000-0000426A0000}"/>
    <cellStyle name="Positive 3 14 2 19 2" xfId="27190" xr:uid="{00000000-0005-0000-0000-0000436A0000}"/>
    <cellStyle name="Positive 3 14 2 2" xfId="27191" xr:uid="{00000000-0005-0000-0000-0000446A0000}"/>
    <cellStyle name="Positive 3 14 2 2 10" xfId="27192" xr:uid="{00000000-0005-0000-0000-0000456A0000}"/>
    <cellStyle name="Positive 3 14 2 2 10 2" xfId="27193" xr:uid="{00000000-0005-0000-0000-0000466A0000}"/>
    <cellStyle name="Positive 3 14 2 2 11" xfId="27194" xr:uid="{00000000-0005-0000-0000-0000476A0000}"/>
    <cellStyle name="Positive 3 14 2 2 11 2" xfId="27195" xr:uid="{00000000-0005-0000-0000-0000486A0000}"/>
    <cellStyle name="Positive 3 14 2 2 12" xfId="27196" xr:uid="{00000000-0005-0000-0000-0000496A0000}"/>
    <cellStyle name="Positive 3 14 2 2 12 2" xfId="27197" xr:uid="{00000000-0005-0000-0000-00004A6A0000}"/>
    <cellStyle name="Positive 3 14 2 2 13" xfId="27198" xr:uid="{00000000-0005-0000-0000-00004B6A0000}"/>
    <cellStyle name="Positive 3 14 2 2 13 2" xfId="27199" xr:uid="{00000000-0005-0000-0000-00004C6A0000}"/>
    <cellStyle name="Positive 3 14 2 2 14" xfId="27200" xr:uid="{00000000-0005-0000-0000-00004D6A0000}"/>
    <cellStyle name="Positive 3 14 2 2 14 2" xfId="27201" xr:uid="{00000000-0005-0000-0000-00004E6A0000}"/>
    <cellStyle name="Positive 3 14 2 2 15" xfId="27202" xr:uid="{00000000-0005-0000-0000-00004F6A0000}"/>
    <cellStyle name="Positive 3 14 2 2 15 2" xfId="27203" xr:uid="{00000000-0005-0000-0000-0000506A0000}"/>
    <cellStyle name="Positive 3 14 2 2 16" xfId="27204" xr:uid="{00000000-0005-0000-0000-0000516A0000}"/>
    <cellStyle name="Positive 3 14 2 2 16 2" xfId="27205" xr:uid="{00000000-0005-0000-0000-0000526A0000}"/>
    <cellStyle name="Positive 3 14 2 2 17" xfId="27206" xr:uid="{00000000-0005-0000-0000-0000536A0000}"/>
    <cellStyle name="Positive 3 14 2 2 2" xfId="27207" xr:uid="{00000000-0005-0000-0000-0000546A0000}"/>
    <cellStyle name="Positive 3 14 2 2 2 2" xfId="27208" xr:uid="{00000000-0005-0000-0000-0000556A0000}"/>
    <cellStyle name="Positive 3 14 2 2 3" xfId="27209" xr:uid="{00000000-0005-0000-0000-0000566A0000}"/>
    <cellStyle name="Positive 3 14 2 2 3 2" xfId="27210" xr:uid="{00000000-0005-0000-0000-0000576A0000}"/>
    <cellStyle name="Positive 3 14 2 2 4" xfId="27211" xr:uid="{00000000-0005-0000-0000-0000586A0000}"/>
    <cellStyle name="Positive 3 14 2 2 4 2" xfId="27212" xr:uid="{00000000-0005-0000-0000-0000596A0000}"/>
    <cellStyle name="Positive 3 14 2 2 5" xfId="27213" xr:uid="{00000000-0005-0000-0000-00005A6A0000}"/>
    <cellStyle name="Positive 3 14 2 2 5 2" xfId="27214" xr:uid="{00000000-0005-0000-0000-00005B6A0000}"/>
    <cellStyle name="Positive 3 14 2 2 6" xfId="27215" xr:uid="{00000000-0005-0000-0000-00005C6A0000}"/>
    <cellStyle name="Positive 3 14 2 2 6 2" xfId="27216" xr:uid="{00000000-0005-0000-0000-00005D6A0000}"/>
    <cellStyle name="Positive 3 14 2 2 7" xfId="27217" xr:uid="{00000000-0005-0000-0000-00005E6A0000}"/>
    <cellStyle name="Positive 3 14 2 2 7 2" xfId="27218" xr:uid="{00000000-0005-0000-0000-00005F6A0000}"/>
    <cellStyle name="Positive 3 14 2 2 8" xfId="27219" xr:uid="{00000000-0005-0000-0000-0000606A0000}"/>
    <cellStyle name="Positive 3 14 2 2 8 2" xfId="27220" xr:uid="{00000000-0005-0000-0000-0000616A0000}"/>
    <cellStyle name="Positive 3 14 2 2 9" xfId="27221" xr:uid="{00000000-0005-0000-0000-0000626A0000}"/>
    <cellStyle name="Positive 3 14 2 2 9 2" xfId="27222" xr:uid="{00000000-0005-0000-0000-0000636A0000}"/>
    <cellStyle name="Positive 3 14 2 20" xfId="27223" xr:uid="{00000000-0005-0000-0000-0000646A0000}"/>
    <cellStyle name="Positive 3 14 2 3" xfId="27224" xr:uid="{00000000-0005-0000-0000-0000656A0000}"/>
    <cellStyle name="Positive 3 14 2 3 2" xfId="27225" xr:uid="{00000000-0005-0000-0000-0000666A0000}"/>
    <cellStyle name="Positive 3 14 2 3 2 2" xfId="27226" xr:uid="{00000000-0005-0000-0000-0000676A0000}"/>
    <cellStyle name="Positive 3 14 2 3 3" xfId="27227" xr:uid="{00000000-0005-0000-0000-0000686A0000}"/>
    <cellStyle name="Positive 3 14 2 4" xfId="27228" xr:uid="{00000000-0005-0000-0000-0000696A0000}"/>
    <cellStyle name="Positive 3 14 2 4 2" xfId="27229" xr:uid="{00000000-0005-0000-0000-00006A6A0000}"/>
    <cellStyle name="Positive 3 14 2 4 2 2" xfId="27230" xr:uid="{00000000-0005-0000-0000-00006B6A0000}"/>
    <cellStyle name="Positive 3 14 2 4 3" xfId="27231" xr:uid="{00000000-0005-0000-0000-00006C6A0000}"/>
    <cellStyle name="Positive 3 14 2 5" xfId="27232" xr:uid="{00000000-0005-0000-0000-00006D6A0000}"/>
    <cellStyle name="Positive 3 14 2 5 2" xfId="27233" xr:uid="{00000000-0005-0000-0000-00006E6A0000}"/>
    <cellStyle name="Positive 3 14 2 6" xfId="27234" xr:uid="{00000000-0005-0000-0000-00006F6A0000}"/>
    <cellStyle name="Positive 3 14 2 6 2" xfId="27235" xr:uid="{00000000-0005-0000-0000-0000706A0000}"/>
    <cellStyle name="Positive 3 14 2 7" xfId="27236" xr:uid="{00000000-0005-0000-0000-0000716A0000}"/>
    <cellStyle name="Positive 3 14 2 7 2" xfId="27237" xr:uid="{00000000-0005-0000-0000-0000726A0000}"/>
    <cellStyle name="Positive 3 14 2 8" xfId="27238" xr:uid="{00000000-0005-0000-0000-0000736A0000}"/>
    <cellStyle name="Positive 3 14 2 8 2" xfId="27239" xr:uid="{00000000-0005-0000-0000-0000746A0000}"/>
    <cellStyle name="Positive 3 14 2 9" xfId="27240" xr:uid="{00000000-0005-0000-0000-0000756A0000}"/>
    <cellStyle name="Positive 3 14 2 9 2" xfId="27241" xr:uid="{00000000-0005-0000-0000-0000766A0000}"/>
    <cellStyle name="Positive 3 14 20" xfId="27242" xr:uid="{00000000-0005-0000-0000-0000776A0000}"/>
    <cellStyle name="Positive 3 14 20 2" xfId="27243" xr:uid="{00000000-0005-0000-0000-0000786A0000}"/>
    <cellStyle name="Positive 3 14 21" xfId="27244" xr:uid="{00000000-0005-0000-0000-0000796A0000}"/>
    <cellStyle name="Positive 3 14 21 2" xfId="27245" xr:uid="{00000000-0005-0000-0000-00007A6A0000}"/>
    <cellStyle name="Positive 3 14 22" xfId="27246" xr:uid="{00000000-0005-0000-0000-00007B6A0000}"/>
    <cellStyle name="Positive 3 14 22 2" xfId="27247" xr:uid="{00000000-0005-0000-0000-00007C6A0000}"/>
    <cellStyle name="Positive 3 14 23" xfId="27248" xr:uid="{00000000-0005-0000-0000-00007D6A0000}"/>
    <cellStyle name="Positive 3 14 3" xfId="27249" xr:uid="{00000000-0005-0000-0000-00007E6A0000}"/>
    <cellStyle name="Positive 3 14 3 10" xfId="27250" xr:uid="{00000000-0005-0000-0000-00007F6A0000}"/>
    <cellStyle name="Positive 3 14 3 10 2" xfId="27251" xr:uid="{00000000-0005-0000-0000-0000806A0000}"/>
    <cellStyle name="Positive 3 14 3 11" xfId="27252" xr:uid="{00000000-0005-0000-0000-0000816A0000}"/>
    <cellStyle name="Positive 3 14 3 11 2" xfId="27253" xr:uid="{00000000-0005-0000-0000-0000826A0000}"/>
    <cellStyle name="Positive 3 14 3 12" xfId="27254" xr:uid="{00000000-0005-0000-0000-0000836A0000}"/>
    <cellStyle name="Positive 3 14 3 12 2" xfId="27255" xr:uid="{00000000-0005-0000-0000-0000846A0000}"/>
    <cellStyle name="Positive 3 14 3 13" xfId="27256" xr:uid="{00000000-0005-0000-0000-0000856A0000}"/>
    <cellStyle name="Positive 3 14 3 13 2" xfId="27257" xr:uid="{00000000-0005-0000-0000-0000866A0000}"/>
    <cellStyle name="Positive 3 14 3 14" xfId="27258" xr:uid="{00000000-0005-0000-0000-0000876A0000}"/>
    <cellStyle name="Positive 3 14 3 14 2" xfId="27259" xr:uid="{00000000-0005-0000-0000-0000886A0000}"/>
    <cellStyle name="Positive 3 14 3 15" xfId="27260" xr:uid="{00000000-0005-0000-0000-0000896A0000}"/>
    <cellStyle name="Positive 3 14 3 15 2" xfId="27261" xr:uid="{00000000-0005-0000-0000-00008A6A0000}"/>
    <cellStyle name="Positive 3 14 3 16" xfId="27262" xr:uid="{00000000-0005-0000-0000-00008B6A0000}"/>
    <cellStyle name="Positive 3 14 3 16 2" xfId="27263" xr:uid="{00000000-0005-0000-0000-00008C6A0000}"/>
    <cellStyle name="Positive 3 14 3 17" xfId="27264" xr:uid="{00000000-0005-0000-0000-00008D6A0000}"/>
    <cellStyle name="Positive 3 14 3 17 2" xfId="27265" xr:uid="{00000000-0005-0000-0000-00008E6A0000}"/>
    <cellStyle name="Positive 3 14 3 18" xfId="27266" xr:uid="{00000000-0005-0000-0000-00008F6A0000}"/>
    <cellStyle name="Positive 3 14 3 18 2" xfId="27267" xr:uid="{00000000-0005-0000-0000-0000906A0000}"/>
    <cellStyle name="Positive 3 14 3 19" xfId="27268" xr:uid="{00000000-0005-0000-0000-0000916A0000}"/>
    <cellStyle name="Positive 3 14 3 19 2" xfId="27269" xr:uid="{00000000-0005-0000-0000-0000926A0000}"/>
    <cellStyle name="Positive 3 14 3 2" xfId="27270" xr:uid="{00000000-0005-0000-0000-0000936A0000}"/>
    <cellStyle name="Positive 3 14 3 2 10" xfId="27271" xr:uid="{00000000-0005-0000-0000-0000946A0000}"/>
    <cellStyle name="Positive 3 14 3 2 10 2" xfId="27272" xr:uid="{00000000-0005-0000-0000-0000956A0000}"/>
    <cellStyle name="Positive 3 14 3 2 11" xfId="27273" xr:uid="{00000000-0005-0000-0000-0000966A0000}"/>
    <cellStyle name="Positive 3 14 3 2 11 2" xfId="27274" xr:uid="{00000000-0005-0000-0000-0000976A0000}"/>
    <cellStyle name="Positive 3 14 3 2 12" xfId="27275" xr:uid="{00000000-0005-0000-0000-0000986A0000}"/>
    <cellStyle name="Positive 3 14 3 2 12 2" xfId="27276" xr:uid="{00000000-0005-0000-0000-0000996A0000}"/>
    <cellStyle name="Positive 3 14 3 2 13" xfId="27277" xr:uid="{00000000-0005-0000-0000-00009A6A0000}"/>
    <cellStyle name="Positive 3 14 3 2 13 2" xfId="27278" xr:uid="{00000000-0005-0000-0000-00009B6A0000}"/>
    <cellStyle name="Positive 3 14 3 2 14" xfId="27279" xr:uid="{00000000-0005-0000-0000-00009C6A0000}"/>
    <cellStyle name="Positive 3 14 3 2 14 2" xfId="27280" xr:uid="{00000000-0005-0000-0000-00009D6A0000}"/>
    <cellStyle name="Positive 3 14 3 2 15" xfId="27281" xr:uid="{00000000-0005-0000-0000-00009E6A0000}"/>
    <cellStyle name="Positive 3 14 3 2 15 2" xfId="27282" xr:uid="{00000000-0005-0000-0000-00009F6A0000}"/>
    <cellStyle name="Positive 3 14 3 2 16" xfId="27283" xr:uid="{00000000-0005-0000-0000-0000A06A0000}"/>
    <cellStyle name="Positive 3 14 3 2 16 2" xfId="27284" xr:uid="{00000000-0005-0000-0000-0000A16A0000}"/>
    <cellStyle name="Positive 3 14 3 2 17" xfId="27285" xr:uid="{00000000-0005-0000-0000-0000A26A0000}"/>
    <cellStyle name="Positive 3 14 3 2 2" xfId="27286" xr:uid="{00000000-0005-0000-0000-0000A36A0000}"/>
    <cellStyle name="Positive 3 14 3 2 2 2" xfId="27287" xr:uid="{00000000-0005-0000-0000-0000A46A0000}"/>
    <cellStyle name="Positive 3 14 3 2 3" xfId="27288" xr:uid="{00000000-0005-0000-0000-0000A56A0000}"/>
    <cellStyle name="Positive 3 14 3 2 3 2" xfId="27289" xr:uid="{00000000-0005-0000-0000-0000A66A0000}"/>
    <cellStyle name="Positive 3 14 3 2 4" xfId="27290" xr:uid="{00000000-0005-0000-0000-0000A76A0000}"/>
    <cellStyle name="Positive 3 14 3 2 4 2" xfId="27291" xr:uid="{00000000-0005-0000-0000-0000A86A0000}"/>
    <cellStyle name="Positive 3 14 3 2 5" xfId="27292" xr:uid="{00000000-0005-0000-0000-0000A96A0000}"/>
    <cellStyle name="Positive 3 14 3 2 5 2" xfId="27293" xr:uid="{00000000-0005-0000-0000-0000AA6A0000}"/>
    <cellStyle name="Positive 3 14 3 2 6" xfId="27294" xr:uid="{00000000-0005-0000-0000-0000AB6A0000}"/>
    <cellStyle name="Positive 3 14 3 2 6 2" xfId="27295" xr:uid="{00000000-0005-0000-0000-0000AC6A0000}"/>
    <cellStyle name="Positive 3 14 3 2 7" xfId="27296" xr:uid="{00000000-0005-0000-0000-0000AD6A0000}"/>
    <cellStyle name="Positive 3 14 3 2 7 2" xfId="27297" xr:uid="{00000000-0005-0000-0000-0000AE6A0000}"/>
    <cellStyle name="Positive 3 14 3 2 8" xfId="27298" xr:uid="{00000000-0005-0000-0000-0000AF6A0000}"/>
    <cellStyle name="Positive 3 14 3 2 8 2" xfId="27299" xr:uid="{00000000-0005-0000-0000-0000B06A0000}"/>
    <cellStyle name="Positive 3 14 3 2 9" xfId="27300" xr:uid="{00000000-0005-0000-0000-0000B16A0000}"/>
    <cellStyle name="Positive 3 14 3 2 9 2" xfId="27301" xr:uid="{00000000-0005-0000-0000-0000B26A0000}"/>
    <cellStyle name="Positive 3 14 3 20" xfId="27302" xr:uid="{00000000-0005-0000-0000-0000B36A0000}"/>
    <cellStyle name="Positive 3 14 3 3" xfId="27303" xr:uid="{00000000-0005-0000-0000-0000B46A0000}"/>
    <cellStyle name="Positive 3 14 3 3 2" xfId="27304" xr:uid="{00000000-0005-0000-0000-0000B56A0000}"/>
    <cellStyle name="Positive 3 14 3 3 2 2" xfId="27305" xr:uid="{00000000-0005-0000-0000-0000B66A0000}"/>
    <cellStyle name="Positive 3 14 3 3 3" xfId="27306" xr:uid="{00000000-0005-0000-0000-0000B76A0000}"/>
    <cellStyle name="Positive 3 14 3 4" xfId="27307" xr:uid="{00000000-0005-0000-0000-0000B86A0000}"/>
    <cellStyle name="Positive 3 14 3 4 2" xfId="27308" xr:uid="{00000000-0005-0000-0000-0000B96A0000}"/>
    <cellStyle name="Positive 3 14 3 4 2 2" xfId="27309" xr:uid="{00000000-0005-0000-0000-0000BA6A0000}"/>
    <cellStyle name="Positive 3 14 3 4 3" xfId="27310" xr:uid="{00000000-0005-0000-0000-0000BB6A0000}"/>
    <cellStyle name="Positive 3 14 3 5" xfId="27311" xr:uid="{00000000-0005-0000-0000-0000BC6A0000}"/>
    <cellStyle name="Positive 3 14 3 5 2" xfId="27312" xr:uid="{00000000-0005-0000-0000-0000BD6A0000}"/>
    <cellStyle name="Positive 3 14 3 6" xfId="27313" xr:uid="{00000000-0005-0000-0000-0000BE6A0000}"/>
    <cellStyle name="Positive 3 14 3 6 2" xfId="27314" xr:uid="{00000000-0005-0000-0000-0000BF6A0000}"/>
    <cellStyle name="Positive 3 14 3 7" xfId="27315" xr:uid="{00000000-0005-0000-0000-0000C06A0000}"/>
    <cellStyle name="Positive 3 14 3 7 2" xfId="27316" xr:uid="{00000000-0005-0000-0000-0000C16A0000}"/>
    <cellStyle name="Positive 3 14 3 8" xfId="27317" xr:uid="{00000000-0005-0000-0000-0000C26A0000}"/>
    <cellStyle name="Positive 3 14 3 8 2" xfId="27318" xr:uid="{00000000-0005-0000-0000-0000C36A0000}"/>
    <cellStyle name="Positive 3 14 3 9" xfId="27319" xr:uid="{00000000-0005-0000-0000-0000C46A0000}"/>
    <cellStyle name="Positive 3 14 3 9 2" xfId="27320" xr:uid="{00000000-0005-0000-0000-0000C56A0000}"/>
    <cellStyle name="Positive 3 14 4" xfId="27321" xr:uid="{00000000-0005-0000-0000-0000C66A0000}"/>
    <cellStyle name="Positive 3 14 4 10" xfId="27322" xr:uid="{00000000-0005-0000-0000-0000C76A0000}"/>
    <cellStyle name="Positive 3 14 4 10 2" xfId="27323" xr:uid="{00000000-0005-0000-0000-0000C86A0000}"/>
    <cellStyle name="Positive 3 14 4 11" xfId="27324" xr:uid="{00000000-0005-0000-0000-0000C96A0000}"/>
    <cellStyle name="Positive 3 14 4 11 2" xfId="27325" xr:uid="{00000000-0005-0000-0000-0000CA6A0000}"/>
    <cellStyle name="Positive 3 14 4 12" xfId="27326" xr:uid="{00000000-0005-0000-0000-0000CB6A0000}"/>
    <cellStyle name="Positive 3 14 4 12 2" xfId="27327" xr:uid="{00000000-0005-0000-0000-0000CC6A0000}"/>
    <cellStyle name="Positive 3 14 4 13" xfId="27328" xr:uid="{00000000-0005-0000-0000-0000CD6A0000}"/>
    <cellStyle name="Positive 3 14 4 13 2" xfId="27329" xr:uid="{00000000-0005-0000-0000-0000CE6A0000}"/>
    <cellStyle name="Positive 3 14 4 14" xfId="27330" xr:uid="{00000000-0005-0000-0000-0000CF6A0000}"/>
    <cellStyle name="Positive 3 14 4 14 2" xfId="27331" xr:uid="{00000000-0005-0000-0000-0000D06A0000}"/>
    <cellStyle name="Positive 3 14 4 15" xfId="27332" xr:uid="{00000000-0005-0000-0000-0000D16A0000}"/>
    <cellStyle name="Positive 3 14 4 15 2" xfId="27333" xr:uid="{00000000-0005-0000-0000-0000D26A0000}"/>
    <cellStyle name="Positive 3 14 4 16" xfId="27334" xr:uid="{00000000-0005-0000-0000-0000D36A0000}"/>
    <cellStyle name="Positive 3 14 4 16 2" xfId="27335" xr:uid="{00000000-0005-0000-0000-0000D46A0000}"/>
    <cellStyle name="Positive 3 14 4 17" xfId="27336" xr:uid="{00000000-0005-0000-0000-0000D56A0000}"/>
    <cellStyle name="Positive 3 14 4 17 2" xfId="27337" xr:uid="{00000000-0005-0000-0000-0000D66A0000}"/>
    <cellStyle name="Positive 3 14 4 18" xfId="27338" xr:uid="{00000000-0005-0000-0000-0000D76A0000}"/>
    <cellStyle name="Positive 3 14 4 18 2" xfId="27339" xr:uid="{00000000-0005-0000-0000-0000D86A0000}"/>
    <cellStyle name="Positive 3 14 4 19" xfId="27340" xr:uid="{00000000-0005-0000-0000-0000D96A0000}"/>
    <cellStyle name="Positive 3 14 4 19 2" xfId="27341" xr:uid="{00000000-0005-0000-0000-0000DA6A0000}"/>
    <cellStyle name="Positive 3 14 4 2" xfId="27342" xr:uid="{00000000-0005-0000-0000-0000DB6A0000}"/>
    <cellStyle name="Positive 3 14 4 2 10" xfId="27343" xr:uid="{00000000-0005-0000-0000-0000DC6A0000}"/>
    <cellStyle name="Positive 3 14 4 2 10 2" xfId="27344" xr:uid="{00000000-0005-0000-0000-0000DD6A0000}"/>
    <cellStyle name="Positive 3 14 4 2 11" xfId="27345" xr:uid="{00000000-0005-0000-0000-0000DE6A0000}"/>
    <cellStyle name="Positive 3 14 4 2 11 2" xfId="27346" xr:uid="{00000000-0005-0000-0000-0000DF6A0000}"/>
    <cellStyle name="Positive 3 14 4 2 12" xfId="27347" xr:uid="{00000000-0005-0000-0000-0000E06A0000}"/>
    <cellStyle name="Positive 3 14 4 2 12 2" xfId="27348" xr:uid="{00000000-0005-0000-0000-0000E16A0000}"/>
    <cellStyle name="Positive 3 14 4 2 13" xfId="27349" xr:uid="{00000000-0005-0000-0000-0000E26A0000}"/>
    <cellStyle name="Positive 3 14 4 2 13 2" xfId="27350" xr:uid="{00000000-0005-0000-0000-0000E36A0000}"/>
    <cellStyle name="Positive 3 14 4 2 14" xfId="27351" xr:uid="{00000000-0005-0000-0000-0000E46A0000}"/>
    <cellStyle name="Positive 3 14 4 2 14 2" xfId="27352" xr:uid="{00000000-0005-0000-0000-0000E56A0000}"/>
    <cellStyle name="Positive 3 14 4 2 15" xfId="27353" xr:uid="{00000000-0005-0000-0000-0000E66A0000}"/>
    <cellStyle name="Positive 3 14 4 2 15 2" xfId="27354" xr:uid="{00000000-0005-0000-0000-0000E76A0000}"/>
    <cellStyle name="Positive 3 14 4 2 16" xfId="27355" xr:uid="{00000000-0005-0000-0000-0000E86A0000}"/>
    <cellStyle name="Positive 3 14 4 2 16 2" xfId="27356" xr:uid="{00000000-0005-0000-0000-0000E96A0000}"/>
    <cellStyle name="Positive 3 14 4 2 17" xfId="27357" xr:uid="{00000000-0005-0000-0000-0000EA6A0000}"/>
    <cellStyle name="Positive 3 14 4 2 2" xfId="27358" xr:uid="{00000000-0005-0000-0000-0000EB6A0000}"/>
    <cellStyle name="Positive 3 14 4 2 2 2" xfId="27359" xr:uid="{00000000-0005-0000-0000-0000EC6A0000}"/>
    <cellStyle name="Positive 3 14 4 2 3" xfId="27360" xr:uid="{00000000-0005-0000-0000-0000ED6A0000}"/>
    <cellStyle name="Positive 3 14 4 2 3 2" xfId="27361" xr:uid="{00000000-0005-0000-0000-0000EE6A0000}"/>
    <cellStyle name="Positive 3 14 4 2 4" xfId="27362" xr:uid="{00000000-0005-0000-0000-0000EF6A0000}"/>
    <cellStyle name="Positive 3 14 4 2 4 2" xfId="27363" xr:uid="{00000000-0005-0000-0000-0000F06A0000}"/>
    <cellStyle name="Positive 3 14 4 2 5" xfId="27364" xr:uid="{00000000-0005-0000-0000-0000F16A0000}"/>
    <cellStyle name="Positive 3 14 4 2 5 2" xfId="27365" xr:uid="{00000000-0005-0000-0000-0000F26A0000}"/>
    <cellStyle name="Positive 3 14 4 2 6" xfId="27366" xr:uid="{00000000-0005-0000-0000-0000F36A0000}"/>
    <cellStyle name="Positive 3 14 4 2 6 2" xfId="27367" xr:uid="{00000000-0005-0000-0000-0000F46A0000}"/>
    <cellStyle name="Positive 3 14 4 2 7" xfId="27368" xr:uid="{00000000-0005-0000-0000-0000F56A0000}"/>
    <cellStyle name="Positive 3 14 4 2 7 2" xfId="27369" xr:uid="{00000000-0005-0000-0000-0000F66A0000}"/>
    <cellStyle name="Positive 3 14 4 2 8" xfId="27370" xr:uid="{00000000-0005-0000-0000-0000F76A0000}"/>
    <cellStyle name="Positive 3 14 4 2 8 2" xfId="27371" xr:uid="{00000000-0005-0000-0000-0000F86A0000}"/>
    <cellStyle name="Positive 3 14 4 2 9" xfId="27372" xr:uid="{00000000-0005-0000-0000-0000F96A0000}"/>
    <cellStyle name="Positive 3 14 4 2 9 2" xfId="27373" xr:uid="{00000000-0005-0000-0000-0000FA6A0000}"/>
    <cellStyle name="Positive 3 14 4 20" xfId="27374" xr:uid="{00000000-0005-0000-0000-0000FB6A0000}"/>
    <cellStyle name="Positive 3 14 4 3" xfId="27375" xr:uid="{00000000-0005-0000-0000-0000FC6A0000}"/>
    <cellStyle name="Positive 3 14 4 3 2" xfId="27376" xr:uid="{00000000-0005-0000-0000-0000FD6A0000}"/>
    <cellStyle name="Positive 3 14 4 3 2 2" xfId="27377" xr:uid="{00000000-0005-0000-0000-0000FE6A0000}"/>
    <cellStyle name="Positive 3 14 4 3 3" xfId="27378" xr:uid="{00000000-0005-0000-0000-0000FF6A0000}"/>
    <cellStyle name="Positive 3 14 4 4" xfId="27379" xr:uid="{00000000-0005-0000-0000-0000006B0000}"/>
    <cellStyle name="Positive 3 14 4 4 2" xfId="27380" xr:uid="{00000000-0005-0000-0000-0000016B0000}"/>
    <cellStyle name="Positive 3 14 4 4 2 2" xfId="27381" xr:uid="{00000000-0005-0000-0000-0000026B0000}"/>
    <cellStyle name="Positive 3 14 4 4 3" xfId="27382" xr:uid="{00000000-0005-0000-0000-0000036B0000}"/>
    <cellStyle name="Positive 3 14 4 5" xfId="27383" xr:uid="{00000000-0005-0000-0000-0000046B0000}"/>
    <cellStyle name="Positive 3 14 4 5 2" xfId="27384" xr:uid="{00000000-0005-0000-0000-0000056B0000}"/>
    <cellStyle name="Positive 3 14 4 6" xfId="27385" xr:uid="{00000000-0005-0000-0000-0000066B0000}"/>
    <cellStyle name="Positive 3 14 4 6 2" xfId="27386" xr:uid="{00000000-0005-0000-0000-0000076B0000}"/>
    <cellStyle name="Positive 3 14 4 7" xfId="27387" xr:uid="{00000000-0005-0000-0000-0000086B0000}"/>
    <cellStyle name="Positive 3 14 4 7 2" xfId="27388" xr:uid="{00000000-0005-0000-0000-0000096B0000}"/>
    <cellStyle name="Positive 3 14 4 8" xfId="27389" xr:uid="{00000000-0005-0000-0000-00000A6B0000}"/>
    <cellStyle name="Positive 3 14 4 8 2" xfId="27390" xr:uid="{00000000-0005-0000-0000-00000B6B0000}"/>
    <cellStyle name="Positive 3 14 4 9" xfId="27391" xr:uid="{00000000-0005-0000-0000-00000C6B0000}"/>
    <cellStyle name="Positive 3 14 4 9 2" xfId="27392" xr:uid="{00000000-0005-0000-0000-00000D6B0000}"/>
    <cellStyle name="Positive 3 14 5" xfId="27393" xr:uid="{00000000-0005-0000-0000-00000E6B0000}"/>
    <cellStyle name="Positive 3 14 5 10" xfId="27394" xr:uid="{00000000-0005-0000-0000-00000F6B0000}"/>
    <cellStyle name="Positive 3 14 5 10 2" xfId="27395" xr:uid="{00000000-0005-0000-0000-0000106B0000}"/>
    <cellStyle name="Positive 3 14 5 11" xfId="27396" xr:uid="{00000000-0005-0000-0000-0000116B0000}"/>
    <cellStyle name="Positive 3 14 5 11 2" xfId="27397" xr:uid="{00000000-0005-0000-0000-0000126B0000}"/>
    <cellStyle name="Positive 3 14 5 12" xfId="27398" xr:uid="{00000000-0005-0000-0000-0000136B0000}"/>
    <cellStyle name="Positive 3 14 5 12 2" xfId="27399" xr:uid="{00000000-0005-0000-0000-0000146B0000}"/>
    <cellStyle name="Positive 3 14 5 13" xfId="27400" xr:uid="{00000000-0005-0000-0000-0000156B0000}"/>
    <cellStyle name="Positive 3 14 5 13 2" xfId="27401" xr:uid="{00000000-0005-0000-0000-0000166B0000}"/>
    <cellStyle name="Positive 3 14 5 14" xfId="27402" xr:uid="{00000000-0005-0000-0000-0000176B0000}"/>
    <cellStyle name="Positive 3 14 5 14 2" xfId="27403" xr:uid="{00000000-0005-0000-0000-0000186B0000}"/>
    <cellStyle name="Positive 3 14 5 15" xfId="27404" xr:uid="{00000000-0005-0000-0000-0000196B0000}"/>
    <cellStyle name="Positive 3 14 5 15 2" xfId="27405" xr:uid="{00000000-0005-0000-0000-00001A6B0000}"/>
    <cellStyle name="Positive 3 14 5 16" xfId="27406" xr:uid="{00000000-0005-0000-0000-00001B6B0000}"/>
    <cellStyle name="Positive 3 14 5 16 2" xfId="27407" xr:uid="{00000000-0005-0000-0000-00001C6B0000}"/>
    <cellStyle name="Positive 3 14 5 17" xfId="27408" xr:uid="{00000000-0005-0000-0000-00001D6B0000}"/>
    <cellStyle name="Positive 3 14 5 2" xfId="27409" xr:uid="{00000000-0005-0000-0000-00001E6B0000}"/>
    <cellStyle name="Positive 3 14 5 2 2" xfId="27410" xr:uid="{00000000-0005-0000-0000-00001F6B0000}"/>
    <cellStyle name="Positive 3 14 5 3" xfId="27411" xr:uid="{00000000-0005-0000-0000-0000206B0000}"/>
    <cellStyle name="Positive 3 14 5 3 2" xfId="27412" xr:uid="{00000000-0005-0000-0000-0000216B0000}"/>
    <cellStyle name="Positive 3 14 5 4" xfId="27413" xr:uid="{00000000-0005-0000-0000-0000226B0000}"/>
    <cellStyle name="Positive 3 14 5 4 2" xfId="27414" xr:uid="{00000000-0005-0000-0000-0000236B0000}"/>
    <cellStyle name="Positive 3 14 5 5" xfId="27415" xr:uid="{00000000-0005-0000-0000-0000246B0000}"/>
    <cellStyle name="Positive 3 14 5 5 2" xfId="27416" xr:uid="{00000000-0005-0000-0000-0000256B0000}"/>
    <cellStyle name="Positive 3 14 5 6" xfId="27417" xr:uid="{00000000-0005-0000-0000-0000266B0000}"/>
    <cellStyle name="Positive 3 14 5 6 2" xfId="27418" xr:uid="{00000000-0005-0000-0000-0000276B0000}"/>
    <cellStyle name="Positive 3 14 5 7" xfId="27419" xr:uid="{00000000-0005-0000-0000-0000286B0000}"/>
    <cellStyle name="Positive 3 14 5 7 2" xfId="27420" xr:uid="{00000000-0005-0000-0000-0000296B0000}"/>
    <cellStyle name="Positive 3 14 5 8" xfId="27421" xr:uid="{00000000-0005-0000-0000-00002A6B0000}"/>
    <cellStyle name="Positive 3 14 5 8 2" xfId="27422" xr:uid="{00000000-0005-0000-0000-00002B6B0000}"/>
    <cellStyle name="Positive 3 14 5 9" xfId="27423" xr:uid="{00000000-0005-0000-0000-00002C6B0000}"/>
    <cellStyle name="Positive 3 14 5 9 2" xfId="27424" xr:uid="{00000000-0005-0000-0000-00002D6B0000}"/>
    <cellStyle name="Positive 3 14 6" xfId="27425" xr:uid="{00000000-0005-0000-0000-00002E6B0000}"/>
    <cellStyle name="Positive 3 14 6 2" xfId="27426" xr:uid="{00000000-0005-0000-0000-00002F6B0000}"/>
    <cellStyle name="Positive 3 14 6 2 2" xfId="27427" xr:uid="{00000000-0005-0000-0000-0000306B0000}"/>
    <cellStyle name="Positive 3 14 6 3" xfId="27428" xr:uid="{00000000-0005-0000-0000-0000316B0000}"/>
    <cellStyle name="Positive 3 14 7" xfId="27429" xr:uid="{00000000-0005-0000-0000-0000326B0000}"/>
    <cellStyle name="Positive 3 14 7 2" xfId="27430" xr:uid="{00000000-0005-0000-0000-0000336B0000}"/>
    <cellStyle name="Positive 3 14 7 2 2" xfId="27431" xr:uid="{00000000-0005-0000-0000-0000346B0000}"/>
    <cellStyle name="Positive 3 14 7 3" xfId="27432" xr:uid="{00000000-0005-0000-0000-0000356B0000}"/>
    <cellStyle name="Positive 3 14 8" xfId="27433" xr:uid="{00000000-0005-0000-0000-0000366B0000}"/>
    <cellStyle name="Positive 3 14 8 2" xfId="27434" xr:uid="{00000000-0005-0000-0000-0000376B0000}"/>
    <cellStyle name="Positive 3 14 9" xfId="27435" xr:uid="{00000000-0005-0000-0000-0000386B0000}"/>
    <cellStyle name="Positive 3 14 9 2" xfId="27436" xr:uid="{00000000-0005-0000-0000-0000396B0000}"/>
    <cellStyle name="Positive 3 15" xfId="27437" xr:uid="{00000000-0005-0000-0000-00003A6B0000}"/>
    <cellStyle name="Positive 3 15 10" xfId="27438" xr:uid="{00000000-0005-0000-0000-00003B6B0000}"/>
    <cellStyle name="Positive 3 15 10 2" xfId="27439" xr:uid="{00000000-0005-0000-0000-00003C6B0000}"/>
    <cellStyle name="Positive 3 15 11" xfId="27440" xr:uid="{00000000-0005-0000-0000-00003D6B0000}"/>
    <cellStyle name="Positive 3 15 11 2" xfId="27441" xr:uid="{00000000-0005-0000-0000-00003E6B0000}"/>
    <cellStyle name="Positive 3 15 12" xfId="27442" xr:uid="{00000000-0005-0000-0000-00003F6B0000}"/>
    <cellStyle name="Positive 3 15 12 2" xfId="27443" xr:uid="{00000000-0005-0000-0000-0000406B0000}"/>
    <cellStyle name="Positive 3 15 13" xfId="27444" xr:uid="{00000000-0005-0000-0000-0000416B0000}"/>
    <cellStyle name="Positive 3 15 13 2" xfId="27445" xr:uid="{00000000-0005-0000-0000-0000426B0000}"/>
    <cellStyle name="Positive 3 15 14" xfId="27446" xr:uid="{00000000-0005-0000-0000-0000436B0000}"/>
    <cellStyle name="Positive 3 15 14 2" xfId="27447" xr:uid="{00000000-0005-0000-0000-0000446B0000}"/>
    <cellStyle name="Positive 3 15 15" xfId="27448" xr:uid="{00000000-0005-0000-0000-0000456B0000}"/>
    <cellStyle name="Positive 3 15 15 2" xfId="27449" xr:uid="{00000000-0005-0000-0000-0000466B0000}"/>
    <cellStyle name="Positive 3 15 16" xfId="27450" xr:uid="{00000000-0005-0000-0000-0000476B0000}"/>
    <cellStyle name="Positive 3 15 16 2" xfId="27451" xr:uid="{00000000-0005-0000-0000-0000486B0000}"/>
    <cellStyle name="Positive 3 15 17" xfId="27452" xr:uid="{00000000-0005-0000-0000-0000496B0000}"/>
    <cellStyle name="Positive 3 15 17 2" xfId="27453" xr:uid="{00000000-0005-0000-0000-00004A6B0000}"/>
    <cellStyle name="Positive 3 15 18" xfId="27454" xr:uid="{00000000-0005-0000-0000-00004B6B0000}"/>
    <cellStyle name="Positive 3 15 18 2" xfId="27455" xr:uid="{00000000-0005-0000-0000-00004C6B0000}"/>
    <cellStyle name="Positive 3 15 19" xfId="27456" xr:uid="{00000000-0005-0000-0000-00004D6B0000}"/>
    <cellStyle name="Positive 3 15 19 2" xfId="27457" xr:uid="{00000000-0005-0000-0000-00004E6B0000}"/>
    <cellStyle name="Positive 3 15 2" xfId="27458" xr:uid="{00000000-0005-0000-0000-00004F6B0000}"/>
    <cellStyle name="Positive 3 15 2 10" xfId="27459" xr:uid="{00000000-0005-0000-0000-0000506B0000}"/>
    <cellStyle name="Positive 3 15 2 10 2" xfId="27460" xr:uid="{00000000-0005-0000-0000-0000516B0000}"/>
    <cellStyle name="Positive 3 15 2 11" xfId="27461" xr:uid="{00000000-0005-0000-0000-0000526B0000}"/>
    <cellStyle name="Positive 3 15 2 11 2" xfId="27462" xr:uid="{00000000-0005-0000-0000-0000536B0000}"/>
    <cellStyle name="Positive 3 15 2 12" xfId="27463" xr:uid="{00000000-0005-0000-0000-0000546B0000}"/>
    <cellStyle name="Positive 3 15 2 12 2" xfId="27464" xr:uid="{00000000-0005-0000-0000-0000556B0000}"/>
    <cellStyle name="Positive 3 15 2 13" xfId="27465" xr:uid="{00000000-0005-0000-0000-0000566B0000}"/>
    <cellStyle name="Positive 3 15 2 13 2" xfId="27466" xr:uid="{00000000-0005-0000-0000-0000576B0000}"/>
    <cellStyle name="Positive 3 15 2 14" xfId="27467" xr:uid="{00000000-0005-0000-0000-0000586B0000}"/>
    <cellStyle name="Positive 3 15 2 14 2" xfId="27468" xr:uid="{00000000-0005-0000-0000-0000596B0000}"/>
    <cellStyle name="Positive 3 15 2 15" xfId="27469" xr:uid="{00000000-0005-0000-0000-00005A6B0000}"/>
    <cellStyle name="Positive 3 15 2 15 2" xfId="27470" xr:uid="{00000000-0005-0000-0000-00005B6B0000}"/>
    <cellStyle name="Positive 3 15 2 16" xfId="27471" xr:uid="{00000000-0005-0000-0000-00005C6B0000}"/>
    <cellStyle name="Positive 3 15 2 16 2" xfId="27472" xr:uid="{00000000-0005-0000-0000-00005D6B0000}"/>
    <cellStyle name="Positive 3 15 2 17" xfId="27473" xr:uid="{00000000-0005-0000-0000-00005E6B0000}"/>
    <cellStyle name="Positive 3 15 2 17 2" xfId="27474" xr:uid="{00000000-0005-0000-0000-00005F6B0000}"/>
    <cellStyle name="Positive 3 15 2 18" xfId="27475" xr:uid="{00000000-0005-0000-0000-0000606B0000}"/>
    <cellStyle name="Positive 3 15 2 18 2" xfId="27476" xr:uid="{00000000-0005-0000-0000-0000616B0000}"/>
    <cellStyle name="Positive 3 15 2 19" xfId="27477" xr:uid="{00000000-0005-0000-0000-0000626B0000}"/>
    <cellStyle name="Positive 3 15 2 19 2" xfId="27478" xr:uid="{00000000-0005-0000-0000-0000636B0000}"/>
    <cellStyle name="Positive 3 15 2 2" xfId="27479" xr:uid="{00000000-0005-0000-0000-0000646B0000}"/>
    <cellStyle name="Positive 3 15 2 2 10" xfId="27480" xr:uid="{00000000-0005-0000-0000-0000656B0000}"/>
    <cellStyle name="Positive 3 15 2 2 10 2" xfId="27481" xr:uid="{00000000-0005-0000-0000-0000666B0000}"/>
    <cellStyle name="Positive 3 15 2 2 11" xfId="27482" xr:uid="{00000000-0005-0000-0000-0000676B0000}"/>
    <cellStyle name="Positive 3 15 2 2 11 2" xfId="27483" xr:uid="{00000000-0005-0000-0000-0000686B0000}"/>
    <cellStyle name="Positive 3 15 2 2 12" xfId="27484" xr:uid="{00000000-0005-0000-0000-0000696B0000}"/>
    <cellStyle name="Positive 3 15 2 2 12 2" xfId="27485" xr:uid="{00000000-0005-0000-0000-00006A6B0000}"/>
    <cellStyle name="Positive 3 15 2 2 13" xfId="27486" xr:uid="{00000000-0005-0000-0000-00006B6B0000}"/>
    <cellStyle name="Positive 3 15 2 2 13 2" xfId="27487" xr:uid="{00000000-0005-0000-0000-00006C6B0000}"/>
    <cellStyle name="Positive 3 15 2 2 14" xfId="27488" xr:uid="{00000000-0005-0000-0000-00006D6B0000}"/>
    <cellStyle name="Positive 3 15 2 2 14 2" xfId="27489" xr:uid="{00000000-0005-0000-0000-00006E6B0000}"/>
    <cellStyle name="Positive 3 15 2 2 15" xfId="27490" xr:uid="{00000000-0005-0000-0000-00006F6B0000}"/>
    <cellStyle name="Positive 3 15 2 2 15 2" xfId="27491" xr:uid="{00000000-0005-0000-0000-0000706B0000}"/>
    <cellStyle name="Positive 3 15 2 2 16" xfId="27492" xr:uid="{00000000-0005-0000-0000-0000716B0000}"/>
    <cellStyle name="Positive 3 15 2 2 16 2" xfId="27493" xr:uid="{00000000-0005-0000-0000-0000726B0000}"/>
    <cellStyle name="Positive 3 15 2 2 17" xfId="27494" xr:uid="{00000000-0005-0000-0000-0000736B0000}"/>
    <cellStyle name="Positive 3 15 2 2 2" xfId="27495" xr:uid="{00000000-0005-0000-0000-0000746B0000}"/>
    <cellStyle name="Positive 3 15 2 2 2 2" xfId="27496" xr:uid="{00000000-0005-0000-0000-0000756B0000}"/>
    <cellStyle name="Positive 3 15 2 2 3" xfId="27497" xr:uid="{00000000-0005-0000-0000-0000766B0000}"/>
    <cellStyle name="Positive 3 15 2 2 3 2" xfId="27498" xr:uid="{00000000-0005-0000-0000-0000776B0000}"/>
    <cellStyle name="Positive 3 15 2 2 4" xfId="27499" xr:uid="{00000000-0005-0000-0000-0000786B0000}"/>
    <cellStyle name="Positive 3 15 2 2 4 2" xfId="27500" xr:uid="{00000000-0005-0000-0000-0000796B0000}"/>
    <cellStyle name="Positive 3 15 2 2 5" xfId="27501" xr:uid="{00000000-0005-0000-0000-00007A6B0000}"/>
    <cellStyle name="Positive 3 15 2 2 5 2" xfId="27502" xr:uid="{00000000-0005-0000-0000-00007B6B0000}"/>
    <cellStyle name="Positive 3 15 2 2 6" xfId="27503" xr:uid="{00000000-0005-0000-0000-00007C6B0000}"/>
    <cellStyle name="Positive 3 15 2 2 6 2" xfId="27504" xr:uid="{00000000-0005-0000-0000-00007D6B0000}"/>
    <cellStyle name="Positive 3 15 2 2 7" xfId="27505" xr:uid="{00000000-0005-0000-0000-00007E6B0000}"/>
    <cellStyle name="Positive 3 15 2 2 7 2" xfId="27506" xr:uid="{00000000-0005-0000-0000-00007F6B0000}"/>
    <cellStyle name="Positive 3 15 2 2 8" xfId="27507" xr:uid="{00000000-0005-0000-0000-0000806B0000}"/>
    <cellStyle name="Positive 3 15 2 2 8 2" xfId="27508" xr:uid="{00000000-0005-0000-0000-0000816B0000}"/>
    <cellStyle name="Positive 3 15 2 2 9" xfId="27509" xr:uid="{00000000-0005-0000-0000-0000826B0000}"/>
    <cellStyle name="Positive 3 15 2 2 9 2" xfId="27510" xr:uid="{00000000-0005-0000-0000-0000836B0000}"/>
    <cellStyle name="Positive 3 15 2 20" xfId="27511" xr:uid="{00000000-0005-0000-0000-0000846B0000}"/>
    <cellStyle name="Positive 3 15 2 3" xfId="27512" xr:uid="{00000000-0005-0000-0000-0000856B0000}"/>
    <cellStyle name="Positive 3 15 2 3 2" xfId="27513" xr:uid="{00000000-0005-0000-0000-0000866B0000}"/>
    <cellStyle name="Positive 3 15 2 3 2 2" xfId="27514" xr:uid="{00000000-0005-0000-0000-0000876B0000}"/>
    <cellStyle name="Positive 3 15 2 3 3" xfId="27515" xr:uid="{00000000-0005-0000-0000-0000886B0000}"/>
    <cellStyle name="Positive 3 15 2 4" xfId="27516" xr:uid="{00000000-0005-0000-0000-0000896B0000}"/>
    <cellStyle name="Positive 3 15 2 4 2" xfId="27517" xr:uid="{00000000-0005-0000-0000-00008A6B0000}"/>
    <cellStyle name="Positive 3 15 2 4 2 2" xfId="27518" xr:uid="{00000000-0005-0000-0000-00008B6B0000}"/>
    <cellStyle name="Positive 3 15 2 4 3" xfId="27519" xr:uid="{00000000-0005-0000-0000-00008C6B0000}"/>
    <cellStyle name="Positive 3 15 2 5" xfId="27520" xr:uid="{00000000-0005-0000-0000-00008D6B0000}"/>
    <cellStyle name="Positive 3 15 2 5 2" xfId="27521" xr:uid="{00000000-0005-0000-0000-00008E6B0000}"/>
    <cellStyle name="Positive 3 15 2 6" xfId="27522" xr:uid="{00000000-0005-0000-0000-00008F6B0000}"/>
    <cellStyle name="Positive 3 15 2 6 2" xfId="27523" xr:uid="{00000000-0005-0000-0000-0000906B0000}"/>
    <cellStyle name="Positive 3 15 2 7" xfId="27524" xr:uid="{00000000-0005-0000-0000-0000916B0000}"/>
    <cellStyle name="Positive 3 15 2 7 2" xfId="27525" xr:uid="{00000000-0005-0000-0000-0000926B0000}"/>
    <cellStyle name="Positive 3 15 2 8" xfId="27526" xr:uid="{00000000-0005-0000-0000-0000936B0000}"/>
    <cellStyle name="Positive 3 15 2 8 2" xfId="27527" xr:uid="{00000000-0005-0000-0000-0000946B0000}"/>
    <cellStyle name="Positive 3 15 2 9" xfId="27528" xr:uid="{00000000-0005-0000-0000-0000956B0000}"/>
    <cellStyle name="Positive 3 15 2 9 2" xfId="27529" xr:uid="{00000000-0005-0000-0000-0000966B0000}"/>
    <cellStyle name="Positive 3 15 20" xfId="27530" xr:uid="{00000000-0005-0000-0000-0000976B0000}"/>
    <cellStyle name="Positive 3 15 20 2" xfId="27531" xr:uid="{00000000-0005-0000-0000-0000986B0000}"/>
    <cellStyle name="Positive 3 15 21" xfId="27532" xr:uid="{00000000-0005-0000-0000-0000996B0000}"/>
    <cellStyle name="Positive 3 15 21 2" xfId="27533" xr:uid="{00000000-0005-0000-0000-00009A6B0000}"/>
    <cellStyle name="Positive 3 15 22" xfId="27534" xr:uid="{00000000-0005-0000-0000-00009B6B0000}"/>
    <cellStyle name="Positive 3 15 22 2" xfId="27535" xr:uid="{00000000-0005-0000-0000-00009C6B0000}"/>
    <cellStyle name="Positive 3 15 23" xfId="27536" xr:uid="{00000000-0005-0000-0000-00009D6B0000}"/>
    <cellStyle name="Positive 3 15 3" xfId="27537" xr:uid="{00000000-0005-0000-0000-00009E6B0000}"/>
    <cellStyle name="Positive 3 15 3 10" xfId="27538" xr:uid="{00000000-0005-0000-0000-00009F6B0000}"/>
    <cellStyle name="Positive 3 15 3 10 2" xfId="27539" xr:uid="{00000000-0005-0000-0000-0000A06B0000}"/>
    <cellStyle name="Positive 3 15 3 11" xfId="27540" xr:uid="{00000000-0005-0000-0000-0000A16B0000}"/>
    <cellStyle name="Positive 3 15 3 11 2" xfId="27541" xr:uid="{00000000-0005-0000-0000-0000A26B0000}"/>
    <cellStyle name="Positive 3 15 3 12" xfId="27542" xr:uid="{00000000-0005-0000-0000-0000A36B0000}"/>
    <cellStyle name="Positive 3 15 3 12 2" xfId="27543" xr:uid="{00000000-0005-0000-0000-0000A46B0000}"/>
    <cellStyle name="Positive 3 15 3 13" xfId="27544" xr:uid="{00000000-0005-0000-0000-0000A56B0000}"/>
    <cellStyle name="Positive 3 15 3 13 2" xfId="27545" xr:uid="{00000000-0005-0000-0000-0000A66B0000}"/>
    <cellStyle name="Positive 3 15 3 14" xfId="27546" xr:uid="{00000000-0005-0000-0000-0000A76B0000}"/>
    <cellStyle name="Positive 3 15 3 14 2" xfId="27547" xr:uid="{00000000-0005-0000-0000-0000A86B0000}"/>
    <cellStyle name="Positive 3 15 3 15" xfId="27548" xr:uid="{00000000-0005-0000-0000-0000A96B0000}"/>
    <cellStyle name="Positive 3 15 3 15 2" xfId="27549" xr:uid="{00000000-0005-0000-0000-0000AA6B0000}"/>
    <cellStyle name="Positive 3 15 3 16" xfId="27550" xr:uid="{00000000-0005-0000-0000-0000AB6B0000}"/>
    <cellStyle name="Positive 3 15 3 16 2" xfId="27551" xr:uid="{00000000-0005-0000-0000-0000AC6B0000}"/>
    <cellStyle name="Positive 3 15 3 17" xfId="27552" xr:uid="{00000000-0005-0000-0000-0000AD6B0000}"/>
    <cellStyle name="Positive 3 15 3 17 2" xfId="27553" xr:uid="{00000000-0005-0000-0000-0000AE6B0000}"/>
    <cellStyle name="Positive 3 15 3 18" xfId="27554" xr:uid="{00000000-0005-0000-0000-0000AF6B0000}"/>
    <cellStyle name="Positive 3 15 3 18 2" xfId="27555" xr:uid="{00000000-0005-0000-0000-0000B06B0000}"/>
    <cellStyle name="Positive 3 15 3 19" xfId="27556" xr:uid="{00000000-0005-0000-0000-0000B16B0000}"/>
    <cellStyle name="Positive 3 15 3 19 2" xfId="27557" xr:uid="{00000000-0005-0000-0000-0000B26B0000}"/>
    <cellStyle name="Positive 3 15 3 2" xfId="27558" xr:uid="{00000000-0005-0000-0000-0000B36B0000}"/>
    <cellStyle name="Positive 3 15 3 2 10" xfId="27559" xr:uid="{00000000-0005-0000-0000-0000B46B0000}"/>
    <cellStyle name="Positive 3 15 3 2 10 2" xfId="27560" xr:uid="{00000000-0005-0000-0000-0000B56B0000}"/>
    <cellStyle name="Positive 3 15 3 2 11" xfId="27561" xr:uid="{00000000-0005-0000-0000-0000B66B0000}"/>
    <cellStyle name="Positive 3 15 3 2 11 2" xfId="27562" xr:uid="{00000000-0005-0000-0000-0000B76B0000}"/>
    <cellStyle name="Positive 3 15 3 2 12" xfId="27563" xr:uid="{00000000-0005-0000-0000-0000B86B0000}"/>
    <cellStyle name="Positive 3 15 3 2 12 2" xfId="27564" xr:uid="{00000000-0005-0000-0000-0000B96B0000}"/>
    <cellStyle name="Positive 3 15 3 2 13" xfId="27565" xr:uid="{00000000-0005-0000-0000-0000BA6B0000}"/>
    <cellStyle name="Positive 3 15 3 2 13 2" xfId="27566" xr:uid="{00000000-0005-0000-0000-0000BB6B0000}"/>
    <cellStyle name="Positive 3 15 3 2 14" xfId="27567" xr:uid="{00000000-0005-0000-0000-0000BC6B0000}"/>
    <cellStyle name="Positive 3 15 3 2 14 2" xfId="27568" xr:uid="{00000000-0005-0000-0000-0000BD6B0000}"/>
    <cellStyle name="Positive 3 15 3 2 15" xfId="27569" xr:uid="{00000000-0005-0000-0000-0000BE6B0000}"/>
    <cellStyle name="Positive 3 15 3 2 15 2" xfId="27570" xr:uid="{00000000-0005-0000-0000-0000BF6B0000}"/>
    <cellStyle name="Positive 3 15 3 2 16" xfId="27571" xr:uid="{00000000-0005-0000-0000-0000C06B0000}"/>
    <cellStyle name="Positive 3 15 3 2 16 2" xfId="27572" xr:uid="{00000000-0005-0000-0000-0000C16B0000}"/>
    <cellStyle name="Positive 3 15 3 2 17" xfId="27573" xr:uid="{00000000-0005-0000-0000-0000C26B0000}"/>
    <cellStyle name="Positive 3 15 3 2 2" xfId="27574" xr:uid="{00000000-0005-0000-0000-0000C36B0000}"/>
    <cellStyle name="Positive 3 15 3 2 2 2" xfId="27575" xr:uid="{00000000-0005-0000-0000-0000C46B0000}"/>
    <cellStyle name="Positive 3 15 3 2 3" xfId="27576" xr:uid="{00000000-0005-0000-0000-0000C56B0000}"/>
    <cellStyle name="Positive 3 15 3 2 3 2" xfId="27577" xr:uid="{00000000-0005-0000-0000-0000C66B0000}"/>
    <cellStyle name="Positive 3 15 3 2 4" xfId="27578" xr:uid="{00000000-0005-0000-0000-0000C76B0000}"/>
    <cellStyle name="Positive 3 15 3 2 4 2" xfId="27579" xr:uid="{00000000-0005-0000-0000-0000C86B0000}"/>
    <cellStyle name="Positive 3 15 3 2 5" xfId="27580" xr:uid="{00000000-0005-0000-0000-0000C96B0000}"/>
    <cellStyle name="Positive 3 15 3 2 5 2" xfId="27581" xr:uid="{00000000-0005-0000-0000-0000CA6B0000}"/>
    <cellStyle name="Positive 3 15 3 2 6" xfId="27582" xr:uid="{00000000-0005-0000-0000-0000CB6B0000}"/>
    <cellStyle name="Positive 3 15 3 2 6 2" xfId="27583" xr:uid="{00000000-0005-0000-0000-0000CC6B0000}"/>
    <cellStyle name="Positive 3 15 3 2 7" xfId="27584" xr:uid="{00000000-0005-0000-0000-0000CD6B0000}"/>
    <cellStyle name="Positive 3 15 3 2 7 2" xfId="27585" xr:uid="{00000000-0005-0000-0000-0000CE6B0000}"/>
    <cellStyle name="Positive 3 15 3 2 8" xfId="27586" xr:uid="{00000000-0005-0000-0000-0000CF6B0000}"/>
    <cellStyle name="Positive 3 15 3 2 8 2" xfId="27587" xr:uid="{00000000-0005-0000-0000-0000D06B0000}"/>
    <cellStyle name="Positive 3 15 3 2 9" xfId="27588" xr:uid="{00000000-0005-0000-0000-0000D16B0000}"/>
    <cellStyle name="Positive 3 15 3 2 9 2" xfId="27589" xr:uid="{00000000-0005-0000-0000-0000D26B0000}"/>
    <cellStyle name="Positive 3 15 3 20" xfId="27590" xr:uid="{00000000-0005-0000-0000-0000D36B0000}"/>
    <cellStyle name="Positive 3 15 3 3" xfId="27591" xr:uid="{00000000-0005-0000-0000-0000D46B0000}"/>
    <cellStyle name="Positive 3 15 3 3 2" xfId="27592" xr:uid="{00000000-0005-0000-0000-0000D56B0000}"/>
    <cellStyle name="Positive 3 15 3 3 2 2" xfId="27593" xr:uid="{00000000-0005-0000-0000-0000D66B0000}"/>
    <cellStyle name="Positive 3 15 3 3 3" xfId="27594" xr:uid="{00000000-0005-0000-0000-0000D76B0000}"/>
    <cellStyle name="Positive 3 15 3 4" xfId="27595" xr:uid="{00000000-0005-0000-0000-0000D86B0000}"/>
    <cellStyle name="Positive 3 15 3 4 2" xfId="27596" xr:uid="{00000000-0005-0000-0000-0000D96B0000}"/>
    <cellStyle name="Positive 3 15 3 4 2 2" xfId="27597" xr:uid="{00000000-0005-0000-0000-0000DA6B0000}"/>
    <cellStyle name="Positive 3 15 3 4 3" xfId="27598" xr:uid="{00000000-0005-0000-0000-0000DB6B0000}"/>
    <cellStyle name="Positive 3 15 3 5" xfId="27599" xr:uid="{00000000-0005-0000-0000-0000DC6B0000}"/>
    <cellStyle name="Positive 3 15 3 5 2" xfId="27600" xr:uid="{00000000-0005-0000-0000-0000DD6B0000}"/>
    <cellStyle name="Positive 3 15 3 6" xfId="27601" xr:uid="{00000000-0005-0000-0000-0000DE6B0000}"/>
    <cellStyle name="Positive 3 15 3 6 2" xfId="27602" xr:uid="{00000000-0005-0000-0000-0000DF6B0000}"/>
    <cellStyle name="Positive 3 15 3 7" xfId="27603" xr:uid="{00000000-0005-0000-0000-0000E06B0000}"/>
    <cellStyle name="Positive 3 15 3 7 2" xfId="27604" xr:uid="{00000000-0005-0000-0000-0000E16B0000}"/>
    <cellStyle name="Positive 3 15 3 8" xfId="27605" xr:uid="{00000000-0005-0000-0000-0000E26B0000}"/>
    <cellStyle name="Positive 3 15 3 8 2" xfId="27606" xr:uid="{00000000-0005-0000-0000-0000E36B0000}"/>
    <cellStyle name="Positive 3 15 3 9" xfId="27607" xr:uid="{00000000-0005-0000-0000-0000E46B0000}"/>
    <cellStyle name="Positive 3 15 3 9 2" xfId="27608" xr:uid="{00000000-0005-0000-0000-0000E56B0000}"/>
    <cellStyle name="Positive 3 15 4" xfId="27609" xr:uid="{00000000-0005-0000-0000-0000E66B0000}"/>
    <cellStyle name="Positive 3 15 4 10" xfId="27610" xr:uid="{00000000-0005-0000-0000-0000E76B0000}"/>
    <cellStyle name="Positive 3 15 4 10 2" xfId="27611" xr:uid="{00000000-0005-0000-0000-0000E86B0000}"/>
    <cellStyle name="Positive 3 15 4 11" xfId="27612" xr:uid="{00000000-0005-0000-0000-0000E96B0000}"/>
    <cellStyle name="Positive 3 15 4 11 2" xfId="27613" xr:uid="{00000000-0005-0000-0000-0000EA6B0000}"/>
    <cellStyle name="Positive 3 15 4 12" xfId="27614" xr:uid="{00000000-0005-0000-0000-0000EB6B0000}"/>
    <cellStyle name="Positive 3 15 4 12 2" xfId="27615" xr:uid="{00000000-0005-0000-0000-0000EC6B0000}"/>
    <cellStyle name="Positive 3 15 4 13" xfId="27616" xr:uid="{00000000-0005-0000-0000-0000ED6B0000}"/>
    <cellStyle name="Positive 3 15 4 13 2" xfId="27617" xr:uid="{00000000-0005-0000-0000-0000EE6B0000}"/>
    <cellStyle name="Positive 3 15 4 14" xfId="27618" xr:uid="{00000000-0005-0000-0000-0000EF6B0000}"/>
    <cellStyle name="Positive 3 15 4 14 2" xfId="27619" xr:uid="{00000000-0005-0000-0000-0000F06B0000}"/>
    <cellStyle name="Positive 3 15 4 15" xfId="27620" xr:uid="{00000000-0005-0000-0000-0000F16B0000}"/>
    <cellStyle name="Positive 3 15 4 15 2" xfId="27621" xr:uid="{00000000-0005-0000-0000-0000F26B0000}"/>
    <cellStyle name="Positive 3 15 4 16" xfId="27622" xr:uid="{00000000-0005-0000-0000-0000F36B0000}"/>
    <cellStyle name="Positive 3 15 4 16 2" xfId="27623" xr:uid="{00000000-0005-0000-0000-0000F46B0000}"/>
    <cellStyle name="Positive 3 15 4 17" xfId="27624" xr:uid="{00000000-0005-0000-0000-0000F56B0000}"/>
    <cellStyle name="Positive 3 15 4 17 2" xfId="27625" xr:uid="{00000000-0005-0000-0000-0000F66B0000}"/>
    <cellStyle name="Positive 3 15 4 18" xfId="27626" xr:uid="{00000000-0005-0000-0000-0000F76B0000}"/>
    <cellStyle name="Positive 3 15 4 18 2" xfId="27627" xr:uid="{00000000-0005-0000-0000-0000F86B0000}"/>
    <cellStyle name="Positive 3 15 4 19" xfId="27628" xr:uid="{00000000-0005-0000-0000-0000F96B0000}"/>
    <cellStyle name="Positive 3 15 4 19 2" xfId="27629" xr:uid="{00000000-0005-0000-0000-0000FA6B0000}"/>
    <cellStyle name="Positive 3 15 4 2" xfId="27630" xr:uid="{00000000-0005-0000-0000-0000FB6B0000}"/>
    <cellStyle name="Positive 3 15 4 2 10" xfId="27631" xr:uid="{00000000-0005-0000-0000-0000FC6B0000}"/>
    <cellStyle name="Positive 3 15 4 2 10 2" xfId="27632" xr:uid="{00000000-0005-0000-0000-0000FD6B0000}"/>
    <cellStyle name="Positive 3 15 4 2 11" xfId="27633" xr:uid="{00000000-0005-0000-0000-0000FE6B0000}"/>
    <cellStyle name="Positive 3 15 4 2 11 2" xfId="27634" xr:uid="{00000000-0005-0000-0000-0000FF6B0000}"/>
    <cellStyle name="Positive 3 15 4 2 12" xfId="27635" xr:uid="{00000000-0005-0000-0000-0000006C0000}"/>
    <cellStyle name="Positive 3 15 4 2 12 2" xfId="27636" xr:uid="{00000000-0005-0000-0000-0000016C0000}"/>
    <cellStyle name="Positive 3 15 4 2 13" xfId="27637" xr:uid="{00000000-0005-0000-0000-0000026C0000}"/>
    <cellStyle name="Positive 3 15 4 2 13 2" xfId="27638" xr:uid="{00000000-0005-0000-0000-0000036C0000}"/>
    <cellStyle name="Positive 3 15 4 2 14" xfId="27639" xr:uid="{00000000-0005-0000-0000-0000046C0000}"/>
    <cellStyle name="Positive 3 15 4 2 14 2" xfId="27640" xr:uid="{00000000-0005-0000-0000-0000056C0000}"/>
    <cellStyle name="Positive 3 15 4 2 15" xfId="27641" xr:uid="{00000000-0005-0000-0000-0000066C0000}"/>
    <cellStyle name="Positive 3 15 4 2 15 2" xfId="27642" xr:uid="{00000000-0005-0000-0000-0000076C0000}"/>
    <cellStyle name="Positive 3 15 4 2 16" xfId="27643" xr:uid="{00000000-0005-0000-0000-0000086C0000}"/>
    <cellStyle name="Positive 3 15 4 2 16 2" xfId="27644" xr:uid="{00000000-0005-0000-0000-0000096C0000}"/>
    <cellStyle name="Positive 3 15 4 2 17" xfId="27645" xr:uid="{00000000-0005-0000-0000-00000A6C0000}"/>
    <cellStyle name="Positive 3 15 4 2 2" xfId="27646" xr:uid="{00000000-0005-0000-0000-00000B6C0000}"/>
    <cellStyle name="Positive 3 15 4 2 2 2" xfId="27647" xr:uid="{00000000-0005-0000-0000-00000C6C0000}"/>
    <cellStyle name="Positive 3 15 4 2 3" xfId="27648" xr:uid="{00000000-0005-0000-0000-00000D6C0000}"/>
    <cellStyle name="Positive 3 15 4 2 3 2" xfId="27649" xr:uid="{00000000-0005-0000-0000-00000E6C0000}"/>
    <cellStyle name="Positive 3 15 4 2 4" xfId="27650" xr:uid="{00000000-0005-0000-0000-00000F6C0000}"/>
    <cellStyle name="Positive 3 15 4 2 4 2" xfId="27651" xr:uid="{00000000-0005-0000-0000-0000106C0000}"/>
    <cellStyle name="Positive 3 15 4 2 5" xfId="27652" xr:uid="{00000000-0005-0000-0000-0000116C0000}"/>
    <cellStyle name="Positive 3 15 4 2 5 2" xfId="27653" xr:uid="{00000000-0005-0000-0000-0000126C0000}"/>
    <cellStyle name="Positive 3 15 4 2 6" xfId="27654" xr:uid="{00000000-0005-0000-0000-0000136C0000}"/>
    <cellStyle name="Positive 3 15 4 2 6 2" xfId="27655" xr:uid="{00000000-0005-0000-0000-0000146C0000}"/>
    <cellStyle name="Positive 3 15 4 2 7" xfId="27656" xr:uid="{00000000-0005-0000-0000-0000156C0000}"/>
    <cellStyle name="Positive 3 15 4 2 7 2" xfId="27657" xr:uid="{00000000-0005-0000-0000-0000166C0000}"/>
    <cellStyle name="Positive 3 15 4 2 8" xfId="27658" xr:uid="{00000000-0005-0000-0000-0000176C0000}"/>
    <cellStyle name="Positive 3 15 4 2 8 2" xfId="27659" xr:uid="{00000000-0005-0000-0000-0000186C0000}"/>
    <cellStyle name="Positive 3 15 4 2 9" xfId="27660" xr:uid="{00000000-0005-0000-0000-0000196C0000}"/>
    <cellStyle name="Positive 3 15 4 2 9 2" xfId="27661" xr:uid="{00000000-0005-0000-0000-00001A6C0000}"/>
    <cellStyle name="Positive 3 15 4 20" xfId="27662" xr:uid="{00000000-0005-0000-0000-00001B6C0000}"/>
    <cellStyle name="Positive 3 15 4 3" xfId="27663" xr:uid="{00000000-0005-0000-0000-00001C6C0000}"/>
    <cellStyle name="Positive 3 15 4 3 2" xfId="27664" xr:uid="{00000000-0005-0000-0000-00001D6C0000}"/>
    <cellStyle name="Positive 3 15 4 3 2 2" xfId="27665" xr:uid="{00000000-0005-0000-0000-00001E6C0000}"/>
    <cellStyle name="Positive 3 15 4 3 3" xfId="27666" xr:uid="{00000000-0005-0000-0000-00001F6C0000}"/>
    <cellStyle name="Positive 3 15 4 4" xfId="27667" xr:uid="{00000000-0005-0000-0000-0000206C0000}"/>
    <cellStyle name="Positive 3 15 4 4 2" xfId="27668" xr:uid="{00000000-0005-0000-0000-0000216C0000}"/>
    <cellStyle name="Positive 3 15 4 4 2 2" xfId="27669" xr:uid="{00000000-0005-0000-0000-0000226C0000}"/>
    <cellStyle name="Positive 3 15 4 4 3" xfId="27670" xr:uid="{00000000-0005-0000-0000-0000236C0000}"/>
    <cellStyle name="Positive 3 15 4 5" xfId="27671" xr:uid="{00000000-0005-0000-0000-0000246C0000}"/>
    <cellStyle name="Positive 3 15 4 5 2" xfId="27672" xr:uid="{00000000-0005-0000-0000-0000256C0000}"/>
    <cellStyle name="Positive 3 15 4 6" xfId="27673" xr:uid="{00000000-0005-0000-0000-0000266C0000}"/>
    <cellStyle name="Positive 3 15 4 6 2" xfId="27674" xr:uid="{00000000-0005-0000-0000-0000276C0000}"/>
    <cellStyle name="Positive 3 15 4 7" xfId="27675" xr:uid="{00000000-0005-0000-0000-0000286C0000}"/>
    <cellStyle name="Positive 3 15 4 7 2" xfId="27676" xr:uid="{00000000-0005-0000-0000-0000296C0000}"/>
    <cellStyle name="Positive 3 15 4 8" xfId="27677" xr:uid="{00000000-0005-0000-0000-00002A6C0000}"/>
    <cellStyle name="Positive 3 15 4 8 2" xfId="27678" xr:uid="{00000000-0005-0000-0000-00002B6C0000}"/>
    <cellStyle name="Positive 3 15 4 9" xfId="27679" xr:uid="{00000000-0005-0000-0000-00002C6C0000}"/>
    <cellStyle name="Positive 3 15 4 9 2" xfId="27680" xr:uid="{00000000-0005-0000-0000-00002D6C0000}"/>
    <cellStyle name="Positive 3 15 5" xfId="27681" xr:uid="{00000000-0005-0000-0000-00002E6C0000}"/>
    <cellStyle name="Positive 3 15 5 10" xfId="27682" xr:uid="{00000000-0005-0000-0000-00002F6C0000}"/>
    <cellStyle name="Positive 3 15 5 10 2" xfId="27683" xr:uid="{00000000-0005-0000-0000-0000306C0000}"/>
    <cellStyle name="Positive 3 15 5 11" xfId="27684" xr:uid="{00000000-0005-0000-0000-0000316C0000}"/>
    <cellStyle name="Positive 3 15 5 11 2" xfId="27685" xr:uid="{00000000-0005-0000-0000-0000326C0000}"/>
    <cellStyle name="Positive 3 15 5 12" xfId="27686" xr:uid="{00000000-0005-0000-0000-0000336C0000}"/>
    <cellStyle name="Positive 3 15 5 12 2" xfId="27687" xr:uid="{00000000-0005-0000-0000-0000346C0000}"/>
    <cellStyle name="Positive 3 15 5 13" xfId="27688" xr:uid="{00000000-0005-0000-0000-0000356C0000}"/>
    <cellStyle name="Positive 3 15 5 13 2" xfId="27689" xr:uid="{00000000-0005-0000-0000-0000366C0000}"/>
    <cellStyle name="Positive 3 15 5 14" xfId="27690" xr:uid="{00000000-0005-0000-0000-0000376C0000}"/>
    <cellStyle name="Positive 3 15 5 14 2" xfId="27691" xr:uid="{00000000-0005-0000-0000-0000386C0000}"/>
    <cellStyle name="Positive 3 15 5 15" xfId="27692" xr:uid="{00000000-0005-0000-0000-0000396C0000}"/>
    <cellStyle name="Positive 3 15 5 15 2" xfId="27693" xr:uid="{00000000-0005-0000-0000-00003A6C0000}"/>
    <cellStyle name="Positive 3 15 5 16" xfId="27694" xr:uid="{00000000-0005-0000-0000-00003B6C0000}"/>
    <cellStyle name="Positive 3 15 5 16 2" xfId="27695" xr:uid="{00000000-0005-0000-0000-00003C6C0000}"/>
    <cellStyle name="Positive 3 15 5 17" xfId="27696" xr:uid="{00000000-0005-0000-0000-00003D6C0000}"/>
    <cellStyle name="Positive 3 15 5 2" xfId="27697" xr:uid="{00000000-0005-0000-0000-00003E6C0000}"/>
    <cellStyle name="Positive 3 15 5 2 2" xfId="27698" xr:uid="{00000000-0005-0000-0000-00003F6C0000}"/>
    <cellStyle name="Positive 3 15 5 3" xfId="27699" xr:uid="{00000000-0005-0000-0000-0000406C0000}"/>
    <cellStyle name="Positive 3 15 5 3 2" xfId="27700" xr:uid="{00000000-0005-0000-0000-0000416C0000}"/>
    <cellStyle name="Positive 3 15 5 4" xfId="27701" xr:uid="{00000000-0005-0000-0000-0000426C0000}"/>
    <cellStyle name="Positive 3 15 5 4 2" xfId="27702" xr:uid="{00000000-0005-0000-0000-0000436C0000}"/>
    <cellStyle name="Positive 3 15 5 5" xfId="27703" xr:uid="{00000000-0005-0000-0000-0000446C0000}"/>
    <cellStyle name="Positive 3 15 5 5 2" xfId="27704" xr:uid="{00000000-0005-0000-0000-0000456C0000}"/>
    <cellStyle name="Positive 3 15 5 6" xfId="27705" xr:uid="{00000000-0005-0000-0000-0000466C0000}"/>
    <cellStyle name="Positive 3 15 5 6 2" xfId="27706" xr:uid="{00000000-0005-0000-0000-0000476C0000}"/>
    <cellStyle name="Positive 3 15 5 7" xfId="27707" xr:uid="{00000000-0005-0000-0000-0000486C0000}"/>
    <cellStyle name="Positive 3 15 5 7 2" xfId="27708" xr:uid="{00000000-0005-0000-0000-0000496C0000}"/>
    <cellStyle name="Positive 3 15 5 8" xfId="27709" xr:uid="{00000000-0005-0000-0000-00004A6C0000}"/>
    <cellStyle name="Positive 3 15 5 8 2" xfId="27710" xr:uid="{00000000-0005-0000-0000-00004B6C0000}"/>
    <cellStyle name="Positive 3 15 5 9" xfId="27711" xr:uid="{00000000-0005-0000-0000-00004C6C0000}"/>
    <cellStyle name="Positive 3 15 5 9 2" xfId="27712" xr:uid="{00000000-0005-0000-0000-00004D6C0000}"/>
    <cellStyle name="Positive 3 15 6" xfId="27713" xr:uid="{00000000-0005-0000-0000-00004E6C0000}"/>
    <cellStyle name="Positive 3 15 6 2" xfId="27714" xr:uid="{00000000-0005-0000-0000-00004F6C0000}"/>
    <cellStyle name="Positive 3 15 6 2 2" xfId="27715" xr:uid="{00000000-0005-0000-0000-0000506C0000}"/>
    <cellStyle name="Positive 3 15 6 3" xfId="27716" xr:uid="{00000000-0005-0000-0000-0000516C0000}"/>
    <cellStyle name="Positive 3 15 7" xfId="27717" xr:uid="{00000000-0005-0000-0000-0000526C0000}"/>
    <cellStyle name="Positive 3 15 7 2" xfId="27718" xr:uid="{00000000-0005-0000-0000-0000536C0000}"/>
    <cellStyle name="Positive 3 15 7 2 2" xfId="27719" xr:uid="{00000000-0005-0000-0000-0000546C0000}"/>
    <cellStyle name="Positive 3 15 7 3" xfId="27720" xr:uid="{00000000-0005-0000-0000-0000556C0000}"/>
    <cellStyle name="Positive 3 15 8" xfId="27721" xr:uid="{00000000-0005-0000-0000-0000566C0000}"/>
    <cellStyle name="Positive 3 15 8 2" xfId="27722" xr:uid="{00000000-0005-0000-0000-0000576C0000}"/>
    <cellStyle name="Positive 3 15 9" xfId="27723" xr:uid="{00000000-0005-0000-0000-0000586C0000}"/>
    <cellStyle name="Positive 3 15 9 2" xfId="27724" xr:uid="{00000000-0005-0000-0000-0000596C0000}"/>
    <cellStyle name="Positive 3 16" xfId="27725" xr:uid="{00000000-0005-0000-0000-00005A6C0000}"/>
    <cellStyle name="Positive 3 16 10" xfId="27726" xr:uid="{00000000-0005-0000-0000-00005B6C0000}"/>
    <cellStyle name="Positive 3 16 10 2" xfId="27727" xr:uid="{00000000-0005-0000-0000-00005C6C0000}"/>
    <cellStyle name="Positive 3 16 11" xfId="27728" xr:uid="{00000000-0005-0000-0000-00005D6C0000}"/>
    <cellStyle name="Positive 3 16 11 2" xfId="27729" xr:uid="{00000000-0005-0000-0000-00005E6C0000}"/>
    <cellStyle name="Positive 3 16 12" xfId="27730" xr:uid="{00000000-0005-0000-0000-00005F6C0000}"/>
    <cellStyle name="Positive 3 16 12 2" xfId="27731" xr:uid="{00000000-0005-0000-0000-0000606C0000}"/>
    <cellStyle name="Positive 3 16 13" xfId="27732" xr:uid="{00000000-0005-0000-0000-0000616C0000}"/>
    <cellStyle name="Positive 3 16 13 2" xfId="27733" xr:uid="{00000000-0005-0000-0000-0000626C0000}"/>
    <cellStyle name="Positive 3 16 14" xfId="27734" xr:uid="{00000000-0005-0000-0000-0000636C0000}"/>
    <cellStyle name="Positive 3 16 14 2" xfId="27735" xr:uid="{00000000-0005-0000-0000-0000646C0000}"/>
    <cellStyle name="Positive 3 16 15" xfId="27736" xr:uid="{00000000-0005-0000-0000-0000656C0000}"/>
    <cellStyle name="Positive 3 16 15 2" xfId="27737" xr:uid="{00000000-0005-0000-0000-0000666C0000}"/>
    <cellStyle name="Positive 3 16 16" xfId="27738" xr:uid="{00000000-0005-0000-0000-0000676C0000}"/>
    <cellStyle name="Positive 3 16 16 2" xfId="27739" xr:uid="{00000000-0005-0000-0000-0000686C0000}"/>
    <cellStyle name="Positive 3 16 17" xfId="27740" xr:uid="{00000000-0005-0000-0000-0000696C0000}"/>
    <cellStyle name="Positive 3 16 17 2" xfId="27741" xr:uid="{00000000-0005-0000-0000-00006A6C0000}"/>
    <cellStyle name="Positive 3 16 18" xfId="27742" xr:uid="{00000000-0005-0000-0000-00006B6C0000}"/>
    <cellStyle name="Positive 3 16 18 2" xfId="27743" xr:uid="{00000000-0005-0000-0000-00006C6C0000}"/>
    <cellStyle name="Positive 3 16 19" xfId="27744" xr:uid="{00000000-0005-0000-0000-00006D6C0000}"/>
    <cellStyle name="Positive 3 16 19 2" xfId="27745" xr:uid="{00000000-0005-0000-0000-00006E6C0000}"/>
    <cellStyle name="Positive 3 16 2" xfId="27746" xr:uid="{00000000-0005-0000-0000-00006F6C0000}"/>
    <cellStyle name="Positive 3 16 2 10" xfId="27747" xr:uid="{00000000-0005-0000-0000-0000706C0000}"/>
    <cellStyle name="Positive 3 16 2 10 2" xfId="27748" xr:uid="{00000000-0005-0000-0000-0000716C0000}"/>
    <cellStyle name="Positive 3 16 2 11" xfId="27749" xr:uid="{00000000-0005-0000-0000-0000726C0000}"/>
    <cellStyle name="Positive 3 16 2 11 2" xfId="27750" xr:uid="{00000000-0005-0000-0000-0000736C0000}"/>
    <cellStyle name="Positive 3 16 2 12" xfId="27751" xr:uid="{00000000-0005-0000-0000-0000746C0000}"/>
    <cellStyle name="Positive 3 16 2 12 2" xfId="27752" xr:uid="{00000000-0005-0000-0000-0000756C0000}"/>
    <cellStyle name="Positive 3 16 2 13" xfId="27753" xr:uid="{00000000-0005-0000-0000-0000766C0000}"/>
    <cellStyle name="Positive 3 16 2 13 2" xfId="27754" xr:uid="{00000000-0005-0000-0000-0000776C0000}"/>
    <cellStyle name="Positive 3 16 2 14" xfId="27755" xr:uid="{00000000-0005-0000-0000-0000786C0000}"/>
    <cellStyle name="Positive 3 16 2 14 2" xfId="27756" xr:uid="{00000000-0005-0000-0000-0000796C0000}"/>
    <cellStyle name="Positive 3 16 2 15" xfId="27757" xr:uid="{00000000-0005-0000-0000-00007A6C0000}"/>
    <cellStyle name="Positive 3 16 2 15 2" xfId="27758" xr:uid="{00000000-0005-0000-0000-00007B6C0000}"/>
    <cellStyle name="Positive 3 16 2 16" xfId="27759" xr:uid="{00000000-0005-0000-0000-00007C6C0000}"/>
    <cellStyle name="Positive 3 16 2 16 2" xfId="27760" xr:uid="{00000000-0005-0000-0000-00007D6C0000}"/>
    <cellStyle name="Positive 3 16 2 17" xfId="27761" xr:uid="{00000000-0005-0000-0000-00007E6C0000}"/>
    <cellStyle name="Positive 3 16 2 17 2" xfId="27762" xr:uid="{00000000-0005-0000-0000-00007F6C0000}"/>
    <cellStyle name="Positive 3 16 2 18" xfId="27763" xr:uid="{00000000-0005-0000-0000-0000806C0000}"/>
    <cellStyle name="Positive 3 16 2 18 2" xfId="27764" xr:uid="{00000000-0005-0000-0000-0000816C0000}"/>
    <cellStyle name="Positive 3 16 2 19" xfId="27765" xr:uid="{00000000-0005-0000-0000-0000826C0000}"/>
    <cellStyle name="Positive 3 16 2 19 2" xfId="27766" xr:uid="{00000000-0005-0000-0000-0000836C0000}"/>
    <cellStyle name="Positive 3 16 2 2" xfId="27767" xr:uid="{00000000-0005-0000-0000-0000846C0000}"/>
    <cellStyle name="Positive 3 16 2 2 10" xfId="27768" xr:uid="{00000000-0005-0000-0000-0000856C0000}"/>
    <cellStyle name="Positive 3 16 2 2 10 2" xfId="27769" xr:uid="{00000000-0005-0000-0000-0000866C0000}"/>
    <cellStyle name="Positive 3 16 2 2 11" xfId="27770" xr:uid="{00000000-0005-0000-0000-0000876C0000}"/>
    <cellStyle name="Positive 3 16 2 2 11 2" xfId="27771" xr:uid="{00000000-0005-0000-0000-0000886C0000}"/>
    <cellStyle name="Positive 3 16 2 2 12" xfId="27772" xr:uid="{00000000-0005-0000-0000-0000896C0000}"/>
    <cellStyle name="Positive 3 16 2 2 12 2" xfId="27773" xr:uid="{00000000-0005-0000-0000-00008A6C0000}"/>
    <cellStyle name="Positive 3 16 2 2 13" xfId="27774" xr:uid="{00000000-0005-0000-0000-00008B6C0000}"/>
    <cellStyle name="Positive 3 16 2 2 13 2" xfId="27775" xr:uid="{00000000-0005-0000-0000-00008C6C0000}"/>
    <cellStyle name="Positive 3 16 2 2 14" xfId="27776" xr:uid="{00000000-0005-0000-0000-00008D6C0000}"/>
    <cellStyle name="Positive 3 16 2 2 14 2" xfId="27777" xr:uid="{00000000-0005-0000-0000-00008E6C0000}"/>
    <cellStyle name="Positive 3 16 2 2 15" xfId="27778" xr:uid="{00000000-0005-0000-0000-00008F6C0000}"/>
    <cellStyle name="Positive 3 16 2 2 15 2" xfId="27779" xr:uid="{00000000-0005-0000-0000-0000906C0000}"/>
    <cellStyle name="Positive 3 16 2 2 16" xfId="27780" xr:uid="{00000000-0005-0000-0000-0000916C0000}"/>
    <cellStyle name="Positive 3 16 2 2 16 2" xfId="27781" xr:uid="{00000000-0005-0000-0000-0000926C0000}"/>
    <cellStyle name="Positive 3 16 2 2 17" xfId="27782" xr:uid="{00000000-0005-0000-0000-0000936C0000}"/>
    <cellStyle name="Positive 3 16 2 2 2" xfId="27783" xr:uid="{00000000-0005-0000-0000-0000946C0000}"/>
    <cellStyle name="Positive 3 16 2 2 2 2" xfId="27784" xr:uid="{00000000-0005-0000-0000-0000956C0000}"/>
    <cellStyle name="Positive 3 16 2 2 3" xfId="27785" xr:uid="{00000000-0005-0000-0000-0000966C0000}"/>
    <cellStyle name="Positive 3 16 2 2 3 2" xfId="27786" xr:uid="{00000000-0005-0000-0000-0000976C0000}"/>
    <cellStyle name="Positive 3 16 2 2 4" xfId="27787" xr:uid="{00000000-0005-0000-0000-0000986C0000}"/>
    <cellStyle name="Positive 3 16 2 2 4 2" xfId="27788" xr:uid="{00000000-0005-0000-0000-0000996C0000}"/>
    <cellStyle name="Positive 3 16 2 2 5" xfId="27789" xr:uid="{00000000-0005-0000-0000-00009A6C0000}"/>
    <cellStyle name="Positive 3 16 2 2 5 2" xfId="27790" xr:uid="{00000000-0005-0000-0000-00009B6C0000}"/>
    <cellStyle name="Positive 3 16 2 2 6" xfId="27791" xr:uid="{00000000-0005-0000-0000-00009C6C0000}"/>
    <cellStyle name="Positive 3 16 2 2 6 2" xfId="27792" xr:uid="{00000000-0005-0000-0000-00009D6C0000}"/>
    <cellStyle name="Positive 3 16 2 2 7" xfId="27793" xr:uid="{00000000-0005-0000-0000-00009E6C0000}"/>
    <cellStyle name="Positive 3 16 2 2 7 2" xfId="27794" xr:uid="{00000000-0005-0000-0000-00009F6C0000}"/>
    <cellStyle name="Positive 3 16 2 2 8" xfId="27795" xr:uid="{00000000-0005-0000-0000-0000A06C0000}"/>
    <cellStyle name="Positive 3 16 2 2 8 2" xfId="27796" xr:uid="{00000000-0005-0000-0000-0000A16C0000}"/>
    <cellStyle name="Positive 3 16 2 2 9" xfId="27797" xr:uid="{00000000-0005-0000-0000-0000A26C0000}"/>
    <cellStyle name="Positive 3 16 2 2 9 2" xfId="27798" xr:uid="{00000000-0005-0000-0000-0000A36C0000}"/>
    <cellStyle name="Positive 3 16 2 20" xfId="27799" xr:uid="{00000000-0005-0000-0000-0000A46C0000}"/>
    <cellStyle name="Positive 3 16 2 3" xfId="27800" xr:uid="{00000000-0005-0000-0000-0000A56C0000}"/>
    <cellStyle name="Positive 3 16 2 3 2" xfId="27801" xr:uid="{00000000-0005-0000-0000-0000A66C0000}"/>
    <cellStyle name="Positive 3 16 2 3 2 2" xfId="27802" xr:uid="{00000000-0005-0000-0000-0000A76C0000}"/>
    <cellStyle name="Positive 3 16 2 3 3" xfId="27803" xr:uid="{00000000-0005-0000-0000-0000A86C0000}"/>
    <cellStyle name="Positive 3 16 2 4" xfId="27804" xr:uid="{00000000-0005-0000-0000-0000A96C0000}"/>
    <cellStyle name="Positive 3 16 2 4 2" xfId="27805" xr:uid="{00000000-0005-0000-0000-0000AA6C0000}"/>
    <cellStyle name="Positive 3 16 2 4 2 2" xfId="27806" xr:uid="{00000000-0005-0000-0000-0000AB6C0000}"/>
    <cellStyle name="Positive 3 16 2 4 3" xfId="27807" xr:uid="{00000000-0005-0000-0000-0000AC6C0000}"/>
    <cellStyle name="Positive 3 16 2 5" xfId="27808" xr:uid="{00000000-0005-0000-0000-0000AD6C0000}"/>
    <cellStyle name="Positive 3 16 2 5 2" xfId="27809" xr:uid="{00000000-0005-0000-0000-0000AE6C0000}"/>
    <cellStyle name="Positive 3 16 2 6" xfId="27810" xr:uid="{00000000-0005-0000-0000-0000AF6C0000}"/>
    <cellStyle name="Positive 3 16 2 6 2" xfId="27811" xr:uid="{00000000-0005-0000-0000-0000B06C0000}"/>
    <cellStyle name="Positive 3 16 2 7" xfId="27812" xr:uid="{00000000-0005-0000-0000-0000B16C0000}"/>
    <cellStyle name="Positive 3 16 2 7 2" xfId="27813" xr:uid="{00000000-0005-0000-0000-0000B26C0000}"/>
    <cellStyle name="Positive 3 16 2 8" xfId="27814" xr:uid="{00000000-0005-0000-0000-0000B36C0000}"/>
    <cellStyle name="Positive 3 16 2 8 2" xfId="27815" xr:uid="{00000000-0005-0000-0000-0000B46C0000}"/>
    <cellStyle name="Positive 3 16 2 9" xfId="27816" xr:uid="{00000000-0005-0000-0000-0000B56C0000}"/>
    <cellStyle name="Positive 3 16 2 9 2" xfId="27817" xr:uid="{00000000-0005-0000-0000-0000B66C0000}"/>
    <cellStyle name="Positive 3 16 20" xfId="27818" xr:uid="{00000000-0005-0000-0000-0000B76C0000}"/>
    <cellStyle name="Positive 3 16 20 2" xfId="27819" xr:uid="{00000000-0005-0000-0000-0000B86C0000}"/>
    <cellStyle name="Positive 3 16 21" xfId="27820" xr:uid="{00000000-0005-0000-0000-0000B96C0000}"/>
    <cellStyle name="Positive 3 16 21 2" xfId="27821" xr:uid="{00000000-0005-0000-0000-0000BA6C0000}"/>
    <cellStyle name="Positive 3 16 22" xfId="27822" xr:uid="{00000000-0005-0000-0000-0000BB6C0000}"/>
    <cellStyle name="Positive 3 16 22 2" xfId="27823" xr:uid="{00000000-0005-0000-0000-0000BC6C0000}"/>
    <cellStyle name="Positive 3 16 23" xfId="27824" xr:uid="{00000000-0005-0000-0000-0000BD6C0000}"/>
    <cellStyle name="Positive 3 16 3" xfId="27825" xr:uid="{00000000-0005-0000-0000-0000BE6C0000}"/>
    <cellStyle name="Positive 3 16 3 10" xfId="27826" xr:uid="{00000000-0005-0000-0000-0000BF6C0000}"/>
    <cellStyle name="Positive 3 16 3 10 2" xfId="27827" xr:uid="{00000000-0005-0000-0000-0000C06C0000}"/>
    <cellStyle name="Positive 3 16 3 11" xfId="27828" xr:uid="{00000000-0005-0000-0000-0000C16C0000}"/>
    <cellStyle name="Positive 3 16 3 11 2" xfId="27829" xr:uid="{00000000-0005-0000-0000-0000C26C0000}"/>
    <cellStyle name="Positive 3 16 3 12" xfId="27830" xr:uid="{00000000-0005-0000-0000-0000C36C0000}"/>
    <cellStyle name="Positive 3 16 3 12 2" xfId="27831" xr:uid="{00000000-0005-0000-0000-0000C46C0000}"/>
    <cellStyle name="Positive 3 16 3 13" xfId="27832" xr:uid="{00000000-0005-0000-0000-0000C56C0000}"/>
    <cellStyle name="Positive 3 16 3 13 2" xfId="27833" xr:uid="{00000000-0005-0000-0000-0000C66C0000}"/>
    <cellStyle name="Positive 3 16 3 14" xfId="27834" xr:uid="{00000000-0005-0000-0000-0000C76C0000}"/>
    <cellStyle name="Positive 3 16 3 14 2" xfId="27835" xr:uid="{00000000-0005-0000-0000-0000C86C0000}"/>
    <cellStyle name="Positive 3 16 3 15" xfId="27836" xr:uid="{00000000-0005-0000-0000-0000C96C0000}"/>
    <cellStyle name="Positive 3 16 3 15 2" xfId="27837" xr:uid="{00000000-0005-0000-0000-0000CA6C0000}"/>
    <cellStyle name="Positive 3 16 3 16" xfId="27838" xr:uid="{00000000-0005-0000-0000-0000CB6C0000}"/>
    <cellStyle name="Positive 3 16 3 16 2" xfId="27839" xr:uid="{00000000-0005-0000-0000-0000CC6C0000}"/>
    <cellStyle name="Positive 3 16 3 17" xfId="27840" xr:uid="{00000000-0005-0000-0000-0000CD6C0000}"/>
    <cellStyle name="Positive 3 16 3 17 2" xfId="27841" xr:uid="{00000000-0005-0000-0000-0000CE6C0000}"/>
    <cellStyle name="Positive 3 16 3 18" xfId="27842" xr:uid="{00000000-0005-0000-0000-0000CF6C0000}"/>
    <cellStyle name="Positive 3 16 3 18 2" xfId="27843" xr:uid="{00000000-0005-0000-0000-0000D06C0000}"/>
    <cellStyle name="Positive 3 16 3 19" xfId="27844" xr:uid="{00000000-0005-0000-0000-0000D16C0000}"/>
    <cellStyle name="Positive 3 16 3 19 2" xfId="27845" xr:uid="{00000000-0005-0000-0000-0000D26C0000}"/>
    <cellStyle name="Positive 3 16 3 2" xfId="27846" xr:uid="{00000000-0005-0000-0000-0000D36C0000}"/>
    <cellStyle name="Positive 3 16 3 2 10" xfId="27847" xr:uid="{00000000-0005-0000-0000-0000D46C0000}"/>
    <cellStyle name="Positive 3 16 3 2 10 2" xfId="27848" xr:uid="{00000000-0005-0000-0000-0000D56C0000}"/>
    <cellStyle name="Positive 3 16 3 2 11" xfId="27849" xr:uid="{00000000-0005-0000-0000-0000D66C0000}"/>
    <cellStyle name="Positive 3 16 3 2 11 2" xfId="27850" xr:uid="{00000000-0005-0000-0000-0000D76C0000}"/>
    <cellStyle name="Positive 3 16 3 2 12" xfId="27851" xr:uid="{00000000-0005-0000-0000-0000D86C0000}"/>
    <cellStyle name="Positive 3 16 3 2 12 2" xfId="27852" xr:uid="{00000000-0005-0000-0000-0000D96C0000}"/>
    <cellStyle name="Positive 3 16 3 2 13" xfId="27853" xr:uid="{00000000-0005-0000-0000-0000DA6C0000}"/>
    <cellStyle name="Positive 3 16 3 2 13 2" xfId="27854" xr:uid="{00000000-0005-0000-0000-0000DB6C0000}"/>
    <cellStyle name="Positive 3 16 3 2 14" xfId="27855" xr:uid="{00000000-0005-0000-0000-0000DC6C0000}"/>
    <cellStyle name="Positive 3 16 3 2 14 2" xfId="27856" xr:uid="{00000000-0005-0000-0000-0000DD6C0000}"/>
    <cellStyle name="Positive 3 16 3 2 15" xfId="27857" xr:uid="{00000000-0005-0000-0000-0000DE6C0000}"/>
    <cellStyle name="Positive 3 16 3 2 15 2" xfId="27858" xr:uid="{00000000-0005-0000-0000-0000DF6C0000}"/>
    <cellStyle name="Positive 3 16 3 2 16" xfId="27859" xr:uid="{00000000-0005-0000-0000-0000E06C0000}"/>
    <cellStyle name="Positive 3 16 3 2 16 2" xfId="27860" xr:uid="{00000000-0005-0000-0000-0000E16C0000}"/>
    <cellStyle name="Positive 3 16 3 2 17" xfId="27861" xr:uid="{00000000-0005-0000-0000-0000E26C0000}"/>
    <cellStyle name="Positive 3 16 3 2 2" xfId="27862" xr:uid="{00000000-0005-0000-0000-0000E36C0000}"/>
    <cellStyle name="Positive 3 16 3 2 2 2" xfId="27863" xr:uid="{00000000-0005-0000-0000-0000E46C0000}"/>
    <cellStyle name="Positive 3 16 3 2 3" xfId="27864" xr:uid="{00000000-0005-0000-0000-0000E56C0000}"/>
    <cellStyle name="Positive 3 16 3 2 3 2" xfId="27865" xr:uid="{00000000-0005-0000-0000-0000E66C0000}"/>
    <cellStyle name="Positive 3 16 3 2 4" xfId="27866" xr:uid="{00000000-0005-0000-0000-0000E76C0000}"/>
    <cellStyle name="Positive 3 16 3 2 4 2" xfId="27867" xr:uid="{00000000-0005-0000-0000-0000E86C0000}"/>
    <cellStyle name="Positive 3 16 3 2 5" xfId="27868" xr:uid="{00000000-0005-0000-0000-0000E96C0000}"/>
    <cellStyle name="Positive 3 16 3 2 5 2" xfId="27869" xr:uid="{00000000-0005-0000-0000-0000EA6C0000}"/>
    <cellStyle name="Positive 3 16 3 2 6" xfId="27870" xr:uid="{00000000-0005-0000-0000-0000EB6C0000}"/>
    <cellStyle name="Positive 3 16 3 2 6 2" xfId="27871" xr:uid="{00000000-0005-0000-0000-0000EC6C0000}"/>
    <cellStyle name="Positive 3 16 3 2 7" xfId="27872" xr:uid="{00000000-0005-0000-0000-0000ED6C0000}"/>
    <cellStyle name="Positive 3 16 3 2 7 2" xfId="27873" xr:uid="{00000000-0005-0000-0000-0000EE6C0000}"/>
    <cellStyle name="Positive 3 16 3 2 8" xfId="27874" xr:uid="{00000000-0005-0000-0000-0000EF6C0000}"/>
    <cellStyle name="Positive 3 16 3 2 8 2" xfId="27875" xr:uid="{00000000-0005-0000-0000-0000F06C0000}"/>
    <cellStyle name="Positive 3 16 3 2 9" xfId="27876" xr:uid="{00000000-0005-0000-0000-0000F16C0000}"/>
    <cellStyle name="Positive 3 16 3 2 9 2" xfId="27877" xr:uid="{00000000-0005-0000-0000-0000F26C0000}"/>
    <cellStyle name="Positive 3 16 3 20" xfId="27878" xr:uid="{00000000-0005-0000-0000-0000F36C0000}"/>
    <cellStyle name="Positive 3 16 3 3" xfId="27879" xr:uid="{00000000-0005-0000-0000-0000F46C0000}"/>
    <cellStyle name="Positive 3 16 3 3 2" xfId="27880" xr:uid="{00000000-0005-0000-0000-0000F56C0000}"/>
    <cellStyle name="Positive 3 16 3 3 2 2" xfId="27881" xr:uid="{00000000-0005-0000-0000-0000F66C0000}"/>
    <cellStyle name="Positive 3 16 3 3 3" xfId="27882" xr:uid="{00000000-0005-0000-0000-0000F76C0000}"/>
    <cellStyle name="Positive 3 16 3 4" xfId="27883" xr:uid="{00000000-0005-0000-0000-0000F86C0000}"/>
    <cellStyle name="Positive 3 16 3 4 2" xfId="27884" xr:uid="{00000000-0005-0000-0000-0000F96C0000}"/>
    <cellStyle name="Positive 3 16 3 4 2 2" xfId="27885" xr:uid="{00000000-0005-0000-0000-0000FA6C0000}"/>
    <cellStyle name="Positive 3 16 3 4 3" xfId="27886" xr:uid="{00000000-0005-0000-0000-0000FB6C0000}"/>
    <cellStyle name="Positive 3 16 3 5" xfId="27887" xr:uid="{00000000-0005-0000-0000-0000FC6C0000}"/>
    <cellStyle name="Positive 3 16 3 5 2" xfId="27888" xr:uid="{00000000-0005-0000-0000-0000FD6C0000}"/>
    <cellStyle name="Positive 3 16 3 6" xfId="27889" xr:uid="{00000000-0005-0000-0000-0000FE6C0000}"/>
    <cellStyle name="Positive 3 16 3 6 2" xfId="27890" xr:uid="{00000000-0005-0000-0000-0000FF6C0000}"/>
    <cellStyle name="Positive 3 16 3 7" xfId="27891" xr:uid="{00000000-0005-0000-0000-0000006D0000}"/>
    <cellStyle name="Positive 3 16 3 7 2" xfId="27892" xr:uid="{00000000-0005-0000-0000-0000016D0000}"/>
    <cellStyle name="Positive 3 16 3 8" xfId="27893" xr:uid="{00000000-0005-0000-0000-0000026D0000}"/>
    <cellStyle name="Positive 3 16 3 8 2" xfId="27894" xr:uid="{00000000-0005-0000-0000-0000036D0000}"/>
    <cellStyle name="Positive 3 16 3 9" xfId="27895" xr:uid="{00000000-0005-0000-0000-0000046D0000}"/>
    <cellStyle name="Positive 3 16 3 9 2" xfId="27896" xr:uid="{00000000-0005-0000-0000-0000056D0000}"/>
    <cellStyle name="Positive 3 16 4" xfId="27897" xr:uid="{00000000-0005-0000-0000-0000066D0000}"/>
    <cellStyle name="Positive 3 16 4 10" xfId="27898" xr:uid="{00000000-0005-0000-0000-0000076D0000}"/>
    <cellStyle name="Positive 3 16 4 10 2" xfId="27899" xr:uid="{00000000-0005-0000-0000-0000086D0000}"/>
    <cellStyle name="Positive 3 16 4 11" xfId="27900" xr:uid="{00000000-0005-0000-0000-0000096D0000}"/>
    <cellStyle name="Positive 3 16 4 11 2" xfId="27901" xr:uid="{00000000-0005-0000-0000-00000A6D0000}"/>
    <cellStyle name="Positive 3 16 4 12" xfId="27902" xr:uid="{00000000-0005-0000-0000-00000B6D0000}"/>
    <cellStyle name="Positive 3 16 4 12 2" xfId="27903" xr:uid="{00000000-0005-0000-0000-00000C6D0000}"/>
    <cellStyle name="Positive 3 16 4 13" xfId="27904" xr:uid="{00000000-0005-0000-0000-00000D6D0000}"/>
    <cellStyle name="Positive 3 16 4 13 2" xfId="27905" xr:uid="{00000000-0005-0000-0000-00000E6D0000}"/>
    <cellStyle name="Positive 3 16 4 14" xfId="27906" xr:uid="{00000000-0005-0000-0000-00000F6D0000}"/>
    <cellStyle name="Positive 3 16 4 14 2" xfId="27907" xr:uid="{00000000-0005-0000-0000-0000106D0000}"/>
    <cellStyle name="Positive 3 16 4 15" xfId="27908" xr:uid="{00000000-0005-0000-0000-0000116D0000}"/>
    <cellStyle name="Positive 3 16 4 15 2" xfId="27909" xr:uid="{00000000-0005-0000-0000-0000126D0000}"/>
    <cellStyle name="Positive 3 16 4 16" xfId="27910" xr:uid="{00000000-0005-0000-0000-0000136D0000}"/>
    <cellStyle name="Positive 3 16 4 16 2" xfId="27911" xr:uid="{00000000-0005-0000-0000-0000146D0000}"/>
    <cellStyle name="Positive 3 16 4 17" xfId="27912" xr:uid="{00000000-0005-0000-0000-0000156D0000}"/>
    <cellStyle name="Positive 3 16 4 17 2" xfId="27913" xr:uid="{00000000-0005-0000-0000-0000166D0000}"/>
    <cellStyle name="Positive 3 16 4 18" xfId="27914" xr:uid="{00000000-0005-0000-0000-0000176D0000}"/>
    <cellStyle name="Positive 3 16 4 18 2" xfId="27915" xr:uid="{00000000-0005-0000-0000-0000186D0000}"/>
    <cellStyle name="Positive 3 16 4 19" xfId="27916" xr:uid="{00000000-0005-0000-0000-0000196D0000}"/>
    <cellStyle name="Positive 3 16 4 19 2" xfId="27917" xr:uid="{00000000-0005-0000-0000-00001A6D0000}"/>
    <cellStyle name="Positive 3 16 4 2" xfId="27918" xr:uid="{00000000-0005-0000-0000-00001B6D0000}"/>
    <cellStyle name="Positive 3 16 4 2 10" xfId="27919" xr:uid="{00000000-0005-0000-0000-00001C6D0000}"/>
    <cellStyle name="Positive 3 16 4 2 10 2" xfId="27920" xr:uid="{00000000-0005-0000-0000-00001D6D0000}"/>
    <cellStyle name="Positive 3 16 4 2 11" xfId="27921" xr:uid="{00000000-0005-0000-0000-00001E6D0000}"/>
    <cellStyle name="Positive 3 16 4 2 11 2" xfId="27922" xr:uid="{00000000-0005-0000-0000-00001F6D0000}"/>
    <cellStyle name="Positive 3 16 4 2 12" xfId="27923" xr:uid="{00000000-0005-0000-0000-0000206D0000}"/>
    <cellStyle name="Positive 3 16 4 2 12 2" xfId="27924" xr:uid="{00000000-0005-0000-0000-0000216D0000}"/>
    <cellStyle name="Positive 3 16 4 2 13" xfId="27925" xr:uid="{00000000-0005-0000-0000-0000226D0000}"/>
    <cellStyle name="Positive 3 16 4 2 13 2" xfId="27926" xr:uid="{00000000-0005-0000-0000-0000236D0000}"/>
    <cellStyle name="Positive 3 16 4 2 14" xfId="27927" xr:uid="{00000000-0005-0000-0000-0000246D0000}"/>
    <cellStyle name="Positive 3 16 4 2 14 2" xfId="27928" xr:uid="{00000000-0005-0000-0000-0000256D0000}"/>
    <cellStyle name="Positive 3 16 4 2 15" xfId="27929" xr:uid="{00000000-0005-0000-0000-0000266D0000}"/>
    <cellStyle name="Positive 3 16 4 2 15 2" xfId="27930" xr:uid="{00000000-0005-0000-0000-0000276D0000}"/>
    <cellStyle name="Positive 3 16 4 2 16" xfId="27931" xr:uid="{00000000-0005-0000-0000-0000286D0000}"/>
    <cellStyle name="Positive 3 16 4 2 16 2" xfId="27932" xr:uid="{00000000-0005-0000-0000-0000296D0000}"/>
    <cellStyle name="Positive 3 16 4 2 17" xfId="27933" xr:uid="{00000000-0005-0000-0000-00002A6D0000}"/>
    <cellStyle name="Positive 3 16 4 2 2" xfId="27934" xr:uid="{00000000-0005-0000-0000-00002B6D0000}"/>
    <cellStyle name="Positive 3 16 4 2 2 2" xfId="27935" xr:uid="{00000000-0005-0000-0000-00002C6D0000}"/>
    <cellStyle name="Positive 3 16 4 2 3" xfId="27936" xr:uid="{00000000-0005-0000-0000-00002D6D0000}"/>
    <cellStyle name="Positive 3 16 4 2 3 2" xfId="27937" xr:uid="{00000000-0005-0000-0000-00002E6D0000}"/>
    <cellStyle name="Positive 3 16 4 2 4" xfId="27938" xr:uid="{00000000-0005-0000-0000-00002F6D0000}"/>
    <cellStyle name="Positive 3 16 4 2 4 2" xfId="27939" xr:uid="{00000000-0005-0000-0000-0000306D0000}"/>
    <cellStyle name="Positive 3 16 4 2 5" xfId="27940" xr:uid="{00000000-0005-0000-0000-0000316D0000}"/>
    <cellStyle name="Positive 3 16 4 2 5 2" xfId="27941" xr:uid="{00000000-0005-0000-0000-0000326D0000}"/>
    <cellStyle name="Positive 3 16 4 2 6" xfId="27942" xr:uid="{00000000-0005-0000-0000-0000336D0000}"/>
    <cellStyle name="Positive 3 16 4 2 6 2" xfId="27943" xr:uid="{00000000-0005-0000-0000-0000346D0000}"/>
    <cellStyle name="Positive 3 16 4 2 7" xfId="27944" xr:uid="{00000000-0005-0000-0000-0000356D0000}"/>
    <cellStyle name="Positive 3 16 4 2 7 2" xfId="27945" xr:uid="{00000000-0005-0000-0000-0000366D0000}"/>
    <cellStyle name="Positive 3 16 4 2 8" xfId="27946" xr:uid="{00000000-0005-0000-0000-0000376D0000}"/>
    <cellStyle name="Positive 3 16 4 2 8 2" xfId="27947" xr:uid="{00000000-0005-0000-0000-0000386D0000}"/>
    <cellStyle name="Positive 3 16 4 2 9" xfId="27948" xr:uid="{00000000-0005-0000-0000-0000396D0000}"/>
    <cellStyle name="Positive 3 16 4 2 9 2" xfId="27949" xr:uid="{00000000-0005-0000-0000-00003A6D0000}"/>
    <cellStyle name="Positive 3 16 4 20" xfId="27950" xr:uid="{00000000-0005-0000-0000-00003B6D0000}"/>
    <cellStyle name="Positive 3 16 4 3" xfId="27951" xr:uid="{00000000-0005-0000-0000-00003C6D0000}"/>
    <cellStyle name="Positive 3 16 4 3 2" xfId="27952" xr:uid="{00000000-0005-0000-0000-00003D6D0000}"/>
    <cellStyle name="Positive 3 16 4 3 2 2" xfId="27953" xr:uid="{00000000-0005-0000-0000-00003E6D0000}"/>
    <cellStyle name="Positive 3 16 4 3 3" xfId="27954" xr:uid="{00000000-0005-0000-0000-00003F6D0000}"/>
    <cellStyle name="Positive 3 16 4 4" xfId="27955" xr:uid="{00000000-0005-0000-0000-0000406D0000}"/>
    <cellStyle name="Positive 3 16 4 4 2" xfId="27956" xr:uid="{00000000-0005-0000-0000-0000416D0000}"/>
    <cellStyle name="Positive 3 16 4 4 2 2" xfId="27957" xr:uid="{00000000-0005-0000-0000-0000426D0000}"/>
    <cellStyle name="Positive 3 16 4 4 3" xfId="27958" xr:uid="{00000000-0005-0000-0000-0000436D0000}"/>
    <cellStyle name="Positive 3 16 4 5" xfId="27959" xr:uid="{00000000-0005-0000-0000-0000446D0000}"/>
    <cellStyle name="Positive 3 16 4 5 2" xfId="27960" xr:uid="{00000000-0005-0000-0000-0000456D0000}"/>
    <cellStyle name="Positive 3 16 4 6" xfId="27961" xr:uid="{00000000-0005-0000-0000-0000466D0000}"/>
    <cellStyle name="Positive 3 16 4 6 2" xfId="27962" xr:uid="{00000000-0005-0000-0000-0000476D0000}"/>
    <cellStyle name="Positive 3 16 4 7" xfId="27963" xr:uid="{00000000-0005-0000-0000-0000486D0000}"/>
    <cellStyle name="Positive 3 16 4 7 2" xfId="27964" xr:uid="{00000000-0005-0000-0000-0000496D0000}"/>
    <cellStyle name="Positive 3 16 4 8" xfId="27965" xr:uid="{00000000-0005-0000-0000-00004A6D0000}"/>
    <cellStyle name="Positive 3 16 4 8 2" xfId="27966" xr:uid="{00000000-0005-0000-0000-00004B6D0000}"/>
    <cellStyle name="Positive 3 16 4 9" xfId="27967" xr:uid="{00000000-0005-0000-0000-00004C6D0000}"/>
    <cellStyle name="Positive 3 16 4 9 2" xfId="27968" xr:uid="{00000000-0005-0000-0000-00004D6D0000}"/>
    <cellStyle name="Positive 3 16 5" xfId="27969" xr:uid="{00000000-0005-0000-0000-00004E6D0000}"/>
    <cellStyle name="Positive 3 16 5 10" xfId="27970" xr:uid="{00000000-0005-0000-0000-00004F6D0000}"/>
    <cellStyle name="Positive 3 16 5 10 2" xfId="27971" xr:uid="{00000000-0005-0000-0000-0000506D0000}"/>
    <cellStyle name="Positive 3 16 5 11" xfId="27972" xr:uid="{00000000-0005-0000-0000-0000516D0000}"/>
    <cellStyle name="Positive 3 16 5 11 2" xfId="27973" xr:uid="{00000000-0005-0000-0000-0000526D0000}"/>
    <cellStyle name="Positive 3 16 5 12" xfId="27974" xr:uid="{00000000-0005-0000-0000-0000536D0000}"/>
    <cellStyle name="Positive 3 16 5 12 2" xfId="27975" xr:uid="{00000000-0005-0000-0000-0000546D0000}"/>
    <cellStyle name="Positive 3 16 5 13" xfId="27976" xr:uid="{00000000-0005-0000-0000-0000556D0000}"/>
    <cellStyle name="Positive 3 16 5 13 2" xfId="27977" xr:uid="{00000000-0005-0000-0000-0000566D0000}"/>
    <cellStyle name="Positive 3 16 5 14" xfId="27978" xr:uid="{00000000-0005-0000-0000-0000576D0000}"/>
    <cellStyle name="Positive 3 16 5 14 2" xfId="27979" xr:uid="{00000000-0005-0000-0000-0000586D0000}"/>
    <cellStyle name="Positive 3 16 5 15" xfId="27980" xr:uid="{00000000-0005-0000-0000-0000596D0000}"/>
    <cellStyle name="Positive 3 16 5 15 2" xfId="27981" xr:uid="{00000000-0005-0000-0000-00005A6D0000}"/>
    <cellStyle name="Positive 3 16 5 16" xfId="27982" xr:uid="{00000000-0005-0000-0000-00005B6D0000}"/>
    <cellStyle name="Positive 3 16 5 16 2" xfId="27983" xr:uid="{00000000-0005-0000-0000-00005C6D0000}"/>
    <cellStyle name="Positive 3 16 5 17" xfId="27984" xr:uid="{00000000-0005-0000-0000-00005D6D0000}"/>
    <cellStyle name="Positive 3 16 5 2" xfId="27985" xr:uid="{00000000-0005-0000-0000-00005E6D0000}"/>
    <cellStyle name="Positive 3 16 5 2 2" xfId="27986" xr:uid="{00000000-0005-0000-0000-00005F6D0000}"/>
    <cellStyle name="Positive 3 16 5 3" xfId="27987" xr:uid="{00000000-0005-0000-0000-0000606D0000}"/>
    <cellStyle name="Positive 3 16 5 3 2" xfId="27988" xr:uid="{00000000-0005-0000-0000-0000616D0000}"/>
    <cellStyle name="Positive 3 16 5 4" xfId="27989" xr:uid="{00000000-0005-0000-0000-0000626D0000}"/>
    <cellStyle name="Positive 3 16 5 4 2" xfId="27990" xr:uid="{00000000-0005-0000-0000-0000636D0000}"/>
    <cellStyle name="Positive 3 16 5 5" xfId="27991" xr:uid="{00000000-0005-0000-0000-0000646D0000}"/>
    <cellStyle name="Positive 3 16 5 5 2" xfId="27992" xr:uid="{00000000-0005-0000-0000-0000656D0000}"/>
    <cellStyle name="Positive 3 16 5 6" xfId="27993" xr:uid="{00000000-0005-0000-0000-0000666D0000}"/>
    <cellStyle name="Positive 3 16 5 6 2" xfId="27994" xr:uid="{00000000-0005-0000-0000-0000676D0000}"/>
    <cellStyle name="Positive 3 16 5 7" xfId="27995" xr:uid="{00000000-0005-0000-0000-0000686D0000}"/>
    <cellStyle name="Positive 3 16 5 7 2" xfId="27996" xr:uid="{00000000-0005-0000-0000-0000696D0000}"/>
    <cellStyle name="Positive 3 16 5 8" xfId="27997" xr:uid="{00000000-0005-0000-0000-00006A6D0000}"/>
    <cellStyle name="Positive 3 16 5 8 2" xfId="27998" xr:uid="{00000000-0005-0000-0000-00006B6D0000}"/>
    <cellStyle name="Positive 3 16 5 9" xfId="27999" xr:uid="{00000000-0005-0000-0000-00006C6D0000}"/>
    <cellStyle name="Positive 3 16 5 9 2" xfId="28000" xr:uid="{00000000-0005-0000-0000-00006D6D0000}"/>
    <cellStyle name="Positive 3 16 6" xfId="28001" xr:uid="{00000000-0005-0000-0000-00006E6D0000}"/>
    <cellStyle name="Positive 3 16 6 2" xfId="28002" xr:uid="{00000000-0005-0000-0000-00006F6D0000}"/>
    <cellStyle name="Positive 3 16 6 2 2" xfId="28003" xr:uid="{00000000-0005-0000-0000-0000706D0000}"/>
    <cellStyle name="Positive 3 16 6 3" xfId="28004" xr:uid="{00000000-0005-0000-0000-0000716D0000}"/>
    <cellStyle name="Positive 3 16 7" xfId="28005" xr:uid="{00000000-0005-0000-0000-0000726D0000}"/>
    <cellStyle name="Positive 3 16 7 2" xfId="28006" xr:uid="{00000000-0005-0000-0000-0000736D0000}"/>
    <cellStyle name="Positive 3 16 7 2 2" xfId="28007" xr:uid="{00000000-0005-0000-0000-0000746D0000}"/>
    <cellStyle name="Positive 3 16 7 3" xfId="28008" xr:uid="{00000000-0005-0000-0000-0000756D0000}"/>
    <cellStyle name="Positive 3 16 8" xfId="28009" xr:uid="{00000000-0005-0000-0000-0000766D0000}"/>
    <cellStyle name="Positive 3 16 8 2" xfId="28010" xr:uid="{00000000-0005-0000-0000-0000776D0000}"/>
    <cellStyle name="Positive 3 16 9" xfId="28011" xr:uid="{00000000-0005-0000-0000-0000786D0000}"/>
    <cellStyle name="Positive 3 16 9 2" xfId="28012" xr:uid="{00000000-0005-0000-0000-0000796D0000}"/>
    <cellStyle name="Positive 3 17" xfId="28013" xr:uid="{00000000-0005-0000-0000-00007A6D0000}"/>
    <cellStyle name="Positive 3 17 10" xfId="28014" xr:uid="{00000000-0005-0000-0000-00007B6D0000}"/>
    <cellStyle name="Positive 3 17 10 2" xfId="28015" xr:uid="{00000000-0005-0000-0000-00007C6D0000}"/>
    <cellStyle name="Positive 3 17 11" xfId="28016" xr:uid="{00000000-0005-0000-0000-00007D6D0000}"/>
    <cellStyle name="Positive 3 17 11 2" xfId="28017" xr:uid="{00000000-0005-0000-0000-00007E6D0000}"/>
    <cellStyle name="Positive 3 17 12" xfId="28018" xr:uid="{00000000-0005-0000-0000-00007F6D0000}"/>
    <cellStyle name="Positive 3 17 12 2" xfId="28019" xr:uid="{00000000-0005-0000-0000-0000806D0000}"/>
    <cellStyle name="Positive 3 17 13" xfId="28020" xr:uid="{00000000-0005-0000-0000-0000816D0000}"/>
    <cellStyle name="Positive 3 17 13 2" xfId="28021" xr:uid="{00000000-0005-0000-0000-0000826D0000}"/>
    <cellStyle name="Positive 3 17 14" xfId="28022" xr:uid="{00000000-0005-0000-0000-0000836D0000}"/>
    <cellStyle name="Positive 3 17 14 2" xfId="28023" xr:uid="{00000000-0005-0000-0000-0000846D0000}"/>
    <cellStyle name="Positive 3 17 15" xfId="28024" xr:uid="{00000000-0005-0000-0000-0000856D0000}"/>
    <cellStyle name="Positive 3 17 15 2" xfId="28025" xr:uid="{00000000-0005-0000-0000-0000866D0000}"/>
    <cellStyle name="Positive 3 17 16" xfId="28026" xr:uid="{00000000-0005-0000-0000-0000876D0000}"/>
    <cellStyle name="Positive 3 17 16 2" xfId="28027" xr:uid="{00000000-0005-0000-0000-0000886D0000}"/>
    <cellStyle name="Positive 3 17 17" xfId="28028" xr:uid="{00000000-0005-0000-0000-0000896D0000}"/>
    <cellStyle name="Positive 3 17 17 2" xfId="28029" xr:uid="{00000000-0005-0000-0000-00008A6D0000}"/>
    <cellStyle name="Positive 3 17 18" xfId="28030" xr:uid="{00000000-0005-0000-0000-00008B6D0000}"/>
    <cellStyle name="Positive 3 17 18 2" xfId="28031" xr:uid="{00000000-0005-0000-0000-00008C6D0000}"/>
    <cellStyle name="Positive 3 17 19" xfId="28032" xr:uid="{00000000-0005-0000-0000-00008D6D0000}"/>
    <cellStyle name="Positive 3 17 19 2" xfId="28033" xr:uid="{00000000-0005-0000-0000-00008E6D0000}"/>
    <cellStyle name="Positive 3 17 2" xfId="28034" xr:uid="{00000000-0005-0000-0000-00008F6D0000}"/>
    <cellStyle name="Positive 3 17 2 10" xfId="28035" xr:uid="{00000000-0005-0000-0000-0000906D0000}"/>
    <cellStyle name="Positive 3 17 2 10 2" xfId="28036" xr:uid="{00000000-0005-0000-0000-0000916D0000}"/>
    <cellStyle name="Positive 3 17 2 11" xfId="28037" xr:uid="{00000000-0005-0000-0000-0000926D0000}"/>
    <cellStyle name="Positive 3 17 2 11 2" xfId="28038" xr:uid="{00000000-0005-0000-0000-0000936D0000}"/>
    <cellStyle name="Positive 3 17 2 12" xfId="28039" xr:uid="{00000000-0005-0000-0000-0000946D0000}"/>
    <cellStyle name="Positive 3 17 2 12 2" xfId="28040" xr:uid="{00000000-0005-0000-0000-0000956D0000}"/>
    <cellStyle name="Positive 3 17 2 13" xfId="28041" xr:uid="{00000000-0005-0000-0000-0000966D0000}"/>
    <cellStyle name="Positive 3 17 2 13 2" xfId="28042" xr:uid="{00000000-0005-0000-0000-0000976D0000}"/>
    <cellStyle name="Positive 3 17 2 14" xfId="28043" xr:uid="{00000000-0005-0000-0000-0000986D0000}"/>
    <cellStyle name="Positive 3 17 2 14 2" xfId="28044" xr:uid="{00000000-0005-0000-0000-0000996D0000}"/>
    <cellStyle name="Positive 3 17 2 15" xfId="28045" xr:uid="{00000000-0005-0000-0000-00009A6D0000}"/>
    <cellStyle name="Positive 3 17 2 15 2" xfId="28046" xr:uid="{00000000-0005-0000-0000-00009B6D0000}"/>
    <cellStyle name="Positive 3 17 2 16" xfId="28047" xr:uid="{00000000-0005-0000-0000-00009C6D0000}"/>
    <cellStyle name="Positive 3 17 2 16 2" xfId="28048" xr:uid="{00000000-0005-0000-0000-00009D6D0000}"/>
    <cellStyle name="Positive 3 17 2 17" xfId="28049" xr:uid="{00000000-0005-0000-0000-00009E6D0000}"/>
    <cellStyle name="Positive 3 17 2 17 2" xfId="28050" xr:uid="{00000000-0005-0000-0000-00009F6D0000}"/>
    <cellStyle name="Positive 3 17 2 18" xfId="28051" xr:uid="{00000000-0005-0000-0000-0000A06D0000}"/>
    <cellStyle name="Positive 3 17 2 18 2" xfId="28052" xr:uid="{00000000-0005-0000-0000-0000A16D0000}"/>
    <cellStyle name="Positive 3 17 2 19" xfId="28053" xr:uid="{00000000-0005-0000-0000-0000A26D0000}"/>
    <cellStyle name="Positive 3 17 2 19 2" xfId="28054" xr:uid="{00000000-0005-0000-0000-0000A36D0000}"/>
    <cellStyle name="Positive 3 17 2 2" xfId="28055" xr:uid="{00000000-0005-0000-0000-0000A46D0000}"/>
    <cellStyle name="Positive 3 17 2 2 10" xfId="28056" xr:uid="{00000000-0005-0000-0000-0000A56D0000}"/>
    <cellStyle name="Positive 3 17 2 2 10 2" xfId="28057" xr:uid="{00000000-0005-0000-0000-0000A66D0000}"/>
    <cellStyle name="Positive 3 17 2 2 11" xfId="28058" xr:uid="{00000000-0005-0000-0000-0000A76D0000}"/>
    <cellStyle name="Positive 3 17 2 2 11 2" xfId="28059" xr:uid="{00000000-0005-0000-0000-0000A86D0000}"/>
    <cellStyle name="Positive 3 17 2 2 12" xfId="28060" xr:uid="{00000000-0005-0000-0000-0000A96D0000}"/>
    <cellStyle name="Positive 3 17 2 2 12 2" xfId="28061" xr:uid="{00000000-0005-0000-0000-0000AA6D0000}"/>
    <cellStyle name="Positive 3 17 2 2 13" xfId="28062" xr:uid="{00000000-0005-0000-0000-0000AB6D0000}"/>
    <cellStyle name="Positive 3 17 2 2 13 2" xfId="28063" xr:uid="{00000000-0005-0000-0000-0000AC6D0000}"/>
    <cellStyle name="Positive 3 17 2 2 14" xfId="28064" xr:uid="{00000000-0005-0000-0000-0000AD6D0000}"/>
    <cellStyle name="Positive 3 17 2 2 14 2" xfId="28065" xr:uid="{00000000-0005-0000-0000-0000AE6D0000}"/>
    <cellStyle name="Positive 3 17 2 2 15" xfId="28066" xr:uid="{00000000-0005-0000-0000-0000AF6D0000}"/>
    <cellStyle name="Positive 3 17 2 2 15 2" xfId="28067" xr:uid="{00000000-0005-0000-0000-0000B06D0000}"/>
    <cellStyle name="Positive 3 17 2 2 16" xfId="28068" xr:uid="{00000000-0005-0000-0000-0000B16D0000}"/>
    <cellStyle name="Positive 3 17 2 2 16 2" xfId="28069" xr:uid="{00000000-0005-0000-0000-0000B26D0000}"/>
    <cellStyle name="Positive 3 17 2 2 17" xfId="28070" xr:uid="{00000000-0005-0000-0000-0000B36D0000}"/>
    <cellStyle name="Positive 3 17 2 2 2" xfId="28071" xr:uid="{00000000-0005-0000-0000-0000B46D0000}"/>
    <cellStyle name="Positive 3 17 2 2 2 2" xfId="28072" xr:uid="{00000000-0005-0000-0000-0000B56D0000}"/>
    <cellStyle name="Positive 3 17 2 2 3" xfId="28073" xr:uid="{00000000-0005-0000-0000-0000B66D0000}"/>
    <cellStyle name="Positive 3 17 2 2 3 2" xfId="28074" xr:uid="{00000000-0005-0000-0000-0000B76D0000}"/>
    <cellStyle name="Positive 3 17 2 2 4" xfId="28075" xr:uid="{00000000-0005-0000-0000-0000B86D0000}"/>
    <cellStyle name="Positive 3 17 2 2 4 2" xfId="28076" xr:uid="{00000000-0005-0000-0000-0000B96D0000}"/>
    <cellStyle name="Positive 3 17 2 2 5" xfId="28077" xr:uid="{00000000-0005-0000-0000-0000BA6D0000}"/>
    <cellStyle name="Positive 3 17 2 2 5 2" xfId="28078" xr:uid="{00000000-0005-0000-0000-0000BB6D0000}"/>
    <cellStyle name="Positive 3 17 2 2 6" xfId="28079" xr:uid="{00000000-0005-0000-0000-0000BC6D0000}"/>
    <cellStyle name="Positive 3 17 2 2 6 2" xfId="28080" xr:uid="{00000000-0005-0000-0000-0000BD6D0000}"/>
    <cellStyle name="Positive 3 17 2 2 7" xfId="28081" xr:uid="{00000000-0005-0000-0000-0000BE6D0000}"/>
    <cellStyle name="Positive 3 17 2 2 7 2" xfId="28082" xr:uid="{00000000-0005-0000-0000-0000BF6D0000}"/>
    <cellStyle name="Positive 3 17 2 2 8" xfId="28083" xr:uid="{00000000-0005-0000-0000-0000C06D0000}"/>
    <cellStyle name="Positive 3 17 2 2 8 2" xfId="28084" xr:uid="{00000000-0005-0000-0000-0000C16D0000}"/>
    <cellStyle name="Positive 3 17 2 2 9" xfId="28085" xr:uid="{00000000-0005-0000-0000-0000C26D0000}"/>
    <cellStyle name="Positive 3 17 2 2 9 2" xfId="28086" xr:uid="{00000000-0005-0000-0000-0000C36D0000}"/>
    <cellStyle name="Positive 3 17 2 20" xfId="28087" xr:uid="{00000000-0005-0000-0000-0000C46D0000}"/>
    <cellStyle name="Positive 3 17 2 3" xfId="28088" xr:uid="{00000000-0005-0000-0000-0000C56D0000}"/>
    <cellStyle name="Positive 3 17 2 3 2" xfId="28089" xr:uid="{00000000-0005-0000-0000-0000C66D0000}"/>
    <cellStyle name="Positive 3 17 2 3 2 2" xfId="28090" xr:uid="{00000000-0005-0000-0000-0000C76D0000}"/>
    <cellStyle name="Positive 3 17 2 3 3" xfId="28091" xr:uid="{00000000-0005-0000-0000-0000C86D0000}"/>
    <cellStyle name="Positive 3 17 2 4" xfId="28092" xr:uid="{00000000-0005-0000-0000-0000C96D0000}"/>
    <cellStyle name="Positive 3 17 2 4 2" xfId="28093" xr:uid="{00000000-0005-0000-0000-0000CA6D0000}"/>
    <cellStyle name="Positive 3 17 2 4 2 2" xfId="28094" xr:uid="{00000000-0005-0000-0000-0000CB6D0000}"/>
    <cellStyle name="Positive 3 17 2 4 3" xfId="28095" xr:uid="{00000000-0005-0000-0000-0000CC6D0000}"/>
    <cellStyle name="Positive 3 17 2 5" xfId="28096" xr:uid="{00000000-0005-0000-0000-0000CD6D0000}"/>
    <cellStyle name="Positive 3 17 2 5 2" xfId="28097" xr:uid="{00000000-0005-0000-0000-0000CE6D0000}"/>
    <cellStyle name="Positive 3 17 2 6" xfId="28098" xr:uid="{00000000-0005-0000-0000-0000CF6D0000}"/>
    <cellStyle name="Positive 3 17 2 6 2" xfId="28099" xr:uid="{00000000-0005-0000-0000-0000D06D0000}"/>
    <cellStyle name="Positive 3 17 2 7" xfId="28100" xr:uid="{00000000-0005-0000-0000-0000D16D0000}"/>
    <cellStyle name="Positive 3 17 2 7 2" xfId="28101" xr:uid="{00000000-0005-0000-0000-0000D26D0000}"/>
    <cellStyle name="Positive 3 17 2 8" xfId="28102" xr:uid="{00000000-0005-0000-0000-0000D36D0000}"/>
    <cellStyle name="Positive 3 17 2 8 2" xfId="28103" xr:uid="{00000000-0005-0000-0000-0000D46D0000}"/>
    <cellStyle name="Positive 3 17 2 9" xfId="28104" xr:uid="{00000000-0005-0000-0000-0000D56D0000}"/>
    <cellStyle name="Positive 3 17 2 9 2" xfId="28105" xr:uid="{00000000-0005-0000-0000-0000D66D0000}"/>
    <cellStyle name="Positive 3 17 20" xfId="28106" xr:uid="{00000000-0005-0000-0000-0000D76D0000}"/>
    <cellStyle name="Positive 3 17 20 2" xfId="28107" xr:uid="{00000000-0005-0000-0000-0000D86D0000}"/>
    <cellStyle name="Positive 3 17 21" xfId="28108" xr:uid="{00000000-0005-0000-0000-0000D96D0000}"/>
    <cellStyle name="Positive 3 17 21 2" xfId="28109" xr:uid="{00000000-0005-0000-0000-0000DA6D0000}"/>
    <cellStyle name="Positive 3 17 22" xfId="28110" xr:uid="{00000000-0005-0000-0000-0000DB6D0000}"/>
    <cellStyle name="Positive 3 17 22 2" xfId="28111" xr:uid="{00000000-0005-0000-0000-0000DC6D0000}"/>
    <cellStyle name="Positive 3 17 23" xfId="28112" xr:uid="{00000000-0005-0000-0000-0000DD6D0000}"/>
    <cellStyle name="Positive 3 17 3" xfId="28113" xr:uid="{00000000-0005-0000-0000-0000DE6D0000}"/>
    <cellStyle name="Positive 3 17 3 10" xfId="28114" xr:uid="{00000000-0005-0000-0000-0000DF6D0000}"/>
    <cellStyle name="Positive 3 17 3 10 2" xfId="28115" xr:uid="{00000000-0005-0000-0000-0000E06D0000}"/>
    <cellStyle name="Positive 3 17 3 11" xfId="28116" xr:uid="{00000000-0005-0000-0000-0000E16D0000}"/>
    <cellStyle name="Positive 3 17 3 11 2" xfId="28117" xr:uid="{00000000-0005-0000-0000-0000E26D0000}"/>
    <cellStyle name="Positive 3 17 3 12" xfId="28118" xr:uid="{00000000-0005-0000-0000-0000E36D0000}"/>
    <cellStyle name="Positive 3 17 3 12 2" xfId="28119" xr:uid="{00000000-0005-0000-0000-0000E46D0000}"/>
    <cellStyle name="Positive 3 17 3 13" xfId="28120" xr:uid="{00000000-0005-0000-0000-0000E56D0000}"/>
    <cellStyle name="Positive 3 17 3 13 2" xfId="28121" xr:uid="{00000000-0005-0000-0000-0000E66D0000}"/>
    <cellStyle name="Positive 3 17 3 14" xfId="28122" xr:uid="{00000000-0005-0000-0000-0000E76D0000}"/>
    <cellStyle name="Positive 3 17 3 14 2" xfId="28123" xr:uid="{00000000-0005-0000-0000-0000E86D0000}"/>
    <cellStyle name="Positive 3 17 3 15" xfId="28124" xr:uid="{00000000-0005-0000-0000-0000E96D0000}"/>
    <cellStyle name="Positive 3 17 3 15 2" xfId="28125" xr:uid="{00000000-0005-0000-0000-0000EA6D0000}"/>
    <cellStyle name="Positive 3 17 3 16" xfId="28126" xr:uid="{00000000-0005-0000-0000-0000EB6D0000}"/>
    <cellStyle name="Positive 3 17 3 16 2" xfId="28127" xr:uid="{00000000-0005-0000-0000-0000EC6D0000}"/>
    <cellStyle name="Positive 3 17 3 17" xfId="28128" xr:uid="{00000000-0005-0000-0000-0000ED6D0000}"/>
    <cellStyle name="Positive 3 17 3 17 2" xfId="28129" xr:uid="{00000000-0005-0000-0000-0000EE6D0000}"/>
    <cellStyle name="Positive 3 17 3 18" xfId="28130" xr:uid="{00000000-0005-0000-0000-0000EF6D0000}"/>
    <cellStyle name="Positive 3 17 3 18 2" xfId="28131" xr:uid="{00000000-0005-0000-0000-0000F06D0000}"/>
    <cellStyle name="Positive 3 17 3 19" xfId="28132" xr:uid="{00000000-0005-0000-0000-0000F16D0000}"/>
    <cellStyle name="Positive 3 17 3 19 2" xfId="28133" xr:uid="{00000000-0005-0000-0000-0000F26D0000}"/>
    <cellStyle name="Positive 3 17 3 2" xfId="28134" xr:uid="{00000000-0005-0000-0000-0000F36D0000}"/>
    <cellStyle name="Positive 3 17 3 2 10" xfId="28135" xr:uid="{00000000-0005-0000-0000-0000F46D0000}"/>
    <cellStyle name="Positive 3 17 3 2 10 2" xfId="28136" xr:uid="{00000000-0005-0000-0000-0000F56D0000}"/>
    <cellStyle name="Positive 3 17 3 2 11" xfId="28137" xr:uid="{00000000-0005-0000-0000-0000F66D0000}"/>
    <cellStyle name="Positive 3 17 3 2 11 2" xfId="28138" xr:uid="{00000000-0005-0000-0000-0000F76D0000}"/>
    <cellStyle name="Positive 3 17 3 2 12" xfId="28139" xr:uid="{00000000-0005-0000-0000-0000F86D0000}"/>
    <cellStyle name="Positive 3 17 3 2 12 2" xfId="28140" xr:uid="{00000000-0005-0000-0000-0000F96D0000}"/>
    <cellStyle name="Positive 3 17 3 2 13" xfId="28141" xr:uid="{00000000-0005-0000-0000-0000FA6D0000}"/>
    <cellStyle name="Positive 3 17 3 2 13 2" xfId="28142" xr:uid="{00000000-0005-0000-0000-0000FB6D0000}"/>
    <cellStyle name="Positive 3 17 3 2 14" xfId="28143" xr:uid="{00000000-0005-0000-0000-0000FC6D0000}"/>
    <cellStyle name="Positive 3 17 3 2 14 2" xfId="28144" xr:uid="{00000000-0005-0000-0000-0000FD6D0000}"/>
    <cellStyle name="Positive 3 17 3 2 15" xfId="28145" xr:uid="{00000000-0005-0000-0000-0000FE6D0000}"/>
    <cellStyle name="Positive 3 17 3 2 15 2" xfId="28146" xr:uid="{00000000-0005-0000-0000-0000FF6D0000}"/>
    <cellStyle name="Positive 3 17 3 2 16" xfId="28147" xr:uid="{00000000-0005-0000-0000-0000006E0000}"/>
    <cellStyle name="Positive 3 17 3 2 16 2" xfId="28148" xr:uid="{00000000-0005-0000-0000-0000016E0000}"/>
    <cellStyle name="Positive 3 17 3 2 17" xfId="28149" xr:uid="{00000000-0005-0000-0000-0000026E0000}"/>
    <cellStyle name="Positive 3 17 3 2 2" xfId="28150" xr:uid="{00000000-0005-0000-0000-0000036E0000}"/>
    <cellStyle name="Positive 3 17 3 2 2 2" xfId="28151" xr:uid="{00000000-0005-0000-0000-0000046E0000}"/>
    <cellStyle name="Positive 3 17 3 2 3" xfId="28152" xr:uid="{00000000-0005-0000-0000-0000056E0000}"/>
    <cellStyle name="Positive 3 17 3 2 3 2" xfId="28153" xr:uid="{00000000-0005-0000-0000-0000066E0000}"/>
    <cellStyle name="Positive 3 17 3 2 4" xfId="28154" xr:uid="{00000000-0005-0000-0000-0000076E0000}"/>
    <cellStyle name="Positive 3 17 3 2 4 2" xfId="28155" xr:uid="{00000000-0005-0000-0000-0000086E0000}"/>
    <cellStyle name="Positive 3 17 3 2 5" xfId="28156" xr:uid="{00000000-0005-0000-0000-0000096E0000}"/>
    <cellStyle name="Positive 3 17 3 2 5 2" xfId="28157" xr:uid="{00000000-0005-0000-0000-00000A6E0000}"/>
    <cellStyle name="Positive 3 17 3 2 6" xfId="28158" xr:uid="{00000000-0005-0000-0000-00000B6E0000}"/>
    <cellStyle name="Positive 3 17 3 2 6 2" xfId="28159" xr:uid="{00000000-0005-0000-0000-00000C6E0000}"/>
    <cellStyle name="Positive 3 17 3 2 7" xfId="28160" xr:uid="{00000000-0005-0000-0000-00000D6E0000}"/>
    <cellStyle name="Positive 3 17 3 2 7 2" xfId="28161" xr:uid="{00000000-0005-0000-0000-00000E6E0000}"/>
    <cellStyle name="Positive 3 17 3 2 8" xfId="28162" xr:uid="{00000000-0005-0000-0000-00000F6E0000}"/>
    <cellStyle name="Positive 3 17 3 2 8 2" xfId="28163" xr:uid="{00000000-0005-0000-0000-0000106E0000}"/>
    <cellStyle name="Positive 3 17 3 2 9" xfId="28164" xr:uid="{00000000-0005-0000-0000-0000116E0000}"/>
    <cellStyle name="Positive 3 17 3 2 9 2" xfId="28165" xr:uid="{00000000-0005-0000-0000-0000126E0000}"/>
    <cellStyle name="Positive 3 17 3 20" xfId="28166" xr:uid="{00000000-0005-0000-0000-0000136E0000}"/>
    <cellStyle name="Positive 3 17 3 3" xfId="28167" xr:uid="{00000000-0005-0000-0000-0000146E0000}"/>
    <cellStyle name="Positive 3 17 3 3 2" xfId="28168" xr:uid="{00000000-0005-0000-0000-0000156E0000}"/>
    <cellStyle name="Positive 3 17 3 3 2 2" xfId="28169" xr:uid="{00000000-0005-0000-0000-0000166E0000}"/>
    <cellStyle name="Positive 3 17 3 3 3" xfId="28170" xr:uid="{00000000-0005-0000-0000-0000176E0000}"/>
    <cellStyle name="Positive 3 17 3 4" xfId="28171" xr:uid="{00000000-0005-0000-0000-0000186E0000}"/>
    <cellStyle name="Positive 3 17 3 4 2" xfId="28172" xr:uid="{00000000-0005-0000-0000-0000196E0000}"/>
    <cellStyle name="Positive 3 17 3 4 2 2" xfId="28173" xr:uid="{00000000-0005-0000-0000-00001A6E0000}"/>
    <cellStyle name="Positive 3 17 3 4 3" xfId="28174" xr:uid="{00000000-0005-0000-0000-00001B6E0000}"/>
    <cellStyle name="Positive 3 17 3 5" xfId="28175" xr:uid="{00000000-0005-0000-0000-00001C6E0000}"/>
    <cellStyle name="Positive 3 17 3 5 2" xfId="28176" xr:uid="{00000000-0005-0000-0000-00001D6E0000}"/>
    <cellStyle name="Positive 3 17 3 6" xfId="28177" xr:uid="{00000000-0005-0000-0000-00001E6E0000}"/>
    <cellStyle name="Positive 3 17 3 6 2" xfId="28178" xr:uid="{00000000-0005-0000-0000-00001F6E0000}"/>
    <cellStyle name="Positive 3 17 3 7" xfId="28179" xr:uid="{00000000-0005-0000-0000-0000206E0000}"/>
    <cellStyle name="Positive 3 17 3 7 2" xfId="28180" xr:uid="{00000000-0005-0000-0000-0000216E0000}"/>
    <cellStyle name="Positive 3 17 3 8" xfId="28181" xr:uid="{00000000-0005-0000-0000-0000226E0000}"/>
    <cellStyle name="Positive 3 17 3 8 2" xfId="28182" xr:uid="{00000000-0005-0000-0000-0000236E0000}"/>
    <cellStyle name="Positive 3 17 3 9" xfId="28183" xr:uid="{00000000-0005-0000-0000-0000246E0000}"/>
    <cellStyle name="Positive 3 17 3 9 2" xfId="28184" xr:uid="{00000000-0005-0000-0000-0000256E0000}"/>
    <cellStyle name="Positive 3 17 4" xfId="28185" xr:uid="{00000000-0005-0000-0000-0000266E0000}"/>
    <cellStyle name="Positive 3 17 4 10" xfId="28186" xr:uid="{00000000-0005-0000-0000-0000276E0000}"/>
    <cellStyle name="Positive 3 17 4 10 2" xfId="28187" xr:uid="{00000000-0005-0000-0000-0000286E0000}"/>
    <cellStyle name="Positive 3 17 4 11" xfId="28188" xr:uid="{00000000-0005-0000-0000-0000296E0000}"/>
    <cellStyle name="Positive 3 17 4 11 2" xfId="28189" xr:uid="{00000000-0005-0000-0000-00002A6E0000}"/>
    <cellStyle name="Positive 3 17 4 12" xfId="28190" xr:uid="{00000000-0005-0000-0000-00002B6E0000}"/>
    <cellStyle name="Positive 3 17 4 12 2" xfId="28191" xr:uid="{00000000-0005-0000-0000-00002C6E0000}"/>
    <cellStyle name="Positive 3 17 4 13" xfId="28192" xr:uid="{00000000-0005-0000-0000-00002D6E0000}"/>
    <cellStyle name="Positive 3 17 4 13 2" xfId="28193" xr:uid="{00000000-0005-0000-0000-00002E6E0000}"/>
    <cellStyle name="Positive 3 17 4 14" xfId="28194" xr:uid="{00000000-0005-0000-0000-00002F6E0000}"/>
    <cellStyle name="Positive 3 17 4 14 2" xfId="28195" xr:uid="{00000000-0005-0000-0000-0000306E0000}"/>
    <cellStyle name="Positive 3 17 4 15" xfId="28196" xr:uid="{00000000-0005-0000-0000-0000316E0000}"/>
    <cellStyle name="Positive 3 17 4 15 2" xfId="28197" xr:uid="{00000000-0005-0000-0000-0000326E0000}"/>
    <cellStyle name="Positive 3 17 4 16" xfId="28198" xr:uid="{00000000-0005-0000-0000-0000336E0000}"/>
    <cellStyle name="Positive 3 17 4 16 2" xfId="28199" xr:uid="{00000000-0005-0000-0000-0000346E0000}"/>
    <cellStyle name="Positive 3 17 4 17" xfId="28200" xr:uid="{00000000-0005-0000-0000-0000356E0000}"/>
    <cellStyle name="Positive 3 17 4 17 2" xfId="28201" xr:uid="{00000000-0005-0000-0000-0000366E0000}"/>
    <cellStyle name="Positive 3 17 4 18" xfId="28202" xr:uid="{00000000-0005-0000-0000-0000376E0000}"/>
    <cellStyle name="Positive 3 17 4 18 2" xfId="28203" xr:uid="{00000000-0005-0000-0000-0000386E0000}"/>
    <cellStyle name="Positive 3 17 4 19" xfId="28204" xr:uid="{00000000-0005-0000-0000-0000396E0000}"/>
    <cellStyle name="Positive 3 17 4 19 2" xfId="28205" xr:uid="{00000000-0005-0000-0000-00003A6E0000}"/>
    <cellStyle name="Positive 3 17 4 2" xfId="28206" xr:uid="{00000000-0005-0000-0000-00003B6E0000}"/>
    <cellStyle name="Positive 3 17 4 2 10" xfId="28207" xr:uid="{00000000-0005-0000-0000-00003C6E0000}"/>
    <cellStyle name="Positive 3 17 4 2 10 2" xfId="28208" xr:uid="{00000000-0005-0000-0000-00003D6E0000}"/>
    <cellStyle name="Positive 3 17 4 2 11" xfId="28209" xr:uid="{00000000-0005-0000-0000-00003E6E0000}"/>
    <cellStyle name="Positive 3 17 4 2 11 2" xfId="28210" xr:uid="{00000000-0005-0000-0000-00003F6E0000}"/>
    <cellStyle name="Positive 3 17 4 2 12" xfId="28211" xr:uid="{00000000-0005-0000-0000-0000406E0000}"/>
    <cellStyle name="Positive 3 17 4 2 12 2" xfId="28212" xr:uid="{00000000-0005-0000-0000-0000416E0000}"/>
    <cellStyle name="Positive 3 17 4 2 13" xfId="28213" xr:uid="{00000000-0005-0000-0000-0000426E0000}"/>
    <cellStyle name="Positive 3 17 4 2 13 2" xfId="28214" xr:uid="{00000000-0005-0000-0000-0000436E0000}"/>
    <cellStyle name="Positive 3 17 4 2 14" xfId="28215" xr:uid="{00000000-0005-0000-0000-0000446E0000}"/>
    <cellStyle name="Positive 3 17 4 2 14 2" xfId="28216" xr:uid="{00000000-0005-0000-0000-0000456E0000}"/>
    <cellStyle name="Positive 3 17 4 2 15" xfId="28217" xr:uid="{00000000-0005-0000-0000-0000466E0000}"/>
    <cellStyle name="Positive 3 17 4 2 15 2" xfId="28218" xr:uid="{00000000-0005-0000-0000-0000476E0000}"/>
    <cellStyle name="Positive 3 17 4 2 16" xfId="28219" xr:uid="{00000000-0005-0000-0000-0000486E0000}"/>
    <cellStyle name="Positive 3 17 4 2 16 2" xfId="28220" xr:uid="{00000000-0005-0000-0000-0000496E0000}"/>
    <cellStyle name="Positive 3 17 4 2 17" xfId="28221" xr:uid="{00000000-0005-0000-0000-00004A6E0000}"/>
    <cellStyle name="Positive 3 17 4 2 2" xfId="28222" xr:uid="{00000000-0005-0000-0000-00004B6E0000}"/>
    <cellStyle name="Positive 3 17 4 2 2 2" xfId="28223" xr:uid="{00000000-0005-0000-0000-00004C6E0000}"/>
    <cellStyle name="Positive 3 17 4 2 3" xfId="28224" xr:uid="{00000000-0005-0000-0000-00004D6E0000}"/>
    <cellStyle name="Positive 3 17 4 2 3 2" xfId="28225" xr:uid="{00000000-0005-0000-0000-00004E6E0000}"/>
    <cellStyle name="Positive 3 17 4 2 4" xfId="28226" xr:uid="{00000000-0005-0000-0000-00004F6E0000}"/>
    <cellStyle name="Positive 3 17 4 2 4 2" xfId="28227" xr:uid="{00000000-0005-0000-0000-0000506E0000}"/>
    <cellStyle name="Positive 3 17 4 2 5" xfId="28228" xr:uid="{00000000-0005-0000-0000-0000516E0000}"/>
    <cellStyle name="Positive 3 17 4 2 5 2" xfId="28229" xr:uid="{00000000-0005-0000-0000-0000526E0000}"/>
    <cellStyle name="Positive 3 17 4 2 6" xfId="28230" xr:uid="{00000000-0005-0000-0000-0000536E0000}"/>
    <cellStyle name="Positive 3 17 4 2 6 2" xfId="28231" xr:uid="{00000000-0005-0000-0000-0000546E0000}"/>
    <cellStyle name="Positive 3 17 4 2 7" xfId="28232" xr:uid="{00000000-0005-0000-0000-0000556E0000}"/>
    <cellStyle name="Positive 3 17 4 2 7 2" xfId="28233" xr:uid="{00000000-0005-0000-0000-0000566E0000}"/>
    <cellStyle name="Positive 3 17 4 2 8" xfId="28234" xr:uid="{00000000-0005-0000-0000-0000576E0000}"/>
    <cellStyle name="Positive 3 17 4 2 8 2" xfId="28235" xr:uid="{00000000-0005-0000-0000-0000586E0000}"/>
    <cellStyle name="Positive 3 17 4 2 9" xfId="28236" xr:uid="{00000000-0005-0000-0000-0000596E0000}"/>
    <cellStyle name="Positive 3 17 4 2 9 2" xfId="28237" xr:uid="{00000000-0005-0000-0000-00005A6E0000}"/>
    <cellStyle name="Positive 3 17 4 20" xfId="28238" xr:uid="{00000000-0005-0000-0000-00005B6E0000}"/>
    <cellStyle name="Positive 3 17 4 3" xfId="28239" xr:uid="{00000000-0005-0000-0000-00005C6E0000}"/>
    <cellStyle name="Positive 3 17 4 3 2" xfId="28240" xr:uid="{00000000-0005-0000-0000-00005D6E0000}"/>
    <cellStyle name="Positive 3 17 4 3 2 2" xfId="28241" xr:uid="{00000000-0005-0000-0000-00005E6E0000}"/>
    <cellStyle name="Positive 3 17 4 3 3" xfId="28242" xr:uid="{00000000-0005-0000-0000-00005F6E0000}"/>
    <cellStyle name="Positive 3 17 4 4" xfId="28243" xr:uid="{00000000-0005-0000-0000-0000606E0000}"/>
    <cellStyle name="Positive 3 17 4 4 2" xfId="28244" xr:uid="{00000000-0005-0000-0000-0000616E0000}"/>
    <cellStyle name="Positive 3 17 4 4 2 2" xfId="28245" xr:uid="{00000000-0005-0000-0000-0000626E0000}"/>
    <cellStyle name="Positive 3 17 4 4 3" xfId="28246" xr:uid="{00000000-0005-0000-0000-0000636E0000}"/>
    <cellStyle name="Positive 3 17 4 5" xfId="28247" xr:uid="{00000000-0005-0000-0000-0000646E0000}"/>
    <cellStyle name="Positive 3 17 4 5 2" xfId="28248" xr:uid="{00000000-0005-0000-0000-0000656E0000}"/>
    <cellStyle name="Positive 3 17 4 6" xfId="28249" xr:uid="{00000000-0005-0000-0000-0000666E0000}"/>
    <cellStyle name="Positive 3 17 4 6 2" xfId="28250" xr:uid="{00000000-0005-0000-0000-0000676E0000}"/>
    <cellStyle name="Positive 3 17 4 7" xfId="28251" xr:uid="{00000000-0005-0000-0000-0000686E0000}"/>
    <cellStyle name="Positive 3 17 4 7 2" xfId="28252" xr:uid="{00000000-0005-0000-0000-0000696E0000}"/>
    <cellStyle name="Positive 3 17 4 8" xfId="28253" xr:uid="{00000000-0005-0000-0000-00006A6E0000}"/>
    <cellStyle name="Positive 3 17 4 8 2" xfId="28254" xr:uid="{00000000-0005-0000-0000-00006B6E0000}"/>
    <cellStyle name="Positive 3 17 4 9" xfId="28255" xr:uid="{00000000-0005-0000-0000-00006C6E0000}"/>
    <cellStyle name="Positive 3 17 4 9 2" xfId="28256" xr:uid="{00000000-0005-0000-0000-00006D6E0000}"/>
    <cellStyle name="Positive 3 17 5" xfId="28257" xr:uid="{00000000-0005-0000-0000-00006E6E0000}"/>
    <cellStyle name="Positive 3 17 5 10" xfId="28258" xr:uid="{00000000-0005-0000-0000-00006F6E0000}"/>
    <cellStyle name="Positive 3 17 5 10 2" xfId="28259" xr:uid="{00000000-0005-0000-0000-0000706E0000}"/>
    <cellStyle name="Positive 3 17 5 11" xfId="28260" xr:uid="{00000000-0005-0000-0000-0000716E0000}"/>
    <cellStyle name="Positive 3 17 5 11 2" xfId="28261" xr:uid="{00000000-0005-0000-0000-0000726E0000}"/>
    <cellStyle name="Positive 3 17 5 12" xfId="28262" xr:uid="{00000000-0005-0000-0000-0000736E0000}"/>
    <cellStyle name="Positive 3 17 5 12 2" xfId="28263" xr:uid="{00000000-0005-0000-0000-0000746E0000}"/>
    <cellStyle name="Positive 3 17 5 13" xfId="28264" xr:uid="{00000000-0005-0000-0000-0000756E0000}"/>
    <cellStyle name="Positive 3 17 5 13 2" xfId="28265" xr:uid="{00000000-0005-0000-0000-0000766E0000}"/>
    <cellStyle name="Positive 3 17 5 14" xfId="28266" xr:uid="{00000000-0005-0000-0000-0000776E0000}"/>
    <cellStyle name="Positive 3 17 5 14 2" xfId="28267" xr:uid="{00000000-0005-0000-0000-0000786E0000}"/>
    <cellStyle name="Positive 3 17 5 15" xfId="28268" xr:uid="{00000000-0005-0000-0000-0000796E0000}"/>
    <cellStyle name="Positive 3 17 5 15 2" xfId="28269" xr:uid="{00000000-0005-0000-0000-00007A6E0000}"/>
    <cellStyle name="Positive 3 17 5 16" xfId="28270" xr:uid="{00000000-0005-0000-0000-00007B6E0000}"/>
    <cellStyle name="Positive 3 17 5 16 2" xfId="28271" xr:uid="{00000000-0005-0000-0000-00007C6E0000}"/>
    <cellStyle name="Positive 3 17 5 17" xfId="28272" xr:uid="{00000000-0005-0000-0000-00007D6E0000}"/>
    <cellStyle name="Positive 3 17 5 2" xfId="28273" xr:uid="{00000000-0005-0000-0000-00007E6E0000}"/>
    <cellStyle name="Positive 3 17 5 2 2" xfId="28274" xr:uid="{00000000-0005-0000-0000-00007F6E0000}"/>
    <cellStyle name="Positive 3 17 5 3" xfId="28275" xr:uid="{00000000-0005-0000-0000-0000806E0000}"/>
    <cellStyle name="Positive 3 17 5 3 2" xfId="28276" xr:uid="{00000000-0005-0000-0000-0000816E0000}"/>
    <cellStyle name="Positive 3 17 5 4" xfId="28277" xr:uid="{00000000-0005-0000-0000-0000826E0000}"/>
    <cellStyle name="Positive 3 17 5 4 2" xfId="28278" xr:uid="{00000000-0005-0000-0000-0000836E0000}"/>
    <cellStyle name="Positive 3 17 5 5" xfId="28279" xr:uid="{00000000-0005-0000-0000-0000846E0000}"/>
    <cellStyle name="Positive 3 17 5 5 2" xfId="28280" xr:uid="{00000000-0005-0000-0000-0000856E0000}"/>
    <cellStyle name="Positive 3 17 5 6" xfId="28281" xr:uid="{00000000-0005-0000-0000-0000866E0000}"/>
    <cellStyle name="Positive 3 17 5 6 2" xfId="28282" xr:uid="{00000000-0005-0000-0000-0000876E0000}"/>
    <cellStyle name="Positive 3 17 5 7" xfId="28283" xr:uid="{00000000-0005-0000-0000-0000886E0000}"/>
    <cellStyle name="Positive 3 17 5 7 2" xfId="28284" xr:uid="{00000000-0005-0000-0000-0000896E0000}"/>
    <cellStyle name="Positive 3 17 5 8" xfId="28285" xr:uid="{00000000-0005-0000-0000-00008A6E0000}"/>
    <cellStyle name="Positive 3 17 5 8 2" xfId="28286" xr:uid="{00000000-0005-0000-0000-00008B6E0000}"/>
    <cellStyle name="Positive 3 17 5 9" xfId="28287" xr:uid="{00000000-0005-0000-0000-00008C6E0000}"/>
    <cellStyle name="Positive 3 17 5 9 2" xfId="28288" xr:uid="{00000000-0005-0000-0000-00008D6E0000}"/>
    <cellStyle name="Positive 3 17 6" xfId="28289" xr:uid="{00000000-0005-0000-0000-00008E6E0000}"/>
    <cellStyle name="Positive 3 17 6 2" xfId="28290" xr:uid="{00000000-0005-0000-0000-00008F6E0000}"/>
    <cellStyle name="Positive 3 17 6 2 2" xfId="28291" xr:uid="{00000000-0005-0000-0000-0000906E0000}"/>
    <cellStyle name="Positive 3 17 6 3" xfId="28292" xr:uid="{00000000-0005-0000-0000-0000916E0000}"/>
    <cellStyle name="Positive 3 17 7" xfId="28293" xr:uid="{00000000-0005-0000-0000-0000926E0000}"/>
    <cellStyle name="Positive 3 17 7 2" xfId="28294" xr:uid="{00000000-0005-0000-0000-0000936E0000}"/>
    <cellStyle name="Positive 3 17 7 2 2" xfId="28295" xr:uid="{00000000-0005-0000-0000-0000946E0000}"/>
    <cellStyle name="Positive 3 17 7 3" xfId="28296" xr:uid="{00000000-0005-0000-0000-0000956E0000}"/>
    <cellStyle name="Positive 3 17 8" xfId="28297" xr:uid="{00000000-0005-0000-0000-0000966E0000}"/>
    <cellStyle name="Positive 3 17 8 2" xfId="28298" xr:uid="{00000000-0005-0000-0000-0000976E0000}"/>
    <cellStyle name="Positive 3 17 9" xfId="28299" xr:uid="{00000000-0005-0000-0000-0000986E0000}"/>
    <cellStyle name="Positive 3 17 9 2" xfId="28300" xr:uid="{00000000-0005-0000-0000-0000996E0000}"/>
    <cellStyle name="Positive 3 18" xfId="28301" xr:uid="{00000000-0005-0000-0000-00009A6E0000}"/>
    <cellStyle name="Positive 3 18 10" xfId="28302" xr:uid="{00000000-0005-0000-0000-00009B6E0000}"/>
    <cellStyle name="Positive 3 18 10 2" xfId="28303" xr:uid="{00000000-0005-0000-0000-00009C6E0000}"/>
    <cellStyle name="Positive 3 18 11" xfId="28304" xr:uid="{00000000-0005-0000-0000-00009D6E0000}"/>
    <cellStyle name="Positive 3 18 11 2" xfId="28305" xr:uid="{00000000-0005-0000-0000-00009E6E0000}"/>
    <cellStyle name="Positive 3 18 12" xfId="28306" xr:uid="{00000000-0005-0000-0000-00009F6E0000}"/>
    <cellStyle name="Positive 3 18 12 2" xfId="28307" xr:uid="{00000000-0005-0000-0000-0000A06E0000}"/>
    <cellStyle name="Positive 3 18 13" xfId="28308" xr:uid="{00000000-0005-0000-0000-0000A16E0000}"/>
    <cellStyle name="Positive 3 18 13 2" xfId="28309" xr:uid="{00000000-0005-0000-0000-0000A26E0000}"/>
    <cellStyle name="Positive 3 18 14" xfId="28310" xr:uid="{00000000-0005-0000-0000-0000A36E0000}"/>
    <cellStyle name="Positive 3 18 14 2" xfId="28311" xr:uid="{00000000-0005-0000-0000-0000A46E0000}"/>
    <cellStyle name="Positive 3 18 15" xfId="28312" xr:uid="{00000000-0005-0000-0000-0000A56E0000}"/>
    <cellStyle name="Positive 3 18 15 2" xfId="28313" xr:uid="{00000000-0005-0000-0000-0000A66E0000}"/>
    <cellStyle name="Positive 3 18 16" xfId="28314" xr:uid="{00000000-0005-0000-0000-0000A76E0000}"/>
    <cellStyle name="Positive 3 18 16 2" xfId="28315" xr:uid="{00000000-0005-0000-0000-0000A86E0000}"/>
    <cellStyle name="Positive 3 18 17" xfId="28316" xr:uid="{00000000-0005-0000-0000-0000A96E0000}"/>
    <cellStyle name="Positive 3 18 17 2" xfId="28317" xr:uid="{00000000-0005-0000-0000-0000AA6E0000}"/>
    <cellStyle name="Positive 3 18 18" xfId="28318" xr:uid="{00000000-0005-0000-0000-0000AB6E0000}"/>
    <cellStyle name="Positive 3 18 18 2" xfId="28319" xr:uid="{00000000-0005-0000-0000-0000AC6E0000}"/>
    <cellStyle name="Positive 3 18 19" xfId="28320" xr:uid="{00000000-0005-0000-0000-0000AD6E0000}"/>
    <cellStyle name="Positive 3 18 19 2" xfId="28321" xr:uid="{00000000-0005-0000-0000-0000AE6E0000}"/>
    <cellStyle name="Positive 3 18 2" xfId="28322" xr:uid="{00000000-0005-0000-0000-0000AF6E0000}"/>
    <cellStyle name="Positive 3 18 2 10" xfId="28323" xr:uid="{00000000-0005-0000-0000-0000B06E0000}"/>
    <cellStyle name="Positive 3 18 2 10 2" xfId="28324" xr:uid="{00000000-0005-0000-0000-0000B16E0000}"/>
    <cellStyle name="Positive 3 18 2 11" xfId="28325" xr:uid="{00000000-0005-0000-0000-0000B26E0000}"/>
    <cellStyle name="Positive 3 18 2 11 2" xfId="28326" xr:uid="{00000000-0005-0000-0000-0000B36E0000}"/>
    <cellStyle name="Positive 3 18 2 12" xfId="28327" xr:uid="{00000000-0005-0000-0000-0000B46E0000}"/>
    <cellStyle name="Positive 3 18 2 12 2" xfId="28328" xr:uid="{00000000-0005-0000-0000-0000B56E0000}"/>
    <cellStyle name="Positive 3 18 2 13" xfId="28329" xr:uid="{00000000-0005-0000-0000-0000B66E0000}"/>
    <cellStyle name="Positive 3 18 2 13 2" xfId="28330" xr:uid="{00000000-0005-0000-0000-0000B76E0000}"/>
    <cellStyle name="Positive 3 18 2 14" xfId="28331" xr:uid="{00000000-0005-0000-0000-0000B86E0000}"/>
    <cellStyle name="Positive 3 18 2 14 2" xfId="28332" xr:uid="{00000000-0005-0000-0000-0000B96E0000}"/>
    <cellStyle name="Positive 3 18 2 15" xfId="28333" xr:uid="{00000000-0005-0000-0000-0000BA6E0000}"/>
    <cellStyle name="Positive 3 18 2 15 2" xfId="28334" xr:uid="{00000000-0005-0000-0000-0000BB6E0000}"/>
    <cellStyle name="Positive 3 18 2 16" xfId="28335" xr:uid="{00000000-0005-0000-0000-0000BC6E0000}"/>
    <cellStyle name="Positive 3 18 2 16 2" xfId="28336" xr:uid="{00000000-0005-0000-0000-0000BD6E0000}"/>
    <cellStyle name="Positive 3 18 2 17" xfId="28337" xr:uid="{00000000-0005-0000-0000-0000BE6E0000}"/>
    <cellStyle name="Positive 3 18 2 2" xfId="28338" xr:uid="{00000000-0005-0000-0000-0000BF6E0000}"/>
    <cellStyle name="Positive 3 18 2 2 2" xfId="28339" xr:uid="{00000000-0005-0000-0000-0000C06E0000}"/>
    <cellStyle name="Positive 3 18 2 3" xfId="28340" xr:uid="{00000000-0005-0000-0000-0000C16E0000}"/>
    <cellStyle name="Positive 3 18 2 3 2" xfId="28341" xr:uid="{00000000-0005-0000-0000-0000C26E0000}"/>
    <cellStyle name="Positive 3 18 2 4" xfId="28342" xr:uid="{00000000-0005-0000-0000-0000C36E0000}"/>
    <cellStyle name="Positive 3 18 2 4 2" xfId="28343" xr:uid="{00000000-0005-0000-0000-0000C46E0000}"/>
    <cellStyle name="Positive 3 18 2 5" xfId="28344" xr:uid="{00000000-0005-0000-0000-0000C56E0000}"/>
    <cellStyle name="Positive 3 18 2 5 2" xfId="28345" xr:uid="{00000000-0005-0000-0000-0000C66E0000}"/>
    <cellStyle name="Positive 3 18 2 6" xfId="28346" xr:uid="{00000000-0005-0000-0000-0000C76E0000}"/>
    <cellStyle name="Positive 3 18 2 6 2" xfId="28347" xr:uid="{00000000-0005-0000-0000-0000C86E0000}"/>
    <cellStyle name="Positive 3 18 2 7" xfId="28348" xr:uid="{00000000-0005-0000-0000-0000C96E0000}"/>
    <cellStyle name="Positive 3 18 2 7 2" xfId="28349" xr:uid="{00000000-0005-0000-0000-0000CA6E0000}"/>
    <cellStyle name="Positive 3 18 2 8" xfId="28350" xr:uid="{00000000-0005-0000-0000-0000CB6E0000}"/>
    <cellStyle name="Positive 3 18 2 8 2" xfId="28351" xr:uid="{00000000-0005-0000-0000-0000CC6E0000}"/>
    <cellStyle name="Positive 3 18 2 9" xfId="28352" xr:uid="{00000000-0005-0000-0000-0000CD6E0000}"/>
    <cellStyle name="Positive 3 18 2 9 2" xfId="28353" xr:uid="{00000000-0005-0000-0000-0000CE6E0000}"/>
    <cellStyle name="Positive 3 18 20" xfId="28354" xr:uid="{00000000-0005-0000-0000-0000CF6E0000}"/>
    <cellStyle name="Positive 3 18 3" xfId="28355" xr:uid="{00000000-0005-0000-0000-0000D06E0000}"/>
    <cellStyle name="Positive 3 18 3 2" xfId="28356" xr:uid="{00000000-0005-0000-0000-0000D16E0000}"/>
    <cellStyle name="Positive 3 18 3 2 2" xfId="28357" xr:uid="{00000000-0005-0000-0000-0000D26E0000}"/>
    <cellStyle name="Positive 3 18 3 3" xfId="28358" xr:uid="{00000000-0005-0000-0000-0000D36E0000}"/>
    <cellStyle name="Positive 3 18 4" xfId="28359" xr:uid="{00000000-0005-0000-0000-0000D46E0000}"/>
    <cellStyle name="Positive 3 18 4 2" xfId="28360" xr:uid="{00000000-0005-0000-0000-0000D56E0000}"/>
    <cellStyle name="Positive 3 18 4 2 2" xfId="28361" xr:uid="{00000000-0005-0000-0000-0000D66E0000}"/>
    <cellStyle name="Positive 3 18 4 3" xfId="28362" xr:uid="{00000000-0005-0000-0000-0000D76E0000}"/>
    <cellStyle name="Positive 3 18 5" xfId="28363" xr:uid="{00000000-0005-0000-0000-0000D86E0000}"/>
    <cellStyle name="Positive 3 18 5 2" xfId="28364" xr:uid="{00000000-0005-0000-0000-0000D96E0000}"/>
    <cellStyle name="Positive 3 18 6" xfId="28365" xr:uid="{00000000-0005-0000-0000-0000DA6E0000}"/>
    <cellStyle name="Positive 3 18 6 2" xfId="28366" xr:uid="{00000000-0005-0000-0000-0000DB6E0000}"/>
    <cellStyle name="Positive 3 18 7" xfId="28367" xr:uid="{00000000-0005-0000-0000-0000DC6E0000}"/>
    <cellStyle name="Positive 3 18 7 2" xfId="28368" xr:uid="{00000000-0005-0000-0000-0000DD6E0000}"/>
    <cellStyle name="Positive 3 18 8" xfId="28369" xr:uid="{00000000-0005-0000-0000-0000DE6E0000}"/>
    <cellStyle name="Positive 3 18 8 2" xfId="28370" xr:uid="{00000000-0005-0000-0000-0000DF6E0000}"/>
    <cellStyle name="Positive 3 18 9" xfId="28371" xr:uid="{00000000-0005-0000-0000-0000E06E0000}"/>
    <cellStyle name="Positive 3 18 9 2" xfId="28372" xr:uid="{00000000-0005-0000-0000-0000E16E0000}"/>
    <cellStyle name="Positive 3 19" xfId="28373" xr:uid="{00000000-0005-0000-0000-0000E26E0000}"/>
    <cellStyle name="Positive 3 19 10" xfId="28374" xr:uid="{00000000-0005-0000-0000-0000E36E0000}"/>
    <cellStyle name="Positive 3 19 10 2" xfId="28375" xr:uid="{00000000-0005-0000-0000-0000E46E0000}"/>
    <cellStyle name="Positive 3 19 11" xfId="28376" xr:uid="{00000000-0005-0000-0000-0000E56E0000}"/>
    <cellStyle name="Positive 3 19 11 2" xfId="28377" xr:uid="{00000000-0005-0000-0000-0000E66E0000}"/>
    <cellStyle name="Positive 3 19 12" xfId="28378" xr:uid="{00000000-0005-0000-0000-0000E76E0000}"/>
    <cellStyle name="Positive 3 19 12 2" xfId="28379" xr:uid="{00000000-0005-0000-0000-0000E86E0000}"/>
    <cellStyle name="Positive 3 19 13" xfId="28380" xr:uid="{00000000-0005-0000-0000-0000E96E0000}"/>
    <cellStyle name="Positive 3 19 13 2" xfId="28381" xr:uid="{00000000-0005-0000-0000-0000EA6E0000}"/>
    <cellStyle name="Positive 3 19 14" xfId="28382" xr:uid="{00000000-0005-0000-0000-0000EB6E0000}"/>
    <cellStyle name="Positive 3 19 14 2" xfId="28383" xr:uid="{00000000-0005-0000-0000-0000EC6E0000}"/>
    <cellStyle name="Positive 3 19 15" xfId="28384" xr:uid="{00000000-0005-0000-0000-0000ED6E0000}"/>
    <cellStyle name="Positive 3 19 15 2" xfId="28385" xr:uid="{00000000-0005-0000-0000-0000EE6E0000}"/>
    <cellStyle name="Positive 3 19 16" xfId="28386" xr:uid="{00000000-0005-0000-0000-0000EF6E0000}"/>
    <cellStyle name="Positive 3 19 16 2" xfId="28387" xr:uid="{00000000-0005-0000-0000-0000F06E0000}"/>
    <cellStyle name="Positive 3 19 17" xfId="28388" xr:uid="{00000000-0005-0000-0000-0000F16E0000}"/>
    <cellStyle name="Positive 3 19 17 2" xfId="28389" xr:uid="{00000000-0005-0000-0000-0000F26E0000}"/>
    <cellStyle name="Positive 3 19 18" xfId="28390" xr:uid="{00000000-0005-0000-0000-0000F36E0000}"/>
    <cellStyle name="Positive 3 19 18 2" xfId="28391" xr:uid="{00000000-0005-0000-0000-0000F46E0000}"/>
    <cellStyle name="Positive 3 19 19" xfId="28392" xr:uid="{00000000-0005-0000-0000-0000F56E0000}"/>
    <cellStyle name="Positive 3 19 19 2" xfId="28393" xr:uid="{00000000-0005-0000-0000-0000F66E0000}"/>
    <cellStyle name="Positive 3 19 2" xfId="28394" xr:uid="{00000000-0005-0000-0000-0000F76E0000}"/>
    <cellStyle name="Positive 3 19 2 10" xfId="28395" xr:uid="{00000000-0005-0000-0000-0000F86E0000}"/>
    <cellStyle name="Positive 3 19 2 10 2" xfId="28396" xr:uid="{00000000-0005-0000-0000-0000F96E0000}"/>
    <cellStyle name="Positive 3 19 2 11" xfId="28397" xr:uid="{00000000-0005-0000-0000-0000FA6E0000}"/>
    <cellStyle name="Positive 3 19 2 11 2" xfId="28398" xr:uid="{00000000-0005-0000-0000-0000FB6E0000}"/>
    <cellStyle name="Positive 3 19 2 12" xfId="28399" xr:uid="{00000000-0005-0000-0000-0000FC6E0000}"/>
    <cellStyle name="Positive 3 19 2 12 2" xfId="28400" xr:uid="{00000000-0005-0000-0000-0000FD6E0000}"/>
    <cellStyle name="Positive 3 19 2 13" xfId="28401" xr:uid="{00000000-0005-0000-0000-0000FE6E0000}"/>
    <cellStyle name="Positive 3 19 2 13 2" xfId="28402" xr:uid="{00000000-0005-0000-0000-0000FF6E0000}"/>
    <cellStyle name="Positive 3 19 2 14" xfId="28403" xr:uid="{00000000-0005-0000-0000-0000006F0000}"/>
    <cellStyle name="Positive 3 19 2 14 2" xfId="28404" xr:uid="{00000000-0005-0000-0000-0000016F0000}"/>
    <cellStyle name="Positive 3 19 2 15" xfId="28405" xr:uid="{00000000-0005-0000-0000-0000026F0000}"/>
    <cellStyle name="Positive 3 19 2 15 2" xfId="28406" xr:uid="{00000000-0005-0000-0000-0000036F0000}"/>
    <cellStyle name="Positive 3 19 2 16" xfId="28407" xr:uid="{00000000-0005-0000-0000-0000046F0000}"/>
    <cellStyle name="Positive 3 19 2 16 2" xfId="28408" xr:uid="{00000000-0005-0000-0000-0000056F0000}"/>
    <cellStyle name="Positive 3 19 2 17" xfId="28409" xr:uid="{00000000-0005-0000-0000-0000066F0000}"/>
    <cellStyle name="Positive 3 19 2 2" xfId="28410" xr:uid="{00000000-0005-0000-0000-0000076F0000}"/>
    <cellStyle name="Positive 3 19 2 2 2" xfId="28411" xr:uid="{00000000-0005-0000-0000-0000086F0000}"/>
    <cellStyle name="Positive 3 19 2 3" xfId="28412" xr:uid="{00000000-0005-0000-0000-0000096F0000}"/>
    <cellStyle name="Positive 3 19 2 3 2" xfId="28413" xr:uid="{00000000-0005-0000-0000-00000A6F0000}"/>
    <cellStyle name="Positive 3 19 2 4" xfId="28414" xr:uid="{00000000-0005-0000-0000-00000B6F0000}"/>
    <cellStyle name="Positive 3 19 2 4 2" xfId="28415" xr:uid="{00000000-0005-0000-0000-00000C6F0000}"/>
    <cellStyle name="Positive 3 19 2 5" xfId="28416" xr:uid="{00000000-0005-0000-0000-00000D6F0000}"/>
    <cellStyle name="Positive 3 19 2 5 2" xfId="28417" xr:uid="{00000000-0005-0000-0000-00000E6F0000}"/>
    <cellStyle name="Positive 3 19 2 6" xfId="28418" xr:uid="{00000000-0005-0000-0000-00000F6F0000}"/>
    <cellStyle name="Positive 3 19 2 6 2" xfId="28419" xr:uid="{00000000-0005-0000-0000-0000106F0000}"/>
    <cellStyle name="Positive 3 19 2 7" xfId="28420" xr:uid="{00000000-0005-0000-0000-0000116F0000}"/>
    <cellStyle name="Positive 3 19 2 7 2" xfId="28421" xr:uid="{00000000-0005-0000-0000-0000126F0000}"/>
    <cellStyle name="Positive 3 19 2 8" xfId="28422" xr:uid="{00000000-0005-0000-0000-0000136F0000}"/>
    <cellStyle name="Positive 3 19 2 8 2" xfId="28423" xr:uid="{00000000-0005-0000-0000-0000146F0000}"/>
    <cellStyle name="Positive 3 19 2 9" xfId="28424" xr:uid="{00000000-0005-0000-0000-0000156F0000}"/>
    <cellStyle name="Positive 3 19 2 9 2" xfId="28425" xr:uid="{00000000-0005-0000-0000-0000166F0000}"/>
    <cellStyle name="Positive 3 19 20" xfId="28426" xr:uid="{00000000-0005-0000-0000-0000176F0000}"/>
    <cellStyle name="Positive 3 19 3" xfId="28427" xr:uid="{00000000-0005-0000-0000-0000186F0000}"/>
    <cellStyle name="Positive 3 19 3 2" xfId="28428" xr:uid="{00000000-0005-0000-0000-0000196F0000}"/>
    <cellStyle name="Positive 3 19 3 2 2" xfId="28429" xr:uid="{00000000-0005-0000-0000-00001A6F0000}"/>
    <cellStyle name="Positive 3 19 3 3" xfId="28430" xr:uid="{00000000-0005-0000-0000-00001B6F0000}"/>
    <cellStyle name="Positive 3 19 4" xfId="28431" xr:uid="{00000000-0005-0000-0000-00001C6F0000}"/>
    <cellStyle name="Positive 3 19 4 2" xfId="28432" xr:uid="{00000000-0005-0000-0000-00001D6F0000}"/>
    <cellStyle name="Positive 3 19 4 2 2" xfId="28433" xr:uid="{00000000-0005-0000-0000-00001E6F0000}"/>
    <cellStyle name="Positive 3 19 4 3" xfId="28434" xr:uid="{00000000-0005-0000-0000-00001F6F0000}"/>
    <cellStyle name="Positive 3 19 5" xfId="28435" xr:uid="{00000000-0005-0000-0000-0000206F0000}"/>
    <cellStyle name="Positive 3 19 5 2" xfId="28436" xr:uid="{00000000-0005-0000-0000-0000216F0000}"/>
    <cellStyle name="Positive 3 19 6" xfId="28437" xr:uid="{00000000-0005-0000-0000-0000226F0000}"/>
    <cellStyle name="Positive 3 19 6 2" xfId="28438" xr:uid="{00000000-0005-0000-0000-0000236F0000}"/>
    <cellStyle name="Positive 3 19 7" xfId="28439" xr:uid="{00000000-0005-0000-0000-0000246F0000}"/>
    <cellStyle name="Positive 3 19 7 2" xfId="28440" xr:uid="{00000000-0005-0000-0000-0000256F0000}"/>
    <cellStyle name="Positive 3 19 8" xfId="28441" xr:uid="{00000000-0005-0000-0000-0000266F0000}"/>
    <cellStyle name="Positive 3 19 8 2" xfId="28442" xr:uid="{00000000-0005-0000-0000-0000276F0000}"/>
    <cellStyle name="Positive 3 19 9" xfId="28443" xr:uid="{00000000-0005-0000-0000-0000286F0000}"/>
    <cellStyle name="Positive 3 19 9 2" xfId="28444" xr:uid="{00000000-0005-0000-0000-0000296F0000}"/>
    <cellStyle name="Positive 3 2" xfId="28445" xr:uid="{00000000-0005-0000-0000-00002A6F0000}"/>
    <cellStyle name="Positive 3 2 10" xfId="28446" xr:uid="{00000000-0005-0000-0000-00002B6F0000}"/>
    <cellStyle name="Positive 3 2 10 10" xfId="28447" xr:uid="{00000000-0005-0000-0000-00002C6F0000}"/>
    <cellStyle name="Positive 3 2 10 10 2" xfId="28448" xr:uid="{00000000-0005-0000-0000-00002D6F0000}"/>
    <cellStyle name="Positive 3 2 10 11" xfId="28449" xr:uid="{00000000-0005-0000-0000-00002E6F0000}"/>
    <cellStyle name="Positive 3 2 10 11 2" xfId="28450" xr:uid="{00000000-0005-0000-0000-00002F6F0000}"/>
    <cellStyle name="Positive 3 2 10 12" xfId="28451" xr:uid="{00000000-0005-0000-0000-0000306F0000}"/>
    <cellStyle name="Positive 3 2 10 12 2" xfId="28452" xr:uid="{00000000-0005-0000-0000-0000316F0000}"/>
    <cellStyle name="Positive 3 2 10 13" xfId="28453" xr:uid="{00000000-0005-0000-0000-0000326F0000}"/>
    <cellStyle name="Positive 3 2 10 13 2" xfId="28454" xr:uid="{00000000-0005-0000-0000-0000336F0000}"/>
    <cellStyle name="Positive 3 2 10 14" xfId="28455" xr:uid="{00000000-0005-0000-0000-0000346F0000}"/>
    <cellStyle name="Positive 3 2 10 14 2" xfId="28456" xr:uid="{00000000-0005-0000-0000-0000356F0000}"/>
    <cellStyle name="Positive 3 2 10 15" xfId="28457" xr:uid="{00000000-0005-0000-0000-0000366F0000}"/>
    <cellStyle name="Positive 3 2 10 15 2" xfId="28458" xr:uid="{00000000-0005-0000-0000-0000376F0000}"/>
    <cellStyle name="Positive 3 2 10 16" xfId="28459" xr:uid="{00000000-0005-0000-0000-0000386F0000}"/>
    <cellStyle name="Positive 3 2 10 16 2" xfId="28460" xr:uid="{00000000-0005-0000-0000-0000396F0000}"/>
    <cellStyle name="Positive 3 2 10 17" xfId="28461" xr:uid="{00000000-0005-0000-0000-00003A6F0000}"/>
    <cellStyle name="Positive 3 2 10 17 2" xfId="28462" xr:uid="{00000000-0005-0000-0000-00003B6F0000}"/>
    <cellStyle name="Positive 3 2 10 18" xfId="28463" xr:uid="{00000000-0005-0000-0000-00003C6F0000}"/>
    <cellStyle name="Positive 3 2 10 18 2" xfId="28464" xr:uid="{00000000-0005-0000-0000-00003D6F0000}"/>
    <cellStyle name="Positive 3 2 10 19" xfId="28465" xr:uid="{00000000-0005-0000-0000-00003E6F0000}"/>
    <cellStyle name="Positive 3 2 10 19 2" xfId="28466" xr:uid="{00000000-0005-0000-0000-00003F6F0000}"/>
    <cellStyle name="Positive 3 2 10 2" xfId="28467" xr:uid="{00000000-0005-0000-0000-0000406F0000}"/>
    <cellStyle name="Positive 3 2 10 2 10" xfId="28468" xr:uid="{00000000-0005-0000-0000-0000416F0000}"/>
    <cellStyle name="Positive 3 2 10 2 10 2" xfId="28469" xr:uid="{00000000-0005-0000-0000-0000426F0000}"/>
    <cellStyle name="Positive 3 2 10 2 11" xfId="28470" xr:uid="{00000000-0005-0000-0000-0000436F0000}"/>
    <cellStyle name="Positive 3 2 10 2 11 2" xfId="28471" xr:uid="{00000000-0005-0000-0000-0000446F0000}"/>
    <cellStyle name="Positive 3 2 10 2 12" xfId="28472" xr:uid="{00000000-0005-0000-0000-0000456F0000}"/>
    <cellStyle name="Positive 3 2 10 2 12 2" xfId="28473" xr:uid="{00000000-0005-0000-0000-0000466F0000}"/>
    <cellStyle name="Positive 3 2 10 2 13" xfId="28474" xr:uid="{00000000-0005-0000-0000-0000476F0000}"/>
    <cellStyle name="Positive 3 2 10 2 13 2" xfId="28475" xr:uid="{00000000-0005-0000-0000-0000486F0000}"/>
    <cellStyle name="Positive 3 2 10 2 14" xfId="28476" xr:uid="{00000000-0005-0000-0000-0000496F0000}"/>
    <cellStyle name="Positive 3 2 10 2 14 2" xfId="28477" xr:uid="{00000000-0005-0000-0000-00004A6F0000}"/>
    <cellStyle name="Positive 3 2 10 2 15" xfId="28478" xr:uid="{00000000-0005-0000-0000-00004B6F0000}"/>
    <cellStyle name="Positive 3 2 10 2 15 2" xfId="28479" xr:uid="{00000000-0005-0000-0000-00004C6F0000}"/>
    <cellStyle name="Positive 3 2 10 2 16" xfId="28480" xr:uid="{00000000-0005-0000-0000-00004D6F0000}"/>
    <cellStyle name="Positive 3 2 10 2 16 2" xfId="28481" xr:uid="{00000000-0005-0000-0000-00004E6F0000}"/>
    <cellStyle name="Positive 3 2 10 2 17" xfId="28482" xr:uid="{00000000-0005-0000-0000-00004F6F0000}"/>
    <cellStyle name="Positive 3 2 10 2 17 2" xfId="28483" xr:uid="{00000000-0005-0000-0000-0000506F0000}"/>
    <cellStyle name="Positive 3 2 10 2 18" xfId="28484" xr:uid="{00000000-0005-0000-0000-0000516F0000}"/>
    <cellStyle name="Positive 3 2 10 2 18 2" xfId="28485" xr:uid="{00000000-0005-0000-0000-0000526F0000}"/>
    <cellStyle name="Positive 3 2 10 2 19" xfId="28486" xr:uid="{00000000-0005-0000-0000-0000536F0000}"/>
    <cellStyle name="Positive 3 2 10 2 19 2" xfId="28487" xr:uid="{00000000-0005-0000-0000-0000546F0000}"/>
    <cellStyle name="Positive 3 2 10 2 2" xfId="28488" xr:uid="{00000000-0005-0000-0000-0000556F0000}"/>
    <cellStyle name="Positive 3 2 10 2 2 10" xfId="28489" xr:uid="{00000000-0005-0000-0000-0000566F0000}"/>
    <cellStyle name="Positive 3 2 10 2 2 10 2" xfId="28490" xr:uid="{00000000-0005-0000-0000-0000576F0000}"/>
    <cellStyle name="Positive 3 2 10 2 2 11" xfId="28491" xr:uid="{00000000-0005-0000-0000-0000586F0000}"/>
    <cellStyle name="Positive 3 2 10 2 2 11 2" xfId="28492" xr:uid="{00000000-0005-0000-0000-0000596F0000}"/>
    <cellStyle name="Positive 3 2 10 2 2 12" xfId="28493" xr:uid="{00000000-0005-0000-0000-00005A6F0000}"/>
    <cellStyle name="Positive 3 2 10 2 2 12 2" xfId="28494" xr:uid="{00000000-0005-0000-0000-00005B6F0000}"/>
    <cellStyle name="Positive 3 2 10 2 2 13" xfId="28495" xr:uid="{00000000-0005-0000-0000-00005C6F0000}"/>
    <cellStyle name="Positive 3 2 10 2 2 13 2" xfId="28496" xr:uid="{00000000-0005-0000-0000-00005D6F0000}"/>
    <cellStyle name="Positive 3 2 10 2 2 14" xfId="28497" xr:uid="{00000000-0005-0000-0000-00005E6F0000}"/>
    <cellStyle name="Positive 3 2 10 2 2 14 2" xfId="28498" xr:uid="{00000000-0005-0000-0000-00005F6F0000}"/>
    <cellStyle name="Positive 3 2 10 2 2 15" xfId="28499" xr:uid="{00000000-0005-0000-0000-0000606F0000}"/>
    <cellStyle name="Positive 3 2 10 2 2 15 2" xfId="28500" xr:uid="{00000000-0005-0000-0000-0000616F0000}"/>
    <cellStyle name="Positive 3 2 10 2 2 16" xfId="28501" xr:uid="{00000000-0005-0000-0000-0000626F0000}"/>
    <cellStyle name="Positive 3 2 10 2 2 16 2" xfId="28502" xr:uid="{00000000-0005-0000-0000-0000636F0000}"/>
    <cellStyle name="Positive 3 2 10 2 2 17" xfId="28503" xr:uid="{00000000-0005-0000-0000-0000646F0000}"/>
    <cellStyle name="Positive 3 2 10 2 2 2" xfId="28504" xr:uid="{00000000-0005-0000-0000-0000656F0000}"/>
    <cellStyle name="Positive 3 2 10 2 2 2 2" xfId="28505" xr:uid="{00000000-0005-0000-0000-0000666F0000}"/>
    <cellStyle name="Positive 3 2 10 2 2 3" xfId="28506" xr:uid="{00000000-0005-0000-0000-0000676F0000}"/>
    <cellStyle name="Positive 3 2 10 2 2 3 2" xfId="28507" xr:uid="{00000000-0005-0000-0000-0000686F0000}"/>
    <cellStyle name="Positive 3 2 10 2 2 4" xfId="28508" xr:uid="{00000000-0005-0000-0000-0000696F0000}"/>
    <cellStyle name="Positive 3 2 10 2 2 4 2" xfId="28509" xr:uid="{00000000-0005-0000-0000-00006A6F0000}"/>
    <cellStyle name="Positive 3 2 10 2 2 5" xfId="28510" xr:uid="{00000000-0005-0000-0000-00006B6F0000}"/>
    <cellStyle name="Positive 3 2 10 2 2 5 2" xfId="28511" xr:uid="{00000000-0005-0000-0000-00006C6F0000}"/>
    <cellStyle name="Positive 3 2 10 2 2 6" xfId="28512" xr:uid="{00000000-0005-0000-0000-00006D6F0000}"/>
    <cellStyle name="Positive 3 2 10 2 2 6 2" xfId="28513" xr:uid="{00000000-0005-0000-0000-00006E6F0000}"/>
    <cellStyle name="Positive 3 2 10 2 2 7" xfId="28514" xr:uid="{00000000-0005-0000-0000-00006F6F0000}"/>
    <cellStyle name="Positive 3 2 10 2 2 7 2" xfId="28515" xr:uid="{00000000-0005-0000-0000-0000706F0000}"/>
    <cellStyle name="Positive 3 2 10 2 2 8" xfId="28516" xr:uid="{00000000-0005-0000-0000-0000716F0000}"/>
    <cellStyle name="Positive 3 2 10 2 2 8 2" xfId="28517" xr:uid="{00000000-0005-0000-0000-0000726F0000}"/>
    <cellStyle name="Positive 3 2 10 2 2 9" xfId="28518" xr:uid="{00000000-0005-0000-0000-0000736F0000}"/>
    <cellStyle name="Positive 3 2 10 2 2 9 2" xfId="28519" xr:uid="{00000000-0005-0000-0000-0000746F0000}"/>
    <cellStyle name="Positive 3 2 10 2 20" xfId="28520" xr:uid="{00000000-0005-0000-0000-0000756F0000}"/>
    <cellStyle name="Positive 3 2 10 2 3" xfId="28521" xr:uid="{00000000-0005-0000-0000-0000766F0000}"/>
    <cellStyle name="Positive 3 2 10 2 3 2" xfId="28522" xr:uid="{00000000-0005-0000-0000-0000776F0000}"/>
    <cellStyle name="Positive 3 2 10 2 3 2 2" xfId="28523" xr:uid="{00000000-0005-0000-0000-0000786F0000}"/>
    <cellStyle name="Positive 3 2 10 2 3 3" xfId="28524" xr:uid="{00000000-0005-0000-0000-0000796F0000}"/>
    <cellStyle name="Positive 3 2 10 2 4" xfId="28525" xr:uid="{00000000-0005-0000-0000-00007A6F0000}"/>
    <cellStyle name="Positive 3 2 10 2 4 2" xfId="28526" xr:uid="{00000000-0005-0000-0000-00007B6F0000}"/>
    <cellStyle name="Positive 3 2 10 2 4 2 2" xfId="28527" xr:uid="{00000000-0005-0000-0000-00007C6F0000}"/>
    <cellStyle name="Positive 3 2 10 2 4 3" xfId="28528" xr:uid="{00000000-0005-0000-0000-00007D6F0000}"/>
    <cellStyle name="Positive 3 2 10 2 5" xfId="28529" xr:uid="{00000000-0005-0000-0000-00007E6F0000}"/>
    <cellStyle name="Positive 3 2 10 2 5 2" xfId="28530" xr:uid="{00000000-0005-0000-0000-00007F6F0000}"/>
    <cellStyle name="Positive 3 2 10 2 6" xfId="28531" xr:uid="{00000000-0005-0000-0000-0000806F0000}"/>
    <cellStyle name="Positive 3 2 10 2 6 2" xfId="28532" xr:uid="{00000000-0005-0000-0000-0000816F0000}"/>
    <cellStyle name="Positive 3 2 10 2 7" xfId="28533" xr:uid="{00000000-0005-0000-0000-0000826F0000}"/>
    <cellStyle name="Positive 3 2 10 2 7 2" xfId="28534" xr:uid="{00000000-0005-0000-0000-0000836F0000}"/>
    <cellStyle name="Positive 3 2 10 2 8" xfId="28535" xr:uid="{00000000-0005-0000-0000-0000846F0000}"/>
    <cellStyle name="Positive 3 2 10 2 8 2" xfId="28536" xr:uid="{00000000-0005-0000-0000-0000856F0000}"/>
    <cellStyle name="Positive 3 2 10 2 9" xfId="28537" xr:uid="{00000000-0005-0000-0000-0000866F0000}"/>
    <cellStyle name="Positive 3 2 10 2 9 2" xfId="28538" xr:uid="{00000000-0005-0000-0000-0000876F0000}"/>
    <cellStyle name="Positive 3 2 10 20" xfId="28539" xr:uid="{00000000-0005-0000-0000-0000886F0000}"/>
    <cellStyle name="Positive 3 2 10 20 2" xfId="28540" xr:uid="{00000000-0005-0000-0000-0000896F0000}"/>
    <cellStyle name="Positive 3 2 10 21" xfId="28541" xr:uid="{00000000-0005-0000-0000-00008A6F0000}"/>
    <cellStyle name="Positive 3 2 10 21 2" xfId="28542" xr:uid="{00000000-0005-0000-0000-00008B6F0000}"/>
    <cellStyle name="Positive 3 2 10 22" xfId="28543" xr:uid="{00000000-0005-0000-0000-00008C6F0000}"/>
    <cellStyle name="Positive 3 2 10 22 2" xfId="28544" xr:uid="{00000000-0005-0000-0000-00008D6F0000}"/>
    <cellStyle name="Positive 3 2 10 23" xfId="28545" xr:uid="{00000000-0005-0000-0000-00008E6F0000}"/>
    <cellStyle name="Positive 3 2 10 3" xfId="28546" xr:uid="{00000000-0005-0000-0000-00008F6F0000}"/>
    <cellStyle name="Positive 3 2 10 3 10" xfId="28547" xr:uid="{00000000-0005-0000-0000-0000906F0000}"/>
    <cellStyle name="Positive 3 2 10 3 10 2" xfId="28548" xr:uid="{00000000-0005-0000-0000-0000916F0000}"/>
    <cellStyle name="Positive 3 2 10 3 11" xfId="28549" xr:uid="{00000000-0005-0000-0000-0000926F0000}"/>
    <cellStyle name="Positive 3 2 10 3 11 2" xfId="28550" xr:uid="{00000000-0005-0000-0000-0000936F0000}"/>
    <cellStyle name="Positive 3 2 10 3 12" xfId="28551" xr:uid="{00000000-0005-0000-0000-0000946F0000}"/>
    <cellStyle name="Positive 3 2 10 3 12 2" xfId="28552" xr:uid="{00000000-0005-0000-0000-0000956F0000}"/>
    <cellStyle name="Positive 3 2 10 3 13" xfId="28553" xr:uid="{00000000-0005-0000-0000-0000966F0000}"/>
    <cellStyle name="Positive 3 2 10 3 13 2" xfId="28554" xr:uid="{00000000-0005-0000-0000-0000976F0000}"/>
    <cellStyle name="Positive 3 2 10 3 14" xfId="28555" xr:uid="{00000000-0005-0000-0000-0000986F0000}"/>
    <cellStyle name="Positive 3 2 10 3 14 2" xfId="28556" xr:uid="{00000000-0005-0000-0000-0000996F0000}"/>
    <cellStyle name="Positive 3 2 10 3 15" xfId="28557" xr:uid="{00000000-0005-0000-0000-00009A6F0000}"/>
    <cellStyle name="Positive 3 2 10 3 15 2" xfId="28558" xr:uid="{00000000-0005-0000-0000-00009B6F0000}"/>
    <cellStyle name="Positive 3 2 10 3 16" xfId="28559" xr:uid="{00000000-0005-0000-0000-00009C6F0000}"/>
    <cellStyle name="Positive 3 2 10 3 16 2" xfId="28560" xr:uid="{00000000-0005-0000-0000-00009D6F0000}"/>
    <cellStyle name="Positive 3 2 10 3 17" xfId="28561" xr:uid="{00000000-0005-0000-0000-00009E6F0000}"/>
    <cellStyle name="Positive 3 2 10 3 17 2" xfId="28562" xr:uid="{00000000-0005-0000-0000-00009F6F0000}"/>
    <cellStyle name="Positive 3 2 10 3 18" xfId="28563" xr:uid="{00000000-0005-0000-0000-0000A06F0000}"/>
    <cellStyle name="Positive 3 2 10 3 18 2" xfId="28564" xr:uid="{00000000-0005-0000-0000-0000A16F0000}"/>
    <cellStyle name="Positive 3 2 10 3 19" xfId="28565" xr:uid="{00000000-0005-0000-0000-0000A26F0000}"/>
    <cellStyle name="Positive 3 2 10 3 19 2" xfId="28566" xr:uid="{00000000-0005-0000-0000-0000A36F0000}"/>
    <cellStyle name="Positive 3 2 10 3 2" xfId="28567" xr:uid="{00000000-0005-0000-0000-0000A46F0000}"/>
    <cellStyle name="Positive 3 2 10 3 2 10" xfId="28568" xr:uid="{00000000-0005-0000-0000-0000A56F0000}"/>
    <cellStyle name="Positive 3 2 10 3 2 10 2" xfId="28569" xr:uid="{00000000-0005-0000-0000-0000A66F0000}"/>
    <cellStyle name="Positive 3 2 10 3 2 11" xfId="28570" xr:uid="{00000000-0005-0000-0000-0000A76F0000}"/>
    <cellStyle name="Positive 3 2 10 3 2 11 2" xfId="28571" xr:uid="{00000000-0005-0000-0000-0000A86F0000}"/>
    <cellStyle name="Positive 3 2 10 3 2 12" xfId="28572" xr:uid="{00000000-0005-0000-0000-0000A96F0000}"/>
    <cellStyle name="Positive 3 2 10 3 2 12 2" xfId="28573" xr:uid="{00000000-0005-0000-0000-0000AA6F0000}"/>
    <cellStyle name="Positive 3 2 10 3 2 13" xfId="28574" xr:uid="{00000000-0005-0000-0000-0000AB6F0000}"/>
    <cellStyle name="Positive 3 2 10 3 2 13 2" xfId="28575" xr:uid="{00000000-0005-0000-0000-0000AC6F0000}"/>
    <cellStyle name="Positive 3 2 10 3 2 14" xfId="28576" xr:uid="{00000000-0005-0000-0000-0000AD6F0000}"/>
    <cellStyle name="Positive 3 2 10 3 2 14 2" xfId="28577" xr:uid="{00000000-0005-0000-0000-0000AE6F0000}"/>
    <cellStyle name="Positive 3 2 10 3 2 15" xfId="28578" xr:uid="{00000000-0005-0000-0000-0000AF6F0000}"/>
    <cellStyle name="Positive 3 2 10 3 2 15 2" xfId="28579" xr:uid="{00000000-0005-0000-0000-0000B06F0000}"/>
    <cellStyle name="Positive 3 2 10 3 2 16" xfId="28580" xr:uid="{00000000-0005-0000-0000-0000B16F0000}"/>
    <cellStyle name="Positive 3 2 10 3 2 16 2" xfId="28581" xr:uid="{00000000-0005-0000-0000-0000B26F0000}"/>
    <cellStyle name="Positive 3 2 10 3 2 17" xfId="28582" xr:uid="{00000000-0005-0000-0000-0000B36F0000}"/>
    <cellStyle name="Positive 3 2 10 3 2 2" xfId="28583" xr:uid="{00000000-0005-0000-0000-0000B46F0000}"/>
    <cellStyle name="Positive 3 2 10 3 2 2 2" xfId="28584" xr:uid="{00000000-0005-0000-0000-0000B56F0000}"/>
    <cellStyle name="Positive 3 2 10 3 2 3" xfId="28585" xr:uid="{00000000-0005-0000-0000-0000B66F0000}"/>
    <cellStyle name="Positive 3 2 10 3 2 3 2" xfId="28586" xr:uid="{00000000-0005-0000-0000-0000B76F0000}"/>
    <cellStyle name="Positive 3 2 10 3 2 4" xfId="28587" xr:uid="{00000000-0005-0000-0000-0000B86F0000}"/>
    <cellStyle name="Positive 3 2 10 3 2 4 2" xfId="28588" xr:uid="{00000000-0005-0000-0000-0000B96F0000}"/>
    <cellStyle name="Positive 3 2 10 3 2 5" xfId="28589" xr:uid="{00000000-0005-0000-0000-0000BA6F0000}"/>
    <cellStyle name="Positive 3 2 10 3 2 5 2" xfId="28590" xr:uid="{00000000-0005-0000-0000-0000BB6F0000}"/>
    <cellStyle name="Positive 3 2 10 3 2 6" xfId="28591" xr:uid="{00000000-0005-0000-0000-0000BC6F0000}"/>
    <cellStyle name="Positive 3 2 10 3 2 6 2" xfId="28592" xr:uid="{00000000-0005-0000-0000-0000BD6F0000}"/>
    <cellStyle name="Positive 3 2 10 3 2 7" xfId="28593" xr:uid="{00000000-0005-0000-0000-0000BE6F0000}"/>
    <cellStyle name="Positive 3 2 10 3 2 7 2" xfId="28594" xr:uid="{00000000-0005-0000-0000-0000BF6F0000}"/>
    <cellStyle name="Positive 3 2 10 3 2 8" xfId="28595" xr:uid="{00000000-0005-0000-0000-0000C06F0000}"/>
    <cellStyle name="Positive 3 2 10 3 2 8 2" xfId="28596" xr:uid="{00000000-0005-0000-0000-0000C16F0000}"/>
    <cellStyle name="Positive 3 2 10 3 2 9" xfId="28597" xr:uid="{00000000-0005-0000-0000-0000C26F0000}"/>
    <cellStyle name="Positive 3 2 10 3 2 9 2" xfId="28598" xr:uid="{00000000-0005-0000-0000-0000C36F0000}"/>
    <cellStyle name="Positive 3 2 10 3 20" xfId="28599" xr:uid="{00000000-0005-0000-0000-0000C46F0000}"/>
    <cellStyle name="Positive 3 2 10 3 3" xfId="28600" xr:uid="{00000000-0005-0000-0000-0000C56F0000}"/>
    <cellStyle name="Positive 3 2 10 3 3 2" xfId="28601" xr:uid="{00000000-0005-0000-0000-0000C66F0000}"/>
    <cellStyle name="Positive 3 2 10 3 3 2 2" xfId="28602" xr:uid="{00000000-0005-0000-0000-0000C76F0000}"/>
    <cellStyle name="Positive 3 2 10 3 3 3" xfId="28603" xr:uid="{00000000-0005-0000-0000-0000C86F0000}"/>
    <cellStyle name="Positive 3 2 10 3 4" xfId="28604" xr:uid="{00000000-0005-0000-0000-0000C96F0000}"/>
    <cellStyle name="Positive 3 2 10 3 4 2" xfId="28605" xr:uid="{00000000-0005-0000-0000-0000CA6F0000}"/>
    <cellStyle name="Positive 3 2 10 3 4 2 2" xfId="28606" xr:uid="{00000000-0005-0000-0000-0000CB6F0000}"/>
    <cellStyle name="Positive 3 2 10 3 4 3" xfId="28607" xr:uid="{00000000-0005-0000-0000-0000CC6F0000}"/>
    <cellStyle name="Positive 3 2 10 3 5" xfId="28608" xr:uid="{00000000-0005-0000-0000-0000CD6F0000}"/>
    <cellStyle name="Positive 3 2 10 3 5 2" xfId="28609" xr:uid="{00000000-0005-0000-0000-0000CE6F0000}"/>
    <cellStyle name="Positive 3 2 10 3 6" xfId="28610" xr:uid="{00000000-0005-0000-0000-0000CF6F0000}"/>
    <cellStyle name="Positive 3 2 10 3 6 2" xfId="28611" xr:uid="{00000000-0005-0000-0000-0000D06F0000}"/>
    <cellStyle name="Positive 3 2 10 3 7" xfId="28612" xr:uid="{00000000-0005-0000-0000-0000D16F0000}"/>
    <cellStyle name="Positive 3 2 10 3 7 2" xfId="28613" xr:uid="{00000000-0005-0000-0000-0000D26F0000}"/>
    <cellStyle name="Positive 3 2 10 3 8" xfId="28614" xr:uid="{00000000-0005-0000-0000-0000D36F0000}"/>
    <cellStyle name="Positive 3 2 10 3 8 2" xfId="28615" xr:uid="{00000000-0005-0000-0000-0000D46F0000}"/>
    <cellStyle name="Positive 3 2 10 3 9" xfId="28616" xr:uid="{00000000-0005-0000-0000-0000D56F0000}"/>
    <cellStyle name="Positive 3 2 10 3 9 2" xfId="28617" xr:uid="{00000000-0005-0000-0000-0000D66F0000}"/>
    <cellStyle name="Positive 3 2 10 4" xfId="28618" xr:uid="{00000000-0005-0000-0000-0000D76F0000}"/>
    <cellStyle name="Positive 3 2 10 4 10" xfId="28619" xr:uid="{00000000-0005-0000-0000-0000D86F0000}"/>
    <cellStyle name="Positive 3 2 10 4 10 2" xfId="28620" xr:uid="{00000000-0005-0000-0000-0000D96F0000}"/>
    <cellStyle name="Positive 3 2 10 4 11" xfId="28621" xr:uid="{00000000-0005-0000-0000-0000DA6F0000}"/>
    <cellStyle name="Positive 3 2 10 4 11 2" xfId="28622" xr:uid="{00000000-0005-0000-0000-0000DB6F0000}"/>
    <cellStyle name="Positive 3 2 10 4 12" xfId="28623" xr:uid="{00000000-0005-0000-0000-0000DC6F0000}"/>
    <cellStyle name="Positive 3 2 10 4 12 2" xfId="28624" xr:uid="{00000000-0005-0000-0000-0000DD6F0000}"/>
    <cellStyle name="Positive 3 2 10 4 13" xfId="28625" xr:uid="{00000000-0005-0000-0000-0000DE6F0000}"/>
    <cellStyle name="Positive 3 2 10 4 13 2" xfId="28626" xr:uid="{00000000-0005-0000-0000-0000DF6F0000}"/>
    <cellStyle name="Positive 3 2 10 4 14" xfId="28627" xr:uid="{00000000-0005-0000-0000-0000E06F0000}"/>
    <cellStyle name="Positive 3 2 10 4 14 2" xfId="28628" xr:uid="{00000000-0005-0000-0000-0000E16F0000}"/>
    <cellStyle name="Positive 3 2 10 4 15" xfId="28629" xr:uid="{00000000-0005-0000-0000-0000E26F0000}"/>
    <cellStyle name="Positive 3 2 10 4 15 2" xfId="28630" xr:uid="{00000000-0005-0000-0000-0000E36F0000}"/>
    <cellStyle name="Positive 3 2 10 4 16" xfId="28631" xr:uid="{00000000-0005-0000-0000-0000E46F0000}"/>
    <cellStyle name="Positive 3 2 10 4 16 2" xfId="28632" xr:uid="{00000000-0005-0000-0000-0000E56F0000}"/>
    <cellStyle name="Positive 3 2 10 4 17" xfId="28633" xr:uid="{00000000-0005-0000-0000-0000E66F0000}"/>
    <cellStyle name="Positive 3 2 10 4 17 2" xfId="28634" xr:uid="{00000000-0005-0000-0000-0000E76F0000}"/>
    <cellStyle name="Positive 3 2 10 4 18" xfId="28635" xr:uid="{00000000-0005-0000-0000-0000E86F0000}"/>
    <cellStyle name="Positive 3 2 10 4 18 2" xfId="28636" xr:uid="{00000000-0005-0000-0000-0000E96F0000}"/>
    <cellStyle name="Positive 3 2 10 4 19" xfId="28637" xr:uid="{00000000-0005-0000-0000-0000EA6F0000}"/>
    <cellStyle name="Positive 3 2 10 4 19 2" xfId="28638" xr:uid="{00000000-0005-0000-0000-0000EB6F0000}"/>
    <cellStyle name="Positive 3 2 10 4 2" xfId="28639" xr:uid="{00000000-0005-0000-0000-0000EC6F0000}"/>
    <cellStyle name="Positive 3 2 10 4 2 10" xfId="28640" xr:uid="{00000000-0005-0000-0000-0000ED6F0000}"/>
    <cellStyle name="Positive 3 2 10 4 2 10 2" xfId="28641" xr:uid="{00000000-0005-0000-0000-0000EE6F0000}"/>
    <cellStyle name="Positive 3 2 10 4 2 11" xfId="28642" xr:uid="{00000000-0005-0000-0000-0000EF6F0000}"/>
    <cellStyle name="Positive 3 2 10 4 2 11 2" xfId="28643" xr:uid="{00000000-0005-0000-0000-0000F06F0000}"/>
    <cellStyle name="Positive 3 2 10 4 2 12" xfId="28644" xr:uid="{00000000-0005-0000-0000-0000F16F0000}"/>
    <cellStyle name="Positive 3 2 10 4 2 12 2" xfId="28645" xr:uid="{00000000-0005-0000-0000-0000F26F0000}"/>
    <cellStyle name="Positive 3 2 10 4 2 13" xfId="28646" xr:uid="{00000000-0005-0000-0000-0000F36F0000}"/>
    <cellStyle name="Positive 3 2 10 4 2 13 2" xfId="28647" xr:uid="{00000000-0005-0000-0000-0000F46F0000}"/>
    <cellStyle name="Positive 3 2 10 4 2 14" xfId="28648" xr:uid="{00000000-0005-0000-0000-0000F56F0000}"/>
    <cellStyle name="Positive 3 2 10 4 2 14 2" xfId="28649" xr:uid="{00000000-0005-0000-0000-0000F66F0000}"/>
    <cellStyle name="Positive 3 2 10 4 2 15" xfId="28650" xr:uid="{00000000-0005-0000-0000-0000F76F0000}"/>
    <cellStyle name="Positive 3 2 10 4 2 15 2" xfId="28651" xr:uid="{00000000-0005-0000-0000-0000F86F0000}"/>
    <cellStyle name="Positive 3 2 10 4 2 16" xfId="28652" xr:uid="{00000000-0005-0000-0000-0000F96F0000}"/>
    <cellStyle name="Positive 3 2 10 4 2 16 2" xfId="28653" xr:uid="{00000000-0005-0000-0000-0000FA6F0000}"/>
    <cellStyle name="Positive 3 2 10 4 2 17" xfId="28654" xr:uid="{00000000-0005-0000-0000-0000FB6F0000}"/>
    <cellStyle name="Positive 3 2 10 4 2 2" xfId="28655" xr:uid="{00000000-0005-0000-0000-0000FC6F0000}"/>
    <cellStyle name="Positive 3 2 10 4 2 2 2" xfId="28656" xr:uid="{00000000-0005-0000-0000-0000FD6F0000}"/>
    <cellStyle name="Positive 3 2 10 4 2 3" xfId="28657" xr:uid="{00000000-0005-0000-0000-0000FE6F0000}"/>
    <cellStyle name="Positive 3 2 10 4 2 3 2" xfId="28658" xr:uid="{00000000-0005-0000-0000-0000FF6F0000}"/>
    <cellStyle name="Positive 3 2 10 4 2 4" xfId="28659" xr:uid="{00000000-0005-0000-0000-000000700000}"/>
    <cellStyle name="Positive 3 2 10 4 2 4 2" xfId="28660" xr:uid="{00000000-0005-0000-0000-000001700000}"/>
    <cellStyle name="Positive 3 2 10 4 2 5" xfId="28661" xr:uid="{00000000-0005-0000-0000-000002700000}"/>
    <cellStyle name="Positive 3 2 10 4 2 5 2" xfId="28662" xr:uid="{00000000-0005-0000-0000-000003700000}"/>
    <cellStyle name="Positive 3 2 10 4 2 6" xfId="28663" xr:uid="{00000000-0005-0000-0000-000004700000}"/>
    <cellStyle name="Positive 3 2 10 4 2 6 2" xfId="28664" xr:uid="{00000000-0005-0000-0000-000005700000}"/>
    <cellStyle name="Positive 3 2 10 4 2 7" xfId="28665" xr:uid="{00000000-0005-0000-0000-000006700000}"/>
    <cellStyle name="Positive 3 2 10 4 2 7 2" xfId="28666" xr:uid="{00000000-0005-0000-0000-000007700000}"/>
    <cellStyle name="Positive 3 2 10 4 2 8" xfId="28667" xr:uid="{00000000-0005-0000-0000-000008700000}"/>
    <cellStyle name="Positive 3 2 10 4 2 8 2" xfId="28668" xr:uid="{00000000-0005-0000-0000-000009700000}"/>
    <cellStyle name="Positive 3 2 10 4 2 9" xfId="28669" xr:uid="{00000000-0005-0000-0000-00000A700000}"/>
    <cellStyle name="Positive 3 2 10 4 2 9 2" xfId="28670" xr:uid="{00000000-0005-0000-0000-00000B700000}"/>
    <cellStyle name="Positive 3 2 10 4 20" xfId="28671" xr:uid="{00000000-0005-0000-0000-00000C700000}"/>
    <cellStyle name="Positive 3 2 10 4 3" xfId="28672" xr:uid="{00000000-0005-0000-0000-00000D700000}"/>
    <cellStyle name="Positive 3 2 10 4 3 2" xfId="28673" xr:uid="{00000000-0005-0000-0000-00000E700000}"/>
    <cellStyle name="Positive 3 2 10 4 3 2 2" xfId="28674" xr:uid="{00000000-0005-0000-0000-00000F700000}"/>
    <cellStyle name="Positive 3 2 10 4 3 3" xfId="28675" xr:uid="{00000000-0005-0000-0000-000010700000}"/>
    <cellStyle name="Positive 3 2 10 4 4" xfId="28676" xr:uid="{00000000-0005-0000-0000-000011700000}"/>
    <cellStyle name="Positive 3 2 10 4 4 2" xfId="28677" xr:uid="{00000000-0005-0000-0000-000012700000}"/>
    <cellStyle name="Positive 3 2 10 4 4 2 2" xfId="28678" xr:uid="{00000000-0005-0000-0000-000013700000}"/>
    <cellStyle name="Positive 3 2 10 4 4 3" xfId="28679" xr:uid="{00000000-0005-0000-0000-000014700000}"/>
    <cellStyle name="Positive 3 2 10 4 5" xfId="28680" xr:uid="{00000000-0005-0000-0000-000015700000}"/>
    <cellStyle name="Positive 3 2 10 4 5 2" xfId="28681" xr:uid="{00000000-0005-0000-0000-000016700000}"/>
    <cellStyle name="Positive 3 2 10 4 6" xfId="28682" xr:uid="{00000000-0005-0000-0000-000017700000}"/>
    <cellStyle name="Positive 3 2 10 4 6 2" xfId="28683" xr:uid="{00000000-0005-0000-0000-000018700000}"/>
    <cellStyle name="Positive 3 2 10 4 7" xfId="28684" xr:uid="{00000000-0005-0000-0000-000019700000}"/>
    <cellStyle name="Positive 3 2 10 4 7 2" xfId="28685" xr:uid="{00000000-0005-0000-0000-00001A700000}"/>
    <cellStyle name="Positive 3 2 10 4 8" xfId="28686" xr:uid="{00000000-0005-0000-0000-00001B700000}"/>
    <cellStyle name="Positive 3 2 10 4 8 2" xfId="28687" xr:uid="{00000000-0005-0000-0000-00001C700000}"/>
    <cellStyle name="Positive 3 2 10 4 9" xfId="28688" xr:uid="{00000000-0005-0000-0000-00001D700000}"/>
    <cellStyle name="Positive 3 2 10 4 9 2" xfId="28689" xr:uid="{00000000-0005-0000-0000-00001E700000}"/>
    <cellStyle name="Positive 3 2 10 5" xfId="28690" xr:uid="{00000000-0005-0000-0000-00001F700000}"/>
    <cellStyle name="Positive 3 2 10 5 10" xfId="28691" xr:uid="{00000000-0005-0000-0000-000020700000}"/>
    <cellStyle name="Positive 3 2 10 5 10 2" xfId="28692" xr:uid="{00000000-0005-0000-0000-000021700000}"/>
    <cellStyle name="Positive 3 2 10 5 11" xfId="28693" xr:uid="{00000000-0005-0000-0000-000022700000}"/>
    <cellStyle name="Positive 3 2 10 5 11 2" xfId="28694" xr:uid="{00000000-0005-0000-0000-000023700000}"/>
    <cellStyle name="Positive 3 2 10 5 12" xfId="28695" xr:uid="{00000000-0005-0000-0000-000024700000}"/>
    <cellStyle name="Positive 3 2 10 5 12 2" xfId="28696" xr:uid="{00000000-0005-0000-0000-000025700000}"/>
    <cellStyle name="Positive 3 2 10 5 13" xfId="28697" xr:uid="{00000000-0005-0000-0000-000026700000}"/>
    <cellStyle name="Positive 3 2 10 5 13 2" xfId="28698" xr:uid="{00000000-0005-0000-0000-000027700000}"/>
    <cellStyle name="Positive 3 2 10 5 14" xfId="28699" xr:uid="{00000000-0005-0000-0000-000028700000}"/>
    <cellStyle name="Positive 3 2 10 5 14 2" xfId="28700" xr:uid="{00000000-0005-0000-0000-000029700000}"/>
    <cellStyle name="Positive 3 2 10 5 15" xfId="28701" xr:uid="{00000000-0005-0000-0000-00002A700000}"/>
    <cellStyle name="Positive 3 2 10 5 15 2" xfId="28702" xr:uid="{00000000-0005-0000-0000-00002B700000}"/>
    <cellStyle name="Positive 3 2 10 5 16" xfId="28703" xr:uid="{00000000-0005-0000-0000-00002C700000}"/>
    <cellStyle name="Positive 3 2 10 5 16 2" xfId="28704" xr:uid="{00000000-0005-0000-0000-00002D700000}"/>
    <cellStyle name="Positive 3 2 10 5 17" xfId="28705" xr:uid="{00000000-0005-0000-0000-00002E700000}"/>
    <cellStyle name="Positive 3 2 10 5 2" xfId="28706" xr:uid="{00000000-0005-0000-0000-00002F700000}"/>
    <cellStyle name="Positive 3 2 10 5 2 2" xfId="28707" xr:uid="{00000000-0005-0000-0000-000030700000}"/>
    <cellStyle name="Positive 3 2 10 5 3" xfId="28708" xr:uid="{00000000-0005-0000-0000-000031700000}"/>
    <cellStyle name="Positive 3 2 10 5 3 2" xfId="28709" xr:uid="{00000000-0005-0000-0000-000032700000}"/>
    <cellStyle name="Positive 3 2 10 5 4" xfId="28710" xr:uid="{00000000-0005-0000-0000-000033700000}"/>
    <cellStyle name="Positive 3 2 10 5 4 2" xfId="28711" xr:uid="{00000000-0005-0000-0000-000034700000}"/>
    <cellStyle name="Positive 3 2 10 5 5" xfId="28712" xr:uid="{00000000-0005-0000-0000-000035700000}"/>
    <cellStyle name="Positive 3 2 10 5 5 2" xfId="28713" xr:uid="{00000000-0005-0000-0000-000036700000}"/>
    <cellStyle name="Positive 3 2 10 5 6" xfId="28714" xr:uid="{00000000-0005-0000-0000-000037700000}"/>
    <cellStyle name="Positive 3 2 10 5 6 2" xfId="28715" xr:uid="{00000000-0005-0000-0000-000038700000}"/>
    <cellStyle name="Positive 3 2 10 5 7" xfId="28716" xr:uid="{00000000-0005-0000-0000-000039700000}"/>
    <cellStyle name="Positive 3 2 10 5 7 2" xfId="28717" xr:uid="{00000000-0005-0000-0000-00003A700000}"/>
    <cellStyle name="Positive 3 2 10 5 8" xfId="28718" xr:uid="{00000000-0005-0000-0000-00003B700000}"/>
    <cellStyle name="Positive 3 2 10 5 8 2" xfId="28719" xr:uid="{00000000-0005-0000-0000-00003C700000}"/>
    <cellStyle name="Positive 3 2 10 5 9" xfId="28720" xr:uid="{00000000-0005-0000-0000-00003D700000}"/>
    <cellStyle name="Positive 3 2 10 5 9 2" xfId="28721" xr:uid="{00000000-0005-0000-0000-00003E700000}"/>
    <cellStyle name="Positive 3 2 10 6" xfId="28722" xr:uid="{00000000-0005-0000-0000-00003F700000}"/>
    <cellStyle name="Positive 3 2 10 6 2" xfId="28723" xr:uid="{00000000-0005-0000-0000-000040700000}"/>
    <cellStyle name="Positive 3 2 10 6 2 2" xfId="28724" xr:uid="{00000000-0005-0000-0000-000041700000}"/>
    <cellStyle name="Positive 3 2 10 6 3" xfId="28725" xr:uid="{00000000-0005-0000-0000-000042700000}"/>
    <cellStyle name="Positive 3 2 10 7" xfId="28726" xr:uid="{00000000-0005-0000-0000-000043700000}"/>
    <cellStyle name="Positive 3 2 10 7 2" xfId="28727" xr:uid="{00000000-0005-0000-0000-000044700000}"/>
    <cellStyle name="Positive 3 2 10 7 2 2" xfId="28728" xr:uid="{00000000-0005-0000-0000-000045700000}"/>
    <cellStyle name="Positive 3 2 10 7 3" xfId="28729" xr:uid="{00000000-0005-0000-0000-000046700000}"/>
    <cellStyle name="Positive 3 2 10 8" xfId="28730" xr:uid="{00000000-0005-0000-0000-000047700000}"/>
    <cellStyle name="Positive 3 2 10 8 2" xfId="28731" xr:uid="{00000000-0005-0000-0000-000048700000}"/>
    <cellStyle name="Positive 3 2 10 9" xfId="28732" xr:uid="{00000000-0005-0000-0000-000049700000}"/>
    <cellStyle name="Positive 3 2 10 9 2" xfId="28733" xr:uid="{00000000-0005-0000-0000-00004A700000}"/>
    <cellStyle name="Positive 3 2 11" xfId="28734" xr:uid="{00000000-0005-0000-0000-00004B700000}"/>
    <cellStyle name="Positive 3 2 11 10" xfId="28735" xr:uid="{00000000-0005-0000-0000-00004C700000}"/>
    <cellStyle name="Positive 3 2 11 10 2" xfId="28736" xr:uid="{00000000-0005-0000-0000-00004D700000}"/>
    <cellStyle name="Positive 3 2 11 11" xfId="28737" xr:uid="{00000000-0005-0000-0000-00004E700000}"/>
    <cellStyle name="Positive 3 2 11 11 2" xfId="28738" xr:uid="{00000000-0005-0000-0000-00004F700000}"/>
    <cellStyle name="Positive 3 2 11 12" xfId="28739" xr:uid="{00000000-0005-0000-0000-000050700000}"/>
    <cellStyle name="Positive 3 2 11 12 2" xfId="28740" xr:uid="{00000000-0005-0000-0000-000051700000}"/>
    <cellStyle name="Positive 3 2 11 13" xfId="28741" xr:uid="{00000000-0005-0000-0000-000052700000}"/>
    <cellStyle name="Positive 3 2 11 13 2" xfId="28742" xr:uid="{00000000-0005-0000-0000-000053700000}"/>
    <cellStyle name="Positive 3 2 11 14" xfId="28743" xr:uid="{00000000-0005-0000-0000-000054700000}"/>
    <cellStyle name="Positive 3 2 11 14 2" xfId="28744" xr:uid="{00000000-0005-0000-0000-000055700000}"/>
    <cellStyle name="Positive 3 2 11 15" xfId="28745" xr:uid="{00000000-0005-0000-0000-000056700000}"/>
    <cellStyle name="Positive 3 2 11 15 2" xfId="28746" xr:uid="{00000000-0005-0000-0000-000057700000}"/>
    <cellStyle name="Positive 3 2 11 16" xfId="28747" xr:uid="{00000000-0005-0000-0000-000058700000}"/>
    <cellStyle name="Positive 3 2 11 16 2" xfId="28748" xr:uid="{00000000-0005-0000-0000-000059700000}"/>
    <cellStyle name="Positive 3 2 11 17" xfId="28749" xr:uid="{00000000-0005-0000-0000-00005A700000}"/>
    <cellStyle name="Positive 3 2 11 17 2" xfId="28750" xr:uid="{00000000-0005-0000-0000-00005B700000}"/>
    <cellStyle name="Positive 3 2 11 18" xfId="28751" xr:uid="{00000000-0005-0000-0000-00005C700000}"/>
    <cellStyle name="Positive 3 2 11 18 2" xfId="28752" xr:uid="{00000000-0005-0000-0000-00005D700000}"/>
    <cellStyle name="Positive 3 2 11 19" xfId="28753" xr:uid="{00000000-0005-0000-0000-00005E700000}"/>
    <cellStyle name="Positive 3 2 11 19 2" xfId="28754" xr:uid="{00000000-0005-0000-0000-00005F700000}"/>
    <cellStyle name="Positive 3 2 11 2" xfId="28755" xr:uid="{00000000-0005-0000-0000-000060700000}"/>
    <cellStyle name="Positive 3 2 11 2 10" xfId="28756" xr:uid="{00000000-0005-0000-0000-000061700000}"/>
    <cellStyle name="Positive 3 2 11 2 10 2" xfId="28757" xr:uid="{00000000-0005-0000-0000-000062700000}"/>
    <cellStyle name="Positive 3 2 11 2 11" xfId="28758" xr:uid="{00000000-0005-0000-0000-000063700000}"/>
    <cellStyle name="Positive 3 2 11 2 11 2" xfId="28759" xr:uid="{00000000-0005-0000-0000-000064700000}"/>
    <cellStyle name="Positive 3 2 11 2 12" xfId="28760" xr:uid="{00000000-0005-0000-0000-000065700000}"/>
    <cellStyle name="Positive 3 2 11 2 12 2" xfId="28761" xr:uid="{00000000-0005-0000-0000-000066700000}"/>
    <cellStyle name="Positive 3 2 11 2 13" xfId="28762" xr:uid="{00000000-0005-0000-0000-000067700000}"/>
    <cellStyle name="Positive 3 2 11 2 13 2" xfId="28763" xr:uid="{00000000-0005-0000-0000-000068700000}"/>
    <cellStyle name="Positive 3 2 11 2 14" xfId="28764" xr:uid="{00000000-0005-0000-0000-000069700000}"/>
    <cellStyle name="Positive 3 2 11 2 14 2" xfId="28765" xr:uid="{00000000-0005-0000-0000-00006A700000}"/>
    <cellStyle name="Positive 3 2 11 2 15" xfId="28766" xr:uid="{00000000-0005-0000-0000-00006B700000}"/>
    <cellStyle name="Positive 3 2 11 2 15 2" xfId="28767" xr:uid="{00000000-0005-0000-0000-00006C700000}"/>
    <cellStyle name="Positive 3 2 11 2 16" xfId="28768" xr:uid="{00000000-0005-0000-0000-00006D700000}"/>
    <cellStyle name="Positive 3 2 11 2 16 2" xfId="28769" xr:uid="{00000000-0005-0000-0000-00006E700000}"/>
    <cellStyle name="Positive 3 2 11 2 17" xfId="28770" xr:uid="{00000000-0005-0000-0000-00006F700000}"/>
    <cellStyle name="Positive 3 2 11 2 17 2" xfId="28771" xr:uid="{00000000-0005-0000-0000-000070700000}"/>
    <cellStyle name="Positive 3 2 11 2 18" xfId="28772" xr:uid="{00000000-0005-0000-0000-000071700000}"/>
    <cellStyle name="Positive 3 2 11 2 18 2" xfId="28773" xr:uid="{00000000-0005-0000-0000-000072700000}"/>
    <cellStyle name="Positive 3 2 11 2 19" xfId="28774" xr:uid="{00000000-0005-0000-0000-000073700000}"/>
    <cellStyle name="Positive 3 2 11 2 19 2" xfId="28775" xr:uid="{00000000-0005-0000-0000-000074700000}"/>
    <cellStyle name="Positive 3 2 11 2 2" xfId="28776" xr:uid="{00000000-0005-0000-0000-000075700000}"/>
    <cellStyle name="Positive 3 2 11 2 2 10" xfId="28777" xr:uid="{00000000-0005-0000-0000-000076700000}"/>
    <cellStyle name="Positive 3 2 11 2 2 10 2" xfId="28778" xr:uid="{00000000-0005-0000-0000-000077700000}"/>
    <cellStyle name="Positive 3 2 11 2 2 11" xfId="28779" xr:uid="{00000000-0005-0000-0000-000078700000}"/>
    <cellStyle name="Positive 3 2 11 2 2 11 2" xfId="28780" xr:uid="{00000000-0005-0000-0000-000079700000}"/>
    <cellStyle name="Positive 3 2 11 2 2 12" xfId="28781" xr:uid="{00000000-0005-0000-0000-00007A700000}"/>
    <cellStyle name="Positive 3 2 11 2 2 12 2" xfId="28782" xr:uid="{00000000-0005-0000-0000-00007B700000}"/>
    <cellStyle name="Positive 3 2 11 2 2 13" xfId="28783" xr:uid="{00000000-0005-0000-0000-00007C700000}"/>
    <cellStyle name="Positive 3 2 11 2 2 13 2" xfId="28784" xr:uid="{00000000-0005-0000-0000-00007D700000}"/>
    <cellStyle name="Positive 3 2 11 2 2 14" xfId="28785" xr:uid="{00000000-0005-0000-0000-00007E700000}"/>
    <cellStyle name="Positive 3 2 11 2 2 14 2" xfId="28786" xr:uid="{00000000-0005-0000-0000-00007F700000}"/>
    <cellStyle name="Positive 3 2 11 2 2 15" xfId="28787" xr:uid="{00000000-0005-0000-0000-000080700000}"/>
    <cellStyle name="Positive 3 2 11 2 2 15 2" xfId="28788" xr:uid="{00000000-0005-0000-0000-000081700000}"/>
    <cellStyle name="Positive 3 2 11 2 2 16" xfId="28789" xr:uid="{00000000-0005-0000-0000-000082700000}"/>
    <cellStyle name="Positive 3 2 11 2 2 16 2" xfId="28790" xr:uid="{00000000-0005-0000-0000-000083700000}"/>
    <cellStyle name="Positive 3 2 11 2 2 17" xfId="28791" xr:uid="{00000000-0005-0000-0000-000084700000}"/>
    <cellStyle name="Positive 3 2 11 2 2 2" xfId="28792" xr:uid="{00000000-0005-0000-0000-000085700000}"/>
    <cellStyle name="Positive 3 2 11 2 2 2 2" xfId="28793" xr:uid="{00000000-0005-0000-0000-000086700000}"/>
    <cellStyle name="Positive 3 2 11 2 2 3" xfId="28794" xr:uid="{00000000-0005-0000-0000-000087700000}"/>
    <cellStyle name="Positive 3 2 11 2 2 3 2" xfId="28795" xr:uid="{00000000-0005-0000-0000-000088700000}"/>
    <cellStyle name="Positive 3 2 11 2 2 4" xfId="28796" xr:uid="{00000000-0005-0000-0000-000089700000}"/>
    <cellStyle name="Positive 3 2 11 2 2 4 2" xfId="28797" xr:uid="{00000000-0005-0000-0000-00008A700000}"/>
    <cellStyle name="Positive 3 2 11 2 2 5" xfId="28798" xr:uid="{00000000-0005-0000-0000-00008B700000}"/>
    <cellStyle name="Positive 3 2 11 2 2 5 2" xfId="28799" xr:uid="{00000000-0005-0000-0000-00008C700000}"/>
    <cellStyle name="Positive 3 2 11 2 2 6" xfId="28800" xr:uid="{00000000-0005-0000-0000-00008D700000}"/>
    <cellStyle name="Positive 3 2 11 2 2 6 2" xfId="28801" xr:uid="{00000000-0005-0000-0000-00008E700000}"/>
    <cellStyle name="Positive 3 2 11 2 2 7" xfId="28802" xr:uid="{00000000-0005-0000-0000-00008F700000}"/>
    <cellStyle name="Positive 3 2 11 2 2 7 2" xfId="28803" xr:uid="{00000000-0005-0000-0000-000090700000}"/>
    <cellStyle name="Positive 3 2 11 2 2 8" xfId="28804" xr:uid="{00000000-0005-0000-0000-000091700000}"/>
    <cellStyle name="Positive 3 2 11 2 2 8 2" xfId="28805" xr:uid="{00000000-0005-0000-0000-000092700000}"/>
    <cellStyle name="Positive 3 2 11 2 2 9" xfId="28806" xr:uid="{00000000-0005-0000-0000-000093700000}"/>
    <cellStyle name="Positive 3 2 11 2 2 9 2" xfId="28807" xr:uid="{00000000-0005-0000-0000-000094700000}"/>
    <cellStyle name="Positive 3 2 11 2 20" xfId="28808" xr:uid="{00000000-0005-0000-0000-000095700000}"/>
    <cellStyle name="Positive 3 2 11 2 3" xfId="28809" xr:uid="{00000000-0005-0000-0000-000096700000}"/>
    <cellStyle name="Positive 3 2 11 2 3 2" xfId="28810" xr:uid="{00000000-0005-0000-0000-000097700000}"/>
    <cellStyle name="Positive 3 2 11 2 3 2 2" xfId="28811" xr:uid="{00000000-0005-0000-0000-000098700000}"/>
    <cellStyle name="Positive 3 2 11 2 3 3" xfId="28812" xr:uid="{00000000-0005-0000-0000-000099700000}"/>
    <cellStyle name="Positive 3 2 11 2 4" xfId="28813" xr:uid="{00000000-0005-0000-0000-00009A700000}"/>
    <cellStyle name="Positive 3 2 11 2 4 2" xfId="28814" xr:uid="{00000000-0005-0000-0000-00009B700000}"/>
    <cellStyle name="Positive 3 2 11 2 4 2 2" xfId="28815" xr:uid="{00000000-0005-0000-0000-00009C700000}"/>
    <cellStyle name="Positive 3 2 11 2 4 3" xfId="28816" xr:uid="{00000000-0005-0000-0000-00009D700000}"/>
    <cellStyle name="Positive 3 2 11 2 5" xfId="28817" xr:uid="{00000000-0005-0000-0000-00009E700000}"/>
    <cellStyle name="Positive 3 2 11 2 5 2" xfId="28818" xr:uid="{00000000-0005-0000-0000-00009F700000}"/>
    <cellStyle name="Positive 3 2 11 2 6" xfId="28819" xr:uid="{00000000-0005-0000-0000-0000A0700000}"/>
    <cellStyle name="Positive 3 2 11 2 6 2" xfId="28820" xr:uid="{00000000-0005-0000-0000-0000A1700000}"/>
    <cellStyle name="Positive 3 2 11 2 7" xfId="28821" xr:uid="{00000000-0005-0000-0000-0000A2700000}"/>
    <cellStyle name="Positive 3 2 11 2 7 2" xfId="28822" xr:uid="{00000000-0005-0000-0000-0000A3700000}"/>
    <cellStyle name="Positive 3 2 11 2 8" xfId="28823" xr:uid="{00000000-0005-0000-0000-0000A4700000}"/>
    <cellStyle name="Positive 3 2 11 2 8 2" xfId="28824" xr:uid="{00000000-0005-0000-0000-0000A5700000}"/>
    <cellStyle name="Positive 3 2 11 2 9" xfId="28825" xr:uid="{00000000-0005-0000-0000-0000A6700000}"/>
    <cellStyle name="Positive 3 2 11 2 9 2" xfId="28826" xr:uid="{00000000-0005-0000-0000-0000A7700000}"/>
    <cellStyle name="Positive 3 2 11 20" xfId="28827" xr:uid="{00000000-0005-0000-0000-0000A8700000}"/>
    <cellStyle name="Positive 3 2 11 20 2" xfId="28828" xr:uid="{00000000-0005-0000-0000-0000A9700000}"/>
    <cellStyle name="Positive 3 2 11 21" xfId="28829" xr:uid="{00000000-0005-0000-0000-0000AA700000}"/>
    <cellStyle name="Positive 3 2 11 21 2" xfId="28830" xr:uid="{00000000-0005-0000-0000-0000AB700000}"/>
    <cellStyle name="Positive 3 2 11 22" xfId="28831" xr:uid="{00000000-0005-0000-0000-0000AC700000}"/>
    <cellStyle name="Positive 3 2 11 22 2" xfId="28832" xr:uid="{00000000-0005-0000-0000-0000AD700000}"/>
    <cellStyle name="Positive 3 2 11 23" xfId="28833" xr:uid="{00000000-0005-0000-0000-0000AE700000}"/>
    <cellStyle name="Positive 3 2 11 3" xfId="28834" xr:uid="{00000000-0005-0000-0000-0000AF700000}"/>
    <cellStyle name="Positive 3 2 11 3 10" xfId="28835" xr:uid="{00000000-0005-0000-0000-0000B0700000}"/>
    <cellStyle name="Positive 3 2 11 3 10 2" xfId="28836" xr:uid="{00000000-0005-0000-0000-0000B1700000}"/>
    <cellStyle name="Positive 3 2 11 3 11" xfId="28837" xr:uid="{00000000-0005-0000-0000-0000B2700000}"/>
    <cellStyle name="Positive 3 2 11 3 11 2" xfId="28838" xr:uid="{00000000-0005-0000-0000-0000B3700000}"/>
    <cellStyle name="Positive 3 2 11 3 12" xfId="28839" xr:uid="{00000000-0005-0000-0000-0000B4700000}"/>
    <cellStyle name="Positive 3 2 11 3 12 2" xfId="28840" xr:uid="{00000000-0005-0000-0000-0000B5700000}"/>
    <cellStyle name="Positive 3 2 11 3 13" xfId="28841" xr:uid="{00000000-0005-0000-0000-0000B6700000}"/>
    <cellStyle name="Positive 3 2 11 3 13 2" xfId="28842" xr:uid="{00000000-0005-0000-0000-0000B7700000}"/>
    <cellStyle name="Positive 3 2 11 3 14" xfId="28843" xr:uid="{00000000-0005-0000-0000-0000B8700000}"/>
    <cellStyle name="Positive 3 2 11 3 14 2" xfId="28844" xr:uid="{00000000-0005-0000-0000-0000B9700000}"/>
    <cellStyle name="Positive 3 2 11 3 15" xfId="28845" xr:uid="{00000000-0005-0000-0000-0000BA700000}"/>
    <cellStyle name="Positive 3 2 11 3 15 2" xfId="28846" xr:uid="{00000000-0005-0000-0000-0000BB700000}"/>
    <cellStyle name="Positive 3 2 11 3 16" xfId="28847" xr:uid="{00000000-0005-0000-0000-0000BC700000}"/>
    <cellStyle name="Positive 3 2 11 3 16 2" xfId="28848" xr:uid="{00000000-0005-0000-0000-0000BD700000}"/>
    <cellStyle name="Positive 3 2 11 3 17" xfId="28849" xr:uid="{00000000-0005-0000-0000-0000BE700000}"/>
    <cellStyle name="Positive 3 2 11 3 17 2" xfId="28850" xr:uid="{00000000-0005-0000-0000-0000BF700000}"/>
    <cellStyle name="Positive 3 2 11 3 18" xfId="28851" xr:uid="{00000000-0005-0000-0000-0000C0700000}"/>
    <cellStyle name="Positive 3 2 11 3 18 2" xfId="28852" xr:uid="{00000000-0005-0000-0000-0000C1700000}"/>
    <cellStyle name="Positive 3 2 11 3 19" xfId="28853" xr:uid="{00000000-0005-0000-0000-0000C2700000}"/>
    <cellStyle name="Positive 3 2 11 3 19 2" xfId="28854" xr:uid="{00000000-0005-0000-0000-0000C3700000}"/>
    <cellStyle name="Positive 3 2 11 3 2" xfId="28855" xr:uid="{00000000-0005-0000-0000-0000C4700000}"/>
    <cellStyle name="Positive 3 2 11 3 2 10" xfId="28856" xr:uid="{00000000-0005-0000-0000-0000C5700000}"/>
    <cellStyle name="Positive 3 2 11 3 2 10 2" xfId="28857" xr:uid="{00000000-0005-0000-0000-0000C6700000}"/>
    <cellStyle name="Positive 3 2 11 3 2 11" xfId="28858" xr:uid="{00000000-0005-0000-0000-0000C7700000}"/>
    <cellStyle name="Positive 3 2 11 3 2 11 2" xfId="28859" xr:uid="{00000000-0005-0000-0000-0000C8700000}"/>
    <cellStyle name="Positive 3 2 11 3 2 12" xfId="28860" xr:uid="{00000000-0005-0000-0000-0000C9700000}"/>
    <cellStyle name="Positive 3 2 11 3 2 12 2" xfId="28861" xr:uid="{00000000-0005-0000-0000-0000CA700000}"/>
    <cellStyle name="Positive 3 2 11 3 2 13" xfId="28862" xr:uid="{00000000-0005-0000-0000-0000CB700000}"/>
    <cellStyle name="Positive 3 2 11 3 2 13 2" xfId="28863" xr:uid="{00000000-0005-0000-0000-0000CC700000}"/>
    <cellStyle name="Positive 3 2 11 3 2 14" xfId="28864" xr:uid="{00000000-0005-0000-0000-0000CD700000}"/>
    <cellStyle name="Positive 3 2 11 3 2 14 2" xfId="28865" xr:uid="{00000000-0005-0000-0000-0000CE700000}"/>
    <cellStyle name="Positive 3 2 11 3 2 15" xfId="28866" xr:uid="{00000000-0005-0000-0000-0000CF700000}"/>
    <cellStyle name="Positive 3 2 11 3 2 15 2" xfId="28867" xr:uid="{00000000-0005-0000-0000-0000D0700000}"/>
    <cellStyle name="Positive 3 2 11 3 2 16" xfId="28868" xr:uid="{00000000-0005-0000-0000-0000D1700000}"/>
    <cellStyle name="Positive 3 2 11 3 2 16 2" xfId="28869" xr:uid="{00000000-0005-0000-0000-0000D2700000}"/>
    <cellStyle name="Positive 3 2 11 3 2 17" xfId="28870" xr:uid="{00000000-0005-0000-0000-0000D3700000}"/>
    <cellStyle name="Positive 3 2 11 3 2 2" xfId="28871" xr:uid="{00000000-0005-0000-0000-0000D4700000}"/>
    <cellStyle name="Positive 3 2 11 3 2 2 2" xfId="28872" xr:uid="{00000000-0005-0000-0000-0000D5700000}"/>
    <cellStyle name="Positive 3 2 11 3 2 3" xfId="28873" xr:uid="{00000000-0005-0000-0000-0000D6700000}"/>
    <cellStyle name="Positive 3 2 11 3 2 3 2" xfId="28874" xr:uid="{00000000-0005-0000-0000-0000D7700000}"/>
    <cellStyle name="Positive 3 2 11 3 2 4" xfId="28875" xr:uid="{00000000-0005-0000-0000-0000D8700000}"/>
    <cellStyle name="Positive 3 2 11 3 2 4 2" xfId="28876" xr:uid="{00000000-0005-0000-0000-0000D9700000}"/>
    <cellStyle name="Positive 3 2 11 3 2 5" xfId="28877" xr:uid="{00000000-0005-0000-0000-0000DA700000}"/>
    <cellStyle name="Positive 3 2 11 3 2 5 2" xfId="28878" xr:uid="{00000000-0005-0000-0000-0000DB700000}"/>
    <cellStyle name="Positive 3 2 11 3 2 6" xfId="28879" xr:uid="{00000000-0005-0000-0000-0000DC700000}"/>
    <cellStyle name="Positive 3 2 11 3 2 6 2" xfId="28880" xr:uid="{00000000-0005-0000-0000-0000DD700000}"/>
    <cellStyle name="Positive 3 2 11 3 2 7" xfId="28881" xr:uid="{00000000-0005-0000-0000-0000DE700000}"/>
    <cellStyle name="Positive 3 2 11 3 2 7 2" xfId="28882" xr:uid="{00000000-0005-0000-0000-0000DF700000}"/>
    <cellStyle name="Positive 3 2 11 3 2 8" xfId="28883" xr:uid="{00000000-0005-0000-0000-0000E0700000}"/>
    <cellStyle name="Positive 3 2 11 3 2 8 2" xfId="28884" xr:uid="{00000000-0005-0000-0000-0000E1700000}"/>
    <cellStyle name="Positive 3 2 11 3 2 9" xfId="28885" xr:uid="{00000000-0005-0000-0000-0000E2700000}"/>
    <cellStyle name="Positive 3 2 11 3 2 9 2" xfId="28886" xr:uid="{00000000-0005-0000-0000-0000E3700000}"/>
    <cellStyle name="Positive 3 2 11 3 20" xfId="28887" xr:uid="{00000000-0005-0000-0000-0000E4700000}"/>
    <cellStyle name="Positive 3 2 11 3 3" xfId="28888" xr:uid="{00000000-0005-0000-0000-0000E5700000}"/>
    <cellStyle name="Positive 3 2 11 3 3 2" xfId="28889" xr:uid="{00000000-0005-0000-0000-0000E6700000}"/>
    <cellStyle name="Positive 3 2 11 3 3 2 2" xfId="28890" xr:uid="{00000000-0005-0000-0000-0000E7700000}"/>
    <cellStyle name="Positive 3 2 11 3 3 3" xfId="28891" xr:uid="{00000000-0005-0000-0000-0000E8700000}"/>
    <cellStyle name="Positive 3 2 11 3 4" xfId="28892" xr:uid="{00000000-0005-0000-0000-0000E9700000}"/>
    <cellStyle name="Positive 3 2 11 3 4 2" xfId="28893" xr:uid="{00000000-0005-0000-0000-0000EA700000}"/>
    <cellStyle name="Positive 3 2 11 3 4 2 2" xfId="28894" xr:uid="{00000000-0005-0000-0000-0000EB700000}"/>
    <cellStyle name="Positive 3 2 11 3 4 3" xfId="28895" xr:uid="{00000000-0005-0000-0000-0000EC700000}"/>
    <cellStyle name="Positive 3 2 11 3 5" xfId="28896" xr:uid="{00000000-0005-0000-0000-0000ED700000}"/>
    <cellStyle name="Positive 3 2 11 3 5 2" xfId="28897" xr:uid="{00000000-0005-0000-0000-0000EE700000}"/>
    <cellStyle name="Positive 3 2 11 3 6" xfId="28898" xr:uid="{00000000-0005-0000-0000-0000EF700000}"/>
    <cellStyle name="Positive 3 2 11 3 6 2" xfId="28899" xr:uid="{00000000-0005-0000-0000-0000F0700000}"/>
    <cellStyle name="Positive 3 2 11 3 7" xfId="28900" xr:uid="{00000000-0005-0000-0000-0000F1700000}"/>
    <cellStyle name="Positive 3 2 11 3 7 2" xfId="28901" xr:uid="{00000000-0005-0000-0000-0000F2700000}"/>
    <cellStyle name="Positive 3 2 11 3 8" xfId="28902" xr:uid="{00000000-0005-0000-0000-0000F3700000}"/>
    <cellStyle name="Positive 3 2 11 3 8 2" xfId="28903" xr:uid="{00000000-0005-0000-0000-0000F4700000}"/>
    <cellStyle name="Positive 3 2 11 3 9" xfId="28904" xr:uid="{00000000-0005-0000-0000-0000F5700000}"/>
    <cellStyle name="Positive 3 2 11 3 9 2" xfId="28905" xr:uid="{00000000-0005-0000-0000-0000F6700000}"/>
    <cellStyle name="Positive 3 2 11 4" xfId="28906" xr:uid="{00000000-0005-0000-0000-0000F7700000}"/>
    <cellStyle name="Positive 3 2 11 4 10" xfId="28907" xr:uid="{00000000-0005-0000-0000-0000F8700000}"/>
    <cellStyle name="Positive 3 2 11 4 10 2" xfId="28908" xr:uid="{00000000-0005-0000-0000-0000F9700000}"/>
    <cellStyle name="Positive 3 2 11 4 11" xfId="28909" xr:uid="{00000000-0005-0000-0000-0000FA700000}"/>
    <cellStyle name="Positive 3 2 11 4 11 2" xfId="28910" xr:uid="{00000000-0005-0000-0000-0000FB700000}"/>
    <cellStyle name="Positive 3 2 11 4 12" xfId="28911" xr:uid="{00000000-0005-0000-0000-0000FC700000}"/>
    <cellStyle name="Positive 3 2 11 4 12 2" xfId="28912" xr:uid="{00000000-0005-0000-0000-0000FD700000}"/>
    <cellStyle name="Positive 3 2 11 4 13" xfId="28913" xr:uid="{00000000-0005-0000-0000-0000FE700000}"/>
    <cellStyle name="Positive 3 2 11 4 13 2" xfId="28914" xr:uid="{00000000-0005-0000-0000-0000FF700000}"/>
    <cellStyle name="Positive 3 2 11 4 14" xfId="28915" xr:uid="{00000000-0005-0000-0000-000000710000}"/>
    <cellStyle name="Positive 3 2 11 4 14 2" xfId="28916" xr:uid="{00000000-0005-0000-0000-000001710000}"/>
    <cellStyle name="Positive 3 2 11 4 15" xfId="28917" xr:uid="{00000000-0005-0000-0000-000002710000}"/>
    <cellStyle name="Positive 3 2 11 4 15 2" xfId="28918" xr:uid="{00000000-0005-0000-0000-000003710000}"/>
    <cellStyle name="Positive 3 2 11 4 16" xfId="28919" xr:uid="{00000000-0005-0000-0000-000004710000}"/>
    <cellStyle name="Positive 3 2 11 4 16 2" xfId="28920" xr:uid="{00000000-0005-0000-0000-000005710000}"/>
    <cellStyle name="Positive 3 2 11 4 17" xfId="28921" xr:uid="{00000000-0005-0000-0000-000006710000}"/>
    <cellStyle name="Positive 3 2 11 4 17 2" xfId="28922" xr:uid="{00000000-0005-0000-0000-000007710000}"/>
    <cellStyle name="Positive 3 2 11 4 18" xfId="28923" xr:uid="{00000000-0005-0000-0000-000008710000}"/>
    <cellStyle name="Positive 3 2 11 4 18 2" xfId="28924" xr:uid="{00000000-0005-0000-0000-000009710000}"/>
    <cellStyle name="Positive 3 2 11 4 19" xfId="28925" xr:uid="{00000000-0005-0000-0000-00000A710000}"/>
    <cellStyle name="Positive 3 2 11 4 19 2" xfId="28926" xr:uid="{00000000-0005-0000-0000-00000B710000}"/>
    <cellStyle name="Positive 3 2 11 4 2" xfId="28927" xr:uid="{00000000-0005-0000-0000-00000C710000}"/>
    <cellStyle name="Positive 3 2 11 4 2 10" xfId="28928" xr:uid="{00000000-0005-0000-0000-00000D710000}"/>
    <cellStyle name="Positive 3 2 11 4 2 10 2" xfId="28929" xr:uid="{00000000-0005-0000-0000-00000E710000}"/>
    <cellStyle name="Positive 3 2 11 4 2 11" xfId="28930" xr:uid="{00000000-0005-0000-0000-00000F710000}"/>
    <cellStyle name="Positive 3 2 11 4 2 11 2" xfId="28931" xr:uid="{00000000-0005-0000-0000-000010710000}"/>
    <cellStyle name="Positive 3 2 11 4 2 12" xfId="28932" xr:uid="{00000000-0005-0000-0000-000011710000}"/>
    <cellStyle name="Positive 3 2 11 4 2 12 2" xfId="28933" xr:uid="{00000000-0005-0000-0000-000012710000}"/>
    <cellStyle name="Positive 3 2 11 4 2 13" xfId="28934" xr:uid="{00000000-0005-0000-0000-000013710000}"/>
    <cellStyle name="Positive 3 2 11 4 2 13 2" xfId="28935" xr:uid="{00000000-0005-0000-0000-000014710000}"/>
    <cellStyle name="Positive 3 2 11 4 2 14" xfId="28936" xr:uid="{00000000-0005-0000-0000-000015710000}"/>
    <cellStyle name="Positive 3 2 11 4 2 14 2" xfId="28937" xr:uid="{00000000-0005-0000-0000-000016710000}"/>
    <cellStyle name="Positive 3 2 11 4 2 15" xfId="28938" xr:uid="{00000000-0005-0000-0000-000017710000}"/>
    <cellStyle name="Positive 3 2 11 4 2 15 2" xfId="28939" xr:uid="{00000000-0005-0000-0000-000018710000}"/>
    <cellStyle name="Positive 3 2 11 4 2 16" xfId="28940" xr:uid="{00000000-0005-0000-0000-000019710000}"/>
    <cellStyle name="Positive 3 2 11 4 2 16 2" xfId="28941" xr:uid="{00000000-0005-0000-0000-00001A710000}"/>
    <cellStyle name="Positive 3 2 11 4 2 17" xfId="28942" xr:uid="{00000000-0005-0000-0000-00001B710000}"/>
    <cellStyle name="Positive 3 2 11 4 2 2" xfId="28943" xr:uid="{00000000-0005-0000-0000-00001C710000}"/>
    <cellStyle name="Positive 3 2 11 4 2 2 2" xfId="28944" xr:uid="{00000000-0005-0000-0000-00001D710000}"/>
    <cellStyle name="Positive 3 2 11 4 2 3" xfId="28945" xr:uid="{00000000-0005-0000-0000-00001E710000}"/>
    <cellStyle name="Positive 3 2 11 4 2 3 2" xfId="28946" xr:uid="{00000000-0005-0000-0000-00001F710000}"/>
    <cellStyle name="Positive 3 2 11 4 2 4" xfId="28947" xr:uid="{00000000-0005-0000-0000-000020710000}"/>
    <cellStyle name="Positive 3 2 11 4 2 4 2" xfId="28948" xr:uid="{00000000-0005-0000-0000-000021710000}"/>
    <cellStyle name="Positive 3 2 11 4 2 5" xfId="28949" xr:uid="{00000000-0005-0000-0000-000022710000}"/>
    <cellStyle name="Positive 3 2 11 4 2 5 2" xfId="28950" xr:uid="{00000000-0005-0000-0000-000023710000}"/>
    <cellStyle name="Positive 3 2 11 4 2 6" xfId="28951" xr:uid="{00000000-0005-0000-0000-000024710000}"/>
    <cellStyle name="Positive 3 2 11 4 2 6 2" xfId="28952" xr:uid="{00000000-0005-0000-0000-000025710000}"/>
    <cellStyle name="Positive 3 2 11 4 2 7" xfId="28953" xr:uid="{00000000-0005-0000-0000-000026710000}"/>
    <cellStyle name="Positive 3 2 11 4 2 7 2" xfId="28954" xr:uid="{00000000-0005-0000-0000-000027710000}"/>
    <cellStyle name="Positive 3 2 11 4 2 8" xfId="28955" xr:uid="{00000000-0005-0000-0000-000028710000}"/>
    <cellStyle name="Positive 3 2 11 4 2 8 2" xfId="28956" xr:uid="{00000000-0005-0000-0000-000029710000}"/>
    <cellStyle name="Positive 3 2 11 4 2 9" xfId="28957" xr:uid="{00000000-0005-0000-0000-00002A710000}"/>
    <cellStyle name="Positive 3 2 11 4 2 9 2" xfId="28958" xr:uid="{00000000-0005-0000-0000-00002B710000}"/>
    <cellStyle name="Positive 3 2 11 4 20" xfId="28959" xr:uid="{00000000-0005-0000-0000-00002C710000}"/>
    <cellStyle name="Positive 3 2 11 4 3" xfId="28960" xr:uid="{00000000-0005-0000-0000-00002D710000}"/>
    <cellStyle name="Positive 3 2 11 4 3 2" xfId="28961" xr:uid="{00000000-0005-0000-0000-00002E710000}"/>
    <cellStyle name="Positive 3 2 11 4 3 2 2" xfId="28962" xr:uid="{00000000-0005-0000-0000-00002F710000}"/>
    <cellStyle name="Positive 3 2 11 4 3 3" xfId="28963" xr:uid="{00000000-0005-0000-0000-000030710000}"/>
    <cellStyle name="Positive 3 2 11 4 4" xfId="28964" xr:uid="{00000000-0005-0000-0000-000031710000}"/>
    <cellStyle name="Positive 3 2 11 4 4 2" xfId="28965" xr:uid="{00000000-0005-0000-0000-000032710000}"/>
    <cellStyle name="Positive 3 2 11 4 4 2 2" xfId="28966" xr:uid="{00000000-0005-0000-0000-000033710000}"/>
    <cellStyle name="Positive 3 2 11 4 4 3" xfId="28967" xr:uid="{00000000-0005-0000-0000-000034710000}"/>
    <cellStyle name="Positive 3 2 11 4 5" xfId="28968" xr:uid="{00000000-0005-0000-0000-000035710000}"/>
    <cellStyle name="Positive 3 2 11 4 5 2" xfId="28969" xr:uid="{00000000-0005-0000-0000-000036710000}"/>
    <cellStyle name="Positive 3 2 11 4 6" xfId="28970" xr:uid="{00000000-0005-0000-0000-000037710000}"/>
    <cellStyle name="Positive 3 2 11 4 6 2" xfId="28971" xr:uid="{00000000-0005-0000-0000-000038710000}"/>
    <cellStyle name="Positive 3 2 11 4 7" xfId="28972" xr:uid="{00000000-0005-0000-0000-000039710000}"/>
    <cellStyle name="Positive 3 2 11 4 7 2" xfId="28973" xr:uid="{00000000-0005-0000-0000-00003A710000}"/>
    <cellStyle name="Positive 3 2 11 4 8" xfId="28974" xr:uid="{00000000-0005-0000-0000-00003B710000}"/>
    <cellStyle name="Positive 3 2 11 4 8 2" xfId="28975" xr:uid="{00000000-0005-0000-0000-00003C710000}"/>
    <cellStyle name="Positive 3 2 11 4 9" xfId="28976" xr:uid="{00000000-0005-0000-0000-00003D710000}"/>
    <cellStyle name="Positive 3 2 11 4 9 2" xfId="28977" xr:uid="{00000000-0005-0000-0000-00003E710000}"/>
    <cellStyle name="Positive 3 2 11 5" xfId="28978" xr:uid="{00000000-0005-0000-0000-00003F710000}"/>
    <cellStyle name="Positive 3 2 11 5 10" xfId="28979" xr:uid="{00000000-0005-0000-0000-000040710000}"/>
    <cellStyle name="Positive 3 2 11 5 10 2" xfId="28980" xr:uid="{00000000-0005-0000-0000-000041710000}"/>
    <cellStyle name="Positive 3 2 11 5 11" xfId="28981" xr:uid="{00000000-0005-0000-0000-000042710000}"/>
    <cellStyle name="Positive 3 2 11 5 11 2" xfId="28982" xr:uid="{00000000-0005-0000-0000-000043710000}"/>
    <cellStyle name="Positive 3 2 11 5 12" xfId="28983" xr:uid="{00000000-0005-0000-0000-000044710000}"/>
    <cellStyle name="Positive 3 2 11 5 12 2" xfId="28984" xr:uid="{00000000-0005-0000-0000-000045710000}"/>
    <cellStyle name="Positive 3 2 11 5 13" xfId="28985" xr:uid="{00000000-0005-0000-0000-000046710000}"/>
    <cellStyle name="Positive 3 2 11 5 13 2" xfId="28986" xr:uid="{00000000-0005-0000-0000-000047710000}"/>
    <cellStyle name="Positive 3 2 11 5 14" xfId="28987" xr:uid="{00000000-0005-0000-0000-000048710000}"/>
    <cellStyle name="Positive 3 2 11 5 14 2" xfId="28988" xr:uid="{00000000-0005-0000-0000-000049710000}"/>
    <cellStyle name="Positive 3 2 11 5 15" xfId="28989" xr:uid="{00000000-0005-0000-0000-00004A710000}"/>
    <cellStyle name="Positive 3 2 11 5 15 2" xfId="28990" xr:uid="{00000000-0005-0000-0000-00004B710000}"/>
    <cellStyle name="Positive 3 2 11 5 16" xfId="28991" xr:uid="{00000000-0005-0000-0000-00004C710000}"/>
    <cellStyle name="Positive 3 2 11 5 16 2" xfId="28992" xr:uid="{00000000-0005-0000-0000-00004D710000}"/>
    <cellStyle name="Positive 3 2 11 5 17" xfId="28993" xr:uid="{00000000-0005-0000-0000-00004E710000}"/>
    <cellStyle name="Positive 3 2 11 5 2" xfId="28994" xr:uid="{00000000-0005-0000-0000-00004F710000}"/>
    <cellStyle name="Positive 3 2 11 5 2 2" xfId="28995" xr:uid="{00000000-0005-0000-0000-000050710000}"/>
    <cellStyle name="Positive 3 2 11 5 3" xfId="28996" xr:uid="{00000000-0005-0000-0000-000051710000}"/>
    <cellStyle name="Positive 3 2 11 5 3 2" xfId="28997" xr:uid="{00000000-0005-0000-0000-000052710000}"/>
    <cellStyle name="Positive 3 2 11 5 4" xfId="28998" xr:uid="{00000000-0005-0000-0000-000053710000}"/>
    <cellStyle name="Positive 3 2 11 5 4 2" xfId="28999" xr:uid="{00000000-0005-0000-0000-000054710000}"/>
    <cellStyle name="Positive 3 2 11 5 5" xfId="29000" xr:uid="{00000000-0005-0000-0000-000055710000}"/>
    <cellStyle name="Positive 3 2 11 5 5 2" xfId="29001" xr:uid="{00000000-0005-0000-0000-000056710000}"/>
    <cellStyle name="Positive 3 2 11 5 6" xfId="29002" xr:uid="{00000000-0005-0000-0000-000057710000}"/>
    <cellStyle name="Positive 3 2 11 5 6 2" xfId="29003" xr:uid="{00000000-0005-0000-0000-000058710000}"/>
    <cellStyle name="Positive 3 2 11 5 7" xfId="29004" xr:uid="{00000000-0005-0000-0000-000059710000}"/>
    <cellStyle name="Positive 3 2 11 5 7 2" xfId="29005" xr:uid="{00000000-0005-0000-0000-00005A710000}"/>
    <cellStyle name="Positive 3 2 11 5 8" xfId="29006" xr:uid="{00000000-0005-0000-0000-00005B710000}"/>
    <cellStyle name="Positive 3 2 11 5 8 2" xfId="29007" xr:uid="{00000000-0005-0000-0000-00005C710000}"/>
    <cellStyle name="Positive 3 2 11 5 9" xfId="29008" xr:uid="{00000000-0005-0000-0000-00005D710000}"/>
    <cellStyle name="Positive 3 2 11 5 9 2" xfId="29009" xr:uid="{00000000-0005-0000-0000-00005E710000}"/>
    <cellStyle name="Positive 3 2 11 6" xfId="29010" xr:uid="{00000000-0005-0000-0000-00005F710000}"/>
    <cellStyle name="Positive 3 2 11 6 2" xfId="29011" xr:uid="{00000000-0005-0000-0000-000060710000}"/>
    <cellStyle name="Positive 3 2 11 6 2 2" xfId="29012" xr:uid="{00000000-0005-0000-0000-000061710000}"/>
    <cellStyle name="Positive 3 2 11 6 3" xfId="29013" xr:uid="{00000000-0005-0000-0000-000062710000}"/>
    <cellStyle name="Positive 3 2 11 7" xfId="29014" xr:uid="{00000000-0005-0000-0000-000063710000}"/>
    <cellStyle name="Positive 3 2 11 7 2" xfId="29015" xr:uid="{00000000-0005-0000-0000-000064710000}"/>
    <cellStyle name="Positive 3 2 11 7 2 2" xfId="29016" xr:uid="{00000000-0005-0000-0000-000065710000}"/>
    <cellStyle name="Positive 3 2 11 7 3" xfId="29017" xr:uid="{00000000-0005-0000-0000-000066710000}"/>
    <cellStyle name="Positive 3 2 11 8" xfId="29018" xr:uid="{00000000-0005-0000-0000-000067710000}"/>
    <cellStyle name="Positive 3 2 11 8 2" xfId="29019" xr:uid="{00000000-0005-0000-0000-000068710000}"/>
    <cellStyle name="Positive 3 2 11 9" xfId="29020" xr:uid="{00000000-0005-0000-0000-000069710000}"/>
    <cellStyle name="Positive 3 2 11 9 2" xfId="29021" xr:uid="{00000000-0005-0000-0000-00006A710000}"/>
    <cellStyle name="Positive 3 2 12" xfId="29022" xr:uid="{00000000-0005-0000-0000-00006B710000}"/>
    <cellStyle name="Positive 3 2 12 10" xfId="29023" xr:uid="{00000000-0005-0000-0000-00006C710000}"/>
    <cellStyle name="Positive 3 2 12 10 2" xfId="29024" xr:uid="{00000000-0005-0000-0000-00006D710000}"/>
    <cellStyle name="Positive 3 2 12 11" xfId="29025" xr:uid="{00000000-0005-0000-0000-00006E710000}"/>
    <cellStyle name="Positive 3 2 12 11 2" xfId="29026" xr:uid="{00000000-0005-0000-0000-00006F710000}"/>
    <cellStyle name="Positive 3 2 12 12" xfId="29027" xr:uid="{00000000-0005-0000-0000-000070710000}"/>
    <cellStyle name="Positive 3 2 12 12 2" xfId="29028" xr:uid="{00000000-0005-0000-0000-000071710000}"/>
    <cellStyle name="Positive 3 2 12 13" xfId="29029" xr:uid="{00000000-0005-0000-0000-000072710000}"/>
    <cellStyle name="Positive 3 2 12 13 2" xfId="29030" xr:uid="{00000000-0005-0000-0000-000073710000}"/>
    <cellStyle name="Positive 3 2 12 14" xfId="29031" xr:uid="{00000000-0005-0000-0000-000074710000}"/>
    <cellStyle name="Positive 3 2 12 14 2" xfId="29032" xr:uid="{00000000-0005-0000-0000-000075710000}"/>
    <cellStyle name="Positive 3 2 12 15" xfId="29033" xr:uid="{00000000-0005-0000-0000-000076710000}"/>
    <cellStyle name="Positive 3 2 12 15 2" xfId="29034" xr:uid="{00000000-0005-0000-0000-000077710000}"/>
    <cellStyle name="Positive 3 2 12 16" xfId="29035" xr:uid="{00000000-0005-0000-0000-000078710000}"/>
    <cellStyle name="Positive 3 2 12 16 2" xfId="29036" xr:uid="{00000000-0005-0000-0000-000079710000}"/>
    <cellStyle name="Positive 3 2 12 17" xfId="29037" xr:uid="{00000000-0005-0000-0000-00007A710000}"/>
    <cellStyle name="Positive 3 2 12 17 2" xfId="29038" xr:uid="{00000000-0005-0000-0000-00007B710000}"/>
    <cellStyle name="Positive 3 2 12 18" xfId="29039" xr:uid="{00000000-0005-0000-0000-00007C710000}"/>
    <cellStyle name="Positive 3 2 12 18 2" xfId="29040" xr:uid="{00000000-0005-0000-0000-00007D710000}"/>
    <cellStyle name="Positive 3 2 12 19" xfId="29041" xr:uid="{00000000-0005-0000-0000-00007E710000}"/>
    <cellStyle name="Positive 3 2 12 19 2" xfId="29042" xr:uid="{00000000-0005-0000-0000-00007F710000}"/>
    <cellStyle name="Positive 3 2 12 2" xfId="29043" xr:uid="{00000000-0005-0000-0000-000080710000}"/>
    <cellStyle name="Positive 3 2 12 2 10" xfId="29044" xr:uid="{00000000-0005-0000-0000-000081710000}"/>
    <cellStyle name="Positive 3 2 12 2 10 2" xfId="29045" xr:uid="{00000000-0005-0000-0000-000082710000}"/>
    <cellStyle name="Positive 3 2 12 2 11" xfId="29046" xr:uid="{00000000-0005-0000-0000-000083710000}"/>
    <cellStyle name="Positive 3 2 12 2 11 2" xfId="29047" xr:uid="{00000000-0005-0000-0000-000084710000}"/>
    <cellStyle name="Positive 3 2 12 2 12" xfId="29048" xr:uid="{00000000-0005-0000-0000-000085710000}"/>
    <cellStyle name="Positive 3 2 12 2 12 2" xfId="29049" xr:uid="{00000000-0005-0000-0000-000086710000}"/>
    <cellStyle name="Positive 3 2 12 2 13" xfId="29050" xr:uid="{00000000-0005-0000-0000-000087710000}"/>
    <cellStyle name="Positive 3 2 12 2 13 2" xfId="29051" xr:uid="{00000000-0005-0000-0000-000088710000}"/>
    <cellStyle name="Positive 3 2 12 2 14" xfId="29052" xr:uid="{00000000-0005-0000-0000-000089710000}"/>
    <cellStyle name="Positive 3 2 12 2 14 2" xfId="29053" xr:uid="{00000000-0005-0000-0000-00008A710000}"/>
    <cellStyle name="Positive 3 2 12 2 15" xfId="29054" xr:uid="{00000000-0005-0000-0000-00008B710000}"/>
    <cellStyle name="Positive 3 2 12 2 15 2" xfId="29055" xr:uid="{00000000-0005-0000-0000-00008C710000}"/>
    <cellStyle name="Positive 3 2 12 2 16" xfId="29056" xr:uid="{00000000-0005-0000-0000-00008D710000}"/>
    <cellStyle name="Positive 3 2 12 2 16 2" xfId="29057" xr:uid="{00000000-0005-0000-0000-00008E710000}"/>
    <cellStyle name="Positive 3 2 12 2 17" xfId="29058" xr:uid="{00000000-0005-0000-0000-00008F710000}"/>
    <cellStyle name="Positive 3 2 12 2 17 2" xfId="29059" xr:uid="{00000000-0005-0000-0000-000090710000}"/>
    <cellStyle name="Positive 3 2 12 2 18" xfId="29060" xr:uid="{00000000-0005-0000-0000-000091710000}"/>
    <cellStyle name="Positive 3 2 12 2 18 2" xfId="29061" xr:uid="{00000000-0005-0000-0000-000092710000}"/>
    <cellStyle name="Positive 3 2 12 2 19" xfId="29062" xr:uid="{00000000-0005-0000-0000-000093710000}"/>
    <cellStyle name="Positive 3 2 12 2 19 2" xfId="29063" xr:uid="{00000000-0005-0000-0000-000094710000}"/>
    <cellStyle name="Positive 3 2 12 2 2" xfId="29064" xr:uid="{00000000-0005-0000-0000-000095710000}"/>
    <cellStyle name="Positive 3 2 12 2 2 10" xfId="29065" xr:uid="{00000000-0005-0000-0000-000096710000}"/>
    <cellStyle name="Positive 3 2 12 2 2 10 2" xfId="29066" xr:uid="{00000000-0005-0000-0000-000097710000}"/>
    <cellStyle name="Positive 3 2 12 2 2 11" xfId="29067" xr:uid="{00000000-0005-0000-0000-000098710000}"/>
    <cellStyle name="Positive 3 2 12 2 2 11 2" xfId="29068" xr:uid="{00000000-0005-0000-0000-000099710000}"/>
    <cellStyle name="Positive 3 2 12 2 2 12" xfId="29069" xr:uid="{00000000-0005-0000-0000-00009A710000}"/>
    <cellStyle name="Positive 3 2 12 2 2 12 2" xfId="29070" xr:uid="{00000000-0005-0000-0000-00009B710000}"/>
    <cellStyle name="Positive 3 2 12 2 2 13" xfId="29071" xr:uid="{00000000-0005-0000-0000-00009C710000}"/>
    <cellStyle name="Positive 3 2 12 2 2 13 2" xfId="29072" xr:uid="{00000000-0005-0000-0000-00009D710000}"/>
    <cellStyle name="Positive 3 2 12 2 2 14" xfId="29073" xr:uid="{00000000-0005-0000-0000-00009E710000}"/>
    <cellStyle name="Positive 3 2 12 2 2 14 2" xfId="29074" xr:uid="{00000000-0005-0000-0000-00009F710000}"/>
    <cellStyle name="Positive 3 2 12 2 2 15" xfId="29075" xr:uid="{00000000-0005-0000-0000-0000A0710000}"/>
    <cellStyle name="Positive 3 2 12 2 2 15 2" xfId="29076" xr:uid="{00000000-0005-0000-0000-0000A1710000}"/>
    <cellStyle name="Positive 3 2 12 2 2 16" xfId="29077" xr:uid="{00000000-0005-0000-0000-0000A2710000}"/>
    <cellStyle name="Positive 3 2 12 2 2 16 2" xfId="29078" xr:uid="{00000000-0005-0000-0000-0000A3710000}"/>
    <cellStyle name="Positive 3 2 12 2 2 17" xfId="29079" xr:uid="{00000000-0005-0000-0000-0000A4710000}"/>
    <cellStyle name="Positive 3 2 12 2 2 2" xfId="29080" xr:uid="{00000000-0005-0000-0000-0000A5710000}"/>
    <cellStyle name="Positive 3 2 12 2 2 2 2" xfId="29081" xr:uid="{00000000-0005-0000-0000-0000A6710000}"/>
    <cellStyle name="Positive 3 2 12 2 2 3" xfId="29082" xr:uid="{00000000-0005-0000-0000-0000A7710000}"/>
    <cellStyle name="Positive 3 2 12 2 2 3 2" xfId="29083" xr:uid="{00000000-0005-0000-0000-0000A8710000}"/>
    <cellStyle name="Positive 3 2 12 2 2 4" xfId="29084" xr:uid="{00000000-0005-0000-0000-0000A9710000}"/>
    <cellStyle name="Positive 3 2 12 2 2 4 2" xfId="29085" xr:uid="{00000000-0005-0000-0000-0000AA710000}"/>
    <cellStyle name="Positive 3 2 12 2 2 5" xfId="29086" xr:uid="{00000000-0005-0000-0000-0000AB710000}"/>
    <cellStyle name="Positive 3 2 12 2 2 5 2" xfId="29087" xr:uid="{00000000-0005-0000-0000-0000AC710000}"/>
    <cellStyle name="Positive 3 2 12 2 2 6" xfId="29088" xr:uid="{00000000-0005-0000-0000-0000AD710000}"/>
    <cellStyle name="Positive 3 2 12 2 2 6 2" xfId="29089" xr:uid="{00000000-0005-0000-0000-0000AE710000}"/>
    <cellStyle name="Positive 3 2 12 2 2 7" xfId="29090" xr:uid="{00000000-0005-0000-0000-0000AF710000}"/>
    <cellStyle name="Positive 3 2 12 2 2 7 2" xfId="29091" xr:uid="{00000000-0005-0000-0000-0000B0710000}"/>
    <cellStyle name="Positive 3 2 12 2 2 8" xfId="29092" xr:uid="{00000000-0005-0000-0000-0000B1710000}"/>
    <cellStyle name="Positive 3 2 12 2 2 8 2" xfId="29093" xr:uid="{00000000-0005-0000-0000-0000B2710000}"/>
    <cellStyle name="Positive 3 2 12 2 2 9" xfId="29094" xr:uid="{00000000-0005-0000-0000-0000B3710000}"/>
    <cellStyle name="Positive 3 2 12 2 2 9 2" xfId="29095" xr:uid="{00000000-0005-0000-0000-0000B4710000}"/>
    <cellStyle name="Positive 3 2 12 2 20" xfId="29096" xr:uid="{00000000-0005-0000-0000-0000B5710000}"/>
    <cellStyle name="Positive 3 2 12 2 3" xfId="29097" xr:uid="{00000000-0005-0000-0000-0000B6710000}"/>
    <cellStyle name="Positive 3 2 12 2 3 2" xfId="29098" xr:uid="{00000000-0005-0000-0000-0000B7710000}"/>
    <cellStyle name="Positive 3 2 12 2 3 2 2" xfId="29099" xr:uid="{00000000-0005-0000-0000-0000B8710000}"/>
    <cellStyle name="Positive 3 2 12 2 3 3" xfId="29100" xr:uid="{00000000-0005-0000-0000-0000B9710000}"/>
    <cellStyle name="Positive 3 2 12 2 4" xfId="29101" xr:uid="{00000000-0005-0000-0000-0000BA710000}"/>
    <cellStyle name="Positive 3 2 12 2 4 2" xfId="29102" xr:uid="{00000000-0005-0000-0000-0000BB710000}"/>
    <cellStyle name="Positive 3 2 12 2 4 2 2" xfId="29103" xr:uid="{00000000-0005-0000-0000-0000BC710000}"/>
    <cellStyle name="Positive 3 2 12 2 4 3" xfId="29104" xr:uid="{00000000-0005-0000-0000-0000BD710000}"/>
    <cellStyle name="Positive 3 2 12 2 5" xfId="29105" xr:uid="{00000000-0005-0000-0000-0000BE710000}"/>
    <cellStyle name="Positive 3 2 12 2 5 2" xfId="29106" xr:uid="{00000000-0005-0000-0000-0000BF710000}"/>
    <cellStyle name="Positive 3 2 12 2 6" xfId="29107" xr:uid="{00000000-0005-0000-0000-0000C0710000}"/>
    <cellStyle name="Positive 3 2 12 2 6 2" xfId="29108" xr:uid="{00000000-0005-0000-0000-0000C1710000}"/>
    <cellStyle name="Positive 3 2 12 2 7" xfId="29109" xr:uid="{00000000-0005-0000-0000-0000C2710000}"/>
    <cellStyle name="Positive 3 2 12 2 7 2" xfId="29110" xr:uid="{00000000-0005-0000-0000-0000C3710000}"/>
    <cellStyle name="Positive 3 2 12 2 8" xfId="29111" xr:uid="{00000000-0005-0000-0000-0000C4710000}"/>
    <cellStyle name="Positive 3 2 12 2 8 2" xfId="29112" xr:uid="{00000000-0005-0000-0000-0000C5710000}"/>
    <cellStyle name="Positive 3 2 12 2 9" xfId="29113" xr:uid="{00000000-0005-0000-0000-0000C6710000}"/>
    <cellStyle name="Positive 3 2 12 2 9 2" xfId="29114" xr:uid="{00000000-0005-0000-0000-0000C7710000}"/>
    <cellStyle name="Positive 3 2 12 20" xfId="29115" xr:uid="{00000000-0005-0000-0000-0000C8710000}"/>
    <cellStyle name="Positive 3 2 12 20 2" xfId="29116" xr:uid="{00000000-0005-0000-0000-0000C9710000}"/>
    <cellStyle name="Positive 3 2 12 21" xfId="29117" xr:uid="{00000000-0005-0000-0000-0000CA710000}"/>
    <cellStyle name="Positive 3 2 12 21 2" xfId="29118" xr:uid="{00000000-0005-0000-0000-0000CB710000}"/>
    <cellStyle name="Positive 3 2 12 22" xfId="29119" xr:uid="{00000000-0005-0000-0000-0000CC710000}"/>
    <cellStyle name="Positive 3 2 12 22 2" xfId="29120" xr:uid="{00000000-0005-0000-0000-0000CD710000}"/>
    <cellStyle name="Positive 3 2 12 23" xfId="29121" xr:uid="{00000000-0005-0000-0000-0000CE710000}"/>
    <cellStyle name="Positive 3 2 12 3" xfId="29122" xr:uid="{00000000-0005-0000-0000-0000CF710000}"/>
    <cellStyle name="Positive 3 2 12 3 10" xfId="29123" xr:uid="{00000000-0005-0000-0000-0000D0710000}"/>
    <cellStyle name="Positive 3 2 12 3 10 2" xfId="29124" xr:uid="{00000000-0005-0000-0000-0000D1710000}"/>
    <cellStyle name="Positive 3 2 12 3 11" xfId="29125" xr:uid="{00000000-0005-0000-0000-0000D2710000}"/>
    <cellStyle name="Positive 3 2 12 3 11 2" xfId="29126" xr:uid="{00000000-0005-0000-0000-0000D3710000}"/>
    <cellStyle name="Positive 3 2 12 3 12" xfId="29127" xr:uid="{00000000-0005-0000-0000-0000D4710000}"/>
    <cellStyle name="Positive 3 2 12 3 12 2" xfId="29128" xr:uid="{00000000-0005-0000-0000-0000D5710000}"/>
    <cellStyle name="Positive 3 2 12 3 13" xfId="29129" xr:uid="{00000000-0005-0000-0000-0000D6710000}"/>
    <cellStyle name="Positive 3 2 12 3 13 2" xfId="29130" xr:uid="{00000000-0005-0000-0000-0000D7710000}"/>
    <cellStyle name="Positive 3 2 12 3 14" xfId="29131" xr:uid="{00000000-0005-0000-0000-0000D8710000}"/>
    <cellStyle name="Positive 3 2 12 3 14 2" xfId="29132" xr:uid="{00000000-0005-0000-0000-0000D9710000}"/>
    <cellStyle name="Positive 3 2 12 3 15" xfId="29133" xr:uid="{00000000-0005-0000-0000-0000DA710000}"/>
    <cellStyle name="Positive 3 2 12 3 15 2" xfId="29134" xr:uid="{00000000-0005-0000-0000-0000DB710000}"/>
    <cellStyle name="Positive 3 2 12 3 16" xfId="29135" xr:uid="{00000000-0005-0000-0000-0000DC710000}"/>
    <cellStyle name="Positive 3 2 12 3 16 2" xfId="29136" xr:uid="{00000000-0005-0000-0000-0000DD710000}"/>
    <cellStyle name="Positive 3 2 12 3 17" xfId="29137" xr:uid="{00000000-0005-0000-0000-0000DE710000}"/>
    <cellStyle name="Positive 3 2 12 3 17 2" xfId="29138" xr:uid="{00000000-0005-0000-0000-0000DF710000}"/>
    <cellStyle name="Positive 3 2 12 3 18" xfId="29139" xr:uid="{00000000-0005-0000-0000-0000E0710000}"/>
    <cellStyle name="Positive 3 2 12 3 18 2" xfId="29140" xr:uid="{00000000-0005-0000-0000-0000E1710000}"/>
    <cellStyle name="Positive 3 2 12 3 19" xfId="29141" xr:uid="{00000000-0005-0000-0000-0000E2710000}"/>
    <cellStyle name="Positive 3 2 12 3 19 2" xfId="29142" xr:uid="{00000000-0005-0000-0000-0000E3710000}"/>
    <cellStyle name="Positive 3 2 12 3 2" xfId="29143" xr:uid="{00000000-0005-0000-0000-0000E4710000}"/>
    <cellStyle name="Positive 3 2 12 3 2 10" xfId="29144" xr:uid="{00000000-0005-0000-0000-0000E5710000}"/>
    <cellStyle name="Positive 3 2 12 3 2 10 2" xfId="29145" xr:uid="{00000000-0005-0000-0000-0000E6710000}"/>
    <cellStyle name="Positive 3 2 12 3 2 11" xfId="29146" xr:uid="{00000000-0005-0000-0000-0000E7710000}"/>
    <cellStyle name="Positive 3 2 12 3 2 11 2" xfId="29147" xr:uid="{00000000-0005-0000-0000-0000E8710000}"/>
    <cellStyle name="Positive 3 2 12 3 2 12" xfId="29148" xr:uid="{00000000-0005-0000-0000-0000E9710000}"/>
    <cellStyle name="Positive 3 2 12 3 2 12 2" xfId="29149" xr:uid="{00000000-0005-0000-0000-0000EA710000}"/>
    <cellStyle name="Positive 3 2 12 3 2 13" xfId="29150" xr:uid="{00000000-0005-0000-0000-0000EB710000}"/>
    <cellStyle name="Positive 3 2 12 3 2 13 2" xfId="29151" xr:uid="{00000000-0005-0000-0000-0000EC710000}"/>
    <cellStyle name="Positive 3 2 12 3 2 14" xfId="29152" xr:uid="{00000000-0005-0000-0000-0000ED710000}"/>
    <cellStyle name="Positive 3 2 12 3 2 14 2" xfId="29153" xr:uid="{00000000-0005-0000-0000-0000EE710000}"/>
    <cellStyle name="Positive 3 2 12 3 2 15" xfId="29154" xr:uid="{00000000-0005-0000-0000-0000EF710000}"/>
    <cellStyle name="Positive 3 2 12 3 2 15 2" xfId="29155" xr:uid="{00000000-0005-0000-0000-0000F0710000}"/>
    <cellStyle name="Positive 3 2 12 3 2 16" xfId="29156" xr:uid="{00000000-0005-0000-0000-0000F1710000}"/>
    <cellStyle name="Positive 3 2 12 3 2 16 2" xfId="29157" xr:uid="{00000000-0005-0000-0000-0000F2710000}"/>
    <cellStyle name="Positive 3 2 12 3 2 17" xfId="29158" xr:uid="{00000000-0005-0000-0000-0000F3710000}"/>
    <cellStyle name="Positive 3 2 12 3 2 2" xfId="29159" xr:uid="{00000000-0005-0000-0000-0000F4710000}"/>
    <cellStyle name="Positive 3 2 12 3 2 2 2" xfId="29160" xr:uid="{00000000-0005-0000-0000-0000F5710000}"/>
    <cellStyle name="Positive 3 2 12 3 2 3" xfId="29161" xr:uid="{00000000-0005-0000-0000-0000F6710000}"/>
    <cellStyle name="Positive 3 2 12 3 2 3 2" xfId="29162" xr:uid="{00000000-0005-0000-0000-0000F7710000}"/>
    <cellStyle name="Positive 3 2 12 3 2 4" xfId="29163" xr:uid="{00000000-0005-0000-0000-0000F8710000}"/>
    <cellStyle name="Positive 3 2 12 3 2 4 2" xfId="29164" xr:uid="{00000000-0005-0000-0000-0000F9710000}"/>
    <cellStyle name="Positive 3 2 12 3 2 5" xfId="29165" xr:uid="{00000000-0005-0000-0000-0000FA710000}"/>
    <cellStyle name="Positive 3 2 12 3 2 5 2" xfId="29166" xr:uid="{00000000-0005-0000-0000-0000FB710000}"/>
    <cellStyle name="Positive 3 2 12 3 2 6" xfId="29167" xr:uid="{00000000-0005-0000-0000-0000FC710000}"/>
    <cellStyle name="Positive 3 2 12 3 2 6 2" xfId="29168" xr:uid="{00000000-0005-0000-0000-0000FD710000}"/>
    <cellStyle name="Positive 3 2 12 3 2 7" xfId="29169" xr:uid="{00000000-0005-0000-0000-0000FE710000}"/>
    <cellStyle name="Positive 3 2 12 3 2 7 2" xfId="29170" xr:uid="{00000000-0005-0000-0000-0000FF710000}"/>
    <cellStyle name="Positive 3 2 12 3 2 8" xfId="29171" xr:uid="{00000000-0005-0000-0000-000000720000}"/>
    <cellStyle name="Positive 3 2 12 3 2 8 2" xfId="29172" xr:uid="{00000000-0005-0000-0000-000001720000}"/>
    <cellStyle name="Positive 3 2 12 3 2 9" xfId="29173" xr:uid="{00000000-0005-0000-0000-000002720000}"/>
    <cellStyle name="Positive 3 2 12 3 2 9 2" xfId="29174" xr:uid="{00000000-0005-0000-0000-000003720000}"/>
    <cellStyle name="Positive 3 2 12 3 20" xfId="29175" xr:uid="{00000000-0005-0000-0000-000004720000}"/>
    <cellStyle name="Positive 3 2 12 3 3" xfId="29176" xr:uid="{00000000-0005-0000-0000-000005720000}"/>
    <cellStyle name="Positive 3 2 12 3 3 2" xfId="29177" xr:uid="{00000000-0005-0000-0000-000006720000}"/>
    <cellStyle name="Positive 3 2 12 3 3 2 2" xfId="29178" xr:uid="{00000000-0005-0000-0000-000007720000}"/>
    <cellStyle name="Positive 3 2 12 3 3 3" xfId="29179" xr:uid="{00000000-0005-0000-0000-000008720000}"/>
    <cellStyle name="Positive 3 2 12 3 4" xfId="29180" xr:uid="{00000000-0005-0000-0000-000009720000}"/>
    <cellStyle name="Positive 3 2 12 3 4 2" xfId="29181" xr:uid="{00000000-0005-0000-0000-00000A720000}"/>
    <cellStyle name="Positive 3 2 12 3 4 2 2" xfId="29182" xr:uid="{00000000-0005-0000-0000-00000B720000}"/>
    <cellStyle name="Positive 3 2 12 3 4 3" xfId="29183" xr:uid="{00000000-0005-0000-0000-00000C720000}"/>
    <cellStyle name="Positive 3 2 12 3 5" xfId="29184" xr:uid="{00000000-0005-0000-0000-00000D720000}"/>
    <cellStyle name="Positive 3 2 12 3 5 2" xfId="29185" xr:uid="{00000000-0005-0000-0000-00000E720000}"/>
    <cellStyle name="Positive 3 2 12 3 6" xfId="29186" xr:uid="{00000000-0005-0000-0000-00000F720000}"/>
    <cellStyle name="Positive 3 2 12 3 6 2" xfId="29187" xr:uid="{00000000-0005-0000-0000-000010720000}"/>
    <cellStyle name="Positive 3 2 12 3 7" xfId="29188" xr:uid="{00000000-0005-0000-0000-000011720000}"/>
    <cellStyle name="Positive 3 2 12 3 7 2" xfId="29189" xr:uid="{00000000-0005-0000-0000-000012720000}"/>
    <cellStyle name="Positive 3 2 12 3 8" xfId="29190" xr:uid="{00000000-0005-0000-0000-000013720000}"/>
    <cellStyle name="Positive 3 2 12 3 8 2" xfId="29191" xr:uid="{00000000-0005-0000-0000-000014720000}"/>
    <cellStyle name="Positive 3 2 12 3 9" xfId="29192" xr:uid="{00000000-0005-0000-0000-000015720000}"/>
    <cellStyle name="Positive 3 2 12 3 9 2" xfId="29193" xr:uid="{00000000-0005-0000-0000-000016720000}"/>
    <cellStyle name="Positive 3 2 12 4" xfId="29194" xr:uid="{00000000-0005-0000-0000-000017720000}"/>
    <cellStyle name="Positive 3 2 12 4 10" xfId="29195" xr:uid="{00000000-0005-0000-0000-000018720000}"/>
    <cellStyle name="Positive 3 2 12 4 10 2" xfId="29196" xr:uid="{00000000-0005-0000-0000-000019720000}"/>
    <cellStyle name="Positive 3 2 12 4 11" xfId="29197" xr:uid="{00000000-0005-0000-0000-00001A720000}"/>
    <cellStyle name="Positive 3 2 12 4 11 2" xfId="29198" xr:uid="{00000000-0005-0000-0000-00001B720000}"/>
    <cellStyle name="Positive 3 2 12 4 12" xfId="29199" xr:uid="{00000000-0005-0000-0000-00001C720000}"/>
    <cellStyle name="Positive 3 2 12 4 12 2" xfId="29200" xr:uid="{00000000-0005-0000-0000-00001D720000}"/>
    <cellStyle name="Positive 3 2 12 4 13" xfId="29201" xr:uid="{00000000-0005-0000-0000-00001E720000}"/>
    <cellStyle name="Positive 3 2 12 4 13 2" xfId="29202" xr:uid="{00000000-0005-0000-0000-00001F720000}"/>
    <cellStyle name="Positive 3 2 12 4 14" xfId="29203" xr:uid="{00000000-0005-0000-0000-000020720000}"/>
    <cellStyle name="Positive 3 2 12 4 14 2" xfId="29204" xr:uid="{00000000-0005-0000-0000-000021720000}"/>
    <cellStyle name="Positive 3 2 12 4 15" xfId="29205" xr:uid="{00000000-0005-0000-0000-000022720000}"/>
    <cellStyle name="Positive 3 2 12 4 15 2" xfId="29206" xr:uid="{00000000-0005-0000-0000-000023720000}"/>
    <cellStyle name="Positive 3 2 12 4 16" xfId="29207" xr:uid="{00000000-0005-0000-0000-000024720000}"/>
    <cellStyle name="Positive 3 2 12 4 16 2" xfId="29208" xr:uid="{00000000-0005-0000-0000-000025720000}"/>
    <cellStyle name="Positive 3 2 12 4 17" xfId="29209" xr:uid="{00000000-0005-0000-0000-000026720000}"/>
    <cellStyle name="Positive 3 2 12 4 17 2" xfId="29210" xr:uid="{00000000-0005-0000-0000-000027720000}"/>
    <cellStyle name="Positive 3 2 12 4 18" xfId="29211" xr:uid="{00000000-0005-0000-0000-000028720000}"/>
    <cellStyle name="Positive 3 2 12 4 18 2" xfId="29212" xr:uid="{00000000-0005-0000-0000-000029720000}"/>
    <cellStyle name="Positive 3 2 12 4 19" xfId="29213" xr:uid="{00000000-0005-0000-0000-00002A720000}"/>
    <cellStyle name="Positive 3 2 12 4 19 2" xfId="29214" xr:uid="{00000000-0005-0000-0000-00002B720000}"/>
    <cellStyle name="Positive 3 2 12 4 2" xfId="29215" xr:uid="{00000000-0005-0000-0000-00002C720000}"/>
    <cellStyle name="Positive 3 2 12 4 2 10" xfId="29216" xr:uid="{00000000-0005-0000-0000-00002D720000}"/>
    <cellStyle name="Positive 3 2 12 4 2 10 2" xfId="29217" xr:uid="{00000000-0005-0000-0000-00002E720000}"/>
    <cellStyle name="Positive 3 2 12 4 2 11" xfId="29218" xr:uid="{00000000-0005-0000-0000-00002F720000}"/>
    <cellStyle name="Positive 3 2 12 4 2 11 2" xfId="29219" xr:uid="{00000000-0005-0000-0000-000030720000}"/>
    <cellStyle name="Positive 3 2 12 4 2 12" xfId="29220" xr:uid="{00000000-0005-0000-0000-000031720000}"/>
    <cellStyle name="Positive 3 2 12 4 2 12 2" xfId="29221" xr:uid="{00000000-0005-0000-0000-000032720000}"/>
    <cellStyle name="Positive 3 2 12 4 2 13" xfId="29222" xr:uid="{00000000-0005-0000-0000-000033720000}"/>
    <cellStyle name="Positive 3 2 12 4 2 13 2" xfId="29223" xr:uid="{00000000-0005-0000-0000-000034720000}"/>
    <cellStyle name="Positive 3 2 12 4 2 14" xfId="29224" xr:uid="{00000000-0005-0000-0000-000035720000}"/>
    <cellStyle name="Positive 3 2 12 4 2 14 2" xfId="29225" xr:uid="{00000000-0005-0000-0000-000036720000}"/>
    <cellStyle name="Positive 3 2 12 4 2 15" xfId="29226" xr:uid="{00000000-0005-0000-0000-000037720000}"/>
    <cellStyle name="Positive 3 2 12 4 2 15 2" xfId="29227" xr:uid="{00000000-0005-0000-0000-000038720000}"/>
    <cellStyle name="Positive 3 2 12 4 2 16" xfId="29228" xr:uid="{00000000-0005-0000-0000-000039720000}"/>
    <cellStyle name="Positive 3 2 12 4 2 16 2" xfId="29229" xr:uid="{00000000-0005-0000-0000-00003A720000}"/>
    <cellStyle name="Positive 3 2 12 4 2 17" xfId="29230" xr:uid="{00000000-0005-0000-0000-00003B720000}"/>
    <cellStyle name="Positive 3 2 12 4 2 2" xfId="29231" xr:uid="{00000000-0005-0000-0000-00003C720000}"/>
    <cellStyle name="Positive 3 2 12 4 2 2 2" xfId="29232" xr:uid="{00000000-0005-0000-0000-00003D720000}"/>
    <cellStyle name="Positive 3 2 12 4 2 3" xfId="29233" xr:uid="{00000000-0005-0000-0000-00003E720000}"/>
    <cellStyle name="Positive 3 2 12 4 2 3 2" xfId="29234" xr:uid="{00000000-0005-0000-0000-00003F720000}"/>
    <cellStyle name="Positive 3 2 12 4 2 4" xfId="29235" xr:uid="{00000000-0005-0000-0000-000040720000}"/>
    <cellStyle name="Positive 3 2 12 4 2 4 2" xfId="29236" xr:uid="{00000000-0005-0000-0000-000041720000}"/>
    <cellStyle name="Positive 3 2 12 4 2 5" xfId="29237" xr:uid="{00000000-0005-0000-0000-000042720000}"/>
    <cellStyle name="Positive 3 2 12 4 2 5 2" xfId="29238" xr:uid="{00000000-0005-0000-0000-000043720000}"/>
    <cellStyle name="Positive 3 2 12 4 2 6" xfId="29239" xr:uid="{00000000-0005-0000-0000-000044720000}"/>
    <cellStyle name="Positive 3 2 12 4 2 6 2" xfId="29240" xr:uid="{00000000-0005-0000-0000-000045720000}"/>
    <cellStyle name="Positive 3 2 12 4 2 7" xfId="29241" xr:uid="{00000000-0005-0000-0000-000046720000}"/>
    <cellStyle name="Positive 3 2 12 4 2 7 2" xfId="29242" xr:uid="{00000000-0005-0000-0000-000047720000}"/>
    <cellStyle name="Positive 3 2 12 4 2 8" xfId="29243" xr:uid="{00000000-0005-0000-0000-000048720000}"/>
    <cellStyle name="Positive 3 2 12 4 2 8 2" xfId="29244" xr:uid="{00000000-0005-0000-0000-000049720000}"/>
    <cellStyle name="Positive 3 2 12 4 2 9" xfId="29245" xr:uid="{00000000-0005-0000-0000-00004A720000}"/>
    <cellStyle name="Positive 3 2 12 4 2 9 2" xfId="29246" xr:uid="{00000000-0005-0000-0000-00004B720000}"/>
    <cellStyle name="Positive 3 2 12 4 20" xfId="29247" xr:uid="{00000000-0005-0000-0000-00004C720000}"/>
    <cellStyle name="Positive 3 2 12 4 3" xfId="29248" xr:uid="{00000000-0005-0000-0000-00004D720000}"/>
    <cellStyle name="Positive 3 2 12 4 3 2" xfId="29249" xr:uid="{00000000-0005-0000-0000-00004E720000}"/>
    <cellStyle name="Positive 3 2 12 4 3 2 2" xfId="29250" xr:uid="{00000000-0005-0000-0000-00004F720000}"/>
    <cellStyle name="Positive 3 2 12 4 3 3" xfId="29251" xr:uid="{00000000-0005-0000-0000-000050720000}"/>
    <cellStyle name="Positive 3 2 12 4 4" xfId="29252" xr:uid="{00000000-0005-0000-0000-000051720000}"/>
    <cellStyle name="Positive 3 2 12 4 4 2" xfId="29253" xr:uid="{00000000-0005-0000-0000-000052720000}"/>
    <cellStyle name="Positive 3 2 12 4 4 2 2" xfId="29254" xr:uid="{00000000-0005-0000-0000-000053720000}"/>
    <cellStyle name="Positive 3 2 12 4 4 3" xfId="29255" xr:uid="{00000000-0005-0000-0000-000054720000}"/>
    <cellStyle name="Positive 3 2 12 4 5" xfId="29256" xr:uid="{00000000-0005-0000-0000-000055720000}"/>
    <cellStyle name="Positive 3 2 12 4 5 2" xfId="29257" xr:uid="{00000000-0005-0000-0000-000056720000}"/>
    <cellStyle name="Positive 3 2 12 4 6" xfId="29258" xr:uid="{00000000-0005-0000-0000-000057720000}"/>
    <cellStyle name="Positive 3 2 12 4 6 2" xfId="29259" xr:uid="{00000000-0005-0000-0000-000058720000}"/>
    <cellStyle name="Positive 3 2 12 4 7" xfId="29260" xr:uid="{00000000-0005-0000-0000-000059720000}"/>
    <cellStyle name="Positive 3 2 12 4 7 2" xfId="29261" xr:uid="{00000000-0005-0000-0000-00005A720000}"/>
    <cellStyle name="Positive 3 2 12 4 8" xfId="29262" xr:uid="{00000000-0005-0000-0000-00005B720000}"/>
    <cellStyle name="Positive 3 2 12 4 8 2" xfId="29263" xr:uid="{00000000-0005-0000-0000-00005C720000}"/>
    <cellStyle name="Positive 3 2 12 4 9" xfId="29264" xr:uid="{00000000-0005-0000-0000-00005D720000}"/>
    <cellStyle name="Positive 3 2 12 4 9 2" xfId="29265" xr:uid="{00000000-0005-0000-0000-00005E720000}"/>
    <cellStyle name="Positive 3 2 12 5" xfId="29266" xr:uid="{00000000-0005-0000-0000-00005F720000}"/>
    <cellStyle name="Positive 3 2 12 5 10" xfId="29267" xr:uid="{00000000-0005-0000-0000-000060720000}"/>
    <cellStyle name="Positive 3 2 12 5 10 2" xfId="29268" xr:uid="{00000000-0005-0000-0000-000061720000}"/>
    <cellStyle name="Positive 3 2 12 5 11" xfId="29269" xr:uid="{00000000-0005-0000-0000-000062720000}"/>
    <cellStyle name="Positive 3 2 12 5 11 2" xfId="29270" xr:uid="{00000000-0005-0000-0000-000063720000}"/>
    <cellStyle name="Positive 3 2 12 5 12" xfId="29271" xr:uid="{00000000-0005-0000-0000-000064720000}"/>
    <cellStyle name="Positive 3 2 12 5 12 2" xfId="29272" xr:uid="{00000000-0005-0000-0000-000065720000}"/>
    <cellStyle name="Positive 3 2 12 5 13" xfId="29273" xr:uid="{00000000-0005-0000-0000-000066720000}"/>
    <cellStyle name="Positive 3 2 12 5 13 2" xfId="29274" xr:uid="{00000000-0005-0000-0000-000067720000}"/>
    <cellStyle name="Positive 3 2 12 5 14" xfId="29275" xr:uid="{00000000-0005-0000-0000-000068720000}"/>
    <cellStyle name="Positive 3 2 12 5 14 2" xfId="29276" xr:uid="{00000000-0005-0000-0000-000069720000}"/>
    <cellStyle name="Positive 3 2 12 5 15" xfId="29277" xr:uid="{00000000-0005-0000-0000-00006A720000}"/>
    <cellStyle name="Positive 3 2 12 5 15 2" xfId="29278" xr:uid="{00000000-0005-0000-0000-00006B720000}"/>
    <cellStyle name="Positive 3 2 12 5 16" xfId="29279" xr:uid="{00000000-0005-0000-0000-00006C720000}"/>
    <cellStyle name="Positive 3 2 12 5 16 2" xfId="29280" xr:uid="{00000000-0005-0000-0000-00006D720000}"/>
    <cellStyle name="Positive 3 2 12 5 17" xfId="29281" xr:uid="{00000000-0005-0000-0000-00006E720000}"/>
    <cellStyle name="Positive 3 2 12 5 2" xfId="29282" xr:uid="{00000000-0005-0000-0000-00006F720000}"/>
    <cellStyle name="Positive 3 2 12 5 2 2" xfId="29283" xr:uid="{00000000-0005-0000-0000-000070720000}"/>
    <cellStyle name="Positive 3 2 12 5 3" xfId="29284" xr:uid="{00000000-0005-0000-0000-000071720000}"/>
    <cellStyle name="Positive 3 2 12 5 3 2" xfId="29285" xr:uid="{00000000-0005-0000-0000-000072720000}"/>
    <cellStyle name="Positive 3 2 12 5 4" xfId="29286" xr:uid="{00000000-0005-0000-0000-000073720000}"/>
    <cellStyle name="Positive 3 2 12 5 4 2" xfId="29287" xr:uid="{00000000-0005-0000-0000-000074720000}"/>
    <cellStyle name="Positive 3 2 12 5 5" xfId="29288" xr:uid="{00000000-0005-0000-0000-000075720000}"/>
    <cellStyle name="Positive 3 2 12 5 5 2" xfId="29289" xr:uid="{00000000-0005-0000-0000-000076720000}"/>
    <cellStyle name="Positive 3 2 12 5 6" xfId="29290" xr:uid="{00000000-0005-0000-0000-000077720000}"/>
    <cellStyle name="Positive 3 2 12 5 6 2" xfId="29291" xr:uid="{00000000-0005-0000-0000-000078720000}"/>
    <cellStyle name="Positive 3 2 12 5 7" xfId="29292" xr:uid="{00000000-0005-0000-0000-000079720000}"/>
    <cellStyle name="Positive 3 2 12 5 7 2" xfId="29293" xr:uid="{00000000-0005-0000-0000-00007A720000}"/>
    <cellStyle name="Positive 3 2 12 5 8" xfId="29294" xr:uid="{00000000-0005-0000-0000-00007B720000}"/>
    <cellStyle name="Positive 3 2 12 5 8 2" xfId="29295" xr:uid="{00000000-0005-0000-0000-00007C720000}"/>
    <cellStyle name="Positive 3 2 12 5 9" xfId="29296" xr:uid="{00000000-0005-0000-0000-00007D720000}"/>
    <cellStyle name="Positive 3 2 12 5 9 2" xfId="29297" xr:uid="{00000000-0005-0000-0000-00007E720000}"/>
    <cellStyle name="Positive 3 2 12 6" xfId="29298" xr:uid="{00000000-0005-0000-0000-00007F720000}"/>
    <cellStyle name="Positive 3 2 12 6 2" xfId="29299" xr:uid="{00000000-0005-0000-0000-000080720000}"/>
    <cellStyle name="Positive 3 2 12 6 2 2" xfId="29300" xr:uid="{00000000-0005-0000-0000-000081720000}"/>
    <cellStyle name="Positive 3 2 12 6 3" xfId="29301" xr:uid="{00000000-0005-0000-0000-000082720000}"/>
    <cellStyle name="Positive 3 2 12 7" xfId="29302" xr:uid="{00000000-0005-0000-0000-000083720000}"/>
    <cellStyle name="Positive 3 2 12 7 2" xfId="29303" xr:uid="{00000000-0005-0000-0000-000084720000}"/>
    <cellStyle name="Positive 3 2 12 7 2 2" xfId="29304" xr:uid="{00000000-0005-0000-0000-000085720000}"/>
    <cellStyle name="Positive 3 2 12 7 3" xfId="29305" xr:uid="{00000000-0005-0000-0000-000086720000}"/>
    <cellStyle name="Positive 3 2 12 8" xfId="29306" xr:uid="{00000000-0005-0000-0000-000087720000}"/>
    <cellStyle name="Positive 3 2 12 8 2" xfId="29307" xr:uid="{00000000-0005-0000-0000-000088720000}"/>
    <cellStyle name="Positive 3 2 12 9" xfId="29308" xr:uid="{00000000-0005-0000-0000-000089720000}"/>
    <cellStyle name="Positive 3 2 12 9 2" xfId="29309" xr:uid="{00000000-0005-0000-0000-00008A720000}"/>
    <cellStyle name="Positive 3 2 13" xfId="29310" xr:uid="{00000000-0005-0000-0000-00008B720000}"/>
    <cellStyle name="Positive 3 2 13 10" xfId="29311" xr:uid="{00000000-0005-0000-0000-00008C720000}"/>
    <cellStyle name="Positive 3 2 13 10 2" xfId="29312" xr:uid="{00000000-0005-0000-0000-00008D720000}"/>
    <cellStyle name="Positive 3 2 13 11" xfId="29313" xr:uid="{00000000-0005-0000-0000-00008E720000}"/>
    <cellStyle name="Positive 3 2 13 11 2" xfId="29314" xr:uid="{00000000-0005-0000-0000-00008F720000}"/>
    <cellStyle name="Positive 3 2 13 12" xfId="29315" xr:uid="{00000000-0005-0000-0000-000090720000}"/>
    <cellStyle name="Positive 3 2 13 12 2" xfId="29316" xr:uid="{00000000-0005-0000-0000-000091720000}"/>
    <cellStyle name="Positive 3 2 13 13" xfId="29317" xr:uid="{00000000-0005-0000-0000-000092720000}"/>
    <cellStyle name="Positive 3 2 13 13 2" xfId="29318" xr:uid="{00000000-0005-0000-0000-000093720000}"/>
    <cellStyle name="Positive 3 2 13 14" xfId="29319" xr:uid="{00000000-0005-0000-0000-000094720000}"/>
    <cellStyle name="Positive 3 2 13 14 2" xfId="29320" xr:uid="{00000000-0005-0000-0000-000095720000}"/>
    <cellStyle name="Positive 3 2 13 15" xfId="29321" xr:uid="{00000000-0005-0000-0000-000096720000}"/>
    <cellStyle name="Positive 3 2 13 15 2" xfId="29322" xr:uid="{00000000-0005-0000-0000-000097720000}"/>
    <cellStyle name="Positive 3 2 13 16" xfId="29323" xr:uid="{00000000-0005-0000-0000-000098720000}"/>
    <cellStyle name="Positive 3 2 13 16 2" xfId="29324" xr:uid="{00000000-0005-0000-0000-000099720000}"/>
    <cellStyle name="Positive 3 2 13 17" xfId="29325" xr:uid="{00000000-0005-0000-0000-00009A720000}"/>
    <cellStyle name="Positive 3 2 13 17 2" xfId="29326" xr:uid="{00000000-0005-0000-0000-00009B720000}"/>
    <cellStyle name="Positive 3 2 13 18" xfId="29327" xr:uid="{00000000-0005-0000-0000-00009C720000}"/>
    <cellStyle name="Positive 3 2 13 18 2" xfId="29328" xr:uid="{00000000-0005-0000-0000-00009D720000}"/>
    <cellStyle name="Positive 3 2 13 19" xfId="29329" xr:uid="{00000000-0005-0000-0000-00009E720000}"/>
    <cellStyle name="Positive 3 2 13 19 2" xfId="29330" xr:uid="{00000000-0005-0000-0000-00009F720000}"/>
    <cellStyle name="Positive 3 2 13 2" xfId="29331" xr:uid="{00000000-0005-0000-0000-0000A0720000}"/>
    <cellStyle name="Positive 3 2 13 2 10" xfId="29332" xr:uid="{00000000-0005-0000-0000-0000A1720000}"/>
    <cellStyle name="Positive 3 2 13 2 10 2" xfId="29333" xr:uid="{00000000-0005-0000-0000-0000A2720000}"/>
    <cellStyle name="Positive 3 2 13 2 11" xfId="29334" xr:uid="{00000000-0005-0000-0000-0000A3720000}"/>
    <cellStyle name="Positive 3 2 13 2 11 2" xfId="29335" xr:uid="{00000000-0005-0000-0000-0000A4720000}"/>
    <cellStyle name="Positive 3 2 13 2 12" xfId="29336" xr:uid="{00000000-0005-0000-0000-0000A5720000}"/>
    <cellStyle name="Positive 3 2 13 2 12 2" xfId="29337" xr:uid="{00000000-0005-0000-0000-0000A6720000}"/>
    <cellStyle name="Positive 3 2 13 2 13" xfId="29338" xr:uid="{00000000-0005-0000-0000-0000A7720000}"/>
    <cellStyle name="Positive 3 2 13 2 13 2" xfId="29339" xr:uid="{00000000-0005-0000-0000-0000A8720000}"/>
    <cellStyle name="Positive 3 2 13 2 14" xfId="29340" xr:uid="{00000000-0005-0000-0000-0000A9720000}"/>
    <cellStyle name="Positive 3 2 13 2 14 2" xfId="29341" xr:uid="{00000000-0005-0000-0000-0000AA720000}"/>
    <cellStyle name="Positive 3 2 13 2 15" xfId="29342" xr:uid="{00000000-0005-0000-0000-0000AB720000}"/>
    <cellStyle name="Positive 3 2 13 2 15 2" xfId="29343" xr:uid="{00000000-0005-0000-0000-0000AC720000}"/>
    <cellStyle name="Positive 3 2 13 2 16" xfId="29344" xr:uid="{00000000-0005-0000-0000-0000AD720000}"/>
    <cellStyle name="Positive 3 2 13 2 16 2" xfId="29345" xr:uid="{00000000-0005-0000-0000-0000AE720000}"/>
    <cellStyle name="Positive 3 2 13 2 17" xfId="29346" xr:uid="{00000000-0005-0000-0000-0000AF720000}"/>
    <cellStyle name="Positive 3 2 13 2 17 2" xfId="29347" xr:uid="{00000000-0005-0000-0000-0000B0720000}"/>
    <cellStyle name="Positive 3 2 13 2 18" xfId="29348" xr:uid="{00000000-0005-0000-0000-0000B1720000}"/>
    <cellStyle name="Positive 3 2 13 2 18 2" xfId="29349" xr:uid="{00000000-0005-0000-0000-0000B2720000}"/>
    <cellStyle name="Positive 3 2 13 2 19" xfId="29350" xr:uid="{00000000-0005-0000-0000-0000B3720000}"/>
    <cellStyle name="Positive 3 2 13 2 19 2" xfId="29351" xr:uid="{00000000-0005-0000-0000-0000B4720000}"/>
    <cellStyle name="Positive 3 2 13 2 2" xfId="29352" xr:uid="{00000000-0005-0000-0000-0000B5720000}"/>
    <cellStyle name="Positive 3 2 13 2 2 10" xfId="29353" xr:uid="{00000000-0005-0000-0000-0000B6720000}"/>
    <cellStyle name="Positive 3 2 13 2 2 10 2" xfId="29354" xr:uid="{00000000-0005-0000-0000-0000B7720000}"/>
    <cellStyle name="Positive 3 2 13 2 2 11" xfId="29355" xr:uid="{00000000-0005-0000-0000-0000B8720000}"/>
    <cellStyle name="Positive 3 2 13 2 2 11 2" xfId="29356" xr:uid="{00000000-0005-0000-0000-0000B9720000}"/>
    <cellStyle name="Positive 3 2 13 2 2 12" xfId="29357" xr:uid="{00000000-0005-0000-0000-0000BA720000}"/>
    <cellStyle name="Positive 3 2 13 2 2 12 2" xfId="29358" xr:uid="{00000000-0005-0000-0000-0000BB720000}"/>
    <cellStyle name="Positive 3 2 13 2 2 13" xfId="29359" xr:uid="{00000000-0005-0000-0000-0000BC720000}"/>
    <cellStyle name="Positive 3 2 13 2 2 13 2" xfId="29360" xr:uid="{00000000-0005-0000-0000-0000BD720000}"/>
    <cellStyle name="Positive 3 2 13 2 2 14" xfId="29361" xr:uid="{00000000-0005-0000-0000-0000BE720000}"/>
    <cellStyle name="Positive 3 2 13 2 2 14 2" xfId="29362" xr:uid="{00000000-0005-0000-0000-0000BF720000}"/>
    <cellStyle name="Positive 3 2 13 2 2 15" xfId="29363" xr:uid="{00000000-0005-0000-0000-0000C0720000}"/>
    <cellStyle name="Positive 3 2 13 2 2 15 2" xfId="29364" xr:uid="{00000000-0005-0000-0000-0000C1720000}"/>
    <cellStyle name="Positive 3 2 13 2 2 16" xfId="29365" xr:uid="{00000000-0005-0000-0000-0000C2720000}"/>
    <cellStyle name="Positive 3 2 13 2 2 16 2" xfId="29366" xr:uid="{00000000-0005-0000-0000-0000C3720000}"/>
    <cellStyle name="Positive 3 2 13 2 2 17" xfId="29367" xr:uid="{00000000-0005-0000-0000-0000C4720000}"/>
    <cellStyle name="Positive 3 2 13 2 2 2" xfId="29368" xr:uid="{00000000-0005-0000-0000-0000C5720000}"/>
    <cellStyle name="Positive 3 2 13 2 2 2 2" xfId="29369" xr:uid="{00000000-0005-0000-0000-0000C6720000}"/>
    <cellStyle name="Positive 3 2 13 2 2 3" xfId="29370" xr:uid="{00000000-0005-0000-0000-0000C7720000}"/>
    <cellStyle name="Positive 3 2 13 2 2 3 2" xfId="29371" xr:uid="{00000000-0005-0000-0000-0000C8720000}"/>
    <cellStyle name="Positive 3 2 13 2 2 4" xfId="29372" xr:uid="{00000000-0005-0000-0000-0000C9720000}"/>
    <cellStyle name="Positive 3 2 13 2 2 4 2" xfId="29373" xr:uid="{00000000-0005-0000-0000-0000CA720000}"/>
    <cellStyle name="Positive 3 2 13 2 2 5" xfId="29374" xr:uid="{00000000-0005-0000-0000-0000CB720000}"/>
    <cellStyle name="Positive 3 2 13 2 2 5 2" xfId="29375" xr:uid="{00000000-0005-0000-0000-0000CC720000}"/>
    <cellStyle name="Positive 3 2 13 2 2 6" xfId="29376" xr:uid="{00000000-0005-0000-0000-0000CD720000}"/>
    <cellStyle name="Positive 3 2 13 2 2 6 2" xfId="29377" xr:uid="{00000000-0005-0000-0000-0000CE720000}"/>
    <cellStyle name="Positive 3 2 13 2 2 7" xfId="29378" xr:uid="{00000000-0005-0000-0000-0000CF720000}"/>
    <cellStyle name="Positive 3 2 13 2 2 7 2" xfId="29379" xr:uid="{00000000-0005-0000-0000-0000D0720000}"/>
    <cellStyle name="Positive 3 2 13 2 2 8" xfId="29380" xr:uid="{00000000-0005-0000-0000-0000D1720000}"/>
    <cellStyle name="Positive 3 2 13 2 2 8 2" xfId="29381" xr:uid="{00000000-0005-0000-0000-0000D2720000}"/>
    <cellStyle name="Positive 3 2 13 2 2 9" xfId="29382" xr:uid="{00000000-0005-0000-0000-0000D3720000}"/>
    <cellStyle name="Positive 3 2 13 2 2 9 2" xfId="29383" xr:uid="{00000000-0005-0000-0000-0000D4720000}"/>
    <cellStyle name="Positive 3 2 13 2 20" xfId="29384" xr:uid="{00000000-0005-0000-0000-0000D5720000}"/>
    <cellStyle name="Positive 3 2 13 2 3" xfId="29385" xr:uid="{00000000-0005-0000-0000-0000D6720000}"/>
    <cellStyle name="Positive 3 2 13 2 3 2" xfId="29386" xr:uid="{00000000-0005-0000-0000-0000D7720000}"/>
    <cellStyle name="Positive 3 2 13 2 3 2 2" xfId="29387" xr:uid="{00000000-0005-0000-0000-0000D8720000}"/>
    <cellStyle name="Positive 3 2 13 2 3 3" xfId="29388" xr:uid="{00000000-0005-0000-0000-0000D9720000}"/>
    <cellStyle name="Positive 3 2 13 2 4" xfId="29389" xr:uid="{00000000-0005-0000-0000-0000DA720000}"/>
    <cellStyle name="Positive 3 2 13 2 4 2" xfId="29390" xr:uid="{00000000-0005-0000-0000-0000DB720000}"/>
    <cellStyle name="Positive 3 2 13 2 4 2 2" xfId="29391" xr:uid="{00000000-0005-0000-0000-0000DC720000}"/>
    <cellStyle name="Positive 3 2 13 2 4 3" xfId="29392" xr:uid="{00000000-0005-0000-0000-0000DD720000}"/>
    <cellStyle name="Positive 3 2 13 2 5" xfId="29393" xr:uid="{00000000-0005-0000-0000-0000DE720000}"/>
    <cellStyle name="Positive 3 2 13 2 5 2" xfId="29394" xr:uid="{00000000-0005-0000-0000-0000DF720000}"/>
    <cellStyle name="Positive 3 2 13 2 6" xfId="29395" xr:uid="{00000000-0005-0000-0000-0000E0720000}"/>
    <cellStyle name="Positive 3 2 13 2 6 2" xfId="29396" xr:uid="{00000000-0005-0000-0000-0000E1720000}"/>
    <cellStyle name="Positive 3 2 13 2 7" xfId="29397" xr:uid="{00000000-0005-0000-0000-0000E2720000}"/>
    <cellStyle name="Positive 3 2 13 2 7 2" xfId="29398" xr:uid="{00000000-0005-0000-0000-0000E3720000}"/>
    <cellStyle name="Positive 3 2 13 2 8" xfId="29399" xr:uid="{00000000-0005-0000-0000-0000E4720000}"/>
    <cellStyle name="Positive 3 2 13 2 8 2" xfId="29400" xr:uid="{00000000-0005-0000-0000-0000E5720000}"/>
    <cellStyle name="Positive 3 2 13 2 9" xfId="29401" xr:uid="{00000000-0005-0000-0000-0000E6720000}"/>
    <cellStyle name="Positive 3 2 13 2 9 2" xfId="29402" xr:uid="{00000000-0005-0000-0000-0000E7720000}"/>
    <cellStyle name="Positive 3 2 13 20" xfId="29403" xr:uid="{00000000-0005-0000-0000-0000E8720000}"/>
    <cellStyle name="Positive 3 2 13 20 2" xfId="29404" xr:uid="{00000000-0005-0000-0000-0000E9720000}"/>
    <cellStyle name="Positive 3 2 13 21" xfId="29405" xr:uid="{00000000-0005-0000-0000-0000EA720000}"/>
    <cellStyle name="Positive 3 2 13 21 2" xfId="29406" xr:uid="{00000000-0005-0000-0000-0000EB720000}"/>
    <cellStyle name="Positive 3 2 13 22" xfId="29407" xr:uid="{00000000-0005-0000-0000-0000EC720000}"/>
    <cellStyle name="Positive 3 2 13 22 2" xfId="29408" xr:uid="{00000000-0005-0000-0000-0000ED720000}"/>
    <cellStyle name="Positive 3 2 13 23" xfId="29409" xr:uid="{00000000-0005-0000-0000-0000EE720000}"/>
    <cellStyle name="Positive 3 2 13 3" xfId="29410" xr:uid="{00000000-0005-0000-0000-0000EF720000}"/>
    <cellStyle name="Positive 3 2 13 3 10" xfId="29411" xr:uid="{00000000-0005-0000-0000-0000F0720000}"/>
    <cellStyle name="Positive 3 2 13 3 10 2" xfId="29412" xr:uid="{00000000-0005-0000-0000-0000F1720000}"/>
    <cellStyle name="Positive 3 2 13 3 11" xfId="29413" xr:uid="{00000000-0005-0000-0000-0000F2720000}"/>
    <cellStyle name="Positive 3 2 13 3 11 2" xfId="29414" xr:uid="{00000000-0005-0000-0000-0000F3720000}"/>
    <cellStyle name="Positive 3 2 13 3 12" xfId="29415" xr:uid="{00000000-0005-0000-0000-0000F4720000}"/>
    <cellStyle name="Positive 3 2 13 3 12 2" xfId="29416" xr:uid="{00000000-0005-0000-0000-0000F5720000}"/>
    <cellStyle name="Positive 3 2 13 3 13" xfId="29417" xr:uid="{00000000-0005-0000-0000-0000F6720000}"/>
    <cellStyle name="Positive 3 2 13 3 13 2" xfId="29418" xr:uid="{00000000-0005-0000-0000-0000F7720000}"/>
    <cellStyle name="Positive 3 2 13 3 14" xfId="29419" xr:uid="{00000000-0005-0000-0000-0000F8720000}"/>
    <cellStyle name="Positive 3 2 13 3 14 2" xfId="29420" xr:uid="{00000000-0005-0000-0000-0000F9720000}"/>
    <cellStyle name="Positive 3 2 13 3 15" xfId="29421" xr:uid="{00000000-0005-0000-0000-0000FA720000}"/>
    <cellStyle name="Positive 3 2 13 3 15 2" xfId="29422" xr:uid="{00000000-0005-0000-0000-0000FB720000}"/>
    <cellStyle name="Positive 3 2 13 3 16" xfId="29423" xr:uid="{00000000-0005-0000-0000-0000FC720000}"/>
    <cellStyle name="Positive 3 2 13 3 16 2" xfId="29424" xr:uid="{00000000-0005-0000-0000-0000FD720000}"/>
    <cellStyle name="Positive 3 2 13 3 17" xfId="29425" xr:uid="{00000000-0005-0000-0000-0000FE720000}"/>
    <cellStyle name="Positive 3 2 13 3 17 2" xfId="29426" xr:uid="{00000000-0005-0000-0000-0000FF720000}"/>
    <cellStyle name="Positive 3 2 13 3 18" xfId="29427" xr:uid="{00000000-0005-0000-0000-000000730000}"/>
    <cellStyle name="Positive 3 2 13 3 18 2" xfId="29428" xr:uid="{00000000-0005-0000-0000-000001730000}"/>
    <cellStyle name="Positive 3 2 13 3 19" xfId="29429" xr:uid="{00000000-0005-0000-0000-000002730000}"/>
    <cellStyle name="Positive 3 2 13 3 19 2" xfId="29430" xr:uid="{00000000-0005-0000-0000-000003730000}"/>
    <cellStyle name="Positive 3 2 13 3 2" xfId="29431" xr:uid="{00000000-0005-0000-0000-000004730000}"/>
    <cellStyle name="Positive 3 2 13 3 2 10" xfId="29432" xr:uid="{00000000-0005-0000-0000-000005730000}"/>
    <cellStyle name="Positive 3 2 13 3 2 10 2" xfId="29433" xr:uid="{00000000-0005-0000-0000-000006730000}"/>
    <cellStyle name="Positive 3 2 13 3 2 11" xfId="29434" xr:uid="{00000000-0005-0000-0000-000007730000}"/>
    <cellStyle name="Positive 3 2 13 3 2 11 2" xfId="29435" xr:uid="{00000000-0005-0000-0000-000008730000}"/>
    <cellStyle name="Positive 3 2 13 3 2 12" xfId="29436" xr:uid="{00000000-0005-0000-0000-000009730000}"/>
    <cellStyle name="Positive 3 2 13 3 2 12 2" xfId="29437" xr:uid="{00000000-0005-0000-0000-00000A730000}"/>
    <cellStyle name="Positive 3 2 13 3 2 13" xfId="29438" xr:uid="{00000000-0005-0000-0000-00000B730000}"/>
    <cellStyle name="Positive 3 2 13 3 2 13 2" xfId="29439" xr:uid="{00000000-0005-0000-0000-00000C730000}"/>
    <cellStyle name="Positive 3 2 13 3 2 14" xfId="29440" xr:uid="{00000000-0005-0000-0000-00000D730000}"/>
    <cellStyle name="Positive 3 2 13 3 2 14 2" xfId="29441" xr:uid="{00000000-0005-0000-0000-00000E730000}"/>
    <cellStyle name="Positive 3 2 13 3 2 15" xfId="29442" xr:uid="{00000000-0005-0000-0000-00000F730000}"/>
    <cellStyle name="Positive 3 2 13 3 2 15 2" xfId="29443" xr:uid="{00000000-0005-0000-0000-000010730000}"/>
    <cellStyle name="Positive 3 2 13 3 2 16" xfId="29444" xr:uid="{00000000-0005-0000-0000-000011730000}"/>
    <cellStyle name="Positive 3 2 13 3 2 16 2" xfId="29445" xr:uid="{00000000-0005-0000-0000-000012730000}"/>
    <cellStyle name="Positive 3 2 13 3 2 17" xfId="29446" xr:uid="{00000000-0005-0000-0000-000013730000}"/>
    <cellStyle name="Positive 3 2 13 3 2 2" xfId="29447" xr:uid="{00000000-0005-0000-0000-000014730000}"/>
    <cellStyle name="Positive 3 2 13 3 2 2 2" xfId="29448" xr:uid="{00000000-0005-0000-0000-000015730000}"/>
    <cellStyle name="Positive 3 2 13 3 2 3" xfId="29449" xr:uid="{00000000-0005-0000-0000-000016730000}"/>
    <cellStyle name="Positive 3 2 13 3 2 3 2" xfId="29450" xr:uid="{00000000-0005-0000-0000-000017730000}"/>
    <cellStyle name="Positive 3 2 13 3 2 4" xfId="29451" xr:uid="{00000000-0005-0000-0000-000018730000}"/>
    <cellStyle name="Positive 3 2 13 3 2 4 2" xfId="29452" xr:uid="{00000000-0005-0000-0000-000019730000}"/>
    <cellStyle name="Positive 3 2 13 3 2 5" xfId="29453" xr:uid="{00000000-0005-0000-0000-00001A730000}"/>
    <cellStyle name="Positive 3 2 13 3 2 5 2" xfId="29454" xr:uid="{00000000-0005-0000-0000-00001B730000}"/>
    <cellStyle name="Positive 3 2 13 3 2 6" xfId="29455" xr:uid="{00000000-0005-0000-0000-00001C730000}"/>
    <cellStyle name="Positive 3 2 13 3 2 6 2" xfId="29456" xr:uid="{00000000-0005-0000-0000-00001D730000}"/>
    <cellStyle name="Positive 3 2 13 3 2 7" xfId="29457" xr:uid="{00000000-0005-0000-0000-00001E730000}"/>
    <cellStyle name="Positive 3 2 13 3 2 7 2" xfId="29458" xr:uid="{00000000-0005-0000-0000-00001F730000}"/>
    <cellStyle name="Positive 3 2 13 3 2 8" xfId="29459" xr:uid="{00000000-0005-0000-0000-000020730000}"/>
    <cellStyle name="Positive 3 2 13 3 2 8 2" xfId="29460" xr:uid="{00000000-0005-0000-0000-000021730000}"/>
    <cellStyle name="Positive 3 2 13 3 2 9" xfId="29461" xr:uid="{00000000-0005-0000-0000-000022730000}"/>
    <cellStyle name="Positive 3 2 13 3 2 9 2" xfId="29462" xr:uid="{00000000-0005-0000-0000-000023730000}"/>
    <cellStyle name="Positive 3 2 13 3 20" xfId="29463" xr:uid="{00000000-0005-0000-0000-000024730000}"/>
    <cellStyle name="Positive 3 2 13 3 3" xfId="29464" xr:uid="{00000000-0005-0000-0000-000025730000}"/>
    <cellStyle name="Positive 3 2 13 3 3 2" xfId="29465" xr:uid="{00000000-0005-0000-0000-000026730000}"/>
    <cellStyle name="Positive 3 2 13 3 3 2 2" xfId="29466" xr:uid="{00000000-0005-0000-0000-000027730000}"/>
    <cellStyle name="Positive 3 2 13 3 3 3" xfId="29467" xr:uid="{00000000-0005-0000-0000-000028730000}"/>
    <cellStyle name="Positive 3 2 13 3 4" xfId="29468" xr:uid="{00000000-0005-0000-0000-000029730000}"/>
    <cellStyle name="Positive 3 2 13 3 4 2" xfId="29469" xr:uid="{00000000-0005-0000-0000-00002A730000}"/>
    <cellStyle name="Positive 3 2 13 3 4 2 2" xfId="29470" xr:uid="{00000000-0005-0000-0000-00002B730000}"/>
    <cellStyle name="Positive 3 2 13 3 4 3" xfId="29471" xr:uid="{00000000-0005-0000-0000-00002C730000}"/>
    <cellStyle name="Positive 3 2 13 3 5" xfId="29472" xr:uid="{00000000-0005-0000-0000-00002D730000}"/>
    <cellStyle name="Positive 3 2 13 3 5 2" xfId="29473" xr:uid="{00000000-0005-0000-0000-00002E730000}"/>
    <cellStyle name="Positive 3 2 13 3 6" xfId="29474" xr:uid="{00000000-0005-0000-0000-00002F730000}"/>
    <cellStyle name="Positive 3 2 13 3 6 2" xfId="29475" xr:uid="{00000000-0005-0000-0000-000030730000}"/>
    <cellStyle name="Positive 3 2 13 3 7" xfId="29476" xr:uid="{00000000-0005-0000-0000-000031730000}"/>
    <cellStyle name="Positive 3 2 13 3 7 2" xfId="29477" xr:uid="{00000000-0005-0000-0000-000032730000}"/>
    <cellStyle name="Positive 3 2 13 3 8" xfId="29478" xr:uid="{00000000-0005-0000-0000-000033730000}"/>
    <cellStyle name="Positive 3 2 13 3 8 2" xfId="29479" xr:uid="{00000000-0005-0000-0000-000034730000}"/>
    <cellStyle name="Positive 3 2 13 3 9" xfId="29480" xr:uid="{00000000-0005-0000-0000-000035730000}"/>
    <cellStyle name="Positive 3 2 13 3 9 2" xfId="29481" xr:uid="{00000000-0005-0000-0000-000036730000}"/>
    <cellStyle name="Positive 3 2 13 4" xfId="29482" xr:uid="{00000000-0005-0000-0000-000037730000}"/>
    <cellStyle name="Positive 3 2 13 4 10" xfId="29483" xr:uid="{00000000-0005-0000-0000-000038730000}"/>
    <cellStyle name="Positive 3 2 13 4 10 2" xfId="29484" xr:uid="{00000000-0005-0000-0000-000039730000}"/>
    <cellStyle name="Positive 3 2 13 4 11" xfId="29485" xr:uid="{00000000-0005-0000-0000-00003A730000}"/>
    <cellStyle name="Positive 3 2 13 4 11 2" xfId="29486" xr:uid="{00000000-0005-0000-0000-00003B730000}"/>
    <cellStyle name="Positive 3 2 13 4 12" xfId="29487" xr:uid="{00000000-0005-0000-0000-00003C730000}"/>
    <cellStyle name="Positive 3 2 13 4 12 2" xfId="29488" xr:uid="{00000000-0005-0000-0000-00003D730000}"/>
    <cellStyle name="Positive 3 2 13 4 13" xfId="29489" xr:uid="{00000000-0005-0000-0000-00003E730000}"/>
    <cellStyle name="Positive 3 2 13 4 13 2" xfId="29490" xr:uid="{00000000-0005-0000-0000-00003F730000}"/>
    <cellStyle name="Positive 3 2 13 4 14" xfId="29491" xr:uid="{00000000-0005-0000-0000-000040730000}"/>
    <cellStyle name="Positive 3 2 13 4 14 2" xfId="29492" xr:uid="{00000000-0005-0000-0000-000041730000}"/>
    <cellStyle name="Positive 3 2 13 4 15" xfId="29493" xr:uid="{00000000-0005-0000-0000-000042730000}"/>
    <cellStyle name="Positive 3 2 13 4 15 2" xfId="29494" xr:uid="{00000000-0005-0000-0000-000043730000}"/>
    <cellStyle name="Positive 3 2 13 4 16" xfId="29495" xr:uid="{00000000-0005-0000-0000-000044730000}"/>
    <cellStyle name="Positive 3 2 13 4 16 2" xfId="29496" xr:uid="{00000000-0005-0000-0000-000045730000}"/>
    <cellStyle name="Positive 3 2 13 4 17" xfId="29497" xr:uid="{00000000-0005-0000-0000-000046730000}"/>
    <cellStyle name="Positive 3 2 13 4 17 2" xfId="29498" xr:uid="{00000000-0005-0000-0000-000047730000}"/>
    <cellStyle name="Positive 3 2 13 4 18" xfId="29499" xr:uid="{00000000-0005-0000-0000-000048730000}"/>
    <cellStyle name="Positive 3 2 13 4 18 2" xfId="29500" xr:uid="{00000000-0005-0000-0000-000049730000}"/>
    <cellStyle name="Positive 3 2 13 4 19" xfId="29501" xr:uid="{00000000-0005-0000-0000-00004A730000}"/>
    <cellStyle name="Positive 3 2 13 4 19 2" xfId="29502" xr:uid="{00000000-0005-0000-0000-00004B730000}"/>
    <cellStyle name="Positive 3 2 13 4 2" xfId="29503" xr:uid="{00000000-0005-0000-0000-00004C730000}"/>
    <cellStyle name="Positive 3 2 13 4 2 10" xfId="29504" xr:uid="{00000000-0005-0000-0000-00004D730000}"/>
    <cellStyle name="Positive 3 2 13 4 2 10 2" xfId="29505" xr:uid="{00000000-0005-0000-0000-00004E730000}"/>
    <cellStyle name="Positive 3 2 13 4 2 11" xfId="29506" xr:uid="{00000000-0005-0000-0000-00004F730000}"/>
    <cellStyle name="Positive 3 2 13 4 2 11 2" xfId="29507" xr:uid="{00000000-0005-0000-0000-000050730000}"/>
    <cellStyle name="Positive 3 2 13 4 2 12" xfId="29508" xr:uid="{00000000-0005-0000-0000-000051730000}"/>
    <cellStyle name="Positive 3 2 13 4 2 12 2" xfId="29509" xr:uid="{00000000-0005-0000-0000-000052730000}"/>
    <cellStyle name="Positive 3 2 13 4 2 13" xfId="29510" xr:uid="{00000000-0005-0000-0000-000053730000}"/>
    <cellStyle name="Positive 3 2 13 4 2 13 2" xfId="29511" xr:uid="{00000000-0005-0000-0000-000054730000}"/>
    <cellStyle name="Positive 3 2 13 4 2 14" xfId="29512" xr:uid="{00000000-0005-0000-0000-000055730000}"/>
    <cellStyle name="Positive 3 2 13 4 2 14 2" xfId="29513" xr:uid="{00000000-0005-0000-0000-000056730000}"/>
    <cellStyle name="Positive 3 2 13 4 2 15" xfId="29514" xr:uid="{00000000-0005-0000-0000-000057730000}"/>
    <cellStyle name="Positive 3 2 13 4 2 15 2" xfId="29515" xr:uid="{00000000-0005-0000-0000-000058730000}"/>
    <cellStyle name="Positive 3 2 13 4 2 16" xfId="29516" xr:uid="{00000000-0005-0000-0000-000059730000}"/>
    <cellStyle name="Positive 3 2 13 4 2 16 2" xfId="29517" xr:uid="{00000000-0005-0000-0000-00005A730000}"/>
    <cellStyle name="Positive 3 2 13 4 2 17" xfId="29518" xr:uid="{00000000-0005-0000-0000-00005B730000}"/>
    <cellStyle name="Positive 3 2 13 4 2 2" xfId="29519" xr:uid="{00000000-0005-0000-0000-00005C730000}"/>
    <cellStyle name="Positive 3 2 13 4 2 2 2" xfId="29520" xr:uid="{00000000-0005-0000-0000-00005D730000}"/>
    <cellStyle name="Positive 3 2 13 4 2 3" xfId="29521" xr:uid="{00000000-0005-0000-0000-00005E730000}"/>
    <cellStyle name="Positive 3 2 13 4 2 3 2" xfId="29522" xr:uid="{00000000-0005-0000-0000-00005F730000}"/>
    <cellStyle name="Positive 3 2 13 4 2 4" xfId="29523" xr:uid="{00000000-0005-0000-0000-000060730000}"/>
    <cellStyle name="Positive 3 2 13 4 2 4 2" xfId="29524" xr:uid="{00000000-0005-0000-0000-000061730000}"/>
    <cellStyle name="Positive 3 2 13 4 2 5" xfId="29525" xr:uid="{00000000-0005-0000-0000-000062730000}"/>
    <cellStyle name="Positive 3 2 13 4 2 5 2" xfId="29526" xr:uid="{00000000-0005-0000-0000-000063730000}"/>
    <cellStyle name="Positive 3 2 13 4 2 6" xfId="29527" xr:uid="{00000000-0005-0000-0000-000064730000}"/>
    <cellStyle name="Positive 3 2 13 4 2 6 2" xfId="29528" xr:uid="{00000000-0005-0000-0000-000065730000}"/>
    <cellStyle name="Positive 3 2 13 4 2 7" xfId="29529" xr:uid="{00000000-0005-0000-0000-000066730000}"/>
    <cellStyle name="Positive 3 2 13 4 2 7 2" xfId="29530" xr:uid="{00000000-0005-0000-0000-000067730000}"/>
    <cellStyle name="Positive 3 2 13 4 2 8" xfId="29531" xr:uid="{00000000-0005-0000-0000-000068730000}"/>
    <cellStyle name="Positive 3 2 13 4 2 8 2" xfId="29532" xr:uid="{00000000-0005-0000-0000-000069730000}"/>
    <cellStyle name="Positive 3 2 13 4 2 9" xfId="29533" xr:uid="{00000000-0005-0000-0000-00006A730000}"/>
    <cellStyle name="Positive 3 2 13 4 2 9 2" xfId="29534" xr:uid="{00000000-0005-0000-0000-00006B730000}"/>
    <cellStyle name="Positive 3 2 13 4 20" xfId="29535" xr:uid="{00000000-0005-0000-0000-00006C730000}"/>
    <cellStyle name="Positive 3 2 13 4 3" xfId="29536" xr:uid="{00000000-0005-0000-0000-00006D730000}"/>
    <cellStyle name="Positive 3 2 13 4 3 2" xfId="29537" xr:uid="{00000000-0005-0000-0000-00006E730000}"/>
    <cellStyle name="Positive 3 2 13 4 3 2 2" xfId="29538" xr:uid="{00000000-0005-0000-0000-00006F730000}"/>
    <cellStyle name="Positive 3 2 13 4 3 3" xfId="29539" xr:uid="{00000000-0005-0000-0000-000070730000}"/>
    <cellStyle name="Positive 3 2 13 4 4" xfId="29540" xr:uid="{00000000-0005-0000-0000-000071730000}"/>
    <cellStyle name="Positive 3 2 13 4 4 2" xfId="29541" xr:uid="{00000000-0005-0000-0000-000072730000}"/>
    <cellStyle name="Positive 3 2 13 4 4 2 2" xfId="29542" xr:uid="{00000000-0005-0000-0000-000073730000}"/>
    <cellStyle name="Positive 3 2 13 4 4 3" xfId="29543" xr:uid="{00000000-0005-0000-0000-000074730000}"/>
    <cellStyle name="Positive 3 2 13 4 5" xfId="29544" xr:uid="{00000000-0005-0000-0000-000075730000}"/>
    <cellStyle name="Positive 3 2 13 4 5 2" xfId="29545" xr:uid="{00000000-0005-0000-0000-000076730000}"/>
    <cellStyle name="Positive 3 2 13 4 6" xfId="29546" xr:uid="{00000000-0005-0000-0000-000077730000}"/>
    <cellStyle name="Positive 3 2 13 4 6 2" xfId="29547" xr:uid="{00000000-0005-0000-0000-000078730000}"/>
    <cellStyle name="Positive 3 2 13 4 7" xfId="29548" xr:uid="{00000000-0005-0000-0000-000079730000}"/>
    <cellStyle name="Positive 3 2 13 4 7 2" xfId="29549" xr:uid="{00000000-0005-0000-0000-00007A730000}"/>
    <cellStyle name="Positive 3 2 13 4 8" xfId="29550" xr:uid="{00000000-0005-0000-0000-00007B730000}"/>
    <cellStyle name="Positive 3 2 13 4 8 2" xfId="29551" xr:uid="{00000000-0005-0000-0000-00007C730000}"/>
    <cellStyle name="Positive 3 2 13 4 9" xfId="29552" xr:uid="{00000000-0005-0000-0000-00007D730000}"/>
    <cellStyle name="Positive 3 2 13 4 9 2" xfId="29553" xr:uid="{00000000-0005-0000-0000-00007E730000}"/>
    <cellStyle name="Positive 3 2 13 5" xfId="29554" xr:uid="{00000000-0005-0000-0000-00007F730000}"/>
    <cellStyle name="Positive 3 2 13 5 10" xfId="29555" xr:uid="{00000000-0005-0000-0000-000080730000}"/>
    <cellStyle name="Positive 3 2 13 5 10 2" xfId="29556" xr:uid="{00000000-0005-0000-0000-000081730000}"/>
    <cellStyle name="Positive 3 2 13 5 11" xfId="29557" xr:uid="{00000000-0005-0000-0000-000082730000}"/>
    <cellStyle name="Positive 3 2 13 5 11 2" xfId="29558" xr:uid="{00000000-0005-0000-0000-000083730000}"/>
    <cellStyle name="Positive 3 2 13 5 12" xfId="29559" xr:uid="{00000000-0005-0000-0000-000084730000}"/>
    <cellStyle name="Positive 3 2 13 5 12 2" xfId="29560" xr:uid="{00000000-0005-0000-0000-000085730000}"/>
    <cellStyle name="Positive 3 2 13 5 13" xfId="29561" xr:uid="{00000000-0005-0000-0000-000086730000}"/>
    <cellStyle name="Positive 3 2 13 5 13 2" xfId="29562" xr:uid="{00000000-0005-0000-0000-000087730000}"/>
    <cellStyle name="Positive 3 2 13 5 14" xfId="29563" xr:uid="{00000000-0005-0000-0000-000088730000}"/>
    <cellStyle name="Positive 3 2 13 5 14 2" xfId="29564" xr:uid="{00000000-0005-0000-0000-000089730000}"/>
    <cellStyle name="Positive 3 2 13 5 15" xfId="29565" xr:uid="{00000000-0005-0000-0000-00008A730000}"/>
    <cellStyle name="Positive 3 2 13 5 15 2" xfId="29566" xr:uid="{00000000-0005-0000-0000-00008B730000}"/>
    <cellStyle name="Positive 3 2 13 5 16" xfId="29567" xr:uid="{00000000-0005-0000-0000-00008C730000}"/>
    <cellStyle name="Positive 3 2 13 5 16 2" xfId="29568" xr:uid="{00000000-0005-0000-0000-00008D730000}"/>
    <cellStyle name="Positive 3 2 13 5 17" xfId="29569" xr:uid="{00000000-0005-0000-0000-00008E730000}"/>
    <cellStyle name="Positive 3 2 13 5 2" xfId="29570" xr:uid="{00000000-0005-0000-0000-00008F730000}"/>
    <cellStyle name="Positive 3 2 13 5 2 2" xfId="29571" xr:uid="{00000000-0005-0000-0000-000090730000}"/>
    <cellStyle name="Positive 3 2 13 5 3" xfId="29572" xr:uid="{00000000-0005-0000-0000-000091730000}"/>
    <cellStyle name="Positive 3 2 13 5 3 2" xfId="29573" xr:uid="{00000000-0005-0000-0000-000092730000}"/>
    <cellStyle name="Positive 3 2 13 5 4" xfId="29574" xr:uid="{00000000-0005-0000-0000-000093730000}"/>
    <cellStyle name="Positive 3 2 13 5 4 2" xfId="29575" xr:uid="{00000000-0005-0000-0000-000094730000}"/>
    <cellStyle name="Positive 3 2 13 5 5" xfId="29576" xr:uid="{00000000-0005-0000-0000-000095730000}"/>
    <cellStyle name="Positive 3 2 13 5 5 2" xfId="29577" xr:uid="{00000000-0005-0000-0000-000096730000}"/>
    <cellStyle name="Positive 3 2 13 5 6" xfId="29578" xr:uid="{00000000-0005-0000-0000-000097730000}"/>
    <cellStyle name="Positive 3 2 13 5 6 2" xfId="29579" xr:uid="{00000000-0005-0000-0000-000098730000}"/>
    <cellStyle name="Positive 3 2 13 5 7" xfId="29580" xr:uid="{00000000-0005-0000-0000-000099730000}"/>
    <cellStyle name="Positive 3 2 13 5 7 2" xfId="29581" xr:uid="{00000000-0005-0000-0000-00009A730000}"/>
    <cellStyle name="Positive 3 2 13 5 8" xfId="29582" xr:uid="{00000000-0005-0000-0000-00009B730000}"/>
    <cellStyle name="Positive 3 2 13 5 8 2" xfId="29583" xr:uid="{00000000-0005-0000-0000-00009C730000}"/>
    <cellStyle name="Positive 3 2 13 5 9" xfId="29584" xr:uid="{00000000-0005-0000-0000-00009D730000}"/>
    <cellStyle name="Positive 3 2 13 5 9 2" xfId="29585" xr:uid="{00000000-0005-0000-0000-00009E730000}"/>
    <cellStyle name="Positive 3 2 13 6" xfId="29586" xr:uid="{00000000-0005-0000-0000-00009F730000}"/>
    <cellStyle name="Positive 3 2 13 6 2" xfId="29587" xr:uid="{00000000-0005-0000-0000-0000A0730000}"/>
    <cellStyle name="Positive 3 2 13 6 2 2" xfId="29588" xr:uid="{00000000-0005-0000-0000-0000A1730000}"/>
    <cellStyle name="Positive 3 2 13 6 3" xfId="29589" xr:uid="{00000000-0005-0000-0000-0000A2730000}"/>
    <cellStyle name="Positive 3 2 13 7" xfId="29590" xr:uid="{00000000-0005-0000-0000-0000A3730000}"/>
    <cellStyle name="Positive 3 2 13 7 2" xfId="29591" xr:uid="{00000000-0005-0000-0000-0000A4730000}"/>
    <cellStyle name="Positive 3 2 13 7 2 2" xfId="29592" xr:uid="{00000000-0005-0000-0000-0000A5730000}"/>
    <cellStyle name="Positive 3 2 13 7 3" xfId="29593" xr:uid="{00000000-0005-0000-0000-0000A6730000}"/>
    <cellStyle name="Positive 3 2 13 8" xfId="29594" xr:uid="{00000000-0005-0000-0000-0000A7730000}"/>
    <cellStyle name="Positive 3 2 13 8 2" xfId="29595" xr:uid="{00000000-0005-0000-0000-0000A8730000}"/>
    <cellStyle name="Positive 3 2 13 9" xfId="29596" xr:uid="{00000000-0005-0000-0000-0000A9730000}"/>
    <cellStyle name="Positive 3 2 13 9 2" xfId="29597" xr:uid="{00000000-0005-0000-0000-0000AA730000}"/>
    <cellStyle name="Positive 3 2 14" xfId="29598" xr:uid="{00000000-0005-0000-0000-0000AB730000}"/>
    <cellStyle name="Positive 3 2 14 10" xfId="29599" xr:uid="{00000000-0005-0000-0000-0000AC730000}"/>
    <cellStyle name="Positive 3 2 14 10 2" xfId="29600" xr:uid="{00000000-0005-0000-0000-0000AD730000}"/>
    <cellStyle name="Positive 3 2 14 11" xfId="29601" xr:uid="{00000000-0005-0000-0000-0000AE730000}"/>
    <cellStyle name="Positive 3 2 14 11 2" xfId="29602" xr:uid="{00000000-0005-0000-0000-0000AF730000}"/>
    <cellStyle name="Positive 3 2 14 12" xfId="29603" xr:uid="{00000000-0005-0000-0000-0000B0730000}"/>
    <cellStyle name="Positive 3 2 14 12 2" xfId="29604" xr:uid="{00000000-0005-0000-0000-0000B1730000}"/>
    <cellStyle name="Positive 3 2 14 13" xfId="29605" xr:uid="{00000000-0005-0000-0000-0000B2730000}"/>
    <cellStyle name="Positive 3 2 14 13 2" xfId="29606" xr:uid="{00000000-0005-0000-0000-0000B3730000}"/>
    <cellStyle name="Positive 3 2 14 14" xfId="29607" xr:uid="{00000000-0005-0000-0000-0000B4730000}"/>
    <cellStyle name="Positive 3 2 14 14 2" xfId="29608" xr:uid="{00000000-0005-0000-0000-0000B5730000}"/>
    <cellStyle name="Positive 3 2 14 15" xfId="29609" xr:uid="{00000000-0005-0000-0000-0000B6730000}"/>
    <cellStyle name="Positive 3 2 14 15 2" xfId="29610" xr:uid="{00000000-0005-0000-0000-0000B7730000}"/>
    <cellStyle name="Positive 3 2 14 16" xfId="29611" xr:uid="{00000000-0005-0000-0000-0000B8730000}"/>
    <cellStyle name="Positive 3 2 14 16 2" xfId="29612" xr:uid="{00000000-0005-0000-0000-0000B9730000}"/>
    <cellStyle name="Positive 3 2 14 17" xfId="29613" xr:uid="{00000000-0005-0000-0000-0000BA730000}"/>
    <cellStyle name="Positive 3 2 14 17 2" xfId="29614" xr:uid="{00000000-0005-0000-0000-0000BB730000}"/>
    <cellStyle name="Positive 3 2 14 18" xfId="29615" xr:uid="{00000000-0005-0000-0000-0000BC730000}"/>
    <cellStyle name="Positive 3 2 14 18 2" xfId="29616" xr:uid="{00000000-0005-0000-0000-0000BD730000}"/>
    <cellStyle name="Positive 3 2 14 19" xfId="29617" xr:uid="{00000000-0005-0000-0000-0000BE730000}"/>
    <cellStyle name="Positive 3 2 14 19 2" xfId="29618" xr:uid="{00000000-0005-0000-0000-0000BF730000}"/>
    <cellStyle name="Positive 3 2 14 2" xfId="29619" xr:uid="{00000000-0005-0000-0000-0000C0730000}"/>
    <cellStyle name="Positive 3 2 14 2 10" xfId="29620" xr:uid="{00000000-0005-0000-0000-0000C1730000}"/>
    <cellStyle name="Positive 3 2 14 2 10 2" xfId="29621" xr:uid="{00000000-0005-0000-0000-0000C2730000}"/>
    <cellStyle name="Positive 3 2 14 2 11" xfId="29622" xr:uid="{00000000-0005-0000-0000-0000C3730000}"/>
    <cellStyle name="Positive 3 2 14 2 11 2" xfId="29623" xr:uid="{00000000-0005-0000-0000-0000C4730000}"/>
    <cellStyle name="Positive 3 2 14 2 12" xfId="29624" xr:uid="{00000000-0005-0000-0000-0000C5730000}"/>
    <cellStyle name="Positive 3 2 14 2 12 2" xfId="29625" xr:uid="{00000000-0005-0000-0000-0000C6730000}"/>
    <cellStyle name="Positive 3 2 14 2 13" xfId="29626" xr:uid="{00000000-0005-0000-0000-0000C7730000}"/>
    <cellStyle name="Positive 3 2 14 2 13 2" xfId="29627" xr:uid="{00000000-0005-0000-0000-0000C8730000}"/>
    <cellStyle name="Positive 3 2 14 2 14" xfId="29628" xr:uid="{00000000-0005-0000-0000-0000C9730000}"/>
    <cellStyle name="Positive 3 2 14 2 14 2" xfId="29629" xr:uid="{00000000-0005-0000-0000-0000CA730000}"/>
    <cellStyle name="Positive 3 2 14 2 15" xfId="29630" xr:uid="{00000000-0005-0000-0000-0000CB730000}"/>
    <cellStyle name="Positive 3 2 14 2 15 2" xfId="29631" xr:uid="{00000000-0005-0000-0000-0000CC730000}"/>
    <cellStyle name="Positive 3 2 14 2 16" xfId="29632" xr:uid="{00000000-0005-0000-0000-0000CD730000}"/>
    <cellStyle name="Positive 3 2 14 2 16 2" xfId="29633" xr:uid="{00000000-0005-0000-0000-0000CE730000}"/>
    <cellStyle name="Positive 3 2 14 2 17" xfId="29634" xr:uid="{00000000-0005-0000-0000-0000CF730000}"/>
    <cellStyle name="Positive 3 2 14 2 17 2" xfId="29635" xr:uid="{00000000-0005-0000-0000-0000D0730000}"/>
    <cellStyle name="Positive 3 2 14 2 18" xfId="29636" xr:uid="{00000000-0005-0000-0000-0000D1730000}"/>
    <cellStyle name="Positive 3 2 14 2 18 2" xfId="29637" xr:uid="{00000000-0005-0000-0000-0000D2730000}"/>
    <cellStyle name="Positive 3 2 14 2 19" xfId="29638" xr:uid="{00000000-0005-0000-0000-0000D3730000}"/>
    <cellStyle name="Positive 3 2 14 2 19 2" xfId="29639" xr:uid="{00000000-0005-0000-0000-0000D4730000}"/>
    <cellStyle name="Positive 3 2 14 2 2" xfId="29640" xr:uid="{00000000-0005-0000-0000-0000D5730000}"/>
    <cellStyle name="Positive 3 2 14 2 2 10" xfId="29641" xr:uid="{00000000-0005-0000-0000-0000D6730000}"/>
    <cellStyle name="Positive 3 2 14 2 2 10 2" xfId="29642" xr:uid="{00000000-0005-0000-0000-0000D7730000}"/>
    <cellStyle name="Positive 3 2 14 2 2 11" xfId="29643" xr:uid="{00000000-0005-0000-0000-0000D8730000}"/>
    <cellStyle name="Positive 3 2 14 2 2 11 2" xfId="29644" xr:uid="{00000000-0005-0000-0000-0000D9730000}"/>
    <cellStyle name="Positive 3 2 14 2 2 12" xfId="29645" xr:uid="{00000000-0005-0000-0000-0000DA730000}"/>
    <cellStyle name="Positive 3 2 14 2 2 12 2" xfId="29646" xr:uid="{00000000-0005-0000-0000-0000DB730000}"/>
    <cellStyle name="Positive 3 2 14 2 2 13" xfId="29647" xr:uid="{00000000-0005-0000-0000-0000DC730000}"/>
    <cellStyle name="Positive 3 2 14 2 2 13 2" xfId="29648" xr:uid="{00000000-0005-0000-0000-0000DD730000}"/>
    <cellStyle name="Positive 3 2 14 2 2 14" xfId="29649" xr:uid="{00000000-0005-0000-0000-0000DE730000}"/>
    <cellStyle name="Positive 3 2 14 2 2 14 2" xfId="29650" xr:uid="{00000000-0005-0000-0000-0000DF730000}"/>
    <cellStyle name="Positive 3 2 14 2 2 15" xfId="29651" xr:uid="{00000000-0005-0000-0000-0000E0730000}"/>
    <cellStyle name="Positive 3 2 14 2 2 15 2" xfId="29652" xr:uid="{00000000-0005-0000-0000-0000E1730000}"/>
    <cellStyle name="Positive 3 2 14 2 2 16" xfId="29653" xr:uid="{00000000-0005-0000-0000-0000E2730000}"/>
    <cellStyle name="Positive 3 2 14 2 2 16 2" xfId="29654" xr:uid="{00000000-0005-0000-0000-0000E3730000}"/>
    <cellStyle name="Positive 3 2 14 2 2 17" xfId="29655" xr:uid="{00000000-0005-0000-0000-0000E4730000}"/>
    <cellStyle name="Positive 3 2 14 2 2 2" xfId="29656" xr:uid="{00000000-0005-0000-0000-0000E5730000}"/>
    <cellStyle name="Positive 3 2 14 2 2 2 2" xfId="29657" xr:uid="{00000000-0005-0000-0000-0000E6730000}"/>
    <cellStyle name="Positive 3 2 14 2 2 3" xfId="29658" xr:uid="{00000000-0005-0000-0000-0000E7730000}"/>
    <cellStyle name="Positive 3 2 14 2 2 3 2" xfId="29659" xr:uid="{00000000-0005-0000-0000-0000E8730000}"/>
    <cellStyle name="Positive 3 2 14 2 2 4" xfId="29660" xr:uid="{00000000-0005-0000-0000-0000E9730000}"/>
    <cellStyle name="Positive 3 2 14 2 2 4 2" xfId="29661" xr:uid="{00000000-0005-0000-0000-0000EA730000}"/>
    <cellStyle name="Positive 3 2 14 2 2 5" xfId="29662" xr:uid="{00000000-0005-0000-0000-0000EB730000}"/>
    <cellStyle name="Positive 3 2 14 2 2 5 2" xfId="29663" xr:uid="{00000000-0005-0000-0000-0000EC730000}"/>
    <cellStyle name="Positive 3 2 14 2 2 6" xfId="29664" xr:uid="{00000000-0005-0000-0000-0000ED730000}"/>
    <cellStyle name="Positive 3 2 14 2 2 6 2" xfId="29665" xr:uid="{00000000-0005-0000-0000-0000EE730000}"/>
    <cellStyle name="Positive 3 2 14 2 2 7" xfId="29666" xr:uid="{00000000-0005-0000-0000-0000EF730000}"/>
    <cellStyle name="Positive 3 2 14 2 2 7 2" xfId="29667" xr:uid="{00000000-0005-0000-0000-0000F0730000}"/>
    <cellStyle name="Positive 3 2 14 2 2 8" xfId="29668" xr:uid="{00000000-0005-0000-0000-0000F1730000}"/>
    <cellStyle name="Positive 3 2 14 2 2 8 2" xfId="29669" xr:uid="{00000000-0005-0000-0000-0000F2730000}"/>
    <cellStyle name="Positive 3 2 14 2 2 9" xfId="29670" xr:uid="{00000000-0005-0000-0000-0000F3730000}"/>
    <cellStyle name="Positive 3 2 14 2 2 9 2" xfId="29671" xr:uid="{00000000-0005-0000-0000-0000F4730000}"/>
    <cellStyle name="Positive 3 2 14 2 20" xfId="29672" xr:uid="{00000000-0005-0000-0000-0000F5730000}"/>
    <cellStyle name="Positive 3 2 14 2 3" xfId="29673" xr:uid="{00000000-0005-0000-0000-0000F6730000}"/>
    <cellStyle name="Positive 3 2 14 2 3 2" xfId="29674" xr:uid="{00000000-0005-0000-0000-0000F7730000}"/>
    <cellStyle name="Positive 3 2 14 2 3 2 2" xfId="29675" xr:uid="{00000000-0005-0000-0000-0000F8730000}"/>
    <cellStyle name="Positive 3 2 14 2 3 3" xfId="29676" xr:uid="{00000000-0005-0000-0000-0000F9730000}"/>
    <cellStyle name="Positive 3 2 14 2 4" xfId="29677" xr:uid="{00000000-0005-0000-0000-0000FA730000}"/>
    <cellStyle name="Positive 3 2 14 2 4 2" xfId="29678" xr:uid="{00000000-0005-0000-0000-0000FB730000}"/>
    <cellStyle name="Positive 3 2 14 2 4 2 2" xfId="29679" xr:uid="{00000000-0005-0000-0000-0000FC730000}"/>
    <cellStyle name="Positive 3 2 14 2 4 3" xfId="29680" xr:uid="{00000000-0005-0000-0000-0000FD730000}"/>
    <cellStyle name="Positive 3 2 14 2 5" xfId="29681" xr:uid="{00000000-0005-0000-0000-0000FE730000}"/>
    <cellStyle name="Positive 3 2 14 2 5 2" xfId="29682" xr:uid="{00000000-0005-0000-0000-0000FF730000}"/>
    <cellStyle name="Positive 3 2 14 2 6" xfId="29683" xr:uid="{00000000-0005-0000-0000-000000740000}"/>
    <cellStyle name="Positive 3 2 14 2 6 2" xfId="29684" xr:uid="{00000000-0005-0000-0000-000001740000}"/>
    <cellStyle name="Positive 3 2 14 2 7" xfId="29685" xr:uid="{00000000-0005-0000-0000-000002740000}"/>
    <cellStyle name="Positive 3 2 14 2 7 2" xfId="29686" xr:uid="{00000000-0005-0000-0000-000003740000}"/>
    <cellStyle name="Positive 3 2 14 2 8" xfId="29687" xr:uid="{00000000-0005-0000-0000-000004740000}"/>
    <cellStyle name="Positive 3 2 14 2 8 2" xfId="29688" xr:uid="{00000000-0005-0000-0000-000005740000}"/>
    <cellStyle name="Positive 3 2 14 2 9" xfId="29689" xr:uid="{00000000-0005-0000-0000-000006740000}"/>
    <cellStyle name="Positive 3 2 14 2 9 2" xfId="29690" xr:uid="{00000000-0005-0000-0000-000007740000}"/>
    <cellStyle name="Positive 3 2 14 20" xfId="29691" xr:uid="{00000000-0005-0000-0000-000008740000}"/>
    <cellStyle name="Positive 3 2 14 20 2" xfId="29692" xr:uid="{00000000-0005-0000-0000-000009740000}"/>
    <cellStyle name="Positive 3 2 14 21" xfId="29693" xr:uid="{00000000-0005-0000-0000-00000A740000}"/>
    <cellStyle name="Positive 3 2 14 21 2" xfId="29694" xr:uid="{00000000-0005-0000-0000-00000B740000}"/>
    <cellStyle name="Positive 3 2 14 22" xfId="29695" xr:uid="{00000000-0005-0000-0000-00000C740000}"/>
    <cellStyle name="Positive 3 2 14 22 2" xfId="29696" xr:uid="{00000000-0005-0000-0000-00000D740000}"/>
    <cellStyle name="Positive 3 2 14 23" xfId="29697" xr:uid="{00000000-0005-0000-0000-00000E740000}"/>
    <cellStyle name="Positive 3 2 14 3" xfId="29698" xr:uid="{00000000-0005-0000-0000-00000F740000}"/>
    <cellStyle name="Positive 3 2 14 3 10" xfId="29699" xr:uid="{00000000-0005-0000-0000-000010740000}"/>
    <cellStyle name="Positive 3 2 14 3 10 2" xfId="29700" xr:uid="{00000000-0005-0000-0000-000011740000}"/>
    <cellStyle name="Positive 3 2 14 3 11" xfId="29701" xr:uid="{00000000-0005-0000-0000-000012740000}"/>
    <cellStyle name="Positive 3 2 14 3 11 2" xfId="29702" xr:uid="{00000000-0005-0000-0000-000013740000}"/>
    <cellStyle name="Positive 3 2 14 3 12" xfId="29703" xr:uid="{00000000-0005-0000-0000-000014740000}"/>
    <cellStyle name="Positive 3 2 14 3 12 2" xfId="29704" xr:uid="{00000000-0005-0000-0000-000015740000}"/>
    <cellStyle name="Positive 3 2 14 3 13" xfId="29705" xr:uid="{00000000-0005-0000-0000-000016740000}"/>
    <cellStyle name="Positive 3 2 14 3 13 2" xfId="29706" xr:uid="{00000000-0005-0000-0000-000017740000}"/>
    <cellStyle name="Positive 3 2 14 3 14" xfId="29707" xr:uid="{00000000-0005-0000-0000-000018740000}"/>
    <cellStyle name="Positive 3 2 14 3 14 2" xfId="29708" xr:uid="{00000000-0005-0000-0000-000019740000}"/>
    <cellStyle name="Positive 3 2 14 3 15" xfId="29709" xr:uid="{00000000-0005-0000-0000-00001A740000}"/>
    <cellStyle name="Positive 3 2 14 3 15 2" xfId="29710" xr:uid="{00000000-0005-0000-0000-00001B740000}"/>
    <cellStyle name="Positive 3 2 14 3 16" xfId="29711" xr:uid="{00000000-0005-0000-0000-00001C740000}"/>
    <cellStyle name="Positive 3 2 14 3 16 2" xfId="29712" xr:uid="{00000000-0005-0000-0000-00001D740000}"/>
    <cellStyle name="Positive 3 2 14 3 17" xfId="29713" xr:uid="{00000000-0005-0000-0000-00001E740000}"/>
    <cellStyle name="Positive 3 2 14 3 17 2" xfId="29714" xr:uid="{00000000-0005-0000-0000-00001F740000}"/>
    <cellStyle name="Positive 3 2 14 3 18" xfId="29715" xr:uid="{00000000-0005-0000-0000-000020740000}"/>
    <cellStyle name="Positive 3 2 14 3 18 2" xfId="29716" xr:uid="{00000000-0005-0000-0000-000021740000}"/>
    <cellStyle name="Positive 3 2 14 3 19" xfId="29717" xr:uid="{00000000-0005-0000-0000-000022740000}"/>
    <cellStyle name="Positive 3 2 14 3 19 2" xfId="29718" xr:uid="{00000000-0005-0000-0000-000023740000}"/>
    <cellStyle name="Positive 3 2 14 3 2" xfId="29719" xr:uid="{00000000-0005-0000-0000-000024740000}"/>
    <cellStyle name="Positive 3 2 14 3 2 10" xfId="29720" xr:uid="{00000000-0005-0000-0000-000025740000}"/>
    <cellStyle name="Positive 3 2 14 3 2 10 2" xfId="29721" xr:uid="{00000000-0005-0000-0000-000026740000}"/>
    <cellStyle name="Positive 3 2 14 3 2 11" xfId="29722" xr:uid="{00000000-0005-0000-0000-000027740000}"/>
    <cellStyle name="Positive 3 2 14 3 2 11 2" xfId="29723" xr:uid="{00000000-0005-0000-0000-000028740000}"/>
    <cellStyle name="Positive 3 2 14 3 2 12" xfId="29724" xr:uid="{00000000-0005-0000-0000-000029740000}"/>
    <cellStyle name="Positive 3 2 14 3 2 12 2" xfId="29725" xr:uid="{00000000-0005-0000-0000-00002A740000}"/>
    <cellStyle name="Positive 3 2 14 3 2 13" xfId="29726" xr:uid="{00000000-0005-0000-0000-00002B740000}"/>
    <cellStyle name="Positive 3 2 14 3 2 13 2" xfId="29727" xr:uid="{00000000-0005-0000-0000-00002C740000}"/>
    <cellStyle name="Positive 3 2 14 3 2 14" xfId="29728" xr:uid="{00000000-0005-0000-0000-00002D740000}"/>
    <cellStyle name="Positive 3 2 14 3 2 14 2" xfId="29729" xr:uid="{00000000-0005-0000-0000-00002E740000}"/>
    <cellStyle name="Positive 3 2 14 3 2 15" xfId="29730" xr:uid="{00000000-0005-0000-0000-00002F740000}"/>
    <cellStyle name="Positive 3 2 14 3 2 15 2" xfId="29731" xr:uid="{00000000-0005-0000-0000-000030740000}"/>
    <cellStyle name="Positive 3 2 14 3 2 16" xfId="29732" xr:uid="{00000000-0005-0000-0000-000031740000}"/>
    <cellStyle name="Positive 3 2 14 3 2 16 2" xfId="29733" xr:uid="{00000000-0005-0000-0000-000032740000}"/>
    <cellStyle name="Positive 3 2 14 3 2 17" xfId="29734" xr:uid="{00000000-0005-0000-0000-000033740000}"/>
    <cellStyle name="Positive 3 2 14 3 2 2" xfId="29735" xr:uid="{00000000-0005-0000-0000-000034740000}"/>
    <cellStyle name="Positive 3 2 14 3 2 2 2" xfId="29736" xr:uid="{00000000-0005-0000-0000-000035740000}"/>
    <cellStyle name="Positive 3 2 14 3 2 3" xfId="29737" xr:uid="{00000000-0005-0000-0000-000036740000}"/>
    <cellStyle name="Positive 3 2 14 3 2 3 2" xfId="29738" xr:uid="{00000000-0005-0000-0000-000037740000}"/>
    <cellStyle name="Positive 3 2 14 3 2 4" xfId="29739" xr:uid="{00000000-0005-0000-0000-000038740000}"/>
    <cellStyle name="Positive 3 2 14 3 2 4 2" xfId="29740" xr:uid="{00000000-0005-0000-0000-000039740000}"/>
    <cellStyle name="Positive 3 2 14 3 2 5" xfId="29741" xr:uid="{00000000-0005-0000-0000-00003A740000}"/>
    <cellStyle name="Positive 3 2 14 3 2 5 2" xfId="29742" xr:uid="{00000000-0005-0000-0000-00003B740000}"/>
    <cellStyle name="Positive 3 2 14 3 2 6" xfId="29743" xr:uid="{00000000-0005-0000-0000-00003C740000}"/>
    <cellStyle name="Positive 3 2 14 3 2 6 2" xfId="29744" xr:uid="{00000000-0005-0000-0000-00003D740000}"/>
    <cellStyle name="Positive 3 2 14 3 2 7" xfId="29745" xr:uid="{00000000-0005-0000-0000-00003E740000}"/>
    <cellStyle name="Positive 3 2 14 3 2 7 2" xfId="29746" xr:uid="{00000000-0005-0000-0000-00003F740000}"/>
    <cellStyle name="Positive 3 2 14 3 2 8" xfId="29747" xr:uid="{00000000-0005-0000-0000-000040740000}"/>
    <cellStyle name="Positive 3 2 14 3 2 8 2" xfId="29748" xr:uid="{00000000-0005-0000-0000-000041740000}"/>
    <cellStyle name="Positive 3 2 14 3 2 9" xfId="29749" xr:uid="{00000000-0005-0000-0000-000042740000}"/>
    <cellStyle name="Positive 3 2 14 3 2 9 2" xfId="29750" xr:uid="{00000000-0005-0000-0000-000043740000}"/>
    <cellStyle name="Positive 3 2 14 3 20" xfId="29751" xr:uid="{00000000-0005-0000-0000-000044740000}"/>
    <cellStyle name="Positive 3 2 14 3 3" xfId="29752" xr:uid="{00000000-0005-0000-0000-000045740000}"/>
    <cellStyle name="Positive 3 2 14 3 3 2" xfId="29753" xr:uid="{00000000-0005-0000-0000-000046740000}"/>
    <cellStyle name="Positive 3 2 14 3 3 2 2" xfId="29754" xr:uid="{00000000-0005-0000-0000-000047740000}"/>
    <cellStyle name="Positive 3 2 14 3 3 3" xfId="29755" xr:uid="{00000000-0005-0000-0000-000048740000}"/>
    <cellStyle name="Positive 3 2 14 3 4" xfId="29756" xr:uid="{00000000-0005-0000-0000-000049740000}"/>
    <cellStyle name="Positive 3 2 14 3 4 2" xfId="29757" xr:uid="{00000000-0005-0000-0000-00004A740000}"/>
    <cellStyle name="Positive 3 2 14 3 4 2 2" xfId="29758" xr:uid="{00000000-0005-0000-0000-00004B740000}"/>
    <cellStyle name="Positive 3 2 14 3 4 3" xfId="29759" xr:uid="{00000000-0005-0000-0000-00004C740000}"/>
    <cellStyle name="Positive 3 2 14 3 5" xfId="29760" xr:uid="{00000000-0005-0000-0000-00004D740000}"/>
    <cellStyle name="Positive 3 2 14 3 5 2" xfId="29761" xr:uid="{00000000-0005-0000-0000-00004E740000}"/>
    <cellStyle name="Positive 3 2 14 3 6" xfId="29762" xr:uid="{00000000-0005-0000-0000-00004F740000}"/>
    <cellStyle name="Positive 3 2 14 3 6 2" xfId="29763" xr:uid="{00000000-0005-0000-0000-000050740000}"/>
    <cellStyle name="Positive 3 2 14 3 7" xfId="29764" xr:uid="{00000000-0005-0000-0000-000051740000}"/>
    <cellStyle name="Positive 3 2 14 3 7 2" xfId="29765" xr:uid="{00000000-0005-0000-0000-000052740000}"/>
    <cellStyle name="Positive 3 2 14 3 8" xfId="29766" xr:uid="{00000000-0005-0000-0000-000053740000}"/>
    <cellStyle name="Positive 3 2 14 3 8 2" xfId="29767" xr:uid="{00000000-0005-0000-0000-000054740000}"/>
    <cellStyle name="Positive 3 2 14 3 9" xfId="29768" xr:uid="{00000000-0005-0000-0000-000055740000}"/>
    <cellStyle name="Positive 3 2 14 3 9 2" xfId="29769" xr:uid="{00000000-0005-0000-0000-000056740000}"/>
    <cellStyle name="Positive 3 2 14 4" xfId="29770" xr:uid="{00000000-0005-0000-0000-000057740000}"/>
    <cellStyle name="Positive 3 2 14 4 10" xfId="29771" xr:uid="{00000000-0005-0000-0000-000058740000}"/>
    <cellStyle name="Positive 3 2 14 4 10 2" xfId="29772" xr:uid="{00000000-0005-0000-0000-000059740000}"/>
    <cellStyle name="Positive 3 2 14 4 11" xfId="29773" xr:uid="{00000000-0005-0000-0000-00005A740000}"/>
    <cellStyle name="Positive 3 2 14 4 11 2" xfId="29774" xr:uid="{00000000-0005-0000-0000-00005B740000}"/>
    <cellStyle name="Positive 3 2 14 4 12" xfId="29775" xr:uid="{00000000-0005-0000-0000-00005C740000}"/>
    <cellStyle name="Positive 3 2 14 4 12 2" xfId="29776" xr:uid="{00000000-0005-0000-0000-00005D740000}"/>
    <cellStyle name="Positive 3 2 14 4 13" xfId="29777" xr:uid="{00000000-0005-0000-0000-00005E740000}"/>
    <cellStyle name="Positive 3 2 14 4 13 2" xfId="29778" xr:uid="{00000000-0005-0000-0000-00005F740000}"/>
    <cellStyle name="Positive 3 2 14 4 14" xfId="29779" xr:uid="{00000000-0005-0000-0000-000060740000}"/>
    <cellStyle name="Positive 3 2 14 4 14 2" xfId="29780" xr:uid="{00000000-0005-0000-0000-000061740000}"/>
    <cellStyle name="Positive 3 2 14 4 15" xfId="29781" xr:uid="{00000000-0005-0000-0000-000062740000}"/>
    <cellStyle name="Positive 3 2 14 4 15 2" xfId="29782" xr:uid="{00000000-0005-0000-0000-000063740000}"/>
    <cellStyle name="Positive 3 2 14 4 16" xfId="29783" xr:uid="{00000000-0005-0000-0000-000064740000}"/>
    <cellStyle name="Positive 3 2 14 4 16 2" xfId="29784" xr:uid="{00000000-0005-0000-0000-000065740000}"/>
    <cellStyle name="Positive 3 2 14 4 17" xfId="29785" xr:uid="{00000000-0005-0000-0000-000066740000}"/>
    <cellStyle name="Positive 3 2 14 4 17 2" xfId="29786" xr:uid="{00000000-0005-0000-0000-000067740000}"/>
    <cellStyle name="Positive 3 2 14 4 18" xfId="29787" xr:uid="{00000000-0005-0000-0000-000068740000}"/>
    <cellStyle name="Positive 3 2 14 4 18 2" xfId="29788" xr:uid="{00000000-0005-0000-0000-000069740000}"/>
    <cellStyle name="Positive 3 2 14 4 19" xfId="29789" xr:uid="{00000000-0005-0000-0000-00006A740000}"/>
    <cellStyle name="Positive 3 2 14 4 19 2" xfId="29790" xr:uid="{00000000-0005-0000-0000-00006B740000}"/>
    <cellStyle name="Positive 3 2 14 4 2" xfId="29791" xr:uid="{00000000-0005-0000-0000-00006C740000}"/>
    <cellStyle name="Positive 3 2 14 4 2 10" xfId="29792" xr:uid="{00000000-0005-0000-0000-00006D740000}"/>
    <cellStyle name="Positive 3 2 14 4 2 10 2" xfId="29793" xr:uid="{00000000-0005-0000-0000-00006E740000}"/>
    <cellStyle name="Positive 3 2 14 4 2 11" xfId="29794" xr:uid="{00000000-0005-0000-0000-00006F740000}"/>
    <cellStyle name="Positive 3 2 14 4 2 11 2" xfId="29795" xr:uid="{00000000-0005-0000-0000-000070740000}"/>
    <cellStyle name="Positive 3 2 14 4 2 12" xfId="29796" xr:uid="{00000000-0005-0000-0000-000071740000}"/>
    <cellStyle name="Positive 3 2 14 4 2 12 2" xfId="29797" xr:uid="{00000000-0005-0000-0000-000072740000}"/>
    <cellStyle name="Positive 3 2 14 4 2 13" xfId="29798" xr:uid="{00000000-0005-0000-0000-000073740000}"/>
    <cellStyle name="Positive 3 2 14 4 2 13 2" xfId="29799" xr:uid="{00000000-0005-0000-0000-000074740000}"/>
    <cellStyle name="Positive 3 2 14 4 2 14" xfId="29800" xr:uid="{00000000-0005-0000-0000-000075740000}"/>
    <cellStyle name="Positive 3 2 14 4 2 14 2" xfId="29801" xr:uid="{00000000-0005-0000-0000-000076740000}"/>
    <cellStyle name="Positive 3 2 14 4 2 15" xfId="29802" xr:uid="{00000000-0005-0000-0000-000077740000}"/>
    <cellStyle name="Positive 3 2 14 4 2 15 2" xfId="29803" xr:uid="{00000000-0005-0000-0000-000078740000}"/>
    <cellStyle name="Positive 3 2 14 4 2 16" xfId="29804" xr:uid="{00000000-0005-0000-0000-000079740000}"/>
    <cellStyle name="Positive 3 2 14 4 2 16 2" xfId="29805" xr:uid="{00000000-0005-0000-0000-00007A740000}"/>
    <cellStyle name="Positive 3 2 14 4 2 17" xfId="29806" xr:uid="{00000000-0005-0000-0000-00007B740000}"/>
    <cellStyle name="Positive 3 2 14 4 2 2" xfId="29807" xr:uid="{00000000-0005-0000-0000-00007C740000}"/>
    <cellStyle name="Positive 3 2 14 4 2 2 2" xfId="29808" xr:uid="{00000000-0005-0000-0000-00007D740000}"/>
    <cellStyle name="Positive 3 2 14 4 2 3" xfId="29809" xr:uid="{00000000-0005-0000-0000-00007E740000}"/>
    <cellStyle name="Positive 3 2 14 4 2 3 2" xfId="29810" xr:uid="{00000000-0005-0000-0000-00007F740000}"/>
    <cellStyle name="Positive 3 2 14 4 2 4" xfId="29811" xr:uid="{00000000-0005-0000-0000-000080740000}"/>
    <cellStyle name="Positive 3 2 14 4 2 4 2" xfId="29812" xr:uid="{00000000-0005-0000-0000-000081740000}"/>
    <cellStyle name="Positive 3 2 14 4 2 5" xfId="29813" xr:uid="{00000000-0005-0000-0000-000082740000}"/>
    <cellStyle name="Positive 3 2 14 4 2 5 2" xfId="29814" xr:uid="{00000000-0005-0000-0000-000083740000}"/>
    <cellStyle name="Positive 3 2 14 4 2 6" xfId="29815" xr:uid="{00000000-0005-0000-0000-000084740000}"/>
    <cellStyle name="Positive 3 2 14 4 2 6 2" xfId="29816" xr:uid="{00000000-0005-0000-0000-000085740000}"/>
    <cellStyle name="Positive 3 2 14 4 2 7" xfId="29817" xr:uid="{00000000-0005-0000-0000-000086740000}"/>
    <cellStyle name="Positive 3 2 14 4 2 7 2" xfId="29818" xr:uid="{00000000-0005-0000-0000-000087740000}"/>
    <cellStyle name="Positive 3 2 14 4 2 8" xfId="29819" xr:uid="{00000000-0005-0000-0000-000088740000}"/>
    <cellStyle name="Positive 3 2 14 4 2 8 2" xfId="29820" xr:uid="{00000000-0005-0000-0000-000089740000}"/>
    <cellStyle name="Positive 3 2 14 4 2 9" xfId="29821" xr:uid="{00000000-0005-0000-0000-00008A740000}"/>
    <cellStyle name="Positive 3 2 14 4 2 9 2" xfId="29822" xr:uid="{00000000-0005-0000-0000-00008B740000}"/>
    <cellStyle name="Positive 3 2 14 4 20" xfId="29823" xr:uid="{00000000-0005-0000-0000-00008C740000}"/>
    <cellStyle name="Positive 3 2 14 4 3" xfId="29824" xr:uid="{00000000-0005-0000-0000-00008D740000}"/>
    <cellStyle name="Positive 3 2 14 4 3 2" xfId="29825" xr:uid="{00000000-0005-0000-0000-00008E740000}"/>
    <cellStyle name="Positive 3 2 14 4 3 2 2" xfId="29826" xr:uid="{00000000-0005-0000-0000-00008F740000}"/>
    <cellStyle name="Positive 3 2 14 4 3 3" xfId="29827" xr:uid="{00000000-0005-0000-0000-000090740000}"/>
    <cellStyle name="Positive 3 2 14 4 4" xfId="29828" xr:uid="{00000000-0005-0000-0000-000091740000}"/>
    <cellStyle name="Positive 3 2 14 4 4 2" xfId="29829" xr:uid="{00000000-0005-0000-0000-000092740000}"/>
    <cellStyle name="Positive 3 2 14 4 4 2 2" xfId="29830" xr:uid="{00000000-0005-0000-0000-000093740000}"/>
    <cellStyle name="Positive 3 2 14 4 4 3" xfId="29831" xr:uid="{00000000-0005-0000-0000-000094740000}"/>
    <cellStyle name="Positive 3 2 14 4 5" xfId="29832" xr:uid="{00000000-0005-0000-0000-000095740000}"/>
    <cellStyle name="Positive 3 2 14 4 5 2" xfId="29833" xr:uid="{00000000-0005-0000-0000-000096740000}"/>
    <cellStyle name="Positive 3 2 14 4 6" xfId="29834" xr:uid="{00000000-0005-0000-0000-000097740000}"/>
    <cellStyle name="Positive 3 2 14 4 6 2" xfId="29835" xr:uid="{00000000-0005-0000-0000-000098740000}"/>
    <cellStyle name="Positive 3 2 14 4 7" xfId="29836" xr:uid="{00000000-0005-0000-0000-000099740000}"/>
    <cellStyle name="Positive 3 2 14 4 7 2" xfId="29837" xr:uid="{00000000-0005-0000-0000-00009A740000}"/>
    <cellStyle name="Positive 3 2 14 4 8" xfId="29838" xr:uid="{00000000-0005-0000-0000-00009B740000}"/>
    <cellStyle name="Positive 3 2 14 4 8 2" xfId="29839" xr:uid="{00000000-0005-0000-0000-00009C740000}"/>
    <cellStyle name="Positive 3 2 14 4 9" xfId="29840" xr:uid="{00000000-0005-0000-0000-00009D740000}"/>
    <cellStyle name="Positive 3 2 14 4 9 2" xfId="29841" xr:uid="{00000000-0005-0000-0000-00009E740000}"/>
    <cellStyle name="Positive 3 2 14 5" xfId="29842" xr:uid="{00000000-0005-0000-0000-00009F740000}"/>
    <cellStyle name="Positive 3 2 14 5 10" xfId="29843" xr:uid="{00000000-0005-0000-0000-0000A0740000}"/>
    <cellStyle name="Positive 3 2 14 5 10 2" xfId="29844" xr:uid="{00000000-0005-0000-0000-0000A1740000}"/>
    <cellStyle name="Positive 3 2 14 5 11" xfId="29845" xr:uid="{00000000-0005-0000-0000-0000A2740000}"/>
    <cellStyle name="Positive 3 2 14 5 11 2" xfId="29846" xr:uid="{00000000-0005-0000-0000-0000A3740000}"/>
    <cellStyle name="Positive 3 2 14 5 12" xfId="29847" xr:uid="{00000000-0005-0000-0000-0000A4740000}"/>
    <cellStyle name="Positive 3 2 14 5 12 2" xfId="29848" xr:uid="{00000000-0005-0000-0000-0000A5740000}"/>
    <cellStyle name="Positive 3 2 14 5 13" xfId="29849" xr:uid="{00000000-0005-0000-0000-0000A6740000}"/>
    <cellStyle name="Positive 3 2 14 5 13 2" xfId="29850" xr:uid="{00000000-0005-0000-0000-0000A7740000}"/>
    <cellStyle name="Positive 3 2 14 5 14" xfId="29851" xr:uid="{00000000-0005-0000-0000-0000A8740000}"/>
    <cellStyle name="Positive 3 2 14 5 14 2" xfId="29852" xr:uid="{00000000-0005-0000-0000-0000A9740000}"/>
    <cellStyle name="Positive 3 2 14 5 15" xfId="29853" xr:uid="{00000000-0005-0000-0000-0000AA740000}"/>
    <cellStyle name="Positive 3 2 14 5 15 2" xfId="29854" xr:uid="{00000000-0005-0000-0000-0000AB740000}"/>
    <cellStyle name="Positive 3 2 14 5 16" xfId="29855" xr:uid="{00000000-0005-0000-0000-0000AC740000}"/>
    <cellStyle name="Positive 3 2 14 5 16 2" xfId="29856" xr:uid="{00000000-0005-0000-0000-0000AD740000}"/>
    <cellStyle name="Positive 3 2 14 5 17" xfId="29857" xr:uid="{00000000-0005-0000-0000-0000AE740000}"/>
    <cellStyle name="Positive 3 2 14 5 2" xfId="29858" xr:uid="{00000000-0005-0000-0000-0000AF740000}"/>
    <cellStyle name="Positive 3 2 14 5 2 2" xfId="29859" xr:uid="{00000000-0005-0000-0000-0000B0740000}"/>
    <cellStyle name="Positive 3 2 14 5 3" xfId="29860" xr:uid="{00000000-0005-0000-0000-0000B1740000}"/>
    <cellStyle name="Positive 3 2 14 5 3 2" xfId="29861" xr:uid="{00000000-0005-0000-0000-0000B2740000}"/>
    <cellStyle name="Positive 3 2 14 5 4" xfId="29862" xr:uid="{00000000-0005-0000-0000-0000B3740000}"/>
    <cellStyle name="Positive 3 2 14 5 4 2" xfId="29863" xr:uid="{00000000-0005-0000-0000-0000B4740000}"/>
    <cellStyle name="Positive 3 2 14 5 5" xfId="29864" xr:uid="{00000000-0005-0000-0000-0000B5740000}"/>
    <cellStyle name="Positive 3 2 14 5 5 2" xfId="29865" xr:uid="{00000000-0005-0000-0000-0000B6740000}"/>
    <cellStyle name="Positive 3 2 14 5 6" xfId="29866" xr:uid="{00000000-0005-0000-0000-0000B7740000}"/>
    <cellStyle name="Positive 3 2 14 5 6 2" xfId="29867" xr:uid="{00000000-0005-0000-0000-0000B8740000}"/>
    <cellStyle name="Positive 3 2 14 5 7" xfId="29868" xr:uid="{00000000-0005-0000-0000-0000B9740000}"/>
    <cellStyle name="Positive 3 2 14 5 7 2" xfId="29869" xr:uid="{00000000-0005-0000-0000-0000BA740000}"/>
    <cellStyle name="Positive 3 2 14 5 8" xfId="29870" xr:uid="{00000000-0005-0000-0000-0000BB740000}"/>
    <cellStyle name="Positive 3 2 14 5 8 2" xfId="29871" xr:uid="{00000000-0005-0000-0000-0000BC740000}"/>
    <cellStyle name="Positive 3 2 14 5 9" xfId="29872" xr:uid="{00000000-0005-0000-0000-0000BD740000}"/>
    <cellStyle name="Positive 3 2 14 5 9 2" xfId="29873" xr:uid="{00000000-0005-0000-0000-0000BE740000}"/>
    <cellStyle name="Positive 3 2 14 6" xfId="29874" xr:uid="{00000000-0005-0000-0000-0000BF740000}"/>
    <cellStyle name="Positive 3 2 14 6 2" xfId="29875" xr:uid="{00000000-0005-0000-0000-0000C0740000}"/>
    <cellStyle name="Positive 3 2 14 6 2 2" xfId="29876" xr:uid="{00000000-0005-0000-0000-0000C1740000}"/>
    <cellStyle name="Positive 3 2 14 6 3" xfId="29877" xr:uid="{00000000-0005-0000-0000-0000C2740000}"/>
    <cellStyle name="Positive 3 2 14 7" xfId="29878" xr:uid="{00000000-0005-0000-0000-0000C3740000}"/>
    <cellStyle name="Positive 3 2 14 7 2" xfId="29879" xr:uid="{00000000-0005-0000-0000-0000C4740000}"/>
    <cellStyle name="Positive 3 2 14 7 2 2" xfId="29880" xr:uid="{00000000-0005-0000-0000-0000C5740000}"/>
    <cellStyle name="Positive 3 2 14 7 3" xfId="29881" xr:uid="{00000000-0005-0000-0000-0000C6740000}"/>
    <cellStyle name="Positive 3 2 14 8" xfId="29882" xr:uid="{00000000-0005-0000-0000-0000C7740000}"/>
    <cellStyle name="Positive 3 2 14 8 2" xfId="29883" xr:uid="{00000000-0005-0000-0000-0000C8740000}"/>
    <cellStyle name="Positive 3 2 14 9" xfId="29884" xr:uid="{00000000-0005-0000-0000-0000C9740000}"/>
    <cellStyle name="Positive 3 2 14 9 2" xfId="29885" xr:uid="{00000000-0005-0000-0000-0000CA740000}"/>
    <cellStyle name="Positive 3 2 15" xfId="29886" xr:uid="{00000000-0005-0000-0000-0000CB740000}"/>
    <cellStyle name="Positive 3 2 15 10" xfId="29887" xr:uid="{00000000-0005-0000-0000-0000CC740000}"/>
    <cellStyle name="Positive 3 2 15 10 2" xfId="29888" xr:uid="{00000000-0005-0000-0000-0000CD740000}"/>
    <cellStyle name="Positive 3 2 15 11" xfId="29889" xr:uid="{00000000-0005-0000-0000-0000CE740000}"/>
    <cellStyle name="Positive 3 2 15 11 2" xfId="29890" xr:uid="{00000000-0005-0000-0000-0000CF740000}"/>
    <cellStyle name="Positive 3 2 15 12" xfId="29891" xr:uid="{00000000-0005-0000-0000-0000D0740000}"/>
    <cellStyle name="Positive 3 2 15 12 2" xfId="29892" xr:uid="{00000000-0005-0000-0000-0000D1740000}"/>
    <cellStyle name="Positive 3 2 15 13" xfId="29893" xr:uid="{00000000-0005-0000-0000-0000D2740000}"/>
    <cellStyle name="Positive 3 2 15 13 2" xfId="29894" xr:uid="{00000000-0005-0000-0000-0000D3740000}"/>
    <cellStyle name="Positive 3 2 15 14" xfId="29895" xr:uid="{00000000-0005-0000-0000-0000D4740000}"/>
    <cellStyle name="Positive 3 2 15 14 2" xfId="29896" xr:uid="{00000000-0005-0000-0000-0000D5740000}"/>
    <cellStyle name="Positive 3 2 15 15" xfId="29897" xr:uid="{00000000-0005-0000-0000-0000D6740000}"/>
    <cellStyle name="Positive 3 2 15 15 2" xfId="29898" xr:uid="{00000000-0005-0000-0000-0000D7740000}"/>
    <cellStyle name="Positive 3 2 15 16" xfId="29899" xr:uid="{00000000-0005-0000-0000-0000D8740000}"/>
    <cellStyle name="Positive 3 2 15 16 2" xfId="29900" xr:uid="{00000000-0005-0000-0000-0000D9740000}"/>
    <cellStyle name="Positive 3 2 15 17" xfId="29901" xr:uid="{00000000-0005-0000-0000-0000DA740000}"/>
    <cellStyle name="Positive 3 2 15 17 2" xfId="29902" xr:uid="{00000000-0005-0000-0000-0000DB740000}"/>
    <cellStyle name="Positive 3 2 15 18" xfId="29903" xr:uid="{00000000-0005-0000-0000-0000DC740000}"/>
    <cellStyle name="Positive 3 2 15 18 2" xfId="29904" xr:uid="{00000000-0005-0000-0000-0000DD740000}"/>
    <cellStyle name="Positive 3 2 15 19" xfId="29905" xr:uid="{00000000-0005-0000-0000-0000DE740000}"/>
    <cellStyle name="Positive 3 2 15 19 2" xfId="29906" xr:uid="{00000000-0005-0000-0000-0000DF740000}"/>
    <cellStyle name="Positive 3 2 15 2" xfId="29907" xr:uid="{00000000-0005-0000-0000-0000E0740000}"/>
    <cellStyle name="Positive 3 2 15 2 10" xfId="29908" xr:uid="{00000000-0005-0000-0000-0000E1740000}"/>
    <cellStyle name="Positive 3 2 15 2 10 2" xfId="29909" xr:uid="{00000000-0005-0000-0000-0000E2740000}"/>
    <cellStyle name="Positive 3 2 15 2 11" xfId="29910" xr:uid="{00000000-0005-0000-0000-0000E3740000}"/>
    <cellStyle name="Positive 3 2 15 2 11 2" xfId="29911" xr:uid="{00000000-0005-0000-0000-0000E4740000}"/>
    <cellStyle name="Positive 3 2 15 2 12" xfId="29912" xr:uid="{00000000-0005-0000-0000-0000E5740000}"/>
    <cellStyle name="Positive 3 2 15 2 12 2" xfId="29913" xr:uid="{00000000-0005-0000-0000-0000E6740000}"/>
    <cellStyle name="Positive 3 2 15 2 13" xfId="29914" xr:uid="{00000000-0005-0000-0000-0000E7740000}"/>
    <cellStyle name="Positive 3 2 15 2 13 2" xfId="29915" xr:uid="{00000000-0005-0000-0000-0000E8740000}"/>
    <cellStyle name="Positive 3 2 15 2 14" xfId="29916" xr:uid="{00000000-0005-0000-0000-0000E9740000}"/>
    <cellStyle name="Positive 3 2 15 2 14 2" xfId="29917" xr:uid="{00000000-0005-0000-0000-0000EA740000}"/>
    <cellStyle name="Positive 3 2 15 2 15" xfId="29918" xr:uid="{00000000-0005-0000-0000-0000EB740000}"/>
    <cellStyle name="Positive 3 2 15 2 15 2" xfId="29919" xr:uid="{00000000-0005-0000-0000-0000EC740000}"/>
    <cellStyle name="Positive 3 2 15 2 16" xfId="29920" xr:uid="{00000000-0005-0000-0000-0000ED740000}"/>
    <cellStyle name="Positive 3 2 15 2 16 2" xfId="29921" xr:uid="{00000000-0005-0000-0000-0000EE740000}"/>
    <cellStyle name="Positive 3 2 15 2 17" xfId="29922" xr:uid="{00000000-0005-0000-0000-0000EF740000}"/>
    <cellStyle name="Positive 3 2 15 2 17 2" xfId="29923" xr:uid="{00000000-0005-0000-0000-0000F0740000}"/>
    <cellStyle name="Positive 3 2 15 2 18" xfId="29924" xr:uid="{00000000-0005-0000-0000-0000F1740000}"/>
    <cellStyle name="Positive 3 2 15 2 18 2" xfId="29925" xr:uid="{00000000-0005-0000-0000-0000F2740000}"/>
    <cellStyle name="Positive 3 2 15 2 19" xfId="29926" xr:uid="{00000000-0005-0000-0000-0000F3740000}"/>
    <cellStyle name="Positive 3 2 15 2 19 2" xfId="29927" xr:uid="{00000000-0005-0000-0000-0000F4740000}"/>
    <cellStyle name="Positive 3 2 15 2 2" xfId="29928" xr:uid="{00000000-0005-0000-0000-0000F5740000}"/>
    <cellStyle name="Positive 3 2 15 2 2 10" xfId="29929" xr:uid="{00000000-0005-0000-0000-0000F6740000}"/>
    <cellStyle name="Positive 3 2 15 2 2 10 2" xfId="29930" xr:uid="{00000000-0005-0000-0000-0000F7740000}"/>
    <cellStyle name="Positive 3 2 15 2 2 11" xfId="29931" xr:uid="{00000000-0005-0000-0000-0000F8740000}"/>
    <cellStyle name="Positive 3 2 15 2 2 11 2" xfId="29932" xr:uid="{00000000-0005-0000-0000-0000F9740000}"/>
    <cellStyle name="Positive 3 2 15 2 2 12" xfId="29933" xr:uid="{00000000-0005-0000-0000-0000FA740000}"/>
    <cellStyle name="Positive 3 2 15 2 2 12 2" xfId="29934" xr:uid="{00000000-0005-0000-0000-0000FB740000}"/>
    <cellStyle name="Positive 3 2 15 2 2 13" xfId="29935" xr:uid="{00000000-0005-0000-0000-0000FC740000}"/>
    <cellStyle name="Positive 3 2 15 2 2 13 2" xfId="29936" xr:uid="{00000000-0005-0000-0000-0000FD740000}"/>
    <cellStyle name="Positive 3 2 15 2 2 14" xfId="29937" xr:uid="{00000000-0005-0000-0000-0000FE740000}"/>
    <cellStyle name="Positive 3 2 15 2 2 14 2" xfId="29938" xr:uid="{00000000-0005-0000-0000-0000FF740000}"/>
    <cellStyle name="Positive 3 2 15 2 2 15" xfId="29939" xr:uid="{00000000-0005-0000-0000-000000750000}"/>
    <cellStyle name="Positive 3 2 15 2 2 15 2" xfId="29940" xr:uid="{00000000-0005-0000-0000-000001750000}"/>
    <cellStyle name="Positive 3 2 15 2 2 16" xfId="29941" xr:uid="{00000000-0005-0000-0000-000002750000}"/>
    <cellStyle name="Positive 3 2 15 2 2 16 2" xfId="29942" xr:uid="{00000000-0005-0000-0000-000003750000}"/>
    <cellStyle name="Positive 3 2 15 2 2 17" xfId="29943" xr:uid="{00000000-0005-0000-0000-000004750000}"/>
    <cellStyle name="Positive 3 2 15 2 2 2" xfId="29944" xr:uid="{00000000-0005-0000-0000-000005750000}"/>
    <cellStyle name="Positive 3 2 15 2 2 2 2" xfId="29945" xr:uid="{00000000-0005-0000-0000-000006750000}"/>
    <cellStyle name="Positive 3 2 15 2 2 3" xfId="29946" xr:uid="{00000000-0005-0000-0000-000007750000}"/>
    <cellStyle name="Positive 3 2 15 2 2 3 2" xfId="29947" xr:uid="{00000000-0005-0000-0000-000008750000}"/>
    <cellStyle name="Positive 3 2 15 2 2 4" xfId="29948" xr:uid="{00000000-0005-0000-0000-000009750000}"/>
    <cellStyle name="Positive 3 2 15 2 2 4 2" xfId="29949" xr:uid="{00000000-0005-0000-0000-00000A750000}"/>
    <cellStyle name="Positive 3 2 15 2 2 5" xfId="29950" xr:uid="{00000000-0005-0000-0000-00000B750000}"/>
    <cellStyle name="Positive 3 2 15 2 2 5 2" xfId="29951" xr:uid="{00000000-0005-0000-0000-00000C750000}"/>
    <cellStyle name="Positive 3 2 15 2 2 6" xfId="29952" xr:uid="{00000000-0005-0000-0000-00000D750000}"/>
    <cellStyle name="Positive 3 2 15 2 2 6 2" xfId="29953" xr:uid="{00000000-0005-0000-0000-00000E750000}"/>
    <cellStyle name="Positive 3 2 15 2 2 7" xfId="29954" xr:uid="{00000000-0005-0000-0000-00000F750000}"/>
    <cellStyle name="Positive 3 2 15 2 2 7 2" xfId="29955" xr:uid="{00000000-0005-0000-0000-000010750000}"/>
    <cellStyle name="Positive 3 2 15 2 2 8" xfId="29956" xr:uid="{00000000-0005-0000-0000-000011750000}"/>
    <cellStyle name="Positive 3 2 15 2 2 8 2" xfId="29957" xr:uid="{00000000-0005-0000-0000-000012750000}"/>
    <cellStyle name="Positive 3 2 15 2 2 9" xfId="29958" xr:uid="{00000000-0005-0000-0000-000013750000}"/>
    <cellStyle name="Positive 3 2 15 2 2 9 2" xfId="29959" xr:uid="{00000000-0005-0000-0000-000014750000}"/>
    <cellStyle name="Positive 3 2 15 2 20" xfId="29960" xr:uid="{00000000-0005-0000-0000-000015750000}"/>
    <cellStyle name="Positive 3 2 15 2 3" xfId="29961" xr:uid="{00000000-0005-0000-0000-000016750000}"/>
    <cellStyle name="Positive 3 2 15 2 3 2" xfId="29962" xr:uid="{00000000-0005-0000-0000-000017750000}"/>
    <cellStyle name="Positive 3 2 15 2 3 2 2" xfId="29963" xr:uid="{00000000-0005-0000-0000-000018750000}"/>
    <cellStyle name="Positive 3 2 15 2 3 3" xfId="29964" xr:uid="{00000000-0005-0000-0000-000019750000}"/>
    <cellStyle name="Positive 3 2 15 2 4" xfId="29965" xr:uid="{00000000-0005-0000-0000-00001A750000}"/>
    <cellStyle name="Positive 3 2 15 2 4 2" xfId="29966" xr:uid="{00000000-0005-0000-0000-00001B750000}"/>
    <cellStyle name="Positive 3 2 15 2 4 2 2" xfId="29967" xr:uid="{00000000-0005-0000-0000-00001C750000}"/>
    <cellStyle name="Positive 3 2 15 2 4 3" xfId="29968" xr:uid="{00000000-0005-0000-0000-00001D750000}"/>
    <cellStyle name="Positive 3 2 15 2 5" xfId="29969" xr:uid="{00000000-0005-0000-0000-00001E750000}"/>
    <cellStyle name="Positive 3 2 15 2 5 2" xfId="29970" xr:uid="{00000000-0005-0000-0000-00001F750000}"/>
    <cellStyle name="Positive 3 2 15 2 6" xfId="29971" xr:uid="{00000000-0005-0000-0000-000020750000}"/>
    <cellStyle name="Positive 3 2 15 2 6 2" xfId="29972" xr:uid="{00000000-0005-0000-0000-000021750000}"/>
    <cellStyle name="Positive 3 2 15 2 7" xfId="29973" xr:uid="{00000000-0005-0000-0000-000022750000}"/>
    <cellStyle name="Positive 3 2 15 2 7 2" xfId="29974" xr:uid="{00000000-0005-0000-0000-000023750000}"/>
    <cellStyle name="Positive 3 2 15 2 8" xfId="29975" xr:uid="{00000000-0005-0000-0000-000024750000}"/>
    <cellStyle name="Positive 3 2 15 2 8 2" xfId="29976" xr:uid="{00000000-0005-0000-0000-000025750000}"/>
    <cellStyle name="Positive 3 2 15 2 9" xfId="29977" xr:uid="{00000000-0005-0000-0000-000026750000}"/>
    <cellStyle name="Positive 3 2 15 2 9 2" xfId="29978" xr:uid="{00000000-0005-0000-0000-000027750000}"/>
    <cellStyle name="Positive 3 2 15 20" xfId="29979" xr:uid="{00000000-0005-0000-0000-000028750000}"/>
    <cellStyle name="Positive 3 2 15 20 2" xfId="29980" xr:uid="{00000000-0005-0000-0000-000029750000}"/>
    <cellStyle name="Positive 3 2 15 21" xfId="29981" xr:uid="{00000000-0005-0000-0000-00002A750000}"/>
    <cellStyle name="Positive 3 2 15 21 2" xfId="29982" xr:uid="{00000000-0005-0000-0000-00002B750000}"/>
    <cellStyle name="Positive 3 2 15 22" xfId="29983" xr:uid="{00000000-0005-0000-0000-00002C750000}"/>
    <cellStyle name="Positive 3 2 15 22 2" xfId="29984" xr:uid="{00000000-0005-0000-0000-00002D750000}"/>
    <cellStyle name="Positive 3 2 15 23" xfId="29985" xr:uid="{00000000-0005-0000-0000-00002E750000}"/>
    <cellStyle name="Positive 3 2 15 3" xfId="29986" xr:uid="{00000000-0005-0000-0000-00002F750000}"/>
    <cellStyle name="Positive 3 2 15 3 10" xfId="29987" xr:uid="{00000000-0005-0000-0000-000030750000}"/>
    <cellStyle name="Positive 3 2 15 3 10 2" xfId="29988" xr:uid="{00000000-0005-0000-0000-000031750000}"/>
    <cellStyle name="Positive 3 2 15 3 11" xfId="29989" xr:uid="{00000000-0005-0000-0000-000032750000}"/>
    <cellStyle name="Positive 3 2 15 3 11 2" xfId="29990" xr:uid="{00000000-0005-0000-0000-000033750000}"/>
    <cellStyle name="Positive 3 2 15 3 12" xfId="29991" xr:uid="{00000000-0005-0000-0000-000034750000}"/>
    <cellStyle name="Positive 3 2 15 3 12 2" xfId="29992" xr:uid="{00000000-0005-0000-0000-000035750000}"/>
    <cellStyle name="Positive 3 2 15 3 13" xfId="29993" xr:uid="{00000000-0005-0000-0000-000036750000}"/>
    <cellStyle name="Positive 3 2 15 3 13 2" xfId="29994" xr:uid="{00000000-0005-0000-0000-000037750000}"/>
    <cellStyle name="Positive 3 2 15 3 14" xfId="29995" xr:uid="{00000000-0005-0000-0000-000038750000}"/>
    <cellStyle name="Positive 3 2 15 3 14 2" xfId="29996" xr:uid="{00000000-0005-0000-0000-000039750000}"/>
    <cellStyle name="Positive 3 2 15 3 15" xfId="29997" xr:uid="{00000000-0005-0000-0000-00003A750000}"/>
    <cellStyle name="Positive 3 2 15 3 15 2" xfId="29998" xr:uid="{00000000-0005-0000-0000-00003B750000}"/>
    <cellStyle name="Positive 3 2 15 3 16" xfId="29999" xr:uid="{00000000-0005-0000-0000-00003C750000}"/>
    <cellStyle name="Positive 3 2 15 3 16 2" xfId="30000" xr:uid="{00000000-0005-0000-0000-00003D750000}"/>
    <cellStyle name="Positive 3 2 15 3 17" xfId="30001" xr:uid="{00000000-0005-0000-0000-00003E750000}"/>
    <cellStyle name="Positive 3 2 15 3 17 2" xfId="30002" xr:uid="{00000000-0005-0000-0000-00003F750000}"/>
    <cellStyle name="Positive 3 2 15 3 18" xfId="30003" xr:uid="{00000000-0005-0000-0000-000040750000}"/>
    <cellStyle name="Positive 3 2 15 3 18 2" xfId="30004" xr:uid="{00000000-0005-0000-0000-000041750000}"/>
    <cellStyle name="Positive 3 2 15 3 19" xfId="30005" xr:uid="{00000000-0005-0000-0000-000042750000}"/>
    <cellStyle name="Positive 3 2 15 3 19 2" xfId="30006" xr:uid="{00000000-0005-0000-0000-000043750000}"/>
    <cellStyle name="Positive 3 2 15 3 2" xfId="30007" xr:uid="{00000000-0005-0000-0000-000044750000}"/>
    <cellStyle name="Positive 3 2 15 3 2 10" xfId="30008" xr:uid="{00000000-0005-0000-0000-000045750000}"/>
    <cellStyle name="Positive 3 2 15 3 2 10 2" xfId="30009" xr:uid="{00000000-0005-0000-0000-000046750000}"/>
    <cellStyle name="Positive 3 2 15 3 2 11" xfId="30010" xr:uid="{00000000-0005-0000-0000-000047750000}"/>
    <cellStyle name="Positive 3 2 15 3 2 11 2" xfId="30011" xr:uid="{00000000-0005-0000-0000-000048750000}"/>
    <cellStyle name="Positive 3 2 15 3 2 12" xfId="30012" xr:uid="{00000000-0005-0000-0000-000049750000}"/>
    <cellStyle name="Positive 3 2 15 3 2 12 2" xfId="30013" xr:uid="{00000000-0005-0000-0000-00004A750000}"/>
    <cellStyle name="Positive 3 2 15 3 2 13" xfId="30014" xr:uid="{00000000-0005-0000-0000-00004B750000}"/>
    <cellStyle name="Positive 3 2 15 3 2 13 2" xfId="30015" xr:uid="{00000000-0005-0000-0000-00004C750000}"/>
    <cellStyle name="Positive 3 2 15 3 2 14" xfId="30016" xr:uid="{00000000-0005-0000-0000-00004D750000}"/>
    <cellStyle name="Positive 3 2 15 3 2 14 2" xfId="30017" xr:uid="{00000000-0005-0000-0000-00004E750000}"/>
    <cellStyle name="Positive 3 2 15 3 2 15" xfId="30018" xr:uid="{00000000-0005-0000-0000-00004F750000}"/>
    <cellStyle name="Positive 3 2 15 3 2 15 2" xfId="30019" xr:uid="{00000000-0005-0000-0000-000050750000}"/>
    <cellStyle name="Positive 3 2 15 3 2 16" xfId="30020" xr:uid="{00000000-0005-0000-0000-000051750000}"/>
    <cellStyle name="Positive 3 2 15 3 2 16 2" xfId="30021" xr:uid="{00000000-0005-0000-0000-000052750000}"/>
    <cellStyle name="Positive 3 2 15 3 2 17" xfId="30022" xr:uid="{00000000-0005-0000-0000-000053750000}"/>
    <cellStyle name="Positive 3 2 15 3 2 2" xfId="30023" xr:uid="{00000000-0005-0000-0000-000054750000}"/>
    <cellStyle name="Positive 3 2 15 3 2 2 2" xfId="30024" xr:uid="{00000000-0005-0000-0000-000055750000}"/>
    <cellStyle name="Positive 3 2 15 3 2 3" xfId="30025" xr:uid="{00000000-0005-0000-0000-000056750000}"/>
    <cellStyle name="Positive 3 2 15 3 2 3 2" xfId="30026" xr:uid="{00000000-0005-0000-0000-000057750000}"/>
    <cellStyle name="Positive 3 2 15 3 2 4" xfId="30027" xr:uid="{00000000-0005-0000-0000-000058750000}"/>
    <cellStyle name="Positive 3 2 15 3 2 4 2" xfId="30028" xr:uid="{00000000-0005-0000-0000-000059750000}"/>
    <cellStyle name="Positive 3 2 15 3 2 5" xfId="30029" xr:uid="{00000000-0005-0000-0000-00005A750000}"/>
    <cellStyle name="Positive 3 2 15 3 2 5 2" xfId="30030" xr:uid="{00000000-0005-0000-0000-00005B750000}"/>
    <cellStyle name="Positive 3 2 15 3 2 6" xfId="30031" xr:uid="{00000000-0005-0000-0000-00005C750000}"/>
    <cellStyle name="Positive 3 2 15 3 2 6 2" xfId="30032" xr:uid="{00000000-0005-0000-0000-00005D750000}"/>
    <cellStyle name="Positive 3 2 15 3 2 7" xfId="30033" xr:uid="{00000000-0005-0000-0000-00005E750000}"/>
    <cellStyle name="Positive 3 2 15 3 2 7 2" xfId="30034" xr:uid="{00000000-0005-0000-0000-00005F750000}"/>
    <cellStyle name="Positive 3 2 15 3 2 8" xfId="30035" xr:uid="{00000000-0005-0000-0000-000060750000}"/>
    <cellStyle name="Positive 3 2 15 3 2 8 2" xfId="30036" xr:uid="{00000000-0005-0000-0000-000061750000}"/>
    <cellStyle name="Positive 3 2 15 3 2 9" xfId="30037" xr:uid="{00000000-0005-0000-0000-000062750000}"/>
    <cellStyle name="Positive 3 2 15 3 2 9 2" xfId="30038" xr:uid="{00000000-0005-0000-0000-000063750000}"/>
    <cellStyle name="Positive 3 2 15 3 20" xfId="30039" xr:uid="{00000000-0005-0000-0000-000064750000}"/>
    <cellStyle name="Positive 3 2 15 3 3" xfId="30040" xr:uid="{00000000-0005-0000-0000-000065750000}"/>
    <cellStyle name="Positive 3 2 15 3 3 2" xfId="30041" xr:uid="{00000000-0005-0000-0000-000066750000}"/>
    <cellStyle name="Positive 3 2 15 3 3 2 2" xfId="30042" xr:uid="{00000000-0005-0000-0000-000067750000}"/>
    <cellStyle name="Positive 3 2 15 3 3 3" xfId="30043" xr:uid="{00000000-0005-0000-0000-000068750000}"/>
    <cellStyle name="Positive 3 2 15 3 4" xfId="30044" xr:uid="{00000000-0005-0000-0000-000069750000}"/>
    <cellStyle name="Positive 3 2 15 3 4 2" xfId="30045" xr:uid="{00000000-0005-0000-0000-00006A750000}"/>
    <cellStyle name="Positive 3 2 15 3 4 2 2" xfId="30046" xr:uid="{00000000-0005-0000-0000-00006B750000}"/>
    <cellStyle name="Positive 3 2 15 3 4 3" xfId="30047" xr:uid="{00000000-0005-0000-0000-00006C750000}"/>
    <cellStyle name="Positive 3 2 15 3 5" xfId="30048" xr:uid="{00000000-0005-0000-0000-00006D750000}"/>
    <cellStyle name="Positive 3 2 15 3 5 2" xfId="30049" xr:uid="{00000000-0005-0000-0000-00006E750000}"/>
    <cellStyle name="Positive 3 2 15 3 6" xfId="30050" xr:uid="{00000000-0005-0000-0000-00006F750000}"/>
    <cellStyle name="Positive 3 2 15 3 6 2" xfId="30051" xr:uid="{00000000-0005-0000-0000-000070750000}"/>
    <cellStyle name="Positive 3 2 15 3 7" xfId="30052" xr:uid="{00000000-0005-0000-0000-000071750000}"/>
    <cellStyle name="Positive 3 2 15 3 7 2" xfId="30053" xr:uid="{00000000-0005-0000-0000-000072750000}"/>
    <cellStyle name="Positive 3 2 15 3 8" xfId="30054" xr:uid="{00000000-0005-0000-0000-000073750000}"/>
    <cellStyle name="Positive 3 2 15 3 8 2" xfId="30055" xr:uid="{00000000-0005-0000-0000-000074750000}"/>
    <cellStyle name="Positive 3 2 15 3 9" xfId="30056" xr:uid="{00000000-0005-0000-0000-000075750000}"/>
    <cellStyle name="Positive 3 2 15 3 9 2" xfId="30057" xr:uid="{00000000-0005-0000-0000-000076750000}"/>
    <cellStyle name="Positive 3 2 15 4" xfId="30058" xr:uid="{00000000-0005-0000-0000-000077750000}"/>
    <cellStyle name="Positive 3 2 15 4 10" xfId="30059" xr:uid="{00000000-0005-0000-0000-000078750000}"/>
    <cellStyle name="Positive 3 2 15 4 10 2" xfId="30060" xr:uid="{00000000-0005-0000-0000-000079750000}"/>
    <cellStyle name="Positive 3 2 15 4 11" xfId="30061" xr:uid="{00000000-0005-0000-0000-00007A750000}"/>
    <cellStyle name="Positive 3 2 15 4 11 2" xfId="30062" xr:uid="{00000000-0005-0000-0000-00007B750000}"/>
    <cellStyle name="Positive 3 2 15 4 12" xfId="30063" xr:uid="{00000000-0005-0000-0000-00007C750000}"/>
    <cellStyle name="Positive 3 2 15 4 12 2" xfId="30064" xr:uid="{00000000-0005-0000-0000-00007D750000}"/>
    <cellStyle name="Positive 3 2 15 4 13" xfId="30065" xr:uid="{00000000-0005-0000-0000-00007E750000}"/>
    <cellStyle name="Positive 3 2 15 4 13 2" xfId="30066" xr:uid="{00000000-0005-0000-0000-00007F750000}"/>
    <cellStyle name="Positive 3 2 15 4 14" xfId="30067" xr:uid="{00000000-0005-0000-0000-000080750000}"/>
    <cellStyle name="Positive 3 2 15 4 14 2" xfId="30068" xr:uid="{00000000-0005-0000-0000-000081750000}"/>
    <cellStyle name="Positive 3 2 15 4 15" xfId="30069" xr:uid="{00000000-0005-0000-0000-000082750000}"/>
    <cellStyle name="Positive 3 2 15 4 15 2" xfId="30070" xr:uid="{00000000-0005-0000-0000-000083750000}"/>
    <cellStyle name="Positive 3 2 15 4 16" xfId="30071" xr:uid="{00000000-0005-0000-0000-000084750000}"/>
    <cellStyle name="Positive 3 2 15 4 16 2" xfId="30072" xr:uid="{00000000-0005-0000-0000-000085750000}"/>
    <cellStyle name="Positive 3 2 15 4 17" xfId="30073" xr:uid="{00000000-0005-0000-0000-000086750000}"/>
    <cellStyle name="Positive 3 2 15 4 17 2" xfId="30074" xr:uid="{00000000-0005-0000-0000-000087750000}"/>
    <cellStyle name="Positive 3 2 15 4 18" xfId="30075" xr:uid="{00000000-0005-0000-0000-000088750000}"/>
    <cellStyle name="Positive 3 2 15 4 18 2" xfId="30076" xr:uid="{00000000-0005-0000-0000-000089750000}"/>
    <cellStyle name="Positive 3 2 15 4 19" xfId="30077" xr:uid="{00000000-0005-0000-0000-00008A750000}"/>
    <cellStyle name="Positive 3 2 15 4 19 2" xfId="30078" xr:uid="{00000000-0005-0000-0000-00008B750000}"/>
    <cellStyle name="Positive 3 2 15 4 2" xfId="30079" xr:uid="{00000000-0005-0000-0000-00008C750000}"/>
    <cellStyle name="Positive 3 2 15 4 2 10" xfId="30080" xr:uid="{00000000-0005-0000-0000-00008D750000}"/>
    <cellStyle name="Positive 3 2 15 4 2 10 2" xfId="30081" xr:uid="{00000000-0005-0000-0000-00008E750000}"/>
    <cellStyle name="Positive 3 2 15 4 2 11" xfId="30082" xr:uid="{00000000-0005-0000-0000-00008F750000}"/>
    <cellStyle name="Positive 3 2 15 4 2 11 2" xfId="30083" xr:uid="{00000000-0005-0000-0000-000090750000}"/>
    <cellStyle name="Positive 3 2 15 4 2 12" xfId="30084" xr:uid="{00000000-0005-0000-0000-000091750000}"/>
    <cellStyle name="Positive 3 2 15 4 2 12 2" xfId="30085" xr:uid="{00000000-0005-0000-0000-000092750000}"/>
    <cellStyle name="Positive 3 2 15 4 2 13" xfId="30086" xr:uid="{00000000-0005-0000-0000-000093750000}"/>
    <cellStyle name="Positive 3 2 15 4 2 13 2" xfId="30087" xr:uid="{00000000-0005-0000-0000-000094750000}"/>
    <cellStyle name="Positive 3 2 15 4 2 14" xfId="30088" xr:uid="{00000000-0005-0000-0000-000095750000}"/>
    <cellStyle name="Positive 3 2 15 4 2 14 2" xfId="30089" xr:uid="{00000000-0005-0000-0000-000096750000}"/>
    <cellStyle name="Positive 3 2 15 4 2 15" xfId="30090" xr:uid="{00000000-0005-0000-0000-000097750000}"/>
    <cellStyle name="Positive 3 2 15 4 2 15 2" xfId="30091" xr:uid="{00000000-0005-0000-0000-000098750000}"/>
    <cellStyle name="Positive 3 2 15 4 2 16" xfId="30092" xr:uid="{00000000-0005-0000-0000-000099750000}"/>
    <cellStyle name="Positive 3 2 15 4 2 16 2" xfId="30093" xr:uid="{00000000-0005-0000-0000-00009A750000}"/>
    <cellStyle name="Positive 3 2 15 4 2 17" xfId="30094" xr:uid="{00000000-0005-0000-0000-00009B750000}"/>
    <cellStyle name="Positive 3 2 15 4 2 2" xfId="30095" xr:uid="{00000000-0005-0000-0000-00009C750000}"/>
    <cellStyle name="Positive 3 2 15 4 2 2 2" xfId="30096" xr:uid="{00000000-0005-0000-0000-00009D750000}"/>
    <cellStyle name="Positive 3 2 15 4 2 3" xfId="30097" xr:uid="{00000000-0005-0000-0000-00009E750000}"/>
    <cellStyle name="Positive 3 2 15 4 2 3 2" xfId="30098" xr:uid="{00000000-0005-0000-0000-00009F750000}"/>
    <cellStyle name="Positive 3 2 15 4 2 4" xfId="30099" xr:uid="{00000000-0005-0000-0000-0000A0750000}"/>
    <cellStyle name="Positive 3 2 15 4 2 4 2" xfId="30100" xr:uid="{00000000-0005-0000-0000-0000A1750000}"/>
    <cellStyle name="Positive 3 2 15 4 2 5" xfId="30101" xr:uid="{00000000-0005-0000-0000-0000A2750000}"/>
    <cellStyle name="Positive 3 2 15 4 2 5 2" xfId="30102" xr:uid="{00000000-0005-0000-0000-0000A3750000}"/>
    <cellStyle name="Positive 3 2 15 4 2 6" xfId="30103" xr:uid="{00000000-0005-0000-0000-0000A4750000}"/>
    <cellStyle name="Positive 3 2 15 4 2 6 2" xfId="30104" xr:uid="{00000000-0005-0000-0000-0000A5750000}"/>
    <cellStyle name="Positive 3 2 15 4 2 7" xfId="30105" xr:uid="{00000000-0005-0000-0000-0000A6750000}"/>
    <cellStyle name="Positive 3 2 15 4 2 7 2" xfId="30106" xr:uid="{00000000-0005-0000-0000-0000A7750000}"/>
    <cellStyle name="Positive 3 2 15 4 2 8" xfId="30107" xr:uid="{00000000-0005-0000-0000-0000A8750000}"/>
    <cellStyle name="Positive 3 2 15 4 2 8 2" xfId="30108" xr:uid="{00000000-0005-0000-0000-0000A9750000}"/>
    <cellStyle name="Positive 3 2 15 4 2 9" xfId="30109" xr:uid="{00000000-0005-0000-0000-0000AA750000}"/>
    <cellStyle name="Positive 3 2 15 4 2 9 2" xfId="30110" xr:uid="{00000000-0005-0000-0000-0000AB750000}"/>
    <cellStyle name="Positive 3 2 15 4 20" xfId="30111" xr:uid="{00000000-0005-0000-0000-0000AC750000}"/>
    <cellStyle name="Positive 3 2 15 4 3" xfId="30112" xr:uid="{00000000-0005-0000-0000-0000AD750000}"/>
    <cellStyle name="Positive 3 2 15 4 3 2" xfId="30113" xr:uid="{00000000-0005-0000-0000-0000AE750000}"/>
    <cellStyle name="Positive 3 2 15 4 3 2 2" xfId="30114" xr:uid="{00000000-0005-0000-0000-0000AF750000}"/>
    <cellStyle name="Positive 3 2 15 4 3 3" xfId="30115" xr:uid="{00000000-0005-0000-0000-0000B0750000}"/>
    <cellStyle name="Positive 3 2 15 4 4" xfId="30116" xr:uid="{00000000-0005-0000-0000-0000B1750000}"/>
    <cellStyle name="Positive 3 2 15 4 4 2" xfId="30117" xr:uid="{00000000-0005-0000-0000-0000B2750000}"/>
    <cellStyle name="Positive 3 2 15 4 4 2 2" xfId="30118" xr:uid="{00000000-0005-0000-0000-0000B3750000}"/>
    <cellStyle name="Positive 3 2 15 4 4 3" xfId="30119" xr:uid="{00000000-0005-0000-0000-0000B4750000}"/>
    <cellStyle name="Positive 3 2 15 4 5" xfId="30120" xr:uid="{00000000-0005-0000-0000-0000B5750000}"/>
    <cellStyle name="Positive 3 2 15 4 5 2" xfId="30121" xr:uid="{00000000-0005-0000-0000-0000B6750000}"/>
    <cellStyle name="Positive 3 2 15 4 6" xfId="30122" xr:uid="{00000000-0005-0000-0000-0000B7750000}"/>
    <cellStyle name="Positive 3 2 15 4 6 2" xfId="30123" xr:uid="{00000000-0005-0000-0000-0000B8750000}"/>
    <cellStyle name="Positive 3 2 15 4 7" xfId="30124" xr:uid="{00000000-0005-0000-0000-0000B9750000}"/>
    <cellStyle name="Positive 3 2 15 4 7 2" xfId="30125" xr:uid="{00000000-0005-0000-0000-0000BA750000}"/>
    <cellStyle name="Positive 3 2 15 4 8" xfId="30126" xr:uid="{00000000-0005-0000-0000-0000BB750000}"/>
    <cellStyle name="Positive 3 2 15 4 8 2" xfId="30127" xr:uid="{00000000-0005-0000-0000-0000BC750000}"/>
    <cellStyle name="Positive 3 2 15 4 9" xfId="30128" xr:uid="{00000000-0005-0000-0000-0000BD750000}"/>
    <cellStyle name="Positive 3 2 15 4 9 2" xfId="30129" xr:uid="{00000000-0005-0000-0000-0000BE750000}"/>
    <cellStyle name="Positive 3 2 15 5" xfId="30130" xr:uid="{00000000-0005-0000-0000-0000BF750000}"/>
    <cellStyle name="Positive 3 2 15 5 10" xfId="30131" xr:uid="{00000000-0005-0000-0000-0000C0750000}"/>
    <cellStyle name="Positive 3 2 15 5 10 2" xfId="30132" xr:uid="{00000000-0005-0000-0000-0000C1750000}"/>
    <cellStyle name="Positive 3 2 15 5 11" xfId="30133" xr:uid="{00000000-0005-0000-0000-0000C2750000}"/>
    <cellStyle name="Positive 3 2 15 5 11 2" xfId="30134" xr:uid="{00000000-0005-0000-0000-0000C3750000}"/>
    <cellStyle name="Positive 3 2 15 5 12" xfId="30135" xr:uid="{00000000-0005-0000-0000-0000C4750000}"/>
    <cellStyle name="Positive 3 2 15 5 12 2" xfId="30136" xr:uid="{00000000-0005-0000-0000-0000C5750000}"/>
    <cellStyle name="Positive 3 2 15 5 13" xfId="30137" xr:uid="{00000000-0005-0000-0000-0000C6750000}"/>
    <cellStyle name="Positive 3 2 15 5 13 2" xfId="30138" xr:uid="{00000000-0005-0000-0000-0000C7750000}"/>
    <cellStyle name="Positive 3 2 15 5 14" xfId="30139" xr:uid="{00000000-0005-0000-0000-0000C8750000}"/>
    <cellStyle name="Positive 3 2 15 5 14 2" xfId="30140" xr:uid="{00000000-0005-0000-0000-0000C9750000}"/>
    <cellStyle name="Positive 3 2 15 5 15" xfId="30141" xr:uid="{00000000-0005-0000-0000-0000CA750000}"/>
    <cellStyle name="Positive 3 2 15 5 15 2" xfId="30142" xr:uid="{00000000-0005-0000-0000-0000CB750000}"/>
    <cellStyle name="Positive 3 2 15 5 16" xfId="30143" xr:uid="{00000000-0005-0000-0000-0000CC750000}"/>
    <cellStyle name="Positive 3 2 15 5 16 2" xfId="30144" xr:uid="{00000000-0005-0000-0000-0000CD750000}"/>
    <cellStyle name="Positive 3 2 15 5 17" xfId="30145" xr:uid="{00000000-0005-0000-0000-0000CE750000}"/>
    <cellStyle name="Positive 3 2 15 5 2" xfId="30146" xr:uid="{00000000-0005-0000-0000-0000CF750000}"/>
    <cellStyle name="Positive 3 2 15 5 2 2" xfId="30147" xr:uid="{00000000-0005-0000-0000-0000D0750000}"/>
    <cellStyle name="Positive 3 2 15 5 3" xfId="30148" xr:uid="{00000000-0005-0000-0000-0000D1750000}"/>
    <cellStyle name="Positive 3 2 15 5 3 2" xfId="30149" xr:uid="{00000000-0005-0000-0000-0000D2750000}"/>
    <cellStyle name="Positive 3 2 15 5 4" xfId="30150" xr:uid="{00000000-0005-0000-0000-0000D3750000}"/>
    <cellStyle name="Positive 3 2 15 5 4 2" xfId="30151" xr:uid="{00000000-0005-0000-0000-0000D4750000}"/>
    <cellStyle name="Positive 3 2 15 5 5" xfId="30152" xr:uid="{00000000-0005-0000-0000-0000D5750000}"/>
    <cellStyle name="Positive 3 2 15 5 5 2" xfId="30153" xr:uid="{00000000-0005-0000-0000-0000D6750000}"/>
    <cellStyle name="Positive 3 2 15 5 6" xfId="30154" xr:uid="{00000000-0005-0000-0000-0000D7750000}"/>
    <cellStyle name="Positive 3 2 15 5 6 2" xfId="30155" xr:uid="{00000000-0005-0000-0000-0000D8750000}"/>
    <cellStyle name="Positive 3 2 15 5 7" xfId="30156" xr:uid="{00000000-0005-0000-0000-0000D9750000}"/>
    <cellStyle name="Positive 3 2 15 5 7 2" xfId="30157" xr:uid="{00000000-0005-0000-0000-0000DA750000}"/>
    <cellStyle name="Positive 3 2 15 5 8" xfId="30158" xr:uid="{00000000-0005-0000-0000-0000DB750000}"/>
    <cellStyle name="Positive 3 2 15 5 8 2" xfId="30159" xr:uid="{00000000-0005-0000-0000-0000DC750000}"/>
    <cellStyle name="Positive 3 2 15 5 9" xfId="30160" xr:uid="{00000000-0005-0000-0000-0000DD750000}"/>
    <cellStyle name="Positive 3 2 15 5 9 2" xfId="30161" xr:uid="{00000000-0005-0000-0000-0000DE750000}"/>
    <cellStyle name="Positive 3 2 15 6" xfId="30162" xr:uid="{00000000-0005-0000-0000-0000DF750000}"/>
    <cellStyle name="Positive 3 2 15 6 2" xfId="30163" xr:uid="{00000000-0005-0000-0000-0000E0750000}"/>
    <cellStyle name="Positive 3 2 15 6 2 2" xfId="30164" xr:uid="{00000000-0005-0000-0000-0000E1750000}"/>
    <cellStyle name="Positive 3 2 15 6 3" xfId="30165" xr:uid="{00000000-0005-0000-0000-0000E2750000}"/>
    <cellStyle name="Positive 3 2 15 7" xfId="30166" xr:uid="{00000000-0005-0000-0000-0000E3750000}"/>
    <cellStyle name="Positive 3 2 15 7 2" xfId="30167" xr:uid="{00000000-0005-0000-0000-0000E4750000}"/>
    <cellStyle name="Positive 3 2 15 7 2 2" xfId="30168" xr:uid="{00000000-0005-0000-0000-0000E5750000}"/>
    <cellStyle name="Positive 3 2 15 7 3" xfId="30169" xr:uid="{00000000-0005-0000-0000-0000E6750000}"/>
    <cellStyle name="Positive 3 2 15 8" xfId="30170" xr:uid="{00000000-0005-0000-0000-0000E7750000}"/>
    <cellStyle name="Positive 3 2 15 8 2" xfId="30171" xr:uid="{00000000-0005-0000-0000-0000E8750000}"/>
    <cellStyle name="Positive 3 2 15 9" xfId="30172" xr:uid="{00000000-0005-0000-0000-0000E9750000}"/>
    <cellStyle name="Positive 3 2 15 9 2" xfId="30173" xr:uid="{00000000-0005-0000-0000-0000EA750000}"/>
    <cellStyle name="Positive 3 2 16" xfId="30174" xr:uid="{00000000-0005-0000-0000-0000EB750000}"/>
    <cellStyle name="Positive 3 2 16 10" xfId="30175" xr:uid="{00000000-0005-0000-0000-0000EC750000}"/>
    <cellStyle name="Positive 3 2 16 10 2" xfId="30176" xr:uid="{00000000-0005-0000-0000-0000ED750000}"/>
    <cellStyle name="Positive 3 2 16 11" xfId="30177" xr:uid="{00000000-0005-0000-0000-0000EE750000}"/>
    <cellStyle name="Positive 3 2 16 11 2" xfId="30178" xr:uid="{00000000-0005-0000-0000-0000EF750000}"/>
    <cellStyle name="Positive 3 2 16 12" xfId="30179" xr:uid="{00000000-0005-0000-0000-0000F0750000}"/>
    <cellStyle name="Positive 3 2 16 12 2" xfId="30180" xr:uid="{00000000-0005-0000-0000-0000F1750000}"/>
    <cellStyle name="Positive 3 2 16 13" xfId="30181" xr:uid="{00000000-0005-0000-0000-0000F2750000}"/>
    <cellStyle name="Positive 3 2 16 13 2" xfId="30182" xr:uid="{00000000-0005-0000-0000-0000F3750000}"/>
    <cellStyle name="Positive 3 2 16 14" xfId="30183" xr:uid="{00000000-0005-0000-0000-0000F4750000}"/>
    <cellStyle name="Positive 3 2 16 14 2" xfId="30184" xr:uid="{00000000-0005-0000-0000-0000F5750000}"/>
    <cellStyle name="Positive 3 2 16 15" xfId="30185" xr:uid="{00000000-0005-0000-0000-0000F6750000}"/>
    <cellStyle name="Positive 3 2 16 15 2" xfId="30186" xr:uid="{00000000-0005-0000-0000-0000F7750000}"/>
    <cellStyle name="Positive 3 2 16 16" xfId="30187" xr:uid="{00000000-0005-0000-0000-0000F8750000}"/>
    <cellStyle name="Positive 3 2 16 16 2" xfId="30188" xr:uid="{00000000-0005-0000-0000-0000F9750000}"/>
    <cellStyle name="Positive 3 2 16 17" xfId="30189" xr:uid="{00000000-0005-0000-0000-0000FA750000}"/>
    <cellStyle name="Positive 3 2 16 17 2" xfId="30190" xr:uid="{00000000-0005-0000-0000-0000FB750000}"/>
    <cellStyle name="Positive 3 2 16 18" xfId="30191" xr:uid="{00000000-0005-0000-0000-0000FC750000}"/>
    <cellStyle name="Positive 3 2 16 18 2" xfId="30192" xr:uid="{00000000-0005-0000-0000-0000FD750000}"/>
    <cellStyle name="Positive 3 2 16 19" xfId="30193" xr:uid="{00000000-0005-0000-0000-0000FE750000}"/>
    <cellStyle name="Positive 3 2 16 19 2" xfId="30194" xr:uid="{00000000-0005-0000-0000-0000FF750000}"/>
    <cellStyle name="Positive 3 2 16 2" xfId="30195" xr:uid="{00000000-0005-0000-0000-000000760000}"/>
    <cellStyle name="Positive 3 2 16 2 10" xfId="30196" xr:uid="{00000000-0005-0000-0000-000001760000}"/>
    <cellStyle name="Positive 3 2 16 2 10 2" xfId="30197" xr:uid="{00000000-0005-0000-0000-000002760000}"/>
    <cellStyle name="Positive 3 2 16 2 11" xfId="30198" xr:uid="{00000000-0005-0000-0000-000003760000}"/>
    <cellStyle name="Positive 3 2 16 2 11 2" xfId="30199" xr:uid="{00000000-0005-0000-0000-000004760000}"/>
    <cellStyle name="Positive 3 2 16 2 12" xfId="30200" xr:uid="{00000000-0005-0000-0000-000005760000}"/>
    <cellStyle name="Positive 3 2 16 2 12 2" xfId="30201" xr:uid="{00000000-0005-0000-0000-000006760000}"/>
    <cellStyle name="Positive 3 2 16 2 13" xfId="30202" xr:uid="{00000000-0005-0000-0000-000007760000}"/>
    <cellStyle name="Positive 3 2 16 2 13 2" xfId="30203" xr:uid="{00000000-0005-0000-0000-000008760000}"/>
    <cellStyle name="Positive 3 2 16 2 14" xfId="30204" xr:uid="{00000000-0005-0000-0000-000009760000}"/>
    <cellStyle name="Positive 3 2 16 2 14 2" xfId="30205" xr:uid="{00000000-0005-0000-0000-00000A760000}"/>
    <cellStyle name="Positive 3 2 16 2 15" xfId="30206" xr:uid="{00000000-0005-0000-0000-00000B760000}"/>
    <cellStyle name="Positive 3 2 16 2 15 2" xfId="30207" xr:uid="{00000000-0005-0000-0000-00000C760000}"/>
    <cellStyle name="Positive 3 2 16 2 16" xfId="30208" xr:uid="{00000000-0005-0000-0000-00000D760000}"/>
    <cellStyle name="Positive 3 2 16 2 16 2" xfId="30209" xr:uid="{00000000-0005-0000-0000-00000E760000}"/>
    <cellStyle name="Positive 3 2 16 2 17" xfId="30210" xr:uid="{00000000-0005-0000-0000-00000F760000}"/>
    <cellStyle name="Positive 3 2 16 2 17 2" xfId="30211" xr:uid="{00000000-0005-0000-0000-000010760000}"/>
    <cellStyle name="Positive 3 2 16 2 18" xfId="30212" xr:uid="{00000000-0005-0000-0000-000011760000}"/>
    <cellStyle name="Positive 3 2 16 2 18 2" xfId="30213" xr:uid="{00000000-0005-0000-0000-000012760000}"/>
    <cellStyle name="Positive 3 2 16 2 19" xfId="30214" xr:uid="{00000000-0005-0000-0000-000013760000}"/>
    <cellStyle name="Positive 3 2 16 2 19 2" xfId="30215" xr:uid="{00000000-0005-0000-0000-000014760000}"/>
    <cellStyle name="Positive 3 2 16 2 2" xfId="30216" xr:uid="{00000000-0005-0000-0000-000015760000}"/>
    <cellStyle name="Positive 3 2 16 2 2 10" xfId="30217" xr:uid="{00000000-0005-0000-0000-000016760000}"/>
    <cellStyle name="Positive 3 2 16 2 2 10 2" xfId="30218" xr:uid="{00000000-0005-0000-0000-000017760000}"/>
    <cellStyle name="Positive 3 2 16 2 2 11" xfId="30219" xr:uid="{00000000-0005-0000-0000-000018760000}"/>
    <cellStyle name="Positive 3 2 16 2 2 11 2" xfId="30220" xr:uid="{00000000-0005-0000-0000-000019760000}"/>
    <cellStyle name="Positive 3 2 16 2 2 12" xfId="30221" xr:uid="{00000000-0005-0000-0000-00001A760000}"/>
    <cellStyle name="Positive 3 2 16 2 2 12 2" xfId="30222" xr:uid="{00000000-0005-0000-0000-00001B760000}"/>
    <cellStyle name="Positive 3 2 16 2 2 13" xfId="30223" xr:uid="{00000000-0005-0000-0000-00001C760000}"/>
    <cellStyle name="Positive 3 2 16 2 2 13 2" xfId="30224" xr:uid="{00000000-0005-0000-0000-00001D760000}"/>
    <cellStyle name="Positive 3 2 16 2 2 14" xfId="30225" xr:uid="{00000000-0005-0000-0000-00001E760000}"/>
    <cellStyle name="Positive 3 2 16 2 2 14 2" xfId="30226" xr:uid="{00000000-0005-0000-0000-00001F760000}"/>
    <cellStyle name="Positive 3 2 16 2 2 15" xfId="30227" xr:uid="{00000000-0005-0000-0000-000020760000}"/>
    <cellStyle name="Positive 3 2 16 2 2 15 2" xfId="30228" xr:uid="{00000000-0005-0000-0000-000021760000}"/>
    <cellStyle name="Positive 3 2 16 2 2 16" xfId="30229" xr:uid="{00000000-0005-0000-0000-000022760000}"/>
    <cellStyle name="Positive 3 2 16 2 2 16 2" xfId="30230" xr:uid="{00000000-0005-0000-0000-000023760000}"/>
    <cellStyle name="Positive 3 2 16 2 2 17" xfId="30231" xr:uid="{00000000-0005-0000-0000-000024760000}"/>
    <cellStyle name="Positive 3 2 16 2 2 2" xfId="30232" xr:uid="{00000000-0005-0000-0000-000025760000}"/>
    <cellStyle name="Positive 3 2 16 2 2 2 2" xfId="30233" xr:uid="{00000000-0005-0000-0000-000026760000}"/>
    <cellStyle name="Positive 3 2 16 2 2 3" xfId="30234" xr:uid="{00000000-0005-0000-0000-000027760000}"/>
    <cellStyle name="Positive 3 2 16 2 2 3 2" xfId="30235" xr:uid="{00000000-0005-0000-0000-000028760000}"/>
    <cellStyle name="Positive 3 2 16 2 2 4" xfId="30236" xr:uid="{00000000-0005-0000-0000-000029760000}"/>
    <cellStyle name="Positive 3 2 16 2 2 4 2" xfId="30237" xr:uid="{00000000-0005-0000-0000-00002A760000}"/>
    <cellStyle name="Positive 3 2 16 2 2 5" xfId="30238" xr:uid="{00000000-0005-0000-0000-00002B760000}"/>
    <cellStyle name="Positive 3 2 16 2 2 5 2" xfId="30239" xr:uid="{00000000-0005-0000-0000-00002C760000}"/>
    <cellStyle name="Positive 3 2 16 2 2 6" xfId="30240" xr:uid="{00000000-0005-0000-0000-00002D760000}"/>
    <cellStyle name="Positive 3 2 16 2 2 6 2" xfId="30241" xr:uid="{00000000-0005-0000-0000-00002E760000}"/>
    <cellStyle name="Positive 3 2 16 2 2 7" xfId="30242" xr:uid="{00000000-0005-0000-0000-00002F760000}"/>
    <cellStyle name="Positive 3 2 16 2 2 7 2" xfId="30243" xr:uid="{00000000-0005-0000-0000-000030760000}"/>
    <cellStyle name="Positive 3 2 16 2 2 8" xfId="30244" xr:uid="{00000000-0005-0000-0000-000031760000}"/>
    <cellStyle name="Positive 3 2 16 2 2 8 2" xfId="30245" xr:uid="{00000000-0005-0000-0000-000032760000}"/>
    <cellStyle name="Positive 3 2 16 2 2 9" xfId="30246" xr:uid="{00000000-0005-0000-0000-000033760000}"/>
    <cellStyle name="Positive 3 2 16 2 2 9 2" xfId="30247" xr:uid="{00000000-0005-0000-0000-000034760000}"/>
    <cellStyle name="Positive 3 2 16 2 20" xfId="30248" xr:uid="{00000000-0005-0000-0000-000035760000}"/>
    <cellStyle name="Positive 3 2 16 2 3" xfId="30249" xr:uid="{00000000-0005-0000-0000-000036760000}"/>
    <cellStyle name="Positive 3 2 16 2 3 2" xfId="30250" xr:uid="{00000000-0005-0000-0000-000037760000}"/>
    <cellStyle name="Positive 3 2 16 2 3 2 2" xfId="30251" xr:uid="{00000000-0005-0000-0000-000038760000}"/>
    <cellStyle name="Positive 3 2 16 2 3 3" xfId="30252" xr:uid="{00000000-0005-0000-0000-000039760000}"/>
    <cellStyle name="Positive 3 2 16 2 4" xfId="30253" xr:uid="{00000000-0005-0000-0000-00003A760000}"/>
    <cellStyle name="Positive 3 2 16 2 4 2" xfId="30254" xr:uid="{00000000-0005-0000-0000-00003B760000}"/>
    <cellStyle name="Positive 3 2 16 2 4 2 2" xfId="30255" xr:uid="{00000000-0005-0000-0000-00003C760000}"/>
    <cellStyle name="Positive 3 2 16 2 4 3" xfId="30256" xr:uid="{00000000-0005-0000-0000-00003D760000}"/>
    <cellStyle name="Positive 3 2 16 2 5" xfId="30257" xr:uid="{00000000-0005-0000-0000-00003E760000}"/>
    <cellStyle name="Positive 3 2 16 2 5 2" xfId="30258" xr:uid="{00000000-0005-0000-0000-00003F760000}"/>
    <cellStyle name="Positive 3 2 16 2 6" xfId="30259" xr:uid="{00000000-0005-0000-0000-000040760000}"/>
    <cellStyle name="Positive 3 2 16 2 6 2" xfId="30260" xr:uid="{00000000-0005-0000-0000-000041760000}"/>
    <cellStyle name="Positive 3 2 16 2 7" xfId="30261" xr:uid="{00000000-0005-0000-0000-000042760000}"/>
    <cellStyle name="Positive 3 2 16 2 7 2" xfId="30262" xr:uid="{00000000-0005-0000-0000-000043760000}"/>
    <cellStyle name="Positive 3 2 16 2 8" xfId="30263" xr:uid="{00000000-0005-0000-0000-000044760000}"/>
    <cellStyle name="Positive 3 2 16 2 8 2" xfId="30264" xr:uid="{00000000-0005-0000-0000-000045760000}"/>
    <cellStyle name="Positive 3 2 16 2 9" xfId="30265" xr:uid="{00000000-0005-0000-0000-000046760000}"/>
    <cellStyle name="Positive 3 2 16 2 9 2" xfId="30266" xr:uid="{00000000-0005-0000-0000-000047760000}"/>
    <cellStyle name="Positive 3 2 16 20" xfId="30267" xr:uid="{00000000-0005-0000-0000-000048760000}"/>
    <cellStyle name="Positive 3 2 16 20 2" xfId="30268" xr:uid="{00000000-0005-0000-0000-000049760000}"/>
    <cellStyle name="Positive 3 2 16 21" xfId="30269" xr:uid="{00000000-0005-0000-0000-00004A760000}"/>
    <cellStyle name="Positive 3 2 16 21 2" xfId="30270" xr:uid="{00000000-0005-0000-0000-00004B760000}"/>
    <cellStyle name="Positive 3 2 16 22" xfId="30271" xr:uid="{00000000-0005-0000-0000-00004C760000}"/>
    <cellStyle name="Positive 3 2 16 22 2" xfId="30272" xr:uid="{00000000-0005-0000-0000-00004D760000}"/>
    <cellStyle name="Positive 3 2 16 23" xfId="30273" xr:uid="{00000000-0005-0000-0000-00004E760000}"/>
    <cellStyle name="Positive 3 2 16 3" xfId="30274" xr:uid="{00000000-0005-0000-0000-00004F760000}"/>
    <cellStyle name="Positive 3 2 16 3 10" xfId="30275" xr:uid="{00000000-0005-0000-0000-000050760000}"/>
    <cellStyle name="Positive 3 2 16 3 10 2" xfId="30276" xr:uid="{00000000-0005-0000-0000-000051760000}"/>
    <cellStyle name="Positive 3 2 16 3 11" xfId="30277" xr:uid="{00000000-0005-0000-0000-000052760000}"/>
    <cellStyle name="Positive 3 2 16 3 11 2" xfId="30278" xr:uid="{00000000-0005-0000-0000-000053760000}"/>
    <cellStyle name="Positive 3 2 16 3 12" xfId="30279" xr:uid="{00000000-0005-0000-0000-000054760000}"/>
    <cellStyle name="Positive 3 2 16 3 12 2" xfId="30280" xr:uid="{00000000-0005-0000-0000-000055760000}"/>
    <cellStyle name="Positive 3 2 16 3 13" xfId="30281" xr:uid="{00000000-0005-0000-0000-000056760000}"/>
    <cellStyle name="Positive 3 2 16 3 13 2" xfId="30282" xr:uid="{00000000-0005-0000-0000-000057760000}"/>
    <cellStyle name="Positive 3 2 16 3 14" xfId="30283" xr:uid="{00000000-0005-0000-0000-000058760000}"/>
    <cellStyle name="Positive 3 2 16 3 14 2" xfId="30284" xr:uid="{00000000-0005-0000-0000-000059760000}"/>
    <cellStyle name="Positive 3 2 16 3 15" xfId="30285" xr:uid="{00000000-0005-0000-0000-00005A760000}"/>
    <cellStyle name="Positive 3 2 16 3 15 2" xfId="30286" xr:uid="{00000000-0005-0000-0000-00005B760000}"/>
    <cellStyle name="Positive 3 2 16 3 16" xfId="30287" xr:uid="{00000000-0005-0000-0000-00005C760000}"/>
    <cellStyle name="Positive 3 2 16 3 16 2" xfId="30288" xr:uid="{00000000-0005-0000-0000-00005D760000}"/>
    <cellStyle name="Positive 3 2 16 3 17" xfId="30289" xr:uid="{00000000-0005-0000-0000-00005E760000}"/>
    <cellStyle name="Positive 3 2 16 3 17 2" xfId="30290" xr:uid="{00000000-0005-0000-0000-00005F760000}"/>
    <cellStyle name="Positive 3 2 16 3 18" xfId="30291" xr:uid="{00000000-0005-0000-0000-000060760000}"/>
    <cellStyle name="Positive 3 2 16 3 18 2" xfId="30292" xr:uid="{00000000-0005-0000-0000-000061760000}"/>
    <cellStyle name="Positive 3 2 16 3 19" xfId="30293" xr:uid="{00000000-0005-0000-0000-000062760000}"/>
    <cellStyle name="Positive 3 2 16 3 19 2" xfId="30294" xr:uid="{00000000-0005-0000-0000-000063760000}"/>
    <cellStyle name="Positive 3 2 16 3 2" xfId="30295" xr:uid="{00000000-0005-0000-0000-000064760000}"/>
    <cellStyle name="Positive 3 2 16 3 2 10" xfId="30296" xr:uid="{00000000-0005-0000-0000-000065760000}"/>
    <cellStyle name="Positive 3 2 16 3 2 10 2" xfId="30297" xr:uid="{00000000-0005-0000-0000-000066760000}"/>
    <cellStyle name="Positive 3 2 16 3 2 11" xfId="30298" xr:uid="{00000000-0005-0000-0000-000067760000}"/>
    <cellStyle name="Positive 3 2 16 3 2 11 2" xfId="30299" xr:uid="{00000000-0005-0000-0000-000068760000}"/>
    <cellStyle name="Positive 3 2 16 3 2 12" xfId="30300" xr:uid="{00000000-0005-0000-0000-000069760000}"/>
    <cellStyle name="Positive 3 2 16 3 2 12 2" xfId="30301" xr:uid="{00000000-0005-0000-0000-00006A760000}"/>
    <cellStyle name="Positive 3 2 16 3 2 13" xfId="30302" xr:uid="{00000000-0005-0000-0000-00006B760000}"/>
    <cellStyle name="Positive 3 2 16 3 2 13 2" xfId="30303" xr:uid="{00000000-0005-0000-0000-00006C760000}"/>
    <cellStyle name="Positive 3 2 16 3 2 14" xfId="30304" xr:uid="{00000000-0005-0000-0000-00006D760000}"/>
    <cellStyle name="Positive 3 2 16 3 2 14 2" xfId="30305" xr:uid="{00000000-0005-0000-0000-00006E760000}"/>
    <cellStyle name="Positive 3 2 16 3 2 15" xfId="30306" xr:uid="{00000000-0005-0000-0000-00006F760000}"/>
    <cellStyle name="Positive 3 2 16 3 2 15 2" xfId="30307" xr:uid="{00000000-0005-0000-0000-000070760000}"/>
    <cellStyle name="Positive 3 2 16 3 2 16" xfId="30308" xr:uid="{00000000-0005-0000-0000-000071760000}"/>
    <cellStyle name="Positive 3 2 16 3 2 16 2" xfId="30309" xr:uid="{00000000-0005-0000-0000-000072760000}"/>
    <cellStyle name="Positive 3 2 16 3 2 17" xfId="30310" xr:uid="{00000000-0005-0000-0000-000073760000}"/>
    <cellStyle name="Positive 3 2 16 3 2 2" xfId="30311" xr:uid="{00000000-0005-0000-0000-000074760000}"/>
    <cellStyle name="Positive 3 2 16 3 2 2 2" xfId="30312" xr:uid="{00000000-0005-0000-0000-000075760000}"/>
    <cellStyle name="Positive 3 2 16 3 2 3" xfId="30313" xr:uid="{00000000-0005-0000-0000-000076760000}"/>
    <cellStyle name="Positive 3 2 16 3 2 3 2" xfId="30314" xr:uid="{00000000-0005-0000-0000-000077760000}"/>
    <cellStyle name="Positive 3 2 16 3 2 4" xfId="30315" xr:uid="{00000000-0005-0000-0000-000078760000}"/>
    <cellStyle name="Positive 3 2 16 3 2 4 2" xfId="30316" xr:uid="{00000000-0005-0000-0000-000079760000}"/>
    <cellStyle name="Positive 3 2 16 3 2 5" xfId="30317" xr:uid="{00000000-0005-0000-0000-00007A760000}"/>
    <cellStyle name="Positive 3 2 16 3 2 5 2" xfId="30318" xr:uid="{00000000-0005-0000-0000-00007B760000}"/>
    <cellStyle name="Positive 3 2 16 3 2 6" xfId="30319" xr:uid="{00000000-0005-0000-0000-00007C760000}"/>
    <cellStyle name="Positive 3 2 16 3 2 6 2" xfId="30320" xr:uid="{00000000-0005-0000-0000-00007D760000}"/>
    <cellStyle name="Positive 3 2 16 3 2 7" xfId="30321" xr:uid="{00000000-0005-0000-0000-00007E760000}"/>
    <cellStyle name="Positive 3 2 16 3 2 7 2" xfId="30322" xr:uid="{00000000-0005-0000-0000-00007F760000}"/>
    <cellStyle name="Positive 3 2 16 3 2 8" xfId="30323" xr:uid="{00000000-0005-0000-0000-000080760000}"/>
    <cellStyle name="Positive 3 2 16 3 2 8 2" xfId="30324" xr:uid="{00000000-0005-0000-0000-000081760000}"/>
    <cellStyle name="Positive 3 2 16 3 2 9" xfId="30325" xr:uid="{00000000-0005-0000-0000-000082760000}"/>
    <cellStyle name="Positive 3 2 16 3 2 9 2" xfId="30326" xr:uid="{00000000-0005-0000-0000-000083760000}"/>
    <cellStyle name="Positive 3 2 16 3 20" xfId="30327" xr:uid="{00000000-0005-0000-0000-000084760000}"/>
    <cellStyle name="Positive 3 2 16 3 3" xfId="30328" xr:uid="{00000000-0005-0000-0000-000085760000}"/>
    <cellStyle name="Positive 3 2 16 3 3 2" xfId="30329" xr:uid="{00000000-0005-0000-0000-000086760000}"/>
    <cellStyle name="Positive 3 2 16 3 3 2 2" xfId="30330" xr:uid="{00000000-0005-0000-0000-000087760000}"/>
    <cellStyle name="Positive 3 2 16 3 3 3" xfId="30331" xr:uid="{00000000-0005-0000-0000-000088760000}"/>
    <cellStyle name="Positive 3 2 16 3 4" xfId="30332" xr:uid="{00000000-0005-0000-0000-000089760000}"/>
    <cellStyle name="Positive 3 2 16 3 4 2" xfId="30333" xr:uid="{00000000-0005-0000-0000-00008A760000}"/>
    <cellStyle name="Positive 3 2 16 3 4 2 2" xfId="30334" xr:uid="{00000000-0005-0000-0000-00008B760000}"/>
    <cellStyle name="Positive 3 2 16 3 4 3" xfId="30335" xr:uid="{00000000-0005-0000-0000-00008C760000}"/>
    <cellStyle name="Positive 3 2 16 3 5" xfId="30336" xr:uid="{00000000-0005-0000-0000-00008D760000}"/>
    <cellStyle name="Positive 3 2 16 3 5 2" xfId="30337" xr:uid="{00000000-0005-0000-0000-00008E760000}"/>
    <cellStyle name="Positive 3 2 16 3 6" xfId="30338" xr:uid="{00000000-0005-0000-0000-00008F760000}"/>
    <cellStyle name="Positive 3 2 16 3 6 2" xfId="30339" xr:uid="{00000000-0005-0000-0000-000090760000}"/>
    <cellStyle name="Positive 3 2 16 3 7" xfId="30340" xr:uid="{00000000-0005-0000-0000-000091760000}"/>
    <cellStyle name="Positive 3 2 16 3 7 2" xfId="30341" xr:uid="{00000000-0005-0000-0000-000092760000}"/>
    <cellStyle name="Positive 3 2 16 3 8" xfId="30342" xr:uid="{00000000-0005-0000-0000-000093760000}"/>
    <cellStyle name="Positive 3 2 16 3 8 2" xfId="30343" xr:uid="{00000000-0005-0000-0000-000094760000}"/>
    <cellStyle name="Positive 3 2 16 3 9" xfId="30344" xr:uid="{00000000-0005-0000-0000-000095760000}"/>
    <cellStyle name="Positive 3 2 16 3 9 2" xfId="30345" xr:uid="{00000000-0005-0000-0000-000096760000}"/>
    <cellStyle name="Positive 3 2 16 4" xfId="30346" xr:uid="{00000000-0005-0000-0000-000097760000}"/>
    <cellStyle name="Positive 3 2 16 4 10" xfId="30347" xr:uid="{00000000-0005-0000-0000-000098760000}"/>
    <cellStyle name="Positive 3 2 16 4 10 2" xfId="30348" xr:uid="{00000000-0005-0000-0000-000099760000}"/>
    <cellStyle name="Positive 3 2 16 4 11" xfId="30349" xr:uid="{00000000-0005-0000-0000-00009A760000}"/>
    <cellStyle name="Positive 3 2 16 4 11 2" xfId="30350" xr:uid="{00000000-0005-0000-0000-00009B760000}"/>
    <cellStyle name="Positive 3 2 16 4 12" xfId="30351" xr:uid="{00000000-0005-0000-0000-00009C760000}"/>
    <cellStyle name="Positive 3 2 16 4 12 2" xfId="30352" xr:uid="{00000000-0005-0000-0000-00009D760000}"/>
    <cellStyle name="Positive 3 2 16 4 13" xfId="30353" xr:uid="{00000000-0005-0000-0000-00009E760000}"/>
    <cellStyle name="Positive 3 2 16 4 13 2" xfId="30354" xr:uid="{00000000-0005-0000-0000-00009F760000}"/>
    <cellStyle name="Positive 3 2 16 4 14" xfId="30355" xr:uid="{00000000-0005-0000-0000-0000A0760000}"/>
    <cellStyle name="Positive 3 2 16 4 14 2" xfId="30356" xr:uid="{00000000-0005-0000-0000-0000A1760000}"/>
    <cellStyle name="Positive 3 2 16 4 15" xfId="30357" xr:uid="{00000000-0005-0000-0000-0000A2760000}"/>
    <cellStyle name="Positive 3 2 16 4 15 2" xfId="30358" xr:uid="{00000000-0005-0000-0000-0000A3760000}"/>
    <cellStyle name="Positive 3 2 16 4 16" xfId="30359" xr:uid="{00000000-0005-0000-0000-0000A4760000}"/>
    <cellStyle name="Positive 3 2 16 4 16 2" xfId="30360" xr:uid="{00000000-0005-0000-0000-0000A5760000}"/>
    <cellStyle name="Positive 3 2 16 4 17" xfId="30361" xr:uid="{00000000-0005-0000-0000-0000A6760000}"/>
    <cellStyle name="Positive 3 2 16 4 17 2" xfId="30362" xr:uid="{00000000-0005-0000-0000-0000A7760000}"/>
    <cellStyle name="Positive 3 2 16 4 18" xfId="30363" xr:uid="{00000000-0005-0000-0000-0000A8760000}"/>
    <cellStyle name="Positive 3 2 16 4 18 2" xfId="30364" xr:uid="{00000000-0005-0000-0000-0000A9760000}"/>
    <cellStyle name="Positive 3 2 16 4 19" xfId="30365" xr:uid="{00000000-0005-0000-0000-0000AA760000}"/>
    <cellStyle name="Positive 3 2 16 4 19 2" xfId="30366" xr:uid="{00000000-0005-0000-0000-0000AB760000}"/>
    <cellStyle name="Positive 3 2 16 4 2" xfId="30367" xr:uid="{00000000-0005-0000-0000-0000AC760000}"/>
    <cellStyle name="Positive 3 2 16 4 2 10" xfId="30368" xr:uid="{00000000-0005-0000-0000-0000AD760000}"/>
    <cellStyle name="Positive 3 2 16 4 2 10 2" xfId="30369" xr:uid="{00000000-0005-0000-0000-0000AE760000}"/>
    <cellStyle name="Positive 3 2 16 4 2 11" xfId="30370" xr:uid="{00000000-0005-0000-0000-0000AF760000}"/>
    <cellStyle name="Positive 3 2 16 4 2 11 2" xfId="30371" xr:uid="{00000000-0005-0000-0000-0000B0760000}"/>
    <cellStyle name="Positive 3 2 16 4 2 12" xfId="30372" xr:uid="{00000000-0005-0000-0000-0000B1760000}"/>
    <cellStyle name="Positive 3 2 16 4 2 12 2" xfId="30373" xr:uid="{00000000-0005-0000-0000-0000B2760000}"/>
    <cellStyle name="Positive 3 2 16 4 2 13" xfId="30374" xr:uid="{00000000-0005-0000-0000-0000B3760000}"/>
    <cellStyle name="Positive 3 2 16 4 2 13 2" xfId="30375" xr:uid="{00000000-0005-0000-0000-0000B4760000}"/>
    <cellStyle name="Positive 3 2 16 4 2 14" xfId="30376" xr:uid="{00000000-0005-0000-0000-0000B5760000}"/>
    <cellStyle name="Positive 3 2 16 4 2 14 2" xfId="30377" xr:uid="{00000000-0005-0000-0000-0000B6760000}"/>
    <cellStyle name="Positive 3 2 16 4 2 15" xfId="30378" xr:uid="{00000000-0005-0000-0000-0000B7760000}"/>
    <cellStyle name="Positive 3 2 16 4 2 15 2" xfId="30379" xr:uid="{00000000-0005-0000-0000-0000B8760000}"/>
    <cellStyle name="Positive 3 2 16 4 2 16" xfId="30380" xr:uid="{00000000-0005-0000-0000-0000B9760000}"/>
    <cellStyle name="Positive 3 2 16 4 2 16 2" xfId="30381" xr:uid="{00000000-0005-0000-0000-0000BA760000}"/>
    <cellStyle name="Positive 3 2 16 4 2 17" xfId="30382" xr:uid="{00000000-0005-0000-0000-0000BB760000}"/>
    <cellStyle name="Positive 3 2 16 4 2 2" xfId="30383" xr:uid="{00000000-0005-0000-0000-0000BC760000}"/>
    <cellStyle name="Positive 3 2 16 4 2 2 2" xfId="30384" xr:uid="{00000000-0005-0000-0000-0000BD760000}"/>
    <cellStyle name="Positive 3 2 16 4 2 3" xfId="30385" xr:uid="{00000000-0005-0000-0000-0000BE760000}"/>
    <cellStyle name="Positive 3 2 16 4 2 3 2" xfId="30386" xr:uid="{00000000-0005-0000-0000-0000BF760000}"/>
    <cellStyle name="Positive 3 2 16 4 2 4" xfId="30387" xr:uid="{00000000-0005-0000-0000-0000C0760000}"/>
    <cellStyle name="Positive 3 2 16 4 2 4 2" xfId="30388" xr:uid="{00000000-0005-0000-0000-0000C1760000}"/>
    <cellStyle name="Positive 3 2 16 4 2 5" xfId="30389" xr:uid="{00000000-0005-0000-0000-0000C2760000}"/>
    <cellStyle name="Positive 3 2 16 4 2 5 2" xfId="30390" xr:uid="{00000000-0005-0000-0000-0000C3760000}"/>
    <cellStyle name="Positive 3 2 16 4 2 6" xfId="30391" xr:uid="{00000000-0005-0000-0000-0000C4760000}"/>
    <cellStyle name="Positive 3 2 16 4 2 6 2" xfId="30392" xr:uid="{00000000-0005-0000-0000-0000C5760000}"/>
    <cellStyle name="Positive 3 2 16 4 2 7" xfId="30393" xr:uid="{00000000-0005-0000-0000-0000C6760000}"/>
    <cellStyle name="Positive 3 2 16 4 2 7 2" xfId="30394" xr:uid="{00000000-0005-0000-0000-0000C7760000}"/>
    <cellStyle name="Positive 3 2 16 4 2 8" xfId="30395" xr:uid="{00000000-0005-0000-0000-0000C8760000}"/>
    <cellStyle name="Positive 3 2 16 4 2 8 2" xfId="30396" xr:uid="{00000000-0005-0000-0000-0000C9760000}"/>
    <cellStyle name="Positive 3 2 16 4 2 9" xfId="30397" xr:uid="{00000000-0005-0000-0000-0000CA760000}"/>
    <cellStyle name="Positive 3 2 16 4 2 9 2" xfId="30398" xr:uid="{00000000-0005-0000-0000-0000CB760000}"/>
    <cellStyle name="Positive 3 2 16 4 20" xfId="30399" xr:uid="{00000000-0005-0000-0000-0000CC760000}"/>
    <cellStyle name="Positive 3 2 16 4 3" xfId="30400" xr:uid="{00000000-0005-0000-0000-0000CD760000}"/>
    <cellStyle name="Positive 3 2 16 4 3 2" xfId="30401" xr:uid="{00000000-0005-0000-0000-0000CE760000}"/>
    <cellStyle name="Positive 3 2 16 4 3 2 2" xfId="30402" xr:uid="{00000000-0005-0000-0000-0000CF760000}"/>
    <cellStyle name="Positive 3 2 16 4 3 3" xfId="30403" xr:uid="{00000000-0005-0000-0000-0000D0760000}"/>
    <cellStyle name="Positive 3 2 16 4 4" xfId="30404" xr:uid="{00000000-0005-0000-0000-0000D1760000}"/>
    <cellStyle name="Positive 3 2 16 4 4 2" xfId="30405" xr:uid="{00000000-0005-0000-0000-0000D2760000}"/>
    <cellStyle name="Positive 3 2 16 4 4 2 2" xfId="30406" xr:uid="{00000000-0005-0000-0000-0000D3760000}"/>
    <cellStyle name="Positive 3 2 16 4 4 3" xfId="30407" xr:uid="{00000000-0005-0000-0000-0000D4760000}"/>
    <cellStyle name="Positive 3 2 16 4 5" xfId="30408" xr:uid="{00000000-0005-0000-0000-0000D5760000}"/>
    <cellStyle name="Positive 3 2 16 4 5 2" xfId="30409" xr:uid="{00000000-0005-0000-0000-0000D6760000}"/>
    <cellStyle name="Positive 3 2 16 4 6" xfId="30410" xr:uid="{00000000-0005-0000-0000-0000D7760000}"/>
    <cellStyle name="Positive 3 2 16 4 6 2" xfId="30411" xr:uid="{00000000-0005-0000-0000-0000D8760000}"/>
    <cellStyle name="Positive 3 2 16 4 7" xfId="30412" xr:uid="{00000000-0005-0000-0000-0000D9760000}"/>
    <cellStyle name="Positive 3 2 16 4 7 2" xfId="30413" xr:uid="{00000000-0005-0000-0000-0000DA760000}"/>
    <cellStyle name="Positive 3 2 16 4 8" xfId="30414" xr:uid="{00000000-0005-0000-0000-0000DB760000}"/>
    <cellStyle name="Positive 3 2 16 4 8 2" xfId="30415" xr:uid="{00000000-0005-0000-0000-0000DC760000}"/>
    <cellStyle name="Positive 3 2 16 4 9" xfId="30416" xr:uid="{00000000-0005-0000-0000-0000DD760000}"/>
    <cellStyle name="Positive 3 2 16 4 9 2" xfId="30417" xr:uid="{00000000-0005-0000-0000-0000DE760000}"/>
    <cellStyle name="Positive 3 2 16 5" xfId="30418" xr:uid="{00000000-0005-0000-0000-0000DF760000}"/>
    <cellStyle name="Positive 3 2 16 5 10" xfId="30419" xr:uid="{00000000-0005-0000-0000-0000E0760000}"/>
    <cellStyle name="Positive 3 2 16 5 10 2" xfId="30420" xr:uid="{00000000-0005-0000-0000-0000E1760000}"/>
    <cellStyle name="Positive 3 2 16 5 11" xfId="30421" xr:uid="{00000000-0005-0000-0000-0000E2760000}"/>
    <cellStyle name="Positive 3 2 16 5 11 2" xfId="30422" xr:uid="{00000000-0005-0000-0000-0000E3760000}"/>
    <cellStyle name="Positive 3 2 16 5 12" xfId="30423" xr:uid="{00000000-0005-0000-0000-0000E4760000}"/>
    <cellStyle name="Positive 3 2 16 5 12 2" xfId="30424" xr:uid="{00000000-0005-0000-0000-0000E5760000}"/>
    <cellStyle name="Positive 3 2 16 5 13" xfId="30425" xr:uid="{00000000-0005-0000-0000-0000E6760000}"/>
    <cellStyle name="Positive 3 2 16 5 13 2" xfId="30426" xr:uid="{00000000-0005-0000-0000-0000E7760000}"/>
    <cellStyle name="Positive 3 2 16 5 14" xfId="30427" xr:uid="{00000000-0005-0000-0000-0000E8760000}"/>
    <cellStyle name="Positive 3 2 16 5 14 2" xfId="30428" xr:uid="{00000000-0005-0000-0000-0000E9760000}"/>
    <cellStyle name="Positive 3 2 16 5 15" xfId="30429" xr:uid="{00000000-0005-0000-0000-0000EA760000}"/>
    <cellStyle name="Positive 3 2 16 5 15 2" xfId="30430" xr:uid="{00000000-0005-0000-0000-0000EB760000}"/>
    <cellStyle name="Positive 3 2 16 5 16" xfId="30431" xr:uid="{00000000-0005-0000-0000-0000EC760000}"/>
    <cellStyle name="Positive 3 2 16 5 16 2" xfId="30432" xr:uid="{00000000-0005-0000-0000-0000ED760000}"/>
    <cellStyle name="Positive 3 2 16 5 17" xfId="30433" xr:uid="{00000000-0005-0000-0000-0000EE760000}"/>
    <cellStyle name="Positive 3 2 16 5 2" xfId="30434" xr:uid="{00000000-0005-0000-0000-0000EF760000}"/>
    <cellStyle name="Positive 3 2 16 5 2 2" xfId="30435" xr:uid="{00000000-0005-0000-0000-0000F0760000}"/>
    <cellStyle name="Positive 3 2 16 5 3" xfId="30436" xr:uid="{00000000-0005-0000-0000-0000F1760000}"/>
    <cellStyle name="Positive 3 2 16 5 3 2" xfId="30437" xr:uid="{00000000-0005-0000-0000-0000F2760000}"/>
    <cellStyle name="Positive 3 2 16 5 4" xfId="30438" xr:uid="{00000000-0005-0000-0000-0000F3760000}"/>
    <cellStyle name="Positive 3 2 16 5 4 2" xfId="30439" xr:uid="{00000000-0005-0000-0000-0000F4760000}"/>
    <cellStyle name="Positive 3 2 16 5 5" xfId="30440" xr:uid="{00000000-0005-0000-0000-0000F5760000}"/>
    <cellStyle name="Positive 3 2 16 5 5 2" xfId="30441" xr:uid="{00000000-0005-0000-0000-0000F6760000}"/>
    <cellStyle name="Positive 3 2 16 5 6" xfId="30442" xr:uid="{00000000-0005-0000-0000-0000F7760000}"/>
    <cellStyle name="Positive 3 2 16 5 6 2" xfId="30443" xr:uid="{00000000-0005-0000-0000-0000F8760000}"/>
    <cellStyle name="Positive 3 2 16 5 7" xfId="30444" xr:uid="{00000000-0005-0000-0000-0000F9760000}"/>
    <cellStyle name="Positive 3 2 16 5 7 2" xfId="30445" xr:uid="{00000000-0005-0000-0000-0000FA760000}"/>
    <cellStyle name="Positive 3 2 16 5 8" xfId="30446" xr:uid="{00000000-0005-0000-0000-0000FB760000}"/>
    <cellStyle name="Positive 3 2 16 5 8 2" xfId="30447" xr:uid="{00000000-0005-0000-0000-0000FC760000}"/>
    <cellStyle name="Positive 3 2 16 5 9" xfId="30448" xr:uid="{00000000-0005-0000-0000-0000FD760000}"/>
    <cellStyle name="Positive 3 2 16 5 9 2" xfId="30449" xr:uid="{00000000-0005-0000-0000-0000FE760000}"/>
    <cellStyle name="Positive 3 2 16 6" xfId="30450" xr:uid="{00000000-0005-0000-0000-0000FF760000}"/>
    <cellStyle name="Positive 3 2 16 6 2" xfId="30451" xr:uid="{00000000-0005-0000-0000-000000770000}"/>
    <cellStyle name="Positive 3 2 16 6 2 2" xfId="30452" xr:uid="{00000000-0005-0000-0000-000001770000}"/>
    <cellStyle name="Positive 3 2 16 6 3" xfId="30453" xr:uid="{00000000-0005-0000-0000-000002770000}"/>
    <cellStyle name="Positive 3 2 16 7" xfId="30454" xr:uid="{00000000-0005-0000-0000-000003770000}"/>
    <cellStyle name="Positive 3 2 16 7 2" xfId="30455" xr:uid="{00000000-0005-0000-0000-000004770000}"/>
    <cellStyle name="Positive 3 2 16 7 2 2" xfId="30456" xr:uid="{00000000-0005-0000-0000-000005770000}"/>
    <cellStyle name="Positive 3 2 16 7 3" xfId="30457" xr:uid="{00000000-0005-0000-0000-000006770000}"/>
    <cellStyle name="Positive 3 2 16 8" xfId="30458" xr:uid="{00000000-0005-0000-0000-000007770000}"/>
    <cellStyle name="Positive 3 2 16 8 2" xfId="30459" xr:uid="{00000000-0005-0000-0000-000008770000}"/>
    <cellStyle name="Positive 3 2 16 9" xfId="30460" xr:uid="{00000000-0005-0000-0000-000009770000}"/>
    <cellStyle name="Positive 3 2 16 9 2" xfId="30461" xr:uid="{00000000-0005-0000-0000-00000A770000}"/>
    <cellStyle name="Positive 3 2 17" xfId="30462" xr:uid="{00000000-0005-0000-0000-00000B770000}"/>
    <cellStyle name="Positive 3 2 17 10" xfId="30463" xr:uid="{00000000-0005-0000-0000-00000C770000}"/>
    <cellStyle name="Positive 3 2 17 10 2" xfId="30464" xr:uid="{00000000-0005-0000-0000-00000D770000}"/>
    <cellStyle name="Positive 3 2 17 11" xfId="30465" xr:uid="{00000000-0005-0000-0000-00000E770000}"/>
    <cellStyle name="Positive 3 2 17 11 2" xfId="30466" xr:uid="{00000000-0005-0000-0000-00000F770000}"/>
    <cellStyle name="Positive 3 2 17 12" xfId="30467" xr:uid="{00000000-0005-0000-0000-000010770000}"/>
    <cellStyle name="Positive 3 2 17 12 2" xfId="30468" xr:uid="{00000000-0005-0000-0000-000011770000}"/>
    <cellStyle name="Positive 3 2 17 13" xfId="30469" xr:uid="{00000000-0005-0000-0000-000012770000}"/>
    <cellStyle name="Positive 3 2 17 13 2" xfId="30470" xr:uid="{00000000-0005-0000-0000-000013770000}"/>
    <cellStyle name="Positive 3 2 17 14" xfId="30471" xr:uid="{00000000-0005-0000-0000-000014770000}"/>
    <cellStyle name="Positive 3 2 17 14 2" xfId="30472" xr:uid="{00000000-0005-0000-0000-000015770000}"/>
    <cellStyle name="Positive 3 2 17 15" xfId="30473" xr:uid="{00000000-0005-0000-0000-000016770000}"/>
    <cellStyle name="Positive 3 2 17 15 2" xfId="30474" xr:uid="{00000000-0005-0000-0000-000017770000}"/>
    <cellStyle name="Positive 3 2 17 16" xfId="30475" xr:uid="{00000000-0005-0000-0000-000018770000}"/>
    <cellStyle name="Positive 3 2 17 16 2" xfId="30476" xr:uid="{00000000-0005-0000-0000-000019770000}"/>
    <cellStyle name="Positive 3 2 17 17" xfId="30477" xr:uid="{00000000-0005-0000-0000-00001A770000}"/>
    <cellStyle name="Positive 3 2 17 17 2" xfId="30478" xr:uid="{00000000-0005-0000-0000-00001B770000}"/>
    <cellStyle name="Positive 3 2 17 18" xfId="30479" xr:uid="{00000000-0005-0000-0000-00001C770000}"/>
    <cellStyle name="Positive 3 2 17 18 2" xfId="30480" xr:uid="{00000000-0005-0000-0000-00001D770000}"/>
    <cellStyle name="Positive 3 2 17 19" xfId="30481" xr:uid="{00000000-0005-0000-0000-00001E770000}"/>
    <cellStyle name="Positive 3 2 17 19 2" xfId="30482" xr:uid="{00000000-0005-0000-0000-00001F770000}"/>
    <cellStyle name="Positive 3 2 17 2" xfId="30483" xr:uid="{00000000-0005-0000-0000-000020770000}"/>
    <cellStyle name="Positive 3 2 17 2 10" xfId="30484" xr:uid="{00000000-0005-0000-0000-000021770000}"/>
    <cellStyle name="Positive 3 2 17 2 10 2" xfId="30485" xr:uid="{00000000-0005-0000-0000-000022770000}"/>
    <cellStyle name="Positive 3 2 17 2 11" xfId="30486" xr:uid="{00000000-0005-0000-0000-000023770000}"/>
    <cellStyle name="Positive 3 2 17 2 11 2" xfId="30487" xr:uid="{00000000-0005-0000-0000-000024770000}"/>
    <cellStyle name="Positive 3 2 17 2 12" xfId="30488" xr:uid="{00000000-0005-0000-0000-000025770000}"/>
    <cellStyle name="Positive 3 2 17 2 12 2" xfId="30489" xr:uid="{00000000-0005-0000-0000-000026770000}"/>
    <cellStyle name="Positive 3 2 17 2 13" xfId="30490" xr:uid="{00000000-0005-0000-0000-000027770000}"/>
    <cellStyle name="Positive 3 2 17 2 13 2" xfId="30491" xr:uid="{00000000-0005-0000-0000-000028770000}"/>
    <cellStyle name="Positive 3 2 17 2 14" xfId="30492" xr:uid="{00000000-0005-0000-0000-000029770000}"/>
    <cellStyle name="Positive 3 2 17 2 14 2" xfId="30493" xr:uid="{00000000-0005-0000-0000-00002A770000}"/>
    <cellStyle name="Positive 3 2 17 2 15" xfId="30494" xr:uid="{00000000-0005-0000-0000-00002B770000}"/>
    <cellStyle name="Positive 3 2 17 2 15 2" xfId="30495" xr:uid="{00000000-0005-0000-0000-00002C770000}"/>
    <cellStyle name="Positive 3 2 17 2 16" xfId="30496" xr:uid="{00000000-0005-0000-0000-00002D770000}"/>
    <cellStyle name="Positive 3 2 17 2 16 2" xfId="30497" xr:uid="{00000000-0005-0000-0000-00002E770000}"/>
    <cellStyle name="Positive 3 2 17 2 17" xfId="30498" xr:uid="{00000000-0005-0000-0000-00002F770000}"/>
    <cellStyle name="Positive 3 2 17 2 2" xfId="30499" xr:uid="{00000000-0005-0000-0000-000030770000}"/>
    <cellStyle name="Positive 3 2 17 2 2 2" xfId="30500" xr:uid="{00000000-0005-0000-0000-000031770000}"/>
    <cellStyle name="Positive 3 2 17 2 3" xfId="30501" xr:uid="{00000000-0005-0000-0000-000032770000}"/>
    <cellStyle name="Positive 3 2 17 2 3 2" xfId="30502" xr:uid="{00000000-0005-0000-0000-000033770000}"/>
    <cellStyle name="Positive 3 2 17 2 4" xfId="30503" xr:uid="{00000000-0005-0000-0000-000034770000}"/>
    <cellStyle name="Positive 3 2 17 2 4 2" xfId="30504" xr:uid="{00000000-0005-0000-0000-000035770000}"/>
    <cellStyle name="Positive 3 2 17 2 5" xfId="30505" xr:uid="{00000000-0005-0000-0000-000036770000}"/>
    <cellStyle name="Positive 3 2 17 2 5 2" xfId="30506" xr:uid="{00000000-0005-0000-0000-000037770000}"/>
    <cellStyle name="Positive 3 2 17 2 6" xfId="30507" xr:uid="{00000000-0005-0000-0000-000038770000}"/>
    <cellStyle name="Positive 3 2 17 2 6 2" xfId="30508" xr:uid="{00000000-0005-0000-0000-000039770000}"/>
    <cellStyle name="Positive 3 2 17 2 7" xfId="30509" xr:uid="{00000000-0005-0000-0000-00003A770000}"/>
    <cellStyle name="Positive 3 2 17 2 7 2" xfId="30510" xr:uid="{00000000-0005-0000-0000-00003B770000}"/>
    <cellStyle name="Positive 3 2 17 2 8" xfId="30511" xr:uid="{00000000-0005-0000-0000-00003C770000}"/>
    <cellStyle name="Positive 3 2 17 2 8 2" xfId="30512" xr:uid="{00000000-0005-0000-0000-00003D770000}"/>
    <cellStyle name="Positive 3 2 17 2 9" xfId="30513" xr:uid="{00000000-0005-0000-0000-00003E770000}"/>
    <cellStyle name="Positive 3 2 17 2 9 2" xfId="30514" xr:uid="{00000000-0005-0000-0000-00003F770000}"/>
    <cellStyle name="Positive 3 2 17 20" xfId="30515" xr:uid="{00000000-0005-0000-0000-000040770000}"/>
    <cellStyle name="Positive 3 2 17 3" xfId="30516" xr:uid="{00000000-0005-0000-0000-000041770000}"/>
    <cellStyle name="Positive 3 2 17 3 2" xfId="30517" xr:uid="{00000000-0005-0000-0000-000042770000}"/>
    <cellStyle name="Positive 3 2 17 3 2 2" xfId="30518" xr:uid="{00000000-0005-0000-0000-000043770000}"/>
    <cellStyle name="Positive 3 2 17 3 3" xfId="30519" xr:uid="{00000000-0005-0000-0000-000044770000}"/>
    <cellStyle name="Positive 3 2 17 4" xfId="30520" xr:uid="{00000000-0005-0000-0000-000045770000}"/>
    <cellStyle name="Positive 3 2 17 4 2" xfId="30521" xr:uid="{00000000-0005-0000-0000-000046770000}"/>
    <cellStyle name="Positive 3 2 17 4 2 2" xfId="30522" xr:uid="{00000000-0005-0000-0000-000047770000}"/>
    <cellStyle name="Positive 3 2 17 4 3" xfId="30523" xr:uid="{00000000-0005-0000-0000-000048770000}"/>
    <cellStyle name="Positive 3 2 17 5" xfId="30524" xr:uid="{00000000-0005-0000-0000-000049770000}"/>
    <cellStyle name="Positive 3 2 17 5 2" xfId="30525" xr:uid="{00000000-0005-0000-0000-00004A770000}"/>
    <cellStyle name="Positive 3 2 17 6" xfId="30526" xr:uid="{00000000-0005-0000-0000-00004B770000}"/>
    <cellStyle name="Positive 3 2 17 6 2" xfId="30527" xr:uid="{00000000-0005-0000-0000-00004C770000}"/>
    <cellStyle name="Positive 3 2 17 7" xfId="30528" xr:uid="{00000000-0005-0000-0000-00004D770000}"/>
    <cellStyle name="Positive 3 2 17 7 2" xfId="30529" xr:uid="{00000000-0005-0000-0000-00004E770000}"/>
    <cellStyle name="Positive 3 2 17 8" xfId="30530" xr:uid="{00000000-0005-0000-0000-00004F770000}"/>
    <cellStyle name="Positive 3 2 17 8 2" xfId="30531" xr:uid="{00000000-0005-0000-0000-000050770000}"/>
    <cellStyle name="Positive 3 2 17 9" xfId="30532" xr:uid="{00000000-0005-0000-0000-000051770000}"/>
    <cellStyle name="Positive 3 2 17 9 2" xfId="30533" xr:uid="{00000000-0005-0000-0000-000052770000}"/>
    <cellStyle name="Positive 3 2 18" xfId="30534" xr:uid="{00000000-0005-0000-0000-000053770000}"/>
    <cellStyle name="Positive 3 2 18 10" xfId="30535" xr:uid="{00000000-0005-0000-0000-000054770000}"/>
    <cellStyle name="Positive 3 2 18 10 2" xfId="30536" xr:uid="{00000000-0005-0000-0000-000055770000}"/>
    <cellStyle name="Positive 3 2 18 11" xfId="30537" xr:uid="{00000000-0005-0000-0000-000056770000}"/>
    <cellStyle name="Positive 3 2 18 11 2" xfId="30538" xr:uid="{00000000-0005-0000-0000-000057770000}"/>
    <cellStyle name="Positive 3 2 18 12" xfId="30539" xr:uid="{00000000-0005-0000-0000-000058770000}"/>
    <cellStyle name="Positive 3 2 18 12 2" xfId="30540" xr:uid="{00000000-0005-0000-0000-000059770000}"/>
    <cellStyle name="Positive 3 2 18 13" xfId="30541" xr:uid="{00000000-0005-0000-0000-00005A770000}"/>
    <cellStyle name="Positive 3 2 18 13 2" xfId="30542" xr:uid="{00000000-0005-0000-0000-00005B770000}"/>
    <cellStyle name="Positive 3 2 18 14" xfId="30543" xr:uid="{00000000-0005-0000-0000-00005C770000}"/>
    <cellStyle name="Positive 3 2 18 14 2" xfId="30544" xr:uid="{00000000-0005-0000-0000-00005D770000}"/>
    <cellStyle name="Positive 3 2 18 15" xfId="30545" xr:uid="{00000000-0005-0000-0000-00005E770000}"/>
    <cellStyle name="Positive 3 2 18 15 2" xfId="30546" xr:uid="{00000000-0005-0000-0000-00005F770000}"/>
    <cellStyle name="Positive 3 2 18 16" xfId="30547" xr:uid="{00000000-0005-0000-0000-000060770000}"/>
    <cellStyle name="Positive 3 2 18 16 2" xfId="30548" xr:uid="{00000000-0005-0000-0000-000061770000}"/>
    <cellStyle name="Positive 3 2 18 17" xfId="30549" xr:uid="{00000000-0005-0000-0000-000062770000}"/>
    <cellStyle name="Positive 3 2 18 17 2" xfId="30550" xr:uid="{00000000-0005-0000-0000-000063770000}"/>
    <cellStyle name="Positive 3 2 18 18" xfId="30551" xr:uid="{00000000-0005-0000-0000-000064770000}"/>
    <cellStyle name="Positive 3 2 18 18 2" xfId="30552" xr:uid="{00000000-0005-0000-0000-000065770000}"/>
    <cellStyle name="Positive 3 2 18 19" xfId="30553" xr:uid="{00000000-0005-0000-0000-000066770000}"/>
    <cellStyle name="Positive 3 2 18 19 2" xfId="30554" xr:uid="{00000000-0005-0000-0000-000067770000}"/>
    <cellStyle name="Positive 3 2 18 2" xfId="30555" xr:uid="{00000000-0005-0000-0000-000068770000}"/>
    <cellStyle name="Positive 3 2 18 2 10" xfId="30556" xr:uid="{00000000-0005-0000-0000-000069770000}"/>
    <cellStyle name="Positive 3 2 18 2 10 2" xfId="30557" xr:uid="{00000000-0005-0000-0000-00006A770000}"/>
    <cellStyle name="Positive 3 2 18 2 11" xfId="30558" xr:uid="{00000000-0005-0000-0000-00006B770000}"/>
    <cellStyle name="Positive 3 2 18 2 11 2" xfId="30559" xr:uid="{00000000-0005-0000-0000-00006C770000}"/>
    <cellStyle name="Positive 3 2 18 2 12" xfId="30560" xr:uid="{00000000-0005-0000-0000-00006D770000}"/>
    <cellStyle name="Positive 3 2 18 2 12 2" xfId="30561" xr:uid="{00000000-0005-0000-0000-00006E770000}"/>
    <cellStyle name="Positive 3 2 18 2 13" xfId="30562" xr:uid="{00000000-0005-0000-0000-00006F770000}"/>
    <cellStyle name="Positive 3 2 18 2 13 2" xfId="30563" xr:uid="{00000000-0005-0000-0000-000070770000}"/>
    <cellStyle name="Positive 3 2 18 2 14" xfId="30564" xr:uid="{00000000-0005-0000-0000-000071770000}"/>
    <cellStyle name="Positive 3 2 18 2 14 2" xfId="30565" xr:uid="{00000000-0005-0000-0000-000072770000}"/>
    <cellStyle name="Positive 3 2 18 2 15" xfId="30566" xr:uid="{00000000-0005-0000-0000-000073770000}"/>
    <cellStyle name="Positive 3 2 18 2 15 2" xfId="30567" xr:uid="{00000000-0005-0000-0000-000074770000}"/>
    <cellStyle name="Positive 3 2 18 2 16" xfId="30568" xr:uid="{00000000-0005-0000-0000-000075770000}"/>
    <cellStyle name="Positive 3 2 18 2 16 2" xfId="30569" xr:uid="{00000000-0005-0000-0000-000076770000}"/>
    <cellStyle name="Positive 3 2 18 2 17" xfId="30570" xr:uid="{00000000-0005-0000-0000-000077770000}"/>
    <cellStyle name="Positive 3 2 18 2 2" xfId="30571" xr:uid="{00000000-0005-0000-0000-000078770000}"/>
    <cellStyle name="Positive 3 2 18 2 2 2" xfId="30572" xr:uid="{00000000-0005-0000-0000-000079770000}"/>
    <cellStyle name="Positive 3 2 18 2 3" xfId="30573" xr:uid="{00000000-0005-0000-0000-00007A770000}"/>
    <cellStyle name="Positive 3 2 18 2 3 2" xfId="30574" xr:uid="{00000000-0005-0000-0000-00007B770000}"/>
    <cellStyle name="Positive 3 2 18 2 4" xfId="30575" xr:uid="{00000000-0005-0000-0000-00007C770000}"/>
    <cellStyle name="Positive 3 2 18 2 4 2" xfId="30576" xr:uid="{00000000-0005-0000-0000-00007D770000}"/>
    <cellStyle name="Positive 3 2 18 2 5" xfId="30577" xr:uid="{00000000-0005-0000-0000-00007E770000}"/>
    <cellStyle name="Positive 3 2 18 2 5 2" xfId="30578" xr:uid="{00000000-0005-0000-0000-00007F770000}"/>
    <cellStyle name="Positive 3 2 18 2 6" xfId="30579" xr:uid="{00000000-0005-0000-0000-000080770000}"/>
    <cellStyle name="Positive 3 2 18 2 6 2" xfId="30580" xr:uid="{00000000-0005-0000-0000-000081770000}"/>
    <cellStyle name="Positive 3 2 18 2 7" xfId="30581" xr:uid="{00000000-0005-0000-0000-000082770000}"/>
    <cellStyle name="Positive 3 2 18 2 7 2" xfId="30582" xr:uid="{00000000-0005-0000-0000-000083770000}"/>
    <cellStyle name="Positive 3 2 18 2 8" xfId="30583" xr:uid="{00000000-0005-0000-0000-000084770000}"/>
    <cellStyle name="Positive 3 2 18 2 8 2" xfId="30584" xr:uid="{00000000-0005-0000-0000-000085770000}"/>
    <cellStyle name="Positive 3 2 18 2 9" xfId="30585" xr:uid="{00000000-0005-0000-0000-000086770000}"/>
    <cellStyle name="Positive 3 2 18 2 9 2" xfId="30586" xr:uid="{00000000-0005-0000-0000-000087770000}"/>
    <cellStyle name="Positive 3 2 18 20" xfId="30587" xr:uid="{00000000-0005-0000-0000-000088770000}"/>
    <cellStyle name="Positive 3 2 18 3" xfId="30588" xr:uid="{00000000-0005-0000-0000-000089770000}"/>
    <cellStyle name="Positive 3 2 18 3 2" xfId="30589" xr:uid="{00000000-0005-0000-0000-00008A770000}"/>
    <cellStyle name="Positive 3 2 18 3 2 2" xfId="30590" xr:uid="{00000000-0005-0000-0000-00008B770000}"/>
    <cellStyle name="Positive 3 2 18 3 3" xfId="30591" xr:uid="{00000000-0005-0000-0000-00008C770000}"/>
    <cellStyle name="Positive 3 2 18 4" xfId="30592" xr:uid="{00000000-0005-0000-0000-00008D770000}"/>
    <cellStyle name="Positive 3 2 18 4 2" xfId="30593" xr:uid="{00000000-0005-0000-0000-00008E770000}"/>
    <cellStyle name="Positive 3 2 18 4 2 2" xfId="30594" xr:uid="{00000000-0005-0000-0000-00008F770000}"/>
    <cellStyle name="Positive 3 2 18 4 3" xfId="30595" xr:uid="{00000000-0005-0000-0000-000090770000}"/>
    <cellStyle name="Positive 3 2 18 5" xfId="30596" xr:uid="{00000000-0005-0000-0000-000091770000}"/>
    <cellStyle name="Positive 3 2 18 5 2" xfId="30597" xr:uid="{00000000-0005-0000-0000-000092770000}"/>
    <cellStyle name="Positive 3 2 18 6" xfId="30598" xr:uid="{00000000-0005-0000-0000-000093770000}"/>
    <cellStyle name="Positive 3 2 18 6 2" xfId="30599" xr:uid="{00000000-0005-0000-0000-000094770000}"/>
    <cellStyle name="Positive 3 2 18 7" xfId="30600" xr:uid="{00000000-0005-0000-0000-000095770000}"/>
    <cellStyle name="Positive 3 2 18 7 2" xfId="30601" xr:uid="{00000000-0005-0000-0000-000096770000}"/>
    <cellStyle name="Positive 3 2 18 8" xfId="30602" xr:uid="{00000000-0005-0000-0000-000097770000}"/>
    <cellStyle name="Positive 3 2 18 8 2" xfId="30603" xr:uid="{00000000-0005-0000-0000-000098770000}"/>
    <cellStyle name="Positive 3 2 18 9" xfId="30604" xr:uid="{00000000-0005-0000-0000-000099770000}"/>
    <cellStyle name="Positive 3 2 18 9 2" xfId="30605" xr:uid="{00000000-0005-0000-0000-00009A770000}"/>
    <cellStyle name="Positive 3 2 19" xfId="30606" xr:uid="{00000000-0005-0000-0000-00009B770000}"/>
    <cellStyle name="Positive 3 2 19 10" xfId="30607" xr:uid="{00000000-0005-0000-0000-00009C770000}"/>
    <cellStyle name="Positive 3 2 19 10 2" xfId="30608" xr:uid="{00000000-0005-0000-0000-00009D770000}"/>
    <cellStyle name="Positive 3 2 19 11" xfId="30609" xr:uid="{00000000-0005-0000-0000-00009E770000}"/>
    <cellStyle name="Positive 3 2 19 11 2" xfId="30610" xr:uid="{00000000-0005-0000-0000-00009F770000}"/>
    <cellStyle name="Positive 3 2 19 12" xfId="30611" xr:uid="{00000000-0005-0000-0000-0000A0770000}"/>
    <cellStyle name="Positive 3 2 19 12 2" xfId="30612" xr:uid="{00000000-0005-0000-0000-0000A1770000}"/>
    <cellStyle name="Positive 3 2 19 13" xfId="30613" xr:uid="{00000000-0005-0000-0000-0000A2770000}"/>
    <cellStyle name="Positive 3 2 19 13 2" xfId="30614" xr:uid="{00000000-0005-0000-0000-0000A3770000}"/>
    <cellStyle name="Positive 3 2 19 14" xfId="30615" xr:uid="{00000000-0005-0000-0000-0000A4770000}"/>
    <cellStyle name="Positive 3 2 19 14 2" xfId="30616" xr:uid="{00000000-0005-0000-0000-0000A5770000}"/>
    <cellStyle name="Positive 3 2 19 15" xfId="30617" xr:uid="{00000000-0005-0000-0000-0000A6770000}"/>
    <cellStyle name="Positive 3 2 19 15 2" xfId="30618" xr:uid="{00000000-0005-0000-0000-0000A7770000}"/>
    <cellStyle name="Positive 3 2 19 16" xfId="30619" xr:uid="{00000000-0005-0000-0000-0000A8770000}"/>
    <cellStyle name="Positive 3 2 19 16 2" xfId="30620" xr:uid="{00000000-0005-0000-0000-0000A9770000}"/>
    <cellStyle name="Positive 3 2 19 17" xfId="30621" xr:uid="{00000000-0005-0000-0000-0000AA770000}"/>
    <cellStyle name="Positive 3 2 19 17 2" xfId="30622" xr:uid="{00000000-0005-0000-0000-0000AB770000}"/>
    <cellStyle name="Positive 3 2 19 18" xfId="30623" xr:uid="{00000000-0005-0000-0000-0000AC770000}"/>
    <cellStyle name="Positive 3 2 19 18 2" xfId="30624" xr:uid="{00000000-0005-0000-0000-0000AD770000}"/>
    <cellStyle name="Positive 3 2 19 19" xfId="30625" xr:uid="{00000000-0005-0000-0000-0000AE770000}"/>
    <cellStyle name="Positive 3 2 19 19 2" xfId="30626" xr:uid="{00000000-0005-0000-0000-0000AF770000}"/>
    <cellStyle name="Positive 3 2 19 2" xfId="30627" xr:uid="{00000000-0005-0000-0000-0000B0770000}"/>
    <cellStyle name="Positive 3 2 19 2 10" xfId="30628" xr:uid="{00000000-0005-0000-0000-0000B1770000}"/>
    <cellStyle name="Positive 3 2 19 2 10 2" xfId="30629" xr:uid="{00000000-0005-0000-0000-0000B2770000}"/>
    <cellStyle name="Positive 3 2 19 2 11" xfId="30630" xr:uid="{00000000-0005-0000-0000-0000B3770000}"/>
    <cellStyle name="Positive 3 2 19 2 11 2" xfId="30631" xr:uid="{00000000-0005-0000-0000-0000B4770000}"/>
    <cellStyle name="Positive 3 2 19 2 12" xfId="30632" xr:uid="{00000000-0005-0000-0000-0000B5770000}"/>
    <cellStyle name="Positive 3 2 19 2 12 2" xfId="30633" xr:uid="{00000000-0005-0000-0000-0000B6770000}"/>
    <cellStyle name="Positive 3 2 19 2 13" xfId="30634" xr:uid="{00000000-0005-0000-0000-0000B7770000}"/>
    <cellStyle name="Positive 3 2 19 2 13 2" xfId="30635" xr:uid="{00000000-0005-0000-0000-0000B8770000}"/>
    <cellStyle name="Positive 3 2 19 2 14" xfId="30636" xr:uid="{00000000-0005-0000-0000-0000B9770000}"/>
    <cellStyle name="Positive 3 2 19 2 14 2" xfId="30637" xr:uid="{00000000-0005-0000-0000-0000BA770000}"/>
    <cellStyle name="Positive 3 2 19 2 15" xfId="30638" xr:uid="{00000000-0005-0000-0000-0000BB770000}"/>
    <cellStyle name="Positive 3 2 19 2 15 2" xfId="30639" xr:uid="{00000000-0005-0000-0000-0000BC770000}"/>
    <cellStyle name="Positive 3 2 19 2 16" xfId="30640" xr:uid="{00000000-0005-0000-0000-0000BD770000}"/>
    <cellStyle name="Positive 3 2 19 2 16 2" xfId="30641" xr:uid="{00000000-0005-0000-0000-0000BE770000}"/>
    <cellStyle name="Positive 3 2 19 2 17" xfId="30642" xr:uid="{00000000-0005-0000-0000-0000BF770000}"/>
    <cellStyle name="Positive 3 2 19 2 2" xfId="30643" xr:uid="{00000000-0005-0000-0000-0000C0770000}"/>
    <cellStyle name="Positive 3 2 19 2 2 2" xfId="30644" xr:uid="{00000000-0005-0000-0000-0000C1770000}"/>
    <cellStyle name="Positive 3 2 19 2 3" xfId="30645" xr:uid="{00000000-0005-0000-0000-0000C2770000}"/>
    <cellStyle name="Positive 3 2 19 2 3 2" xfId="30646" xr:uid="{00000000-0005-0000-0000-0000C3770000}"/>
    <cellStyle name="Positive 3 2 19 2 4" xfId="30647" xr:uid="{00000000-0005-0000-0000-0000C4770000}"/>
    <cellStyle name="Positive 3 2 19 2 4 2" xfId="30648" xr:uid="{00000000-0005-0000-0000-0000C5770000}"/>
    <cellStyle name="Positive 3 2 19 2 5" xfId="30649" xr:uid="{00000000-0005-0000-0000-0000C6770000}"/>
    <cellStyle name="Positive 3 2 19 2 5 2" xfId="30650" xr:uid="{00000000-0005-0000-0000-0000C7770000}"/>
    <cellStyle name="Positive 3 2 19 2 6" xfId="30651" xr:uid="{00000000-0005-0000-0000-0000C8770000}"/>
    <cellStyle name="Positive 3 2 19 2 6 2" xfId="30652" xr:uid="{00000000-0005-0000-0000-0000C9770000}"/>
    <cellStyle name="Positive 3 2 19 2 7" xfId="30653" xr:uid="{00000000-0005-0000-0000-0000CA770000}"/>
    <cellStyle name="Positive 3 2 19 2 7 2" xfId="30654" xr:uid="{00000000-0005-0000-0000-0000CB770000}"/>
    <cellStyle name="Positive 3 2 19 2 8" xfId="30655" xr:uid="{00000000-0005-0000-0000-0000CC770000}"/>
    <cellStyle name="Positive 3 2 19 2 8 2" xfId="30656" xr:uid="{00000000-0005-0000-0000-0000CD770000}"/>
    <cellStyle name="Positive 3 2 19 2 9" xfId="30657" xr:uid="{00000000-0005-0000-0000-0000CE770000}"/>
    <cellStyle name="Positive 3 2 19 2 9 2" xfId="30658" xr:uid="{00000000-0005-0000-0000-0000CF770000}"/>
    <cellStyle name="Positive 3 2 19 20" xfId="30659" xr:uid="{00000000-0005-0000-0000-0000D0770000}"/>
    <cellStyle name="Positive 3 2 19 3" xfId="30660" xr:uid="{00000000-0005-0000-0000-0000D1770000}"/>
    <cellStyle name="Positive 3 2 19 3 2" xfId="30661" xr:uid="{00000000-0005-0000-0000-0000D2770000}"/>
    <cellStyle name="Positive 3 2 19 3 2 2" xfId="30662" xr:uid="{00000000-0005-0000-0000-0000D3770000}"/>
    <cellStyle name="Positive 3 2 19 3 3" xfId="30663" xr:uid="{00000000-0005-0000-0000-0000D4770000}"/>
    <cellStyle name="Positive 3 2 19 4" xfId="30664" xr:uid="{00000000-0005-0000-0000-0000D5770000}"/>
    <cellStyle name="Positive 3 2 19 4 2" xfId="30665" xr:uid="{00000000-0005-0000-0000-0000D6770000}"/>
    <cellStyle name="Positive 3 2 19 4 2 2" xfId="30666" xr:uid="{00000000-0005-0000-0000-0000D7770000}"/>
    <cellStyle name="Positive 3 2 19 4 3" xfId="30667" xr:uid="{00000000-0005-0000-0000-0000D8770000}"/>
    <cellStyle name="Positive 3 2 19 5" xfId="30668" xr:uid="{00000000-0005-0000-0000-0000D9770000}"/>
    <cellStyle name="Positive 3 2 19 5 2" xfId="30669" xr:uid="{00000000-0005-0000-0000-0000DA770000}"/>
    <cellStyle name="Positive 3 2 19 6" xfId="30670" xr:uid="{00000000-0005-0000-0000-0000DB770000}"/>
    <cellStyle name="Positive 3 2 19 6 2" xfId="30671" xr:uid="{00000000-0005-0000-0000-0000DC770000}"/>
    <cellStyle name="Positive 3 2 19 7" xfId="30672" xr:uid="{00000000-0005-0000-0000-0000DD770000}"/>
    <cellStyle name="Positive 3 2 19 7 2" xfId="30673" xr:uid="{00000000-0005-0000-0000-0000DE770000}"/>
    <cellStyle name="Positive 3 2 19 8" xfId="30674" xr:uid="{00000000-0005-0000-0000-0000DF770000}"/>
    <cellStyle name="Positive 3 2 19 8 2" xfId="30675" xr:uid="{00000000-0005-0000-0000-0000E0770000}"/>
    <cellStyle name="Positive 3 2 19 9" xfId="30676" xr:uid="{00000000-0005-0000-0000-0000E1770000}"/>
    <cellStyle name="Positive 3 2 19 9 2" xfId="30677" xr:uid="{00000000-0005-0000-0000-0000E2770000}"/>
    <cellStyle name="Positive 3 2 2" xfId="30678" xr:uid="{00000000-0005-0000-0000-0000E3770000}"/>
    <cellStyle name="Positive 3 2 2 10" xfId="30679" xr:uid="{00000000-0005-0000-0000-0000E4770000}"/>
    <cellStyle name="Positive 3 2 2 10 2" xfId="30680" xr:uid="{00000000-0005-0000-0000-0000E5770000}"/>
    <cellStyle name="Positive 3 2 2 11" xfId="30681" xr:uid="{00000000-0005-0000-0000-0000E6770000}"/>
    <cellStyle name="Positive 3 2 2 11 2" xfId="30682" xr:uid="{00000000-0005-0000-0000-0000E7770000}"/>
    <cellStyle name="Positive 3 2 2 12" xfId="30683" xr:uid="{00000000-0005-0000-0000-0000E8770000}"/>
    <cellStyle name="Positive 3 2 2 12 2" xfId="30684" xr:uid="{00000000-0005-0000-0000-0000E9770000}"/>
    <cellStyle name="Positive 3 2 2 13" xfId="30685" xr:uid="{00000000-0005-0000-0000-0000EA770000}"/>
    <cellStyle name="Positive 3 2 2 13 2" xfId="30686" xr:uid="{00000000-0005-0000-0000-0000EB770000}"/>
    <cellStyle name="Positive 3 2 2 14" xfId="30687" xr:uid="{00000000-0005-0000-0000-0000EC770000}"/>
    <cellStyle name="Positive 3 2 2 14 2" xfId="30688" xr:uid="{00000000-0005-0000-0000-0000ED770000}"/>
    <cellStyle name="Positive 3 2 2 15" xfId="30689" xr:uid="{00000000-0005-0000-0000-0000EE770000}"/>
    <cellStyle name="Positive 3 2 2 15 2" xfId="30690" xr:uid="{00000000-0005-0000-0000-0000EF770000}"/>
    <cellStyle name="Positive 3 2 2 16" xfId="30691" xr:uid="{00000000-0005-0000-0000-0000F0770000}"/>
    <cellStyle name="Positive 3 2 2 16 2" xfId="30692" xr:uid="{00000000-0005-0000-0000-0000F1770000}"/>
    <cellStyle name="Positive 3 2 2 17" xfId="30693" xr:uid="{00000000-0005-0000-0000-0000F2770000}"/>
    <cellStyle name="Positive 3 2 2 17 2" xfId="30694" xr:uid="{00000000-0005-0000-0000-0000F3770000}"/>
    <cellStyle name="Positive 3 2 2 18" xfId="30695" xr:uid="{00000000-0005-0000-0000-0000F4770000}"/>
    <cellStyle name="Positive 3 2 2 18 2" xfId="30696" xr:uid="{00000000-0005-0000-0000-0000F5770000}"/>
    <cellStyle name="Positive 3 2 2 19" xfId="30697" xr:uid="{00000000-0005-0000-0000-0000F6770000}"/>
    <cellStyle name="Positive 3 2 2 19 2" xfId="30698" xr:uid="{00000000-0005-0000-0000-0000F7770000}"/>
    <cellStyle name="Positive 3 2 2 2" xfId="30699" xr:uid="{00000000-0005-0000-0000-0000F8770000}"/>
    <cellStyle name="Positive 3 2 2 2 10" xfId="30700" xr:uid="{00000000-0005-0000-0000-0000F9770000}"/>
    <cellStyle name="Positive 3 2 2 2 10 2" xfId="30701" xr:uid="{00000000-0005-0000-0000-0000FA770000}"/>
    <cellStyle name="Positive 3 2 2 2 11" xfId="30702" xr:uid="{00000000-0005-0000-0000-0000FB770000}"/>
    <cellStyle name="Positive 3 2 2 2 11 2" xfId="30703" xr:uid="{00000000-0005-0000-0000-0000FC770000}"/>
    <cellStyle name="Positive 3 2 2 2 12" xfId="30704" xr:uid="{00000000-0005-0000-0000-0000FD770000}"/>
    <cellStyle name="Positive 3 2 2 2 12 2" xfId="30705" xr:uid="{00000000-0005-0000-0000-0000FE770000}"/>
    <cellStyle name="Positive 3 2 2 2 13" xfId="30706" xr:uid="{00000000-0005-0000-0000-0000FF770000}"/>
    <cellStyle name="Positive 3 2 2 2 13 2" xfId="30707" xr:uid="{00000000-0005-0000-0000-000000780000}"/>
    <cellStyle name="Positive 3 2 2 2 14" xfId="30708" xr:uid="{00000000-0005-0000-0000-000001780000}"/>
    <cellStyle name="Positive 3 2 2 2 14 2" xfId="30709" xr:uid="{00000000-0005-0000-0000-000002780000}"/>
    <cellStyle name="Positive 3 2 2 2 15" xfId="30710" xr:uid="{00000000-0005-0000-0000-000003780000}"/>
    <cellStyle name="Positive 3 2 2 2 15 2" xfId="30711" xr:uid="{00000000-0005-0000-0000-000004780000}"/>
    <cellStyle name="Positive 3 2 2 2 16" xfId="30712" xr:uid="{00000000-0005-0000-0000-000005780000}"/>
    <cellStyle name="Positive 3 2 2 2 16 2" xfId="30713" xr:uid="{00000000-0005-0000-0000-000006780000}"/>
    <cellStyle name="Positive 3 2 2 2 17" xfId="30714" xr:uid="{00000000-0005-0000-0000-000007780000}"/>
    <cellStyle name="Positive 3 2 2 2 17 2" xfId="30715" xr:uid="{00000000-0005-0000-0000-000008780000}"/>
    <cellStyle name="Positive 3 2 2 2 18" xfId="30716" xr:uid="{00000000-0005-0000-0000-000009780000}"/>
    <cellStyle name="Positive 3 2 2 2 18 2" xfId="30717" xr:uid="{00000000-0005-0000-0000-00000A780000}"/>
    <cellStyle name="Positive 3 2 2 2 19" xfId="30718" xr:uid="{00000000-0005-0000-0000-00000B780000}"/>
    <cellStyle name="Positive 3 2 2 2 19 2" xfId="30719" xr:uid="{00000000-0005-0000-0000-00000C780000}"/>
    <cellStyle name="Positive 3 2 2 2 2" xfId="30720" xr:uid="{00000000-0005-0000-0000-00000D780000}"/>
    <cellStyle name="Positive 3 2 2 2 2 10" xfId="30721" xr:uid="{00000000-0005-0000-0000-00000E780000}"/>
    <cellStyle name="Positive 3 2 2 2 2 10 2" xfId="30722" xr:uid="{00000000-0005-0000-0000-00000F780000}"/>
    <cellStyle name="Positive 3 2 2 2 2 11" xfId="30723" xr:uid="{00000000-0005-0000-0000-000010780000}"/>
    <cellStyle name="Positive 3 2 2 2 2 11 2" xfId="30724" xr:uid="{00000000-0005-0000-0000-000011780000}"/>
    <cellStyle name="Positive 3 2 2 2 2 12" xfId="30725" xr:uid="{00000000-0005-0000-0000-000012780000}"/>
    <cellStyle name="Positive 3 2 2 2 2 12 2" xfId="30726" xr:uid="{00000000-0005-0000-0000-000013780000}"/>
    <cellStyle name="Positive 3 2 2 2 2 13" xfId="30727" xr:uid="{00000000-0005-0000-0000-000014780000}"/>
    <cellStyle name="Positive 3 2 2 2 2 13 2" xfId="30728" xr:uid="{00000000-0005-0000-0000-000015780000}"/>
    <cellStyle name="Positive 3 2 2 2 2 14" xfId="30729" xr:uid="{00000000-0005-0000-0000-000016780000}"/>
    <cellStyle name="Positive 3 2 2 2 2 14 2" xfId="30730" xr:uid="{00000000-0005-0000-0000-000017780000}"/>
    <cellStyle name="Positive 3 2 2 2 2 15" xfId="30731" xr:uid="{00000000-0005-0000-0000-000018780000}"/>
    <cellStyle name="Positive 3 2 2 2 2 15 2" xfId="30732" xr:uid="{00000000-0005-0000-0000-000019780000}"/>
    <cellStyle name="Positive 3 2 2 2 2 16" xfId="30733" xr:uid="{00000000-0005-0000-0000-00001A780000}"/>
    <cellStyle name="Positive 3 2 2 2 2 16 2" xfId="30734" xr:uid="{00000000-0005-0000-0000-00001B780000}"/>
    <cellStyle name="Positive 3 2 2 2 2 17" xfId="30735" xr:uid="{00000000-0005-0000-0000-00001C780000}"/>
    <cellStyle name="Positive 3 2 2 2 2 2" xfId="30736" xr:uid="{00000000-0005-0000-0000-00001D780000}"/>
    <cellStyle name="Positive 3 2 2 2 2 2 2" xfId="30737" xr:uid="{00000000-0005-0000-0000-00001E780000}"/>
    <cellStyle name="Positive 3 2 2 2 2 3" xfId="30738" xr:uid="{00000000-0005-0000-0000-00001F780000}"/>
    <cellStyle name="Positive 3 2 2 2 2 3 2" xfId="30739" xr:uid="{00000000-0005-0000-0000-000020780000}"/>
    <cellStyle name="Positive 3 2 2 2 2 4" xfId="30740" xr:uid="{00000000-0005-0000-0000-000021780000}"/>
    <cellStyle name="Positive 3 2 2 2 2 4 2" xfId="30741" xr:uid="{00000000-0005-0000-0000-000022780000}"/>
    <cellStyle name="Positive 3 2 2 2 2 5" xfId="30742" xr:uid="{00000000-0005-0000-0000-000023780000}"/>
    <cellStyle name="Positive 3 2 2 2 2 5 2" xfId="30743" xr:uid="{00000000-0005-0000-0000-000024780000}"/>
    <cellStyle name="Positive 3 2 2 2 2 6" xfId="30744" xr:uid="{00000000-0005-0000-0000-000025780000}"/>
    <cellStyle name="Positive 3 2 2 2 2 6 2" xfId="30745" xr:uid="{00000000-0005-0000-0000-000026780000}"/>
    <cellStyle name="Positive 3 2 2 2 2 7" xfId="30746" xr:uid="{00000000-0005-0000-0000-000027780000}"/>
    <cellStyle name="Positive 3 2 2 2 2 7 2" xfId="30747" xr:uid="{00000000-0005-0000-0000-000028780000}"/>
    <cellStyle name="Positive 3 2 2 2 2 8" xfId="30748" xr:uid="{00000000-0005-0000-0000-000029780000}"/>
    <cellStyle name="Positive 3 2 2 2 2 8 2" xfId="30749" xr:uid="{00000000-0005-0000-0000-00002A780000}"/>
    <cellStyle name="Positive 3 2 2 2 2 9" xfId="30750" xr:uid="{00000000-0005-0000-0000-00002B780000}"/>
    <cellStyle name="Positive 3 2 2 2 2 9 2" xfId="30751" xr:uid="{00000000-0005-0000-0000-00002C780000}"/>
    <cellStyle name="Positive 3 2 2 2 20" xfId="30752" xr:uid="{00000000-0005-0000-0000-00002D780000}"/>
    <cellStyle name="Positive 3 2 2 2 3" xfId="30753" xr:uid="{00000000-0005-0000-0000-00002E780000}"/>
    <cellStyle name="Positive 3 2 2 2 3 2" xfId="30754" xr:uid="{00000000-0005-0000-0000-00002F780000}"/>
    <cellStyle name="Positive 3 2 2 2 3 2 2" xfId="30755" xr:uid="{00000000-0005-0000-0000-000030780000}"/>
    <cellStyle name="Positive 3 2 2 2 3 3" xfId="30756" xr:uid="{00000000-0005-0000-0000-000031780000}"/>
    <cellStyle name="Positive 3 2 2 2 4" xfId="30757" xr:uid="{00000000-0005-0000-0000-000032780000}"/>
    <cellStyle name="Positive 3 2 2 2 4 2" xfId="30758" xr:uid="{00000000-0005-0000-0000-000033780000}"/>
    <cellStyle name="Positive 3 2 2 2 4 2 2" xfId="30759" xr:uid="{00000000-0005-0000-0000-000034780000}"/>
    <cellStyle name="Positive 3 2 2 2 4 3" xfId="30760" xr:uid="{00000000-0005-0000-0000-000035780000}"/>
    <cellStyle name="Positive 3 2 2 2 5" xfId="30761" xr:uid="{00000000-0005-0000-0000-000036780000}"/>
    <cellStyle name="Positive 3 2 2 2 5 2" xfId="30762" xr:uid="{00000000-0005-0000-0000-000037780000}"/>
    <cellStyle name="Positive 3 2 2 2 6" xfId="30763" xr:uid="{00000000-0005-0000-0000-000038780000}"/>
    <cellStyle name="Positive 3 2 2 2 6 2" xfId="30764" xr:uid="{00000000-0005-0000-0000-000039780000}"/>
    <cellStyle name="Positive 3 2 2 2 7" xfId="30765" xr:uid="{00000000-0005-0000-0000-00003A780000}"/>
    <cellStyle name="Positive 3 2 2 2 7 2" xfId="30766" xr:uid="{00000000-0005-0000-0000-00003B780000}"/>
    <cellStyle name="Positive 3 2 2 2 8" xfId="30767" xr:uid="{00000000-0005-0000-0000-00003C780000}"/>
    <cellStyle name="Positive 3 2 2 2 8 2" xfId="30768" xr:uid="{00000000-0005-0000-0000-00003D780000}"/>
    <cellStyle name="Positive 3 2 2 2 9" xfId="30769" xr:uid="{00000000-0005-0000-0000-00003E780000}"/>
    <cellStyle name="Positive 3 2 2 2 9 2" xfId="30770" xr:uid="{00000000-0005-0000-0000-00003F780000}"/>
    <cellStyle name="Positive 3 2 2 20" xfId="30771" xr:uid="{00000000-0005-0000-0000-000040780000}"/>
    <cellStyle name="Positive 3 2 2 20 2" xfId="30772" xr:uid="{00000000-0005-0000-0000-000041780000}"/>
    <cellStyle name="Positive 3 2 2 21" xfId="30773" xr:uid="{00000000-0005-0000-0000-000042780000}"/>
    <cellStyle name="Positive 3 2 2 21 2" xfId="30774" xr:uid="{00000000-0005-0000-0000-000043780000}"/>
    <cellStyle name="Positive 3 2 2 22" xfId="30775" xr:uid="{00000000-0005-0000-0000-000044780000}"/>
    <cellStyle name="Positive 3 2 2 22 2" xfId="30776" xr:uid="{00000000-0005-0000-0000-000045780000}"/>
    <cellStyle name="Positive 3 2 2 23" xfId="30777" xr:uid="{00000000-0005-0000-0000-000046780000}"/>
    <cellStyle name="Positive 3 2 2 3" xfId="30778" xr:uid="{00000000-0005-0000-0000-000047780000}"/>
    <cellStyle name="Positive 3 2 2 3 10" xfId="30779" xr:uid="{00000000-0005-0000-0000-000048780000}"/>
    <cellStyle name="Positive 3 2 2 3 10 2" xfId="30780" xr:uid="{00000000-0005-0000-0000-000049780000}"/>
    <cellStyle name="Positive 3 2 2 3 11" xfId="30781" xr:uid="{00000000-0005-0000-0000-00004A780000}"/>
    <cellStyle name="Positive 3 2 2 3 11 2" xfId="30782" xr:uid="{00000000-0005-0000-0000-00004B780000}"/>
    <cellStyle name="Positive 3 2 2 3 12" xfId="30783" xr:uid="{00000000-0005-0000-0000-00004C780000}"/>
    <cellStyle name="Positive 3 2 2 3 12 2" xfId="30784" xr:uid="{00000000-0005-0000-0000-00004D780000}"/>
    <cellStyle name="Positive 3 2 2 3 13" xfId="30785" xr:uid="{00000000-0005-0000-0000-00004E780000}"/>
    <cellStyle name="Positive 3 2 2 3 13 2" xfId="30786" xr:uid="{00000000-0005-0000-0000-00004F780000}"/>
    <cellStyle name="Positive 3 2 2 3 14" xfId="30787" xr:uid="{00000000-0005-0000-0000-000050780000}"/>
    <cellStyle name="Positive 3 2 2 3 14 2" xfId="30788" xr:uid="{00000000-0005-0000-0000-000051780000}"/>
    <cellStyle name="Positive 3 2 2 3 15" xfId="30789" xr:uid="{00000000-0005-0000-0000-000052780000}"/>
    <cellStyle name="Positive 3 2 2 3 15 2" xfId="30790" xr:uid="{00000000-0005-0000-0000-000053780000}"/>
    <cellStyle name="Positive 3 2 2 3 16" xfId="30791" xr:uid="{00000000-0005-0000-0000-000054780000}"/>
    <cellStyle name="Positive 3 2 2 3 16 2" xfId="30792" xr:uid="{00000000-0005-0000-0000-000055780000}"/>
    <cellStyle name="Positive 3 2 2 3 17" xfId="30793" xr:uid="{00000000-0005-0000-0000-000056780000}"/>
    <cellStyle name="Positive 3 2 2 3 17 2" xfId="30794" xr:uid="{00000000-0005-0000-0000-000057780000}"/>
    <cellStyle name="Positive 3 2 2 3 18" xfId="30795" xr:uid="{00000000-0005-0000-0000-000058780000}"/>
    <cellStyle name="Positive 3 2 2 3 18 2" xfId="30796" xr:uid="{00000000-0005-0000-0000-000059780000}"/>
    <cellStyle name="Positive 3 2 2 3 19" xfId="30797" xr:uid="{00000000-0005-0000-0000-00005A780000}"/>
    <cellStyle name="Positive 3 2 2 3 19 2" xfId="30798" xr:uid="{00000000-0005-0000-0000-00005B780000}"/>
    <cellStyle name="Positive 3 2 2 3 2" xfId="30799" xr:uid="{00000000-0005-0000-0000-00005C780000}"/>
    <cellStyle name="Positive 3 2 2 3 2 10" xfId="30800" xr:uid="{00000000-0005-0000-0000-00005D780000}"/>
    <cellStyle name="Positive 3 2 2 3 2 10 2" xfId="30801" xr:uid="{00000000-0005-0000-0000-00005E780000}"/>
    <cellStyle name="Positive 3 2 2 3 2 11" xfId="30802" xr:uid="{00000000-0005-0000-0000-00005F780000}"/>
    <cellStyle name="Positive 3 2 2 3 2 11 2" xfId="30803" xr:uid="{00000000-0005-0000-0000-000060780000}"/>
    <cellStyle name="Positive 3 2 2 3 2 12" xfId="30804" xr:uid="{00000000-0005-0000-0000-000061780000}"/>
    <cellStyle name="Positive 3 2 2 3 2 12 2" xfId="30805" xr:uid="{00000000-0005-0000-0000-000062780000}"/>
    <cellStyle name="Positive 3 2 2 3 2 13" xfId="30806" xr:uid="{00000000-0005-0000-0000-000063780000}"/>
    <cellStyle name="Positive 3 2 2 3 2 13 2" xfId="30807" xr:uid="{00000000-0005-0000-0000-000064780000}"/>
    <cellStyle name="Positive 3 2 2 3 2 14" xfId="30808" xr:uid="{00000000-0005-0000-0000-000065780000}"/>
    <cellStyle name="Positive 3 2 2 3 2 14 2" xfId="30809" xr:uid="{00000000-0005-0000-0000-000066780000}"/>
    <cellStyle name="Positive 3 2 2 3 2 15" xfId="30810" xr:uid="{00000000-0005-0000-0000-000067780000}"/>
    <cellStyle name="Positive 3 2 2 3 2 15 2" xfId="30811" xr:uid="{00000000-0005-0000-0000-000068780000}"/>
    <cellStyle name="Positive 3 2 2 3 2 16" xfId="30812" xr:uid="{00000000-0005-0000-0000-000069780000}"/>
    <cellStyle name="Positive 3 2 2 3 2 16 2" xfId="30813" xr:uid="{00000000-0005-0000-0000-00006A780000}"/>
    <cellStyle name="Positive 3 2 2 3 2 17" xfId="30814" xr:uid="{00000000-0005-0000-0000-00006B780000}"/>
    <cellStyle name="Positive 3 2 2 3 2 2" xfId="30815" xr:uid="{00000000-0005-0000-0000-00006C780000}"/>
    <cellStyle name="Positive 3 2 2 3 2 2 2" xfId="30816" xr:uid="{00000000-0005-0000-0000-00006D780000}"/>
    <cellStyle name="Positive 3 2 2 3 2 3" xfId="30817" xr:uid="{00000000-0005-0000-0000-00006E780000}"/>
    <cellStyle name="Positive 3 2 2 3 2 3 2" xfId="30818" xr:uid="{00000000-0005-0000-0000-00006F780000}"/>
    <cellStyle name="Positive 3 2 2 3 2 4" xfId="30819" xr:uid="{00000000-0005-0000-0000-000070780000}"/>
    <cellStyle name="Positive 3 2 2 3 2 4 2" xfId="30820" xr:uid="{00000000-0005-0000-0000-000071780000}"/>
    <cellStyle name="Positive 3 2 2 3 2 5" xfId="30821" xr:uid="{00000000-0005-0000-0000-000072780000}"/>
    <cellStyle name="Positive 3 2 2 3 2 5 2" xfId="30822" xr:uid="{00000000-0005-0000-0000-000073780000}"/>
    <cellStyle name="Positive 3 2 2 3 2 6" xfId="30823" xr:uid="{00000000-0005-0000-0000-000074780000}"/>
    <cellStyle name="Positive 3 2 2 3 2 6 2" xfId="30824" xr:uid="{00000000-0005-0000-0000-000075780000}"/>
    <cellStyle name="Positive 3 2 2 3 2 7" xfId="30825" xr:uid="{00000000-0005-0000-0000-000076780000}"/>
    <cellStyle name="Positive 3 2 2 3 2 7 2" xfId="30826" xr:uid="{00000000-0005-0000-0000-000077780000}"/>
    <cellStyle name="Positive 3 2 2 3 2 8" xfId="30827" xr:uid="{00000000-0005-0000-0000-000078780000}"/>
    <cellStyle name="Positive 3 2 2 3 2 8 2" xfId="30828" xr:uid="{00000000-0005-0000-0000-000079780000}"/>
    <cellStyle name="Positive 3 2 2 3 2 9" xfId="30829" xr:uid="{00000000-0005-0000-0000-00007A780000}"/>
    <cellStyle name="Positive 3 2 2 3 2 9 2" xfId="30830" xr:uid="{00000000-0005-0000-0000-00007B780000}"/>
    <cellStyle name="Positive 3 2 2 3 20" xfId="30831" xr:uid="{00000000-0005-0000-0000-00007C780000}"/>
    <cellStyle name="Positive 3 2 2 3 3" xfId="30832" xr:uid="{00000000-0005-0000-0000-00007D780000}"/>
    <cellStyle name="Positive 3 2 2 3 3 2" xfId="30833" xr:uid="{00000000-0005-0000-0000-00007E780000}"/>
    <cellStyle name="Positive 3 2 2 3 3 2 2" xfId="30834" xr:uid="{00000000-0005-0000-0000-00007F780000}"/>
    <cellStyle name="Positive 3 2 2 3 3 3" xfId="30835" xr:uid="{00000000-0005-0000-0000-000080780000}"/>
    <cellStyle name="Positive 3 2 2 3 4" xfId="30836" xr:uid="{00000000-0005-0000-0000-000081780000}"/>
    <cellStyle name="Positive 3 2 2 3 4 2" xfId="30837" xr:uid="{00000000-0005-0000-0000-000082780000}"/>
    <cellStyle name="Positive 3 2 2 3 4 2 2" xfId="30838" xr:uid="{00000000-0005-0000-0000-000083780000}"/>
    <cellStyle name="Positive 3 2 2 3 4 3" xfId="30839" xr:uid="{00000000-0005-0000-0000-000084780000}"/>
    <cellStyle name="Positive 3 2 2 3 5" xfId="30840" xr:uid="{00000000-0005-0000-0000-000085780000}"/>
    <cellStyle name="Positive 3 2 2 3 5 2" xfId="30841" xr:uid="{00000000-0005-0000-0000-000086780000}"/>
    <cellStyle name="Positive 3 2 2 3 6" xfId="30842" xr:uid="{00000000-0005-0000-0000-000087780000}"/>
    <cellStyle name="Positive 3 2 2 3 6 2" xfId="30843" xr:uid="{00000000-0005-0000-0000-000088780000}"/>
    <cellStyle name="Positive 3 2 2 3 7" xfId="30844" xr:uid="{00000000-0005-0000-0000-000089780000}"/>
    <cellStyle name="Positive 3 2 2 3 7 2" xfId="30845" xr:uid="{00000000-0005-0000-0000-00008A780000}"/>
    <cellStyle name="Positive 3 2 2 3 8" xfId="30846" xr:uid="{00000000-0005-0000-0000-00008B780000}"/>
    <cellStyle name="Positive 3 2 2 3 8 2" xfId="30847" xr:uid="{00000000-0005-0000-0000-00008C780000}"/>
    <cellStyle name="Positive 3 2 2 3 9" xfId="30848" xr:uid="{00000000-0005-0000-0000-00008D780000}"/>
    <cellStyle name="Positive 3 2 2 3 9 2" xfId="30849" xr:uid="{00000000-0005-0000-0000-00008E780000}"/>
    <cellStyle name="Positive 3 2 2 4" xfId="30850" xr:uid="{00000000-0005-0000-0000-00008F780000}"/>
    <cellStyle name="Positive 3 2 2 4 10" xfId="30851" xr:uid="{00000000-0005-0000-0000-000090780000}"/>
    <cellStyle name="Positive 3 2 2 4 10 2" xfId="30852" xr:uid="{00000000-0005-0000-0000-000091780000}"/>
    <cellStyle name="Positive 3 2 2 4 11" xfId="30853" xr:uid="{00000000-0005-0000-0000-000092780000}"/>
    <cellStyle name="Positive 3 2 2 4 11 2" xfId="30854" xr:uid="{00000000-0005-0000-0000-000093780000}"/>
    <cellStyle name="Positive 3 2 2 4 12" xfId="30855" xr:uid="{00000000-0005-0000-0000-000094780000}"/>
    <cellStyle name="Positive 3 2 2 4 12 2" xfId="30856" xr:uid="{00000000-0005-0000-0000-000095780000}"/>
    <cellStyle name="Positive 3 2 2 4 13" xfId="30857" xr:uid="{00000000-0005-0000-0000-000096780000}"/>
    <cellStyle name="Positive 3 2 2 4 13 2" xfId="30858" xr:uid="{00000000-0005-0000-0000-000097780000}"/>
    <cellStyle name="Positive 3 2 2 4 14" xfId="30859" xr:uid="{00000000-0005-0000-0000-000098780000}"/>
    <cellStyle name="Positive 3 2 2 4 14 2" xfId="30860" xr:uid="{00000000-0005-0000-0000-000099780000}"/>
    <cellStyle name="Positive 3 2 2 4 15" xfId="30861" xr:uid="{00000000-0005-0000-0000-00009A780000}"/>
    <cellStyle name="Positive 3 2 2 4 15 2" xfId="30862" xr:uid="{00000000-0005-0000-0000-00009B780000}"/>
    <cellStyle name="Positive 3 2 2 4 16" xfId="30863" xr:uid="{00000000-0005-0000-0000-00009C780000}"/>
    <cellStyle name="Positive 3 2 2 4 16 2" xfId="30864" xr:uid="{00000000-0005-0000-0000-00009D780000}"/>
    <cellStyle name="Positive 3 2 2 4 17" xfId="30865" xr:uid="{00000000-0005-0000-0000-00009E780000}"/>
    <cellStyle name="Positive 3 2 2 4 17 2" xfId="30866" xr:uid="{00000000-0005-0000-0000-00009F780000}"/>
    <cellStyle name="Positive 3 2 2 4 18" xfId="30867" xr:uid="{00000000-0005-0000-0000-0000A0780000}"/>
    <cellStyle name="Positive 3 2 2 4 18 2" xfId="30868" xr:uid="{00000000-0005-0000-0000-0000A1780000}"/>
    <cellStyle name="Positive 3 2 2 4 19" xfId="30869" xr:uid="{00000000-0005-0000-0000-0000A2780000}"/>
    <cellStyle name="Positive 3 2 2 4 19 2" xfId="30870" xr:uid="{00000000-0005-0000-0000-0000A3780000}"/>
    <cellStyle name="Positive 3 2 2 4 2" xfId="30871" xr:uid="{00000000-0005-0000-0000-0000A4780000}"/>
    <cellStyle name="Positive 3 2 2 4 2 10" xfId="30872" xr:uid="{00000000-0005-0000-0000-0000A5780000}"/>
    <cellStyle name="Positive 3 2 2 4 2 10 2" xfId="30873" xr:uid="{00000000-0005-0000-0000-0000A6780000}"/>
    <cellStyle name="Positive 3 2 2 4 2 11" xfId="30874" xr:uid="{00000000-0005-0000-0000-0000A7780000}"/>
    <cellStyle name="Positive 3 2 2 4 2 11 2" xfId="30875" xr:uid="{00000000-0005-0000-0000-0000A8780000}"/>
    <cellStyle name="Positive 3 2 2 4 2 12" xfId="30876" xr:uid="{00000000-0005-0000-0000-0000A9780000}"/>
    <cellStyle name="Positive 3 2 2 4 2 12 2" xfId="30877" xr:uid="{00000000-0005-0000-0000-0000AA780000}"/>
    <cellStyle name="Positive 3 2 2 4 2 13" xfId="30878" xr:uid="{00000000-0005-0000-0000-0000AB780000}"/>
    <cellStyle name="Positive 3 2 2 4 2 13 2" xfId="30879" xr:uid="{00000000-0005-0000-0000-0000AC780000}"/>
    <cellStyle name="Positive 3 2 2 4 2 14" xfId="30880" xr:uid="{00000000-0005-0000-0000-0000AD780000}"/>
    <cellStyle name="Positive 3 2 2 4 2 14 2" xfId="30881" xr:uid="{00000000-0005-0000-0000-0000AE780000}"/>
    <cellStyle name="Positive 3 2 2 4 2 15" xfId="30882" xr:uid="{00000000-0005-0000-0000-0000AF780000}"/>
    <cellStyle name="Positive 3 2 2 4 2 15 2" xfId="30883" xr:uid="{00000000-0005-0000-0000-0000B0780000}"/>
    <cellStyle name="Positive 3 2 2 4 2 16" xfId="30884" xr:uid="{00000000-0005-0000-0000-0000B1780000}"/>
    <cellStyle name="Positive 3 2 2 4 2 16 2" xfId="30885" xr:uid="{00000000-0005-0000-0000-0000B2780000}"/>
    <cellStyle name="Positive 3 2 2 4 2 17" xfId="30886" xr:uid="{00000000-0005-0000-0000-0000B3780000}"/>
    <cellStyle name="Positive 3 2 2 4 2 2" xfId="30887" xr:uid="{00000000-0005-0000-0000-0000B4780000}"/>
    <cellStyle name="Positive 3 2 2 4 2 2 2" xfId="30888" xr:uid="{00000000-0005-0000-0000-0000B5780000}"/>
    <cellStyle name="Positive 3 2 2 4 2 3" xfId="30889" xr:uid="{00000000-0005-0000-0000-0000B6780000}"/>
    <cellStyle name="Positive 3 2 2 4 2 3 2" xfId="30890" xr:uid="{00000000-0005-0000-0000-0000B7780000}"/>
    <cellStyle name="Positive 3 2 2 4 2 4" xfId="30891" xr:uid="{00000000-0005-0000-0000-0000B8780000}"/>
    <cellStyle name="Positive 3 2 2 4 2 4 2" xfId="30892" xr:uid="{00000000-0005-0000-0000-0000B9780000}"/>
    <cellStyle name="Positive 3 2 2 4 2 5" xfId="30893" xr:uid="{00000000-0005-0000-0000-0000BA780000}"/>
    <cellStyle name="Positive 3 2 2 4 2 5 2" xfId="30894" xr:uid="{00000000-0005-0000-0000-0000BB780000}"/>
    <cellStyle name="Positive 3 2 2 4 2 6" xfId="30895" xr:uid="{00000000-0005-0000-0000-0000BC780000}"/>
    <cellStyle name="Positive 3 2 2 4 2 6 2" xfId="30896" xr:uid="{00000000-0005-0000-0000-0000BD780000}"/>
    <cellStyle name="Positive 3 2 2 4 2 7" xfId="30897" xr:uid="{00000000-0005-0000-0000-0000BE780000}"/>
    <cellStyle name="Positive 3 2 2 4 2 7 2" xfId="30898" xr:uid="{00000000-0005-0000-0000-0000BF780000}"/>
    <cellStyle name="Positive 3 2 2 4 2 8" xfId="30899" xr:uid="{00000000-0005-0000-0000-0000C0780000}"/>
    <cellStyle name="Positive 3 2 2 4 2 8 2" xfId="30900" xr:uid="{00000000-0005-0000-0000-0000C1780000}"/>
    <cellStyle name="Positive 3 2 2 4 2 9" xfId="30901" xr:uid="{00000000-0005-0000-0000-0000C2780000}"/>
    <cellStyle name="Positive 3 2 2 4 2 9 2" xfId="30902" xr:uid="{00000000-0005-0000-0000-0000C3780000}"/>
    <cellStyle name="Positive 3 2 2 4 20" xfId="30903" xr:uid="{00000000-0005-0000-0000-0000C4780000}"/>
    <cellStyle name="Positive 3 2 2 4 3" xfId="30904" xr:uid="{00000000-0005-0000-0000-0000C5780000}"/>
    <cellStyle name="Positive 3 2 2 4 3 2" xfId="30905" xr:uid="{00000000-0005-0000-0000-0000C6780000}"/>
    <cellStyle name="Positive 3 2 2 4 3 2 2" xfId="30906" xr:uid="{00000000-0005-0000-0000-0000C7780000}"/>
    <cellStyle name="Positive 3 2 2 4 3 3" xfId="30907" xr:uid="{00000000-0005-0000-0000-0000C8780000}"/>
    <cellStyle name="Positive 3 2 2 4 4" xfId="30908" xr:uid="{00000000-0005-0000-0000-0000C9780000}"/>
    <cellStyle name="Positive 3 2 2 4 4 2" xfId="30909" xr:uid="{00000000-0005-0000-0000-0000CA780000}"/>
    <cellStyle name="Positive 3 2 2 4 4 2 2" xfId="30910" xr:uid="{00000000-0005-0000-0000-0000CB780000}"/>
    <cellStyle name="Positive 3 2 2 4 4 3" xfId="30911" xr:uid="{00000000-0005-0000-0000-0000CC780000}"/>
    <cellStyle name="Positive 3 2 2 4 5" xfId="30912" xr:uid="{00000000-0005-0000-0000-0000CD780000}"/>
    <cellStyle name="Positive 3 2 2 4 5 2" xfId="30913" xr:uid="{00000000-0005-0000-0000-0000CE780000}"/>
    <cellStyle name="Positive 3 2 2 4 6" xfId="30914" xr:uid="{00000000-0005-0000-0000-0000CF780000}"/>
    <cellStyle name="Positive 3 2 2 4 6 2" xfId="30915" xr:uid="{00000000-0005-0000-0000-0000D0780000}"/>
    <cellStyle name="Positive 3 2 2 4 7" xfId="30916" xr:uid="{00000000-0005-0000-0000-0000D1780000}"/>
    <cellStyle name="Positive 3 2 2 4 7 2" xfId="30917" xr:uid="{00000000-0005-0000-0000-0000D2780000}"/>
    <cellStyle name="Positive 3 2 2 4 8" xfId="30918" xr:uid="{00000000-0005-0000-0000-0000D3780000}"/>
    <cellStyle name="Positive 3 2 2 4 8 2" xfId="30919" xr:uid="{00000000-0005-0000-0000-0000D4780000}"/>
    <cellStyle name="Positive 3 2 2 4 9" xfId="30920" xr:uid="{00000000-0005-0000-0000-0000D5780000}"/>
    <cellStyle name="Positive 3 2 2 4 9 2" xfId="30921" xr:uid="{00000000-0005-0000-0000-0000D6780000}"/>
    <cellStyle name="Positive 3 2 2 5" xfId="30922" xr:uid="{00000000-0005-0000-0000-0000D7780000}"/>
    <cellStyle name="Positive 3 2 2 5 10" xfId="30923" xr:uid="{00000000-0005-0000-0000-0000D8780000}"/>
    <cellStyle name="Positive 3 2 2 5 10 2" xfId="30924" xr:uid="{00000000-0005-0000-0000-0000D9780000}"/>
    <cellStyle name="Positive 3 2 2 5 11" xfId="30925" xr:uid="{00000000-0005-0000-0000-0000DA780000}"/>
    <cellStyle name="Positive 3 2 2 5 11 2" xfId="30926" xr:uid="{00000000-0005-0000-0000-0000DB780000}"/>
    <cellStyle name="Positive 3 2 2 5 12" xfId="30927" xr:uid="{00000000-0005-0000-0000-0000DC780000}"/>
    <cellStyle name="Positive 3 2 2 5 12 2" xfId="30928" xr:uid="{00000000-0005-0000-0000-0000DD780000}"/>
    <cellStyle name="Positive 3 2 2 5 13" xfId="30929" xr:uid="{00000000-0005-0000-0000-0000DE780000}"/>
    <cellStyle name="Positive 3 2 2 5 13 2" xfId="30930" xr:uid="{00000000-0005-0000-0000-0000DF780000}"/>
    <cellStyle name="Positive 3 2 2 5 14" xfId="30931" xr:uid="{00000000-0005-0000-0000-0000E0780000}"/>
    <cellStyle name="Positive 3 2 2 5 14 2" xfId="30932" xr:uid="{00000000-0005-0000-0000-0000E1780000}"/>
    <cellStyle name="Positive 3 2 2 5 15" xfId="30933" xr:uid="{00000000-0005-0000-0000-0000E2780000}"/>
    <cellStyle name="Positive 3 2 2 5 15 2" xfId="30934" xr:uid="{00000000-0005-0000-0000-0000E3780000}"/>
    <cellStyle name="Positive 3 2 2 5 16" xfId="30935" xr:uid="{00000000-0005-0000-0000-0000E4780000}"/>
    <cellStyle name="Positive 3 2 2 5 16 2" xfId="30936" xr:uid="{00000000-0005-0000-0000-0000E5780000}"/>
    <cellStyle name="Positive 3 2 2 5 17" xfId="30937" xr:uid="{00000000-0005-0000-0000-0000E6780000}"/>
    <cellStyle name="Positive 3 2 2 5 2" xfId="30938" xr:uid="{00000000-0005-0000-0000-0000E7780000}"/>
    <cellStyle name="Positive 3 2 2 5 2 2" xfId="30939" xr:uid="{00000000-0005-0000-0000-0000E8780000}"/>
    <cellStyle name="Positive 3 2 2 5 3" xfId="30940" xr:uid="{00000000-0005-0000-0000-0000E9780000}"/>
    <cellStyle name="Positive 3 2 2 5 3 2" xfId="30941" xr:uid="{00000000-0005-0000-0000-0000EA780000}"/>
    <cellStyle name="Positive 3 2 2 5 4" xfId="30942" xr:uid="{00000000-0005-0000-0000-0000EB780000}"/>
    <cellStyle name="Positive 3 2 2 5 4 2" xfId="30943" xr:uid="{00000000-0005-0000-0000-0000EC780000}"/>
    <cellStyle name="Positive 3 2 2 5 5" xfId="30944" xr:uid="{00000000-0005-0000-0000-0000ED780000}"/>
    <cellStyle name="Positive 3 2 2 5 5 2" xfId="30945" xr:uid="{00000000-0005-0000-0000-0000EE780000}"/>
    <cellStyle name="Positive 3 2 2 5 6" xfId="30946" xr:uid="{00000000-0005-0000-0000-0000EF780000}"/>
    <cellStyle name="Positive 3 2 2 5 6 2" xfId="30947" xr:uid="{00000000-0005-0000-0000-0000F0780000}"/>
    <cellStyle name="Positive 3 2 2 5 7" xfId="30948" xr:uid="{00000000-0005-0000-0000-0000F1780000}"/>
    <cellStyle name="Positive 3 2 2 5 7 2" xfId="30949" xr:uid="{00000000-0005-0000-0000-0000F2780000}"/>
    <cellStyle name="Positive 3 2 2 5 8" xfId="30950" xr:uid="{00000000-0005-0000-0000-0000F3780000}"/>
    <cellStyle name="Positive 3 2 2 5 8 2" xfId="30951" xr:uid="{00000000-0005-0000-0000-0000F4780000}"/>
    <cellStyle name="Positive 3 2 2 5 9" xfId="30952" xr:uid="{00000000-0005-0000-0000-0000F5780000}"/>
    <cellStyle name="Positive 3 2 2 5 9 2" xfId="30953" xr:uid="{00000000-0005-0000-0000-0000F6780000}"/>
    <cellStyle name="Positive 3 2 2 6" xfId="30954" xr:uid="{00000000-0005-0000-0000-0000F7780000}"/>
    <cellStyle name="Positive 3 2 2 6 2" xfId="30955" xr:uid="{00000000-0005-0000-0000-0000F8780000}"/>
    <cellStyle name="Positive 3 2 2 6 2 2" xfId="30956" xr:uid="{00000000-0005-0000-0000-0000F9780000}"/>
    <cellStyle name="Positive 3 2 2 6 3" xfId="30957" xr:uid="{00000000-0005-0000-0000-0000FA780000}"/>
    <cellStyle name="Positive 3 2 2 7" xfId="30958" xr:uid="{00000000-0005-0000-0000-0000FB780000}"/>
    <cellStyle name="Positive 3 2 2 7 2" xfId="30959" xr:uid="{00000000-0005-0000-0000-0000FC780000}"/>
    <cellStyle name="Positive 3 2 2 7 2 2" xfId="30960" xr:uid="{00000000-0005-0000-0000-0000FD780000}"/>
    <cellStyle name="Positive 3 2 2 7 3" xfId="30961" xr:uid="{00000000-0005-0000-0000-0000FE780000}"/>
    <cellStyle name="Positive 3 2 2 8" xfId="30962" xr:uid="{00000000-0005-0000-0000-0000FF780000}"/>
    <cellStyle name="Positive 3 2 2 8 2" xfId="30963" xr:uid="{00000000-0005-0000-0000-000000790000}"/>
    <cellStyle name="Positive 3 2 2 9" xfId="30964" xr:uid="{00000000-0005-0000-0000-000001790000}"/>
    <cellStyle name="Positive 3 2 2 9 2" xfId="30965" xr:uid="{00000000-0005-0000-0000-000002790000}"/>
    <cellStyle name="Positive 3 2 20" xfId="30966" xr:uid="{00000000-0005-0000-0000-000003790000}"/>
    <cellStyle name="Positive 3 2 20 10" xfId="30967" xr:uid="{00000000-0005-0000-0000-000004790000}"/>
    <cellStyle name="Positive 3 2 20 10 2" xfId="30968" xr:uid="{00000000-0005-0000-0000-000005790000}"/>
    <cellStyle name="Positive 3 2 20 11" xfId="30969" xr:uid="{00000000-0005-0000-0000-000006790000}"/>
    <cellStyle name="Positive 3 2 20 11 2" xfId="30970" xr:uid="{00000000-0005-0000-0000-000007790000}"/>
    <cellStyle name="Positive 3 2 20 12" xfId="30971" xr:uid="{00000000-0005-0000-0000-000008790000}"/>
    <cellStyle name="Positive 3 2 20 12 2" xfId="30972" xr:uid="{00000000-0005-0000-0000-000009790000}"/>
    <cellStyle name="Positive 3 2 20 13" xfId="30973" xr:uid="{00000000-0005-0000-0000-00000A790000}"/>
    <cellStyle name="Positive 3 2 20 13 2" xfId="30974" xr:uid="{00000000-0005-0000-0000-00000B790000}"/>
    <cellStyle name="Positive 3 2 20 14" xfId="30975" xr:uid="{00000000-0005-0000-0000-00000C790000}"/>
    <cellStyle name="Positive 3 2 20 14 2" xfId="30976" xr:uid="{00000000-0005-0000-0000-00000D790000}"/>
    <cellStyle name="Positive 3 2 20 15" xfId="30977" xr:uid="{00000000-0005-0000-0000-00000E790000}"/>
    <cellStyle name="Positive 3 2 20 15 2" xfId="30978" xr:uid="{00000000-0005-0000-0000-00000F790000}"/>
    <cellStyle name="Positive 3 2 20 16" xfId="30979" xr:uid="{00000000-0005-0000-0000-000010790000}"/>
    <cellStyle name="Positive 3 2 20 16 2" xfId="30980" xr:uid="{00000000-0005-0000-0000-000011790000}"/>
    <cellStyle name="Positive 3 2 20 17" xfId="30981" xr:uid="{00000000-0005-0000-0000-000012790000}"/>
    <cellStyle name="Positive 3 2 20 2" xfId="30982" xr:uid="{00000000-0005-0000-0000-000013790000}"/>
    <cellStyle name="Positive 3 2 20 2 2" xfId="30983" xr:uid="{00000000-0005-0000-0000-000014790000}"/>
    <cellStyle name="Positive 3 2 20 3" xfId="30984" xr:uid="{00000000-0005-0000-0000-000015790000}"/>
    <cellStyle name="Positive 3 2 20 3 2" xfId="30985" xr:uid="{00000000-0005-0000-0000-000016790000}"/>
    <cellStyle name="Positive 3 2 20 4" xfId="30986" xr:uid="{00000000-0005-0000-0000-000017790000}"/>
    <cellStyle name="Positive 3 2 20 4 2" xfId="30987" xr:uid="{00000000-0005-0000-0000-000018790000}"/>
    <cellStyle name="Positive 3 2 20 5" xfId="30988" xr:uid="{00000000-0005-0000-0000-000019790000}"/>
    <cellStyle name="Positive 3 2 20 5 2" xfId="30989" xr:uid="{00000000-0005-0000-0000-00001A790000}"/>
    <cellStyle name="Positive 3 2 20 6" xfId="30990" xr:uid="{00000000-0005-0000-0000-00001B790000}"/>
    <cellStyle name="Positive 3 2 20 6 2" xfId="30991" xr:uid="{00000000-0005-0000-0000-00001C790000}"/>
    <cellStyle name="Positive 3 2 20 7" xfId="30992" xr:uid="{00000000-0005-0000-0000-00001D790000}"/>
    <cellStyle name="Positive 3 2 20 7 2" xfId="30993" xr:uid="{00000000-0005-0000-0000-00001E790000}"/>
    <cellStyle name="Positive 3 2 20 8" xfId="30994" xr:uid="{00000000-0005-0000-0000-00001F790000}"/>
    <cellStyle name="Positive 3 2 20 8 2" xfId="30995" xr:uid="{00000000-0005-0000-0000-000020790000}"/>
    <cellStyle name="Positive 3 2 20 9" xfId="30996" xr:uid="{00000000-0005-0000-0000-000021790000}"/>
    <cellStyle name="Positive 3 2 20 9 2" xfId="30997" xr:uid="{00000000-0005-0000-0000-000022790000}"/>
    <cellStyle name="Positive 3 2 21" xfId="30998" xr:uid="{00000000-0005-0000-0000-000023790000}"/>
    <cellStyle name="Positive 3 2 21 2" xfId="30999" xr:uid="{00000000-0005-0000-0000-000024790000}"/>
    <cellStyle name="Positive 3 2 21 2 2" xfId="31000" xr:uid="{00000000-0005-0000-0000-000025790000}"/>
    <cellStyle name="Positive 3 2 21 3" xfId="31001" xr:uid="{00000000-0005-0000-0000-000026790000}"/>
    <cellStyle name="Positive 3 2 22" xfId="31002" xr:uid="{00000000-0005-0000-0000-000027790000}"/>
    <cellStyle name="Positive 3 2 22 2" xfId="31003" xr:uid="{00000000-0005-0000-0000-000028790000}"/>
    <cellStyle name="Positive 3 2 22 2 2" xfId="31004" xr:uid="{00000000-0005-0000-0000-000029790000}"/>
    <cellStyle name="Positive 3 2 22 3" xfId="31005" xr:uid="{00000000-0005-0000-0000-00002A790000}"/>
    <cellStyle name="Positive 3 2 23" xfId="31006" xr:uid="{00000000-0005-0000-0000-00002B790000}"/>
    <cellStyle name="Positive 3 2 23 2" xfId="31007" xr:uid="{00000000-0005-0000-0000-00002C790000}"/>
    <cellStyle name="Positive 3 2 24" xfId="31008" xr:uid="{00000000-0005-0000-0000-00002D790000}"/>
    <cellStyle name="Positive 3 2 24 2" xfId="31009" xr:uid="{00000000-0005-0000-0000-00002E790000}"/>
    <cellStyle name="Positive 3 2 25" xfId="31010" xr:uid="{00000000-0005-0000-0000-00002F790000}"/>
    <cellStyle name="Positive 3 2 25 2" xfId="31011" xr:uid="{00000000-0005-0000-0000-000030790000}"/>
    <cellStyle name="Positive 3 2 26" xfId="31012" xr:uid="{00000000-0005-0000-0000-000031790000}"/>
    <cellStyle name="Positive 3 2 26 2" xfId="31013" xr:uid="{00000000-0005-0000-0000-000032790000}"/>
    <cellStyle name="Positive 3 2 27" xfId="31014" xr:uid="{00000000-0005-0000-0000-000033790000}"/>
    <cellStyle name="Positive 3 2 27 2" xfId="31015" xr:uid="{00000000-0005-0000-0000-000034790000}"/>
    <cellStyle name="Positive 3 2 28" xfId="31016" xr:uid="{00000000-0005-0000-0000-000035790000}"/>
    <cellStyle name="Positive 3 2 28 2" xfId="31017" xr:uid="{00000000-0005-0000-0000-000036790000}"/>
    <cellStyle name="Positive 3 2 29" xfId="31018" xr:uid="{00000000-0005-0000-0000-000037790000}"/>
    <cellStyle name="Positive 3 2 29 2" xfId="31019" xr:uid="{00000000-0005-0000-0000-000038790000}"/>
    <cellStyle name="Positive 3 2 3" xfId="31020" xr:uid="{00000000-0005-0000-0000-000039790000}"/>
    <cellStyle name="Positive 3 2 3 10" xfId="31021" xr:uid="{00000000-0005-0000-0000-00003A790000}"/>
    <cellStyle name="Positive 3 2 3 10 2" xfId="31022" xr:uid="{00000000-0005-0000-0000-00003B790000}"/>
    <cellStyle name="Positive 3 2 3 11" xfId="31023" xr:uid="{00000000-0005-0000-0000-00003C790000}"/>
    <cellStyle name="Positive 3 2 3 11 2" xfId="31024" xr:uid="{00000000-0005-0000-0000-00003D790000}"/>
    <cellStyle name="Positive 3 2 3 12" xfId="31025" xr:uid="{00000000-0005-0000-0000-00003E790000}"/>
    <cellStyle name="Positive 3 2 3 12 2" xfId="31026" xr:uid="{00000000-0005-0000-0000-00003F790000}"/>
    <cellStyle name="Positive 3 2 3 13" xfId="31027" xr:uid="{00000000-0005-0000-0000-000040790000}"/>
    <cellStyle name="Positive 3 2 3 13 2" xfId="31028" xr:uid="{00000000-0005-0000-0000-000041790000}"/>
    <cellStyle name="Positive 3 2 3 14" xfId="31029" xr:uid="{00000000-0005-0000-0000-000042790000}"/>
    <cellStyle name="Positive 3 2 3 14 2" xfId="31030" xr:uid="{00000000-0005-0000-0000-000043790000}"/>
    <cellStyle name="Positive 3 2 3 15" xfId="31031" xr:uid="{00000000-0005-0000-0000-000044790000}"/>
    <cellStyle name="Positive 3 2 3 15 2" xfId="31032" xr:uid="{00000000-0005-0000-0000-000045790000}"/>
    <cellStyle name="Positive 3 2 3 16" xfId="31033" xr:uid="{00000000-0005-0000-0000-000046790000}"/>
    <cellStyle name="Positive 3 2 3 16 2" xfId="31034" xr:uid="{00000000-0005-0000-0000-000047790000}"/>
    <cellStyle name="Positive 3 2 3 17" xfId="31035" xr:uid="{00000000-0005-0000-0000-000048790000}"/>
    <cellStyle name="Positive 3 2 3 17 2" xfId="31036" xr:uid="{00000000-0005-0000-0000-000049790000}"/>
    <cellStyle name="Positive 3 2 3 18" xfId="31037" xr:uid="{00000000-0005-0000-0000-00004A790000}"/>
    <cellStyle name="Positive 3 2 3 18 2" xfId="31038" xr:uid="{00000000-0005-0000-0000-00004B790000}"/>
    <cellStyle name="Positive 3 2 3 19" xfId="31039" xr:uid="{00000000-0005-0000-0000-00004C790000}"/>
    <cellStyle name="Positive 3 2 3 19 2" xfId="31040" xr:uid="{00000000-0005-0000-0000-00004D790000}"/>
    <cellStyle name="Positive 3 2 3 2" xfId="31041" xr:uid="{00000000-0005-0000-0000-00004E790000}"/>
    <cellStyle name="Positive 3 2 3 2 10" xfId="31042" xr:uid="{00000000-0005-0000-0000-00004F790000}"/>
    <cellStyle name="Positive 3 2 3 2 10 2" xfId="31043" xr:uid="{00000000-0005-0000-0000-000050790000}"/>
    <cellStyle name="Positive 3 2 3 2 11" xfId="31044" xr:uid="{00000000-0005-0000-0000-000051790000}"/>
    <cellStyle name="Positive 3 2 3 2 11 2" xfId="31045" xr:uid="{00000000-0005-0000-0000-000052790000}"/>
    <cellStyle name="Positive 3 2 3 2 12" xfId="31046" xr:uid="{00000000-0005-0000-0000-000053790000}"/>
    <cellStyle name="Positive 3 2 3 2 12 2" xfId="31047" xr:uid="{00000000-0005-0000-0000-000054790000}"/>
    <cellStyle name="Positive 3 2 3 2 13" xfId="31048" xr:uid="{00000000-0005-0000-0000-000055790000}"/>
    <cellStyle name="Positive 3 2 3 2 13 2" xfId="31049" xr:uid="{00000000-0005-0000-0000-000056790000}"/>
    <cellStyle name="Positive 3 2 3 2 14" xfId="31050" xr:uid="{00000000-0005-0000-0000-000057790000}"/>
    <cellStyle name="Positive 3 2 3 2 14 2" xfId="31051" xr:uid="{00000000-0005-0000-0000-000058790000}"/>
    <cellStyle name="Positive 3 2 3 2 15" xfId="31052" xr:uid="{00000000-0005-0000-0000-000059790000}"/>
    <cellStyle name="Positive 3 2 3 2 15 2" xfId="31053" xr:uid="{00000000-0005-0000-0000-00005A790000}"/>
    <cellStyle name="Positive 3 2 3 2 16" xfId="31054" xr:uid="{00000000-0005-0000-0000-00005B790000}"/>
    <cellStyle name="Positive 3 2 3 2 16 2" xfId="31055" xr:uid="{00000000-0005-0000-0000-00005C790000}"/>
    <cellStyle name="Positive 3 2 3 2 17" xfId="31056" xr:uid="{00000000-0005-0000-0000-00005D790000}"/>
    <cellStyle name="Positive 3 2 3 2 17 2" xfId="31057" xr:uid="{00000000-0005-0000-0000-00005E790000}"/>
    <cellStyle name="Positive 3 2 3 2 18" xfId="31058" xr:uid="{00000000-0005-0000-0000-00005F790000}"/>
    <cellStyle name="Positive 3 2 3 2 18 2" xfId="31059" xr:uid="{00000000-0005-0000-0000-000060790000}"/>
    <cellStyle name="Positive 3 2 3 2 19" xfId="31060" xr:uid="{00000000-0005-0000-0000-000061790000}"/>
    <cellStyle name="Positive 3 2 3 2 19 2" xfId="31061" xr:uid="{00000000-0005-0000-0000-000062790000}"/>
    <cellStyle name="Positive 3 2 3 2 2" xfId="31062" xr:uid="{00000000-0005-0000-0000-000063790000}"/>
    <cellStyle name="Positive 3 2 3 2 2 10" xfId="31063" xr:uid="{00000000-0005-0000-0000-000064790000}"/>
    <cellStyle name="Positive 3 2 3 2 2 10 2" xfId="31064" xr:uid="{00000000-0005-0000-0000-000065790000}"/>
    <cellStyle name="Positive 3 2 3 2 2 11" xfId="31065" xr:uid="{00000000-0005-0000-0000-000066790000}"/>
    <cellStyle name="Positive 3 2 3 2 2 11 2" xfId="31066" xr:uid="{00000000-0005-0000-0000-000067790000}"/>
    <cellStyle name="Positive 3 2 3 2 2 12" xfId="31067" xr:uid="{00000000-0005-0000-0000-000068790000}"/>
    <cellStyle name="Positive 3 2 3 2 2 12 2" xfId="31068" xr:uid="{00000000-0005-0000-0000-000069790000}"/>
    <cellStyle name="Positive 3 2 3 2 2 13" xfId="31069" xr:uid="{00000000-0005-0000-0000-00006A790000}"/>
    <cellStyle name="Positive 3 2 3 2 2 13 2" xfId="31070" xr:uid="{00000000-0005-0000-0000-00006B790000}"/>
    <cellStyle name="Positive 3 2 3 2 2 14" xfId="31071" xr:uid="{00000000-0005-0000-0000-00006C790000}"/>
    <cellStyle name="Positive 3 2 3 2 2 14 2" xfId="31072" xr:uid="{00000000-0005-0000-0000-00006D790000}"/>
    <cellStyle name="Positive 3 2 3 2 2 15" xfId="31073" xr:uid="{00000000-0005-0000-0000-00006E790000}"/>
    <cellStyle name="Positive 3 2 3 2 2 15 2" xfId="31074" xr:uid="{00000000-0005-0000-0000-00006F790000}"/>
    <cellStyle name="Positive 3 2 3 2 2 16" xfId="31075" xr:uid="{00000000-0005-0000-0000-000070790000}"/>
    <cellStyle name="Positive 3 2 3 2 2 16 2" xfId="31076" xr:uid="{00000000-0005-0000-0000-000071790000}"/>
    <cellStyle name="Positive 3 2 3 2 2 17" xfId="31077" xr:uid="{00000000-0005-0000-0000-000072790000}"/>
    <cellStyle name="Positive 3 2 3 2 2 2" xfId="31078" xr:uid="{00000000-0005-0000-0000-000073790000}"/>
    <cellStyle name="Positive 3 2 3 2 2 2 2" xfId="31079" xr:uid="{00000000-0005-0000-0000-000074790000}"/>
    <cellStyle name="Positive 3 2 3 2 2 3" xfId="31080" xr:uid="{00000000-0005-0000-0000-000075790000}"/>
    <cellStyle name="Positive 3 2 3 2 2 3 2" xfId="31081" xr:uid="{00000000-0005-0000-0000-000076790000}"/>
    <cellStyle name="Positive 3 2 3 2 2 4" xfId="31082" xr:uid="{00000000-0005-0000-0000-000077790000}"/>
    <cellStyle name="Positive 3 2 3 2 2 4 2" xfId="31083" xr:uid="{00000000-0005-0000-0000-000078790000}"/>
    <cellStyle name="Positive 3 2 3 2 2 5" xfId="31084" xr:uid="{00000000-0005-0000-0000-000079790000}"/>
    <cellStyle name="Positive 3 2 3 2 2 5 2" xfId="31085" xr:uid="{00000000-0005-0000-0000-00007A790000}"/>
    <cellStyle name="Positive 3 2 3 2 2 6" xfId="31086" xr:uid="{00000000-0005-0000-0000-00007B790000}"/>
    <cellStyle name="Positive 3 2 3 2 2 6 2" xfId="31087" xr:uid="{00000000-0005-0000-0000-00007C790000}"/>
    <cellStyle name="Positive 3 2 3 2 2 7" xfId="31088" xr:uid="{00000000-0005-0000-0000-00007D790000}"/>
    <cellStyle name="Positive 3 2 3 2 2 7 2" xfId="31089" xr:uid="{00000000-0005-0000-0000-00007E790000}"/>
    <cellStyle name="Positive 3 2 3 2 2 8" xfId="31090" xr:uid="{00000000-0005-0000-0000-00007F790000}"/>
    <cellStyle name="Positive 3 2 3 2 2 8 2" xfId="31091" xr:uid="{00000000-0005-0000-0000-000080790000}"/>
    <cellStyle name="Positive 3 2 3 2 2 9" xfId="31092" xr:uid="{00000000-0005-0000-0000-000081790000}"/>
    <cellStyle name="Positive 3 2 3 2 2 9 2" xfId="31093" xr:uid="{00000000-0005-0000-0000-000082790000}"/>
    <cellStyle name="Positive 3 2 3 2 20" xfId="31094" xr:uid="{00000000-0005-0000-0000-000083790000}"/>
    <cellStyle name="Positive 3 2 3 2 3" xfId="31095" xr:uid="{00000000-0005-0000-0000-000084790000}"/>
    <cellStyle name="Positive 3 2 3 2 3 2" xfId="31096" xr:uid="{00000000-0005-0000-0000-000085790000}"/>
    <cellStyle name="Positive 3 2 3 2 3 2 2" xfId="31097" xr:uid="{00000000-0005-0000-0000-000086790000}"/>
    <cellStyle name="Positive 3 2 3 2 3 3" xfId="31098" xr:uid="{00000000-0005-0000-0000-000087790000}"/>
    <cellStyle name="Positive 3 2 3 2 4" xfId="31099" xr:uid="{00000000-0005-0000-0000-000088790000}"/>
    <cellStyle name="Positive 3 2 3 2 4 2" xfId="31100" xr:uid="{00000000-0005-0000-0000-000089790000}"/>
    <cellStyle name="Positive 3 2 3 2 4 2 2" xfId="31101" xr:uid="{00000000-0005-0000-0000-00008A790000}"/>
    <cellStyle name="Positive 3 2 3 2 4 3" xfId="31102" xr:uid="{00000000-0005-0000-0000-00008B790000}"/>
    <cellStyle name="Positive 3 2 3 2 5" xfId="31103" xr:uid="{00000000-0005-0000-0000-00008C790000}"/>
    <cellStyle name="Positive 3 2 3 2 5 2" xfId="31104" xr:uid="{00000000-0005-0000-0000-00008D790000}"/>
    <cellStyle name="Positive 3 2 3 2 6" xfId="31105" xr:uid="{00000000-0005-0000-0000-00008E790000}"/>
    <cellStyle name="Positive 3 2 3 2 6 2" xfId="31106" xr:uid="{00000000-0005-0000-0000-00008F790000}"/>
    <cellStyle name="Positive 3 2 3 2 7" xfId="31107" xr:uid="{00000000-0005-0000-0000-000090790000}"/>
    <cellStyle name="Positive 3 2 3 2 7 2" xfId="31108" xr:uid="{00000000-0005-0000-0000-000091790000}"/>
    <cellStyle name="Positive 3 2 3 2 8" xfId="31109" xr:uid="{00000000-0005-0000-0000-000092790000}"/>
    <cellStyle name="Positive 3 2 3 2 8 2" xfId="31110" xr:uid="{00000000-0005-0000-0000-000093790000}"/>
    <cellStyle name="Positive 3 2 3 2 9" xfId="31111" xr:uid="{00000000-0005-0000-0000-000094790000}"/>
    <cellStyle name="Positive 3 2 3 2 9 2" xfId="31112" xr:uid="{00000000-0005-0000-0000-000095790000}"/>
    <cellStyle name="Positive 3 2 3 20" xfId="31113" xr:uid="{00000000-0005-0000-0000-000096790000}"/>
    <cellStyle name="Positive 3 2 3 20 2" xfId="31114" xr:uid="{00000000-0005-0000-0000-000097790000}"/>
    <cellStyle name="Positive 3 2 3 21" xfId="31115" xr:uid="{00000000-0005-0000-0000-000098790000}"/>
    <cellStyle name="Positive 3 2 3 21 2" xfId="31116" xr:uid="{00000000-0005-0000-0000-000099790000}"/>
    <cellStyle name="Positive 3 2 3 22" xfId="31117" xr:uid="{00000000-0005-0000-0000-00009A790000}"/>
    <cellStyle name="Positive 3 2 3 22 2" xfId="31118" xr:uid="{00000000-0005-0000-0000-00009B790000}"/>
    <cellStyle name="Positive 3 2 3 23" xfId="31119" xr:uid="{00000000-0005-0000-0000-00009C790000}"/>
    <cellStyle name="Positive 3 2 3 3" xfId="31120" xr:uid="{00000000-0005-0000-0000-00009D790000}"/>
    <cellStyle name="Positive 3 2 3 3 10" xfId="31121" xr:uid="{00000000-0005-0000-0000-00009E790000}"/>
    <cellStyle name="Positive 3 2 3 3 10 2" xfId="31122" xr:uid="{00000000-0005-0000-0000-00009F790000}"/>
    <cellStyle name="Positive 3 2 3 3 11" xfId="31123" xr:uid="{00000000-0005-0000-0000-0000A0790000}"/>
    <cellStyle name="Positive 3 2 3 3 11 2" xfId="31124" xr:uid="{00000000-0005-0000-0000-0000A1790000}"/>
    <cellStyle name="Positive 3 2 3 3 12" xfId="31125" xr:uid="{00000000-0005-0000-0000-0000A2790000}"/>
    <cellStyle name="Positive 3 2 3 3 12 2" xfId="31126" xr:uid="{00000000-0005-0000-0000-0000A3790000}"/>
    <cellStyle name="Positive 3 2 3 3 13" xfId="31127" xr:uid="{00000000-0005-0000-0000-0000A4790000}"/>
    <cellStyle name="Positive 3 2 3 3 13 2" xfId="31128" xr:uid="{00000000-0005-0000-0000-0000A5790000}"/>
    <cellStyle name="Positive 3 2 3 3 14" xfId="31129" xr:uid="{00000000-0005-0000-0000-0000A6790000}"/>
    <cellStyle name="Positive 3 2 3 3 14 2" xfId="31130" xr:uid="{00000000-0005-0000-0000-0000A7790000}"/>
    <cellStyle name="Positive 3 2 3 3 15" xfId="31131" xr:uid="{00000000-0005-0000-0000-0000A8790000}"/>
    <cellStyle name="Positive 3 2 3 3 15 2" xfId="31132" xr:uid="{00000000-0005-0000-0000-0000A9790000}"/>
    <cellStyle name="Positive 3 2 3 3 16" xfId="31133" xr:uid="{00000000-0005-0000-0000-0000AA790000}"/>
    <cellStyle name="Positive 3 2 3 3 16 2" xfId="31134" xr:uid="{00000000-0005-0000-0000-0000AB790000}"/>
    <cellStyle name="Positive 3 2 3 3 17" xfId="31135" xr:uid="{00000000-0005-0000-0000-0000AC790000}"/>
    <cellStyle name="Positive 3 2 3 3 17 2" xfId="31136" xr:uid="{00000000-0005-0000-0000-0000AD790000}"/>
    <cellStyle name="Positive 3 2 3 3 18" xfId="31137" xr:uid="{00000000-0005-0000-0000-0000AE790000}"/>
    <cellStyle name="Positive 3 2 3 3 18 2" xfId="31138" xr:uid="{00000000-0005-0000-0000-0000AF790000}"/>
    <cellStyle name="Positive 3 2 3 3 19" xfId="31139" xr:uid="{00000000-0005-0000-0000-0000B0790000}"/>
    <cellStyle name="Positive 3 2 3 3 19 2" xfId="31140" xr:uid="{00000000-0005-0000-0000-0000B1790000}"/>
    <cellStyle name="Positive 3 2 3 3 2" xfId="31141" xr:uid="{00000000-0005-0000-0000-0000B2790000}"/>
    <cellStyle name="Positive 3 2 3 3 2 10" xfId="31142" xr:uid="{00000000-0005-0000-0000-0000B3790000}"/>
    <cellStyle name="Positive 3 2 3 3 2 10 2" xfId="31143" xr:uid="{00000000-0005-0000-0000-0000B4790000}"/>
    <cellStyle name="Positive 3 2 3 3 2 11" xfId="31144" xr:uid="{00000000-0005-0000-0000-0000B5790000}"/>
    <cellStyle name="Positive 3 2 3 3 2 11 2" xfId="31145" xr:uid="{00000000-0005-0000-0000-0000B6790000}"/>
    <cellStyle name="Positive 3 2 3 3 2 12" xfId="31146" xr:uid="{00000000-0005-0000-0000-0000B7790000}"/>
    <cellStyle name="Positive 3 2 3 3 2 12 2" xfId="31147" xr:uid="{00000000-0005-0000-0000-0000B8790000}"/>
    <cellStyle name="Positive 3 2 3 3 2 13" xfId="31148" xr:uid="{00000000-0005-0000-0000-0000B9790000}"/>
    <cellStyle name="Positive 3 2 3 3 2 13 2" xfId="31149" xr:uid="{00000000-0005-0000-0000-0000BA790000}"/>
    <cellStyle name="Positive 3 2 3 3 2 14" xfId="31150" xr:uid="{00000000-0005-0000-0000-0000BB790000}"/>
    <cellStyle name="Positive 3 2 3 3 2 14 2" xfId="31151" xr:uid="{00000000-0005-0000-0000-0000BC790000}"/>
    <cellStyle name="Positive 3 2 3 3 2 15" xfId="31152" xr:uid="{00000000-0005-0000-0000-0000BD790000}"/>
    <cellStyle name="Positive 3 2 3 3 2 15 2" xfId="31153" xr:uid="{00000000-0005-0000-0000-0000BE790000}"/>
    <cellStyle name="Positive 3 2 3 3 2 16" xfId="31154" xr:uid="{00000000-0005-0000-0000-0000BF790000}"/>
    <cellStyle name="Positive 3 2 3 3 2 16 2" xfId="31155" xr:uid="{00000000-0005-0000-0000-0000C0790000}"/>
    <cellStyle name="Positive 3 2 3 3 2 17" xfId="31156" xr:uid="{00000000-0005-0000-0000-0000C1790000}"/>
    <cellStyle name="Positive 3 2 3 3 2 2" xfId="31157" xr:uid="{00000000-0005-0000-0000-0000C2790000}"/>
    <cellStyle name="Positive 3 2 3 3 2 2 2" xfId="31158" xr:uid="{00000000-0005-0000-0000-0000C3790000}"/>
    <cellStyle name="Positive 3 2 3 3 2 3" xfId="31159" xr:uid="{00000000-0005-0000-0000-0000C4790000}"/>
    <cellStyle name="Positive 3 2 3 3 2 3 2" xfId="31160" xr:uid="{00000000-0005-0000-0000-0000C5790000}"/>
    <cellStyle name="Positive 3 2 3 3 2 4" xfId="31161" xr:uid="{00000000-0005-0000-0000-0000C6790000}"/>
    <cellStyle name="Positive 3 2 3 3 2 4 2" xfId="31162" xr:uid="{00000000-0005-0000-0000-0000C7790000}"/>
    <cellStyle name="Positive 3 2 3 3 2 5" xfId="31163" xr:uid="{00000000-0005-0000-0000-0000C8790000}"/>
    <cellStyle name="Positive 3 2 3 3 2 5 2" xfId="31164" xr:uid="{00000000-0005-0000-0000-0000C9790000}"/>
    <cellStyle name="Positive 3 2 3 3 2 6" xfId="31165" xr:uid="{00000000-0005-0000-0000-0000CA790000}"/>
    <cellStyle name="Positive 3 2 3 3 2 6 2" xfId="31166" xr:uid="{00000000-0005-0000-0000-0000CB790000}"/>
    <cellStyle name="Positive 3 2 3 3 2 7" xfId="31167" xr:uid="{00000000-0005-0000-0000-0000CC790000}"/>
    <cellStyle name="Positive 3 2 3 3 2 7 2" xfId="31168" xr:uid="{00000000-0005-0000-0000-0000CD790000}"/>
    <cellStyle name="Positive 3 2 3 3 2 8" xfId="31169" xr:uid="{00000000-0005-0000-0000-0000CE790000}"/>
    <cellStyle name="Positive 3 2 3 3 2 8 2" xfId="31170" xr:uid="{00000000-0005-0000-0000-0000CF790000}"/>
    <cellStyle name="Positive 3 2 3 3 2 9" xfId="31171" xr:uid="{00000000-0005-0000-0000-0000D0790000}"/>
    <cellStyle name="Positive 3 2 3 3 2 9 2" xfId="31172" xr:uid="{00000000-0005-0000-0000-0000D1790000}"/>
    <cellStyle name="Positive 3 2 3 3 20" xfId="31173" xr:uid="{00000000-0005-0000-0000-0000D2790000}"/>
    <cellStyle name="Positive 3 2 3 3 3" xfId="31174" xr:uid="{00000000-0005-0000-0000-0000D3790000}"/>
    <cellStyle name="Positive 3 2 3 3 3 2" xfId="31175" xr:uid="{00000000-0005-0000-0000-0000D4790000}"/>
    <cellStyle name="Positive 3 2 3 3 3 2 2" xfId="31176" xr:uid="{00000000-0005-0000-0000-0000D5790000}"/>
    <cellStyle name="Positive 3 2 3 3 3 3" xfId="31177" xr:uid="{00000000-0005-0000-0000-0000D6790000}"/>
    <cellStyle name="Positive 3 2 3 3 4" xfId="31178" xr:uid="{00000000-0005-0000-0000-0000D7790000}"/>
    <cellStyle name="Positive 3 2 3 3 4 2" xfId="31179" xr:uid="{00000000-0005-0000-0000-0000D8790000}"/>
    <cellStyle name="Positive 3 2 3 3 4 2 2" xfId="31180" xr:uid="{00000000-0005-0000-0000-0000D9790000}"/>
    <cellStyle name="Positive 3 2 3 3 4 3" xfId="31181" xr:uid="{00000000-0005-0000-0000-0000DA790000}"/>
    <cellStyle name="Positive 3 2 3 3 5" xfId="31182" xr:uid="{00000000-0005-0000-0000-0000DB790000}"/>
    <cellStyle name="Positive 3 2 3 3 5 2" xfId="31183" xr:uid="{00000000-0005-0000-0000-0000DC790000}"/>
    <cellStyle name="Positive 3 2 3 3 6" xfId="31184" xr:uid="{00000000-0005-0000-0000-0000DD790000}"/>
    <cellStyle name="Positive 3 2 3 3 6 2" xfId="31185" xr:uid="{00000000-0005-0000-0000-0000DE790000}"/>
    <cellStyle name="Positive 3 2 3 3 7" xfId="31186" xr:uid="{00000000-0005-0000-0000-0000DF790000}"/>
    <cellStyle name="Positive 3 2 3 3 7 2" xfId="31187" xr:uid="{00000000-0005-0000-0000-0000E0790000}"/>
    <cellStyle name="Positive 3 2 3 3 8" xfId="31188" xr:uid="{00000000-0005-0000-0000-0000E1790000}"/>
    <cellStyle name="Positive 3 2 3 3 8 2" xfId="31189" xr:uid="{00000000-0005-0000-0000-0000E2790000}"/>
    <cellStyle name="Positive 3 2 3 3 9" xfId="31190" xr:uid="{00000000-0005-0000-0000-0000E3790000}"/>
    <cellStyle name="Positive 3 2 3 3 9 2" xfId="31191" xr:uid="{00000000-0005-0000-0000-0000E4790000}"/>
    <cellStyle name="Positive 3 2 3 4" xfId="31192" xr:uid="{00000000-0005-0000-0000-0000E5790000}"/>
    <cellStyle name="Positive 3 2 3 4 10" xfId="31193" xr:uid="{00000000-0005-0000-0000-0000E6790000}"/>
    <cellStyle name="Positive 3 2 3 4 10 2" xfId="31194" xr:uid="{00000000-0005-0000-0000-0000E7790000}"/>
    <cellStyle name="Positive 3 2 3 4 11" xfId="31195" xr:uid="{00000000-0005-0000-0000-0000E8790000}"/>
    <cellStyle name="Positive 3 2 3 4 11 2" xfId="31196" xr:uid="{00000000-0005-0000-0000-0000E9790000}"/>
    <cellStyle name="Positive 3 2 3 4 12" xfId="31197" xr:uid="{00000000-0005-0000-0000-0000EA790000}"/>
    <cellStyle name="Positive 3 2 3 4 12 2" xfId="31198" xr:uid="{00000000-0005-0000-0000-0000EB790000}"/>
    <cellStyle name="Positive 3 2 3 4 13" xfId="31199" xr:uid="{00000000-0005-0000-0000-0000EC790000}"/>
    <cellStyle name="Positive 3 2 3 4 13 2" xfId="31200" xr:uid="{00000000-0005-0000-0000-0000ED790000}"/>
    <cellStyle name="Positive 3 2 3 4 14" xfId="31201" xr:uid="{00000000-0005-0000-0000-0000EE790000}"/>
    <cellStyle name="Positive 3 2 3 4 14 2" xfId="31202" xr:uid="{00000000-0005-0000-0000-0000EF790000}"/>
    <cellStyle name="Positive 3 2 3 4 15" xfId="31203" xr:uid="{00000000-0005-0000-0000-0000F0790000}"/>
    <cellStyle name="Positive 3 2 3 4 15 2" xfId="31204" xr:uid="{00000000-0005-0000-0000-0000F1790000}"/>
    <cellStyle name="Positive 3 2 3 4 16" xfId="31205" xr:uid="{00000000-0005-0000-0000-0000F2790000}"/>
    <cellStyle name="Positive 3 2 3 4 16 2" xfId="31206" xr:uid="{00000000-0005-0000-0000-0000F3790000}"/>
    <cellStyle name="Positive 3 2 3 4 17" xfId="31207" xr:uid="{00000000-0005-0000-0000-0000F4790000}"/>
    <cellStyle name="Positive 3 2 3 4 17 2" xfId="31208" xr:uid="{00000000-0005-0000-0000-0000F5790000}"/>
    <cellStyle name="Positive 3 2 3 4 18" xfId="31209" xr:uid="{00000000-0005-0000-0000-0000F6790000}"/>
    <cellStyle name="Positive 3 2 3 4 18 2" xfId="31210" xr:uid="{00000000-0005-0000-0000-0000F7790000}"/>
    <cellStyle name="Positive 3 2 3 4 19" xfId="31211" xr:uid="{00000000-0005-0000-0000-0000F8790000}"/>
    <cellStyle name="Positive 3 2 3 4 19 2" xfId="31212" xr:uid="{00000000-0005-0000-0000-0000F9790000}"/>
    <cellStyle name="Positive 3 2 3 4 2" xfId="31213" xr:uid="{00000000-0005-0000-0000-0000FA790000}"/>
    <cellStyle name="Positive 3 2 3 4 2 10" xfId="31214" xr:uid="{00000000-0005-0000-0000-0000FB790000}"/>
    <cellStyle name="Positive 3 2 3 4 2 10 2" xfId="31215" xr:uid="{00000000-0005-0000-0000-0000FC790000}"/>
    <cellStyle name="Positive 3 2 3 4 2 11" xfId="31216" xr:uid="{00000000-0005-0000-0000-0000FD790000}"/>
    <cellStyle name="Positive 3 2 3 4 2 11 2" xfId="31217" xr:uid="{00000000-0005-0000-0000-0000FE790000}"/>
    <cellStyle name="Positive 3 2 3 4 2 12" xfId="31218" xr:uid="{00000000-0005-0000-0000-0000FF790000}"/>
    <cellStyle name="Positive 3 2 3 4 2 12 2" xfId="31219" xr:uid="{00000000-0005-0000-0000-0000007A0000}"/>
    <cellStyle name="Positive 3 2 3 4 2 13" xfId="31220" xr:uid="{00000000-0005-0000-0000-0000017A0000}"/>
    <cellStyle name="Positive 3 2 3 4 2 13 2" xfId="31221" xr:uid="{00000000-0005-0000-0000-0000027A0000}"/>
    <cellStyle name="Positive 3 2 3 4 2 14" xfId="31222" xr:uid="{00000000-0005-0000-0000-0000037A0000}"/>
    <cellStyle name="Positive 3 2 3 4 2 14 2" xfId="31223" xr:uid="{00000000-0005-0000-0000-0000047A0000}"/>
    <cellStyle name="Positive 3 2 3 4 2 15" xfId="31224" xr:uid="{00000000-0005-0000-0000-0000057A0000}"/>
    <cellStyle name="Positive 3 2 3 4 2 15 2" xfId="31225" xr:uid="{00000000-0005-0000-0000-0000067A0000}"/>
    <cellStyle name="Positive 3 2 3 4 2 16" xfId="31226" xr:uid="{00000000-0005-0000-0000-0000077A0000}"/>
    <cellStyle name="Positive 3 2 3 4 2 16 2" xfId="31227" xr:uid="{00000000-0005-0000-0000-0000087A0000}"/>
    <cellStyle name="Positive 3 2 3 4 2 17" xfId="31228" xr:uid="{00000000-0005-0000-0000-0000097A0000}"/>
    <cellStyle name="Positive 3 2 3 4 2 2" xfId="31229" xr:uid="{00000000-0005-0000-0000-00000A7A0000}"/>
    <cellStyle name="Positive 3 2 3 4 2 2 2" xfId="31230" xr:uid="{00000000-0005-0000-0000-00000B7A0000}"/>
    <cellStyle name="Positive 3 2 3 4 2 3" xfId="31231" xr:uid="{00000000-0005-0000-0000-00000C7A0000}"/>
    <cellStyle name="Positive 3 2 3 4 2 3 2" xfId="31232" xr:uid="{00000000-0005-0000-0000-00000D7A0000}"/>
    <cellStyle name="Positive 3 2 3 4 2 4" xfId="31233" xr:uid="{00000000-0005-0000-0000-00000E7A0000}"/>
    <cellStyle name="Positive 3 2 3 4 2 4 2" xfId="31234" xr:uid="{00000000-0005-0000-0000-00000F7A0000}"/>
    <cellStyle name="Positive 3 2 3 4 2 5" xfId="31235" xr:uid="{00000000-0005-0000-0000-0000107A0000}"/>
    <cellStyle name="Positive 3 2 3 4 2 5 2" xfId="31236" xr:uid="{00000000-0005-0000-0000-0000117A0000}"/>
    <cellStyle name="Positive 3 2 3 4 2 6" xfId="31237" xr:uid="{00000000-0005-0000-0000-0000127A0000}"/>
    <cellStyle name="Positive 3 2 3 4 2 6 2" xfId="31238" xr:uid="{00000000-0005-0000-0000-0000137A0000}"/>
    <cellStyle name="Positive 3 2 3 4 2 7" xfId="31239" xr:uid="{00000000-0005-0000-0000-0000147A0000}"/>
    <cellStyle name="Positive 3 2 3 4 2 7 2" xfId="31240" xr:uid="{00000000-0005-0000-0000-0000157A0000}"/>
    <cellStyle name="Positive 3 2 3 4 2 8" xfId="31241" xr:uid="{00000000-0005-0000-0000-0000167A0000}"/>
    <cellStyle name="Positive 3 2 3 4 2 8 2" xfId="31242" xr:uid="{00000000-0005-0000-0000-0000177A0000}"/>
    <cellStyle name="Positive 3 2 3 4 2 9" xfId="31243" xr:uid="{00000000-0005-0000-0000-0000187A0000}"/>
    <cellStyle name="Positive 3 2 3 4 2 9 2" xfId="31244" xr:uid="{00000000-0005-0000-0000-0000197A0000}"/>
    <cellStyle name="Positive 3 2 3 4 20" xfId="31245" xr:uid="{00000000-0005-0000-0000-00001A7A0000}"/>
    <cellStyle name="Positive 3 2 3 4 3" xfId="31246" xr:uid="{00000000-0005-0000-0000-00001B7A0000}"/>
    <cellStyle name="Positive 3 2 3 4 3 2" xfId="31247" xr:uid="{00000000-0005-0000-0000-00001C7A0000}"/>
    <cellStyle name="Positive 3 2 3 4 3 2 2" xfId="31248" xr:uid="{00000000-0005-0000-0000-00001D7A0000}"/>
    <cellStyle name="Positive 3 2 3 4 3 3" xfId="31249" xr:uid="{00000000-0005-0000-0000-00001E7A0000}"/>
    <cellStyle name="Positive 3 2 3 4 4" xfId="31250" xr:uid="{00000000-0005-0000-0000-00001F7A0000}"/>
    <cellStyle name="Positive 3 2 3 4 4 2" xfId="31251" xr:uid="{00000000-0005-0000-0000-0000207A0000}"/>
    <cellStyle name="Positive 3 2 3 4 4 2 2" xfId="31252" xr:uid="{00000000-0005-0000-0000-0000217A0000}"/>
    <cellStyle name="Positive 3 2 3 4 4 3" xfId="31253" xr:uid="{00000000-0005-0000-0000-0000227A0000}"/>
    <cellStyle name="Positive 3 2 3 4 5" xfId="31254" xr:uid="{00000000-0005-0000-0000-0000237A0000}"/>
    <cellStyle name="Positive 3 2 3 4 5 2" xfId="31255" xr:uid="{00000000-0005-0000-0000-0000247A0000}"/>
    <cellStyle name="Positive 3 2 3 4 6" xfId="31256" xr:uid="{00000000-0005-0000-0000-0000257A0000}"/>
    <cellStyle name="Positive 3 2 3 4 6 2" xfId="31257" xr:uid="{00000000-0005-0000-0000-0000267A0000}"/>
    <cellStyle name="Positive 3 2 3 4 7" xfId="31258" xr:uid="{00000000-0005-0000-0000-0000277A0000}"/>
    <cellStyle name="Positive 3 2 3 4 7 2" xfId="31259" xr:uid="{00000000-0005-0000-0000-0000287A0000}"/>
    <cellStyle name="Positive 3 2 3 4 8" xfId="31260" xr:uid="{00000000-0005-0000-0000-0000297A0000}"/>
    <cellStyle name="Positive 3 2 3 4 8 2" xfId="31261" xr:uid="{00000000-0005-0000-0000-00002A7A0000}"/>
    <cellStyle name="Positive 3 2 3 4 9" xfId="31262" xr:uid="{00000000-0005-0000-0000-00002B7A0000}"/>
    <cellStyle name="Positive 3 2 3 4 9 2" xfId="31263" xr:uid="{00000000-0005-0000-0000-00002C7A0000}"/>
    <cellStyle name="Positive 3 2 3 5" xfId="31264" xr:uid="{00000000-0005-0000-0000-00002D7A0000}"/>
    <cellStyle name="Positive 3 2 3 5 10" xfId="31265" xr:uid="{00000000-0005-0000-0000-00002E7A0000}"/>
    <cellStyle name="Positive 3 2 3 5 10 2" xfId="31266" xr:uid="{00000000-0005-0000-0000-00002F7A0000}"/>
    <cellStyle name="Positive 3 2 3 5 11" xfId="31267" xr:uid="{00000000-0005-0000-0000-0000307A0000}"/>
    <cellStyle name="Positive 3 2 3 5 11 2" xfId="31268" xr:uid="{00000000-0005-0000-0000-0000317A0000}"/>
    <cellStyle name="Positive 3 2 3 5 12" xfId="31269" xr:uid="{00000000-0005-0000-0000-0000327A0000}"/>
    <cellStyle name="Positive 3 2 3 5 12 2" xfId="31270" xr:uid="{00000000-0005-0000-0000-0000337A0000}"/>
    <cellStyle name="Positive 3 2 3 5 13" xfId="31271" xr:uid="{00000000-0005-0000-0000-0000347A0000}"/>
    <cellStyle name="Positive 3 2 3 5 13 2" xfId="31272" xr:uid="{00000000-0005-0000-0000-0000357A0000}"/>
    <cellStyle name="Positive 3 2 3 5 14" xfId="31273" xr:uid="{00000000-0005-0000-0000-0000367A0000}"/>
    <cellStyle name="Positive 3 2 3 5 14 2" xfId="31274" xr:uid="{00000000-0005-0000-0000-0000377A0000}"/>
    <cellStyle name="Positive 3 2 3 5 15" xfId="31275" xr:uid="{00000000-0005-0000-0000-0000387A0000}"/>
    <cellStyle name="Positive 3 2 3 5 15 2" xfId="31276" xr:uid="{00000000-0005-0000-0000-0000397A0000}"/>
    <cellStyle name="Positive 3 2 3 5 16" xfId="31277" xr:uid="{00000000-0005-0000-0000-00003A7A0000}"/>
    <cellStyle name="Positive 3 2 3 5 16 2" xfId="31278" xr:uid="{00000000-0005-0000-0000-00003B7A0000}"/>
    <cellStyle name="Positive 3 2 3 5 17" xfId="31279" xr:uid="{00000000-0005-0000-0000-00003C7A0000}"/>
    <cellStyle name="Positive 3 2 3 5 2" xfId="31280" xr:uid="{00000000-0005-0000-0000-00003D7A0000}"/>
    <cellStyle name="Positive 3 2 3 5 2 2" xfId="31281" xr:uid="{00000000-0005-0000-0000-00003E7A0000}"/>
    <cellStyle name="Positive 3 2 3 5 3" xfId="31282" xr:uid="{00000000-0005-0000-0000-00003F7A0000}"/>
    <cellStyle name="Positive 3 2 3 5 3 2" xfId="31283" xr:uid="{00000000-0005-0000-0000-0000407A0000}"/>
    <cellStyle name="Positive 3 2 3 5 4" xfId="31284" xr:uid="{00000000-0005-0000-0000-0000417A0000}"/>
    <cellStyle name="Positive 3 2 3 5 4 2" xfId="31285" xr:uid="{00000000-0005-0000-0000-0000427A0000}"/>
    <cellStyle name="Positive 3 2 3 5 5" xfId="31286" xr:uid="{00000000-0005-0000-0000-0000437A0000}"/>
    <cellStyle name="Positive 3 2 3 5 5 2" xfId="31287" xr:uid="{00000000-0005-0000-0000-0000447A0000}"/>
    <cellStyle name="Positive 3 2 3 5 6" xfId="31288" xr:uid="{00000000-0005-0000-0000-0000457A0000}"/>
    <cellStyle name="Positive 3 2 3 5 6 2" xfId="31289" xr:uid="{00000000-0005-0000-0000-0000467A0000}"/>
    <cellStyle name="Positive 3 2 3 5 7" xfId="31290" xr:uid="{00000000-0005-0000-0000-0000477A0000}"/>
    <cellStyle name="Positive 3 2 3 5 7 2" xfId="31291" xr:uid="{00000000-0005-0000-0000-0000487A0000}"/>
    <cellStyle name="Positive 3 2 3 5 8" xfId="31292" xr:uid="{00000000-0005-0000-0000-0000497A0000}"/>
    <cellStyle name="Positive 3 2 3 5 8 2" xfId="31293" xr:uid="{00000000-0005-0000-0000-00004A7A0000}"/>
    <cellStyle name="Positive 3 2 3 5 9" xfId="31294" xr:uid="{00000000-0005-0000-0000-00004B7A0000}"/>
    <cellStyle name="Positive 3 2 3 5 9 2" xfId="31295" xr:uid="{00000000-0005-0000-0000-00004C7A0000}"/>
    <cellStyle name="Positive 3 2 3 6" xfId="31296" xr:uid="{00000000-0005-0000-0000-00004D7A0000}"/>
    <cellStyle name="Positive 3 2 3 6 2" xfId="31297" xr:uid="{00000000-0005-0000-0000-00004E7A0000}"/>
    <cellStyle name="Positive 3 2 3 6 2 2" xfId="31298" xr:uid="{00000000-0005-0000-0000-00004F7A0000}"/>
    <cellStyle name="Positive 3 2 3 6 3" xfId="31299" xr:uid="{00000000-0005-0000-0000-0000507A0000}"/>
    <cellStyle name="Positive 3 2 3 7" xfId="31300" xr:uid="{00000000-0005-0000-0000-0000517A0000}"/>
    <cellStyle name="Positive 3 2 3 7 2" xfId="31301" xr:uid="{00000000-0005-0000-0000-0000527A0000}"/>
    <cellStyle name="Positive 3 2 3 7 2 2" xfId="31302" xr:uid="{00000000-0005-0000-0000-0000537A0000}"/>
    <cellStyle name="Positive 3 2 3 7 3" xfId="31303" xr:uid="{00000000-0005-0000-0000-0000547A0000}"/>
    <cellStyle name="Positive 3 2 3 8" xfId="31304" xr:uid="{00000000-0005-0000-0000-0000557A0000}"/>
    <cellStyle name="Positive 3 2 3 8 2" xfId="31305" xr:uid="{00000000-0005-0000-0000-0000567A0000}"/>
    <cellStyle name="Positive 3 2 3 9" xfId="31306" xr:uid="{00000000-0005-0000-0000-0000577A0000}"/>
    <cellStyle name="Positive 3 2 3 9 2" xfId="31307" xr:uid="{00000000-0005-0000-0000-0000587A0000}"/>
    <cellStyle name="Positive 3 2 30" xfId="31308" xr:uid="{00000000-0005-0000-0000-0000597A0000}"/>
    <cellStyle name="Positive 3 2 30 2" xfId="31309" xr:uid="{00000000-0005-0000-0000-00005A7A0000}"/>
    <cellStyle name="Positive 3 2 31" xfId="31310" xr:uid="{00000000-0005-0000-0000-00005B7A0000}"/>
    <cellStyle name="Positive 3 2 31 2" xfId="31311" xr:uid="{00000000-0005-0000-0000-00005C7A0000}"/>
    <cellStyle name="Positive 3 2 32" xfId="31312" xr:uid="{00000000-0005-0000-0000-00005D7A0000}"/>
    <cellStyle name="Positive 3 2 32 2" xfId="31313" xr:uid="{00000000-0005-0000-0000-00005E7A0000}"/>
    <cellStyle name="Positive 3 2 33" xfId="31314" xr:uid="{00000000-0005-0000-0000-00005F7A0000}"/>
    <cellStyle name="Positive 3 2 33 2" xfId="31315" xr:uid="{00000000-0005-0000-0000-0000607A0000}"/>
    <cellStyle name="Positive 3 2 34" xfId="31316" xr:uid="{00000000-0005-0000-0000-0000617A0000}"/>
    <cellStyle name="Positive 3 2 34 2" xfId="31317" xr:uid="{00000000-0005-0000-0000-0000627A0000}"/>
    <cellStyle name="Positive 3 2 35" xfId="31318" xr:uid="{00000000-0005-0000-0000-0000637A0000}"/>
    <cellStyle name="Positive 3 2 35 2" xfId="31319" xr:uid="{00000000-0005-0000-0000-0000647A0000}"/>
    <cellStyle name="Positive 3 2 36" xfId="31320" xr:uid="{00000000-0005-0000-0000-0000657A0000}"/>
    <cellStyle name="Positive 3 2 36 2" xfId="31321" xr:uid="{00000000-0005-0000-0000-0000667A0000}"/>
    <cellStyle name="Positive 3 2 37" xfId="31322" xr:uid="{00000000-0005-0000-0000-0000677A0000}"/>
    <cellStyle name="Positive 3 2 37 2" xfId="31323" xr:uid="{00000000-0005-0000-0000-0000687A0000}"/>
    <cellStyle name="Positive 3 2 38" xfId="31324" xr:uid="{00000000-0005-0000-0000-0000697A0000}"/>
    <cellStyle name="Positive 3 2 4" xfId="31325" xr:uid="{00000000-0005-0000-0000-00006A7A0000}"/>
    <cellStyle name="Positive 3 2 4 10" xfId="31326" xr:uid="{00000000-0005-0000-0000-00006B7A0000}"/>
    <cellStyle name="Positive 3 2 4 10 2" xfId="31327" xr:uid="{00000000-0005-0000-0000-00006C7A0000}"/>
    <cellStyle name="Positive 3 2 4 11" xfId="31328" xr:uid="{00000000-0005-0000-0000-00006D7A0000}"/>
    <cellStyle name="Positive 3 2 4 11 2" xfId="31329" xr:uid="{00000000-0005-0000-0000-00006E7A0000}"/>
    <cellStyle name="Positive 3 2 4 12" xfId="31330" xr:uid="{00000000-0005-0000-0000-00006F7A0000}"/>
    <cellStyle name="Positive 3 2 4 12 2" xfId="31331" xr:uid="{00000000-0005-0000-0000-0000707A0000}"/>
    <cellStyle name="Positive 3 2 4 13" xfId="31332" xr:uid="{00000000-0005-0000-0000-0000717A0000}"/>
    <cellStyle name="Positive 3 2 4 13 2" xfId="31333" xr:uid="{00000000-0005-0000-0000-0000727A0000}"/>
    <cellStyle name="Positive 3 2 4 14" xfId="31334" xr:uid="{00000000-0005-0000-0000-0000737A0000}"/>
    <cellStyle name="Positive 3 2 4 14 2" xfId="31335" xr:uid="{00000000-0005-0000-0000-0000747A0000}"/>
    <cellStyle name="Positive 3 2 4 15" xfId="31336" xr:uid="{00000000-0005-0000-0000-0000757A0000}"/>
    <cellStyle name="Positive 3 2 4 15 2" xfId="31337" xr:uid="{00000000-0005-0000-0000-0000767A0000}"/>
    <cellStyle name="Positive 3 2 4 16" xfId="31338" xr:uid="{00000000-0005-0000-0000-0000777A0000}"/>
    <cellStyle name="Positive 3 2 4 16 2" xfId="31339" xr:uid="{00000000-0005-0000-0000-0000787A0000}"/>
    <cellStyle name="Positive 3 2 4 17" xfId="31340" xr:uid="{00000000-0005-0000-0000-0000797A0000}"/>
    <cellStyle name="Positive 3 2 4 17 2" xfId="31341" xr:uid="{00000000-0005-0000-0000-00007A7A0000}"/>
    <cellStyle name="Positive 3 2 4 18" xfId="31342" xr:uid="{00000000-0005-0000-0000-00007B7A0000}"/>
    <cellStyle name="Positive 3 2 4 18 2" xfId="31343" xr:uid="{00000000-0005-0000-0000-00007C7A0000}"/>
    <cellStyle name="Positive 3 2 4 19" xfId="31344" xr:uid="{00000000-0005-0000-0000-00007D7A0000}"/>
    <cellStyle name="Positive 3 2 4 19 2" xfId="31345" xr:uid="{00000000-0005-0000-0000-00007E7A0000}"/>
    <cellStyle name="Positive 3 2 4 2" xfId="31346" xr:uid="{00000000-0005-0000-0000-00007F7A0000}"/>
    <cellStyle name="Positive 3 2 4 2 10" xfId="31347" xr:uid="{00000000-0005-0000-0000-0000807A0000}"/>
    <cellStyle name="Positive 3 2 4 2 10 2" xfId="31348" xr:uid="{00000000-0005-0000-0000-0000817A0000}"/>
    <cellStyle name="Positive 3 2 4 2 11" xfId="31349" xr:uid="{00000000-0005-0000-0000-0000827A0000}"/>
    <cellStyle name="Positive 3 2 4 2 11 2" xfId="31350" xr:uid="{00000000-0005-0000-0000-0000837A0000}"/>
    <cellStyle name="Positive 3 2 4 2 12" xfId="31351" xr:uid="{00000000-0005-0000-0000-0000847A0000}"/>
    <cellStyle name="Positive 3 2 4 2 12 2" xfId="31352" xr:uid="{00000000-0005-0000-0000-0000857A0000}"/>
    <cellStyle name="Positive 3 2 4 2 13" xfId="31353" xr:uid="{00000000-0005-0000-0000-0000867A0000}"/>
    <cellStyle name="Positive 3 2 4 2 13 2" xfId="31354" xr:uid="{00000000-0005-0000-0000-0000877A0000}"/>
    <cellStyle name="Positive 3 2 4 2 14" xfId="31355" xr:uid="{00000000-0005-0000-0000-0000887A0000}"/>
    <cellStyle name="Positive 3 2 4 2 14 2" xfId="31356" xr:uid="{00000000-0005-0000-0000-0000897A0000}"/>
    <cellStyle name="Positive 3 2 4 2 15" xfId="31357" xr:uid="{00000000-0005-0000-0000-00008A7A0000}"/>
    <cellStyle name="Positive 3 2 4 2 15 2" xfId="31358" xr:uid="{00000000-0005-0000-0000-00008B7A0000}"/>
    <cellStyle name="Positive 3 2 4 2 16" xfId="31359" xr:uid="{00000000-0005-0000-0000-00008C7A0000}"/>
    <cellStyle name="Positive 3 2 4 2 16 2" xfId="31360" xr:uid="{00000000-0005-0000-0000-00008D7A0000}"/>
    <cellStyle name="Positive 3 2 4 2 17" xfId="31361" xr:uid="{00000000-0005-0000-0000-00008E7A0000}"/>
    <cellStyle name="Positive 3 2 4 2 17 2" xfId="31362" xr:uid="{00000000-0005-0000-0000-00008F7A0000}"/>
    <cellStyle name="Positive 3 2 4 2 18" xfId="31363" xr:uid="{00000000-0005-0000-0000-0000907A0000}"/>
    <cellStyle name="Positive 3 2 4 2 18 2" xfId="31364" xr:uid="{00000000-0005-0000-0000-0000917A0000}"/>
    <cellStyle name="Positive 3 2 4 2 19" xfId="31365" xr:uid="{00000000-0005-0000-0000-0000927A0000}"/>
    <cellStyle name="Positive 3 2 4 2 19 2" xfId="31366" xr:uid="{00000000-0005-0000-0000-0000937A0000}"/>
    <cellStyle name="Positive 3 2 4 2 2" xfId="31367" xr:uid="{00000000-0005-0000-0000-0000947A0000}"/>
    <cellStyle name="Positive 3 2 4 2 2 10" xfId="31368" xr:uid="{00000000-0005-0000-0000-0000957A0000}"/>
    <cellStyle name="Positive 3 2 4 2 2 10 2" xfId="31369" xr:uid="{00000000-0005-0000-0000-0000967A0000}"/>
    <cellStyle name="Positive 3 2 4 2 2 11" xfId="31370" xr:uid="{00000000-0005-0000-0000-0000977A0000}"/>
    <cellStyle name="Positive 3 2 4 2 2 11 2" xfId="31371" xr:uid="{00000000-0005-0000-0000-0000987A0000}"/>
    <cellStyle name="Positive 3 2 4 2 2 12" xfId="31372" xr:uid="{00000000-0005-0000-0000-0000997A0000}"/>
    <cellStyle name="Positive 3 2 4 2 2 12 2" xfId="31373" xr:uid="{00000000-0005-0000-0000-00009A7A0000}"/>
    <cellStyle name="Positive 3 2 4 2 2 13" xfId="31374" xr:uid="{00000000-0005-0000-0000-00009B7A0000}"/>
    <cellStyle name="Positive 3 2 4 2 2 13 2" xfId="31375" xr:uid="{00000000-0005-0000-0000-00009C7A0000}"/>
    <cellStyle name="Positive 3 2 4 2 2 14" xfId="31376" xr:uid="{00000000-0005-0000-0000-00009D7A0000}"/>
    <cellStyle name="Positive 3 2 4 2 2 14 2" xfId="31377" xr:uid="{00000000-0005-0000-0000-00009E7A0000}"/>
    <cellStyle name="Positive 3 2 4 2 2 15" xfId="31378" xr:uid="{00000000-0005-0000-0000-00009F7A0000}"/>
    <cellStyle name="Positive 3 2 4 2 2 15 2" xfId="31379" xr:uid="{00000000-0005-0000-0000-0000A07A0000}"/>
    <cellStyle name="Positive 3 2 4 2 2 16" xfId="31380" xr:uid="{00000000-0005-0000-0000-0000A17A0000}"/>
    <cellStyle name="Positive 3 2 4 2 2 16 2" xfId="31381" xr:uid="{00000000-0005-0000-0000-0000A27A0000}"/>
    <cellStyle name="Positive 3 2 4 2 2 17" xfId="31382" xr:uid="{00000000-0005-0000-0000-0000A37A0000}"/>
    <cellStyle name="Positive 3 2 4 2 2 2" xfId="31383" xr:uid="{00000000-0005-0000-0000-0000A47A0000}"/>
    <cellStyle name="Positive 3 2 4 2 2 2 2" xfId="31384" xr:uid="{00000000-0005-0000-0000-0000A57A0000}"/>
    <cellStyle name="Positive 3 2 4 2 2 3" xfId="31385" xr:uid="{00000000-0005-0000-0000-0000A67A0000}"/>
    <cellStyle name="Positive 3 2 4 2 2 3 2" xfId="31386" xr:uid="{00000000-0005-0000-0000-0000A77A0000}"/>
    <cellStyle name="Positive 3 2 4 2 2 4" xfId="31387" xr:uid="{00000000-0005-0000-0000-0000A87A0000}"/>
    <cellStyle name="Positive 3 2 4 2 2 4 2" xfId="31388" xr:uid="{00000000-0005-0000-0000-0000A97A0000}"/>
    <cellStyle name="Positive 3 2 4 2 2 5" xfId="31389" xr:uid="{00000000-0005-0000-0000-0000AA7A0000}"/>
    <cellStyle name="Positive 3 2 4 2 2 5 2" xfId="31390" xr:uid="{00000000-0005-0000-0000-0000AB7A0000}"/>
    <cellStyle name="Positive 3 2 4 2 2 6" xfId="31391" xr:uid="{00000000-0005-0000-0000-0000AC7A0000}"/>
    <cellStyle name="Positive 3 2 4 2 2 6 2" xfId="31392" xr:uid="{00000000-0005-0000-0000-0000AD7A0000}"/>
    <cellStyle name="Positive 3 2 4 2 2 7" xfId="31393" xr:uid="{00000000-0005-0000-0000-0000AE7A0000}"/>
    <cellStyle name="Positive 3 2 4 2 2 7 2" xfId="31394" xr:uid="{00000000-0005-0000-0000-0000AF7A0000}"/>
    <cellStyle name="Positive 3 2 4 2 2 8" xfId="31395" xr:uid="{00000000-0005-0000-0000-0000B07A0000}"/>
    <cellStyle name="Positive 3 2 4 2 2 8 2" xfId="31396" xr:uid="{00000000-0005-0000-0000-0000B17A0000}"/>
    <cellStyle name="Positive 3 2 4 2 2 9" xfId="31397" xr:uid="{00000000-0005-0000-0000-0000B27A0000}"/>
    <cellStyle name="Positive 3 2 4 2 2 9 2" xfId="31398" xr:uid="{00000000-0005-0000-0000-0000B37A0000}"/>
    <cellStyle name="Positive 3 2 4 2 20" xfId="31399" xr:uid="{00000000-0005-0000-0000-0000B47A0000}"/>
    <cellStyle name="Positive 3 2 4 2 3" xfId="31400" xr:uid="{00000000-0005-0000-0000-0000B57A0000}"/>
    <cellStyle name="Positive 3 2 4 2 3 2" xfId="31401" xr:uid="{00000000-0005-0000-0000-0000B67A0000}"/>
    <cellStyle name="Positive 3 2 4 2 3 2 2" xfId="31402" xr:uid="{00000000-0005-0000-0000-0000B77A0000}"/>
    <cellStyle name="Positive 3 2 4 2 3 3" xfId="31403" xr:uid="{00000000-0005-0000-0000-0000B87A0000}"/>
    <cellStyle name="Positive 3 2 4 2 4" xfId="31404" xr:uid="{00000000-0005-0000-0000-0000B97A0000}"/>
    <cellStyle name="Positive 3 2 4 2 4 2" xfId="31405" xr:uid="{00000000-0005-0000-0000-0000BA7A0000}"/>
    <cellStyle name="Positive 3 2 4 2 4 2 2" xfId="31406" xr:uid="{00000000-0005-0000-0000-0000BB7A0000}"/>
    <cellStyle name="Positive 3 2 4 2 4 3" xfId="31407" xr:uid="{00000000-0005-0000-0000-0000BC7A0000}"/>
    <cellStyle name="Positive 3 2 4 2 5" xfId="31408" xr:uid="{00000000-0005-0000-0000-0000BD7A0000}"/>
    <cellStyle name="Positive 3 2 4 2 5 2" xfId="31409" xr:uid="{00000000-0005-0000-0000-0000BE7A0000}"/>
    <cellStyle name="Positive 3 2 4 2 6" xfId="31410" xr:uid="{00000000-0005-0000-0000-0000BF7A0000}"/>
    <cellStyle name="Positive 3 2 4 2 6 2" xfId="31411" xr:uid="{00000000-0005-0000-0000-0000C07A0000}"/>
    <cellStyle name="Positive 3 2 4 2 7" xfId="31412" xr:uid="{00000000-0005-0000-0000-0000C17A0000}"/>
    <cellStyle name="Positive 3 2 4 2 7 2" xfId="31413" xr:uid="{00000000-0005-0000-0000-0000C27A0000}"/>
    <cellStyle name="Positive 3 2 4 2 8" xfId="31414" xr:uid="{00000000-0005-0000-0000-0000C37A0000}"/>
    <cellStyle name="Positive 3 2 4 2 8 2" xfId="31415" xr:uid="{00000000-0005-0000-0000-0000C47A0000}"/>
    <cellStyle name="Positive 3 2 4 2 9" xfId="31416" xr:uid="{00000000-0005-0000-0000-0000C57A0000}"/>
    <cellStyle name="Positive 3 2 4 2 9 2" xfId="31417" xr:uid="{00000000-0005-0000-0000-0000C67A0000}"/>
    <cellStyle name="Positive 3 2 4 20" xfId="31418" xr:uid="{00000000-0005-0000-0000-0000C77A0000}"/>
    <cellStyle name="Positive 3 2 4 20 2" xfId="31419" xr:uid="{00000000-0005-0000-0000-0000C87A0000}"/>
    <cellStyle name="Positive 3 2 4 21" xfId="31420" xr:uid="{00000000-0005-0000-0000-0000C97A0000}"/>
    <cellStyle name="Positive 3 2 4 21 2" xfId="31421" xr:uid="{00000000-0005-0000-0000-0000CA7A0000}"/>
    <cellStyle name="Positive 3 2 4 22" xfId="31422" xr:uid="{00000000-0005-0000-0000-0000CB7A0000}"/>
    <cellStyle name="Positive 3 2 4 22 2" xfId="31423" xr:uid="{00000000-0005-0000-0000-0000CC7A0000}"/>
    <cellStyle name="Positive 3 2 4 23" xfId="31424" xr:uid="{00000000-0005-0000-0000-0000CD7A0000}"/>
    <cellStyle name="Positive 3 2 4 3" xfId="31425" xr:uid="{00000000-0005-0000-0000-0000CE7A0000}"/>
    <cellStyle name="Positive 3 2 4 3 10" xfId="31426" xr:uid="{00000000-0005-0000-0000-0000CF7A0000}"/>
    <cellStyle name="Positive 3 2 4 3 10 2" xfId="31427" xr:uid="{00000000-0005-0000-0000-0000D07A0000}"/>
    <cellStyle name="Positive 3 2 4 3 11" xfId="31428" xr:uid="{00000000-0005-0000-0000-0000D17A0000}"/>
    <cellStyle name="Positive 3 2 4 3 11 2" xfId="31429" xr:uid="{00000000-0005-0000-0000-0000D27A0000}"/>
    <cellStyle name="Positive 3 2 4 3 12" xfId="31430" xr:uid="{00000000-0005-0000-0000-0000D37A0000}"/>
    <cellStyle name="Positive 3 2 4 3 12 2" xfId="31431" xr:uid="{00000000-0005-0000-0000-0000D47A0000}"/>
    <cellStyle name="Positive 3 2 4 3 13" xfId="31432" xr:uid="{00000000-0005-0000-0000-0000D57A0000}"/>
    <cellStyle name="Positive 3 2 4 3 13 2" xfId="31433" xr:uid="{00000000-0005-0000-0000-0000D67A0000}"/>
    <cellStyle name="Positive 3 2 4 3 14" xfId="31434" xr:uid="{00000000-0005-0000-0000-0000D77A0000}"/>
    <cellStyle name="Positive 3 2 4 3 14 2" xfId="31435" xr:uid="{00000000-0005-0000-0000-0000D87A0000}"/>
    <cellStyle name="Positive 3 2 4 3 15" xfId="31436" xr:uid="{00000000-0005-0000-0000-0000D97A0000}"/>
    <cellStyle name="Positive 3 2 4 3 15 2" xfId="31437" xr:uid="{00000000-0005-0000-0000-0000DA7A0000}"/>
    <cellStyle name="Positive 3 2 4 3 16" xfId="31438" xr:uid="{00000000-0005-0000-0000-0000DB7A0000}"/>
    <cellStyle name="Positive 3 2 4 3 16 2" xfId="31439" xr:uid="{00000000-0005-0000-0000-0000DC7A0000}"/>
    <cellStyle name="Positive 3 2 4 3 17" xfId="31440" xr:uid="{00000000-0005-0000-0000-0000DD7A0000}"/>
    <cellStyle name="Positive 3 2 4 3 17 2" xfId="31441" xr:uid="{00000000-0005-0000-0000-0000DE7A0000}"/>
    <cellStyle name="Positive 3 2 4 3 18" xfId="31442" xr:uid="{00000000-0005-0000-0000-0000DF7A0000}"/>
    <cellStyle name="Positive 3 2 4 3 18 2" xfId="31443" xr:uid="{00000000-0005-0000-0000-0000E07A0000}"/>
    <cellStyle name="Positive 3 2 4 3 19" xfId="31444" xr:uid="{00000000-0005-0000-0000-0000E17A0000}"/>
    <cellStyle name="Positive 3 2 4 3 19 2" xfId="31445" xr:uid="{00000000-0005-0000-0000-0000E27A0000}"/>
    <cellStyle name="Positive 3 2 4 3 2" xfId="31446" xr:uid="{00000000-0005-0000-0000-0000E37A0000}"/>
    <cellStyle name="Positive 3 2 4 3 2 10" xfId="31447" xr:uid="{00000000-0005-0000-0000-0000E47A0000}"/>
    <cellStyle name="Positive 3 2 4 3 2 10 2" xfId="31448" xr:uid="{00000000-0005-0000-0000-0000E57A0000}"/>
    <cellStyle name="Positive 3 2 4 3 2 11" xfId="31449" xr:uid="{00000000-0005-0000-0000-0000E67A0000}"/>
    <cellStyle name="Positive 3 2 4 3 2 11 2" xfId="31450" xr:uid="{00000000-0005-0000-0000-0000E77A0000}"/>
    <cellStyle name="Positive 3 2 4 3 2 12" xfId="31451" xr:uid="{00000000-0005-0000-0000-0000E87A0000}"/>
    <cellStyle name="Positive 3 2 4 3 2 12 2" xfId="31452" xr:uid="{00000000-0005-0000-0000-0000E97A0000}"/>
    <cellStyle name="Positive 3 2 4 3 2 13" xfId="31453" xr:uid="{00000000-0005-0000-0000-0000EA7A0000}"/>
    <cellStyle name="Positive 3 2 4 3 2 13 2" xfId="31454" xr:uid="{00000000-0005-0000-0000-0000EB7A0000}"/>
    <cellStyle name="Positive 3 2 4 3 2 14" xfId="31455" xr:uid="{00000000-0005-0000-0000-0000EC7A0000}"/>
    <cellStyle name="Positive 3 2 4 3 2 14 2" xfId="31456" xr:uid="{00000000-0005-0000-0000-0000ED7A0000}"/>
    <cellStyle name="Positive 3 2 4 3 2 15" xfId="31457" xr:uid="{00000000-0005-0000-0000-0000EE7A0000}"/>
    <cellStyle name="Positive 3 2 4 3 2 15 2" xfId="31458" xr:uid="{00000000-0005-0000-0000-0000EF7A0000}"/>
    <cellStyle name="Positive 3 2 4 3 2 16" xfId="31459" xr:uid="{00000000-0005-0000-0000-0000F07A0000}"/>
    <cellStyle name="Positive 3 2 4 3 2 16 2" xfId="31460" xr:uid="{00000000-0005-0000-0000-0000F17A0000}"/>
    <cellStyle name="Positive 3 2 4 3 2 17" xfId="31461" xr:uid="{00000000-0005-0000-0000-0000F27A0000}"/>
    <cellStyle name="Positive 3 2 4 3 2 2" xfId="31462" xr:uid="{00000000-0005-0000-0000-0000F37A0000}"/>
    <cellStyle name="Positive 3 2 4 3 2 2 2" xfId="31463" xr:uid="{00000000-0005-0000-0000-0000F47A0000}"/>
    <cellStyle name="Positive 3 2 4 3 2 3" xfId="31464" xr:uid="{00000000-0005-0000-0000-0000F57A0000}"/>
    <cellStyle name="Positive 3 2 4 3 2 3 2" xfId="31465" xr:uid="{00000000-0005-0000-0000-0000F67A0000}"/>
    <cellStyle name="Positive 3 2 4 3 2 4" xfId="31466" xr:uid="{00000000-0005-0000-0000-0000F77A0000}"/>
    <cellStyle name="Positive 3 2 4 3 2 4 2" xfId="31467" xr:uid="{00000000-0005-0000-0000-0000F87A0000}"/>
    <cellStyle name="Positive 3 2 4 3 2 5" xfId="31468" xr:uid="{00000000-0005-0000-0000-0000F97A0000}"/>
    <cellStyle name="Positive 3 2 4 3 2 5 2" xfId="31469" xr:uid="{00000000-0005-0000-0000-0000FA7A0000}"/>
    <cellStyle name="Positive 3 2 4 3 2 6" xfId="31470" xr:uid="{00000000-0005-0000-0000-0000FB7A0000}"/>
    <cellStyle name="Positive 3 2 4 3 2 6 2" xfId="31471" xr:uid="{00000000-0005-0000-0000-0000FC7A0000}"/>
    <cellStyle name="Positive 3 2 4 3 2 7" xfId="31472" xr:uid="{00000000-0005-0000-0000-0000FD7A0000}"/>
    <cellStyle name="Positive 3 2 4 3 2 7 2" xfId="31473" xr:uid="{00000000-0005-0000-0000-0000FE7A0000}"/>
    <cellStyle name="Positive 3 2 4 3 2 8" xfId="31474" xr:uid="{00000000-0005-0000-0000-0000FF7A0000}"/>
    <cellStyle name="Positive 3 2 4 3 2 8 2" xfId="31475" xr:uid="{00000000-0005-0000-0000-0000007B0000}"/>
    <cellStyle name="Positive 3 2 4 3 2 9" xfId="31476" xr:uid="{00000000-0005-0000-0000-0000017B0000}"/>
    <cellStyle name="Positive 3 2 4 3 2 9 2" xfId="31477" xr:uid="{00000000-0005-0000-0000-0000027B0000}"/>
    <cellStyle name="Positive 3 2 4 3 20" xfId="31478" xr:uid="{00000000-0005-0000-0000-0000037B0000}"/>
    <cellStyle name="Positive 3 2 4 3 3" xfId="31479" xr:uid="{00000000-0005-0000-0000-0000047B0000}"/>
    <cellStyle name="Positive 3 2 4 3 3 2" xfId="31480" xr:uid="{00000000-0005-0000-0000-0000057B0000}"/>
    <cellStyle name="Positive 3 2 4 3 3 2 2" xfId="31481" xr:uid="{00000000-0005-0000-0000-0000067B0000}"/>
    <cellStyle name="Positive 3 2 4 3 3 3" xfId="31482" xr:uid="{00000000-0005-0000-0000-0000077B0000}"/>
    <cellStyle name="Positive 3 2 4 3 4" xfId="31483" xr:uid="{00000000-0005-0000-0000-0000087B0000}"/>
    <cellStyle name="Positive 3 2 4 3 4 2" xfId="31484" xr:uid="{00000000-0005-0000-0000-0000097B0000}"/>
    <cellStyle name="Positive 3 2 4 3 4 2 2" xfId="31485" xr:uid="{00000000-0005-0000-0000-00000A7B0000}"/>
    <cellStyle name="Positive 3 2 4 3 4 3" xfId="31486" xr:uid="{00000000-0005-0000-0000-00000B7B0000}"/>
    <cellStyle name="Positive 3 2 4 3 5" xfId="31487" xr:uid="{00000000-0005-0000-0000-00000C7B0000}"/>
    <cellStyle name="Positive 3 2 4 3 5 2" xfId="31488" xr:uid="{00000000-0005-0000-0000-00000D7B0000}"/>
    <cellStyle name="Positive 3 2 4 3 6" xfId="31489" xr:uid="{00000000-0005-0000-0000-00000E7B0000}"/>
    <cellStyle name="Positive 3 2 4 3 6 2" xfId="31490" xr:uid="{00000000-0005-0000-0000-00000F7B0000}"/>
    <cellStyle name="Positive 3 2 4 3 7" xfId="31491" xr:uid="{00000000-0005-0000-0000-0000107B0000}"/>
    <cellStyle name="Positive 3 2 4 3 7 2" xfId="31492" xr:uid="{00000000-0005-0000-0000-0000117B0000}"/>
    <cellStyle name="Positive 3 2 4 3 8" xfId="31493" xr:uid="{00000000-0005-0000-0000-0000127B0000}"/>
    <cellStyle name="Positive 3 2 4 3 8 2" xfId="31494" xr:uid="{00000000-0005-0000-0000-0000137B0000}"/>
    <cellStyle name="Positive 3 2 4 3 9" xfId="31495" xr:uid="{00000000-0005-0000-0000-0000147B0000}"/>
    <cellStyle name="Positive 3 2 4 3 9 2" xfId="31496" xr:uid="{00000000-0005-0000-0000-0000157B0000}"/>
    <cellStyle name="Positive 3 2 4 4" xfId="31497" xr:uid="{00000000-0005-0000-0000-0000167B0000}"/>
    <cellStyle name="Positive 3 2 4 4 10" xfId="31498" xr:uid="{00000000-0005-0000-0000-0000177B0000}"/>
    <cellStyle name="Positive 3 2 4 4 10 2" xfId="31499" xr:uid="{00000000-0005-0000-0000-0000187B0000}"/>
    <cellStyle name="Positive 3 2 4 4 11" xfId="31500" xr:uid="{00000000-0005-0000-0000-0000197B0000}"/>
    <cellStyle name="Positive 3 2 4 4 11 2" xfId="31501" xr:uid="{00000000-0005-0000-0000-00001A7B0000}"/>
    <cellStyle name="Positive 3 2 4 4 12" xfId="31502" xr:uid="{00000000-0005-0000-0000-00001B7B0000}"/>
    <cellStyle name="Positive 3 2 4 4 12 2" xfId="31503" xr:uid="{00000000-0005-0000-0000-00001C7B0000}"/>
    <cellStyle name="Positive 3 2 4 4 13" xfId="31504" xr:uid="{00000000-0005-0000-0000-00001D7B0000}"/>
    <cellStyle name="Positive 3 2 4 4 13 2" xfId="31505" xr:uid="{00000000-0005-0000-0000-00001E7B0000}"/>
    <cellStyle name="Positive 3 2 4 4 14" xfId="31506" xr:uid="{00000000-0005-0000-0000-00001F7B0000}"/>
    <cellStyle name="Positive 3 2 4 4 14 2" xfId="31507" xr:uid="{00000000-0005-0000-0000-0000207B0000}"/>
    <cellStyle name="Positive 3 2 4 4 15" xfId="31508" xr:uid="{00000000-0005-0000-0000-0000217B0000}"/>
    <cellStyle name="Positive 3 2 4 4 15 2" xfId="31509" xr:uid="{00000000-0005-0000-0000-0000227B0000}"/>
    <cellStyle name="Positive 3 2 4 4 16" xfId="31510" xr:uid="{00000000-0005-0000-0000-0000237B0000}"/>
    <cellStyle name="Positive 3 2 4 4 16 2" xfId="31511" xr:uid="{00000000-0005-0000-0000-0000247B0000}"/>
    <cellStyle name="Positive 3 2 4 4 17" xfId="31512" xr:uid="{00000000-0005-0000-0000-0000257B0000}"/>
    <cellStyle name="Positive 3 2 4 4 17 2" xfId="31513" xr:uid="{00000000-0005-0000-0000-0000267B0000}"/>
    <cellStyle name="Positive 3 2 4 4 18" xfId="31514" xr:uid="{00000000-0005-0000-0000-0000277B0000}"/>
    <cellStyle name="Positive 3 2 4 4 18 2" xfId="31515" xr:uid="{00000000-0005-0000-0000-0000287B0000}"/>
    <cellStyle name="Positive 3 2 4 4 19" xfId="31516" xr:uid="{00000000-0005-0000-0000-0000297B0000}"/>
    <cellStyle name="Positive 3 2 4 4 19 2" xfId="31517" xr:uid="{00000000-0005-0000-0000-00002A7B0000}"/>
    <cellStyle name="Positive 3 2 4 4 2" xfId="31518" xr:uid="{00000000-0005-0000-0000-00002B7B0000}"/>
    <cellStyle name="Positive 3 2 4 4 2 10" xfId="31519" xr:uid="{00000000-0005-0000-0000-00002C7B0000}"/>
    <cellStyle name="Positive 3 2 4 4 2 10 2" xfId="31520" xr:uid="{00000000-0005-0000-0000-00002D7B0000}"/>
    <cellStyle name="Positive 3 2 4 4 2 11" xfId="31521" xr:uid="{00000000-0005-0000-0000-00002E7B0000}"/>
    <cellStyle name="Positive 3 2 4 4 2 11 2" xfId="31522" xr:uid="{00000000-0005-0000-0000-00002F7B0000}"/>
    <cellStyle name="Positive 3 2 4 4 2 12" xfId="31523" xr:uid="{00000000-0005-0000-0000-0000307B0000}"/>
    <cellStyle name="Positive 3 2 4 4 2 12 2" xfId="31524" xr:uid="{00000000-0005-0000-0000-0000317B0000}"/>
    <cellStyle name="Positive 3 2 4 4 2 13" xfId="31525" xr:uid="{00000000-0005-0000-0000-0000327B0000}"/>
    <cellStyle name="Positive 3 2 4 4 2 13 2" xfId="31526" xr:uid="{00000000-0005-0000-0000-0000337B0000}"/>
    <cellStyle name="Positive 3 2 4 4 2 14" xfId="31527" xr:uid="{00000000-0005-0000-0000-0000347B0000}"/>
    <cellStyle name="Positive 3 2 4 4 2 14 2" xfId="31528" xr:uid="{00000000-0005-0000-0000-0000357B0000}"/>
    <cellStyle name="Positive 3 2 4 4 2 15" xfId="31529" xr:uid="{00000000-0005-0000-0000-0000367B0000}"/>
    <cellStyle name="Positive 3 2 4 4 2 15 2" xfId="31530" xr:uid="{00000000-0005-0000-0000-0000377B0000}"/>
    <cellStyle name="Positive 3 2 4 4 2 16" xfId="31531" xr:uid="{00000000-0005-0000-0000-0000387B0000}"/>
    <cellStyle name="Positive 3 2 4 4 2 16 2" xfId="31532" xr:uid="{00000000-0005-0000-0000-0000397B0000}"/>
    <cellStyle name="Positive 3 2 4 4 2 17" xfId="31533" xr:uid="{00000000-0005-0000-0000-00003A7B0000}"/>
    <cellStyle name="Positive 3 2 4 4 2 2" xfId="31534" xr:uid="{00000000-0005-0000-0000-00003B7B0000}"/>
    <cellStyle name="Positive 3 2 4 4 2 2 2" xfId="31535" xr:uid="{00000000-0005-0000-0000-00003C7B0000}"/>
    <cellStyle name="Positive 3 2 4 4 2 3" xfId="31536" xr:uid="{00000000-0005-0000-0000-00003D7B0000}"/>
    <cellStyle name="Positive 3 2 4 4 2 3 2" xfId="31537" xr:uid="{00000000-0005-0000-0000-00003E7B0000}"/>
    <cellStyle name="Positive 3 2 4 4 2 4" xfId="31538" xr:uid="{00000000-0005-0000-0000-00003F7B0000}"/>
    <cellStyle name="Positive 3 2 4 4 2 4 2" xfId="31539" xr:uid="{00000000-0005-0000-0000-0000407B0000}"/>
    <cellStyle name="Positive 3 2 4 4 2 5" xfId="31540" xr:uid="{00000000-0005-0000-0000-0000417B0000}"/>
    <cellStyle name="Positive 3 2 4 4 2 5 2" xfId="31541" xr:uid="{00000000-0005-0000-0000-0000427B0000}"/>
    <cellStyle name="Positive 3 2 4 4 2 6" xfId="31542" xr:uid="{00000000-0005-0000-0000-0000437B0000}"/>
    <cellStyle name="Positive 3 2 4 4 2 6 2" xfId="31543" xr:uid="{00000000-0005-0000-0000-0000447B0000}"/>
    <cellStyle name="Positive 3 2 4 4 2 7" xfId="31544" xr:uid="{00000000-0005-0000-0000-0000457B0000}"/>
    <cellStyle name="Positive 3 2 4 4 2 7 2" xfId="31545" xr:uid="{00000000-0005-0000-0000-0000467B0000}"/>
    <cellStyle name="Positive 3 2 4 4 2 8" xfId="31546" xr:uid="{00000000-0005-0000-0000-0000477B0000}"/>
    <cellStyle name="Positive 3 2 4 4 2 8 2" xfId="31547" xr:uid="{00000000-0005-0000-0000-0000487B0000}"/>
    <cellStyle name="Positive 3 2 4 4 2 9" xfId="31548" xr:uid="{00000000-0005-0000-0000-0000497B0000}"/>
    <cellStyle name="Positive 3 2 4 4 2 9 2" xfId="31549" xr:uid="{00000000-0005-0000-0000-00004A7B0000}"/>
    <cellStyle name="Positive 3 2 4 4 20" xfId="31550" xr:uid="{00000000-0005-0000-0000-00004B7B0000}"/>
    <cellStyle name="Positive 3 2 4 4 3" xfId="31551" xr:uid="{00000000-0005-0000-0000-00004C7B0000}"/>
    <cellStyle name="Positive 3 2 4 4 3 2" xfId="31552" xr:uid="{00000000-0005-0000-0000-00004D7B0000}"/>
    <cellStyle name="Positive 3 2 4 4 3 2 2" xfId="31553" xr:uid="{00000000-0005-0000-0000-00004E7B0000}"/>
    <cellStyle name="Positive 3 2 4 4 3 3" xfId="31554" xr:uid="{00000000-0005-0000-0000-00004F7B0000}"/>
    <cellStyle name="Positive 3 2 4 4 4" xfId="31555" xr:uid="{00000000-0005-0000-0000-0000507B0000}"/>
    <cellStyle name="Positive 3 2 4 4 4 2" xfId="31556" xr:uid="{00000000-0005-0000-0000-0000517B0000}"/>
    <cellStyle name="Positive 3 2 4 4 4 2 2" xfId="31557" xr:uid="{00000000-0005-0000-0000-0000527B0000}"/>
    <cellStyle name="Positive 3 2 4 4 4 3" xfId="31558" xr:uid="{00000000-0005-0000-0000-0000537B0000}"/>
    <cellStyle name="Positive 3 2 4 4 5" xfId="31559" xr:uid="{00000000-0005-0000-0000-0000547B0000}"/>
    <cellStyle name="Positive 3 2 4 4 5 2" xfId="31560" xr:uid="{00000000-0005-0000-0000-0000557B0000}"/>
    <cellStyle name="Positive 3 2 4 4 6" xfId="31561" xr:uid="{00000000-0005-0000-0000-0000567B0000}"/>
    <cellStyle name="Positive 3 2 4 4 6 2" xfId="31562" xr:uid="{00000000-0005-0000-0000-0000577B0000}"/>
    <cellStyle name="Positive 3 2 4 4 7" xfId="31563" xr:uid="{00000000-0005-0000-0000-0000587B0000}"/>
    <cellStyle name="Positive 3 2 4 4 7 2" xfId="31564" xr:uid="{00000000-0005-0000-0000-0000597B0000}"/>
    <cellStyle name="Positive 3 2 4 4 8" xfId="31565" xr:uid="{00000000-0005-0000-0000-00005A7B0000}"/>
    <cellStyle name="Positive 3 2 4 4 8 2" xfId="31566" xr:uid="{00000000-0005-0000-0000-00005B7B0000}"/>
    <cellStyle name="Positive 3 2 4 4 9" xfId="31567" xr:uid="{00000000-0005-0000-0000-00005C7B0000}"/>
    <cellStyle name="Positive 3 2 4 4 9 2" xfId="31568" xr:uid="{00000000-0005-0000-0000-00005D7B0000}"/>
    <cellStyle name="Positive 3 2 4 5" xfId="31569" xr:uid="{00000000-0005-0000-0000-00005E7B0000}"/>
    <cellStyle name="Positive 3 2 4 5 10" xfId="31570" xr:uid="{00000000-0005-0000-0000-00005F7B0000}"/>
    <cellStyle name="Positive 3 2 4 5 10 2" xfId="31571" xr:uid="{00000000-0005-0000-0000-0000607B0000}"/>
    <cellStyle name="Positive 3 2 4 5 11" xfId="31572" xr:uid="{00000000-0005-0000-0000-0000617B0000}"/>
    <cellStyle name="Positive 3 2 4 5 11 2" xfId="31573" xr:uid="{00000000-0005-0000-0000-0000627B0000}"/>
    <cellStyle name="Positive 3 2 4 5 12" xfId="31574" xr:uid="{00000000-0005-0000-0000-0000637B0000}"/>
    <cellStyle name="Positive 3 2 4 5 12 2" xfId="31575" xr:uid="{00000000-0005-0000-0000-0000647B0000}"/>
    <cellStyle name="Positive 3 2 4 5 13" xfId="31576" xr:uid="{00000000-0005-0000-0000-0000657B0000}"/>
    <cellStyle name="Positive 3 2 4 5 13 2" xfId="31577" xr:uid="{00000000-0005-0000-0000-0000667B0000}"/>
    <cellStyle name="Positive 3 2 4 5 14" xfId="31578" xr:uid="{00000000-0005-0000-0000-0000677B0000}"/>
    <cellStyle name="Positive 3 2 4 5 14 2" xfId="31579" xr:uid="{00000000-0005-0000-0000-0000687B0000}"/>
    <cellStyle name="Positive 3 2 4 5 15" xfId="31580" xr:uid="{00000000-0005-0000-0000-0000697B0000}"/>
    <cellStyle name="Positive 3 2 4 5 15 2" xfId="31581" xr:uid="{00000000-0005-0000-0000-00006A7B0000}"/>
    <cellStyle name="Positive 3 2 4 5 16" xfId="31582" xr:uid="{00000000-0005-0000-0000-00006B7B0000}"/>
    <cellStyle name="Positive 3 2 4 5 16 2" xfId="31583" xr:uid="{00000000-0005-0000-0000-00006C7B0000}"/>
    <cellStyle name="Positive 3 2 4 5 17" xfId="31584" xr:uid="{00000000-0005-0000-0000-00006D7B0000}"/>
    <cellStyle name="Positive 3 2 4 5 2" xfId="31585" xr:uid="{00000000-0005-0000-0000-00006E7B0000}"/>
    <cellStyle name="Positive 3 2 4 5 2 2" xfId="31586" xr:uid="{00000000-0005-0000-0000-00006F7B0000}"/>
    <cellStyle name="Positive 3 2 4 5 3" xfId="31587" xr:uid="{00000000-0005-0000-0000-0000707B0000}"/>
    <cellStyle name="Positive 3 2 4 5 3 2" xfId="31588" xr:uid="{00000000-0005-0000-0000-0000717B0000}"/>
    <cellStyle name="Positive 3 2 4 5 4" xfId="31589" xr:uid="{00000000-0005-0000-0000-0000727B0000}"/>
    <cellStyle name="Positive 3 2 4 5 4 2" xfId="31590" xr:uid="{00000000-0005-0000-0000-0000737B0000}"/>
    <cellStyle name="Positive 3 2 4 5 5" xfId="31591" xr:uid="{00000000-0005-0000-0000-0000747B0000}"/>
    <cellStyle name="Positive 3 2 4 5 5 2" xfId="31592" xr:uid="{00000000-0005-0000-0000-0000757B0000}"/>
    <cellStyle name="Positive 3 2 4 5 6" xfId="31593" xr:uid="{00000000-0005-0000-0000-0000767B0000}"/>
    <cellStyle name="Positive 3 2 4 5 6 2" xfId="31594" xr:uid="{00000000-0005-0000-0000-0000777B0000}"/>
    <cellStyle name="Positive 3 2 4 5 7" xfId="31595" xr:uid="{00000000-0005-0000-0000-0000787B0000}"/>
    <cellStyle name="Positive 3 2 4 5 7 2" xfId="31596" xr:uid="{00000000-0005-0000-0000-0000797B0000}"/>
    <cellStyle name="Positive 3 2 4 5 8" xfId="31597" xr:uid="{00000000-0005-0000-0000-00007A7B0000}"/>
    <cellStyle name="Positive 3 2 4 5 8 2" xfId="31598" xr:uid="{00000000-0005-0000-0000-00007B7B0000}"/>
    <cellStyle name="Positive 3 2 4 5 9" xfId="31599" xr:uid="{00000000-0005-0000-0000-00007C7B0000}"/>
    <cellStyle name="Positive 3 2 4 5 9 2" xfId="31600" xr:uid="{00000000-0005-0000-0000-00007D7B0000}"/>
    <cellStyle name="Positive 3 2 4 6" xfId="31601" xr:uid="{00000000-0005-0000-0000-00007E7B0000}"/>
    <cellStyle name="Positive 3 2 4 6 2" xfId="31602" xr:uid="{00000000-0005-0000-0000-00007F7B0000}"/>
    <cellStyle name="Positive 3 2 4 6 2 2" xfId="31603" xr:uid="{00000000-0005-0000-0000-0000807B0000}"/>
    <cellStyle name="Positive 3 2 4 6 3" xfId="31604" xr:uid="{00000000-0005-0000-0000-0000817B0000}"/>
    <cellStyle name="Positive 3 2 4 7" xfId="31605" xr:uid="{00000000-0005-0000-0000-0000827B0000}"/>
    <cellStyle name="Positive 3 2 4 7 2" xfId="31606" xr:uid="{00000000-0005-0000-0000-0000837B0000}"/>
    <cellStyle name="Positive 3 2 4 7 2 2" xfId="31607" xr:uid="{00000000-0005-0000-0000-0000847B0000}"/>
    <cellStyle name="Positive 3 2 4 7 3" xfId="31608" xr:uid="{00000000-0005-0000-0000-0000857B0000}"/>
    <cellStyle name="Positive 3 2 4 8" xfId="31609" xr:uid="{00000000-0005-0000-0000-0000867B0000}"/>
    <cellStyle name="Positive 3 2 4 8 2" xfId="31610" xr:uid="{00000000-0005-0000-0000-0000877B0000}"/>
    <cellStyle name="Positive 3 2 4 9" xfId="31611" xr:uid="{00000000-0005-0000-0000-0000887B0000}"/>
    <cellStyle name="Positive 3 2 4 9 2" xfId="31612" xr:uid="{00000000-0005-0000-0000-0000897B0000}"/>
    <cellStyle name="Positive 3 2 5" xfId="31613" xr:uid="{00000000-0005-0000-0000-00008A7B0000}"/>
    <cellStyle name="Positive 3 2 5 10" xfId="31614" xr:uid="{00000000-0005-0000-0000-00008B7B0000}"/>
    <cellStyle name="Positive 3 2 5 10 2" xfId="31615" xr:uid="{00000000-0005-0000-0000-00008C7B0000}"/>
    <cellStyle name="Positive 3 2 5 11" xfId="31616" xr:uid="{00000000-0005-0000-0000-00008D7B0000}"/>
    <cellStyle name="Positive 3 2 5 11 2" xfId="31617" xr:uid="{00000000-0005-0000-0000-00008E7B0000}"/>
    <cellStyle name="Positive 3 2 5 12" xfId="31618" xr:uid="{00000000-0005-0000-0000-00008F7B0000}"/>
    <cellStyle name="Positive 3 2 5 12 2" xfId="31619" xr:uid="{00000000-0005-0000-0000-0000907B0000}"/>
    <cellStyle name="Positive 3 2 5 13" xfId="31620" xr:uid="{00000000-0005-0000-0000-0000917B0000}"/>
    <cellStyle name="Positive 3 2 5 13 2" xfId="31621" xr:uid="{00000000-0005-0000-0000-0000927B0000}"/>
    <cellStyle name="Positive 3 2 5 14" xfId="31622" xr:uid="{00000000-0005-0000-0000-0000937B0000}"/>
    <cellStyle name="Positive 3 2 5 14 2" xfId="31623" xr:uid="{00000000-0005-0000-0000-0000947B0000}"/>
    <cellStyle name="Positive 3 2 5 15" xfId="31624" xr:uid="{00000000-0005-0000-0000-0000957B0000}"/>
    <cellStyle name="Positive 3 2 5 15 2" xfId="31625" xr:uid="{00000000-0005-0000-0000-0000967B0000}"/>
    <cellStyle name="Positive 3 2 5 16" xfId="31626" xr:uid="{00000000-0005-0000-0000-0000977B0000}"/>
    <cellStyle name="Positive 3 2 5 16 2" xfId="31627" xr:uid="{00000000-0005-0000-0000-0000987B0000}"/>
    <cellStyle name="Positive 3 2 5 17" xfId="31628" xr:uid="{00000000-0005-0000-0000-0000997B0000}"/>
    <cellStyle name="Positive 3 2 5 17 2" xfId="31629" xr:uid="{00000000-0005-0000-0000-00009A7B0000}"/>
    <cellStyle name="Positive 3 2 5 18" xfId="31630" xr:uid="{00000000-0005-0000-0000-00009B7B0000}"/>
    <cellStyle name="Positive 3 2 5 18 2" xfId="31631" xr:uid="{00000000-0005-0000-0000-00009C7B0000}"/>
    <cellStyle name="Positive 3 2 5 19" xfId="31632" xr:uid="{00000000-0005-0000-0000-00009D7B0000}"/>
    <cellStyle name="Positive 3 2 5 19 2" xfId="31633" xr:uid="{00000000-0005-0000-0000-00009E7B0000}"/>
    <cellStyle name="Positive 3 2 5 2" xfId="31634" xr:uid="{00000000-0005-0000-0000-00009F7B0000}"/>
    <cellStyle name="Positive 3 2 5 2 10" xfId="31635" xr:uid="{00000000-0005-0000-0000-0000A07B0000}"/>
    <cellStyle name="Positive 3 2 5 2 10 2" xfId="31636" xr:uid="{00000000-0005-0000-0000-0000A17B0000}"/>
    <cellStyle name="Positive 3 2 5 2 11" xfId="31637" xr:uid="{00000000-0005-0000-0000-0000A27B0000}"/>
    <cellStyle name="Positive 3 2 5 2 11 2" xfId="31638" xr:uid="{00000000-0005-0000-0000-0000A37B0000}"/>
    <cellStyle name="Positive 3 2 5 2 12" xfId="31639" xr:uid="{00000000-0005-0000-0000-0000A47B0000}"/>
    <cellStyle name="Positive 3 2 5 2 12 2" xfId="31640" xr:uid="{00000000-0005-0000-0000-0000A57B0000}"/>
    <cellStyle name="Positive 3 2 5 2 13" xfId="31641" xr:uid="{00000000-0005-0000-0000-0000A67B0000}"/>
    <cellStyle name="Positive 3 2 5 2 13 2" xfId="31642" xr:uid="{00000000-0005-0000-0000-0000A77B0000}"/>
    <cellStyle name="Positive 3 2 5 2 14" xfId="31643" xr:uid="{00000000-0005-0000-0000-0000A87B0000}"/>
    <cellStyle name="Positive 3 2 5 2 14 2" xfId="31644" xr:uid="{00000000-0005-0000-0000-0000A97B0000}"/>
    <cellStyle name="Positive 3 2 5 2 15" xfId="31645" xr:uid="{00000000-0005-0000-0000-0000AA7B0000}"/>
    <cellStyle name="Positive 3 2 5 2 15 2" xfId="31646" xr:uid="{00000000-0005-0000-0000-0000AB7B0000}"/>
    <cellStyle name="Positive 3 2 5 2 16" xfId="31647" xr:uid="{00000000-0005-0000-0000-0000AC7B0000}"/>
    <cellStyle name="Positive 3 2 5 2 16 2" xfId="31648" xr:uid="{00000000-0005-0000-0000-0000AD7B0000}"/>
    <cellStyle name="Positive 3 2 5 2 17" xfId="31649" xr:uid="{00000000-0005-0000-0000-0000AE7B0000}"/>
    <cellStyle name="Positive 3 2 5 2 17 2" xfId="31650" xr:uid="{00000000-0005-0000-0000-0000AF7B0000}"/>
    <cellStyle name="Positive 3 2 5 2 18" xfId="31651" xr:uid="{00000000-0005-0000-0000-0000B07B0000}"/>
    <cellStyle name="Positive 3 2 5 2 18 2" xfId="31652" xr:uid="{00000000-0005-0000-0000-0000B17B0000}"/>
    <cellStyle name="Positive 3 2 5 2 19" xfId="31653" xr:uid="{00000000-0005-0000-0000-0000B27B0000}"/>
    <cellStyle name="Positive 3 2 5 2 19 2" xfId="31654" xr:uid="{00000000-0005-0000-0000-0000B37B0000}"/>
    <cellStyle name="Positive 3 2 5 2 2" xfId="31655" xr:uid="{00000000-0005-0000-0000-0000B47B0000}"/>
    <cellStyle name="Positive 3 2 5 2 2 10" xfId="31656" xr:uid="{00000000-0005-0000-0000-0000B57B0000}"/>
    <cellStyle name="Positive 3 2 5 2 2 10 2" xfId="31657" xr:uid="{00000000-0005-0000-0000-0000B67B0000}"/>
    <cellStyle name="Positive 3 2 5 2 2 11" xfId="31658" xr:uid="{00000000-0005-0000-0000-0000B77B0000}"/>
    <cellStyle name="Positive 3 2 5 2 2 11 2" xfId="31659" xr:uid="{00000000-0005-0000-0000-0000B87B0000}"/>
    <cellStyle name="Positive 3 2 5 2 2 12" xfId="31660" xr:uid="{00000000-0005-0000-0000-0000B97B0000}"/>
    <cellStyle name="Positive 3 2 5 2 2 12 2" xfId="31661" xr:uid="{00000000-0005-0000-0000-0000BA7B0000}"/>
    <cellStyle name="Positive 3 2 5 2 2 13" xfId="31662" xr:uid="{00000000-0005-0000-0000-0000BB7B0000}"/>
    <cellStyle name="Positive 3 2 5 2 2 13 2" xfId="31663" xr:uid="{00000000-0005-0000-0000-0000BC7B0000}"/>
    <cellStyle name="Positive 3 2 5 2 2 14" xfId="31664" xr:uid="{00000000-0005-0000-0000-0000BD7B0000}"/>
    <cellStyle name="Positive 3 2 5 2 2 14 2" xfId="31665" xr:uid="{00000000-0005-0000-0000-0000BE7B0000}"/>
    <cellStyle name="Positive 3 2 5 2 2 15" xfId="31666" xr:uid="{00000000-0005-0000-0000-0000BF7B0000}"/>
    <cellStyle name="Positive 3 2 5 2 2 15 2" xfId="31667" xr:uid="{00000000-0005-0000-0000-0000C07B0000}"/>
    <cellStyle name="Positive 3 2 5 2 2 16" xfId="31668" xr:uid="{00000000-0005-0000-0000-0000C17B0000}"/>
    <cellStyle name="Positive 3 2 5 2 2 16 2" xfId="31669" xr:uid="{00000000-0005-0000-0000-0000C27B0000}"/>
    <cellStyle name="Positive 3 2 5 2 2 17" xfId="31670" xr:uid="{00000000-0005-0000-0000-0000C37B0000}"/>
    <cellStyle name="Positive 3 2 5 2 2 2" xfId="31671" xr:uid="{00000000-0005-0000-0000-0000C47B0000}"/>
    <cellStyle name="Positive 3 2 5 2 2 2 2" xfId="31672" xr:uid="{00000000-0005-0000-0000-0000C57B0000}"/>
    <cellStyle name="Positive 3 2 5 2 2 3" xfId="31673" xr:uid="{00000000-0005-0000-0000-0000C67B0000}"/>
    <cellStyle name="Positive 3 2 5 2 2 3 2" xfId="31674" xr:uid="{00000000-0005-0000-0000-0000C77B0000}"/>
    <cellStyle name="Positive 3 2 5 2 2 4" xfId="31675" xr:uid="{00000000-0005-0000-0000-0000C87B0000}"/>
    <cellStyle name="Positive 3 2 5 2 2 4 2" xfId="31676" xr:uid="{00000000-0005-0000-0000-0000C97B0000}"/>
    <cellStyle name="Positive 3 2 5 2 2 5" xfId="31677" xr:uid="{00000000-0005-0000-0000-0000CA7B0000}"/>
    <cellStyle name="Positive 3 2 5 2 2 5 2" xfId="31678" xr:uid="{00000000-0005-0000-0000-0000CB7B0000}"/>
    <cellStyle name="Positive 3 2 5 2 2 6" xfId="31679" xr:uid="{00000000-0005-0000-0000-0000CC7B0000}"/>
    <cellStyle name="Positive 3 2 5 2 2 6 2" xfId="31680" xr:uid="{00000000-0005-0000-0000-0000CD7B0000}"/>
    <cellStyle name="Positive 3 2 5 2 2 7" xfId="31681" xr:uid="{00000000-0005-0000-0000-0000CE7B0000}"/>
    <cellStyle name="Positive 3 2 5 2 2 7 2" xfId="31682" xr:uid="{00000000-0005-0000-0000-0000CF7B0000}"/>
    <cellStyle name="Positive 3 2 5 2 2 8" xfId="31683" xr:uid="{00000000-0005-0000-0000-0000D07B0000}"/>
    <cellStyle name="Positive 3 2 5 2 2 8 2" xfId="31684" xr:uid="{00000000-0005-0000-0000-0000D17B0000}"/>
    <cellStyle name="Positive 3 2 5 2 2 9" xfId="31685" xr:uid="{00000000-0005-0000-0000-0000D27B0000}"/>
    <cellStyle name="Positive 3 2 5 2 2 9 2" xfId="31686" xr:uid="{00000000-0005-0000-0000-0000D37B0000}"/>
    <cellStyle name="Positive 3 2 5 2 20" xfId="31687" xr:uid="{00000000-0005-0000-0000-0000D47B0000}"/>
    <cellStyle name="Positive 3 2 5 2 3" xfId="31688" xr:uid="{00000000-0005-0000-0000-0000D57B0000}"/>
    <cellStyle name="Positive 3 2 5 2 3 2" xfId="31689" xr:uid="{00000000-0005-0000-0000-0000D67B0000}"/>
    <cellStyle name="Positive 3 2 5 2 3 2 2" xfId="31690" xr:uid="{00000000-0005-0000-0000-0000D77B0000}"/>
    <cellStyle name="Positive 3 2 5 2 3 3" xfId="31691" xr:uid="{00000000-0005-0000-0000-0000D87B0000}"/>
    <cellStyle name="Positive 3 2 5 2 4" xfId="31692" xr:uid="{00000000-0005-0000-0000-0000D97B0000}"/>
    <cellStyle name="Positive 3 2 5 2 4 2" xfId="31693" xr:uid="{00000000-0005-0000-0000-0000DA7B0000}"/>
    <cellStyle name="Positive 3 2 5 2 4 2 2" xfId="31694" xr:uid="{00000000-0005-0000-0000-0000DB7B0000}"/>
    <cellStyle name="Positive 3 2 5 2 4 3" xfId="31695" xr:uid="{00000000-0005-0000-0000-0000DC7B0000}"/>
    <cellStyle name="Positive 3 2 5 2 5" xfId="31696" xr:uid="{00000000-0005-0000-0000-0000DD7B0000}"/>
    <cellStyle name="Positive 3 2 5 2 5 2" xfId="31697" xr:uid="{00000000-0005-0000-0000-0000DE7B0000}"/>
    <cellStyle name="Positive 3 2 5 2 6" xfId="31698" xr:uid="{00000000-0005-0000-0000-0000DF7B0000}"/>
    <cellStyle name="Positive 3 2 5 2 6 2" xfId="31699" xr:uid="{00000000-0005-0000-0000-0000E07B0000}"/>
    <cellStyle name="Positive 3 2 5 2 7" xfId="31700" xr:uid="{00000000-0005-0000-0000-0000E17B0000}"/>
    <cellStyle name="Positive 3 2 5 2 7 2" xfId="31701" xr:uid="{00000000-0005-0000-0000-0000E27B0000}"/>
    <cellStyle name="Positive 3 2 5 2 8" xfId="31702" xr:uid="{00000000-0005-0000-0000-0000E37B0000}"/>
    <cellStyle name="Positive 3 2 5 2 8 2" xfId="31703" xr:uid="{00000000-0005-0000-0000-0000E47B0000}"/>
    <cellStyle name="Positive 3 2 5 2 9" xfId="31704" xr:uid="{00000000-0005-0000-0000-0000E57B0000}"/>
    <cellStyle name="Positive 3 2 5 2 9 2" xfId="31705" xr:uid="{00000000-0005-0000-0000-0000E67B0000}"/>
    <cellStyle name="Positive 3 2 5 20" xfId="31706" xr:uid="{00000000-0005-0000-0000-0000E77B0000}"/>
    <cellStyle name="Positive 3 2 5 20 2" xfId="31707" xr:uid="{00000000-0005-0000-0000-0000E87B0000}"/>
    <cellStyle name="Positive 3 2 5 21" xfId="31708" xr:uid="{00000000-0005-0000-0000-0000E97B0000}"/>
    <cellStyle name="Positive 3 2 5 21 2" xfId="31709" xr:uid="{00000000-0005-0000-0000-0000EA7B0000}"/>
    <cellStyle name="Positive 3 2 5 22" xfId="31710" xr:uid="{00000000-0005-0000-0000-0000EB7B0000}"/>
    <cellStyle name="Positive 3 2 5 22 2" xfId="31711" xr:uid="{00000000-0005-0000-0000-0000EC7B0000}"/>
    <cellStyle name="Positive 3 2 5 23" xfId="31712" xr:uid="{00000000-0005-0000-0000-0000ED7B0000}"/>
    <cellStyle name="Positive 3 2 5 3" xfId="31713" xr:uid="{00000000-0005-0000-0000-0000EE7B0000}"/>
    <cellStyle name="Positive 3 2 5 3 10" xfId="31714" xr:uid="{00000000-0005-0000-0000-0000EF7B0000}"/>
    <cellStyle name="Positive 3 2 5 3 10 2" xfId="31715" xr:uid="{00000000-0005-0000-0000-0000F07B0000}"/>
    <cellStyle name="Positive 3 2 5 3 11" xfId="31716" xr:uid="{00000000-0005-0000-0000-0000F17B0000}"/>
    <cellStyle name="Positive 3 2 5 3 11 2" xfId="31717" xr:uid="{00000000-0005-0000-0000-0000F27B0000}"/>
    <cellStyle name="Positive 3 2 5 3 12" xfId="31718" xr:uid="{00000000-0005-0000-0000-0000F37B0000}"/>
    <cellStyle name="Positive 3 2 5 3 12 2" xfId="31719" xr:uid="{00000000-0005-0000-0000-0000F47B0000}"/>
    <cellStyle name="Positive 3 2 5 3 13" xfId="31720" xr:uid="{00000000-0005-0000-0000-0000F57B0000}"/>
    <cellStyle name="Positive 3 2 5 3 13 2" xfId="31721" xr:uid="{00000000-0005-0000-0000-0000F67B0000}"/>
    <cellStyle name="Positive 3 2 5 3 14" xfId="31722" xr:uid="{00000000-0005-0000-0000-0000F77B0000}"/>
    <cellStyle name="Positive 3 2 5 3 14 2" xfId="31723" xr:uid="{00000000-0005-0000-0000-0000F87B0000}"/>
    <cellStyle name="Positive 3 2 5 3 15" xfId="31724" xr:uid="{00000000-0005-0000-0000-0000F97B0000}"/>
    <cellStyle name="Positive 3 2 5 3 15 2" xfId="31725" xr:uid="{00000000-0005-0000-0000-0000FA7B0000}"/>
    <cellStyle name="Positive 3 2 5 3 16" xfId="31726" xr:uid="{00000000-0005-0000-0000-0000FB7B0000}"/>
    <cellStyle name="Positive 3 2 5 3 16 2" xfId="31727" xr:uid="{00000000-0005-0000-0000-0000FC7B0000}"/>
    <cellStyle name="Positive 3 2 5 3 17" xfId="31728" xr:uid="{00000000-0005-0000-0000-0000FD7B0000}"/>
    <cellStyle name="Positive 3 2 5 3 17 2" xfId="31729" xr:uid="{00000000-0005-0000-0000-0000FE7B0000}"/>
    <cellStyle name="Positive 3 2 5 3 18" xfId="31730" xr:uid="{00000000-0005-0000-0000-0000FF7B0000}"/>
    <cellStyle name="Positive 3 2 5 3 18 2" xfId="31731" xr:uid="{00000000-0005-0000-0000-0000007C0000}"/>
    <cellStyle name="Positive 3 2 5 3 19" xfId="31732" xr:uid="{00000000-0005-0000-0000-0000017C0000}"/>
    <cellStyle name="Positive 3 2 5 3 19 2" xfId="31733" xr:uid="{00000000-0005-0000-0000-0000027C0000}"/>
    <cellStyle name="Positive 3 2 5 3 2" xfId="31734" xr:uid="{00000000-0005-0000-0000-0000037C0000}"/>
    <cellStyle name="Positive 3 2 5 3 2 10" xfId="31735" xr:uid="{00000000-0005-0000-0000-0000047C0000}"/>
    <cellStyle name="Positive 3 2 5 3 2 10 2" xfId="31736" xr:uid="{00000000-0005-0000-0000-0000057C0000}"/>
    <cellStyle name="Positive 3 2 5 3 2 11" xfId="31737" xr:uid="{00000000-0005-0000-0000-0000067C0000}"/>
    <cellStyle name="Positive 3 2 5 3 2 11 2" xfId="31738" xr:uid="{00000000-0005-0000-0000-0000077C0000}"/>
    <cellStyle name="Positive 3 2 5 3 2 12" xfId="31739" xr:uid="{00000000-0005-0000-0000-0000087C0000}"/>
    <cellStyle name="Positive 3 2 5 3 2 12 2" xfId="31740" xr:uid="{00000000-0005-0000-0000-0000097C0000}"/>
    <cellStyle name="Positive 3 2 5 3 2 13" xfId="31741" xr:uid="{00000000-0005-0000-0000-00000A7C0000}"/>
    <cellStyle name="Positive 3 2 5 3 2 13 2" xfId="31742" xr:uid="{00000000-0005-0000-0000-00000B7C0000}"/>
    <cellStyle name="Positive 3 2 5 3 2 14" xfId="31743" xr:uid="{00000000-0005-0000-0000-00000C7C0000}"/>
    <cellStyle name="Positive 3 2 5 3 2 14 2" xfId="31744" xr:uid="{00000000-0005-0000-0000-00000D7C0000}"/>
    <cellStyle name="Positive 3 2 5 3 2 15" xfId="31745" xr:uid="{00000000-0005-0000-0000-00000E7C0000}"/>
    <cellStyle name="Positive 3 2 5 3 2 15 2" xfId="31746" xr:uid="{00000000-0005-0000-0000-00000F7C0000}"/>
    <cellStyle name="Positive 3 2 5 3 2 16" xfId="31747" xr:uid="{00000000-0005-0000-0000-0000107C0000}"/>
    <cellStyle name="Positive 3 2 5 3 2 16 2" xfId="31748" xr:uid="{00000000-0005-0000-0000-0000117C0000}"/>
    <cellStyle name="Positive 3 2 5 3 2 17" xfId="31749" xr:uid="{00000000-0005-0000-0000-0000127C0000}"/>
    <cellStyle name="Positive 3 2 5 3 2 2" xfId="31750" xr:uid="{00000000-0005-0000-0000-0000137C0000}"/>
    <cellStyle name="Positive 3 2 5 3 2 2 2" xfId="31751" xr:uid="{00000000-0005-0000-0000-0000147C0000}"/>
    <cellStyle name="Positive 3 2 5 3 2 3" xfId="31752" xr:uid="{00000000-0005-0000-0000-0000157C0000}"/>
    <cellStyle name="Positive 3 2 5 3 2 3 2" xfId="31753" xr:uid="{00000000-0005-0000-0000-0000167C0000}"/>
    <cellStyle name="Positive 3 2 5 3 2 4" xfId="31754" xr:uid="{00000000-0005-0000-0000-0000177C0000}"/>
    <cellStyle name="Positive 3 2 5 3 2 4 2" xfId="31755" xr:uid="{00000000-0005-0000-0000-0000187C0000}"/>
    <cellStyle name="Positive 3 2 5 3 2 5" xfId="31756" xr:uid="{00000000-0005-0000-0000-0000197C0000}"/>
    <cellStyle name="Positive 3 2 5 3 2 5 2" xfId="31757" xr:uid="{00000000-0005-0000-0000-00001A7C0000}"/>
    <cellStyle name="Positive 3 2 5 3 2 6" xfId="31758" xr:uid="{00000000-0005-0000-0000-00001B7C0000}"/>
    <cellStyle name="Positive 3 2 5 3 2 6 2" xfId="31759" xr:uid="{00000000-0005-0000-0000-00001C7C0000}"/>
    <cellStyle name="Positive 3 2 5 3 2 7" xfId="31760" xr:uid="{00000000-0005-0000-0000-00001D7C0000}"/>
    <cellStyle name="Positive 3 2 5 3 2 7 2" xfId="31761" xr:uid="{00000000-0005-0000-0000-00001E7C0000}"/>
    <cellStyle name="Positive 3 2 5 3 2 8" xfId="31762" xr:uid="{00000000-0005-0000-0000-00001F7C0000}"/>
    <cellStyle name="Positive 3 2 5 3 2 8 2" xfId="31763" xr:uid="{00000000-0005-0000-0000-0000207C0000}"/>
    <cellStyle name="Positive 3 2 5 3 2 9" xfId="31764" xr:uid="{00000000-0005-0000-0000-0000217C0000}"/>
    <cellStyle name="Positive 3 2 5 3 2 9 2" xfId="31765" xr:uid="{00000000-0005-0000-0000-0000227C0000}"/>
    <cellStyle name="Positive 3 2 5 3 20" xfId="31766" xr:uid="{00000000-0005-0000-0000-0000237C0000}"/>
    <cellStyle name="Positive 3 2 5 3 3" xfId="31767" xr:uid="{00000000-0005-0000-0000-0000247C0000}"/>
    <cellStyle name="Positive 3 2 5 3 3 2" xfId="31768" xr:uid="{00000000-0005-0000-0000-0000257C0000}"/>
    <cellStyle name="Positive 3 2 5 3 3 2 2" xfId="31769" xr:uid="{00000000-0005-0000-0000-0000267C0000}"/>
    <cellStyle name="Positive 3 2 5 3 3 3" xfId="31770" xr:uid="{00000000-0005-0000-0000-0000277C0000}"/>
    <cellStyle name="Positive 3 2 5 3 4" xfId="31771" xr:uid="{00000000-0005-0000-0000-0000287C0000}"/>
    <cellStyle name="Positive 3 2 5 3 4 2" xfId="31772" xr:uid="{00000000-0005-0000-0000-0000297C0000}"/>
    <cellStyle name="Positive 3 2 5 3 4 2 2" xfId="31773" xr:uid="{00000000-0005-0000-0000-00002A7C0000}"/>
    <cellStyle name="Positive 3 2 5 3 4 3" xfId="31774" xr:uid="{00000000-0005-0000-0000-00002B7C0000}"/>
    <cellStyle name="Positive 3 2 5 3 5" xfId="31775" xr:uid="{00000000-0005-0000-0000-00002C7C0000}"/>
    <cellStyle name="Positive 3 2 5 3 5 2" xfId="31776" xr:uid="{00000000-0005-0000-0000-00002D7C0000}"/>
    <cellStyle name="Positive 3 2 5 3 6" xfId="31777" xr:uid="{00000000-0005-0000-0000-00002E7C0000}"/>
    <cellStyle name="Positive 3 2 5 3 6 2" xfId="31778" xr:uid="{00000000-0005-0000-0000-00002F7C0000}"/>
    <cellStyle name="Positive 3 2 5 3 7" xfId="31779" xr:uid="{00000000-0005-0000-0000-0000307C0000}"/>
    <cellStyle name="Positive 3 2 5 3 7 2" xfId="31780" xr:uid="{00000000-0005-0000-0000-0000317C0000}"/>
    <cellStyle name="Positive 3 2 5 3 8" xfId="31781" xr:uid="{00000000-0005-0000-0000-0000327C0000}"/>
    <cellStyle name="Positive 3 2 5 3 8 2" xfId="31782" xr:uid="{00000000-0005-0000-0000-0000337C0000}"/>
    <cellStyle name="Positive 3 2 5 3 9" xfId="31783" xr:uid="{00000000-0005-0000-0000-0000347C0000}"/>
    <cellStyle name="Positive 3 2 5 3 9 2" xfId="31784" xr:uid="{00000000-0005-0000-0000-0000357C0000}"/>
    <cellStyle name="Positive 3 2 5 4" xfId="31785" xr:uid="{00000000-0005-0000-0000-0000367C0000}"/>
    <cellStyle name="Positive 3 2 5 4 10" xfId="31786" xr:uid="{00000000-0005-0000-0000-0000377C0000}"/>
    <cellStyle name="Positive 3 2 5 4 10 2" xfId="31787" xr:uid="{00000000-0005-0000-0000-0000387C0000}"/>
    <cellStyle name="Positive 3 2 5 4 11" xfId="31788" xr:uid="{00000000-0005-0000-0000-0000397C0000}"/>
    <cellStyle name="Positive 3 2 5 4 11 2" xfId="31789" xr:uid="{00000000-0005-0000-0000-00003A7C0000}"/>
    <cellStyle name="Positive 3 2 5 4 12" xfId="31790" xr:uid="{00000000-0005-0000-0000-00003B7C0000}"/>
    <cellStyle name="Positive 3 2 5 4 12 2" xfId="31791" xr:uid="{00000000-0005-0000-0000-00003C7C0000}"/>
    <cellStyle name="Positive 3 2 5 4 13" xfId="31792" xr:uid="{00000000-0005-0000-0000-00003D7C0000}"/>
    <cellStyle name="Positive 3 2 5 4 13 2" xfId="31793" xr:uid="{00000000-0005-0000-0000-00003E7C0000}"/>
    <cellStyle name="Positive 3 2 5 4 14" xfId="31794" xr:uid="{00000000-0005-0000-0000-00003F7C0000}"/>
    <cellStyle name="Positive 3 2 5 4 14 2" xfId="31795" xr:uid="{00000000-0005-0000-0000-0000407C0000}"/>
    <cellStyle name="Positive 3 2 5 4 15" xfId="31796" xr:uid="{00000000-0005-0000-0000-0000417C0000}"/>
    <cellStyle name="Positive 3 2 5 4 15 2" xfId="31797" xr:uid="{00000000-0005-0000-0000-0000427C0000}"/>
    <cellStyle name="Positive 3 2 5 4 16" xfId="31798" xr:uid="{00000000-0005-0000-0000-0000437C0000}"/>
    <cellStyle name="Positive 3 2 5 4 16 2" xfId="31799" xr:uid="{00000000-0005-0000-0000-0000447C0000}"/>
    <cellStyle name="Positive 3 2 5 4 17" xfId="31800" xr:uid="{00000000-0005-0000-0000-0000457C0000}"/>
    <cellStyle name="Positive 3 2 5 4 17 2" xfId="31801" xr:uid="{00000000-0005-0000-0000-0000467C0000}"/>
    <cellStyle name="Positive 3 2 5 4 18" xfId="31802" xr:uid="{00000000-0005-0000-0000-0000477C0000}"/>
    <cellStyle name="Positive 3 2 5 4 18 2" xfId="31803" xr:uid="{00000000-0005-0000-0000-0000487C0000}"/>
    <cellStyle name="Positive 3 2 5 4 19" xfId="31804" xr:uid="{00000000-0005-0000-0000-0000497C0000}"/>
    <cellStyle name="Positive 3 2 5 4 19 2" xfId="31805" xr:uid="{00000000-0005-0000-0000-00004A7C0000}"/>
    <cellStyle name="Positive 3 2 5 4 2" xfId="31806" xr:uid="{00000000-0005-0000-0000-00004B7C0000}"/>
    <cellStyle name="Positive 3 2 5 4 2 10" xfId="31807" xr:uid="{00000000-0005-0000-0000-00004C7C0000}"/>
    <cellStyle name="Positive 3 2 5 4 2 10 2" xfId="31808" xr:uid="{00000000-0005-0000-0000-00004D7C0000}"/>
    <cellStyle name="Positive 3 2 5 4 2 11" xfId="31809" xr:uid="{00000000-0005-0000-0000-00004E7C0000}"/>
    <cellStyle name="Positive 3 2 5 4 2 11 2" xfId="31810" xr:uid="{00000000-0005-0000-0000-00004F7C0000}"/>
    <cellStyle name="Positive 3 2 5 4 2 12" xfId="31811" xr:uid="{00000000-0005-0000-0000-0000507C0000}"/>
    <cellStyle name="Positive 3 2 5 4 2 12 2" xfId="31812" xr:uid="{00000000-0005-0000-0000-0000517C0000}"/>
    <cellStyle name="Positive 3 2 5 4 2 13" xfId="31813" xr:uid="{00000000-0005-0000-0000-0000527C0000}"/>
    <cellStyle name="Positive 3 2 5 4 2 13 2" xfId="31814" xr:uid="{00000000-0005-0000-0000-0000537C0000}"/>
    <cellStyle name="Positive 3 2 5 4 2 14" xfId="31815" xr:uid="{00000000-0005-0000-0000-0000547C0000}"/>
    <cellStyle name="Positive 3 2 5 4 2 14 2" xfId="31816" xr:uid="{00000000-0005-0000-0000-0000557C0000}"/>
    <cellStyle name="Positive 3 2 5 4 2 15" xfId="31817" xr:uid="{00000000-0005-0000-0000-0000567C0000}"/>
    <cellStyle name="Positive 3 2 5 4 2 15 2" xfId="31818" xr:uid="{00000000-0005-0000-0000-0000577C0000}"/>
    <cellStyle name="Positive 3 2 5 4 2 16" xfId="31819" xr:uid="{00000000-0005-0000-0000-0000587C0000}"/>
    <cellStyle name="Positive 3 2 5 4 2 16 2" xfId="31820" xr:uid="{00000000-0005-0000-0000-0000597C0000}"/>
    <cellStyle name="Positive 3 2 5 4 2 17" xfId="31821" xr:uid="{00000000-0005-0000-0000-00005A7C0000}"/>
    <cellStyle name="Positive 3 2 5 4 2 2" xfId="31822" xr:uid="{00000000-0005-0000-0000-00005B7C0000}"/>
    <cellStyle name="Positive 3 2 5 4 2 2 2" xfId="31823" xr:uid="{00000000-0005-0000-0000-00005C7C0000}"/>
    <cellStyle name="Positive 3 2 5 4 2 3" xfId="31824" xr:uid="{00000000-0005-0000-0000-00005D7C0000}"/>
    <cellStyle name="Positive 3 2 5 4 2 3 2" xfId="31825" xr:uid="{00000000-0005-0000-0000-00005E7C0000}"/>
    <cellStyle name="Positive 3 2 5 4 2 4" xfId="31826" xr:uid="{00000000-0005-0000-0000-00005F7C0000}"/>
    <cellStyle name="Positive 3 2 5 4 2 4 2" xfId="31827" xr:uid="{00000000-0005-0000-0000-0000607C0000}"/>
    <cellStyle name="Positive 3 2 5 4 2 5" xfId="31828" xr:uid="{00000000-0005-0000-0000-0000617C0000}"/>
    <cellStyle name="Positive 3 2 5 4 2 5 2" xfId="31829" xr:uid="{00000000-0005-0000-0000-0000627C0000}"/>
    <cellStyle name="Positive 3 2 5 4 2 6" xfId="31830" xr:uid="{00000000-0005-0000-0000-0000637C0000}"/>
    <cellStyle name="Positive 3 2 5 4 2 6 2" xfId="31831" xr:uid="{00000000-0005-0000-0000-0000647C0000}"/>
    <cellStyle name="Positive 3 2 5 4 2 7" xfId="31832" xr:uid="{00000000-0005-0000-0000-0000657C0000}"/>
    <cellStyle name="Positive 3 2 5 4 2 7 2" xfId="31833" xr:uid="{00000000-0005-0000-0000-0000667C0000}"/>
    <cellStyle name="Positive 3 2 5 4 2 8" xfId="31834" xr:uid="{00000000-0005-0000-0000-0000677C0000}"/>
    <cellStyle name="Positive 3 2 5 4 2 8 2" xfId="31835" xr:uid="{00000000-0005-0000-0000-0000687C0000}"/>
    <cellStyle name="Positive 3 2 5 4 2 9" xfId="31836" xr:uid="{00000000-0005-0000-0000-0000697C0000}"/>
    <cellStyle name="Positive 3 2 5 4 2 9 2" xfId="31837" xr:uid="{00000000-0005-0000-0000-00006A7C0000}"/>
    <cellStyle name="Positive 3 2 5 4 20" xfId="31838" xr:uid="{00000000-0005-0000-0000-00006B7C0000}"/>
    <cellStyle name="Positive 3 2 5 4 3" xfId="31839" xr:uid="{00000000-0005-0000-0000-00006C7C0000}"/>
    <cellStyle name="Positive 3 2 5 4 3 2" xfId="31840" xr:uid="{00000000-0005-0000-0000-00006D7C0000}"/>
    <cellStyle name="Positive 3 2 5 4 3 2 2" xfId="31841" xr:uid="{00000000-0005-0000-0000-00006E7C0000}"/>
    <cellStyle name="Positive 3 2 5 4 3 3" xfId="31842" xr:uid="{00000000-0005-0000-0000-00006F7C0000}"/>
    <cellStyle name="Positive 3 2 5 4 4" xfId="31843" xr:uid="{00000000-0005-0000-0000-0000707C0000}"/>
    <cellStyle name="Positive 3 2 5 4 4 2" xfId="31844" xr:uid="{00000000-0005-0000-0000-0000717C0000}"/>
    <cellStyle name="Positive 3 2 5 4 4 2 2" xfId="31845" xr:uid="{00000000-0005-0000-0000-0000727C0000}"/>
    <cellStyle name="Positive 3 2 5 4 4 3" xfId="31846" xr:uid="{00000000-0005-0000-0000-0000737C0000}"/>
    <cellStyle name="Positive 3 2 5 4 5" xfId="31847" xr:uid="{00000000-0005-0000-0000-0000747C0000}"/>
    <cellStyle name="Positive 3 2 5 4 5 2" xfId="31848" xr:uid="{00000000-0005-0000-0000-0000757C0000}"/>
    <cellStyle name="Positive 3 2 5 4 6" xfId="31849" xr:uid="{00000000-0005-0000-0000-0000767C0000}"/>
    <cellStyle name="Positive 3 2 5 4 6 2" xfId="31850" xr:uid="{00000000-0005-0000-0000-0000777C0000}"/>
    <cellStyle name="Positive 3 2 5 4 7" xfId="31851" xr:uid="{00000000-0005-0000-0000-0000787C0000}"/>
    <cellStyle name="Positive 3 2 5 4 7 2" xfId="31852" xr:uid="{00000000-0005-0000-0000-0000797C0000}"/>
    <cellStyle name="Positive 3 2 5 4 8" xfId="31853" xr:uid="{00000000-0005-0000-0000-00007A7C0000}"/>
    <cellStyle name="Positive 3 2 5 4 8 2" xfId="31854" xr:uid="{00000000-0005-0000-0000-00007B7C0000}"/>
    <cellStyle name="Positive 3 2 5 4 9" xfId="31855" xr:uid="{00000000-0005-0000-0000-00007C7C0000}"/>
    <cellStyle name="Positive 3 2 5 4 9 2" xfId="31856" xr:uid="{00000000-0005-0000-0000-00007D7C0000}"/>
    <cellStyle name="Positive 3 2 5 5" xfId="31857" xr:uid="{00000000-0005-0000-0000-00007E7C0000}"/>
    <cellStyle name="Positive 3 2 5 5 10" xfId="31858" xr:uid="{00000000-0005-0000-0000-00007F7C0000}"/>
    <cellStyle name="Positive 3 2 5 5 10 2" xfId="31859" xr:uid="{00000000-0005-0000-0000-0000807C0000}"/>
    <cellStyle name="Positive 3 2 5 5 11" xfId="31860" xr:uid="{00000000-0005-0000-0000-0000817C0000}"/>
    <cellStyle name="Positive 3 2 5 5 11 2" xfId="31861" xr:uid="{00000000-0005-0000-0000-0000827C0000}"/>
    <cellStyle name="Positive 3 2 5 5 12" xfId="31862" xr:uid="{00000000-0005-0000-0000-0000837C0000}"/>
    <cellStyle name="Positive 3 2 5 5 12 2" xfId="31863" xr:uid="{00000000-0005-0000-0000-0000847C0000}"/>
    <cellStyle name="Positive 3 2 5 5 13" xfId="31864" xr:uid="{00000000-0005-0000-0000-0000857C0000}"/>
    <cellStyle name="Positive 3 2 5 5 13 2" xfId="31865" xr:uid="{00000000-0005-0000-0000-0000867C0000}"/>
    <cellStyle name="Positive 3 2 5 5 14" xfId="31866" xr:uid="{00000000-0005-0000-0000-0000877C0000}"/>
    <cellStyle name="Positive 3 2 5 5 14 2" xfId="31867" xr:uid="{00000000-0005-0000-0000-0000887C0000}"/>
    <cellStyle name="Positive 3 2 5 5 15" xfId="31868" xr:uid="{00000000-0005-0000-0000-0000897C0000}"/>
    <cellStyle name="Positive 3 2 5 5 15 2" xfId="31869" xr:uid="{00000000-0005-0000-0000-00008A7C0000}"/>
    <cellStyle name="Positive 3 2 5 5 16" xfId="31870" xr:uid="{00000000-0005-0000-0000-00008B7C0000}"/>
    <cellStyle name="Positive 3 2 5 5 16 2" xfId="31871" xr:uid="{00000000-0005-0000-0000-00008C7C0000}"/>
    <cellStyle name="Positive 3 2 5 5 17" xfId="31872" xr:uid="{00000000-0005-0000-0000-00008D7C0000}"/>
    <cellStyle name="Positive 3 2 5 5 2" xfId="31873" xr:uid="{00000000-0005-0000-0000-00008E7C0000}"/>
    <cellStyle name="Positive 3 2 5 5 2 2" xfId="31874" xr:uid="{00000000-0005-0000-0000-00008F7C0000}"/>
    <cellStyle name="Positive 3 2 5 5 3" xfId="31875" xr:uid="{00000000-0005-0000-0000-0000907C0000}"/>
    <cellStyle name="Positive 3 2 5 5 3 2" xfId="31876" xr:uid="{00000000-0005-0000-0000-0000917C0000}"/>
    <cellStyle name="Positive 3 2 5 5 4" xfId="31877" xr:uid="{00000000-0005-0000-0000-0000927C0000}"/>
    <cellStyle name="Positive 3 2 5 5 4 2" xfId="31878" xr:uid="{00000000-0005-0000-0000-0000937C0000}"/>
    <cellStyle name="Positive 3 2 5 5 5" xfId="31879" xr:uid="{00000000-0005-0000-0000-0000947C0000}"/>
    <cellStyle name="Positive 3 2 5 5 5 2" xfId="31880" xr:uid="{00000000-0005-0000-0000-0000957C0000}"/>
    <cellStyle name="Positive 3 2 5 5 6" xfId="31881" xr:uid="{00000000-0005-0000-0000-0000967C0000}"/>
    <cellStyle name="Positive 3 2 5 5 6 2" xfId="31882" xr:uid="{00000000-0005-0000-0000-0000977C0000}"/>
    <cellStyle name="Positive 3 2 5 5 7" xfId="31883" xr:uid="{00000000-0005-0000-0000-0000987C0000}"/>
    <cellStyle name="Positive 3 2 5 5 7 2" xfId="31884" xr:uid="{00000000-0005-0000-0000-0000997C0000}"/>
    <cellStyle name="Positive 3 2 5 5 8" xfId="31885" xr:uid="{00000000-0005-0000-0000-00009A7C0000}"/>
    <cellStyle name="Positive 3 2 5 5 8 2" xfId="31886" xr:uid="{00000000-0005-0000-0000-00009B7C0000}"/>
    <cellStyle name="Positive 3 2 5 5 9" xfId="31887" xr:uid="{00000000-0005-0000-0000-00009C7C0000}"/>
    <cellStyle name="Positive 3 2 5 5 9 2" xfId="31888" xr:uid="{00000000-0005-0000-0000-00009D7C0000}"/>
    <cellStyle name="Positive 3 2 5 6" xfId="31889" xr:uid="{00000000-0005-0000-0000-00009E7C0000}"/>
    <cellStyle name="Positive 3 2 5 6 2" xfId="31890" xr:uid="{00000000-0005-0000-0000-00009F7C0000}"/>
    <cellStyle name="Positive 3 2 5 6 2 2" xfId="31891" xr:uid="{00000000-0005-0000-0000-0000A07C0000}"/>
    <cellStyle name="Positive 3 2 5 6 3" xfId="31892" xr:uid="{00000000-0005-0000-0000-0000A17C0000}"/>
    <cellStyle name="Positive 3 2 5 7" xfId="31893" xr:uid="{00000000-0005-0000-0000-0000A27C0000}"/>
    <cellStyle name="Positive 3 2 5 7 2" xfId="31894" xr:uid="{00000000-0005-0000-0000-0000A37C0000}"/>
    <cellStyle name="Positive 3 2 5 7 2 2" xfId="31895" xr:uid="{00000000-0005-0000-0000-0000A47C0000}"/>
    <cellStyle name="Positive 3 2 5 7 3" xfId="31896" xr:uid="{00000000-0005-0000-0000-0000A57C0000}"/>
    <cellStyle name="Positive 3 2 5 8" xfId="31897" xr:uid="{00000000-0005-0000-0000-0000A67C0000}"/>
    <cellStyle name="Positive 3 2 5 8 2" xfId="31898" xr:uid="{00000000-0005-0000-0000-0000A77C0000}"/>
    <cellStyle name="Positive 3 2 5 9" xfId="31899" xr:uid="{00000000-0005-0000-0000-0000A87C0000}"/>
    <cellStyle name="Positive 3 2 5 9 2" xfId="31900" xr:uid="{00000000-0005-0000-0000-0000A97C0000}"/>
    <cellStyle name="Positive 3 2 6" xfId="31901" xr:uid="{00000000-0005-0000-0000-0000AA7C0000}"/>
    <cellStyle name="Positive 3 2 6 10" xfId="31902" xr:uid="{00000000-0005-0000-0000-0000AB7C0000}"/>
    <cellStyle name="Positive 3 2 6 10 2" xfId="31903" xr:uid="{00000000-0005-0000-0000-0000AC7C0000}"/>
    <cellStyle name="Positive 3 2 6 11" xfId="31904" xr:uid="{00000000-0005-0000-0000-0000AD7C0000}"/>
    <cellStyle name="Positive 3 2 6 11 2" xfId="31905" xr:uid="{00000000-0005-0000-0000-0000AE7C0000}"/>
    <cellStyle name="Positive 3 2 6 12" xfId="31906" xr:uid="{00000000-0005-0000-0000-0000AF7C0000}"/>
    <cellStyle name="Positive 3 2 6 12 2" xfId="31907" xr:uid="{00000000-0005-0000-0000-0000B07C0000}"/>
    <cellStyle name="Positive 3 2 6 13" xfId="31908" xr:uid="{00000000-0005-0000-0000-0000B17C0000}"/>
    <cellStyle name="Positive 3 2 6 13 2" xfId="31909" xr:uid="{00000000-0005-0000-0000-0000B27C0000}"/>
    <cellStyle name="Positive 3 2 6 14" xfId="31910" xr:uid="{00000000-0005-0000-0000-0000B37C0000}"/>
    <cellStyle name="Positive 3 2 6 14 2" xfId="31911" xr:uid="{00000000-0005-0000-0000-0000B47C0000}"/>
    <cellStyle name="Positive 3 2 6 15" xfId="31912" xr:uid="{00000000-0005-0000-0000-0000B57C0000}"/>
    <cellStyle name="Positive 3 2 6 15 2" xfId="31913" xr:uid="{00000000-0005-0000-0000-0000B67C0000}"/>
    <cellStyle name="Positive 3 2 6 16" xfId="31914" xr:uid="{00000000-0005-0000-0000-0000B77C0000}"/>
    <cellStyle name="Positive 3 2 6 16 2" xfId="31915" xr:uid="{00000000-0005-0000-0000-0000B87C0000}"/>
    <cellStyle name="Positive 3 2 6 17" xfId="31916" xr:uid="{00000000-0005-0000-0000-0000B97C0000}"/>
    <cellStyle name="Positive 3 2 6 17 2" xfId="31917" xr:uid="{00000000-0005-0000-0000-0000BA7C0000}"/>
    <cellStyle name="Positive 3 2 6 18" xfId="31918" xr:uid="{00000000-0005-0000-0000-0000BB7C0000}"/>
    <cellStyle name="Positive 3 2 6 18 2" xfId="31919" xr:uid="{00000000-0005-0000-0000-0000BC7C0000}"/>
    <cellStyle name="Positive 3 2 6 19" xfId="31920" xr:uid="{00000000-0005-0000-0000-0000BD7C0000}"/>
    <cellStyle name="Positive 3 2 6 19 2" xfId="31921" xr:uid="{00000000-0005-0000-0000-0000BE7C0000}"/>
    <cellStyle name="Positive 3 2 6 2" xfId="31922" xr:uid="{00000000-0005-0000-0000-0000BF7C0000}"/>
    <cellStyle name="Positive 3 2 6 2 10" xfId="31923" xr:uid="{00000000-0005-0000-0000-0000C07C0000}"/>
    <cellStyle name="Positive 3 2 6 2 10 2" xfId="31924" xr:uid="{00000000-0005-0000-0000-0000C17C0000}"/>
    <cellStyle name="Positive 3 2 6 2 11" xfId="31925" xr:uid="{00000000-0005-0000-0000-0000C27C0000}"/>
    <cellStyle name="Positive 3 2 6 2 11 2" xfId="31926" xr:uid="{00000000-0005-0000-0000-0000C37C0000}"/>
    <cellStyle name="Positive 3 2 6 2 12" xfId="31927" xr:uid="{00000000-0005-0000-0000-0000C47C0000}"/>
    <cellStyle name="Positive 3 2 6 2 12 2" xfId="31928" xr:uid="{00000000-0005-0000-0000-0000C57C0000}"/>
    <cellStyle name="Positive 3 2 6 2 13" xfId="31929" xr:uid="{00000000-0005-0000-0000-0000C67C0000}"/>
    <cellStyle name="Positive 3 2 6 2 13 2" xfId="31930" xr:uid="{00000000-0005-0000-0000-0000C77C0000}"/>
    <cellStyle name="Positive 3 2 6 2 14" xfId="31931" xr:uid="{00000000-0005-0000-0000-0000C87C0000}"/>
    <cellStyle name="Positive 3 2 6 2 14 2" xfId="31932" xr:uid="{00000000-0005-0000-0000-0000C97C0000}"/>
    <cellStyle name="Positive 3 2 6 2 15" xfId="31933" xr:uid="{00000000-0005-0000-0000-0000CA7C0000}"/>
    <cellStyle name="Positive 3 2 6 2 15 2" xfId="31934" xr:uid="{00000000-0005-0000-0000-0000CB7C0000}"/>
    <cellStyle name="Positive 3 2 6 2 16" xfId="31935" xr:uid="{00000000-0005-0000-0000-0000CC7C0000}"/>
    <cellStyle name="Positive 3 2 6 2 16 2" xfId="31936" xr:uid="{00000000-0005-0000-0000-0000CD7C0000}"/>
    <cellStyle name="Positive 3 2 6 2 17" xfId="31937" xr:uid="{00000000-0005-0000-0000-0000CE7C0000}"/>
    <cellStyle name="Positive 3 2 6 2 17 2" xfId="31938" xr:uid="{00000000-0005-0000-0000-0000CF7C0000}"/>
    <cellStyle name="Positive 3 2 6 2 18" xfId="31939" xr:uid="{00000000-0005-0000-0000-0000D07C0000}"/>
    <cellStyle name="Positive 3 2 6 2 18 2" xfId="31940" xr:uid="{00000000-0005-0000-0000-0000D17C0000}"/>
    <cellStyle name="Positive 3 2 6 2 19" xfId="31941" xr:uid="{00000000-0005-0000-0000-0000D27C0000}"/>
    <cellStyle name="Positive 3 2 6 2 19 2" xfId="31942" xr:uid="{00000000-0005-0000-0000-0000D37C0000}"/>
    <cellStyle name="Positive 3 2 6 2 2" xfId="31943" xr:uid="{00000000-0005-0000-0000-0000D47C0000}"/>
    <cellStyle name="Positive 3 2 6 2 2 10" xfId="31944" xr:uid="{00000000-0005-0000-0000-0000D57C0000}"/>
    <cellStyle name="Positive 3 2 6 2 2 10 2" xfId="31945" xr:uid="{00000000-0005-0000-0000-0000D67C0000}"/>
    <cellStyle name="Positive 3 2 6 2 2 11" xfId="31946" xr:uid="{00000000-0005-0000-0000-0000D77C0000}"/>
    <cellStyle name="Positive 3 2 6 2 2 11 2" xfId="31947" xr:uid="{00000000-0005-0000-0000-0000D87C0000}"/>
    <cellStyle name="Positive 3 2 6 2 2 12" xfId="31948" xr:uid="{00000000-0005-0000-0000-0000D97C0000}"/>
    <cellStyle name="Positive 3 2 6 2 2 12 2" xfId="31949" xr:uid="{00000000-0005-0000-0000-0000DA7C0000}"/>
    <cellStyle name="Positive 3 2 6 2 2 13" xfId="31950" xr:uid="{00000000-0005-0000-0000-0000DB7C0000}"/>
    <cellStyle name="Positive 3 2 6 2 2 13 2" xfId="31951" xr:uid="{00000000-0005-0000-0000-0000DC7C0000}"/>
    <cellStyle name="Positive 3 2 6 2 2 14" xfId="31952" xr:uid="{00000000-0005-0000-0000-0000DD7C0000}"/>
    <cellStyle name="Positive 3 2 6 2 2 14 2" xfId="31953" xr:uid="{00000000-0005-0000-0000-0000DE7C0000}"/>
    <cellStyle name="Positive 3 2 6 2 2 15" xfId="31954" xr:uid="{00000000-0005-0000-0000-0000DF7C0000}"/>
    <cellStyle name="Positive 3 2 6 2 2 15 2" xfId="31955" xr:uid="{00000000-0005-0000-0000-0000E07C0000}"/>
    <cellStyle name="Positive 3 2 6 2 2 16" xfId="31956" xr:uid="{00000000-0005-0000-0000-0000E17C0000}"/>
    <cellStyle name="Positive 3 2 6 2 2 16 2" xfId="31957" xr:uid="{00000000-0005-0000-0000-0000E27C0000}"/>
    <cellStyle name="Positive 3 2 6 2 2 17" xfId="31958" xr:uid="{00000000-0005-0000-0000-0000E37C0000}"/>
    <cellStyle name="Positive 3 2 6 2 2 2" xfId="31959" xr:uid="{00000000-0005-0000-0000-0000E47C0000}"/>
    <cellStyle name="Positive 3 2 6 2 2 2 2" xfId="31960" xr:uid="{00000000-0005-0000-0000-0000E57C0000}"/>
    <cellStyle name="Positive 3 2 6 2 2 3" xfId="31961" xr:uid="{00000000-0005-0000-0000-0000E67C0000}"/>
    <cellStyle name="Positive 3 2 6 2 2 3 2" xfId="31962" xr:uid="{00000000-0005-0000-0000-0000E77C0000}"/>
    <cellStyle name="Positive 3 2 6 2 2 4" xfId="31963" xr:uid="{00000000-0005-0000-0000-0000E87C0000}"/>
    <cellStyle name="Positive 3 2 6 2 2 4 2" xfId="31964" xr:uid="{00000000-0005-0000-0000-0000E97C0000}"/>
    <cellStyle name="Positive 3 2 6 2 2 5" xfId="31965" xr:uid="{00000000-0005-0000-0000-0000EA7C0000}"/>
    <cellStyle name="Positive 3 2 6 2 2 5 2" xfId="31966" xr:uid="{00000000-0005-0000-0000-0000EB7C0000}"/>
    <cellStyle name="Positive 3 2 6 2 2 6" xfId="31967" xr:uid="{00000000-0005-0000-0000-0000EC7C0000}"/>
    <cellStyle name="Positive 3 2 6 2 2 6 2" xfId="31968" xr:uid="{00000000-0005-0000-0000-0000ED7C0000}"/>
    <cellStyle name="Positive 3 2 6 2 2 7" xfId="31969" xr:uid="{00000000-0005-0000-0000-0000EE7C0000}"/>
    <cellStyle name="Positive 3 2 6 2 2 7 2" xfId="31970" xr:uid="{00000000-0005-0000-0000-0000EF7C0000}"/>
    <cellStyle name="Positive 3 2 6 2 2 8" xfId="31971" xr:uid="{00000000-0005-0000-0000-0000F07C0000}"/>
    <cellStyle name="Positive 3 2 6 2 2 8 2" xfId="31972" xr:uid="{00000000-0005-0000-0000-0000F17C0000}"/>
    <cellStyle name="Positive 3 2 6 2 2 9" xfId="31973" xr:uid="{00000000-0005-0000-0000-0000F27C0000}"/>
    <cellStyle name="Positive 3 2 6 2 2 9 2" xfId="31974" xr:uid="{00000000-0005-0000-0000-0000F37C0000}"/>
    <cellStyle name="Positive 3 2 6 2 20" xfId="31975" xr:uid="{00000000-0005-0000-0000-0000F47C0000}"/>
    <cellStyle name="Positive 3 2 6 2 3" xfId="31976" xr:uid="{00000000-0005-0000-0000-0000F57C0000}"/>
    <cellStyle name="Positive 3 2 6 2 3 2" xfId="31977" xr:uid="{00000000-0005-0000-0000-0000F67C0000}"/>
    <cellStyle name="Positive 3 2 6 2 3 2 2" xfId="31978" xr:uid="{00000000-0005-0000-0000-0000F77C0000}"/>
    <cellStyle name="Positive 3 2 6 2 3 3" xfId="31979" xr:uid="{00000000-0005-0000-0000-0000F87C0000}"/>
    <cellStyle name="Positive 3 2 6 2 4" xfId="31980" xr:uid="{00000000-0005-0000-0000-0000F97C0000}"/>
    <cellStyle name="Positive 3 2 6 2 4 2" xfId="31981" xr:uid="{00000000-0005-0000-0000-0000FA7C0000}"/>
    <cellStyle name="Positive 3 2 6 2 4 2 2" xfId="31982" xr:uid="{00000000-0005-0000-0000-0000FB7C0000}"/>
    <cellStyle name="Positive 3 2 6 2 4 3" xfId="31983" xr:uid="{00000000-0005-0000-0000-0000FC7C0000}"/>
    <cellStyle name="Positive 3 2 6 2 5" xfId="31984" xr:uid="{00000000-0005-0000-0000-0000FD7C0000}"/>
    <cellStyle name="Positive 3 2 6 2 5 2" xfId="31985" xr:uid="{00000000-0005-0000-0000-0000FE7C0000}"/>
    <cellStyle name="Positive 3 2 6 2 6" xfId="31986" xr:uid="{00000000-0005-0000-0000-0000FF7C0000}"/>
    <cellStyle name="Positive 3 2 6 2 6 2" xfId="31987" xr:uid="{00000000-0005-0000-0000-0000007D0000}"/>
    <cellStyle name="Positive 3 2 6 2 7" xfId="31988" xr:uid="{00000000-0005-0000-0000-0000017D0000}"/>
    <cellStyle name="Positive 3 2 6 2 7 2" xfId="31989" xr:uid="{00000000-0005-0000-0000-0000027D0000}"/>
    <cellStyle name="Positive 3 2 6 2 8" xfId="31990" xr:uid="{00000000-0005-0000-0000-0000037D0000}"/>
    <cellStyle name="Positive 3 2 6 2 8 2" xfId="31991" xr:uid="{00000000-0005-0000-0000-0000047D0000}"/>
    <cellStyle name="Positive 3 2 6 2 9" xfId="31992" xr:uid="{00000000-0005-0000-0000-0000057D0000}"/>
    <cellStyle name="Positive 3 2 6 2 9 2" xfId="31993" xr:uid="{00000000-0005-0000-0000-0000067D0000}"/>
    <cellStyle name="Positive 3 2 6 20" xfId="31994" xr:uid="{00000000-0005-0000-0000-0000077D0000}"/>
    <cellStyle name="Positive 3 2 6 20 2" xfId="31995" xr:uid="{00000000-0005-0000-0000-0000087D0000}"/>
    <cellStyle name="Positive 3 2 6 21" xfId="31996" xr:uid="{00000000-0005-0000-0000-0000097D0000}"/>
    <cellStyle name="Positive 3 2 6 21 2" xfId="31997" xr:uid="{00000000-0005-0000-0000-00000A7D0000}"/>
    <cellStyle name="Positive 3 2 6 22" xfId="31998" xr:uid="{00000000-0005-0000-0000-00000B7D0000}"/>
    <cellStyle name="Positive 3 2 6 22 2" xfId="31999" xr:uid="{00000000-0005-0000-0000-00000C7D0000}"/>
    <cellStyle name="Positive 3 2 6 23" xfId="32000" xr:uid="{00000000-0005-0000-0000-00000D7D0000}"/>
    <cellStyle name="Positive 3 2 6 3" xfId="32001" xr:uid="{00000000-0005-0000-0000-00000E7D0000}"/>
    <cellStyle name="Positive 3 2 6 3 10" xfId="32002" xr:uid="{00000000-0005-0000-0000-00000F7D0000}"/>
    <cellStyle name="Positive 3 2 6 3 10 2" xfId="32003" xr:uid="{00000000-0005-0000-0000-0000107D0000}"/>
    <cellStyle name="Positive 3 2 6 3 11" xfId="32004" xr:uid="{00000000-0005-0000-0000-0000117D0000}"/>
    <cellStyle name="Positive 3 2 6 3 11 2" xfId="32005" xr:uid="{00000000-0005-0000-0000-0000127D0000}"/>
    <cellStyle name="Positive 3 2 6 3 12" xfId="32006" xr:uid="{00000000-0005-0000-0000-0000137D0000}"/>
    <cellStyle name="Positive 3 2 6 3 12 2" xfId="32007" xr:uid="{00000000-0005-0000-0000-0000147D0000}"/>
    <cellStyle name="Positive 3 2 6 3 13" xfId="32008" xr:uid="{00000000-0005-0000-0000-0000157D0000}"/>
    <cellStyle name="Positive 3 2 6 3 13 2" xfId="32009" xr:uid="{00000000-0005-0000-0000-0000167D0000}"/>
    <cellStyle name="Positive 3 2 6 3 14" xfId="32010" xr:uid="{00000000-0005-0000-0000-0000177D0000}"/>
    <cellStyle name="Positive 3 2 6 3 14 2" xfId="32011" xr:uid="{00000000-0005-0000-0000-0000187D0000}"/>
    <cellStyle name="Positive 3 2 6 3 15" xfId="32012" xr:uid="{00000000-0005-0000-0000-0000197D0000}"/>
    <cellStyle name="Positive 3 2 6 3 15 2" xfId="32013" xr:uid="{00000000-0005-0000-0000-00001A7D0000}"/>
    <cellStyle name="Positive 3 2 6 3 16" xfId="32014" xr:uid="{00000000-0005-0000-0000-00001B7D0000}"/>
    <cellStyle name="Positive 3 2 6 3 16 2" xfId="32015" xr:uid="{00000000-0005-0000-0000-00001C7D0000}"/>
    <cellStyle name="Positive 3 2 6 3 17" xfId="32016" xr:uid="{00000000-0005-0000-0000-00001D7D0000}"/>
    <cellStyle name="Positive 3 2 6 3 17 2" xfId="32017" xr:uid="{00000000-0005-0000-0000-00001E7D0000}"/>
    <cellStyle name="Positive 3 2 6 3 18" xfId="32018" xr:uid="{00000000-0005-0000-0000-00001F7D0000}"/>
    <cellStyle name="Positive 3 2 6 3 18 2" xfId="32019" xr:uid="{00000000-0005-0000-0000-0000207D0000}"/>
    <cellStyle name="Positive 3 2 6 3 19" xfId="32020" xr:uid="{00000000-0005-0000-0000-0000217D0000}"/>
    <cellStyle name="Positive 3 2 6 3 19 2" xfId="32021" xr:uid="{00000000-0005-0000-0000-0000227D0000}"/>
    <cellStyle name="Positive 3 2 6 3 2" xfId="32022" xr:uid="{00000000-0005-0000-0000-0000237D0000}"/>
    <cellStyle name="Positive 3 2 6 3 2 10" xfId="32023" xr:uid="{00000000-0005-0000-0000-0000247D0000}"/>
    <cellStyle name="Positive 3 2 6 3 2 10 2" xfId="32024" xr:uid="{00000000-0005-0000-0000-0000257D0000}"/>
    <cellStyle name="Positive 3 2 6 3 2 11" xfId="32025" xr:uid="{00000000-0005-0000-0000-0000267D0000}"/>
    <cellStyle name="Positive 3 2 6 3 2 11 2" xfId="32026" xr:uid="{00000000-0005-0000-0000-0000277D0000}"/>
    <cellStyle name="Positive 3 2 6 3 2 12" xfId="32027" xr:uid="{00000000-0005-0000-0000-0000287D0000}"/>
    <cellStyle name="Positive 3 2 6 3 2 12 2" xfId="32028" xr:uid="{00000000-0005-0000-0000-0000297D0000}"/>
    <cellStyle name="Positive 3 2 6 3 2 13" xfId="32029" xr:uid="{00000000-0005-0000-0000-00002A7D0000}"/>
    <cellStyle name="Positive 3 2 6 3 2 13 2" xfId="32030" xr:uid="{00000000-0005-0000-0000-00002B7D0000}"/>
    <cellStyle name="Positive 3 2 6 3 2 14" xfId="32031" xr:uid="{00000000-0005-0000-0000-00002C7D0000}"/>
    <cellStyle name="Positive 3 2 6 3 2 14 2" xfId="32032" xr:uid="{00000000-0005-0000-0000-00002D7D0000}"/>
    <cellStyle name="Positive 3 2 6 3 2 15" xfId="32033" xr:uid="{00000000-0005-0000-0000-00002E7D0000}"/>
    <cellStyle name="Positive 3 2 6 3 2 15 2" xfId="32034" xr:uid="{00000000-0005-0000-0000-00002F7D0000}"/>
    <cellStyle name="Positive 3 2 6 3 2 16" xfId="32035" xr:uid="{00000000-0005-0000-0000-0000307D0000}"/>
    <cellStyle name="Positive 3 2 6 3 2 16 2" xfId="32036" xr:uid="{00000000-0005-0000-0000-0000317D0000}"/>
    <cellStyle name="Positive 3 2 6 3 2 17" xfId="32037" xr:uid="{00000000-0005-0000-0000-0000327D0000}"/>
    <cellStyle name="Positive 3 2 6 3 2 2" xfId="32038" xr:uid="{00000000-0005-0000-0000-0000337D0000}"/>
    <cellStyle name="Positive 3 2 6 3 2 2 2" xfId="32039" xr:uid="{00000000-0005-0000-0000-0000347D0000}"/>
    <cellStyle name="Positive 3 2 6 3 2 3" xfId="32040" xr:uid="{00000000-0005-0000-0000-0000357D0000}"/>
    <cellStyle name="Positive 3 2 6 3 2 3 2" xfId="32041" xr:uid="{00000000-0005-0000-0000-0000367D0000}"/>
    <cellStyle name="Positive 3 2 6 3 2 4" xfId="32042" xr:uid="{00000000-0005-0000-0000-0000377D0000}"/>
    <cellStyle name="Positive 3 2 6 3 2 4 2" xfId="32043" xr:uid="{00000000-0005-0000-0000-0000387D0000}"/>
    <cellStyle name="Positive 3 2 6 3 2 5" xfId="32044" xr:uid="{00000000-0005-0000-0000-0000397D0000}"/>
    <cellStyle name="Positive 3 2 6 3 2 5 2" xfId="32045" xr:uid="{00000000-0005-0000-0000-00003A7D0000}"/>
    <cellStyle name="Positive 3 2 6 3 2 6" xfId="32046" xr:uid="{00000000-0005-0000-0000-00003B7D0000}"/>
    <cellStyle name="Positive 3 2 6 3 2 6 2" xfId="32047" xr:uid="{00000000-0005-0000-0000-00003C7D0000}"/>
    <cellStyle name="Positive 3 2 6 3 2 7" xfId="32048" xr:uid="{00000000-0005-0000-0000-00003D7D0000}"/>
    <cellStyle name="Positive 3 2 6 3 2 7 2" xfId="32049" xr:uid="{00000000-0005-0000-0000-00003E7D0000}"/>
    <cellStyle name="Positive 3 2 6 3 2 8" xfId="32050" xr:uid="{00000000-0005-0000-0000-00003F7D0000}"/>
    <cellStyle name="Positive 3 2 6 3 2 8 2" xfId="32051" xr:uid="{00000000-0005-0000-0000-0000407D0000}"/>
    <cellStyle name="Positive 3 2 6 3 2 9" xfId="32052" xr:uid="{00000000-0005-0000-0000-0000417D0000}"/>
    <cellStyle name="Positive 3 2 6 3 2 9 2" xfId="32053" xr:uid="{00000000-0005-0000-0000-0000427D0000}"/>
    <cellStyle name="Positive 3 2 6 3 20" xfId="32054" xr:uid="{00000000-0005-0000-0000-0000437D0000}"/>
    <cellStyle name="Positive 3 2 6 3 3" xfId="32055" xr:uid="{00000000-0005-0000-0000-0000447D0000}"/>
    <cellStyle name="Positive 3 2 6 3 3 2" xfId="32056" xr:uid="{00000000-0005-0000-0000-0000457D0000}"/>
    <cellStyle name="Positive 3 2 6 3 3 2 2" xfId="32057" xr:uid="{00000000-0005-0000-0000-0000467D0000}"/>
    <cellStyle name="Positive 3 2 6 3 3 3" xfId="32058" xr:uid="{00000000-0005-0000-0000-0000477D0000}"/>
    <cellStyle name="Positive 3 2 6 3 4" xfId="32059" xr:uid="{00000000-0005-0000-0000-0000487D0000}"/>
    <cellStyle name="Positive 3 2 6 3 4 2" xfId="32060" xr:uid="{00000000-0005-0000-0000-0000497D0000}"/>
    <cellStyle name="Positive 3 2 6 3 4 2 2" xfId="32061" xr:uid="{00000000-0005-0000-0000-00004A7D0000}"/>
    <cellStyle name="Positive 3 2 6 3 4 3" xfId="32062" xr:uid="{00000000-0005-0000-0000-00004B7D0000}"/>
    <cellStyle name="Positive 3 2 6 3 5" xfId="32063" xr:uid="{00000000-0005-0000-0000-00004C7D0000}"/>
    <cellStyle name="Positive 3 2 6 3 5 2" xfId="32064" xr:uid="{00000000-0005-0000-0000-00004D7D0000}"/>
    <cellStyle name="Positive 3 2 6 3 6" xfId="32065" xr:uid="{00000000-0005-0000-0000-00004E7D0000}"/>
    <cellStyle name="Positive 3 2 6 3 6 2" xfId="32066" xr:uid="{00000000-0005-0000-0000-00004F7D0000}"/>
    <cellStyle name="Positive 3 2 6 3 7" xfId="32067" xr:uid="{00000000-0005-0000-0000-0000507D0000}"/>
    <cellStyle name="Positive 3 2 6 3 7 2" xfId="32068" xr:uid="{00000000-0005-0000-0000-0000517D0000}"/>
    <cellStyle name="Positive 3 2 6 3 8" xfId="32069" xr:uid="{00000000-0005-0000-0000-0000527D0000}"/>
    <cellStyle name="Positive 3 2 6 3 8 2" xfId="32070" xr:uid="{00000000-0005-0000-0000-0000537D0000}"/>
    <cellStyle name="Positive 3 2 6 3 9" xfId="32071" xr:uid="{00000000-0005-0000-0000-0000547D0000}"/>
    <cellStyle name="Positive 3 2 6 3 9 2" xfId="32072" xr:uid="{00000000-0005-0000-0000-0000557D0000}"/>
    <cellStyle name="Positive 3 2 6 4" xfId="32073" xr:uid="{00000000-0005-0000-0000-0000567D0000}"/>
    <cellStyle name="Positive 3 2 6 4 10" xfId="32074" xr:uid="{00000000-0005-0000-0000-0000577D0000}"/>
    <cellStyle name="Positive 3 2 6 4 10 2" xfId="32075" xr:uid="{00000000-0005-0000-0000-0000587D0000}"/>
    <cellStyle name="Positive 3 2 6 4 11" xfId="32076" xr:uid="{00000000-0005-0000-0000-0000597D0000}"/>
    <cellStyle name="Positive 3 2 6 4 11 2" xfId="32077" xr:uid="{00000000-0005-0000-0000-00005A7D0000}"/>
    <cellStyle name="Positive 3 2 6 4 12" xfId="32078" xr:uid="{00000000-0005-0000-0000-00005B7D0000}"/>
    <cellStyle name="Positive 3 2 6 4 12 2" xfId="32079" xr:uid="{00000000-0005-0000-0000-00005C7D0000}"/>
    <cellStyle name="Positive 3 2 6 4 13" xfId="32080" xr:uid="{00000000-0005-0000-0000-00005D7D0000}"/>
    <cellStyle name="Positive 3 2 6 4 13 2" xfId="32081" xr:uid="{00000000-0005-0000-0000-00005E7D0000}"/>
    <cellStyle name="Positive 3 2 6 4 14" xfId="32082" xr:uid="{00000000-0005-0000-0000-00005F7D0000}"/>
    <cellStyle name="Positive 3 2 6 4 14 2" xfId="32083" xr:uid="{00000000-0005-0000-0000-0000607D0000}"/>
    <cellStyle name="Positive 3 2 6 4 15" xfId="32084" xr:uid="{00000000-0005-0000-0000-0000617D0000}"/>
    <cellStyle name="Positive 3 2 6 4 15 2" xfId="32085" xr:uid="{00000000-0005-0000-0000-0000627D0000}"/>
    <cellStyle name="Positive 3 2 6 4 16" xfId="32086" xr:uid="{00000000-0005-0000-0000-0000637D0000}"/>
    <cellStyle name="Positive 3 2 6 4 16 2" xfId="32087" xr:uid="{00000000-0005-0000-0000-0000647D0000}"/>
    <cellStyle name="Positive 3 2 6 4 17" xfId="32088" xr:uid="{00000000-0005-0000-0000-0000657D0000}"/>
    <cellStyle name="Positive 3 2 6 4 17 2" xfId="32089" xr:uid="{00000000-0005-0000-0000-0000667D0000}"/>
    <cellStyle name="Positive 3 2 6 4 18" xfId="32090" xr:uid="{00000000-0005-0000-0000-0000677D0000}"/>
    <cellStyle name="Positive 3 2 6 4 18 2" xfId="32091" xr:uid="{00000000-0005-0000-0000-0000687D0000}"/>
    <cellStyle name="Positive 3 2 6 4 19" xfId="32092" xr:uid="{00000000-0005-0000-0000-0000697D0000}"/>
    <cellStyle name="Positive 3 2 6 4 19 2" xfId="32093" xr:uid="{00000000-0005-0000-0000-00006A7D0000}"/>
    <cellStyle name="Positive 3 2 6 4 2" xfId="32094" xr:uid="{00000000-0005-0000-0000-00006B7D0000}"/>
    <cellStyle name="Positive 3 2 6 4 2 10" xfId="32095" xr:uid="{00000000-0005-0000-0000-00006C7D0000}"/>
    <cellStyle name="Positive 3 2 6 4 2 10 2" xfId="32096" xr:uid="{00000000-0005-0000-0000-00006D7D0000}"/>
    <cellStyle name="Positive 3 2 6 4 2 11" xfId="32097" xr:uid="{00000000-0005-0000-0000-00006E7D0000}"/>
    <cellStyle name="Positive 3 2 6 4 2 11 2" xfId="32098" xr:uid="{00000000-0005-0000-0000-00006F7D0000}"/>
    <cellStyle name="Positive 3 2 6 4 2 12" xfId="32099" xr:uid="{00000000-0005-0000-0000-0000707D0000}"/>
    <cellStyle name="Positive 3 2 6 4 2 12 2" xfId="32100" xr:uid="{00000000-0005-0000-0000-0000717D0000}"/>
    <cellStyle name="Positive 3 2 6 4 2 13" xfId="32101" xr:uid="{00000000-0005-0000-0000-0000727D0000}"/>
    <cellStyle name="Positive 3 2 6 4 2 13 2" xfId="32102" xr:uid="{00000000-0005-0000-0000-0000737D0000}"/>
    <cellStyle name="Positive 3 2 6 4 2 14" xfId="32103" xr:uid="{00000000-0005-0000-0000-0000747D0000}"/>
    <cellStyle name="Positive 3 2 6 4 2 14 2" xfId="32104" xr:uid="{00000000-0005-0000-0000-0000757D0000}"/>
    <cellStyle name="Positive 3 2 6 4 2 15" xfId="32105" xr:uid="{00000000-0005-0000-0000-0000767D0000}"/>
    <cellStyle name="Positive 3 2 6 4 2 15 2" xfId="32106" xr:uid="{00000000-0005-0000-0000-0000777D0000}"/>
    <cellStyle name="Positive 3 2 6 4 2 16" xfId="32107" xr:uid="{00000000-0005-0000-0000-0000787D0000}"/>
    <cellStyle name="Positive 3 2 6 4 2 16 2" xfId="32108" xr:uid="{00000000-0005-0000-0000-0000797D0000}"/>
    <cellStyle name="Positive 3 2 6 4 2 17" xfId="32109" xr:uid="{00000000-0005-0000-0000-00007A7D0000}"/>
    <cellStyle name="Positive 3 2 6 4 2 2" xfId="32110" xr:uid="{00000000-0005-0000-0000-00007B7D0000}"/>
    <cellStyle name="Positive 3 2 6 4 2 2 2" xfId="32111" xr:uid="{00000000-0005-0000-0000-00007C7D0000}"/>
    <cellStyle name="Positive 3 2 6 4 2 3" xfId="32112" xr:uid="{00000000-0005-0000-0000-00007D7D0000}"/>
    <cellStyle name="Positive 3 2 6 4 2 3 2" xfId="32113" xr:uid="{00000000-0005-0000-0000-00007E7D0000}"/>
    <cellStyle name="Positive 3 2 6 4 2 4" xfId="32114" xr:uid="{00000000-0005-0000-0000-00007F7D0000}"/>
    <cellStyle name="Positive 3 2 6 4 2 4 2" xfId="32115" xr:uid="{00000000-0005-0000-0000-0000807D0000}"/>
    <cellStyle name="Positive 3 2 6 4 2 5" xfId="32116" xr:uid="{00000000-0005-0000-0000-0000817D0000}"/>
    <cellStyle name="Positive 3 2 6 4 2 5 2" xfId="32117" xr:uid="{00000000-0005-0000-0000-0000827D0000}"/>
    <cellStyle name="Positive 3 2 6 4 2 6" xfId="32118" xr:uid="{00000000-0005-0000-0000-0000837D0000}"/>
    <cellStyle name="Positive 3 2 6 4 2 6 2" xfId="32119" xr:uid="{00000000-0005-0000-0000-0000847D0000}"/>
    <cellStyle name="Positive 3 2 6 4 2 7" xfId="32120" xr:uid="{00000000-0005-0000-0000-0000857D0000}"/>
    <cellStyle name="Positive 3 2 6 4 2 7 2" xfId="32121" xr:uid="{00000000-0005-0000-0000-0000867D0000}"/>
    <cellStyle name="Positive 3 2 6 4 2 8" xfId="32122" xr:uid="{00000000-0005-0000-0000-0000877D0000}"/>
    <cellStyle name="Positive 3 2 6 4 2 8 2" xfId="32123" xr:uid="{00000000-0005-0000-0000-0000887D0000}"/>
    <cellStyle name="Positive 3 2 6 4 2 9" xfId="32124" xr:uid="{00000000-0005-0000-0000-0000897D0000}"/>
    <cellStyle name="Positive 3 2 6 4 2 9 2" xfId="32125" xr:uid="{00000000-0005-0000-0000-00008A7D0000}"/>
    <cellStyle name="Positive 3 2 6 4 20" xfId="32126" xr:uid="{00000000-0005-0000-0000-00008B7D0000}"/>
    <cellStyle name="Positive 3 2 6 4 3" xfId="32127" xr:uid="{00000000-0005-0000-0000-00008C7D0000}"/>
    <cellStyle name="Positive 3 2 6 4 3 2" xfId="32128" xr:uid="{00000000-0005-0000-0000-00008D7D0000}"/>
    <cellStyle name="Positive 3 2 6 4 3 2 2" xfId="32129" xr:uid="{00000000-0005-0000-0000-00008E7D0000}"/>
    <cellStyle name="Positive 3 2 6 4 3 3" xfId="32130" xr:uid="{00000000-0005-0000-0000-00008F7D0000}"/>
    <cellStyle name="Positive 3 2 6 4 4" xfId="32131" xr:uid="{00000000-0005-0000-0000-0000907D0000}"/>
    <cellStyle name="Positive 3 2 6 4 4 2" xfId="32132" xr:uid="{00000000-0005-0000-0000-0000917D0000}"/>
    <cellStyle name="Positive 3 2 6 4 4 2 2" xfId="32133" xr:uid="{00000000-0005-0000-0000-0000927D0000}"/>
    <cellStyle name="Positive 3 2 6 4 4 3" xfId="32134" xr:uid="{00000000-0005-0000-0000-0000937D0000}"/>
    <cellStyle name="Positive 3 2 6 4 5" xfId="32135" xr:uid="{00000000-0005-0000-0000-0000947D0000}"/>
    <cellStyle name="Positive 3 2 6 4 5 2" xfId="32136" xr:uid="{00000000-0005-0000-0000-0000957D0000}"/>
    <cellStyle name="Positive 3 2 6 4 6" xfId="32137" xr:uid="{00000000-0005-0000-0000-0000967D0000}"/>
    <cellStyle name="Positive 3 2 6 4 6 2" xfId="32138" xr:uid="{00000000-0005-0000-0000-0000977D0000}"/>
    <cellStyle name="Positive 3 2 6 4 7" xfId="32139" xr:uid="{00000000-0005-0000-0000-0000987D0000}"/>
    <cellStyle name="Positive 3 2 6 4 7 2" xfId="32140" xr:uid="{00000000-0005-0000-0000-0000997D0000}"/>
    <cellStyle name="Positive 3 2 6 4 8" xfId="32141" xr:uid="{00000000-0005-0000-0000-00009A7D0000}"/>
    <cellStyle name="Positive 3 2 6 4 8 2" xfId="32142" xr:uid="{00000000-0005-0000-0000-00009B7D0000}"/>
    <cellStyle name="Positive 3 2 6 4 9" xfId="32143" xr:uid="{00000000-0005-0000-0000-00009C7D0000}"/>
    <cellStyle name="Positive 3 2 6 4 9 2" xfId="32144" xr:uid="{00000000-0005-0000-0000-00009D7D0000}"/>
    <cellStyle name="Positive 3 2 6 5" xfId="32145" xr:uid="{00000000-0005-0000-0000-00009E7D0000}"/>
    <cellStyle name="Positive 3 2 6 5 10" xfId="32146" xr:uid="{00000000-0005-0000-0000-00009F7D0000}"/>
    <cellStyle name="Positive 3 2 6 5 10 2" xfId="32147" xr:uid="{00000000-0005-0000-0000-0000A07D0000}"/>
    <cellStyle name="Positive 3 2 6 5 11" xfId="32148" xr:uid="{00000000-0005-0000-0000-0000A17D0000}"/>
    <cellStyle name="Positive 3 2 6 5 11 2" xfId="32149" xr:uid="{00000000-0005-0000-0000-0000A27D0000}"/>
    <cellStyle name="Positive 3 2 6 5 12" xfId="32150" xr:uid="{00000000-0005-0000-0000-0000A37D0000}"/>
    <cellStyle name="Positive 3 2 6 5 12 2" xfId="32151" xr:uid="{00000000-0005-0000-0000-0000A47D0000}"/>
    <cellStyle name="Positive 3 2 6 5 13" xfId="32152" xr:uid="{00000000-0005-0000-0000-0000A57D0000}"/>
    <cellStyle name="Positive 3 2 6 5 13 2" xfId="32153" xr:uid="{00000000-0005-0000-0000-0000A67D0000}"/>
    <cellStyle name="Positive 3 2 6 5 14" xfId="32154" xr:uid="{00000000-0005-0000-0000-0000A77D0000}"/>
    <cellStyle name="Positive 3 2 6 5 14 2" xfId="32155" xr:uid="{00000000-0005-0000-0000-0000A87D0000}"/>
    <cellStyle name="Positive 3 2 6 5 15" xfId="32156" xr:uid="{00000000-0005-0000-0000-0000A97D0000}"/>
    <cellStyle name="Positive 3 2 6 5 15 2" xfId="32157" xr:uid="{00000000-0005-0000-0000-0000AA7D0000}"/>
    <cellStyle name="Positive 3 2 6 5 16" xfId="32158" xr:uid="{00000000-0005-0000-0000-0000AB7D0000}"/>
    <cellStyle name="Positive 3 2 6 5 16 2" xfId="32159" xr:uid="{00000000-0005-0000-0000-0000AC7D0000}"/>
    <cellStyle name="Positive 3 2 6 5 17" xfId="32160" xr:uid="{00000000-0005-0000-0000-0000AD7D0000}"/>
    <cellStyle name="Positive 3 2 6 5 2" xfId="32161" xr:uid="{00000000-0005-0000-0000-0000AE7D0000}"/>
    <cellStyle name="Positive 3 2 6 5 2 2" xfId="32162" xr:uid="{00000000-0005-0000-0000-0000AF7D0000}"/>
    <cellStyle name="Positive 3 2 6 5 3" xfId="32163" xr:uid="{00000000-0005-0000-0000-0000B07D0000}"/>
    <cellStyle name="Positive 3 2 6 5 3 2" xfId="32164" xr:uid="{00000000-0005-0000-0000-0000B17D0000}"/>
    <cellStyle name="Positive 3 2 6 5 4" xfId="32165" xr:uid="{00000000-0005-0000-0000-0000B27D0000}"/>
    <cellStyle name="Positive 3 2 6 5 4 2" xfId="32166" xr:uid="{00000000-0005-0000-0000-0000B37D0000}"/>
    <cellStyle name="Positive 3 2 6 5 5" xfId="32167" xr:uid="{00000000-0005-0000-0000-0000B47D0000}"/>
    <cellStyle name="Positive 3 2 6 5 5 2" xfId="32168" xr:uid="{00000000-0005-0000-0000-0000B57D0000}"/>
    <cellStyle name="Positive 3 2 6 5 6" xfId="32169" xr:uid="{00000000-0005-0000-0000-0000B67D0000}"/>
    <cellStyle name="Positive 3 2 6 5 6 2" xfId="32170" xr:uid="{00000000-0005-0000-0000-0000B77D0000}"/>
    <cellStyle name="Positive 3 2 6 5 7" xfId="32171" xr:uid="{00000000-0005-0000-0000-0000B87D0000}"/>
    <cellStyle name="Positive 3 2 6 5 7 2" xfId="32172" xr:uid="{00000000-0005-0000-0000-0000B97D0000}"/>
    <cellStyle name="Positive 3 2 6 5 8" xfId="32173" xr:uid="{00000000-0005-0000-0000-0000BA7D0000}"/>
    <cellStyle name="Positive 3 2 6 5 8 2" xfId="32174" xr:uid="{00000000-0005-0000-0000-0000BB7D0000}"/>
    <cellStyle name="Positive 3 2 6 5 9" xfId="32175" xr:uid="{00000000-0005-0000-0000-0000BC7D0000}"/>
    <cellStyle name="Positive 3 2 6 5 9 2" xfId="32176" xr:uid="{00000000-0005-0000-0000-0000BD7D0000}"/>
    <cellStyle name="Positive 3 2 6 6" xfId="32177" xr:uid="{00000000-0005-0000-0000-0000BE7D0000}"/>
    <cellStyle name="Positive 3 2 6 6 2" xfId="32178" xr:uid="{00000000-0005-0000-0000-0000BF7D0000}"/>
    <cellStyle name="Positive 3 2 6 6 2 2" xfId="32179" xr:uid="{00000000-0005-0000-0000-0000C07D0000}"/>
    <cellStyle name="Positive 3 2 6 6 3" xfId="32180" xr:uid="{00000000-0005-0000-0000-0000C17D0000}"/>
    <cellStyle name="Positive 3 2 6 7" xfId="32181" xr:uid="{00000000-0005-0000-0000-0000C27D0000}"/>
    <cellStyle name="Positive 3 2 6 7 2" xfId="32182" xr:uid="{00000000-0005-0000-0000-0000C37D0000}"/>
    <cellStyle name="Positive 3 2 6 7 2 2" xfId="32183" xr:uid="{00000000-0005-0000-0000-0000C47D0000}"/>
    <cellStyle name="Positive 3 2 6 7 3" xfId="32184" xr:uid="{00000000-0005-0000-0000-0000C57D0000}"/>
    <cellStyle name="Positive 3 2 6 8" xfId="32185" xr:uid="{00000000-0005-0000-0000-0000C67D0000}"/>
    <cellStyle name="Positive 3 2 6 8 2" xfId="32186" xr:uid="{00000000-0005-0000-0000-0000C77D0000}"/>
    <cellStyle name="Positive 3 2 6 9" xfId="32187" xr:uid="{00000000-0005-0000-0000-0000C87D0000}"/>
    <cellStyle name="Positive 3 2 6 9 2" xfId="32188" xr:uid="{00000000-0005-0000-0000-0000C97D0000}"/>
    <cellStyle name="Positive 3 2 7" xfId="32189" xr:uid="{00000000-0005-0000-0000-0000CA7D0000}"/>
    <cellStyle name="Positive 3 2 7 10" xfId="32190" xr:uid="{00000000-0005-0000-0000-0000CB7D0000}"/>
    <cellStyle name="Positive 3 2 7 10 2" xfId="32191" xr:uid="{00000000-0005-0000-0000-0000CC7D0000}"/>
    <cellStyle name="Positive 3 2 7 11" xfId="32192" xr:uid="{00000000-0005-0000-0000-0000CD7D0000}"/>
    <cellStyle name="Positive 3 2 7 11 2" xfId="32193" xr:uid="{00000000-0005-0000-0000-0000CE7D0000}"/>
    <cellStyle name="Positive 3 2 7 12" xfId="32194" xr:uid="{00000000-0005-0000-0000-0000CF7D0000}"/>
    <cellStyle name="Positive 3 2 7 12 2" xfId="32195" xr:uid="{00000000-0005-0000-0000-0000D07D0000}"/>
    <cellStyle name="Positive 3 2 7 13" xfId="32196" xr:uid="{00000000-0005-0000-0000-0000D17D0000}"/>
    <cellStyle name="Positive 3 2 7 13 2" xfId="32197" xr:uid="{00000000-0005-0000-0000-0000D27D0000}"/>
    <cellStyle name="Positive 3 2 7 14" xfId="32198" xr:uid="{00000000-0005-0000-0000-0000D37D0000}"/>
    <cellStyle name="Positive 3 2 7 14 2" xfId="32199" xr:uid="{00000000-0005-0000-0000-0000D47D0000}"/>
    <cellStyle name="Positive 3 2 7 15" xfId="32200" xr:uid="{00000000-0005-0000-0000-0000D57D0000}"/>
    <cellStyle name="Positive 3 2 7 15 2" xfId="32201" xr:uid="{00000000-0005-0000-0000-0000D67D0000}"/>
    <cellStyle name="Positive 3 2 7 16" xfId="32202" xr:uid="{00000000-0005-0000-0000-0000D77D0000}"/>
    <cellStyle name="Positive 3 2 7 16 2" xfId="32203" xr:uid="{00000000-0005-0000-0000-0000D87D0000}"/>
    <cellStyle name="Positive 3 2 7 17" xfId="32204" xr:uid="{00000000-0005-0000-0000-0000D97D0000}"/>
    <cellStyle name="Positive 3 2 7 17 2" xfId="32205" xr:uid="{00000000-0005-0000-0000-0000DA7D0000}"/>
    <cellStyle name="Positive 3 2 7 18" xfId="32206" xr:uid="{00000000-0005-0000-0000-0000DB7D0000}"/>
    <cellStyle name="Positive 3 2 7 18 2" xfId="32207" xr:uid="{00000000-0005-0000-0000-0000DC7D0000}"/>
    <cellStyle name="Positive 3 2 7 19" xfId="32208" xr:uid="{00000000-0005-0000-0000-0000DD7D0000}"/>
    <cellStyle name="Positive 3 2 7 19 2" xfId="32209" xr:uid="{00000000-0005-0000-0000-0000DE7D0000}"/>
    <cellStyle name="Positive 3 2 7 2" xfId="32210" xr:uid="{00000000-0005-0000-0000-0000DF7D0000}"/>
    <cellStyle name="Positive 3 2 7 2 10" xfId="32211" xr:uid="{00000000-0005-0000-0000-0000E07D0000}"/>
    <cellStyle name="Positive 3 2 7 2 10 2" xfId="32212" xr:uid="{00000000-0005-0000-0000-0000E17D0000}"/>
    <cellStyle name="Positive 3 2 7 2 11" xfId="32213" xr:uid="{00000000-0005-0000-0000-0000E27D0000}"/>
    <cellStyle name="Positive 3 2 7 2 11 2" xfId="32214" xr:uid="{00000000-0005-0000-0000-0000E37D0000}"/>
    <cellStyle name="Positive 3 2 7 2 12" xfId="32215" xr:uid="{00000000-0005-0000-0000-0000E47D0000}"/>
    <cellStyle name="Positive 3 2 7 2 12 2" xfId="32216" xr:uid="{00000000-0005-0000-0000-0000E57D0000}"/>
    <cellStyle name="Positive 3 2 7 2 13" xfId="32217" xr:uid="{00000000-0005-0000-0000-0000E67D0000}"/>
    <cellStyle name="Positive 3 2 7 2 13 2" xfId="32218" xr:uid="{00000000-0005-0000-0000-0000E77D0000}"/>
    <cellStyle name="Positive 3 2 7 2 14" xfId="32219" xr:uid="{00000000-0005-0000-0000-0000E87D0000}"/>
    <cellStyle name="Positive 3 2 7 2 14 2" xfId="32220" xr:uid="{00000000-0005-0000-0000-0000E97D0000}"/>
    <cellStyle name="Positive 3 2 7 2 15" xfId="32221" xr:uid="{00000000-0005-0000-0000-0000EA7D0000}"/>
    <cellStyle name="Positive 3 2 7 2 15 2" xfId="32222" xr:uid="{00000000-0005-0000-0000-0000EB7D0000}"/>
    <cellStyle name="Positive 3 2 7 2 16" xfId="32223" xr:uid="{00000000-0005-0000-0000-0000EC7D0000}"/>
    <cellStyle name="Positive 3 2 7 2 16 2" xfId="32224" xr:uid="{00000000-0005-0000-0000-0000ED7D0000}"/>
    <cellStyle name="Positive 3 2 7 2 17" xfId="32225" xr:uid="{00000000-0005-0000-0000-0000EE7D0000}"/>
    <cellStyle name="Positive 3 2 7 2 17 2" xfId="32226" xr:uid="{00000000-0005-0000-0000-0000EF7D0000}"/>
    <cellStyle name="Positive 3 2 7 2 18" xfId="32227" xr:uid="{00000000-0005-0000-0000-0000F07D0000}"/>
    <cellStyle name="Positive 3 2 7 2 18 2" xfId="32228" xr:uid="{00000000-0005-0000-0000-0000F17D0000}"/>
    <cellStyle name="Positive 3 2 7 2 19" xfId="32229" xr:uid="{00000000-0005-0000-0000-0000F27D0000}"/>
    <cellStyle name="Positive 3 2 7 2 19 2" xfId="32230" xr:uid="{00000000-0005-0000-0000-0000F37D0000}"/>
    <cellStyle name="Positive 3 2 7 2 2" xfId="32231" xr:uid="{00000000-0005-0000-0000-0000F47D0000}"/>
    <cellStyle name="Positive 3 2 7 2 2 10" xfId="32232" xr:uid="{00000000-0005-0000-0000-0000F57D0000}"/>
    <cellStyle name="Positive 3 2 7 2 2 10 2" xfId="32233" xr:uid="{00000000-0005-0000-0000-0000F67D0000}"/>
    <cellStyle name="Positive 3 2 7 2 2 11" xfId="32234" xr:uid="{00000000-0005-0000-0000-0000F77D0000}"/>
    <cellStyle name="Positive 3 2 7 2 2 11 2" xfId="32235" xr:uid="{00000000-0005-0000-0000-0000F87D0000}"/>
    <cellStyle name="Positive 3 2 7 2 2 12" xfId="32236" xr:uid="{00000000-0005-0000-0000-0000F97D0000}"/>
    <cellStyle name="Positive 3 2 7 2 2 12 2" xfId="32237" xr:uid="{00000000-0005-0000-0000-0000FA7D0000}"/>
    <cellStyle name="Positive 3 2 7 2 2 13" xfId="32238" xr:uid="{00000000-0005-0000-0000-0000FB7D0000}"/>
    <cellStyle name="Positive 3 2 7 2 2 13 2" xfId="32239" xr:uid="{00000000-0005-0000-0000-0000FC7D0000}"/>
    <cellStyle name="Positive 3 2 7 2 2 14" xfId="32240" xr:uid="{00000000-0005-0000-0000-0000FD7D0000}"/>
    <cellStyle name="Positive 3 2 7 2 2 14 2" xfId="32241" xr:uid="{00000000-0005-0000-0000-0000FE7D0000}"/>
    <cellStyle name="Positive 3 2 7 2 2 15" xfId="32242" xr:uid="{00000000-0005-0000-0000-0000FF7D0000}"/>
    <cellStyle name="Positive 3 2 7 2 2 15 2" xfId="32243" xr:uid="{00000000-0005-0000-0000-0000007E0000}"/>
    <cellStyle name="Positive 3 2 7 2 2 16" xfId="32244" xr:uid="{00000000-0005-0000-0000-0000017E0000}"/>
    <cellStyle name="Positive 3 2 7 2 2 16 2" xfId="32245" xr:uid="{00000000-0005-0000-0000-0000027E0000}"/>
    <cellStyle name="Positive 3 2 7 2 2 17" xfId="32246" xr:uid="{00000000-0005-0000-0000-0000037E0000}"/>
    <cellStyle name="Positive 3 2 7 2 2 2" xfId="32247" xr:uid="{00000000-0005-0000-0000-0000047E0000}"/>
    <cellStyle name="Positive 3 2 7 2 2 2 2" xfId="32248" xr:uid="{00000000-0005-0000-0000-0000057E0000}"/>
    <cellStyle name="Positive 3 2 7 2 2 3" xfId="32249" xr:uid="{00000000-0005-0000-0000-0000067E0000}"/>
    <cellStyle name="Positive 3 2 7 2 2 3 2" xfId="32250" xr:uid="{00000000-0005-0000-0000-0000077E0000}"/>
    <cellStyle name="Positive 3 2 7 2 2 4" xfId="32251" xr:uid="{00000000-0005-0000-0000-0000087E0000}"/>
    <cellStyle name="Positive 3 2 7 2 2 4 2" xfId="32252" xr:uid="{00000000-0005-0000-0000-0000097E0000}"/>
    <cellStyle name="Positive 3 2 7 2 2 5" xfId="32253" xr:uid="{00000000-0005-0000-0000-00000A7E0000}"/>
    <cellStyle name="Positive 3 2 7 2 2 5 2" xfId="32254" xr:uid="{00000000-0005-0000-0000-00000B7E0000}"/>
    <cellStyle name="Positive 3 2 7 2 2 6" xfId="32255" xr:uid="{00000000-0005-0000-0000-00000C7E0000}"/>
    <cellStyle name="Positive 3 2 7 2 2 6 2" xfId="32256" xr:uid="{00000000-0005-0000-0000-00000D7E0000}"/>
    <cellStyle name="Positive 3 2 7 2 2 7" xfId="32257" xr:uid="{00000000-0005-0000-0000-00000E7E0000}"/>
    <cellStyle name="Positive 3 2 7 2 2 7 2" xfId="32258" xr:uid="{00000000-0005-0000-0000-00000F7E0000}"/>
    <cellStyle name="Positive 3 2 7 2 2 8" xfId="32259" xr:uid="{00000000-0005-0000-0000-0000107E0000}"/>
    <cellStyle name="Positive 3 2 7 2 2 8 2" xfId="32260" xr:uid="{00000000-0005-0000-0000-0000117E0000}"/>
    <cellStyle name="Positive 3 2 7 2 2 9" xfId="32261" xr:uid="{00000000-0005-0000-0000-0000127E0000}"/>
    <cellStyle name="Positive 3 2 7 2 2 9 2" xfId="32262" xr:uid="{00000000-0005-0000-0000-0000137E0000}"/>
    <cellStyle name="Positive 3 2 7 2 20" xfId="32263" xr:uid="{00000000-0005-0000-0000-0000147E0000}"/>
    <cellStyle name="Positive 3 2 7 2 3" xfId="32264" xr:uid="{00000000-0005-0000-0000-0000157E0000}"/>
    <cellStyle name="Positive 3 2 7 2 3 2" xfId="32265" xr:uid="{00000000-0005-0000-0000-0000167E0000}"/>
    <cellStyle name="Positive 3 2 7 2 3 2 2" xfId="32266" xr:uid="{00000000-0005-0000-0000-0000177E0000}"/>
    <cellStyle name="Positive 3 2 7 2 3 3" xfId="32267" xr:uid="{00000000-0005-0000-0000-0000187E0000}"/>
    <cellStyle name="Positive 3 2 7 2 4" xfId="32268" xr:uid="{00000000-0005-0000-0000-0000197E0000}"/>
    <cellStyle name="Positive 3 2 7 2 4 2" xfId="32269" xr:uid="{00000000-0005-0000-0000-00001A7E0000}"/>
    <cellStyle name="Positive 3 2 7 2 4 2 2" xfId="32270" xr:uid="{00000000-0005-0000-0000-00001B7E0000}"/>
    <cellStyle name="Positive 3 2 7 2 4 3" xfId="32271" xr:uid="{00000000-0005-0000-0000-00001C7E0000}"/>
    <cellStyle name="Positive 3 2 7 2 5" xfId="32272" xr:uid="{00000000-0005-0000-0000-00001D7E0000}"/>
    <cellStyle name="Positive 3 2 7 2 5 2" xfId="32273" xr:uid="{00000000-0005-0000-0000-00001E7E0000}"/>
    <cellStyle name="Positive 3 2 7 2 6" xfId="32274" xr:uid="{00000000-0005-0000-0000-00001F7E0000}"/>
    <cellStyle name="Positive 3 2 7 2 6 2" xfId="32275" xr:uid="{00000000-0005-0000-0000-0000207E0000}"/>
    <cellStyle name="Positive 3 2 7 2 7" xfId="32276" xr:uid="{00000000-0005-0000-0000-0000217E0000}"/>
    <cellStyle name="Positive 3 2 7 2 7 2" xfId="32277" xr:uid="{00000000-0005-0000-0000-0000227E0000}"/>
    <cellStyle name="Positive 3 2 7 2 8" xfId="32278" xr:uid="{00000000-0005-0000-0000-0000237E0000}"/>
    <cellStyle name="Positive 3 2 7 2 8 2" xfId="32279" xr:uid="{00000000-0005-0000-0000-0000247E0000}"/>
    <cellStyle name="Positive 3 2 7 2 9" xfId="32280" xr:uid="{00000000-0005-0000-0000-0000257E0000}"/>
    <cellStyle name="Positive 3 2 7 2 9 2" xfId="32281" xr:uid="{00000000-0005-0000-0000-0000267E0000}"/>
    <cellStyle name="Positive 3 2 7 20" xfId="32282" xr:uid="{00000000-0005-0000-0000-0000277E0000}"/>
    <cellStyle name="Positive 3 2 7 20 2" xfId="32283" xr:uid="{00000000-0005-0000-0000-0000287E0000}"/>
    <cellStyle name="Positive 3 2 7 21" xfId="32284" xr:uid="{00000000-0005-0000-0000-0000297E0000}"/>
    <cellStyle name="Positive 3 2 7 21 2" xfId="32285" xr:uid="{00000000-0005-0000-0000-00002A7E0000}"/>
    <cellStyle name="Positive 3 2 7 22" xfId="32286" xr:uid="{00000000-0005-0000-0000-00002B7E0000}"/>
    <cellStyle name="Positive 3 2 7 22 2" xfId="32287" xr:uid="{00000000-0005-0000-0000-00002C7E0000}"/>
    <cellStyle name="Positive 3 2 7 23" xfId="32288" xr:uid="{00000000-0005-0000-0000-00002D7E0000}"/>
    <cellStyle name="Positive 3 2 7 3" xfId="32289" xr:uid="{00000000-0005-0000-0000-00002E7E0000}"/>
    <cellStyle name="Positive 3 2 7 3 10" xfId="32290" xr:uid="{00000000-0005-0000-0000-00002F7E0000}"/>
    <cellStyle name="Positive 3 2 7 3 10 2" xfId="32291" xr:uid="{00000000-0005-0000-0000-0000307E0000}"/>
    <cellStyle name="Positive 3 2 7 3 11" xfId="32292" xr:uid="{00000000-0005-0000-0000-0000317E0000}"/>
    <cellStyle name="Positive 3 2 7 3 11 2" xfId="32293" xr:uid="{00000000-0005-0000-0000-0000327E0000}"/>
    <cellStyle name="Positive 3 2 7 3 12" xfId="32294" xr:uid="{00000000-0005-0000-0000-0000337E0000}"/>
    <cellStyle name="Positive 3 2 7 3 12 2" xfId="32295" xr:uid="{00000000-0005-0000-0000-0000347E0000}"/>
    <cellStyle name="Positive 3 2 7 3 13" xfId="32296" xr:uid="{00000000-0005-0000-0000-0000357E0000}"/>
    <cellStyle name="Positive 3 2 7 3 13 2" xfId="32297" xr:uid="{00000000-0005-0000-0000-0000367E0000}"/>
    <cellStyle name="Positive 3 2 7 3 14" xfId="32298" xr:uid="{00000000-0005-0000-0000-0000377E0000}"/>
    <cellStyle name="Positive 3 2 7 3 14 2" xfId="32299" xr:uid="{00000000-0005-0000-0000-0000387E0000}"/>
    <cellStyle name="Positive 3 2 7 3 15" xfId="32300" xr:uid="{00000000-0005-0000-0000-0000397E0000}"/>
    <cellStyle name="Positive 3 2 7 3 15 2" xfId="32301" xr:uid="{00000000-0005-0000-0000-00003A7E0000}"/>
    <cellStyle name="Positive 3 2 7 3 16" xfId="32302" xr:uid="{00000000-0005-0000-0000-00003B7E0000}"/>
    <cellStyle name="Positive 3 2 7 3 16 2" xfId="32303" xr:uid="{00000000-0005-0000-0000-00003C7E0000}"/>
    <cellStyle name="Positive 3 2 7 3 17" xfId="32304" xr:uid="{00000000-0005-0000-0000-00003D7E0000}"/>
    <cellStyle name="Positive 3 2 7 3 17 2" xfId="32305" xr:uid="{00000000-0005-0000-0000-00003E7E0000}"/>
    <cellStyle name="Positive 3 2 7 3 18" xfId="32306" xr:uid="{00000000-0005-0000-0000-00003F7E0000}"/>
    <cellStyle name="Positive 3 2 7 3 18 2" xfId="32307" xr:uid="{00000000-0005-0000-0000-0000407E0000}"/>
    <cellStyle name="Positive 3 2 7 3 19" xfId="32308" xr:uid="{00000000-0005-0000-0000-0000417E0000}"/>
    <cellStyle name="Positive 3 2 7 3 19 2" xfId="32309" xr:uid="{00000000-0005-0000-0000-0000427E0000}"/>
    <cellStyle name="Positive 3 2 7 3 2" xfId="32310" xr:uid="{00000000-0005-0000-0000-0000437E0000}"/>
    <cellStyle name="Positive 3 2 7 3 2 10" xfId="32311" xr:uid="{00000000-0005-0000-0000-0000447E0000}"/>
    <cellStyle name="Positive 3 2 7 3 2 10 2" xfId="32312" xr:uid="{00000000-0005-0000-0000-0000457E0000}"/>
    <cellStyle name="Positive 3 2 7 3 2 11" xfId="32313" xr:uid="{00000000-0005-0000-0000-0000467E0000}"/>
    <cellStyle name="Positive 3 2 7 3 2 11 2" xfId="32314" xr:uid="{00000000-0005-0000-0000-0000477E0000}"/>
    <cellStyle name="Positive 3 2 7 3 2 12" xfId="32315" xr:uid="{00000000-0005-0000-0000-0000487E0000}"/>
    <cellStyle name="Positive 3 2 7 3 2 12 2" xfId="32316" xr:uid="{00000000-0005-0000-0000-0000497E0000}"/>
    <cellStyle name="Positive 3 2 7 3 2 13" xfId="32317" xr:uid="{00000000-0005-0000-0000-00004A7E0000}"/>
    <cellStyle name="Positive 3 2 7 3 2 13 2" xfId="32318" xr:uid="{00000000-0005-0000-0000-00004B7E0000}"/>
    <cellStyle name="Positive 3 2 7 3 2 14" xfId="32319" xr:uid="{00000000-0005-0000-0000-00004C7E0000}"/>
    <cellStyle name="Positive 3 2 7 3 2 14 2" xfId="32320" xr:uid="{00000000-0005-0000-0000-00004D7E0000}"/>
    <cellStyle name="Positive 3 2 7 3 2 15" xfId="32321" xr:uid="{00000000-0005-0000-0000-00004E7E0000}"/>
    <cellStyle name="Positive 3 2 7 3 2 15 2" xfId="32322" xr:uid="{00000000-0005-0000-0000-00004F7E0000}"/>
    <cellStyle name="Positive 3 2 7 3 2 16" xfId="32323" xr:uid="{00000000-0005-0000-0000-0000507E0000}"/>
    <cellStyle name="Positive 3 2 7 3 2 16 2" xfId="32324" xr:uid="{00000000-0005-0000-0000-0000517E0000}"/>
    <cellStyle name="Positive 3 2 7 3 2 17" xfId="32325" xr:uid="{00000000-0005-0000-0000-0000527E0000}"/>
    <cellStyle name="Positive 3 2 7 3 2 2" xfId="32326" xr:uid="{00000000-0005-0000-0000-0000537E0000}"/>
    <cellStyle name="Positive 3 2 7 3 2 2 2" xfId="32327" xr:uid="{00000000-0005-0000-0000-0000547E0000}"/>
    <cellStyle name="Positive 3 2 7 3 2 3" xfId="32328" xr:uid="{00000000-0005-0000-0000-0000557E0000}"/>
    <cellStyle name="Positive 3 2 7 3 2 3 2" xfId="32329" xr:uid="{00000000-0005-0000-0000-0000567E0000}"/>
    <cellStyle name="Positive 3 2 7 3 2 4" xfId="32330" xr:uid="{00000000-0005-0000-0000-0000577E0000}"/>
    <cellStyle name="Positive 3 2 7 3 2 4 2" xfId="32331" xr:uid="{00000000-0005-0000-0000-0000587E0000}"/>
    <cellStyle name="Positive 3 2 7 3 2 5" xfId="32332" xr:uid="{00000000-0005-0000-0000-0000597E0000}"/>
    <cellStyle name="Positive 3 2 7 3 2 5 2" xfId="32333" xr:uid="{00000000-0005-0000-0000-00005A7E0000}"/>
    <cellStyle name="Positive 3 2 7 3 2 6" xfId="32334" xr:uid="{00000000-0005-0000-0000-00005B7E0000}"/>
    <cellStyle name="Positive 3 2 7 3 2 6 2" xfId="32335" xr:uid="{00000000-0005-0000-0000-00005C7E0000}"/>
    <cellStyle name="Positive 3 2 7 3 2 7" xfId="32336" xr:uid="{00000000-0005-0000-0000-00005D7E0000}"/>
    <cellStyle name="Positive 3 2 7 3 2 7 2" xfId="32337" xr:uid="{00000000-0005-0000-0000-00005E7E0000}"/>
    <cellStyle name="Positive 3 2 7 3 2 8" xfId="32338" xr:uid="{00000000-0005-0000-0000-00005F7E0000}"/>
    <cellStyle name="Positive 3 2 7 3 2 8 2" xfId="32339" xr:uid="{00000000-0005-0000-0000-0000607E0000}"/>
    <cellStyle name="Positive 3 2 7 3 2 9" xfId="32340" xr:uid="{00000000-0005-0000-0000-0000617E0000}"/>
    <cellStyle name="Positive 3 2 7 3 2 9 2" xfId="32341" xr:uid="{00000000-0005-0000-0000-0000627E0000}"/>
    <cellStyle name="Positive 3 2 7 3 20" xfId="32342" xr:uid="{00000000-0005-0000-0000-0000637E0000}"/>
    <cellStyle name="Positive 3 2 7 3 3" xfId="32343" xr:uid="{00000000-0005-0000-0000-0000647E0000}"/>
    <cellStyle name="Positive 3 2 7 3 3 2" xfId="32344" xr:uid="{00000000-0005-0000-0000-0000657E0000}"/>
    <cellStyle name="Positive 3 2 7 3 3 2 2" xfId="32345" xr:uid="{00000000-0005-0000-0000-0000667E0000}"/>
    <cellStyle name="Positive 3 2 7 3 3 3" xfId="32346" xr:uid="{00000000-0005-0000-0000-0000677E0000}"/>
    <cellStyle name="Positive 3 2 7 3 4" xfId="32347" xr:uid="{00000000-0005-0000-0000-0000687E0000}"/>
    <cellStyle name="Positive 3 2 7 3 4 2" xfId="32348" xr:uid="{00000000-0005-0000-0000-0000697E0000}"/>
    <cellStyle name="Positive 3 2 7 3 4 2 2" xfId="32349" xr:uid="{00000000-0005-0000-0000-00006A7E0000}"/>
    <cellStyle name="Positive 3 2 7 3 4 3" xfId="32350" xr:uid="{00000000-0005-0000-0000-00006B7E0000}"/>
    <cellStyle name="Positive 3 2 7 3 5" xfId="32351" xr:uid="{00000000-0005-0000-0000-00006C7E0000}"/>
    <cellStyle name="Positive 3 2 7 3 5 2" xfId="32352" xr:uid="{00000000-0005-0000-0000-00006D7E0000}"/>
    <cellStyle name="Positive 3 2 7 3 6" xfId="32353" xr:uid="{00000000-0005-0000-0000-00006E7E0000}"/>
    <cellStyle name="Positive 3 2 7 3 6 2" xfId="32354" xr:uid="{00000000-0005-0000-0000-00006F7E0000}"/>
    <cellStyle name="Positive 3 2 7 3 7" xfId="32355" xr:uid="{00000000-0005-0000-0000-0000707E0000}"/>
    <cellStyle name="Positive 3 2 7 3 7 2" xfId="32356" xr:uid="{00000000-0005-0000-0000-0000717E0000}"/>
    <cellStyle name="Positive 3 2 7 3 8" xfId="32357" xr:uid="{00000000-0005-0000-0000-0000727E0000}"/>
    <cellStyle name="Positive 3 2 7 3 8 2" xfId="32358" xr:uid="{00000000-0005-0000-0000-0000737E0000}"/>
    <cellStyle name="Positive 3 2 7 3 9" xfId="32359" xr:uid="{00000000-0005-0000-0000-0000747E0000}"/>
    <cellStyle name="Positive 3 2 7 3 9 2" xfId="32360" xr:uid="{00000000-0005-0000-0000-0000757E0000}"/>
    <cellStyle name="Positive 3 2 7 4" xfId="32361" xr:uid="{00000000-0005-0000-0000-0000767E0000}"/>
    <cellStyle name="Positive 3 2 7 4 10" xfId="32362" xr:uid="{00000000-0005-0000-0000-0000777E0000}"/>
    <cellStyle name="Positive 3 2 7 4 10 2" xfId="32363" xr:uid="{00000000-0005-0000-0000-0000787E0000}"/>
    <cellStyle name="Positive 3 2 7 4 11" xfId="32364" xr:uid="{00000000-0005-0000-0000-0000797E0000}"/>
    <cellStyle name="Positive 3 2 7 4 11 2" xfId="32365" xr:uid="{00000000-0005-0000-0000-00007A7E0000}"/>
    <cellStyle name="Positive 3 2 7 4 12" xfId="32366" xr:uid="{00000000-0005-0000-0000-00007B7E0000}"/>
    <cellStyle name="Positive 3 2 7 4 12 2" xfId="32367" xr:uid="{00000000-0005-0000-0000-00007C7E0000}"/>
    <cellStyle name="Positive 3 2 7 4 13" xfId="32368" xr:uid="{00000000-0005-0000-0000-00007D7E0000}"/>
    <cellStyle name="Positive 3 2 7 4 13 2" xfId="32369" xr:uid="{00000000-0005-0000-0000-00007E7E0000}"/>
    <cellStyle name="Positive 3 2 7 4 14" xfId="32370" xr:uid="{00000000-0005-0000-0000-00007F7E0000}"/>
    <cellStyle name="Positive 3 2 7 4 14 2" xfId="32371" xr:uid="{00000000-0005-0000-0000-0000807E0000}"/>
    <cellStyle name="Positive 3 2 7 4 15" xfId="32372" xr:uid="{00000000-0005-0000-0000-0000817E0000}"/>
    <cellStyle name="Positive 3 2 7 4 15 2" xfId="32373" xr:uid="{00000000-0005-0000-0000-0000827E0000}"/>
    <cellStyle name="Positive 3 2 7 4 16" xfId="32374" xr:uid="{00000000-0005-0000-0000-0000837E0000}"/>
    <cellStyle name="Positive 3 2 7 4 16 2" xfId="32375" xr:uid="{00000000-0005-0000-0000-0000847E0000}"/>
    <cellStyle name="Positive 3 2 7 4 17" xfId="32376" xr:uid="{00000000-0005-0000-0000-0000857E0000}"/>
    <cellStyle name="Positive 3 2 7 4 17 2" xfId="32377" xr:uid="{00000000-0005-0000-0000-0000867E0000}"/>
    <cellStyle name="Positive 3 2 7 4 18" xfId="32378" xr:uid="{00000000-0005-0000-0000-0000877E0000}"/>
    <cellStyle name="Positive 3 2 7 4 18 2" xfId="32379" xr:uid="{00000000-0005-0000-0000-0000887E0000}"/>
    <cellStyle name="Positive 3 2 7 4 19" xfId="32380" xr:uid="{00000000-0005-0000-0000-0000897E0000}"/>
    <cellStyle name="Positive 3 2 7 4 19 2" xfId="32381" xr:uid="{00000000-0005-0000-0000-00008A7E0000}"/>
    <cellStyle name="Positive 3 2 7 4 2" xfId="32382" xr:uid="{00000000-0005-0000-0000-00008B7E0000}"/>
    <cellStyle name="Positive 3 2 7 4 2 10" xfId="32383" xr:uid="{00000000-0005-0000-0000-00008C7E0000}"/>
    <cellStyle name="Positive 3 2 7 4 2 10 2" xfId="32384" xr:uid="{00000000-0005-0000-0000-00008D7E0000}"/>
    <cellStyle name="Positive 3 2 7 4 2 11" xfId="32385" xr:uid="{00000000-0005-0000-0000-00008E7E0000}"/>
    <cellStyle name="Positive 3 2 7 4 2 11 2" xfId="32386" xr:uid="{00000000-0005-0000-0000-00008F7E0000}"/>
    <cellStyle name="Positive 3 2 7 4 2 12" xfId="32387" xr:uid="{00000000-0005-0000-0000-0000907E0000}"/>
    <cellStyle name="Positive 3 2 7 4 2 12 2" xfId="32388" xr:uid="{00000000-0005-0000-0000-0000917E0000}"/>
    <cellStyle name="Positive 3 2 7 4 2 13" xfId="32389" xr:uid="{00000000-0005-0000-0000-0000927E0000}"/>
    <cellStyle name="Positive 3 2 7 4 2 13 2" xfId="32390" xr:uid="{00000000-0005-0000-0000-0000937E0000}"/>
    <cellStyle name="Positive 3 2 7 4 2 14" xfId="32391" xr:uid="{00000000-0005-0000-0000-0000947E0000}"/>
    <cellStyle name="Positive 3 2 7 4 2 14 2" xfId="32392" xr:uid="{00000000-0005-0000-0000-0000957E0000}"/>
    <cellStyle name="Positive 3 2 7 4 2 15" xfId="32393" xr:uid="{00000000-0005-0000-0000-0000967E0000}"/>
    <cellStyle name="Positive 3 2 7 4 2 15 2" xfId="32394" xr:uid="{00000000-0005-0000-0000-0000977E0000}"/>
    <cellStyle name="Positive 3 2 7 4 2 16" xfId="32395" xr:uid="{00000000-0005-0000-0000-0000987E0000}"/>
    <cellStyle name="Positive 3 2 7 4 2 16 2" xfId="32396" xr:uid="{00000000-0005-0000-0000-0000997E0000}"/>
    <cellStyle name="Positive 3 2 7 4 2 17" xfId="32397" xr:uid="{00000000-0005-0000-0000-00009A7E0000}"/>
    <cellStyle name="Positive 3 2 7 4 2 2" xfId="32398" xr:uid="{00000000-0005-0000-0000-00009B7E0000}"/>
    <cellStyle name="Positive 3 2 7 4 2 2 2" xfId="32399" xr:uid="{00000000-0005-0000-0000-00009C7E0000}"/>
    <cellStyle name="Positive 3 2 7 4 2 3" xfId="32400" xr:uid="{00000000-0005-0000-0000-00009D7E0000}"/>
    <cellStyle name="Positive 3 2 7 4 2 3 2" xfId="32401" xr:uid="{00000000-0005-0000-0000-00009E7E0000}"/>
    <cellStyle name="Positive 3 2 7 4 2 4" xfId="32402" xr:uid="{00000000-0005-0000-0000-00009F7E0000}"/>
    <cellStyle name="Positive 3 2 7 4 2 4 2" xfId="32403" xr:uid="{00000000-0005-0000-0000-0000A07E0000}"/>
    <cellStyle name="Positive 3 2 7 4 2 5" xfId="32404" xr:uid="{00000000-0005-0000-0000-0000A17E0000}"/>
    <cellStyle name="Positive 3 2 7 4 2 5 2" xfId="32405" xr:uid="{00000000-0005-0000-0000-0000A27E0000}"/>
    <cellStyle name="Positive 3 2 7 4 2 6" xfId="32406" xr:uid="{00000000-0005-0000-0000-0000A37E0000}"/>
    <cellStyle name="Positive 3 2 7 4 2 6 2" xfId="32407" xr:uid="{00000000-0005-0000-0000-0000A47E0000}"/>
    <cellStyle name="Positive 3 2 7 4 2 7" xfId="32408" xr:uid="{00000000-0005-0000-0000-0000A57E0000}"/>
    <cellStyle name="Positive 3 2 7 4 2 7 2" xfId="32409" xr:uid="{00000000-0005-0000-0000-0000A67E0000}"/>
    <cellStyle name="Positive 3 2 7 4 2 8" xfId="32410" xr:uid="{00000000-0005-0000-0000-0000A77E0000}"/>
    <cellStyle name="Positive 3 2 7 4 2 8 2" xfId="32411" xr:uid="{00000000-0005-0000-0000-0000A87E0000}"/>
    <cellStyle name="Positive 3 2 7 4 2 9" xfId="32412" xr:uid="{00000000-0005-0000-0000-0000A97E0000}"/>
    <cellStyle name="Positive 3 2 7 4 2 9 2" xfId="32413" xr:uid="{00000000-0005-0000-0000-0000AA7E0000}"/>
    <cellStyle name="Positive 3 2 7 4 20" xfId="32414" xr:uid="{00000000-0005-0000-0000-0000AB7E0000}"/>
    <cellStyle name="Positive 3 2 7 4 3" xfId="32415" xr:uid="{00000000-0005-0000-0000-0000AC7E0000}"/>
    <cellStyle name="Positive 3 2 7 4 3 2" xfId="32416" xr:uid="{00000000-0005-0000-0000-0000AD7E0000}"/>
    <cellStyle name="Positive 3 2 7 4 3 2 2" xfId="32417" xr:uid="{00000000-0005-0000-0000-0000AE7E0000}"/>
    <cellStyle name="Positive 3 2 7 4 3 3" xfId="32418" xr:uid="{00000000-0005-0000-0000-0000AF7E0000}"/>
    <cellStyle name="Positive 3 2 7 4 4" xfId="32419" xr:uid="{00000000-0005-0000-0000-0000B07E0000}"/>
    <cellStyle name="Positive 3 2 7 4 4 2" xfId="32420" xr:uid="{00000000-0005-0000-0000-0000B17E0000}"/>
    <cellStyle name="Positive 3 2 7 4 4 2 2" xfId="32421" xr:uid="{00000000-0005-0000-0000-0000B27E0000}"/>
    <cellStyle name="Positive 3 2 7 4 4 3" xfId="32422" xr:uid="{00000000-0005-0000-0000-0000B37E0000}"/>
    <cellStyle name="Positive 3 2 7 4 5" xfId="32423" xr:uid="{00000000-0005-0000-0000-0000B47E0000}"/>
    <cellStyle name="Positive 3 2 7 4 5 2" xfId="32424" xr:uid="{00000000-0005-0000-0000-0000B57E0000}"/>
    <cellStyle name="Positive 3 2 7 4 6" xfId="32425" xr:uid="{00000000-0005-0000-0000-0000B67E0000}"/>
    <cellStyle name="Positive 3 2 7 4 6 2" xfId="32426" xr:uid="{00000000-0005-0000-0000-0000B77E0000}"/>
    <cellStyle name="Positive 3 2 7 4 7" xfId="32427" xr:uid="{00000000-0005-0000-0000-0000B87E0000}"/>
    <cellStyle name="Positive 3 2 7 4 7 2" xfId="32428" xr:uid="{00000000-0005-0000-0000-0000B97E0000}"/>
    <cellStyle name="Positive 3 2 7 4 8" xfId="32429" xr:uid="{00000000-0005-0000-0000-0000BA7E0000}"/>
    <cellStyle name="Positive 3 2 7 4 8 2" xfId="32430" xr:uid="{00000000-0005-0000-0000-0000BB7E0000}"/>
    <cellStyle name="Positive 3 2 7 4 9" xfId="32431" xr:uid="{00000000-0005-0000-0000-0000BC7E0000}"/>
    <cellStyle name="Positive 3 2 7 4 9 2" xfId="32432" xr:uid="{00000000-0005-0000-0000-0000BD7E0000}"/>
    <cellStyle name="Positive 3 2 7 5" xfId="32433" xr:uid="{00000000-0005-0000-0000-0000BE7E0000}"/>
    <cellStyle name="Positive 3 2 7 5 10" xfId="32434" xr:uid="{00000000-0005-0000-0000-0000BF7E0000}"/>
    <cellStyle name="Positive 3 2 7 5 10 2" xfId="32435" xr:uid="{00000000-0005-0000-0000-0000C07E0000}"/>
    <cellStyle name="Positive 3 2 7 5 11" xfId="32436" xr:uid="{00000000-0005-0000-0000-0000C17E0000}"/>
    <cellStyle name="Positive 3 2 7 5 11 2" xfId="32437" xr:uid="{00000000-0005-0000-0000-0000C27E0000}"/>
    <cellStyle name="Positive 3 2 7 5 12" xfId="32438" xr:uid="{00000000-0005-0000-0000-0000C37E0000}"/>
    <cellStyle name="Positive 3 2 7 5 12 2" xfId="32439" xr:uid="{00000000-0005-0000-0000-0000C47E0000}"/>
    <cellStyle name="Positive 3 2 7 5 13" xfId="32440" xr:uid="{00000000-0005-0000-0000-0000C57E0000}"/>
    <cellStyle name="Positive 3 2 7 5 13 2" xfId="32441" xr:uid="{00000000-0005-0000-0000-0000C67E0000}"/>
    <cellStyle name="Positive 3 2 7 5 14" xfId="32442" xr:uid="{00000000-0005-0000-0000-0000C77E0000}"/>
    <cellStyle name="Positive 3 2 7 5 14 2" xfId="32443" xr:uid="{00000000-0005-0000-0000-0000C87E0000}"/>
    <cellStyle name="Positive 3 2 7 5 15" xfId="32444" xr:uid="{00000000-0005-0000-0000-0000C97E0000}"/>
    <cellStyle name="Positive 3 2 7 5 15 2" xfId="32445" xr:uid="{00000000-0005-0000-0000-0000CA7E0000}"/>
    <cellStyle name="Positive 3 2 7 5 16" xfId="32446" xr:uid="{00000000-0005-0000-0000-0000CB7E0000}"/>
    <cellStyle name="Positive 3 2 7 5 16 2" xfId="32447" xr:uid="{00000000-0005-0000-0000-0000CC7E0000}"/>
    <cellStyle name="Positive 3 2 7 5 17" xfId="32448" xr:uid="{00000000-0005-0000-0000-0000CD7E0000}"/>
    <cellStyle name="Positive 3 2 7 5 2" xfId="32449" xr:uid="{00000000-0005-0000-0000-0000CE7E0000}"/>
    <cellStyle name="Positive 3 2 7 5 2 2" xfId="32450" xr:uid="{00000000-0005-0000-0000-0000CF7E0000}"/>
    <cellStyle name="Positive 3 2 7 5 3" xfId="32451" xr:uid="{00000000-0005-0000-0000-0000D07E0000}"/>
    <cellStyle name="Positive 3 2 7 5 3 2" xfId="32452" xr:uid="{00000000-0005-0000-0000-0000D17E0000}"/>
    <cellStyle name="Positive 3 2 7 5 4" xfId="32453" xr:uid="{00000000-0005-0000-0000-0000D27E0000}"/>
    <cellStyle name="Positive 3 2 7 5 4 2" xfId="32454" xr:uid="{00000000-0005-0000-0000-0000D37E0000}"/>
    <cellStyle name="Positive 3 2 7 5 5" xfId="32455" xr:uid="{00000000-0005-0000-0000-0000D47E0000}"/>
    <cellStyle name="Positive 3 2 7 5 5 2" xfId="32456" xr:uid="{00000000-0005-0000-0000-0000D57E0000}"/>
    <cellStyle name="Positive 3 2 7 5 6" xfId="32457" xr:uid="{00000000-0005-0000-0000-0000D67E0000}"/>
    <cellStyle name="Positive 3 2 7 5 6 2" xfId="32458" xr:uid="{00000000-0005-0000-0000-0000D77E0000}"/>
    <cellStyle name="Positive 3 2 7 5 7" xfId="32459" xr:uid="{00000000-0005-0000-0000-0000D87E0000}"/>
    <cellStyle name="Positive 3 2 7 5 7 2" xfId="32460" xr:uid="{00000000-0005-0000-0000-0000D97E0000}"/>
    <cellStyle name="Positive 3 2 7 5 8" xfId="32461" xr:uid="{00000000-0005-0000-0000-0000DA7E0000}"/>
    <cellStyle name="Positive 3 2 7 5 8 2" xfId="32462" xr:uid="{00000000-0005-0000-0000-0000DB7E0000}"/>
    <cellStyle name="Positive 3 2 7 5 9" xfId="32463" xr:uid="{00000000-0005-0000-0000-0000DC7E0000}"/>
    <cellStyle name="Positive 3 2 7 5 9 2" xfId="32464" xr:uid="{00000000-0005-0000-0000-0000DD7E0000}"/>
    <cellStyle name="Positive 3 2 7 6" xfId="32465" xr:uid="{00000000-0005-0000-0000-0000DE7E0000}"/>
    <cellStyle name="Positive 3 2 7 6 2" xfId="32466" xr:uid="{00000000-0005-0000-0000-0000DF7E0000}"/>
    <cellStyle name="Positive 3 2 7 6 2 2" xfId="32467" xr:uid="{00000000-0005-0000-0000-0000E07E0000}"/>
    <cellStyle name="Positive 3 2 7 6 3" xfId="32468" xr:uid="{00000000-0005-0000-0000-0000E17E0000}"/>
    <cellStyle name="Positive 3 2 7 7" xfId="32469" xr:uid="{00000000-0005-0000-0000-0000E27E0000}"/>
    <cellStyle name="Positive 3 2 7 7 2" xfId="32470" xr:uid="{00000000-0005-0000-0000-0000E37E0000}"/>
    <cellStyle name="Positive 3 2 7 7 2 2" xfId="32471" xr:uid="{00000000-0005-0000-0000-0000E47E0000}"/>
    <cellStyle name="Positive 3 2 7 7 3" xfId="32472" xr:uid="{00000000-0005-0000-0000-0000E57E0000}"/>
    <cellStyle name="Positive 3 2 7 8" xfId="32473" xr:uid="{00000000-0005-0000-0000-0000E67E0000}"/>
    <cellStyle name="Positive 3 2 7 8 2" xfId="32474" xr:uid="{00000000-0005-0000-0000-0000E77E0000}"/>
    <cellStyle name="Positive 3 2 7 9" xfId="32475" xr:uid="{00000000-0005-0000-0000-0000E87E0000}"/>
    <cellStyle name="Positive 3 2 7 9 2" xfId="32476" xr:uid="{00000000-0005-0000-0000-0000E97E0000}"/>
    <cellStyle name="Positive 3 2 8" xfId="32477" xr:uid="{00000000-0005-0000-0000-0000EA7E0000}"/>
    <cellStyle name="Positive 3 2 8 10" xfId="32478" xr:uid="{00000000-0005-0000-0000-0000EB7E0000}"/>
    <cellStyle name="Positive 3 2 8 10 2" xfId="32479" xr:uid="{00000000-0005-0000-0000-0000EC7E0000}"/>
    <cellStyle name="Positive 3 2 8 11" xfId="32480" xr:uid="{00000000-0005-0000-0000-0000ED7E0000}"/>
    <cellStyle name="Positive 3 2 8 11 2" xfId="32481" xr:uid="{00000000-0005-0000-0000-0000EE7E0000}"/>
    <cellStyle name="Positive 3 2 8 12" xfId="32482" xr:uid="{00000000-0005-0000-0000-0000EF7E0000}"/>
    <cellStyle name="Positive 3 2 8 12 2" xfId="32483" xr:uid="{00000000-0005-0000-0000-0000F07E0000}"/>
    <cellStyle name="Positive 3 2 8 13" xfId="32484" xr:uid="{00000000-0005-0000-0000-0000F17E0000}"/>
    <cellStyle name="Positive 3 2 8 13 2" xfId="32485" xr:uid="{00000000-0005-0000-0000-0000F27E0000}"/>
    <cellStyle name="Positive 3 2 8 14" xfId="32486" xr:uid="{00000000-0005-0000-0000-0000F37E0000}"/>
    <cellStyle name="Positive 3 2 8 14 2" xfId="32487" xr:uid="{00000000-0005-0000-0000-0000F47E0000}"/>
    <cellStyle name="Positive 3 2 8 15" xfId="32488" xr:uid="{00000000-0005-0000-0000-0000F57E0000}"/>
    <cellStyle name="Positive 3 2 8 15 2" xfId="32489" xr:uid="{00000000-0005-0000-0000-0000F67E0000}"/>
    <cellStyle name="Positive 3 2 8 16" xfId="32490" xr:uid="{00000000-0005-0000-0000-0000F77E0000}"/>
    <cellStyle name="Positive 3 2 8 16 2" xfId="32491" xr:uid="{00000000-0005-0000-0000-0000F87E0000}"/>
    <cellStyle name="Positive 3 2 8 17" xfId="32492" xr:uid="{00000000-0005-0000-0000-0000F97E0000}"/>
    <cellStyle name="Positive 3 2 8 17 2" xfId="32493" xr:uid="{00000000-0005-0000-0000-0000FA7E0000}"/>
    <cellStyle name="Positive 3 2 8 18" xfId="32494" xr:uid="{00000000-0005-0000-0000-0000FB7E0000}"/>
    <cellStyle name="Positive 3 2 8 18 2" xfId="32495" xr:uid="{00000000-0005-0000-0000-0000FC7E0000}"/>
    <cellStyle name="Positive 3 2 8 19" xfId="32496" xr:uid="{00000000-0005-0000-0000-0000FD7E0000}"/>
    <cellStyle name="Positive 3 2 8 19 2" xfId="32497" xr:uid="{00000000-0005-0000-0000-0000FE7E0000}"/>
    <cellStyle name="Positive 3 2 8 2" xfId="32498" xr:uid="{00000000-0005-0000-0000-0000FF7E0000}"/>
    <cellStyle name="Positive 3 2 8 2 10" xfId="32499" xr:uid="{00000000-0005-0000-0000-0000007F0000}"/>
    <cellStyle name="Positive 3 2 8 2 10 2" xfId="32500" xr:uid="{00000000-0005-0000-0000-0000017F0000}"/>
    <cellStyle name="Positive 3 2 8 2 11" xfId="32501" xr:uid="{00000000-0005-0000-0000-0000027F0000}"/>
    <cellStyle name="Positive 3 2 8 2 11 2" xfId="32502" xr:uid="{00000000-0005-0000-0000-0000037F0000}"/>
    <cellStyle name="Positive 3 2 8 2 12" xfId="32503" xr:uid="{00000000-0005-0000-0000-0000047F0000}"/>
    <cellStyle name="Positive 3 2 8 2 12 2" xfId="32504" xr:uid="{00000000-0005-0000-0000-0000057F0000}"/>
    <cellStyle name="Positive 3 2 8 2 13" xfId="32505" xr:uid="{00000000-0005-0000-0000-0000067F0000}"/>
    <cellStyle name="Positive 3 2 8 2 13 2" xfId="32506" xr:uid="{00000000-0005-0000-0000-0000077F0000}"/>
    <cellStyle name="Positive 3 2 8 2 14" xfId="32507" xr:uid="{00000000-0005-0000-0000-0000087F0000}"/>
    <cellStyle name="Positive 3 2 8 2 14 2" xfId="32508" xr:uid="{00000000-0005-0000-0000-0000097F0000}"/>
    <cellStyle name="Positive 3 2 8 2 15" xfId="32509" xr:uid="{00000000-0005-0000-0000-00000A7F0000}"/>
    <cellStyle name="Positive 3 2 8 2 15 2" xfId="32510" xr:uid="{00000000-0005-0000-0000-00000B7F0000}"/>
    <cellStyle name="Positive 3 2 8 2 16" xfId="32511" xr:uid="{00000000-0005-0000-0000-00000C7F0000}"/>
    <cellStyle name="Positive 3 2 8 2 16 2" xfId="32512" xr:uid="{00000000-0005-0000-0000-00000D7F0000}"/>
    <cellStyle name="Positive 3 2 8 2 17" xfId="32513" xr:uid="{00000000-0005-0000-0000-00000E7F0000}"/>
    <cellStyle name="Positive 3 2 8 2 17 2" xfId="32514" xr:uid="{00000000-0005-0000-0000-00000F7F0000}"/>
    <cellStyle name="Positive 3 2 8 2 18" xfId="32515" xr:uid="{00000000-0005-0000-0000-0000107F0000}"/>
    <cellStyle name="Positive 3 2 8 2 18 2" xfId="32516" xr:uid="{00000000-0005-0000-0000-0000117F0000}"/>
    <cellStyle name="Positive 3 2 8 2 19" xfId="32517" xr:uid="{00000000-0005-0000-0000-0000127F0000}"/>
    <cellStyle name="Positive 3 2 8 2 19 2" xfId="32518" xr:uid="{00000000-0005-0000-0000-0000137F0000}"/>
    <cellStyle name="Positive 3 2 8 2 2" xfId="32519" xr:uid="{00000000-0005-0000-0000-0000147F0000}"/>
    <cellStyle name="Positive 3 2 8 2 2 10" xfId="32520" xr:uid="{00000000-0005-0000-0000-0000157F0000}"/>
    <cellStyle name="Positive 3 2 8 2 2 10 2" xfId="32521" xr:uid="{00000000-0005-0000-0000-0000167F0000}"/>
    <cellStyle name="Positive 3 2 8 2 2 11" xfId="32522" xr:uid="{00000000-0005-0000-0000-0000177F0000}"/>
    <cellStyle name="Positive 3 2 8 2 2 11 2" xfId="32523" xr:uid="{00000000-0005-0000-0000-0000187F0000}"/>
    <cellStyle name="Positive 3 2 8 2 2 12" xfId="32524" xr:uid="{00000000-0005-0000-0000-0000197F0000}"/>
    <cellStyle name="Positive 3 2 8 2 2 12 2" xfId="32525" xr:uid="{00000000-0005-0000-0000-00001A7F0000}"/>
    <cellStyle name="Positive 3 2 8 2 2 13" xfId="32526" xr:uid="{00000000-0005-0000-0000-00001B7F0000}"/>
    <cellStyle name="Positive 3 2 8 2 2 13 2" xfId="32527" xr:uid="{00000000-0005-0000-0000-00001C7F0000}"/>
    <cellStyle name="Positive 3 2 8 2 2 14" xfId="32528" xr:uid="{00000000-0005-0000-0000-00001D7F0000}"/>
    <cellStyle name="Positive 3 2 8 2 2 14 2" xfId="32529" xr:uid="{00000000-0005-0000-0000-00001E7F0000}"/>
    <cellStyle name="Positive 3 2 8 2 2 15" xfId="32530" xr:uid="{00000000-0005-0000-0000-00001F7F0000}"/>
    <cellStyle name="Positive 3 2 8 2 2 15 2" xfId="32531" xr:uid="{00000000-0005-0000-0000-0000207F0000}"/>
    <cellStyle name="Positive 3 2 8 2 2 16" xfId="32532" xr:uid="{00000000-0005-0000-0000-0000217F0000}"/>
    <cellStyle name="Positive 3 2 8 2 2 16 2" xfId="32533" xr:uid="{00000000-0005-0000-0000-0000227F0000}"/>
    <cellStyle name="Positive 3 2 8 2 2 17" xfId="32534" xr:uid="{00000000-0005-0000-0000-0000237F0000}"/>
    <cellStyle name="Positive 3 2 8 2 2 2" xfId="32535" xr:uid="{00000000-0005-0000-0000-0000247F0000}"/>
    <cellStyle name="Positive 3 2 8 2 2 2 2" xfId="32536" xr:uid="{00000000-0005-0000-0000-0000257F0000}"/>
    <cellStyle name="Positive 3 2 8 2 2 3" xfId="32537" xr:uid="{00000000-0005-0000-0000-0000267F0000}"/>
    <cellStyle name="Positive 3 2 8 2 2 3 2" xfId="32538" xr:uid="{00000000-0005-0000-0000-0000277F0000}"/>
    <cellStyle name="Positive 3 2 8 2 2 4" xfId="32539" xr:uid="{00000000-0005-0000-0000-0000287F0000}"/>
    <cellStyle name="Positive 3 2 8 2 2 4 2" xfId="32540" xr:uid="{00000000-0005-0000-0000-0000297F0000}"/>
    <cellStyle name="Positive 3 2 8 2 2 5" xfId="32541" xr:uid="{00000000-0005-0000-0000-00002A7F0000}"/>
    <cellStyle name="Positive 3 2 8 2 2 5 2" xfId="32542" xr:uid="{00000000-0005-0000-0000-00002B7F0000}"/>
    <cellStyle name="Positive 3 2 8 2 2 6" xfId="32543" xr:uid="{00000000-0005-0000-0000-00002C7F0000}"/>
    <cellStyle name="Positive 3 2 8 2 2 6 2" xfId="32544" xr:uid="{00000000-0005-0000-0000-00002D7F0000}"/>
    <cellStyle name="Positive 3 2 8 2 2 7" xfId="32545" xr:uid="{00000000-0005-0000-0000-00002E7F0000}"/>
    <cellStyle name="Positive 3 2 8 2 2 7 2" xfId="32546" xr:uid="{00000000-0005-0000-0000-00002F7F0000}"/>
    <cellStyle name="Positive 3 2 8 2 2 8" xfId="32547" xr:uid="{00000000-0005-0000-0000-0000307F0000}"/>
    <cellStyle name="Positive 3 2 8 2 2 8 2" xfId="32548" xr:uid="{00000000-0005-0000-0000-0000317F0000}"/>
    <cellStyle name="Positive 3 2 8 2 2 9" xfId="32549" xr:uid="{00000000-0005-0000-0000-0000327F0000}"/>
    <cellStyle name="Positive 3 2 8 2 2 9 2" xfId="32550" xr:uid="{00000000-0005-0000-0000-0000337F0000}"/>
    <cellStyle name="Positive 3 2 8 2 20" xfId="32551" xr:uid="{00000000-0005-0000-0000-0000347F0000}"/>
    <cellStyle name="Positive 3 2 8 2 3" xfId="32552" xr:uid="{00000000-0005-0000-0000-0000357F0000}"/>
    <cellStyle name="Positive 3 2 8 2 3 2" xfId="32553" xr:uid="{00000000-0005-0000-0000-0000367F0000}"/>
    <cellStyle name="Positive 3 2 8 2 3 2 2" xfId="32554" xr:uid="{00000000-0005-0000-0000-0000377F0000}"/>
    <cellStyle name="Positive 3 2 8 2 3 3" xfId="32555" xr:uid="{00000000-0005-0000-0000-0000387F0000}"/>
    <cellStyle name="Positive 3 2 8 2 4" xfId="32556" xr:uid="{00000000-0005-0000-0000-0000397F0000}"/>
    <cellStyle name="Positive 3 2 8 2 4 2" xfId="32557" xr:uid="{00000000-0005-0000-0000-00003A7F0000}"/>
    <cellStyle name="Positive 3 2 8 2 4 2 2" xfId="32558" xr:uid="{00000000-0005-0000-0000-00003B7F0000}"/>
    <cellStyle name="Positive 3 2 8 2 4 3" xfId="32559" xr:uid="{00000000-0005-0000-0000-00003C7F0000}"/>
    <cellStyle name="Positive 3 2 8 2 5" xfId="32560" xr:uid="{00000000-0005-0000-0000-00003D7F0000}"/>
    <cellStyle name="Positive 3 2 8 2 5 2" xfId="32561" xr:uid="{00000000-0005-0000-0000-00003E7F0000}"/>
    <cellStyle name="Positive 3 2 8 2 6" xfId="32562" xr:uid="{00000000-0005-0000-0000-00003F7F0000}"/>
    <cellStyle name="Positive 3 2 8 2 6 2" xfId="32563" xr:uid="{00000000-0005-0000-0000-0000407F0000}"/>
    <cellStyle name="Positive 3 2 8 2 7" xfId="32564" xr:uid="{00000000-0005-0000-0000-0000417F0000}"/>
    <cellStyle name="Positive 3 2 8 2 7 2" xfId="32565" xr:uid="{00000000-0005-0000-0000-0000427F0000}"/>
    <cellStyle name="Positive 3 2 8 2 8" xfId="32566" xr:uid="{00000000-0005-0000-0000-0000437F0000}"/>
    <cellStyle name="Positive 3 2 8 2 8 2" xfId="32567" xr:uid="{00000000-0005-0000-0000-0000447F0000}"/>
    <cellStyle name="Positive 3 2 8 2 9" xfId="32568" xr:uid="{00000000-0005-0000-0000-0000457F0000}"/>
    <cellStyle name="Positive 3 2 8 2 9 2" xfId="32569" xr:uid="{00000000-0005-0000-0000-0000467F0000}"/>
    <cellStyle name="Positive 3 2 8 20" xfId="32570" xr:uid="{00000000-0005-0000-0000-0000477F0000}"/>
    <cellStyle name="Positive 3 2 8 20 2" xfId="32571" xr:uid="{00000000-0005-0000-0000-0000487F0000}"/>
    <cellStyle name="Positive 3 2 8 21" xfId="32572" xr:uid="{00000000-0005-0000-0000-0000497F0000}"/>
    <cellStyle name="Positive 3 2 8 21 2" xfId="32573" xr:uid="{00000000-0005-0000-0000-00004A7F0000}"/>
    <cellStyle name="Positive 3 2 8 22" xfId="32574" xr:uid="{00000000-0005-0000-0000-00004B7F0000}"/>
    <cellStyle name="Positive 3 2 8 22 2" xfId="32575" xr:uid="{00000000-0005-0000-0000-00004C7F0000}"/>
    <cellStyle name="Positive 3 2 8 23" xfId="32576" xr:uid="{00000000-0005-0000-0000-00004D7F0000}"/>
    <cellStyle name="Positive 3 2 8 3" xfId="32577" xr:uid="{00000000-0005-0000-0000-00004E7F0000}"/>
    <cellStyle name="Positive 3 2 8 3 10" xfId="32578" xr:uid="{00000000-0005-0000-0000-00004F7F0000}"/>
    <cellStyle name="Positive 3 2 8 3 10 2" xfId="32579" xr:uid="{00000000-0005-0000-0000-0000507F0000}"/>
    <cellStyle name="Positive 3 2 8 3 11" xfId="32580" xr:uid="{00000000-0005-0000-0000-0000517F0000}"/>
    <cellStyle name="Positive 3 2 8 3 11 2" xfId="32581" xr:uid="{00000000-0005-0000-0000-0000527F0000}"/>
    <cellStyle name="Positive 3 2 8 3 12" xfId="32582" xr:uid="{00000000-0005-0000-0000-0000537F0000}"/>
    <cellStyle name="Positive 3 2 8 3 12 2" xfId="32583" xr:uid="{00000000-0005-0000-0000-0000547F0000}"/>
    <cellStyle name="Positive 3 2 8 3 13" xfId="32584" xr:uid="{00000000-0005-0000-0000-0000557F0000}"/>
    <cellStyle name="Positive 3 2 8 3 13 2" xfId="32585" xr:uid="{00000000-0005-0000-0000-0000567F0000}"/>
    <cellStyle name="Positive 3 2 8 3 14" xfId="32586" xr:uid="{00000000-0005-0000-0000-0000577F0000}"/>
    <cellStyle name="Positive 3 2 8 3 14 2" xfId="32587" xr:uid="{00000000-0005-0000-0000-0000587F0000}"/>
    <cellStyle name="Positive 3 2 8 3 15" xfId="32588" xr:uid="{00000000-0005-0000-0000-0000597F0000}"/>
    <cellStyle name="Positive 3 2 8 3 15 2" xfId="32589" xr:uid="{00000000-0005-0000-0000-00005A7F0000}"/>
    <cellStyle name="Positive 3 2 8 3 16" xfId="32590" xr:uid="{00000000-0005-0000-0000-00005B7F0000}"/>
    <cellStyle name="Positive 3 2 8 3 16 2" xfId="32591" xr:uid="{00000000-0005-0000-0000-00005C7F0000}"/>
    <cellStyle name="Positive 3 2 8 3 17" xfId="32592" xr:uid="{00000000-0005-0000-0000-00005D7F0000}"/>
    <cellStyle name="Positive 3 2 8 3 17 2" xfId="32593" xr:uid="{00000000-0005-0000-0000-00005E7F0000}"/>
    <cellStyle name="Positive 3 2 8 3 18" xfId="32594" xr:uid="{00000000-0005-0000-0000-00005F7F0000}"/>
    <cellStyle name="Positive 3 2 8 3 18 2" xfId="32595" xr:uid="{00000000-0005-0000-0000-0000607F0000}"/>
    <cellStyle name="Positive 3 2 8 3 19" xfId="32596" xr:uid="{00000000-0005-0000-0000-0000617F0000}"/>
    <cellStyle name="Positive 3 2 8 3 19 2" xfId="32597" xr:uid="{00000000-0005-0000-0000-0000627F0000}"/>
    <cellStyle name="Positive 3 2 8 3 2" xfId="32598" xr:uid="{00000000-0005-0000-0000-0000637F0000}"/>
    <cellStyle name="Positive 3 2 8 3 2 10" xfId="32599" xr:uid="{00000000-0005-0000-0000-0000647F0000}"/>
    <cellStyle name="Positive 3 2 8 3 2 10 2" xfId="32600" xr:uid="{00000000-0005-0000-0000-0000657F0000}"/>
    <cellStyle name="Positive 3 2 8 3 2 11" xfId="32601" xr:uid="{00000000-0005-0000-0000-0000667F0000}"/>
    <cellStyle name="Positive 3 2 8 3 2 11 2" xfId="32602" xr:uid="{00000000-0005-0000-0000-0000677F0000}"/>
    <cellStyle name="Positive 3 2 8 3 2 12" xfId="32603" xr:uid="{00000000-0005-0000-0000-0000687F0000}"/>
    <cellStyle name="Positive 3 2 8 3 2 12 2" xfId="32604" xr:uid="{00000000-0005-0000-0000-0000697F0000}"/>
    <cellStyle name="Positive 3 2 8 3 2 13" xfId="32605" xr:uid="{00000000-0005-0000-0000-00006A7F0000}"/>
    <cellStyle name="Positive 3 2 8 3 2 13 2" xfId="32606" xr:uid="{00000000-0005-0000-0000-00006B7F0000}"/>
    <cellStyle name="Positive 3 2 8 3 2 14" xfId="32607" xr:uid="{00000000-0005-0000-0000-00006C7F0000}"/>
    <cellStyle name="Positive 3 2 8 3 2 14 2" xfId="32608" xr:uid="{00000000-0005-0000-0000-00006D7F0000}"/>
    <cellStyle name="Positive 3 2 8 3 2 15" xfId="32609" xr:uid="{00000000-0005-0000-0000-00006E7F0000}"/>
    <cellStyle name="Positive 3 2 8 3 2 15 2" xfId="32610" xr:uid="{00000000-0005-0000-0000-00006F7F0000}"/>
    <cellStyle name="Positive 3 2 8 3 2 16" xfId="32611" xr:uid="{00000000-0005-0000-0000-0000707F0000}"/>
    <cellStyle name="Positive 3 2 8 3 2 16 2" xfId="32612" xr:uid="{00000000-0005-0000-0000-0000717F0000}"/>
    <cellStyle name="Positive 3 2 8 3 2 17" xfId="32613" xr:uid="{00000000-0005-0000-0000-0000727F0000}"/>
    <cellStyle name="Positive 3 2 8 3 2 2" xfId="32614" xr:uid="{00000000-0005-0000-0000-0000737F0000}"/>
    <cellStyle name="Positive 3 2 8 3 2 2 2" xfId="32615" xr:uid="{00000000-0005-0000-0000-0000747F0000}"/>
    <cellStyle name="Positive 3 2 8 3 2 3" xfId="32616" xr:uid="{00000000-0005-0000-0000-0000757F0000}"/>
    <cellStyle name="Positive 3 2 8 3 2 3 2" xfId="32617" xr:uid="{00000000-0005-0000-0000-0000767F0000}"/>
    <cellStyle name="Positive 3 2 8 3 2 4" xfId="32618" xr:uid="{00000000-0005-0000-0000-0000777F0000}"/>
    <cellStyle name="Positive 3 2 8 3 2 4 2" xfId="32619" xr:uid="{00000000-0005-0000-0000-0000787F0000}"/>
    <cellStyle name="Positive 3 2 8 3 2 5" xfId="32620" xr:uid="{00000000-0005-0000-0000-0000797F0000}"/>
    <cellStyle name="Positive 3 2 8 3 2 5 2" xfId="32621" xr:uid="{00000000-0005-0000-0000-00007A7F0000}"/>
    <cellStyle name="Positive 3 2 8 3 2 6" xfId="32622" xr:uid="{00000000-0005-0000-0000-00007B7F0000}"/>
    <cellStyle name="Positive 3 2 8 3 2 6 2" xfId="32623" xr:uid="{00000000-0005-0000-0000-00007C7F0000}"/>
    <cellStyle name="Positive 3 2 8 3 2 7" xfId="32624" xr:uid="{00000000-0005-0000-0000-00007D7F0000}"/>
    <cellStyle name="Positive 3 2 8 3 2 7 2" xfId="32625" xr:uid="{00000000-0005-0000-0000-00007E7F0000}"/>
    <cellStyle name="Positive 3 2 8 3 2 8" xfId="32626" xr:uid="{00000000-0005-0000-0000-00007F7F0000}"/>
    <cellStyle name="Positive 3 2 8 3 2 8 2" xfId="32627" xr:uid="{00000000-0005-0000-0000-0000807F0000}"/>
    <cellStyle name="Positive 3 2 8 3 2 9" xfId="32628" xr:uid="{00000000-0005-0000-0000-0000817F0000}"/>
    <cellStyle name="Positive 3 2 8 3 2 9 2" xfId="32629" xr:uid="{00000000-0005-0000-0000-0000827F0000}"/>
    <cellStyle name="Positive 3 2 8 3 20" xfId="32630" xr:uid="{00000000-0005-0000-0000-0000837F0000}"/>
    <cellStyle name="Positive 3 2 8 3 3" xfId="32631" xr:uid="{00000000-0005-0000-0000-0000847F0000}"/>
    <cellStyle name="Positive 3 2 8 3 3 2" xfId="32632" xr:uid="{00000000-0005-0000-0000-0000857F0000}"/>
    <cellStyle name="Positive 3 2 8 3 3 2 2" xfId="32633" xr:uid="{00000000-0005-0000-0000-0000867F0000}"/>
    <cellStyle name="Positive 3 2 8 3 3 3" xfId="32634" xr:uid="{00000000-0005-0000-0000-0000877F0000}"/>
    <cellStyle name="Positive 3 2 8 3 4" xfId="32635" xr:uid="{00000000-0005-0000-0000-0000887F0000}"/>
    <cellStyle name="Positive 3 2 8 3 4 2" xfId="32636" xr:uid="{00000000-0005-0000-0000-0000897F0000}"/>
    <cellStyle name="Positive 3 2 8 3 4 2 2" xfId="32637" xr:uid="{00000000-0005-0000-0000-00008A7F0000}"/>
    <cellStyle name="Positive 3 2 8 3 4 3" xfId="32638" xr:uid="{00000000-0005-0000-0000-00008B7F0000}"/>
    <cellStyle name="Positive 3 2 8 3 5" xfId="32639" xr:uid="{00000000-0005-0000-0000-00008C7F0000}"/>
    <cellStyle name="Positive 3 2 8 3 5 2" xfId="32640" xr:uid="{00000000-0005-0000-0000-00008D7F0000}"/>
    <cellStyle name="Positive 3 2 8 3 6" xfId="32641" xr:uid="{00000000-0005-0000-0000-00008E7F0000}"/>
    <cellStyle name="Positive 3 2 8 3 6 2" xfId="32642" xr:uid="{00000000-0005-0000-0000-00008F7F0000}"/>
    <cellStyle name="Positive 3 2 8 3 7" xfId="32643" xr:uid="{00000000-0005-0000-0000-0000907F0000}"/>
    <cellStyle name="Positive 3 2 8 3 7 2" xfId="32644" xr:uid="{00000000-0005-0000-0000-0000917F0000}"/>
    <cellStyle name="Positive 3 2 8 3 8" xfId="32645" xr:uid="{00000000-0005-0000-0000-0000927F0000}"/>
    <cellStyle name="Positive 3 2 8 3 8 2" xfId="32646" xr:uid="{00000000-0005-0000-0000-0000937F0000}"/>
    <cellStyle name="Positive 3 2 8 3 9" xfId="32647" xr:uid="{00000000-0005-0000-0000-0000947F0000}"/>
    <cellStyle name="Positive 3 2 8 3 9 2" xfId="32648" xr:uid="{00000000-0005-0000-0000-0000957F0000}"/>
    <cellStyle name="Positive 3 2 8 4" xfId="32649" xr:uid="{00000000-0005-0000-0000-0000967F0000}"/>
    <cellStyle name="Positive 3 2 8 4 10" xfId="32650" xr:uid="{00000000-0005-0000-0000-0000977F0000}"/>
    <cellStyle name="Positive 3 2 8 4 10 2" xfId="32651" xr:uid="{00000000-0005-0000-0000-0000987F0000}"/>
    <cellStyle name="Positive 3 2 8 4 11" xfId="32652" xr:uid="{00000000-0005-0000-0000-0000997F0000}"/>
    <cellStyle name="Positive 3 2 8 4 11 2" xfId="32653" xr:uid="{00000000-0005-0000-0000-00009A7F0000}"/>
    <cellStyle name="Positive 3 2 8 4 12" xfId="32654" xr:uid="{00000000-0005-0000-0000-00009B7F0000}"/>
    <cellStyle name="Positive 3 2 8 4 12 2" xfId="32655" xr:uid="{00000000-0005-0000-0000-00009C7F0000}"/>
    <cellStyle name="Positive 3 2 8 4 13" xfId="32656" xr:uid="{00000000-0005-0000-0000-00009D7F0000}"/>
    <cellStyle name="Positive 3 2 8 4 13 2" xfId="32657" xr:uid="{00000000-0005-0000-0000-00009E7F0000}"/>
    <cellStyle name="Positive 3 2 8 4 14" xfId="32658" xr:uid="{00000000-0005-0000-0000-00009F7F0000}"/>
    <cellStyle name="Positive 3 2 8 4 14 2" xfId="32659" xr:uid="{00000000-0005-0000-0000-0000A07F0000}"/>
    <cellStyle name="Positive 3 2 8 4 15" xfId="32660" xr:uid="{00000000-0005-0000-0000-0000A17F0000}"/>
    <cellStyle name="Positive 3 2 8 4 15 2" xfId="32661" xr:uid="{00000000-0005-0000-0000-0000A27F0000}"/>
    <cellStyle name="Positive 3 2 8 4 16" xfId="32662" xr:uid="{00000000-0005-0000-0000-0000A37F0000}"/>
    <cellStyle name="Positive 3 2 8 4 16 2" xfId="32663" xr:uid="{00000000-0005-0000-0000-0000A47F0000}"/>
    <cellStyle name="Positive 3 2 8 4 17" xfId="32664" xr:uid="{00000000-0005-0000-0000-0000A57F0000}"/>
    <cellStyle name="Positive 3 2 8 4 17 2" xfId="32665" xr:uid="{00000000-0005-0000-0000-0000A67F0000}"/>
    <cellStyle name="Positive 3 2 8 4 18" xfId="32666" xr:uid="{00000000-0005-0000-0000-0000A77F0000}"/>
    <cellStyle name="Positive 3 2 8 4 18 2" xfId="32667" xr:uid="{00000000-0005-0000-0000-0000A87F0000}"/>
    <cellStyle name="Positive 3 2 8 4 19" xfId="32668" xr:uid="{00000000-0005-0000-0000-0000A97F0000}"/>
    <cellStyle name="Positive 3 2 8 4 19 2" xfId="32669" xr:uid="{00000000-0005-0000-0000-0000AA7F0000}"/>
    <cellStyle name="Positive 3 2 8 4 2" xfId="32670" xr:uid="{00000000-0005-0000-0000-0000AB7F0000}"/>
    <cellStyle name="Positive 3 2 8 4 2 10" xfId="32671" xr:uid="{00000000-0005-0000-0000-0000AC7F0000}"/>
    <cellStyle name="Positive 3 2 8 4 2 10 2" xfId="32672" xr:uid="{00000000-0005-0000-0000-0000AD7F0000}"/>
    <cellStyle name="Positive 3 2 8 4 2 11" xfId="32673" xr:uid="{00000000-0005-0000-0000-0000AE7F0000}"/>
    <cellStyle name="Positive 3 2 8 4 2 11 2" xfId="32674" xr:uid="{00000000-0005-0000-0000-0000AF7F0000}"/>
    <cellStyle name="Positive 3 2 8 4 2 12" xfId="32675" xr:uid="{00000000-0005-0000-0000-0000B07F0000}"/>
    <cellStyle name="Positive 3 2 8 4 2 12 2" xfId="32676" xr:uid="{00000000-0005-0000-0000-0000B17F0000}"/>
    <cellStyle name="Positive 3 2 8 4 2 13" xfId="32677" xr:uid="{00000000-0005-0000-0000-0000B27F0000}"/>
    <cellStyle name="Positive 3 2 8 4 2 13 2" xfId="32678" xr:uid="{00000000-0005-0000-0000-0000B37F0000}"/>
    <cellStyle name="Positive 3 2 8 4 2 14" xfId="32679" xr:uid="{00000000-0005-0000-0000-0000B47F0000}"/>
    <cellStyle name="Positive 3 2 8 4 2 14 2" xfId="32680" xr:uid="{00000000-0005-0000-0000-0000B57F0000}"/>
    <cellStyle name="Positive 3 2 8 4 2 15" xfId="32681" xr:uid="{00000000-0005-0000-0000-0000B67F0000}"/>
    <cellStyle name="Positive 3 2 8 4 2 15 2" xfId="32682" xr:uid="{00000000-0005-0000-0000-0000B77F0000}"/>
    <cellStyle name="Positive 3 2 8 4 2 16" xfId="32683" xr:uid="{00000000-0005-0000-0000-0000B87F0000}"/>
    <cellStyle name="Positive 3 2 8 4 2 16 2" xfId="32684" xr:uid="{00000000-0005-0000-0000-0000B97F0000}"/>
    <cellStyle name="Positive 3 2 8 4 2 17" xfId="32685" xr:uid="{00000000-0005-0000-0000-0000BA7F0000}"/>
    <cellStyle name="Positive 3 2 8 4 2 2" xfId="32686" xr:uid="{00000000-0005-0000-0000-0000BB7F0000}"/>
    <cellStyle name="Positive 3 2 8 4 2 2 2" xfId="32687" xr:uid="{00000000-0005-0000-0000-0000BC7F0000}"/>
    <cellStyle name="Positive 3 2 8 4 2 3" xfId="32688" xr:uid="{00000000-0005-0000-0000-0000BD7F0000}"/>
    <cellStyle name="Positive 3 2 8 4 2 3 2" xfId="32689" xr:uid="{00000000-0005-0000-0000-0000BE7F0000}"/>
    <cellStyle name="Positive 3 2 8 4 2 4" xfId="32690" xr:uid="{00000000-0005-0000-0000-0000BF7F0000}"/>
    <cellStyle name="Positive 3 2 8 4 2 4 2" xfId="32691" xr:uid="{00000000-0005-0000-0000-0000C07F0000}"/>
    <cellStyle name="Positive 3 2 8 4 2 5" xfId="32692" xr:uid="{00000000-0005-0000-0000-0000C17F0000}"/>
    <cellStyle name="Positive 3 2 8 4 2 5 2" xfId="32693" xr:uid="{00000000-0005-0000-0000-0000C27F0000}"/>
    <cellStyle name="Positive 3 2 8 4 2 6" xfId="32694" xr:uid="{00000000-0005-0000-0000-0000C37F0000}"/>
    <cellStyle name="Positive 3 2 8 4 2 6 2" xfId="32695" xr:uid="{00000000-0005-0000-0000-0000C47F0000}"/>
    <cellStyle name="Positive 3 2 8 4 2 7" xfId="32696" xr:uid="{00000000-0005-0000-0000-0000C57F0000}"/>
    <cellStyle name="Positive 3 2 8 4 2 7 2" xfId="32697" xr:uid="{00000000-0005-0000-0000-0000C67F0000}"/>
    <cellStyle name="Positive 3 2 8 4 2 8" xfId="32698" xr:uid="{00000000-0005-0000-0000-0000C77F0000}"/>
    <cellStyle name="Positive 3 2 8 4 2 8 2" xfId="32699" xr:uid="{00000000-0005-0000-0000-0000C87F0000}"/>
    <cellStyle name="Positive 3 2 8 4 2 9" xfId="32700" xr:uid="{00000000-0005-0000-0000-0000C97F0000}"/>
    <cellStyle name="Positive 3 2 8 4 2 9 2" xfId="32701" xr:uid="{00000000-0005-0000-0000-0000CA7F0000}"/>
    <cellStyle name="Positive 3 2 8 4 20" xfId="32702" xr:uid="{00000000-0005-0000-0000-0000CB7F0000}"/>
    <cellStyle name="Positive 3 2 8 4 3" xfId="32703" xr:uid="{00000000-0005-0000-0000-0000CC7F0000}"/>
    <cellStyle name="Positive 3 2 8 4 3 2" xfId="32704" xr:uid="{00000000-0005-0000-0000-0000CD7F0000}"/>
    <cellStyle name="Positive 3 2 8 4 3 2 2" xfId="32705" xr:uid="{00000000-0005-0000-0000-0000CE7F0000}"/>
    <cellStyle name="Positive 3 2 8 4 3 3" xfId="32706" xr:uid="{00000000-0005-0000-0000-0000CF7F0000}"/>
    <cellStyle name="Positive 3 2 8 4 4" xfId="32707" xr:uid="{00000000-0005-0000-0000-0000D07F0000}"/>
    <cellStyle name="Positive 3 2 8 4 4 2" xfId="32708" xr:uid="{00000000-0005-0000-0000-0000D17F0000}"/>
    <cellStyle name="Positive 3 2 8 4 4 2 2" xfId="32709" xr:uid="{00000000-0005-0000-0000-0000D27F0000}"/>
    <cellStyle name="Positive 3 2 8 4 4 3" xfId="32710" xr:uid="{00000000-0005-0000-0000-0000D37F0000}"/>
    <cellStyle name="Positive 3 2 8 4 5" xfId="32711" xr:uid="{00000000-0005-0000-0000-0000D47F0000}"/>
    <cellStyle name="Positive 3 2 8 4 5 2" xfId="32712" xr:uid="{00000000-0005-0000-0000-0000D57F0000}"/>
    <cellStyle name="Positive 3 2 8 4 6" xfId="32713" xr:uid="{00000000-0005-0000-0000-0000D67F0000}"/>
    <cellStyle name="Positive 3 2 8 4 6 2" xfId="32714" xr:uid="{00000000-0005-0000-0000-0000D77F0000}"/>
    <cellStyle name="Positive 3 2 8 4 7" xfId="32715" xr:uid="{00000000-0005-0000-0000-0000D87F0000}"/>
    <cellStyle name="Positive 3 2 8 4 7 2" xfId="32716" xr:uid="{00000000-0005-0000-0000-0000D97F0000}"/>
    <cellStyle name="Positive 3 2 8 4 8" xfId="32717" xr:uid="{00000000-0005-0000-0000-0000DA7F0000}"/>
    <cellStyle name="Positive 3 2 8 4 8 2" xfId="32718" xr:uid="{00000000-0005-0000-0000-0000DB7F0000}"/>
    <cellStyle name="Positive 3 2 8 4 9" xfId="32719" xr:uid="{00000000-0005-0000-0000-0000DC7F0000}"/>
    <cellStyle name="Positive 3 2 8 4 9 2" xfId="32720" xr:uid="{00000000-0005-0000-0000-0000DD7F0000}"/>
    <cellStyle name="Positive 3 2 8 5" xfId="32721" xr:uid="{00000000-0005-0000-0000-0000DE7F0000}"/>
    <cellStyle name="Positive 3 2 8 5 10" xfId="32722" xr:uid="{00000000-0005-0000-0000-0000DF7F0000}"/>
    <cellStyle name="Positive 3 2 8 5 10 2" xfId="32723" xr:uid="{00000000-0005-0000-0000-0000E07F0000}"/>
    <cellStyle name="Positive 3 2 8 5 11" xfId="32724" xr:uid="{00000000-0005-0000-0000-0000E17F0000}"/>
    <cellStyle name="Positive 3 2 8 5 11 2" xfId="32725" xr:uid="{00000000-0005-0000-0000-0000E27F0000}"/>
    <cellStyle name="Positive 3 2 8 5 12" xfId="32726" xr:uid="{00000000-0005-0000-0000-0000E37F0000}"/>
    <cellStyle name="Positive 3 2 8 5 12 2" xfId="32727" xr:uid="{00000000-0005-0000-0000-0000E47F0000}"/>
    <cellStyle name="Positive 3 2 8 5 13" xfId="32728" xr:uid="{00000000-0005-0000-0000-0000E57F0000}"/>
    <cellStyle name="Positive 3 2 8 5 13 2" xfId="32729" xr:uid="{00000000-0005-0000-0000-0000E67F0000}"/>
    <cellStyle name="Positive 3 2 8 5 14" xfId="32730" xr:uid="{00000000-0005-0000-0000-0000E77F0000}"/>
    <cellStyle name="Positive 3 2 8 5 14 2" xfId="32731" xr:uid="{00000000-0005-0000-0000-0000E87F0000}"/>
    <cellStyle name="Positive 3 2 8 5 15" xfId="32732" xr:uid="{00000000-0005-0000-0000-0000E97F0000}"/>
    <cellStyle name="Positive 3 2 8 5 15 2" xfId="32733" xr:uid="{00000000-0005-0000-0000-0000EA7F0000}"/>
    <cellStyle name="Positive 3 2 8 5 16" xfId="32734" xr:uid="{00000000-0005-0000-0000-0000EB7F0000}"/>
    <cellStyle name="Positive 3 2 8 5 16 2" xfId="32735" xr:uid="{00000000-0005-0000-0000-0000EC7F0000}"/>
    <cellStyle name="Positive 3 2 8 5 17" xfId="32736" xr:uid="{00000000-0005-0000-0000-0000ED7F0000}"/>
    <cellStyle name="Positive 3 2 8 5 2" xfId="32737" xr:uid="{00000000-0005-0000-0000-0000EE7F0000}"/>
    <cellStyle name="Positive 3 2 8 5 2 2" xfId="32738" xr:uid="{00000000-0005-0000-0000-0000EF7F0000}"/>
    <cellStyle name="Positive 3 2 8 5 3" xfId="32739" xr:uid="{00000000-0005-0000-0000-0000F07F0000}"/>
    <cellStyle name="Positive 3 2 8 5 3 2" xfId="32740" xr:uid="{00000000-0005-0000-0000-0000F17F0000}"/>
    <cellStyle name="Positive 3 2 8 5 4" xfId="32741" xr:uid="{00000000-0005-0000-0000-0000F27F0000}"/>
    <cellStyle name="Positive 3 2 8 5 4 2" xfId="32742" xr:uid="{00000000-0005-0000-0000-0000F37F0000}"/>
    <cellStyle name="Positive 3 2 8 5 5" xfId="32743" xr:uid="{00000000-0005-0000-0000-0000F47F0000}"/>
    <cellStyle name="Positive 3 2 8 5 5 2" xfId="32744" xr:uid="{00000000-0005-0000-0000-0000F57F0000}"/>
    <cellStyle name="Positive 3 2 8 5 6" xfId="32745" xr:uid="{00000000-0005-0000-0000-0000F67F0000}"/>
    <cellStyle name="Positive 3 2 8 5 6 2" xfId="32746" xr:uid="{00000000-0005-0000-0000-0000F77F0000}"/>
    <cellStyle name="Positive 3 2 8 5 7" xfId="32747" xr:uid="{00000000-0005-0000-0000-0000F87F0000}"/>
    <cellStyle name="Positive 3 2 8 5 7 2" xfId="32748" xr:uid="{00000000-0005-0000-0000-0000F97F0000}"/>
    <cellStyle name="Positive 3 2 8 5 8" xfId="32749" xr:uid="{00000000-0005-0000-0000-0000FA7F0000}"/>
    <cellStyle name="Positive 3 2 8 5 8 2" xfId="32750" xr:uid="{00000000-0005-0000-0000-0000FB7F0000}"/>
    <cellStyle name="Positive 3 2 8 5 9" xfId="32751" xr:uid="{00000000-0005-0000-0000-0000FC7F0000}"/>
    <cellStyle name="Positive 3 2 8 5 9 2" xfId="32752" xr:uid="{00000000-0005-0000-0000-0000FD7F0000}"/>
    <cellStyle name="Positive 3 2 8 6" xfId="32753" xr:uid="{00000000-0005-0000-0000-0000FE7F0000}"/>
    <cellStyle name="Positive 3 2 8 6 2" xfId="32754" xr:uid="{00000000-0005-0000-0000-0000FF7F0000}"/>
    <cellStyle name="Positive 3 2 8 6 2 2" xfId="32755" xr:uid="{00000000-0005-0000-0000-000000800000}"/>
    <cellStyle name="Positive 3 2 8 6 3" xfId="32756" xr:uid="{00000000-0005-0000-0000-000001800000}"/>
    <cellStyle name="Positive 3 2 8 7" xfId="32757" xr:uid="{00000000-0005-0000-0000-000002800000}"/>
    <cellStyle name="Positive 3 2 8 7 2" xfId="32758" xr:uid="{00000000-0005-0000-0000-000003800000}"/>
    <cellStyle name="Positive 3 2 8 7 2 2" xfId="32759" xr:uid="{00000000-0005-0000-0000-000004800000}"/>
    <cellStyle name="Positive 3 2 8 7 3" xfId="32760" xr:uid="{00000000-0005-0000-0000-000005800000}"/>
    <cellStyle name="Positive 3 2 8 8" xfId="32761" xr:uid="{00000000-0005-0000-0000-000006800000}"/>
    <cellStyle name="Positive 3 2 8 8 2" xfId="32762" xr:uid="{00000000-0005-0000-0000-000007800000}"/>
    <cellStyle name="Positive 3 2 8 9" xfId="32763" xr:uid="{00000000-0005-0000-0000-000008800000}"/>
    <cellStyle name="Positive 3 2 8 9 2" xfId="32764" xr:uid="{00000000-0005-0000-0000-000009800000}"/>
    <cellStyle name="Positive 3 2 9" xfId="32765" xr:uid="{00000000-0005-0000-0000-00000A800000}"/>
    <cellStyle name="Positive 3 2 9 10" xfId="32766" xr:uid="{00000000-0005-0000-0000-00000B800000}"/>
    <cellStyle name="Positive 3 2 9 10 2" xfId="32767" xr:uid="{00000000-0005-0000-0000-00000C800000}"/>
    <cellStyle name="Positive 3 2 9 11" xfId="32768" xr:uid="{00000000-0005-0000-0000-00000D800000}"/>
    <cellStyle name="Positive 3 2 9 11 2" xfId="32769" xr:uid="{00000000-0005-0000-0000-00000E800000}"/>
    <cellStyle name="Positive 3 2 9 12" xfId="32770" xr:uid="{00000000-0005-0000-0000-00000F800000}"/>
    <cellStyle name="Positive 3 2 9 12 2" xfId="32771" xr:uid="{00000000-0005-0000-0000-000010800000}"/>
    <cellStyle name="Positive 3 2 9 13" xfId="32772" xr:uid="{00000000-0005-0000-0000-000011800000}"/>
    <cellStyle name="Positive 3 2 9 13 2" xfId="32773" xr:uid="{00000000-0005-0000-0000-000012800000}"/>
    <cellStyle name="Positive 3 2 9 14" xfId="32774" xr:uid="{00000000-0005-0000-0000-000013800000}"/>
    <cellStyle name="Positive 3 2 9 14 2" xfId="32775" xr:uid="{00000000-0005-0000-0000-000014800000}"/>
    <cellStyle name="Positive 3 2 9 15" xfId="32776" xr:uid="{00000000-0005-0000-0000-000015800000}"/>
    <cellStyle name="Positive 3 2 9 15 2" xfId="32777" xr:uid="{00000000-0005-0000-0000-000016800000}"/>
    <cellStyle name="Positive 3 2 9 16" xfId="32778" xr:uid="{00000000-0005-0000-0000-000017800000}"/>
    <cellStyle name="Positive 3 2 9 16 2" xfId="32779" xr:uid="{00000000-0005-0000-0000-000018800000}"/>
    <cellStyle name="Positive 3 2 9 17" xfId="32780" xr:uid="{00000000-0005-0000-0000-000019800000}"/>
    <cellStyle name="Positive 3 2 9 17 2" xfId="32781" xr:uid="{00000000-0005-0000-0000-00001A800000}"/>
    <cellStyle name="Positive 3 2 9 18" xfId="32782" xr:uid="{00000000-0005-0000-0000-00001B800000}"/>
    <cellStyle name="Positive 3 2 9 18 2" xfId="32783" xr:uid="{00000000-0005-0000-0000-00001C800000}"/>
    <cellStyle name="Positive 3 2 9 19" xfId="32784" xr:uid="{00000000-0005-0000-0000-00001D800000}"/>
    <cellStyle name="Positive 3 2 9 19 2" xfId="32785" xr:uid="{00000000-0005-0000-0000-00001E800000}"/>
    <cellStyle name="Positive 3 2 9 2" xfId="32786" xr:uid="{00000000-0005-0000-0000-00001F800000}"/>
    <cellStyle name="Positive 3 2 9 2 10" xfId="32787" xr:uid="{00000000-0005-0000-0000-000020800000}"/>
    <cellStyle name="Positive 3 2 9 2 10 2" xfId="32788" xr:uid="{00000000-0005-0000-0000-000021800000}"/>
    <cellStyle name="Positive 3 2 9 2 11" xfId="32789" xr:uid="{00000000-0005-0000-0000-000022800000}"/>
    <cellStyle name="Positive 3 2 9 2 11 2" xfId="32790" xr:uid="{00000000-0005-0000-0000-000023800000}"/>
    <cellStyle name="Positive 3 2 9 2 12" xfId="32791" xr:uid="{00000000-0005-0000-0000-000024800000}"/>
    <cellStyle name="Positive 3 2 9 2 12 2" xfId="32792" xr:uid="{00000000-0005-0000-0000-000025800000}"/>
    <cellStyle name="Positive 3 2 9 2 13" xfId="32793" xr:uid="{00000000-0005-0000-0000-000026800000}"/>
    <cellStyle name="Positive 3 2 9 2 13 2" xfId="32794" xr:uid="{00000000-0005-0000-0000-000027800000}"/>
    <cellStyle name="Positive 3 2 9 2 14" xfId="32795" xr:uid="{00000000-0005-0000-0000-000028800000}"/>
    <cellStyle name="Positive 3 2 9 2 14 2" xfId="32796" xr:uid="{00000000-0005-0000-0000-000029800000}"/>
    <cellStyle name="Positive 3 2 9 2 15" xfId="32797" xr:uid="{00000000-0005-0000-0000-00002A800000}"/>
    <cellStyle name="Positive 3 2 9 2 15 2" xfId="32798" xr:uid="{00000000-0005-0000-0000-00002B800000}"/>
    <cellStyle name="Positive 3 2 9 2 16" xfId="32799" xr:uid="{00000000-0005-0000-0000-00002C800000}"/>
    <cellStyle name="Positive 3 2 9 2 16 2" xfId="32800" xr:uid="{00000000-0005-0000-0000-00002D800000}"/>
    <cellStyle name="Positive 3 2 9 2 17" xfId="32801" xr:uid="{00000000-0005-0000-0000-00002E800000}"/>
    <cellStyle name="Positive 3 2 9 2 17 2" xfId="32802" xr:uid="{00000000-0005-0000-0000-00002F800000}"/>
    <cellStyle name="Positive 3 2 9 2 18" xfId="32803" xr:uid="{00000000-0005-0000-0000-000030800000}"/>
    <cellStyle name="Positive 3 2 9 2 18 2" xfId="32804" xr:uid="{00000000-0005-0000-0000-000031800000}"/>
    <cellStyle name="Positive 3 2 9 2 19" xfId="32805" xr:uid="{00000000-0005-0000-0000-000032800000}"/>
    <cellStyle name="Positive 3 2 9 2 19 2" xfId="32806" xr:uid="{00000000-0005-0000-0000-000033800000}"/>
    <cellStyle name="Positive 3 2 9 2 2" xfId="32807" xr:uid="{00000000-0005-0000-0000-000034800000}"/>
    <cellStyle name="Positive 3 2 9 2 2 10" xfId="32808" xr:uid="{00000000-0005-0000-0000-000035800000}"/>
    <cellStyle name="Positive 3 2 9 2 2 10 2" xfId="32809" xr:uid="{00000000-0005-0000-0000-000036800000}"/>
    <cellStyle name="Positive 3 2 9 2 2 11" xfId="32810" xr:uid="{00000000-0005-0000-0000-000037800000}"/>
    <cellStyle name="Positive 3 2 9 2 2 11 2" xfId="32811" xr:uid="{00000000-0005-0000-0000-000038800000}"/>
    <cellStyle name="Positive 3 2 9 2 2 12" xfId="32812" xr:uid="{00000000-0005-0000-0000-000039800000}"/>
    <cellStyle name="Positive 3 2 9 2 2 12 2" xfId="32813" xr:uid="{00000000-0005-0000-0000-00003A800000}"/>
    <cellStyle name="Positive 3 2 9 2 2 13" xfId="32814" xr:uid="{00000000-0005-0000-0000-00003B800000}"/>
    <cellStyle name="Positive 3 2 9 2 2 13 2" xfId="32815" xr:uid="{00000000-0005-0000-0000-00003C800000}"/>
    <cellStyle name="Positive 3 2 9 2 2 14" xfId="32816" xr:uid="{00000000-0005-0000-0000-00003D800000}"/>
    <cellStyle name="Positive 3 2 9 2 2 14 2" xfId="32817" xr:uid="{00000000-0005-0000-0000-00003E800000}"/>
    <cellStyle name="Positive 3 2 9 2 2 15" xfId="32818" xr:uid="{00000000-0005-0000-0000-00003F800000}"/>
    <cellStyle name="Positive 3 2 9 2 2 15 2" xfId="32819" xr:uid="{00000000-0005-0000-0000-000040800000}"/>
    <cellStyle name="Positive 3 2 9 2 2 16" xfId="32820" xr:uid="{00000000-0005-0000-0000-000041800000}"/>
    <cellStyle name="Positive 3 2 9 2 2 16 2" xfId="32821" xr:uid="{00000000-0005-0000-0000-000042800000}"/>
    <cellStyle name="Positive 3 2 9 2 2 17" xfId="32822" xr:uid="{00000000-0005-0000-0000-000043800000}"/>
    <cellStyle name="Positive 3 2 9 2 2 2" xfId="32823" xr:uid="{00000000-0005-0000-0000-000044800000}"/>
    <cellStyle name="Positive 3 2 9 2 2 2 2" xfId="32824" xr:uid="{00000000-0005-0000-0000-000045800000}"/>
    <cellStyle name="Positive 3 2 9 2 2 3" xfId="32825" xr:uid="{00000000-0005-0000-0000-000046800000}"/>
    <cellStyle name="Positive 3 2 9 2 2 3 2" xfId="32826" xr:uid="{00000000-0005-0000-0000-000047800000}"/>
    <cellStyle name="Positive 3 2 9 2 2 4" xfId="32827" xr:uid="{00000000-0005-0000-0000-000048800000}"/>
    <cellStyle name="Positive 3 2 9 2 2 4 2" xfId="32828" xr:uid="{00000000-0005-0000-0000-000049800000}"/>
    <cellStyle name="Positive 3 2 9 2 2 5" xfId="32829" xr:uid="{00000000-0005-0000-0000-00004A800000}"/>
    <cellStyle name="Positive 3 2 9 2 2 5 2" xfId="32830" xr:uid="{00000000-0005-0000-0000-00004B800000}"/>
    <cellStyle name="Positive 3 2 9 2 2 6" xfId="32831" xr:uid="{00000000-0005-0000-0000-00004C800000}"/>
    <cellStyle name="Positive 3 2 9 2 2 6 2" xfId="32832" xr:uid="{00000000-0005-0000-0000-00004D800000}"/>
    <cellStyle name="Positive 3 2 9 2 2 7" xfId="32833" xr:uid="{00000000-0005-0000-0000-00004E800000}"/>
    <cellStyle name="Positive 3 2 9 2 2 7 2" xfId="32834" xr:uid="{00000000-0005-0000-0000-00004F800000}"/>
    <cellStyle name="Positive 3 2 9 2 2 8" xfId="32835" xr:uid="{00000000-0005-0000-0000-000050800000}"/>
    <cellStyle name="Positive 3 2 9 2 2 8 2" xfId="32836" xr:uid="{00000000-0005-0000-0000-000051800000}"/>
    <cellStyle name="Positive 3 2 9 2 2 9" xfId="32837" xr:uid="{00000000-0005-0000-0000-000052800000}"/>
    <cellStyle name="Positive 3 2 9 2 2 9 2" xfId="32838" xr:uid="{00000000-0005-0000-0000-000053800000}"/>
    <cellStyle name="Positive 3 2 9 2 20" xfId="32839" xr:uid="{00000000-0005-0000-0000-000054800000}"/>
    <cellStyle name="Positive 3 2 9 2 3" xfId="32840" xr:uid="{00000000-0005-0000-0000-000055800000}"/>
    <cellStyle name="Positive 3 2 9 2 3 2" xfId="32841" xr:uid="{00000000-0005-0000-0000-000056800000}"/>
    <cellStyle name="Positive 3 2 9 2 3 2 2" xfId="32842" xr:uid="{00000000-0005-0000-0000-000057800000}"/>
    <cellStyle name="Positive 3 2 9 2 3 3" xfId="32843" xr:uid="{00000000-0005-0000-0000-000058800000}"/>
    <cellStyle name="Positive 3 2 9 2 4" xfId="32844" xr:uid="{00000000-0005-0000-0000-000059800000}"/>
    <cellStyle name="Positive 3 2 9 2 4 2" xfId="32845" xr:uid="{00000000-0005-0000-0000-00005A800000}"/>
    <cellStyle name="Positive 3 2 9 2 4 2 2" xfId="32846" xr:uid="{00000000-0005-0000-0000-00005B800000}"/>
    <cellStyle name="Positive 3 2 9 2 4 3" xfId="32847" xr:uid="{00000000-0005-0000-0000-00005C800000}"/>
    <cellStyle name="Positive 3 2 9 2 5" xfId="32848" xr:uid="{00000000-0005-0000-0000-00005D800000}"/>
    <cellStyle name="Positive 3 2 9 2 5 2" xfId="32849" xr:uid="{00000000-0005-0000-0000-00005E800000}"/>
    <cellStyle name="Positive 3 2 9 2 6" xfId="32850" xr:uid="{00000000-0005-0000-0000-00005F800000}"/>
    <cellStyle name="Positive 3 2 9 2 6 2" xfId="32851" xr:uid="{00000000-0005-0000-0000-000060800000}"/>
    <cellStyle name="Positive 3 2 9 2 7" xfId="32852" xr:uid="{00000000-0005-0000-0000-000061800000}"/>
    <cellStyle name="Positive 3 2 9 2 7 2" xfId="32853" xr:uid="{00000000-0005-0000-0000-000062800000}"/>
    <cellStyle name="Positive 3 2 9 2 8" xfId="32854" xr:uid="{00000000-0005-0000-0000-000063800000}"/>
    <cellStyle name="Positive 3 2 9 2 8 2" xfId="32855" xr:uid="{00000000-0005-0000-0000-000064800000}"/>
    <cellStyle name="Positive 3 2 9 2 9" xfId="32856" xr:uid="{00000000-0005-0000-0000-000065800000}"/>
    <cellStyle name="Positive 3 2 9 2 9 2" xfId="32857" xr:uid="{00000000-0005-0000-0000-000066800000}"/>
    <cellStyle name="Positive 3 2 9 20" xfId="32858" xr:uid="{00000000-0005-0000-0000-000067800000}"/>
    <cellStyle name="Positive 3 2 9 20 2" xfId="32859" xr:uid="{00000000-0005-0000-0000-000068800000}"/>
    <cellStyle name="Positive 3 2 9 21" xfId="32860" xr:uid="{00000000-0005-0000-0000-000069800000}"/>
    <cellStyle name="Positive 3 2 9 21 2" xfId="32861" xr:uid="{00000000-0005-0000-0000-00006A800000}"/>
    <cellStyle name="Positive 3 2 9 22" xfId="32862" xr:uid="{00000000-0005-0000-0000-00006B800000}"/>
    <cellStyle name="Positive 3 2 9 22 2" xfId="32863" xr:uid="{00000000-0005-0000-0000-00006C800000}"/>
    <cellStyle name="Positive 3 2 9 23" xfId="32864" xr:uid="{00000000-0005-0000-0000-00006D800000}"/>
    <cellStyle name="Positive 3 2 9 3" xfId="32865" xr:uid="{00000000-0005-0000-0000-00006E800000}"/>
    <cellStyle name="Positive 3 2 9 3 10" xfId="32866" xr:uid="{00000000-0005-0000-0000-00006F800000}"/>
    <cellStyle name="Positive 3 2 9 3 10 2" xfId="32867" xr:uid="{00000000-0005-0000-0000-000070800000}"/>
    <cellStyle name="Positive 3 2 9 3 11" xfId="32868" xr:uid="{00000000-0005-0000-0000-000071800000}"/>
    <cellStyle name="Positive 3 2 9 3 11 2" xfId="32869" xr:uid="{00000000-0005-0000-0000-000072800000}"/>
    <cellStyle name="Positive 3 2 9 3 12" xfId="32870" xr:uid="{00000000-0005-0000-0000-000073800000}"/>
    <cellStyle name="Positive 3 2 9 3 12 2" xfId="32871" xr:uid="{00000000-0005-0000-0000-000074800000}"/>
    <cellStyle name="Positive 3 2 9 3 13" xfId="32872" xr:uid="{00000000-0005-0000-0000-000075800000}"/>
    <cellStyle name="Positive 3 2 9 3 13 2" xfId="32873" xr:uid="{00000000-0005-0000-0000-000076800000}"/>
    <cellStyle name="Positive 3 2 9 3 14" xfId="32874" xr:uid="{00000000-0005-0000-0000-000077800000}"/>
    <cellStyle name="Positive 3 2 9 3 14 2" xfId="32875" xr:uid="{00000000-0005-0000-0000-000078800000}"/>
    <cellStyle name="Positive 3 2 9 3 15" xfId="32876" xr:uid="{00000000-0005-0000-0000-000079800000}"/>
    <cellStyle name="Positive 3 2 9 3 15 2" xfId="32877" xr:uid="{00000000-0005-0000-0000-00007A800000}"/>
    <cellStyle name="Positive 3 2 9 3 16" xfId="32878" xr:uid="{00000000-0005-0000-0000-00007B800000}"/>
    <cellStyle name="Positive 3 2 9 3 16 2" xfId="32879" xr:uid="{00000000-0005-0000-0000-00007C800000}"/>
    <cellStyle name="Positive 3 2 9 3 17" xfId="32880" xr:uid="{00000000-0005-0000-0000-00007D800000}"/>
    <cellStyle name="Positive 3 2 9 3 17 2" xfId="32881" xr:uid="{00000000-0005-0000-0000-00007E800000}"/>
    <cellStyle name="Positive 3 2 9 3 18" xfId="32882" xr:uid="{00000000-0005-0000-0000-00007F800000}"/>
    <cellStyle name="Positive 3 2 9 3 18 2" xfId="32883" xr:uid="{00000000-0005-0000-0000-000080800000}"/>
    <cellStyle name="Positive 3 2 9 3 19" xfId="32884" xr:uid="{00000000-0005-0000-0000-000081800000}"/>
    <cellStyle name="Positive 3 2 9 3 19 2" xfId="32885" xr:uid="{00000000-0005-0000-0000-000082800000}"/>
    <cellStyle name="Positive 3 2 9 3 2" xfId="32886" xr:uid="{00000000-0005-0000-0000-000083800000}"/>
    <cellStyle name="Positive 3 2 9 3 2 10" xfId="32887" xr:uid="{00000000-0005-0000-0000-000084800000}"/>
    <cellStyle name="Positive 3 2 9 3 2 10 2" xfId="32888" xr:uid="{00000000-0005-0000-0000-000085800000}"/>
    <cellStyle name="Positive 3 2 9 3 2 11" xfId="32889" xr:uid="{00000000-0005-0000-0000-000086800000}"/>
    <cellStyle name="Positive 3 2 9 3 2 11 2" xfId="32890" xr:uid="{00000000-0005-0000-0000-000087800000}"/>
    <cellStyle name="Positive 3 2 9 3 2 12" xfId="32891" xr:uid="{00000000-0005-0000-0000-000088800000}"/>
    <cellStyle name="Positive 3 2 9 3 2 12 2" xfId="32892" xr:uid="{00000000-0005-0000-0000-000089800000}"/>
    <cellStyle name="Positive 3 2 9 3 2 13" xfId="32893" xr:uid="{00000000-0005-0000-0000-00008A800000}"/>
    <cellStyle name="Positive 3 2 9 3 2 13 2" xfId="32894" xr:uid="{00000000-0005-0000-0000-00008B800000}"/>
    <cellStyle name="Positive 3 2 9 3 2 14" xfId="32895" xr:uid="{00000000-0005-0000-0000-00008C800000}"/>
    <cellStyle name="Positive 3 2 9 3 2 14 2" xfId="32896" xr:uid="{00000000-0005-0000-0000-00008D800000}"/>
    <cellStyle name="Positive 3 2 9 3 2 15" xfId="32897" xr:uid="{00000000-0005-0000-0000-00008E800000}"/>
    <cellStyle name="Positive 3 2 9 3 2 15 2" xfId="32898" xr:uid="{00000000-0005-0000-0000-00008F800000}"/>
    <cellStyle name="Positive 3 2 9 3 2 16" xfId="32899" xr:uid="{00000000-0005-0000-0000-000090800000}"/>
    <cellStyle name="Positive 3 2 9 3 2 16 2" xfId="32900" xr:uid="{00000000-0005-0000-0000-000091800000}"/>
    <cellStyle name="Positive 3 2 9 3 2 17" xfId="32901" xr:uid="{00000000-0005-0000-0000-000092800000}"/>
    <cellStyle name="Positive 3 2 9 3 2 2" xfId="32902" xr:uid="{00000000-0005-0000-0000-000093800000}"/>
    <cellStyle name="Positive 3 2 9 3 2 2 2" xfId="32903" xr:uid="{00000000-0005-0000-0000-000094800000}"/>
    <cellStyle name="Positive 3 2 9 3 2 3" xfId="32904" xr:uid="{00000000-0005-0000-0000-000095800000}"/>
    <cellStyle name="Positive 3 2 9 3 2 3 2" xfId="32905" xr:uid="{00000000-0005-0000-0000-000096800000}"/>
    <cellStyle name="Positive 3 2 9 3 2 4" xfId="32906" xr:uid="{00000000-0005-0000-0000-000097800000}"/>
    <cellStyle name="Positive 3 2 9 3 2 4 2" xfId="32907" xr:uid="{00000000-0005-0000-0000-000098800000}"/>
    <cellStyle name="Positive 3 2 9 3 2 5" xfId="32908" xr:uid="{00000000-0005-0000-0000-000099800000}"/>
    <cellStyle name="Positive 3 2 9 3 2 5 2" xfId="32909" xr:uid="{00000000-0005-0000-0000-00009A800000}"/>
    <cellStyle name="Positive 3 2 9 3 2 6" xfId="32910" xr:uid="{00000000-0005-0000-0000-00009B800000}"/>
    <cellStyle name="Positive 3 2 9 3 2 6 2" xfId="32911" xr:uid="{00000000-0005-0000-0000-00009C800000}"/>
    <cellStyle name="Positive 3 2 9 3 2 7" xfId="32912" xr:uid="{00000000-0005-0000-0000-00009D800000}"/>
    <cellStyle name="Positive 3 2 9 3 2 7 2" xfId="32913" xr:uid="{00000000-0005-0000-0000-00009E800000}"/>
    <cellStyle name="Positive 3 2 9 3 2 8" xfId="32914" xr:uid="{00000000-0005-0000-0000-00009F800000}"/>
    <cellStyle name="Positive 3 2 9 3 2 8 2" xfId="32915" xr:uid="{00000000-0005-0000-0000-0000A0800000}"/>
    <cellStyle name="Positive 3 2 9 3 2 9" xfId="32916" xr:uid="{00000000-0005-0000-0000-0000A1800000}"/>
    <cellStyle name="Positive 3 2 9 3 2 9 2" xfId="32917" xr:uid="{00000000-0005-0000-0000-0000A2800000}"/>
    <cellStyle name="Positive 3 2 9 3 20" xfId="32918" xr:uid="{00000000-0005-0000-0000-0000A3800000}"/>
    <cellStyle name="Positive 3 2 9 3 3" xfId="32919" xr:uid="{00000000-0005-0000-0000-0000A4800000}"/>
    <cellStyle name="Positive 3 2 9 3 3 2" xfId="32920" xr:uid="{00000000-0005-0000-0000-0000A5800000}"/>
    <cellStyle name="Positive 3 2 9 3 3 2 2" xfId="32921" xr:uid="{00000000-0005-0000-0000-0000A6800000}"/>
    <cellStyle name="Positive 3 2 9 3 3 3" xfId="32922" xr:uid="{00000000-0005-0000-0000-0000A7800000}"/>
    <cellStyle name="Positive 3 2 9 3 4" xfId="32923" xr:uid="{00000000-0005-0000-0000-0000A8800000}"/>
    <cellStyle name="Positive 3 2 9 3 4 2" xfId="32924" xr:uid="{00000000-0005-0000-0000-0000A9800000}"/>
    <cellStyle name="Positive 3 2 9 3 4 2 2" xfId="32925" xr:uid="{00000000-0005-0000-0000-0000AA800000}"/>
    <cellStyle name="Positive 3 2 9 3 4 3" xfId="32926" xr:uid="{00000000-0005-0000-0000-0000AB800000}"/>
    <cellStyle name="Positive 3 2 9 3 5" xfId="32927" xr:uid="{00000000-0005-0000-0000-0000AC800000}"/>
    <cellStyle name="Positive 3 2 9 3 5 2" xfId="32928" xr:uid="{00000000-0005-0000-0000-0000AD800000}"/>
    <cellStyle name="Positive 3 2 9 3 6" xfId="32929" xr:uid="{00000000-0005-0000-0000-0000AE800000}"/>
    <cellStyle name="Positive 3 2 9 3 6 2" xfId="32930" xr:uid="{00000000-0005-0000-0000-0000AF800000}"/>
    <cellStyle name="Positive 3 2 9 3 7" xfId="32931" xr:uid="{00000000-0005-0000-0000-0000B0800000}"/>
    <cellStyle name="Positive 3 2 9 3 7 2" xfId="32932" xr:uid="{00000000-0005-0000-0000-0000B1800000}"/>
    <cellStyle name="Positive 3 2 9 3 8" xfId="32933" xr:uid="{00000000-0005-0000-0000-0000B2800000}"/>
    <cellStyle name="Positive 3 2 9 3 8 2" xfId="32934" xr:uid="{00000000-0005-0000-0000-0000B3800000}"/>
    <cellStyle name="Positive 3 2 9 3 9" xfId="32935" xr:uid="{00000000-0005-0000-0000-0000B4800000}"/>
    <cellStyle name="Positive 3 2 9 3 9 2" xfId="32936" xr:uid="{00000000-0005-0000-0000-0000B5800000}"/>
    <cellStyle name="Positive 3 2 9 4" xfId="32937" xr:uid="{00000000-0005-0000-0000-0000B6800000}"/>
    <cellStyle name="Positive 3 2 9 4 10" xfId="32938" xr:uid="{00000000-0005-0000-0000-0000B7800000}"/>
    <cellStyle name="Positive 3 2 9 4 10 2" xfId="32939" xr:uid="{00000000-0005-0000-0000-0000B8800000}"/>
    <cellStyle name="Positive 3 2 9 4 11" xfId="32940" xr:uid="{00000000-0005-0000-0000-0000B9800000}"/>
    <cellStyle name="Positive 3 2 9 4 11 2" xfId="32941" xr:uid="{00000000-0005-0000-0000-0000BA800000}"/>
    <cellStyle name="Positive 3 2 9 4 12" xfId="32942" xr:uid="{00000000-0005-0000-0000-0000BB800000}"/>
    <cellStyle name="Positive 3 2 9 4 12 2" xfId="32943" xr:uid="{00000000-0005-0000-0000-0000BC800000}"/>
    <cellStyle name="Positive 3 2 9 4 13" xfId="32944" xr:uid="{00000000-0005-0000-0000-0000BD800000}"/>
    <cellStyle name="Positive 3 2 9 4 13 2" xfId="32945" xr:uid="{00000000-0005-0000-0000-0000BE800000}"/>
    <cellStyle name="Positive 3 2 9 4 14" xfId="32946" xr:uid="{00000000-0005-0000-0000-0000BF800000}"/>
    <cellStyle name="Positive 3 2 9 4 14 2" xfId="32947" xr:uid="{00000000-0005-0000-0000-0000C0800000}"/>
    <cellStyle name="Positive 3 2 9 4 15" xfId="32948" xr:uid="{00000000-0005-0000-0000-0000C1800000}"/>
    <cellStyle name="Positive 3 2 9 4 15 2" xfId="32949" xr:uid="{00000000-0005-0000-0000-0000C2800000}"/>
    <cellStyle name="Positive 3 2 9 4 16" xfId="32950" xr:uid="{00000000-0005-0000-0000-0000C3800000}"/>
    <cellStyle name="Positive 3 2 9 4 16 2" xfId="32951" xr:uid="{00000000-0005-0000-0000-0000C4800000}"/>
    <cellStyle name="Positive 3 2 9 4 17" xfId="32952" xr:uid="{00000000-0005-0000-0000-0000C5800000}"/>
    <cellStyle name="Positive 3 2 9 4 17 2" xfId="32953" xr:uid="{00000000-0005-0000-0000-0000C6800000}"/>
    <cellStyle name="Positive 3 2 9 4 18" xfId="32954" xr:uid="{00000000-0005-0000-0000-0000C7800000}"/>
    <cellStyle name="Positive 3 2 9 4 18 2" xfId="32955" xr:uid="{00000000-0005-0000-0000-0000C8800000}"/>
    <cellStyle name="Positive 3 2 9 4 19" xfId="32956" xr:uid="{00000000-0005-0000-0000-0000C9800000}"/>
    <cellStyle name="Positive 3 2 9 4 19 2" xfId="32957" xr:uid="{00000000-0005-0000-0000-0000CA800000}"/>
    <cellStyle name="Positive 3 2 9 4 2" xfId="32958" xr:uid="{00000000-0005-0000-0000-0000CB800000}"/>
    <cellStyle name="Positive 3 2 9 4 2 10" xfId="32959" xr:uid="{00000000-0005-0000-0000-0000CC800000}"/>
    <cellStyle name="Positive 3 2 9 4 2 10 2" xfId="32960" xr:uid="{00000000-0005-0000-0000-0000CD800000}"/>
    <cellStyle name="Positive 3 2 9 4 2 11" xfId="32961" xr:uid="{00000000-0005-0000-0000-0000CE800000}"/>
    <cellStyle name="Positive 3 2 9 4 2 11 2" xfId="32962" xr:uid="{00000000-0005-0000-0000-0000CF800000}"/>
    <cellStyle name="Positive 3 2 9 4 2 12" xfId="32963" xr:uid="{00000000-0005-0000-0000-0000D0800000}"/>
    <cellStyle name="Positive 3 2 9 4 2 12 2" xfId="32964" xr:uid="{00000000-0005-0000-0000-0000D1800000}"/>
    <cellStyle name="Positive 3 2 9 4 2 13" xfId="32965" xr:uid="{00000000-0005-0000-0000-0000D2800000}"/>
    <cellStyle name="Positive 3 2 9 4 2 13 2" xfId="32966" xr:uid="{00000000-0005-0000-0000-0000D3800000}"/>
    <cellStyle name="Positive 3 2 9 4 2 14" xfId="32967" xr:uid="{00000000-0005-0000-0000-0000D4800000}"/>
    <cellStyle name="Positive 3 2 9 4 2 14 2" xfId="32968" xr:uid="{00000000-0005-0000-0000-0000D5800000}"/>
    <cellStyle name="Positive 3 2 9 4 2 15" xfId="32969" xr:uid="{00000000-0005-0000-0000-0000D6800000}"/>
    <cellStyle name="Positive 3 2 9 4 2 15 2" xfId="32970" xr:uid="{00000000-0005-0000-0000-0000D7800000}"/>
    <cellStyle name="Positive 3 2 9 4 2 16" xfId="32971" xr:uid="{00000000-0005-0000-0000-0000D8800000}"/>
    <cellStyle name="Positive 3 2 9 4 2 16 2" xfId="32972" xr:uid="{00000000-0005-0000-0000-0000D9800000}"/>
    <cellStyle name="Positive 3 2 9 4 2 17" xfId="32973" xr:uid="{00000000-0005-0000-0000-0000DA800000}"/>
    <cellStyle name="Positive 3 2 9 4 2 2" xfId="32974" xr:uid="{00000000-0005-0000-0000-0000DB800000}"/>
    <cellStyle name="Positive 3 2 9 4 2 2 2" xfId="32975" xr:uid="{00000000-0005-0000-0000-0000DC800000}"/>
    <cellStyle name="Positive 3 2 9 4 2 3" xfId="32976" xr:uid="{00000000-0005-0000-0000-0000DD800000}"/>
    <cellStyle name="Positive 3 2 9 4 2 3 2" xfId="32977" xr:uid="{00000000-0005-0000-0000-0000DE800000}"/>
    <cellStyle name="Positive 3 2 9 4 2 4" xfId="32978" xr:uid="{00000000-0005-0000-0000-0000DF800000}"/>
    <cellStyle name="Positive 3 2 9 4 2 4 2" xfId="32979" xr:uid="{00000000-0005-0000-0000-0000E0800000}"/>
    <cellStyle name="Positive 3 2 9 4 2 5" xfId="32980" xr:uid="{00000000-0005-0000-0000-0000E1800000}"/>
    <cellStyle name="Positive 3 2 9 4 2 5 2" xfId="32981" xr:uid="{00000000-0005-0000-0000-0000E2800000}"/>
    <cellStyle name="Positive 3 2 9 4 2 6" xfId="32982" xr:uid="{00000000-0005-0000-0000-0000E3800000}"/>
    <cellStyle name="Positive 3 2 9 4 2 6 2" xfId="32983" xr:uid="{00000000-0005-0000-0000-0000E4800000}"/>
    <cellStyle name="Positive 3 2 9 4 2 7" xfId="32984" xr:uid="{00000000-0005-0000-0000-0000E5800000}"/>
    <cellStyle name="Positive 3 2 9 4 2 7 2" xfId="32985" xr:uid="{00000000-0005-0000-0000-0000E6800000}"/>
    <cellStyle name="Positive 3 2 9 4 2 8" xfId="32986" xr:uid="{00000000-0005-0000-0000-0000E7800000}"/>
    <cellStyle name="Positive 3 2 9 4 2 8 2" xfId="32987" xr:uid="{00000000-0005-0000-0000-0000E8800000}"/>
    <cellStyle name="Positive 3 2 9 4 2 9" xfId="32988" xr:uid="{00000000-0005-0000-0000-0000E9800000}"/>
    <cellStyle name="Positive 3 2 9 4 2 9 2" xfId="32989" xr:uid="{00000000-0005-0000-0000-0000EA800000}"/>
    <cellStyle name="Positive 3 2 9 4 20" xfId="32990" xr:uid="{00000000-0005-0000-0000-0000EB800000}"/>
    <cellStyle name="Positive 3 2 9 4 3" xfId="32991" xr:uid="{00000000-0005-0000-0000-0000EC800000}"/>
    <cellStyle name="Positive 3 2 9 4 3 2" xfId="32992" xr:uid="{00000000-0005-0000-0000-0000ED800000}"/>
    <cellStyle name="Positive 3 2 9 4 3 2 2" xfId="32993" xr:uid="{00000000-0005-0000-0000-0000EE800000}"/>
    <cellStyle name="Positive 3 2 9 4 3 3" xfId="32994" xr:uid="{00000000-0005-0000-0000-0000EF800000}"/>
    <cellStyle name="Positive 3 2 9 4 4" xfId="32995" xr:uid="{00000000-0005-0000-0000-0000F0800000}"/>
    <cellStyle name="Positive 3 2 9 4 4 2" xfId="32996" xr:uid="{00000000-0005-0000-0000-0000F1800000}"/>
    <cellStyle name="Positive 3 2 9 4 4 2 2" xfId="32997" xr:uid="{00000000-0005-0000-0000-0000F2800000}"/>
    <cellStyle name="Positive 3 2 9 4 4 3" xfId="32998" xr:uid="{00000000-0005-0000-0000-0000F3800000}"/>
    <cellStyle name="Positive 3 2 9 4 5" xfId="32999" xr:uid="{00000000-0005-0000-0000-0000F4800000}"/>
    <cellStyle name="Positive 3 2 9 4 5 2" xfId="33000" xr:uid="{00000000-0005-0000-0000-0000F5800000}"/>
    <cellStyle name="Positive 3 2 9 4 6" xfId="33001" xr:uid="{00000000-0005-0000-0000-0000F6800000}"/>
    <cellStyle name="Positive 3 2 9 4 6 2" xfId="33002" xr:uid="{00000000-0005-0000-0000-0000F7800000}"/>
    <cellStyle name="Positive 3 2 9 4 7" xfId="33003" xr:uid="{00000000-0005-0000-0000-0000F8800000}"/>
    <cellStyle name="Positive 3 2 9 4 7 2" xfId="33004" xr:uid="{00000000-0005-0000-0000-0000F9800000}"/>
    <cellStyle name="Positive 3 2 9 4 8" xfId="33005" xr:uid="{00000000-0005-0000-0000-0000FA800000}"/>
    <cellStyle name="Positive 3 2 9 4 8 2" xfId="33006" xr:uid="{00000000-0005-0000-0000-0000FB800000}"/>
    <cellStyle name="Positive 3 2 9 4 9" xfId="33007" xr:uid="{00000000-0005-0000-0000-0000FC800000}"/>
    <cellStyle name="Positive 3 2 9 4 9 2" xfId="33008" xr:uid="{00000000-0005-0000-0000-0000FD800000}"/>
    <cellStyle name="Positive 3 2 9 5" xfId="33009" xr:uid="{00000000-0005-0000-0000-0000FE800000}"/>
    <cellStyle name="Positive 3 2 9 5 10" xfId="33010" xr:uid="{00000000-0005-0000-0000-0000FF800000}"/>
    <cellStyle name="Positive 3 2 9 5 10 2" xfId="33011" xr:uid="{00000000-0005-0000-0000-000000810000}"/>
    <cellStyle name="Positive 3 2 9 5 11" xfId="33012" xr:uid="{00000000-0005-0000-0000-000001810000}"/>
    <cellStyle name="Positive 3 2 9 5 11 2" xfId="33013" xr:uid="{00000000-0005-0000-0000-000002810000}"/>
    <cellStyle name="Positive 3 2 9 5 12" xfId="33014" xr:uid="{00000000-0005-0000-0000-000003810000}"/>
    <cellStyle name="Positive 3 2 9 5 12 2" xfId="33015" xr:uid="{00000000-0005-0000-0000-000004810000}"/>
    <cellStyle name="Positive 3 2 9 5 13" xfId="33016" xr:uid="{00000000-0005-0000-0000-000005810000}"/>
    <cellStyle name="Positive 3 2 9 5 13 2" xfId="33017" xr:uid="{00000000-0005-0000-0000-000006810000}"/>
    <cellStyle name="Positive 3 2 9 5 14" xfId="33018" xr:uid="{00000000-0005-0000-0000-000007810000}"/>
    <cellStyle name="Positive 3 2 9 5 14 2" xfId="33019" xr:uid="{00000000-0005-0000-0000-000008810000}"/>
    <cellStyle name="Positive 3 2 9 5 15" xfId="33020" xr:uid="{00000000-0005-0000-0000-000009810000}"/>
    <cellStyle name="Positive 3 2 9 5 15 2" xfId="33021" xr:uid="{00000000-0005-0000-0000-00000A810000}"/>
    <cellStyle name="Positive 3 2 9 5 16" xfId="33022" xr:uid="{00000000-0005-0000-0000-00000B810000}"/>
    <cellStyle name="Positive 3 2 9 5 16 2" xfId="33023" xr:uid="{00000000-0005-0000-0000-00000C810000}"/>
    <cellStyle name="Positive 3 2 9 5 17" xfId="33024" xr:uid="{00000000-0005-0000-0000-00000D810000}"/>
    <cellStyle name="Positive 3 2 9 5 2" xfId="33025" xr:uid="{00000000-0005-0000-0000-00000E810000}"/>
    <cellStyle name="Positive 3 2 9 5 2 2" xfId="33026" xr:uid="{00000000-0005-0000-0000-00000F810000}"/>
    <cellStyle name="Positive 3 2 9 5 3" xfId="33027" xr:uid="{00000000-0005-0000-0000-000010810000}"/>
    <cellStyle name="Positive 3 2 9 5 3 2" xfId="33028" xr:uid="{00000000-0005-0000-0000-000011810000}"/>
    <cellStyle name="Positive 3 2 9 5 4" xfId="33029" xr:uid="{00000000-0005-0000-0000-000012810000}"/>
    <cellStyle name="Positive 3 2 9 5 4 2" xfId="33030" xr:uid="{00000000-0005-0000-0000-000013810000}"/>
    <cellStyle name="Positive 3 2 9 5 5" xfId="33031" xr:uid="{00000000-0005-0000-0000-000014810000}"/>
    <cellStyle name="Positive 3 2 9 5 5 2" xfId="33032" xr:uid="{00000000-0005-0000-0000-000015810000}"/>
    <cellStyle name="Positive 3 2 9 5 6" xfId="33033" xr:uid="{00000000-0005-0000-0000-000016810000}"/>
    <cellStyle name="Positive 3 2 9 5 6 2" xfId="33034" xr:uid="{00000000-0005-0000-0000-000017810000}"/>
    <cellStyle name="Positive 3 2 9 5 7" xfId="33035" xr:uid="{00000000-0005-0000-0000-000018810000}"/>
    <cellStyle name="Positive 3 2 9 5 7 2" xfId="33036" xr:uid="{00000000-0005-0000-0000-000019810000}"/>
    <cellStyle name="Positive 3 2 9 5 8" xfId="33037" xr:uid="{00000000-0005-0000-0000-00001A810000}"/>
    <cellStyle name="Positive 3 2 9 5 8 2" xfId="33038" xr:uid="{00000000-0005-0000-0000-00001B810000}"/>
    <cellStyle name="Positive 3 2 9 5 9" xfId="33039" xr:uid="{00000000-0005-0000-0000-00001C810000}"/>
    <cellStyle name="Positive 3 2 9 5 9 2" xfId="33040" xr:uid="{00000000-0005-0000-0000-00001D810000}"/>
    <cellStyle name="Positive 3 2 9 6" xfId="33041" xr:uid="{00000000-0005-0000-0000-00001E810000}"/>
    <cellStyle name="Positive 3 2 9 6 2" xfId="33042" xr:uid="{00000000-0005-0000-0000-00001F810000}"/>
    <cellStyle name="Positive 3 2 9 6 2 2" xfId="33043" xr:uid="{00000000-0005-0000-0000-000020810000}"/>
    <cellStyle name="Positive 3 2 9 6 3" xfId="33044" xr:uid="{00000000-0005-0000-0000-000021810000}"/>
    <cellStyle name="Positive 3 2 9 7" xfId="33045" xr:uid="{00000000-0005-0000-0000-000022810000}"/>
    <cellStyle name="Positive 3 2 9 7 2" xfId="33046" xr:uid="{00000000-0005-0000-0000-000023810000}"/>
    <cellStyle name="Positive 3 2 9 7 2 2" xfId="33047" xr:uid="{00000000-0005-0000-0000-000024810000}"/>
    <cellStyle name="Positive 3 2 9 7 3" xfId="33048" xr:uid="{00000000-0005-0000-0000-000025810000}"/>
    <cellStyle name="Positive 3 2 9 8" xfId="33049" xr:uid="{00000000-0005-0000-0000-000026810000}"/>
    <cellStyle name="Positive 3 2 9 8 2" xfId="33050" xr:uid="{00000000-0005-0000-0000-000027810000}"/>
    <cellStyle name="Positive 3 2 9 9" xfId="33051" xr:uid="{00000000-0005-0000-0000-000028810000}"/>
    <cellStyle name="Positive 3 2 9 9 2" xfId="33052" xr:uid="{00000000-0005-0000-0000-000029810000}"/>
    <cellStyle name="Positive 3 20" xfId="33053" xr:uid="{00000000-0005-0000-0000-00002A810000}"/>
    <cellStyle name="Positive 3 20 10" xfId="33054" xr:uid="{00000000-0005-0000-0000-00002B810000}"/>
    <cellStyle name="Positive 3 20 10 2" xfId="33055" xr:uid="{00000000-0005-0000-0000-00002C810000}"/>
    <cellStyle name="Positive 3 20 11" xfId="33056" xr:uid="{00000000-0005-0000-0000-00002D810000}"/>
    <cellStyle name="Positive 3 20 11 2" xfId="33057" xr:uid="{00000000-0005-0000-0000-00002E810000}"/>
    <cellStyle name="Positive 3 20 12" xfId="33058" xr:uid="{00000000-0005-0000-0000-00002F810000}"/>
    <cellStyle name="Positive 3 20 12 2" xfId="33059" xr:uid="{00000000-0005-0000-0000-000030810000}"/>
    <cellStyle name="Positive 3 20 13" xfId="33060" xr:uid="{00000000-0005-0000-0000-000031810000}"/>
    <cellStyle name="Positive 3 20 13 2" xfId="33061" xr:uid="{00000000-0005-0000-0000-000032810000}"/>
    <cellStyle name="Positive 3 20 14" xfId="33062" xr:uid="{00000000-0005-0000-0000-000033810000}"/>
    <cellStyle name="Positive 3 20 14 2" xfId="33063" xr:uid="{00000000-0005-0000-0000-000034810000}"/>
    <cellStyle name="Positive 3 20 15" xfId="33064" xr:uid="{00000000-0005-0000-0000-000035810000}"/>
    <cellStyle name="Positive 3 20 15 2" xfId="33065" xr:uid="{00000000-0005-0000-0000-000036810000}"/>
    <cellStyle name="Positive 3 20 16" xfId="33066" xr:uid="{00000000-0005-0000-0000-000037810000}"/>
    <cellStyle name="Positive 3 20 16 2" xfId="33067" xr:uid="{00000000-0005-0000-0000-000038810000}"/>
    <cellStyle name="Positive 3 20 17" xfId="33068" xr:uid="{00000000-0005-0000-0000-000039810000}"/>
    <cellStyle name="Positive 3 20 17 2" xfId="33069" xr:uid="{00000000-0005-0000-0000-00003A810000}"/>
    <cellStyle name="Positive 3 20 18" xfId="33070" xr:uid="{00000000-0005-0000-0000-00003B810000}"/>
    <cellStyle name="Positive 3 20 18 2" xfId="33071" xr:uid="{00000000-0005-0000-0000-00003C810000}"/>
    <cellStyle name="Positive 3 20 19" xfId="33072" xr:uid="{00000000-0005-0000-0000-00003D810000}"/>
    <cellStyle name="Positive 3 20 19 2" xfId="33073" xr:uid="{00000000-0005-0000-0000-00003E810000}"/>
    <cellStyle name="Positive 3 20 2" xfId="33074" xr:uid="{00000000-0005-0000-0000-00003F810000}"/>
    <cellStyle name="Positive 3 20 2 10" xfId="33075" xr:uid="{00000000-0005-0000-0000-000040810000}"/>
    <cellStyle name="Positive 3 20 2 10 2" xfId="33076" xr:uid="{00000000-0005-0000-0000-000041810000}"/>
    <cellStyle name="Positive 3 20 2 11" xfId="33077" xr:uid="{00000000-0005-0000-0000-000042810000}"/>
    <cellStyle name="Positive 3 20 2 11 2" xfId="33078" xr:uid="{00000000-0005-0000-0000-000043810000}"/>
    <cellStyle name="Positive 3 20 2 12" xfId="33079" xr:uid="{00000000-0005-0000-0000-000044810000}"/>
    <cellStyle name="Positive 3 20 2 12 2" xfId="33080" xr:uid="{00000000-0005-0000-0000-000045810000}"/>
    <cellStyle name="Positive 3 20 2 13" xfId="33081" xr:uid="{00000000-0005-0000-0000-000046810000}"/>
    <cellStyle name="Positive 3 20 2 13 2" xfId="33082" xr:uid="{00000000-0005-0000-0000-000047810000}"/>
    <cellStyle name="Positive 3 20 2 14" xfId="33083" xr:uid="{00000000-0005-0000-0000-000048810000}"/>
    <cellStyle name="Positive 3 20 2 14 2" xfId="33084" xr:uid="{00000000-0005-0000-0000-000049810000}"/>
    <cellStyle name="Positive 3 20 2 15" xfId="33085" xr:uid="{00000000-0005-0000-0000-00004A810000}"/>
    <cellStyle name="Positive 3 20 2 15 2" xfId="33086" xr:uid="{00000000-0005-0000-0000-00004B810000}"/>
    <cellStyle name="Positive 3 20 2 16" xfId="33087" xr:uid="{00000000-0005-0000-0000-00004C810000}"/>
    <cellStyle name="Positive 3 20 2 16 2" xfId="33088" xr:uid="{00000000-0005-0000-0000-00004D810000}"/>
    <cellStyle name="Positive 3 20 2 17" xfId="33089" xr:uid="{00000000-0005-0000-0000-00004E810000}"/>
    <cellStyle name="Positive 3 20 2 2" xfId="33090" xr:uid="{00000000-0005-0000-0000-00004F810000}"/>
    <cellStyle name="Positive 3 20 2 2 2" xfId="33091" xr:uid="{00000000-0005-0000-0000-000050810000}"/>
    <cellStyle name="Positive 3 20 2 3" xfId="33092" xr:uid="{00000000-0005-0000-0000-000051810000}"/>
    <cellStyle name="Positive 3 20 2 3 2" xfId="33093" xr:uid="{00000000-0005-0000-0000-000052810000}"/>
    <cellStyle name="Positive 3 20 2 4" xfId="33094" xr:uid="{00000000-0005-0000-0000-000053810000}"/>
    <cellStyle name="Positive 3 20 2 4 2" xfId="33095" xr:uid="{00000000-0005-0000-0000-000054810000}"/>
    <cellStyle name="Positive 3 20 2 5" xfId="33096" xr:uid="{00000000-0005-0000-0000-000055810000}"/>
    <cellStyle name="Positive 3 20 2 5 2" xfId="33097" xr:uid="{00000000-0005-0000-0000-000056810000}"/>
    <cellStyle name="Positive 3 20 2 6" xfId="33098" xr:uid="{00000000-0005-0000-0000-000057810000}"/>
    <cellStyle name="Positive 3 20 2 6 2" xfId="33099" xr:uid="{00000000-0005-0000-0000-000058810000}"/>
    <cellStyle name="Positive 3 20 2 7" xfId="33100" xr:uid="{00000000-0005-0000-0000-000059810000}"/>
    <cellStyle name="Positive 3 20 2 7 2" xfId="33101" xr:uid="{00000000-0005-0000-0000-00005A810000}"/>
    <cellStyle name="Positive 3 20 2 8" xfId="33102" xr:uid="{00000000-0005-0000-0000-00005B810000}"/>
    <cellStyle name="Positive 3 20 2 8 2" xfId="33103" xr:uid="{00000000-0005-0000-0000-00005C810000}"/>
    <cellStyle name="Positive 3 20 2 9" xfId="33104" xr:uid="{00000000-0005-0000-0000-00005D810000}"/>
    <cellStyle name="Positive 3 20 2 9 2" xfId="33105" xr:uid="{00000000-0005-0000-0000-00005E810000}"/>
    <cellStyle name="Positive 3 20 20" xfId="33106" xr:uid="{00000000-0005-0000-0000-00005F810000}"/>
    <cellStyle name="Positive 3 20 3" xfId="33107" xr:uid="{00000000-0005-0000-0000-000060810000}"/>
    <cellStyle name="Positive 3 20 3 2" xfId="33108" xr:uid="{00000000-0005-0000-0000-000061810000}"/>
    <cellStyle name="Positive 3 20 3 2 2" xfId="33109" xr:uid="{00000000-0005-0000-0000-000062810000}"/>
    <cellStyle name="Positive 3 20 3 3" xfId="33110" xr:uid="{00000000-0005-0000-0000-000063810000}"/>
    <cellStyle name="Positive 3 20 4" xfId="33111" xr:uid="{00000000-0005-0000-0000-000064810000}"/>
    <cellStyle name="Positive 3 20 4 2" xfId="33112" xr:uid="{00000000-0005-0000-0000-000065810000}"/>
    <cellStyle name="Positive 3 20 4 2 2" xfId="33113" xr:uid="{00000000-0005-0000-0000-000066810000}"/>
    <cellStyle name="Positive 3 20 4 3" xfId="33114" xr:uid="{00000000-0005-0000-0000-000067810000}"/>
    <cellStyle name="Positive 3 20 5" xfId="33115" xr:uid="{00000000-0005-0000-0000-000068810000}"/>
    <cellStyle name="Positive 3 20 5 2" xfId="33116" xr:uid="{00000000-0005-0000-0000-000069810000}"/>
    <cellStyle name="Positive 3 20 6" xfId="33117" xr:uid="{00000000-0005-0000-0000-00006A810000}"/>
    <cellStyle name="Positive 3 20 6 2" xfId="33118" xr:uid="{00000000-0005-0000-0000-00006B810000}"/>
    <cellStyle name="Positive 3 20 7" xfId="33119" xr:uid="{00000000-0005-0000-0000-00006C810000}"/>
    <cellStyle name="Positive 3 20 7 2" xfId="33120" xr:uid="{00000000-0005-0000-0000-00006D810000}"/>
    <cellStyle name="Positive 3 20 8" xfId="33121" xr:uid="{00000000-0005-0000-0000-00006E810000}"/>
    <cellStyle name="Positive 3 20 8 2" xfId="33122" xr:uid="{00000000-0005-0000-0000-00006F810000}"/>
    <cellStyle name="Positive 3 20 9" xfId="33123" xr:uid="{00000000-0005-0000-0000-000070810000}"/>
    <cellStyle name="Positive 3 20 9 2" xfId="33124" xr:uid="{00000000-0005-0000-0000-000071810000}"/>
    <cellStyle name="Positive 3 21" xfId="33125" xr:uid="{00000000-0005-0000-0000-000072810000}"/>
    <cellStyle name="Positive 3 21 10" xfId="33126" xr:uid="{00000000-0005-0000-0000-000073810000}"/>
    <cellStyle name="Positive 3 21 10 2" xfId="33127" xr:uid="{00000000-0005-0000-0000-000074810000}"/>
    <cellStyle name="Positive 3 21 11" xfId="33128" xr:uid="{00000000-0005-0000-0000-000075810000}"/>
    <cellStyle name="Positive 3 21 11 2" xfId="33129" xr:uid="{00000000-0005-0000-0000-000076810000}"/>
    <cellStyle name="Positive 3 21 12" xfId="33130" xr:uid="{00000000-0005-0000-0000-000077810000}"/>
    <cellStyle name="Positive 3 21 12 2" xfId="33131" xr:uid="{00000000-0005-0000-0000-000078810000}"/>
    <cellStyle name="Positive 3 21 13" xfId="33132" xr:uid="{00000000-0005-0000-0000-000079810000}"/>
    <cellStyle name="Positive 3 21 13 2" xfId="33133" xr:uid="{00000000-0005-0000-0000-00007A810000}"/>
    <cellStyle name="Positive 3 21 14" xfId="33134" xr:uid="{00000000-0005-0000-0000-00007B810000}"/>
    <cellStyle name="Positive 3 21 14 2" xfId="33135" xr:uid="{00000000-0005-0000-0000-00007C810000}"/>
    <cellStyle name="Positive 3 21 15" xfId="33136" xr:uid="{00000000-0005-0000-0000-00007D810000}"/>
    <cellStyle name="Positive 3 21 15 2" xfId="33137" xr:uid="{00000000-0005-0000-0000-00007E810000}"/>
    <cellStyle name="Positive 3 21 16" xfId="33138" xr:uid="{00000000-0005-0000-0000-00007F810000}"/>
    <cellStyle name="Positive 3 21 16 2" xfId="33139" xr:uid="{00000000-0005-0000-0000-000080810000}"/>
    <cellStyle name="Positive 3 21 17" xfId="33140" xr:uid="{00000000-0005-0000-0000-000081810000}"/>
    <cellStyle name="Positive 3 21 2" xfId="33141" xr:uid="{00000000-0005-0000-0000-000082810000}"/>
    <cellStyle name="Positive 3 21 2 2" xfId="33142" xr:uid="{00000000-0005-0000-0000-000083810000}"/>
    <cellStyle name="Positive 3 21 3" xfId="33143" xr:uid="{00000000-0005-0000-0000-000084810000}"/>
    <cellStyle name="Positive 3 21 3 2" xfId="33144" xr:uid="{00000000-0005-0000-0000-000085810000}"/>
    <cellStyle name="Positive 3 21 4" xfId="33145" xr:uid="{00000000-0005-0000-0000-000086810000}"/>
    <cellStyle name="Positive 3 21 4 2" xfId="33146" xr:uid="{00000000-0005-0000-0000-000087810000}"/>
    <cellStyle name="Positive 3 21 5" xfId="33147" xr:uid="{00000000-0005-0000-0000-000088810000}"/>
    <cellStyle name="Positive 3 21 5 2" xfId="33148" xr:uid="{00000000-0005-0000-0000-000089810000}"/>
    <cellStyle name="Positive 3 21 6" xfId="33149" xr:uid="{00000000-0005-0000-0000-00008A810000}"/>
    <cellStyle name="Positive 3 21 6 2" xfId="33150" xr:uid="{00000000-0005-0000-0000-00008B810000}"/>
    <cellStyle name="Positive 3 21 7" xfId="33151" xr:uid="{00000000-0005-0000-0000-00008C810000}"/>
    <cellStyle name="Positive 3 21 7 2" xfId="33152" xr:uid="{00000000-0005-0000-0000-00008D810000}"/>
    <cellStyle name="Positive 3 21 8" xfId="33153" xr:uid="{00000000-0005-0000-0000-00008E810000}"/>
    <cellStyle name="Positive 3 21 8 2" xfId="33154" xr:uid="{00000000-0005-0000-0000-00008F810000}"/>
    <cellStyle name="Positive 3 21 9" xfId="33155" xr:uid="{00000000-0005-0000-0000-000090810000}"/>
    <cellStyle name="Positive 3 21 9 2" xfId="33156" xr:uid="{00000000-0005-0000-0000-000091810000}"/>
    <cellStyle name="Positive 3 22" xfId="33157" xr:uid="{00000000-0005-0000-0000-000092810000}"/>
    <cellStyle name="Positive 3 22 2" xfId="33158" xr:uid="{00000000-0005-0000-0000-000093810000}"/>
    <cellStyle name="Positive 3 22 2 2" xfId="33159" xr:uid="{00000000-0005-0000-0000-000094810000}"/>
    <cellStyle name="Positive 3 22 3" xfId="33160" xr:uid="{00000000-0005-0000-0000-000095810000}"/>
    <cellStyle name="Positive 3 23" xfId="33161" xr:uid="{00000000-0005-0000-0000-000096810000}"/>
    <cellStyle name="Positive 3 23 2" xfId="33162" xr:uid="{00000000-0005-0000-0000-000097810000}"/>
    <cellStyle name="Positive 3 23 2 2" xfId="33163" xr:uid="{00000000-0005-0000-0000-000098810000}"/>
    <cellStyle name="Positive 3 23 3" xfId="33164" xr:uid="{00000000-0005-0000-0000-000099810000}"/>
    <cellStyle name="Positive 3 24" xfId="33165" xr:uid="{00000000-0005-0000-0000-00009A810000}"/>
    <cellStyle name="Positive 3 24 2" xfId="33166" xr:uid="{00000000-0005-0000-0000-00009B810000}"/>
    <cellStyle name="Positive 3 25" xfId="33167" xr:uid="{00000000-0005-0000-0000-00009C810000}"/>
    <cellStyle name="Positive 3 25 2" xfId="33168" xr:uid="{00000000-0005-0000-0000-00009D810000}"/>
    <cellStyle name="Positive 3 26" xfId="33169" xr:uid="{00000000-0005-0000-0000-00009E810000}"/>
    <cellStyle name="Positive 3 26 2" xfId="33170" xr:uid="{00000000-0005-0000-0000-00009F810000}"/>
    <cellStyle name="Positive 3 27" xfId="33171" xr:uid="{00000000-0005-0000-0000-0000A0810000}"/>
    <cellStyle name="Positive 3 27 2" xfId="33172" xr:uid="{00000000-0005-0000-0000-0000A1810000}"/>
    <cellStyle name="Positive 3 28" xfId="33173" xr:uid="{00000000-0005-0000-0000-0000A2810000}"/>
    <cellStyle name="Positive 3 28 2" xfId="33174" xr:uid="{00000000-0005-0000-0000-0000A3810000}"/>
    <cellStyle name="Positive 3 29" xfId="33175" xr:uid="{00000000-0005-0000-0000-0000A4810000}"/>
    <cellStyle name="Positive 3 29 2" xfId="33176" xr:uid="{00000000-0005-0000-0000-0000A5810000}"/>
    <cellStyle name="Positive 3 3" xfId="33177" xr:uid="{00000000-0005-0000-0000-0000A6810000}"/>
    <cellStyle name="Positive 3 3 10" xfId="33178" xr:uid="{00000000-0005-0000-0000-0000A7810000}"/>
    <cellStyle name="Positive 3 3 10 2" xfId="33179" xr:uid="{00000000-0005-0000-0000-0000A8810000}"/>
    <cellStyle name="Positive 3 3 11" xfId="33180" xr:uid="{00000000-0005-0000-0000-0000A9810000}"/>
    <cellStyle name="Positive 3 3 11 2" xfId="33181" xr:uid="{00000000-0005-0000-0000-0000AA810000}"/>
    <cellStyle name="Positive 3 3 12" xfId="33182" xr:uid="{00000000-0005-0000-0000-0000AB810000}"/>
    <cellStyle name="Positive 3 3 12 2" xfId="33183" xr:uid="{00000000-0005-0000-0000-0000AC810000}"/>
    <cellStyle name="Positive 3 3 13" xfId="33184" xr:uid="{00000000-0005-0000-0000-0000AD810000}"/>
    <cellStyle name="Positive 3 3 13 2" xfId="33185" xr:uid="{00000000-0005-0000-0000-0000AE810000}"/>
    <cellStyle name="Positive 3 3 14" xfId="33186" xr:uid="{00000000-0005-0000-0000-0000AF810000}"/>
    <cellStyle name="Positive 3 3 14 2" xfId="33187" xr:uid="{00000000-0005-0000-0000-0000B0810000}"/>
    <cellStyle name="Positive 3 3 15" xfId="33188" xr:uid="{00000000-0005-0000-0000-0000B1810000}"/>
    <cellStyle name="Positive 3 3 15 2" xfId="33189" xr:uid="{00000000-0005-0000-0000-0000B2810000}"/>
    <cellStyle name="Positive 3 3 16" xfId="33190" xr:uid="{00000000-0005-0000-0000-0000B3810000}"/>
    <cellStyle name="Positive 3 3 16 2" xfId="33191" xr:uid="{00000000-0005-0000-0000-0000B4810000}"/>
    <cellStyle name="Positive 3 3 17" xfId="33192" xr:uid="{00000000-0005-0000-0000-0000B5810000}"/>
    <cellStyle name="Positive 3 3 17 2" xfId="33193" xr:uid="{00000000-0005-0000-0000-0000B6810000}"/>
    <cellStyle name="Positive 3 3 18" xfId="33194" xr:uid="{00000000-0005-0000-0000-0000B7810000}"/>
    <cellStyle name="Positive 3 3 18 2" xfId="33195" xr:uid="{00000000-0005-0000-0000-0000B8810000}"/>
    <cellStyle name="Positive 3 3 19" xfId="33196" xr:uid="{00000000-0005-0000-0000-0000B9810000}"/>
    <cellStyle name="Positive 3 3 19 2" xfId="33197" xr:uid="{00000000-0005-0000-0000-0000BA810000}"/>
    <cellStyle name="Positive 3 3 2" xfId="33198" xr:uid="{00000000-0005-0000-0000-0000BB810000}"/>
    <cellStyle name="Positive 3 3 2 10" xfId="33199" xr:uid="{00000000-0005-0000-0000-0000BC810000}"/>
    <cellStyle name="Positive 3 3 2 10 2" xfId="33200" xr:uid="{00000000-0005-0000-0000-0000BD810000}"/>
    <cellStyle name="Positive 3 3 2 11" xfId="33201" xr:uid="{00000000-0005-0000-0000-0000BE810000}"/>
    <cellStyle name="Positive 3 3 2 11 2" xfId="33202" xr:uid="{00000000-0005-0000-0000-0000BF810000}"/>
    <cellStyle name="Positive 3 3 2 12" xfId="33203" xr:uid="{00000000-0005-0000-0000-0000C0810000}"/>
    <cellStyle name="Positive 3 3 2 12 2" xfId="33204" xr:uid="{00000000-0005-0000-0000-0000C1810000}"/>
    <cellStyle name="Positive 3 3 2 13" xfId="33205" xr:uid="{00000000-0005-0000-0000-0000C2810000}"/>
    <cellStyle name="Positive 3 3 2 13 2" xfId="33206" xr:uid="{00000000-0005-0000-0000-0000C3810000}"/>
    <cellStyle name="Positive 3 3 2 14" xfId="33207" xr:uid="{00000000-0005-0000-0000-0000C4810000}"/>
    <cellStyle name="Positive 3 3 2 14 2" xfId="33208" xr:uid="{00000000-0005-0000-0000-0000C5810000}"/>
    <cellStyle name="Positive 3 3 2 15" xfId="33209" xr:uid="{00000000-0005-0000-0000-0000C6810000}"/>
    <cellStyle name="Positive 3 3 2 15 2" xfId="33210" xr:uid="{00000000-0005-0000-0000-0000C7810000}"/>
    <cellStyle name="Positive 3 3 2 16" xfId="33211" xr:uid="{00000000-0005-0000-0000-0000C8810000}"/>
    <cellStyle name="Positive 3 3 2 16 2" xfId="33212" xr:uid="{00000000-0005-0000-0000-0000C9810000}"/>
    <cellStyle name="Positive 3 3 2 17" xfId="33213" xr:uid="{00000000-0005-0000-0000-0000CA810000}"/>
    <cellStyle name="Positive 3 3 2 17 2" xfId="33214" xr:uid="{00000000-0005-0000-0000-0000CB810000}"/>
    <cellStyle name="Positive 3 3 2 18" xfId="33215" xr:uid="{00000000-0005-0000-0000-0000CC810000}"/>
    <cellStyle name="Positive 3 3 2 18 2" xfId="33216" xr:uid="{00000000-0005-0000-0000-0000CD810000}"/>
    <cellStyle name="Positive 3 3 2 19" xfId="33217" xr:uid="{00000000-0005-0000-0000-0000CE810000}"/>
    <cellStyle name="Positive 3 3 2 19 2" xfId="33218" xr:uid="{00000000-0005-0000-0000-0000CF810000}"/>
    <cellStyle name="Positive 3 3 2 2" xfId="33219" xr:uid="{00000000-0005-0000-0000-0000D0810000}"/>
    <cellStyle name="Positive 3 3 2 2 10" xfId="33220" xr:uid="{00000000-0005-0000-0000-0000D1810000}"/>
    <cellStyle name="Positive 3 3 2 2 10 2" xfId="33221" xr:uid="{00000000-0005-0000-0000-0000D2810000}"/>
    <cellStyle name="Positive 3 3 2 2 11" xfId="33222" xr:uid="{00000000-0005-0000-0000-0000D3810000}"/>
    <cellStyle name="Positive 3 3 2 2 11 2" xfId="33223" xr:uid="{00000000-0005-0000-0000-0000D4810000}"/>
    <cellStyle name="Positive 3 3 2 2 12" xfId="33224" xr:uid="{00000000-0005-0000-0000-0000D5810000}"/>
    <cellStyle name="Positive 3 3 2 2 12 2" xfId="33225" xr:uid="{00000000-0005-0000-0000-0000D6810000}"/>
    <cellStyle name="Positive 3 3 2 2 13" xfId="33226" xr:uid="{00000000-0005-0000-0000-0000D7810000}"/>
    <cellStyle name="Positive 3 3 2 2 13 2" xfId="33227" xr:uid="{00000000-0005-0000-0000-0000D8810000}"/>
    <cellStyle name="Positive 3 3 2 2 14" xfId="33228" xr:uid="{00000000-0005-0000-0000-0000D9810000}"/>
    <cellStyle name="Positive 3 3 2 2 14 2" xfId="33229" xr:uid="{00000000-0005-0000-0000-0000DA810000}"/>
    <cellStyle name="Positive 3 3 2 2 15" xfId="33230" xr:uid="{00000000-0005-0000-0000-0000DB810000}"/>
    <cellStyle name="Positive 3 3 2 2 15 2" xfId="33231" xr:uid="{00000000-0005-0000-0000-0000DC810000}"/>
    <cellStyle name="Positive 3 3 2 2 16" xfId="33232" xr:uid="{00000000-0005-0000-0000-0000DD810000}"/>
    <cellStyle name="Positive 3 3 2 2 16 2" xfId="33233" xr:uid="{00000000-0005-0000-0000-0000DE810000}"/>
    <cellStyle name="Positive 3 3 2 2 17" xfId="33234" xr:uid="{00000000-0005-0000-0000-0000DF810000}"/>
    <cellStyle name="Positive 3 3 2 2 2" xfId="33235" xr:uid="{00000000-0005-0000-0000-0000E0810000}"/>
    <cellStyle name="Positive 3 3 2 2 2 2" xfId="33236" xr:uid="{00000000-0005-0000-0000-0000E1810000}"/>
    <cellStyle name="Positive 3 3 2 2 3" xfId="33237" xr:uid="{00000000-0005-0000-0000-0000E2810000}"/>
    <cellStyle name="Positive 3 3 2 2 3 2" xfId="33238" xr:uid="{00000000-0005-0000-0000-0000E3810000}"/>
    <cellStyle name="Positive 3 3 2 2 4" xfId="33239" xr:uid="{00000000-0005-0000-0000-0000E4810000}"/>
    <cellStyle name="Positive 3 3 2 2 4 2" xfId="33240" xr:uid="{00000000-0005-0000-0000-0000E5810000}"/>
    <cellStyle name="Positive 3 3 2 2 5" xfId="33241" xr:uid="{00000000-0005-0000-0000-0000E6810000}"/>
    <cellStyle name="Positive 3 3 2 2 5 2" xfId="33242" xr:uid="{00000000-0005-0000-0000-0000E7810000}"/>
    <cellStyle name="Positive 3 3 2 2 6" xfId="33243" xr:uid="{00000000-0005-0000-0000-0000E8810000}"/>
    <cellStyle name="Positive 3 3 2 2 6 2" xfId="33244" xr:uid="{00000000-0005-0000-0000-0000E9810000}"/>
    <cellStyle name="Positive 3 3 2 2 7" xfId="33245" xr:uid="{00000000-0005-0000-0000-0000EA810000}"/>
    <cellStyle name="Positive 3 3 2 2 7 2" xfId="33246" xr:uid="{00000000-0005-0000-0000-0000EB810000}"/>
    <cellStyle name="Positive 3 3 2 2 8" xfId="33247" xr:uid="{00000000-0005-0000-0000-0000EC810000}"/>
    <cellStyle name="Positive 3 3 2 2 8 2" xfId="33248" xr:uid="{00000000-0005-0000-0000-0000ED810000}"/>
    <cellStyle name="Positive 3 3 2 2 9" xfId="33249" xr:uid="{00000000-0005-0000-0000-0000EE810000}"/>
    <cellStyle name="Positive 3 3 2 2 9 2" xfId="33250" xr:uid="{00000000-0005-0000-0000-0000EF810000}"/>
    <cellStyle name="Positive 3 3 2 20" xfId="33251" xr:uid="{00000000-0005-0000-0000-0000F0810000}"/>
    <cellStyle name="Positive 3 3 2 3" xfId="33252" xr:uid="{00000000-0005-0000-0000-0000F1810000}"/>
    <cellStyle name="Positive 3 3 2 3 2" xfId="33253" xr:uid="{00000000-0005-0000-0000-0000F2810000}"/>
    <cellStyle name="Positive 3 3 2 3 2 2" xfId="33254" xr:uid="{00000000-0005-0000-0000-0000F3810000}"/>
    <cellStyle name="Positive 3 3 2 3 3" xfId="33255" xr:uid="{00000000-0005-0000-0000-0000F4810000}"/>
    <cellStyle name="Positive 3 3 2 4" xfId="33256" xr:uid="{00000000-0005-0000-0000-0000F5810000}"/>
    <cellStyle name="Positive 3 3 2 4 2" xfId="33257" xr:uid="{00000000-0005-0000-0000-0000F6810000}"/>
    <cellStyle name="Positive 3 3 2 4 2 2" xfId="33258" xr:uid="{00000000-0005-0000-0000-0000F7810000}"/>
    <cellStyle name="Positive 3 3 2 4 3" xfId="33259" xr:uid="{00000000-0005-0000-0000-0000F8810000}"/>
    <cellStyle name="Positive 3 3 2 5" xfId="33260" xr:uid="{00000000-0005-0000-0000-0000F9810000}"/>
    <cellStyle name="Positive 3 3 2 5 2" xfId="33261" xr:uid="{00000000-0005-0000-0000-0000FA810000}"/>
    <cellStyle name="Positive 3 3 2 6" xfId="33262" xr:uid="{00000000-0005-0000-0000-0000FB810000}"/>
    <cellStyle name="Positive 3 3 2 6 2" xfId="33263" xr:uid="{00000000-0005-0000-0000-0000FC810000}"/>
    <cellStyle name="Positive 3 3 2 7" xfId="33264" xr:uid="{00000000-0005-0000-0000-0000FD810000}"/>
    <cellStyle name="Positive 3 3 2 7 2" xfId="33265" xr:uid="{00000000-0005-0000-0000-0000FE810000}"/>
    <cellStyle name="Positive 3 3 2 8" xfId="33266" xr:uid="{00000000-0005-0000-0000-0000FF810000}"/>
    <cellStyle name="Positive 3 3 2 8 2" xfId="33267" xr:uid="{00000000-0005-0000-0000-000000820000}"/>
    <cellStyle name="Positive 3 3 2 9" xfId="33268" xr:uid="{00000000-0005-0000-0000-000001820000}"/>
    <cellStyle name="Positive 3 3 2 9 2" xfId="33269" xr:uid="{00000000-0005-0000-0000-000002820000}"/>
    <cellStyle name="Positive 3 3 20" xfId="33270" xr:uid="{00000000-0005-0000-0000-000003820000}"/>
    <cellStyle name="Positive 3 3 20 2" xfId="33271" xr:uid="{00000000-0005-0000-0000-000004820000}"/>
    <cellStyle name="Positive 3 3 21" xfId="33272" xr:uid="{00000000-0005-0000-0000-000005820000}"/>
    <cellStyle name="Positive 3 3 21 2" xfId="33273" xr:uid="{00000000-0005-0000-0000-000006820000}"/>
    <cellStyle name="Positive 3 3 22" xfId="33274" xr:uid="{00000000-0005-0000-0000-000007820000}"/>
    <cellStyle name="Positive 3 3 22 2" xfId="33275" xr:uid="{00000000-0005-0000-0000-000008820000}"/>
    <cellStyle name="Positive 3 3 23" xfId="33276" xr:uid="{00000000-0005-0000-0000-000009820000}"/>
    <cellStyle name="Positive 3 3 3" xfId="33277" xr:uid="{00000000-0005-0000-0000-00000A820000}"/>
    <cellStyle name="Positive 3 3 3 10" xfId="33278" xr:uid="{00000000-0005-0000-0000-00000B820000}"/>
    <cellStyle name="Positive 3 3 3 10 2" xfId="33279" xr:uid="{00000000-0005-0000-0000-00000C820000}"/>
    <cellStyle name="Positive 3 3 3 11" xfId="33280" xr:uid="{00000000-0005-0000-0000-00000D820000}"/>
    <cellStyle name="Positive 3 3 3 11 2" xfId="33281" xr:uid="{00000000-0005-0000-0000-00000E820000}"/>
    <cellStyle name="Positive 3 3 3 12" xfId="33282" xr:uid="{00000000-0005-0000-0000-00000F820000}"/>
    <cellStyle name="Positive 3 3 3 12 2" xfId="33283" xr:uid="{00000000-0005-0000-0000-000010820000}"/>
    <cellStyle name="Positive 3 3 3 13" xfId="33284" xr:uid="{00000000-0005-0000-0000-000011820000}"/>
    <cellStyle name="Positive 3 3 3 13 2" xfId="33285" xr:uid="{00000000-0005-0000-0000-000012820000}"/>
    <cellStyle name="Positive 3 3 3 14" xfId="33286" xr:uid="{00000000-0005-0000-0000-000013820000}"/>
    <cellStyle name="Positive 3 3 3 14 2" xfId="33287" xr:uid="{00000000-0005-0000-0000-000014820000}"/>
    <cellStyle name="Positive 3 3 3 15" xfId="33288" xr:uid="{00000000-0005-0000-0000-000015820000}"/>
    <cellStyle name="Positive 3 3 3 15 2" xfId="33289" xr:uid="{00000000-0005-0000-0000-000016820000}"/>
    <cellStyle name="Positive 3 3 3 16" xfId="33290" xr:uid="{00000000-0005-0000-0000-000017820000}"/>
    <cellStyle name="Positive 3 3 3 16 2" xfId="33291" xr:uid="{00000000-0005-0000-0000-000018820000}"/>
    <cellStyle name="Positive 3 3 3 17" xfId="33292" xr:uid="{00000000-0005-0000-0000-000019820000}"/>
    <cellStyle name="Positive 3 3 3 17 2" xfId="33293" xr:uid="{00000000-0005-0000-0000-00001A820000}"/>
    <cellStyle name="Positive 3 3 3 18" xfId="33294" xr:uid="{00000000-0005-0000-0000-00001B820000}"/>
    <cellStyle name="Positive 3 3 3 18 2" xfId="33295" xr:uid="{00000000-0005-0000-0000-00001C820000}"/>
    <cellStyle name="Positive 3 3 3 19" xfId="33296" xr:uid="{00000000-0005-0000-0000-00001D820000}"/>
    <cellStyle name="Positive 3 3 3 19 2" xfId="33297" xr:uid="{00000000-0005-0000-0000-00001E820000}"/>
    <cellStyle name="Positive 3 3 3 2" xfId="33298" xr:uid="{00000000-0005-0000-0000-00001F820000}"/>
    <cellStyle name="Positive 3 3 3 2 10" xfId="33299" xr:uid="{00000000-0005-0000-0000-000020820000}"/>
    <cellStyle name="Positive 3 3 3 2 10 2" xfId="33300" xr:uid="{00000000-0005-0000-0000-000021820000}"/>
    <cellStyle name="Positive 3 3 3 2 11" xfId="33301" xr:uid="{00000000-0005-0000-0000-000022820000}"/>
    <cellStyle name="Positive 3 3 3 2 11 2" xfId="33302" xr:uid="{00000000-0005-0000-0000-000023820000}"/>
    <cellStyle name="Positive 3 3 3 2 12" xfId="33303" xr:uid="{00000000-0005-0000-0000-000024820000}"/>
    <cellStyle name="Positive 3 3 3 2 12 2" xfId="33304" xr:uid="{00000000-0005-0000-0000-000025820000}"/>
    <cellStyle name="Positive 3 3 3 2 13" xfId="33305" xr:uid="{00000000-0005-0000-0000-000026820000}"/>
    <cellStyle name="Positive 3 3 3 2 13 2" xfId="33306" xr:uid="{00000000-0005-0000-0000-000027820000}"/>
    <cellStyle name="Positive 3 3 3 2 14" xfId="33307" xr:uid="{00000000-0005-0000-0000-000028820000}"/>
    <cellStyle name="Positive 3 3 3 2 14 2" xfId="33308" xr:uid="{00000000-0005-0000-0000-000029820000}"/>
    <cellStyle name="Positive 3 3 3 2 15" xfId="33309" xr:uid="{00000000-0005-0000-0000-00002A820000}"/>
    <cellStyle name="Positive 3 3 3 2 15 2" xfId="33310" xr:uid="{00000000-0005-0000-0000-00002B820000}"/>
    <cellStyle name="Positive 3 3 3 2 16" xfId="33311" xr:uid="{00000000-0005-0000-0000-00002C820000}"/>
    <cellStyle name="Positive 3 3 3 2 16 2" xfId="33312" xr:uid="{00000000-0005-0000-0000-00002D820000}"/>
    <cellStyle name="Positive 3 3 3 2 17" xfId="33313" xr:uid="{00000000-0005-0000-0000-00002E820000}"/>
    <cellStyle name="Positive 3 3 3 2 2" xfId="33314" xr:uid="{00000000-0005-0000-0000-00002F820000}"/>
    <cellStyle name="Positive 3 3 3 2 2 2" xfId="33315" xr:uid="{00000000-0005-0000-0000-000030820000}"/>
    <cellStyle name="Positive 3 3 3 2 3" xfId="33316" xr:uid="{00000000-0005-0000-0000-000031820000}"/>
    <cellStyle name="Positive 3 3 3 2 3 2" xfId="33317" xr:uid="{00000000-0005-0000-0000-000032820000}"/>
    <cellStyle name="Positive 3 3 3 2 4" xfId="33318" xr:uid="{00000000-0005-0000-0000-000033820000}"/>
    <cellStyle name="Positive 3 3 3 2 4 2" xfId="33319" xr:uid="{00000000-0005-0000-0000-000034820000}"/>
    <cellStyle name="Positive 3 3 3 2 5" xfId="33320" xr:uid="{00000000-0005-0000-0000-000035820000}"/>
    <cellStyle name="Positive 3 3 3 2 5 2" xfId="33321" xr:uid="{00000000-0005-0000-0000-000036820000}"/>
    <cellStyle name="Positive 3 3 3 2 6" xfId="33322" xr:uid="{00000000-0005-0000-0000-000037820000}"/>
    <cellStyle name="Positive 3 3 3 2 6 2" xfId="33323" xr:uid="{00000000-0005-0000-0000-000038820000}"/>
    <cellStyle name="Positive 3 3 3 2 7" xfId="33324" xr:uid="{00000000-0005-0000-0000-000039820000}"/>
    <cellStyle name="Positive 3 3 3 2 7 2" xfId="33325" xr:uid="{00000000-0005-0000-0000-00003A820000}"/>
    <cellStyle name="Positive 3 3 3 2 8" xfId="33326" xr:uid="{00000000-0005-0000-0000-00003B820000}"/>
    <cellStyle name="Positive 3 3 3 2 8 2" xfId="33327" xr:uid="{00000000-0005-0000-0000-00003C820000}"/>
    <cellStyle name="Positive 3 3 3 2 9" xfId="33328" xr:uid="{00000000-0005-0000-0000-00003D820000}"/>
    <cellStyle name="Positive 3 3 3 2 9 2" xfId="33329" xr:uid="{00000000-0005-0000-0000-00003E820000}"/>
    <cellStyle name="Positive 3 3 3 20" xfId="33330" xr:uid="{00000000-0005-0000-0000-00003F820000}"/>
    <cellStyle name="Positive 3 3 3 3" xfId="33331" xr:uid="{00000000-0005-0000-0000-000040820000}"/>
    <cellStyle name="Positive 3 3 3 3 2" xfId="33332" xr:uid="{00000000-0005-0000-0000-000041820000}"/>
    <cellStyle name="Positive 3 3 3 3 2 2" xfId="33333" xr:uid="{00000000-0005-0000-0000-000042820000}"/>
    <cellStyle name="Positive 3 3 3 3 3" xfId="33334" xr:uid="{00000000-0005-0000-0000-000043820000}"/>
    <cellStyle name="Positive 3 3 3 4" xfId="33335" xr:uid="{00000000-0005-0000-0000-000044820000}"/>
    <cellStyle name="Positive 3 3 3 4 2" xfId="33336" xr:uid="{00000000-0005-0000-0000-000045820000}"/>
    <cellStyle name="Positive 3 3 3 4 2 2" xfId="33337" xr:uid="{00000000-0005-0000-0000-000046820000}"/>
    <cellStyle name="Positive 3 3 3 4 3" xfId="33338" xr:uid="{00000000-0005-0000-0000-000047820000}"/>
    <cellStyle name="Positive 3 3 3 5" xfId="33339" xr:uid="{00000000-0005-0000-0000-000048820000}"/>
    <cellStyle name="Positive 3 3 3 5 2" xfId="33340" xr:uid="{00000000-0005-0000-0000-000049820000}"/>
    <cellStyle name="Positive 3 3 3 6" xfId="33341" xr:uid="{00000000-0005-0000-0000-00004A820000}"/>
    <cellStyle name="Positive 3 3 3 6 2" xfId="33342" xr:uid="{00000000-0005-0000-0000-00004B820000}"/>
    <cellStyle name="Positive 3 3 3 7" xfId="33343" xr:uid="{00000000-0005-0000-0000-00004C820000}"/>
    <cellStyle name="Positive 3 3 3 7 2" xfId="33344" xr:uid="{00000000-0005-0000-0000-00004D820000}"/>
    <cellStyle name="Positive 3 3 3 8" xfId="33345" xr:uid="{00000000-0005-0000-0000-00004E820000}"/>
    <cellStyle name="Positive 3 3 3 8 2" xfId="33346" xr:uid="{00000000-0005-0000-0000-00004F820000}"/>
    <cellStyle name="Positive 3 3 3 9" xfId="33347" xr:uid="{00000000-0005-0000-0000-000050820000}"/>
    <cellStyle name="Positive 3 3 3 9 2" xfId="33348" xr:uid="{00000000-0005-0000-0000-000051820000}"/>
    <cellStyle name="Positive 3 3 4" xfId="33349" xr:uid="{00000000-0005-0000-0000-000052820000}"/>
    <cellStyle name="Positive 3 3 4 10" xfId="33350" xr:uid="{00000000-0005-0000-0000-000053820000}"/>
    <cellStyle name="Positive 3 3 4 10 2" xfId="33351" xr:uid="{00000000-0005-0000-0000-000054820000}"/>
    <cellStyle name="Positive 3 3 4 11" xfId="33352" xr:uid="{00000000-0005-0000-0000-000055820000}"/>
    <cellStyle name="Positive 3 3 4 11 2" xfId="33353" xr:uid="{00000000-0005-0000-0000-000056820000}"/>
    <cellStyle name="Positive 3 3 4 12" xfId="33354" xr:uid="{00000000-0005-0000-0000-000057820000}"/>
    <cellStyle name="Positive 3 3 4 12 2" xfId="33355" xr:uid="{00000000-0005-0000-0000-000058820000}"/>
    <cellStyle name="Positive 3 3 4 13" xfId="33356" xr:uid="{00000000-0005-0000-0000-000059820000}"/>
    <cellStyle name="Positive 3 3 4 13 2" xfId="33357" xr:uid="{00000000-0005-0000-0000-00005A820000}"/>
    <cellStyle name="Positive 3 3 4 14" xfId="33358" xr:uid="{00000000-0005-0000-0000-00005B820000}"/>
    <cellStyle name="Positive 3 3 4 14 2" xfId="33359" xr:uid="{00000000-0005-0000-0000-00005C820000}"/>
    <cellStyle name="Positive 3 3 4 15" xfId="33360" xr:uid="{00000000-0005-0000-0000-00005D820000}"/>
    <cellStyle name="Positive 3 3 4 15 2" xfId="33361" xr:uid="{00000000-0005-0000-0000-00005E820000}"/>
    <cellStyle name="Positive 3 3 4 16" xfId="33362" xr:uid="{00000000-0005-0000-0000-00005F820000}"/>
    <cellStyle name="Positive 3 3 4 16 2" xfId="33363" xr:uid="{00000000-0005-0000-0000-000060820000}"/>
    <cellStyle name="Positive 3 3 4 17" xfId="33364" xr:uid="{00000000-0005-0000-0000-000061820000}"/>
    <cellStyle name="Positive 3 3 4 17 2" xfId="33365" xr:uid="{00000000-0005-0000-0000-000062820000}"/>
    <cellStyle name="Positive 3 3 4 18" xfId="33366" xr:uid="{00000000-0005-0000-0000-000063820000}"/>
    <cellStyle name="Positive 3 3 4 18 2" xfId="33367" xr:uid="{00000000-0005-0000-0000-000064820000}"/>
    <cellStyle name="Positive 3 3 4 19" xfId="33368" xr:uid="{00000000-0005-0000-0000-000065820000}"/>
    <cellStyle name="Positive 3 3 4 19 2" xfId="33369" xr:uid="{00000000-0005-0000-0000-000066820000}"/>
    <cellStyle name="Positive 3 3 4 2" xfId="33370" xr:uid="{00000000-0005-0000-0000-000067820000}"/>
    <cellStyle name="Positive 3 3 4 2 10" xfId="33371" xr:uid="{00000000-0005-0000-0000-000068820000}"/>
    <cellStyle name="Positive 3 3 4 2 10 2" xfId="33372" xr:uid="{00000000-0005-0000-0000-000069820000}"/>
    <cellStyle name="Positive 3 3 4 2 11" xfId="33373" xr:uid="{00000000-0005-0000-0000-00006A820000}"/>
    <cellStyle name="Positive 3 3 4 2 11 2" xfId="33374" xr:uid="{00000000-0005-0000-0000-00006B820000}"/>
    <cellStyle name="Positive 3 3 4 2 12" xfId="33375" xr:uid="{00000000-0005-0000-0000-00006C820000}"/>
    <cellStyle name="Positive 3 3 4 2 12 2" xfId="33376" xr:uid="{00000000-0005-0000-0000-00006D820000}"/>
    <cellStyle name="Positive 3 3 4 2 13" xfId="33377" xr:uid="{00000000-0005-0000-0000-00006E820000}"/>
    <cellStyle name="Positive 3 3 4 2 13 2" xfId="33378" xr:uid="{00000000-0005-0000-0000-00006F820000}"/>
    <cellStyle name="Positive 3 3 4 2 14" xfId="33379" xr:uid="{00000000-0005-0000-0000-000070820000}"/>
    <cellStyle name="Positive 3 3 4 2 14 2" xfId="33380" xr:uid="{00000000-0005-0000-0000-000071820000}"/>
    <cellStyle name="Positive 3 3 4 2 15" xfId="33381" xr:uid="{00000000-0005-0000-0000-000072820000}"/>
    <cellStyle name="Positive 3 3 4 2 15 2" xfId="33382" xr:uid="{00000000-0005-0000-0000-000073820000}"/>
    <cellStyle name="Positive 3 3 4 2 16" xfId="33383" xr:uid="{00000000-0005-0000-0000-000074820000}"/>
    <cellStyle name="Positive 3 3 4 2 16 2" xfId="33384" xr:uid="{00000000-0005-0000-0000-000075820000}"/>
    <cellStyle name="Positive 3 3 4 2 17" xfId="33385" xr:uid="{00000000-0005-0000-0000-000076820000}"/>
    <cellStyle name="Positive 3 3 4 2 2" xfId="33386" xr:uid="{00000000-0005-0000-0000-000077820000}"/>
    <cellStyle name="Positive 3 3 4 2 2 2" xfId="33387" xr:uid="{00000000-0005-0000-0000-000078820000}"/>
    <cellStyle name="Positive 3 3 4 2 3" xfId="33388" xr:uid="{00000000-0005-0000-0000-000079820000}"/>
    <cellStyle name="Positive 3 3 4 2 3 2" xfId="33389" xr:uid="{00000000-0005-0000-0000-00007A820000}"/>
    <cellStyle name="Positive 3 3 4 2 4" xfId="33390" xr:uid="{00000000-0005-0000-0000-00007B820000}"/>
    <cellStyle name="Positive 3 3 4 2 4 2" xfId="33391" xr:uid="{00000000-0005-0000-0000-00007C820000}"/>
    <cellStyle name="Positive 3 3 4 2 5" xfId="33392" xr:uid="{00000000-0005-0000-0000-00007D820000}"/>
    <cellStyle name="Positive 3 3 4 2 5 2" xfId="33393" xr:uid="{00000000-0005-0000-0000-00007E820000}"/>
    <cellStyle name="Positive 3 3 4 2 6" xfId="33394" xr:uid="{00000000-0005-0000-0000-00007F820000}"/>
    <cellStyle name="Positive 3 3 4 2 6 2" xfId="33395" xr:uid="{00000000-0005-0000-0000-000080820000}"/>
    <cellStyle name="Positive 3 3 4 2 7" xfId="33396" xr:uid="{00000000-0005-0000-0000-000081820000}"/>
    <cellStyle name="Positive 3 3 4 2 7 2" xfId="33397" xr:uid="{00000000-0005-0000-0000-000082820000}"/>
    <cellStyle name="Positive 3 3 4 2 8" xfId="33398" xr:uid="{00000000-0005-0000-0000-000083820000}"/>
    <cellStyle name="Positive 3 3 4 2 8 2" xfId="33399" xr:uid="{00000000-0005-0000-0000-000084820000}"/>
    <cellStyle name="Positive 3 3 4 2 9" xfId="33400" xr:uid="{00000000-0005-0000-0000-000085820000}"/>
    <cellStyle name="Positive 3 3 4 2 9 2" xfId="33401" xr:uid="{00000000-0005-0000-0000-000086820000}"/>
    <cellStyle name="Positive 3 3 4 20" xfId="33402" xr:uid="{00000000-0005-0000-0000-000087820000}"/>
    <cellStyle name="Positive 3 3 4 3" xfId="33403" xr:uid="{00000000-0005-0000-0000-000088820000}"/>
    <cellStyle name="Positive 3 3 4 3 2" xfId="33404" xr:uid="{00000000-0005-0000-0000-000089820000}"/>
    <cellStyle name="Positive 3 3 4 3 2 2" xfId="33405" xr:uid="{00000000-0005-0000-0000-00008A820000}"/>
    <cellStyle name="Positive 3 3 4 3 3" xfId="33406" xr:uid="{00000000-0005-0000-0000-00008B820000}"/>
    <cellStyle name="Positive 3 3 4 4" xfId="33407" xr:uid="{00000000-0005-0000-0000-00008C820000}"/>
    <cellStyle name="Positive 3 3 4 4 2" xfId="33408" xr:uid="{00000000-0005-0000-0000-00008D820000}"/>
    <cellStyle name="Positive 3 3 4 4 2 2" xfId="33409" xr:uid="{00000000-0005-0000-0000-00008E820000}"/>
    <cellStyle name="Positive 3 3 4 4 3" xfId="33410" xr:uid="{00000000-0005-0000-0000-00008F820000}"/>
    <cellStyle name="Positive 3 3 4 5" xfId="33411" xr:uid="{00000000-0005-0000-0000-000090820000}"/>
    <cellStyle name="Positive 3 3 4 5 2" xfId="33412" xr:uid="{00000000-0005-0000-0000-000091820000}"/>
    <cellStyle name="Positive 3 3 4 6" xfId="33413" xr:uid="{00000000-0005-0000-0000-000092820000}"/>
    <cellStyle name="Positive 3 3 4 6 2" xfId="33414" xr:uid="{00000000-0005-0000-0000-000093820000}"/>
    <cellStyle name="Positive 3 3 4 7" xfId="33415" xr:uid="{00000000-0005-0000-0000-000094820000}"/>
    <cellStyle name="Positive 3 3 4 7 2" xfId="33416" xr:uid="{00000000-0005-0000-0000-000095820000}"/>
    <cellStyle name="Positive 3 3 4 8" xfId="33417" xr:uid="{00000000-0005-0000-0000-000096820000}"/>
    <cellStyle name="Positive 3 3 4 8 2" xfId="33418" xr:uid="{00000000-0005-0000-0000-000097820000}"/>
    <cellStyle name="Positive 3 3 4 9" xfId="33419" xr:uid="{00000000-0005-0000-0000-000098820000}"/>
    <cellStyle name="Positive 3 3 4 9 2" xfId="33420" xr:uid="{00000000-0005-0000-0000-000099820000}"/>
    <cellStyle name="Positive 3 3 5" xfId="33421" xr:uid="{00000000-0005-0000-0000-00009A820000}"/>
    <cellStyle name="Positive 3 3 5 10" xfId="33422" xr:uid="{00000000-0005-0000-0000-00009B820000}"/>
    <cellStyle name="Positive 3 3 5 10 2" xfId="33423" xr:uid="{00000000-0005-0000-0000-00009C820000}"/>
    <cellStyle name="Positive 3 3 5 11" xfId="33424" xr:uid="{00000000-0005-0000-0000-00009D820000}"/>
    <cellStyle name="Positive 3 3 5 11 2" xfId="33425" xr:uid="{00000000-0005-0000-0000-00009E820000}"/>
    <cellStyle name="Positive 3 3 5 12" xfId="33426" xr:uid="{00000000-0005-0000-0000-00009F820000}"/>
    <cellStyle name="Positive 3 3 5 12 2" xfId="33427" xr:uid="{00000000-0005-0000-0000-0000A0820000}"/>
    <cellStyle name="Positive 3 3 5 13" xfId="33428" xr:uid="{00000000-0005-0000-0000-0000A1820000}"/>
    <cellStyle name="Positive 3 3 5 13 2" xfId="33429" xr:uid="{00000000-0005-0000-0000-0000A2820000}"/>
    <cellStyle name="Positive 3 3 5 14" xfId="33430" xr:uid="{00000000-0005-0000-0000-0000A3820000}"/>
    <cellStyle name="Positive 3 3 5 14 2" xfId="33431" xr:uid="{00000000-0005-0000-0000-0000A4820000}"/>
    <cellStyle name="Positive 3 3 5 15" xfId="33432" xr:uid="{00000000-0005-0000-0000-0000A5820000}"/>
    <cellStyle name="Positive 3 3 5 15 2" xfId="33433" xr:uid="{00000000-0005-0000-0000-0000A6820000}"/>
    <cellStyle name="Positive 3 3 5 16" xfId="33434" xr:uid="{00000000-0005-0000-0000-0000A7820000}"/>
    <cellStyle name="Positive 3 3 5 16 2" xfId="33435" xr:uid="{00000000-0005-0000-0000-0000A8820000}"/>
    <cellStyle name="Positive 3 3 5 17" xfId="33436" xr:uid="{00000000-0005-0000-0000-0000A9820000}"/>
    <cellStyle name="Positive 3 3 5 2" xfId="33437" xr:uid="{00000000-0005-0000-0000-0000AA820000}"/>
    <cellStyle name="Positive 3 3 5 2 2" xfId="33438" xr:uid="{00000000-0005-0000-0000-0000AB820000}"/>
    <cellStyle name="Positive 3 3 5 3" xfId="33439" xr:uid="{00000000-0005-0000-0000-0000AC820000}"/>
    <cellStyle name="Positive 3 3 5 3 2" xfId="33440" xr:uid="{00000000-0005-0000-0000-0000AD820000}"/>
    <cellStyle name="Positive 3 3 5 4" xfId="33441" xr:uid="{00000000-0005-0000-0000-0000AE820000}"/>
    <cellStyle name="Positive 3 3 5 4 2" xfId="33442" xr:uid="{00000000-0005-0000-0000-0000AF820000}"/>
    <cellStyle name="Positive 3 3 5 5" xfId="33443" xr:uid="{00000000-0005-0000-0000-0000B0820000}"/>
    <cellStyle name="Positive 3 3 5 5 2" xfId="33444" xr:uid="{00000000-0005-0000-0000-0000B1820000}"/>
    <cellStyle name="Positive 3 3 5 6" xfId="33445" xr:uid="{00000000-0005-0000-0000-0000B2820000}"/>
    <cellStyle name="Positive 3 3 5 6 2" xfId="33446" xr:uid="{00000000-0005-0000-0000-0000B3820000}"/>
    <cellStyle name="Positive 3 3 5 7" xfId="33447" xr:uid="{00000000-0005-0000-0000-0000B4820000}"/>
    <cellStyle name="Positive 3 3 5 7 2" xfId="33448" xr:uid="{00000000-0005-0000-0000-0000B5820000}"/>
    <cellStyle name="Positive 3 3 5 8" xfId="33449" xr:uid="{00000000-0005-0000-0000-0000B6820000}"/>
    <cellStyle name="Positive 3 3 5 8 2" xfId="33450" xr:uid="{00000000-0005-0000-0000-0000B7820000}"/>
    <cellStyle name="Positive 3 3 5 9" xfId="33451" xr:uid="{00000000-0005-0000-0000-0000B8820000}"/>
    <cellStyle name="Positive 3 3 5 9 2" xfId="33452" xr:uid="{00000000-0005-0000-0000-0000B9820000}"/>
    <cellStyle name="Positive 3 3 6" xfId="33453" xr:uid="{00000000-0005-0000-0000-0000BA820000}"/>
    <cellStyle name="Positive 3 3 6 2" xfId="33454" xr:uid="{00000000-0005-0000-0000-0000BB820000}"/>
    <cellStyle name="Positive 3 3 6 2 2" xfId="33455" xr:uid="{00000000-0005-0000-0000-0000BC820000}"/>
    <cellStyle name="Positive 3 3 6 3" xfId="33456" xr:uid="{00000000-0005-0000-0000-0000BD820000}"/>
    <cellStyle name="Positive 3 3 7" xfId="33457" xr:uid="{00000000-0005-0000-0000-0000BE820000}"/>
    <cellStyle name="Positive 3 3 7 2" xfId="33458" xr:uid="{00000000-0005-0000-0000-0000BF820000}"/>
    <cellStyle name="Positive 3 3 7 2 2" xfId="33459" xr:uid="{00000000-0005-0000-0000-0000C0820000}"/>
    <cellStyle name="Positive 3 3 7 3" xfId="33460" xr:uid="{00000000-0005-0000-0000-0000C1820000}"/>
    <cellStyle name="Positive 3 3 8" xfId="33461" xr:uid="{00000000-0005-0000-0000-0000C2820000}"/>
    <cellStyle name="Positive 3 3 8 2" xfId="33462" xr:uid="{00000000-0005-0000-0000-0000C3820000}"/>
    <cellStyle name="Positive 3 3 9" xfId="33463" xr:uid="{00000000-0005-0000-0000-0000C4820000}"/>
    <cellStyle name="Positive 3 3 9 2" xfId="33464" xr:uid="{00000000-0005-0000-0000-0000C5820000}"/>
    <cellStyle name="Positive 3 30" xfId="33465" xr:uid="{00000000-0005-0000-0000-0000C6820000}"/>
    <cellStyle name="Positive 3 30 2" xfId="33466" xr:uid="{00000000-0005-0000-0000-0000C7820000}"/>
    <cellStyle name="Positive 3 31" xfId="33467" xr:uid="{00000000-0005-0000-0000-0000C8820000}"/>
    <cellStyle name="Positive 3 31 2" xfId="33468" xr:uid="{00000000-0005-0000-0000-0000C9820000}"/>
    <cellStyle name="Positive 3 32" xfId="33469" xr:uid="{00000000-0005-0000-0000-0000CA820000}"/>
    <cellStyle name="Positive 3 32 2" xfId="33470" xr:uid="{00000000-0005-0000-0000-0000CB820000}"/>
    <cellStyle name="Positive 3 33" xfId="33471" xr:uid="{00000000-0005-0000-0000-0000CC820000}"/>
    <cellStyle name="Positive 3 33 2" xfId="33472" xr:uid="{00000000-0005-0000-0000-0000CD820000}"/>
    <cellStyle name="Positive 3 34" xfId="33473" xr:uid="{00000000-0005-0000-0000-0000CE820000}"/>
    <cellStyle name="Positive 3 34 2" xfId="33474" xr:uid="{00000000-0005-0000-0000-0000CF820000}"/>
    <cellStyle name="Positive 3 35" xfId="33475" xr:uid="{00000000-0005-0000-0000-0000D0820000}"/>
    <cellStyle name="Positive 3 35 2" xfId="33476" xr:uid="{00000000-0005-0000-0000-0000D1820000}"/>
    <cellStyle name="Positive 3 36" xfId="33477" xr:uid="{00000000-0005-0000-0000-0000D2820000}"/>
    <cellStyle name="Positive 3 36 2" xfId="33478" xr:uid="{00000000-0005-0000-0000-0000D3820000}"/>
    <cellStyle name="Positive 3 37" xfId="33479" xr:uid="{00000000-0005-0000-0000-0000D4820000}"/>
    <cellStyle name="Positive 3 37 2" xfId="33480" xr:uid="{00000000-0005-0000-0000-0000D5820000}"/>
    <cellStyle name="Positive 3 38" xfId="33481" xr:uid="{00000000-0005-0000-0000-0000D6820000}"/>
    <cellStyle name="Positive 3 38 2" xfId="33482" xr:uid="{00000000-0005-0000-0000-0000D7820000}"/>
    <cellStyle name="Positive 3 39" xfId="33483" xr:uid="{00000000-0005-0000-0000-0000D8820000}"/>
    <cellStyle name="Positive 3 4" xfId="33484" xr:uid="{00000000-0005-0000-0000-0000D9820000}"/>
    <cellStyle name="Positive 3 4 10" xfId="33485" xr:uid="{00000000-0005-0000-0000-0000DA820000}"/>
    <cellStyle name="Positive 3 4 10 2" xfId="33486" xr:uid="{00000000-0005-0000-0000-0000DB820000}"/>
    <cellStyle name="Positive 3 4 11" xfId="33487" xr:uid="{00000000-0005-0000-0000-0000DC820000}"/>
    <cellStyle name="Positive 3 4 11 2" xfId="33488" xr:uid="{00000000-0005-0000-0000-0000DD820000}"/>
    <cellStyle name="Positive 3 4 12" xfId="33489" xr:uid="{00000000-0005-0000-0000-0000DE820000}"/>
    <cellStyle name="Positive 3 4 12 2" xfId="33490" xr:uid="{00000000-0005-0000-0000-0000DF820000}"/>
    <cellStyle name="Positive 3 4 13" xfId="33491" xr:uid="{00000000-0005-0000-0000-0000E0820000}"/>
    <cellStyle name="Positive 3 4 13 2" xfId="33492" xr:uid="{00000000-0005-0000-0000-0000E1820000}"/>
    <cellStyle name="Positive 3 4 14" xfId="33493" xr:uid="{00000000-0005-0000-0000-0000E2820000}"/>
    <cellStyle name="Positive 3 4 14 2" xfId="33494" xr:uid="{00000000-0005-0000-0000-0000E3820000}"/>
    <cellStyle name="Positive 3 4 15" xfId="33495" xr:uid="{00000000-0005-0000-0000-0000E4820000}"/>
    <cellStyle name="Positive 3 4 15 2" xfId="33496" xr:uid="{00000000-0005-0000-0000-0000E5820000}"/>
    <cellStyle name="Positive 3 4 16" xfId="33497" xr:uid="{00000000-0005-0000-0000-0000E6820000}"/>
    <cellStyle name="Positive 3 4 16 2" xfId="33498" xr:uid="{00000000-0005-0000-0000-0000E7820000}"/>
    <cellStyle name="Positive 3 4 17" xfId="33499" xr:uid="{00000000-0005-0000-0000-0000E8820000}"/>
    <cellStyle name="Positive 3 4 17 2" xfId="33500" xr:uid="{00000000-0005-0000-0000-0000E9820000}"/>
    <cellStyle name="Positive 3 4 18" xfId="33501" xr:uid="{00000000-0005-0000-0000-0000EA820000}"/>
    <cellStyle name="Positive 3 4 18 2" xfId="33502" xr:uid="{00000000-0005-0000-0000-0000EB820000}"/>
    <cellStyle name="Positive 3 4 19" xfId="33503" xr:uid="{00000000-0005-0000-0000-0000EC820000}"/>
    <cellStyle name="Positive 3 4 19 2" xfId="33504" xr:uid="{00000000-0005-0000-0000-0000ED820000}"/>
    <cellStyle name="Positive 3 4 2" xfId="33505" xr:uid="{00000000-0005-0000-0000-0000EE820000}"/>
    <cellStyle name="Positive 3 4 2 10" xfId="33506" xr:uid="{00000000-0005-0000-0000-0000EF820000}"/>
    <cellStyle name="Positive 3 4 2 10 2" xfId="33507" xr:uid="{00000000-0005-0000-0000-0000F0820000}"/>
    <cellStyle name="Positive 3 4 2 11" xfId="33508" xr:uid="{00000000-0005-0000-0000-0000F1820000}"/>
    <cellStyle name="Positive 3 4 2 11 2" xfId="33509" xr:uid="{00000000-0005-0000-0000-0000F2820000}"/>
    <cellStyle name="Positive 3 4 2 12" xfId="33510" xr:uid="{00000000-0005-0000-0000-0000F3820000}"/>
    <cellStyle name="Positive 3 4 2 12 2" xfId="33511" xr:uid="{00000000-0005-0000-0000-0000F4820000}"/>
    <cellStyle name="Positive 3 4 2 13" xfId="33512" xr:uid="{00000000-0005-0000-0000-0000F5820000}"/>
    <cellStyle name="Positive 3 4 2 13 2" xfId="33513" xr:uid="{00000000-0005-0000-0000-0000F6820000}"/>
    <cellStyle name="Positive 3 4 2 14" xfId="33514" xr:uid="{00000000-0005-0000-0000-0000F7820000}"/>
    <cellStyle name="Positive 3 4 2 14 2" xfId="33515" xr:uid="{00000000-0005-0000-0000-0000F8820000}"/>
    <cellStyle name="Positive 3 4 2 15" xfId="33516" xr:uid="{00000000-0005-0000-0000-0000F9820000}"/>
    <cellStyle name="Positive 3 4 2 15 2" xfId="33517" xr:uid="{00000000-0005-0000-0000-0000FA820000}"/>
    <cellStyle name="Positive 3 4 2 16" xfId="33518" xr:uid="{00000000-0005-0000-0000-0000FB820000}"/>
    <cellStyle name="Positive 3 4 2 16 2" xfId="33519" xr:uid="{00000000-0005-0000-0000-0000FC820000}"/>
    <cellStyle name="Positive 3 4 2 17" xfId="33520" xr:uid="{00000000-0005-0000-0000-0000FD820000}"/>
    <cellStyle name="Positive 3 4 2 17 2" xfId="33521" xr:uid="{00000000-0005-0000-0000-0000FE820000}"/>
    <cellStyle name="Positive 3 4 2 18" xfId="33522" xr:uid="{00000000-0005-0000-0000-0000FF820000}"/>
    <cellStyle name="Positive 3 4 2 18 2" xfId="33523" xr:uid="{00000000-0005-0000-0000-000000830000}"/>
    <cellStyle name="Positive 3 4 2 19" xfId="33524" xr:uid="{00000000-0005-0000-0000-000001830000}"/>
    <cellStyle name="Positive 3 4 2 19 2" xfId="33525" xr:uid="{00000000-0005-0000-0000-000002830000}"/>
    <cellStyle name="Positive 3 4 2 2" xfId="33526" xr:uid="{00000000-0005-0000-0000-000003830000}"/>
    <cellStyle name="Positive 3 4 2 2 10" xfId="33527" xr:uid="{00000000-0005-0000-0000-000004830000}"/>
    <cellStyle name="Positive 3 4 2 2 10 2" xfId="33528" xr:uid="{00000000-0005-0000-0000-000005830000}"/>
    <cellStyle name="Positive 3 4 2 2 11" xfId="33529" xr:uid="{00000000-0005-0000-0000-000006830000}"/>
    <cellStyle name="Positive 3 4 2 2 11 2" xfId="33530" xr:uid="{00000000-0005-0000-0000-000007830000}"/>
    <cellStyle name="Positive 3 4 2 2 12" xfId="33531" xr:uid="{00000000-0005-0000-0000-000008830000}"/>
    <cellStyle name="Positive 3 4 2 2 12 2" xfId="33532" xr:uid="{00000000-0005-0000-0000-000009830000}"/>
    <cellStyle name="Positive 3 4 2 2 13" xfId="33533" xr:uid="{00000000-0005-0000-0000-00000A830000}"/>
    <cellStyle name="Positive 3 4 2 2 13 2" xfId="33534" xr:uid="{00000000-0005-0000-0000-00000B830000}"/>
    <cellStyle name="Positive 3 4 2 2 14" xfId="33535" xr:uid="{00000000-0005-0000-0000-00000C830000}"/>
    <cellStyle name="Positive 3 4 2 2 14 2" xfId="33536" xr:uid="{00000000-0005-0000-0000-00000D830000}"/>
    <cellStyle name="Positive 3 4 2 2 15" xfId="33537" xr:uid="{00000000-0005-0000-0000-00000E830000}"/>
    <cellStyle name="Positive 3 4 2 2 15 2" xfId="33538" xr:uid="{00000000-0005-0000-0000-00000F830000}"/>
    <cellStyle name="Positive 3 4 2 2 16" xfId="33539" xr:uid="{00000000-0005-0000-0000-000010830000}"/>
    <cellStyle name="Positive 3 4 2 2 16 2" xfId="33540" xr:uid="{00000000-0005-0000-0000-000011830000}"/>
    <cellStyle name="Positive 3 4 2 2 17" xfId="33541" xr:uid="{00000000-0005-0000-0000-000012830000}"/>
    <cellStyle name="Positive 3 4 2 2 2" xfId="33542" xr:uid="{00000000-0005-0000-0000-000013830000}"/>
    <cellStyle name="Positive 3 4 2 2 2 2" xfId="33543" xr:uid="{00000000-0005-0000-0000-000014830000}"/>
    <cellStyle name="Positive 3 4 2 2 3" xfId="33544" xr:uid="{00000000-0005-0000-0000-000015830000}"/>
    <cellStyle name="Positive 3 4 2 2 3 2" xfId="33545" xr:uid="{00000000-0005-0000-0000-000016830000}"/>
    <cellStyle name="Positive 3 4 2 2 4" xfId="33546" xr:uid="{00000000-0005-0000-0000-000017830000}"/>
    <cellStyle name="Positive 3 4 2 2 4 2" xfId="33547" xr:uid="{00000000-0005-0000-0000-000018830000}"/>
    <cellStyle name="Positive 3 4 2 2 5" xfId="33548" xr:uid="{00000000-0005-0000-0000-000019830000}"/>
    <cellStyle name="Positive 3 4 2 2 5 2" xfId="33549" xr:uid="{00000000-0005-0000-0000-00001A830000}"/>
    <cellStyle name="Positive 3 4 2 2 6" xfId="33550" xr:uid="{00000000-0005-0000-0000-00001B830000}"/>
    <cellStyle name="Positive 3 4 2 2 6 2" xfId="33551" xr:uid="{00000000-0005-0000-0000-00001C830000}"/>
    <cellStyle name="Positive 3 4 2 2 7" xfId="33552" xr:uid="{00000000-0005-0000-0000-00001D830000}"/>
    <cellStyle name="Positive 3 4 2 2 7 2" xfId="33553" xr:uid="{00000000-0005-0000-0000-00001E830000}"/>
    <cellStyle name="Positive 3 4 2 2 8" xfId="33554" xr:uid="{00000000-0005-0000-0000-00001F830000}"/>
    <cellStyle name="Positive 3 4 2 2 8 2" xfId="33555" xr:uid="{00000000-0005-0000-0000-000020830000}"/>
    <cellStyle name="Positive 3 4 2 2 9" xfId="33556" xr:uid="{00000000-0005-0000-0000-000021830000}"/>
    <cellStyle name="Positive 3 4 2 2 9 2" xfId="33557" xr:uid="{00000000-0005-0000-0000-000022830000}"/>
    <cellStyle name="Positive 3 4 2 20" xfId="33558" xr:uid="{00000000-0005-0000-0000-000023830000}"/>
    <cellStyle name="Positive 3 4 2 3" xfId="33559" xr:uid="{00000000-0005-0000-0000-000024830000}"/>
    <cellStyle name="Positive 3 4 2 3 2" xfId="33560" xr:uid="{00000000-0005-0000-0000-000025830000}"/>
    <cellStyle name="Positive 3 4 2 3 2 2" xfId="33561" xr:uid="{00000000-0005-0000-0000-000026830000}"/>
    <cellStyle name="Positive 3 4 2 3 3" xfId="33562" xr:uid="{00000000-0005-0000-0000-000027830000}"/>
    <cellStyle name="Positive 3 4 2 4" xfId="33563" xr:uid="{00000000-0005-0000-0000-000028830000}"/>
    <cellStyle name="Positive 3 4 2 4 2" xfId="33564" xr:uid="{00000000-0005-0000-0000-000029830000}"/>
    <cellStyle name="Positive 3 4 2 4 2 2" xfId="33565" xr:uid="{00000000-0005-0000-0000-00002A830000}"/>
    <cellStyle name="Positive 3 4 2 4 3" xfId="33566" xr:uid="{00000000-0005-0000-0000-00002B830000}"/>
    <cellStyle name="Positive 3 4 2 5" xfId="33567" xr:uid="{00000000-0005-0000-0000-00002C830000}"/>
    <cellStyle name="Positive 3 4 2 5 2" xfId="33568" xr:uid="{00000000-0005-0000-0000-00002D830000}"/>
    <cellStyle name="Positive 3 4 2 6" xfId="33569" xr:uid="{00000000-0005-0000-0000-00002E830000}"/>
    <cellStyle name="Positive 3 4 2 6 2" xfId="33570" xr:uid="{00000000-0005-0000-0000-00002F830000}"/>
    <cellStyle name="Positive 3 4 2 7" xfId="33571" xr:uid="{00000000-0005-0000-0000-000030830000}"/>
    <cellStyle name="Positive 3 4 2 7 2" xfId="33572" xr:uid="{00000000-0005-0000-0000-000031830000}"/>
    <cellStyle name="Positive 3 4 2 8" xfId="33573" xr:uid="{00000000-0005-0000-0000-000032830000}"/>
    <cellStyle name="Positive 3 4 2 8 2" xfId="33574" xr:uid="{00000000-0005-0000-0000-000033830000}"/>
    <cellStyle name="Positive 3 4 2 9" xfId="33575" xr:uid="{00000000-0005-0000-0000-000034830000}"/>
    <cellStyle name="Positive 3 4 2 9 2" xfId="33576" xr:uid="{00000000-0005-0000-0000-000035830000}"/>
    <cellStyle name="Positive 3 4 20" xfId="33577" xr:uid="{00000000-0005-0000-0000-000036830000}"/>
    <cellStyle name="Positive 3 4 20 2" xfId="33578" xr:uid="{00000000-0005-0000-0000-000037830000}"/>
    <cellStyle name="Positive 3 4 21" xfId="33579" xr:uid="{00000000-0005-0000-0000-000038830000}"/>
    <cellStyle name="Positive 3 4 21 2" xfId="33580" xr:uid="{00000000-0005-0000-0000-000039830000}"/>
    <cellStyle name="Positive 3 4 22" xfId="33581" xr:uid="{00000000-0005-0000-0000-00003A830000}"/>
    <cellStyle name="Positive 3 4 22 2" xfId="33582" xr:uid="{00000000-0005-0000-0000-00003B830000}"/>
    <cellStyle name="Positive 3 4 23" xfId="33583" xr:uid="{00000000-0005-0000-0000-00003C830000}"/>
    <cellStyle name="Positive 3 4 3" xfId="33584" xr:uid="{00000000-0005-0000-0000-00003D830000}"/>
    <cellStyle name="Positive 3 4 3 10" xfId="33585" xr:uid="{00000000-0005-0000-0000-00003E830000}"/>
    <cellStyle name="Positive 3 4 3 10 2" xfId="33586" xr:uid="{00000000-0005-0000-0000-00003F830000}"/>
    <cellStyle name="Positive 3 4 3 11" xfId="33587" xr:uid="{00000000-0005-0000-0000-000040830000}"/>
    <cellStyle name="Positive 3 4 3 11 2" xfId="33588" xr:uid="{00000000-0005-0000-0000-000041830000}"/>
    <cellStyle name="Positive 3 4 3 12" xfId="33589" xr:uid="{00000000-0005-0000-0000-000042830000}"/>
    <cellStyle name="Positive 3 4 3 12 2" xfId="33590" xr:uid="{00000000-0005-0000-0000-000043830000}"/>
    <cellStyle name="Positive 3 4 3 13" xfId="33591" xr:uid="{00000000-0005-0000-0000-000044830000}"/>
    <cellStyle name="Positive 3 4 3 13 2" xfId="33592" xr:uid="{00000000-0005-0000-0000-000045830000}"/>
    <cellStyle name="Positive 3 4 3 14" xfId="33593" xr:uid="{00000000-0005-0000-0000-000046830000}"/>
    <cellStyle name="Positive 3 4 3 14 2" xfId="33594" xr:uid="{00000000-0005-0000-0000-000047830000}"/>
    <cellStyle name="Positive 3 4 3 15" xfId="33595" xr:uid="{00000000-0005-0000-0000-000048830000}"/>
    <cellStyle name="Positive 3 4 3 15 2" xfId="33596" xr:uid="{00000000-0005-0000-0000-000049830000}"/>
    <cellStyle name="Positive 3 4 3 16" xfId="33597" xr:uid="{00000000-0005-0000-0000-00004A830000}"/>
    <cellStyle name="Positive 3 4 3 16 2" xfId="33598" xr:uid="{00000000-0005-0000-0000-00004B830000}"/>
    <cellStyle name="Positive 3 4 3 17" xfId="33599" xr:uid="{00000000-0005-0000-0000-00004C830000}"/>
    <cellStyle name="Positive 3 4 3 17 2" xfId="33600" xr:uid="{00000000-0005-0000-0000-00004D830000}"/>
    <cellStyle name="Positive 3 4 3 18" xfId="33601" xr:uid="{00000000-0005-0000-0000-00004E830000}"/>
    <cellStyle name="Positive 3 4 3 18 2" xfId="33602" xr:uid="{00000000-0005-0000-0000-00004F830000}"/>
    <cellStyle name="Positive 3 4 3 19" xfId="33603" xr:uid="{00000000-0005-0000-0000-000050830000}"/>
    <cellStyle name="Positive 3 4 3 19 2" xfId="33604" xr:uid="{00000000-0005-0000-0000-000051830000}"/>
    <cellStyle name="Positive 3 4 3 2" xfId="33605" xr:uid="{00000000-0005-0000-0000-000052830000}"/>
    <cellStyle name="Positive 3 4 3 2 10" xfId="33606" xr:uid="{00000000-0005-0000-0000-000053830000}"/>
    <cellStyle name="Positive 3 4 3 2 10 2" xfId="33607" xr:uid="{00000000-0005-0000-0000-000054830000}"/>
    <cellStyle name="Positive 3 4 3 2 11" xfId="33608" xr:uid="{00000000-0005-0000-0000-000055830000}"/>
    <cellStyle name="Positive 3 4 3 2 11 2" xfId="33609" xr:uid="{00000000-0005-0000-0000-000056830000}"/>
    <cellStyle name="Positive 3 4 3 2 12" xfId="33610" xr:uid="{00000000-0005-0000-0000-000057830000}"/>
    <cellStyle name="Positive 3 4 3 2 12 2" xfId="33611" xr:uid="{00000000-0005-0000-0000-000058830000}"/>
    <cellStyle name="Positive 3 4 3 2 13" xfId="33612" xr:uid="{00000000-0005-0000-0000-000059830000}"/>
    <cellStyle name="Positive 3 4 3 2 13 2" xfId="33613" xr:uid="{00000000-0005-0000-0000-00005A830000}"/>
    <cellStyle name="Positive 3 4 3 2 14" xfId="33614" xr:uid="{00000000-0005-0000-0000-00005B830000}"/>
    <cellStyle name="Positive 3 4 3 2 14 2" xfId="33615" xr:uid="{00000000-0005-0000-0000-00005C830000}"/>
    <cellStyle name="Positive 3 4 3 2 15" xfId="33616" xr:uid="{00000000-0005-0000-0000-00005D830000}"/>
    <cellStyle name="Positive 3 4 3 2 15 2" xfId="33617" xr:uid="{00000000-0005-0000-0000-00005E830000}"/>
    <cellStyle name="Positive 3 4 3 2 16" xfId="33618" xr:uid="{00000000-0005-0000-0000-00005F830000}"/>
    <cellStyle name="Positive 3 4 3 2 16 2" xfId="33619" xr:uid="{00000000-0005-0000-0000-000060830000}"/>
    <cellStyle name="Positive 3 4 3 2 17" xfId="33620" xr:uid="{00000000-0005-0000-0000-000061830000}"/>
    <cellStyle name="Positive 3 4 3 2 2" xfId="33621" xr:uid="{00000000-0005-0000-0000-000062830000}"/>
    <cellStyle name="Positive 3 4 3 2 2 2" xfId="33622" xr:uid="{00000000-0005-0000-0000-000063830000}"/>
    <cellStyle name="Positive 3 4 3 2 3" xfId="33623" xr:uid="{00000000-0005-0000-0000-000064830000}"/>
    <cellStyle name="Positive 3 4 3 2 3 2" xfId="33624" xr:uid="{00000000-0005-0000-0000-000065830000}"/>
    <cellStyle name="Positive 3 4 3 2 4" xfId="33625" xr:uid="{00000000-0005-0000-0000-000066830000}"/>
    <cellStyle name="Positive 3 4 3 2 4 2" xfId="33626" xr:uid="{00000000-0005-0000-0000-000067830000}"/>
    <cellStyle name="Positive 3 4 3 2 5" xfId="33627" xr:uid="{00000000-0005-0000-0000-000068830000}"/>
    <cellStyle name="Positive 3 4 3 2 5 2" xfId="33628" xr:uid="{00000000-0005-0000-0000-000069830000}"/>
    <cellStyle name="Positive 3 4 3 2 6" xfId="33629" xr:uid="{00000000-0005-0000-0000-00006A830000}"/>
    <cellStyle name="Positive 3 4 3 2 6 2" xfId="33630" xr:uid="{00000000-0005-0000-0000-00006B830000}"/>
    <cellStyle name="Positive 3 4 3 2 7" xfId="33631" xr:uid="{00000000-0005-0000-0000-00006C830000}"/>
    <cellStyle name="Positive 3 4 3 2 7 2" xfId="33632" xr:uid="{00000000-0005-0000-0000-00006D830000}"/>
    <cellStyle name="Positive 3 4 3 2 8" xfId="33633" xr:uid="{00000000-0005-0000-0000-00006E830000}"/>
    <cellStyle name="Positive 3 4 3 2 8 2" xfId="33634" xr:uid="{00000000-0005-0000-0000-00006F830000}"/>
    <cellStyle name="Positive 3 4 3 2 9" xfId="33635" xr:uid="{00000000-0005-0000-0000-000070830000}"/>
    <cellStyle name="Positive 3 4 3 2 9 2" xfId="33636" xr:uid="{00000000-0005-0000-0000-000071830000}"/>
    <cellStyle name="Positive 3 4 3 20" xfId="33637" xr:uid="{00000000-0005-0000-0000-000072830000}"/>
    <cellStyle name="Positive 3 4 3 3" xfId="33638" xr:uid="{00000000-0005-0000-0000-000073830000}"/>
    <cellStyle name="Positive 3 4 3 3 2" xfId="33639" xr:uid="{00000000-0005-0000-0000-000074830000}"/>
    <cellStyle name="Positive 3 4 3 3 2 2" xfId="33640" xr:uid="{00000000-0005-0000-0000-000075830000}"/>
    <cellStyle name="Positive 3 4 3 3 3" xfId="33641" xr:uid="{00000000-0005-0000-0000-000076830000}"/>
    <cellStyle name="Positive 3 4 3 4" xfId="33642" xr:uid="{00000000-0005-0000-0000-000077830000}"/>
    <cellStyle name="Positive 3 4 3 4 2" xfId="33643" xr:uid="{00000000-0005-0000-0000-000078830000}"/>
    <cellStyle name="Positive 3 4 3 4 2 2" xfId="33644" xr:uid="{00000000-0005-0000-0000-000079830000}"/>
    <cellStyle name="Positive 3 4 3 4 3" xfId="33645" xr:uid="{00000000-0005-0000-0000-00007A830000}"/>
    <cellStyle name="Positive 3 4 3 5" xfId="33646" xr:uid="{00000000-0005-0000-0000-00007B830000}"/>
    <cellStyle name="Positive 3 4 3 5 2" xfId="33647" xr:uid="{00000000-0005-0000-0000-00007C830000}"/>
    <cellStyle name="Positive 3 4 3 6" xfId="33648" xr:uid="{00000000-0005-0000-0000-00007D830000}"/>
    <cellStyle name="Positive 3 4 3 6 2" xfId="33649" xr:uid="{00000000-0005-0000-0000-00007E830000}"/>
    <cellStyle name="Positive 3 4 3 7" xfId="33650" xr:uid="{00000000-0005-0000-0000-00007F830000}"/>
    <cellStyle name="Positive 3 4 3 7 2" xfId="33651" xr:uid="{00000000-0005-0000-0000-000080830000}"/>
    <cellStyle name="Positive 3 4 3 8" xfId="33652" xr:uid="{00000000-0005-0000-0000-000081830000}"/>
    <cellStyle name="Positive 3 4 3 8 2" xfId="33653" xr:uid="{00000000-0005-0000-0000-000082830000}"/>
    <cellStyle name="Positive 3 4 3 9" xfId="33654" xr:uid="{00000000-0005-0000-0000-000083830000}"/>
    <cellStyle name="Positive 3 4 3 9 2" xfId="33655" xr:uid="{00000000-0005-0000-0000-000084830000}"/>
    <cellStyle name="Positive 3 4 4" xfId="33656" xr:uid="{00000000-0005-0000-0000-000085830000}"/>
    <cellStyle name="Positive 3 4 4 10" xfId="33657" xr:uid="{00000000-0005-0000-0000-000086830000}"/>
    <cellStyle name="Positive 3 4 4 10 2" xfId="33658" xr:uid="{00000000-0005-0000-0000-000087830000}"/>
    <cellStyle name="Positive 3 4 4 11" xfId="33659" xr:uid="{00000000-0005-0000-0000-000088830000}"/>
    <cellStyle name="Positive 3 4 4 11 2" xfId="33660" xr:uid="{00000000-0005-0000-0000-000089830000}"/>
    <cellStyle name="Positive 3 4 4 12" xfId="33661" xr:uid="{00000000-0005-0000-0000-00008A830000}"/>
    <cellStyle name="Positive 3 4 4 12 2" xfId="33662" xr:uid="{00000000-0005-0000-0000-00008B830000}"/>
    <cellStyle name="Positive 3 4 4 13" xfId="33663" xr:uid="{00000000-0005-0000-0000-00008C830000}"/>
    <cellStyle name="Positive 3 4 4 13 2" xfId="33664" xr:uid="{00000000-0005-0000-0000-00008D830000}"/>
    <cellStyle name="Positive 3 4 4 14" xfId="33665" xr:uid="{00000000-0005-0000-0000-00008E830000}"/>
    <cellStyle name="Positive 3 4 4 14 2" xfId="33666" xr:uid="{00000000-0005-0000-0000-00008F830000}"/>
    <cellStyle name="Positive 3 4 4 15" xfId="33667" xr:uid="{00000000-0005-0000-0000-000090830000}"/>
    <cellStyle name="Positive 3 4 4 15 2" xfId="33668" xr:uid="{00000000-0005-0000-0000-000091830000}"/>
    <cellStyle name="Positive 3 4 4 16" xfId="33669" xr:uid="{00000000-0005-0000-0000-000092830000}"/>
    <cellStyle name="Positive 3 4 4 16 2" xfId="33670" xr:uid="{00000000-0005-0000-0000-000093830000}"/>
    <cellStyle name="Positive 3 4 4 17" xfId="33671" xr:uid="{00000000-0005-0000-0000-000094830000}"/>
    <cellStyle name="Positive 3 4 4 17 2" xfId="33672" xr:uid="{00000000-0005-0000-0000-000095830000}"/>
    <cellStyle name="Positive 3 4 4 18" xfId="33673" xr:uid="{00000000-0005-0000-0000-000096830000}"/>
    <cellStyle name="Positive 3 4 4 18 2" xfId="33674" xr:uid="{00000000-0005-0000-0000-000097830000}"/>
    <cellStyle name="Positive 3 4 4 19" xfId="33675" xr:uid="{00000000-0005-0000-0000-000098830000}"/>
    <cellStyle name="Positive 3 4 4 19 2" xfId="33676" xr:uid="{00000000-0005-0000-0000-000099830000}"/>
    <cellStyle name="Positive 3 4 4 2" xfId="33677" xr:uid="{00000000-0005-0000-0000-00009A830000}"/>
    <cellStyle name="Positive 3 4 4 2 10" xfId="33678" xr:uid="{00000000-0005-0000-0000-00009B830000}"/>
    <cellStyle name="Positive 3 4 4 2 10 2" xfId="33679" xr:uid="{00000000-0005-0000-0000-00009C830000}"/>
    <cellStyle name="Positive 3 4 4 2 11" xfId="33680" xr:uid="{00000000-0005-0000-0000-00009D830000}"/>
    <cellStyle name="Positive 3 4 4 2 11 2" xfId="33681" xr:uid="{00000000-0005-0000-0000-00009E830000}"/>
    <cellStyle name="Positive 3 4 4 2 12" xfId="33682" xr:uid="{00000000-0005-0000-0000-00009F830000}"/>
    <cellStyle name="Positive 3 4 4 2 12 2" xfId="33683" xr:uid="{00000000-0005-0000-0000-0000A0830000}"/>
    <cellStyle name="Positive 3 4 4 2 13" xfId="33684" xr:uid="{00000000-0005-0000-0000-0000A1830000}"/>
    <cellStyle name="Positive 3 4 4 2 13 2" xfId="33685" xr:uid="{00000000-0005-0000-0000-0000A2830000}"/>
    <cellStyle name="Positive 3 4 4 2 14" xfId="33686" xr:uid="{00000000-0005-0000-0000-0000A3830000}"/>
    <cellStyle name="Positive 3 4 4 2 14 2" xfId="33687" xr:uid="{00000000-0005-0000-0000-0000A4830000}"/>
    <cellStyle name="Positive 3 4 4 2 15" xfId="33688" xr:uid="{00000000-0005-0000-0000-0000A5830000}"/>
    <cellStyle name="Positive 3 4 4 2 15 2" xfId="33689" xr:uid="{00000000-0005-0000-0000-0000A6830000}"/>
    <cellStyle name="Positive 3 4 4 2 16" xfId="33690" xr:uid="{00000000-0005-0000-0000-0000A7830000}"/>
    <cellStyle name="Positive 3 4 4 2 16 2" xfId="33691" xr:uid="{00000000-0005-0000-0000-0000A8830000}"/>
    <cellStyle name="Positive 3 4 4 2 17" xfId="33692" xr:uid="{00000000-0005-0000-0000-0000A9830000}"/>
    <cellStyle name="Positive 3 4 4 2 2" xfId="33693" xr:uid="{00000000-0005-0000-0000-0000AA830000}"/>
    <cellStyle name="Positive 3 4 4 2 2 2" xfId="33694" xr:uid="{00000000-0005-0000-0000-0000AB830000}"/>
    <cellStyle name="Positive 3 4 4 2 3" xfId="33695" xr:uid="{00000000-0005-0000-0000-0000AC830000}"/>
    <cellStyle name="Positive 3 4 4 2 3 2" xfId="33696" xr:uid="{00000000-0005-0000-0000-0000AD830000}"/>
    <cellStyle name="Positive 3 4 4 2 4" xfId="33697" xr:uid="{00000000-0005-0000-0000-0000AE830000}"/>
    <cellStyle name="Positive 3 4 4 2 4 2" xfId="33698" xr:uid="{00000000-0005-0000-0000-0000AF830000}"/>
    <cellStyle name="Positive 3 4 4 2 5" xfId="33699" xr:uid="{00000000-0005-0000-0000-0000B0830000}"/>
    <cellStyle name="Positive 3 4 4 2 5 2" xfId="33700" xr:uid="{00000000-0005-0000-0000-0000B1830000}"/>
    <cellStyle name="Positive 3 4 4 2 6" xfId="33701" xr:uid="{00000000-0005-0000-0000-0000B2830000}"/>
    <cellStyle name="Positive 3 4 4 2 6 2" xfId="33702" xr:uid="{00000000-0005-0000-0000-0000B3830000}"/>
    <cellStyle name="Positive 3 4 4 2 7" xfId="33703" xr:uid="{00000000-0005-0000-0000-0000B4830000}"/>
    <cellStyle name="Positive 3 4 4 2 7 2" xfId="33704" xr:uid="{00000000-0005-0000-0000-0000B5830000}"/>
    <cellStyle name="Positive 3 4 4 2 8" xfId="33705" xr:uid="{00000000-0005-0000-0000-0000B6830000}"/>
    <cellStyle name="Positive 3 4 4 2 8 2" xfId="33706" xr:uid="{00000000-0005-0000-0000-0000B7830000}"/>
    <cellStyle name="Positive 3 4 4 2 9" xfId="33707" xr:uid="{00000000-0005-0000-0000-0000B8830000}"/>
    <cellStyle name="Positive 3 4 4 2 9 2" xfId="33708" xr:uid="{00000000-0005-0000-0000-0000B9830000}"/>
    <cellStyle name="Positive 3 4 4 20" xfId="33709" xr:uid="{00000000-0005-0000-0000-0000BA830000}"/>
    <cellStyle name="Positive 3 4 4 3" xfId="33710" xr:uid="{00000000-0005-0000-0000-0000BB830000}"/>
    <cellStyle name="Positive 3 4 4 3 2" xfId="33711" xr:uid="{00000000-0005-0000-0000-0000BC830000}"/>
    <cellStyle name="Positive 3 4 4 3 2 2" xfId="33712" xr:uid="{00000000-0005-0000-0000-0000BD830000}"/>
    <cellStyle name="Positive 3 4 4 3 3" xfId="33713" xr:uid="{00000000-0005-0000-0000-0000BE830000}"/>
    <cellStyle name="Positive 3 4 4 4" xfId="33714" xr:uid="{00000000-0005-0000-0000-0000BF830000}"/>
    <cellStyle name="Positive 3 4 4 4 2" xfId="33715" xr:uid="{00000000-0005-0000-0000-0000C0830000}"/>
    <cellStyle name="Positive 3 4 4 4 2 2" xfId="33716" xr:uid="{00000000-0005-0000-0000-0000C1830000}"/>
    <cellStyle name="Positive 3 4 4 4 3" xfId="33717" xr:uid="{00000000-0005-0000-0000-0000C2830000}"/>
    <cellStyle name="Positive 3 4 4 5" xfId="33718" xr:uid="{00000000-0005-0000-0000-0000C3830000}"/>
    <cellStyle name="Positive 3 4 4 5 2" xfId="33719" xr:uid="{00000000-0005-0000-0000-0000C4830000}"/>
    <cellStyle name="Positive 3 4 4 6" xfId="33720" xr:uid="{00000000-0005-0000-0000-0000C5830000}"/>
    <cellStyle name="Positive 3 4 4 6 2" xfId="33721" xr:uid="{00000000-0005-0000-0000-0000C6830000}"/>
    <cellStyle name="Positive 3 4 4 7" xfId="33722" xr:uid="{00000000-0005-0000-0000-0000C7830000}"/>
    <cellStyle name="Positive 3 4 4 7 2" xfId="33723" xr:uid="{00000000-0005-0000-0000-0000C8830000}"/>
    <cellStyle name="Positive 3 4 4 8" xfId="33724" xr:uid="{00000000-0005-0000-0000-0000C9830000}"/>
    <cellStyle name="Positive 3 4 4 8 2" xfId="33725" xr:uid="{00000000-0005-0000-0000-0000CA830000}"/>
    <cellStyle name="Positive 3 4 4 9" xfId="33726" xr:uid="{00000000-0005-0000-0000-0000CB830000}"/>
    <cellStyle name="Positive 3 4 4 9 2" xfId="33727" xr:uid="{00000000-0005-0000-0000-0000CC830000}"/>
    <cellStyle name="Positive 3 4 5" xfId="33728" xr:uid="{00000000-0005-0000-0000-0000CD830000}"/>
    <cellStyle name="Positive 3 4 5 10" xfId="33729" xr:uid="{00000000-0005-0000-0000-0000CE830000}"/>
    <cellStyle name="Positive 3 4 5 10 2" xfId="33730" xr:uid="{00000000-0005-0000-0000-0000CF830000}"/>
    <cellStyle name="Positive 3 4 5 11" xfId="33731" xr:uid="{00000000-0005-0000-0000-0000D0830000}"/>
    <cellStyle name="Positive 3 4 5 11 2" xfId="33732" xr:uid="{00000000-0005-0000-0000-0000D1830000}"/>
    <cellStyle name="Positive 3 4 5 12" xfId="33733" xr:uid="{00000000-0005-0000-0000-0000D2830000}"/>
    <cellStyle name="Positive 3 4 5 12 2" xfId="33734" xr:uid="{00000000-0005-0000-0000-0000D3830000}"/>
    <cellStyle name="Positive 3 4 5 13" xfId="33735" xr:uid="{00000000-0005-0000-0000-0000D4830000}"/>
    <cellStyle name="Positive 3 4 5 13 2" xfId="33736" xr:uid="{00000000-0005-0000-0000-0000D5830000}"/>
    <cellStyle name="Positive 3 4 5 14" xfId="33737" xr:uid="{00000000-0005-0000-0000-0000D6830000}"/>
    <cellStyle name="Positive 3 4 5 14 2" xfId="33738" xr:uid="{00000000-0005-0000-0000-0000D7830000}"/>
    <cellStyle name="Positive 3 4 5 15" xfId="33739" xr:uid="{00000000-0005-0000-0000-0000D8830000}"/>
    <cellStyle name="Positive 3 4 5 15 2" xfId="33740" xr:uid="{00000000-0005-0000-0000-0000D9830000}"/>
    <cellStyle name="Positive 3 4 5 16" xfId="33741" xr:uid="{00000000-0005-0000-0000-0000DA830000}"/>
    <cellStyle name="Positive 3 4 5 16 2" xfId="33742" xr:uid="{00000000-0005-0000-0000-0000DB830000}"/>
    <cellStyle name="Positive 3 4 5 17" xfId="33743" xr:uid="{00000000-0005-0000-0000-0000DC830000}"/>
    <cellStyle name="Positive 3 4 5 2" xfId="33744" xr:uid="{00000000-0005-0000-0000-0000DD830000}"/>
    <cellStyle name="Positive 3 4 5 2 2" xfId="33745" xr:uid="{00000000-0005-0000-0000-0000DE830000}"/>
    <cellStyle name="Positive 3 4 5 3" xfId="33746" xr:uid="{00000000-0005-0000-0000-0000DF830000}"/>
    <cellStyle name="Positive 3 4 5 3 2" xfId="33747" xr:uid="{00000000-0005-0000-0000-0000E0830000}"/>
    <cellStyle name="Positive 3 4 5 4" xfId="33748" xr:uid="{00000000-0005-0000-0000-0000E1830000}"/>
    <cellStyle name="Positive 3 4 5 4 2" xfId="33749" xr:uid="{00000000-0005-0000-0000-0000E2830000}"/>
    <cellStyle name="Positive 3 4 5 5" xfId="33750" xr:uid="{00000000-0005-0000-0000-0000E3830000}"/>
    <cellStyle name="Positive 3 4 5 5 2" xfId="33751" xr:uid="{00000000-0005-0000-0000-0000E4830000}"/>
    <cellStyle name="Positive 3 4 5 6" xfId="33752" xr:uid="{00000000-0005-0000-0000-0000E5830000}"/>
    <cellStyle name="Positive 3 4 5 6 2" xfId="33753" xr:uid="{00000000-0005-0000-0000-0000E6830000}"/>
    <cellStyle name="Positive 3 4 5 7" xfId="33754" xr:uid="{00000000-0005-0000-0000-0000E7830000}"/>
    <cellStyle name="Positive 3 4 5 7 2" xfId="33755" xr:uid="{00000000-0005-0000-0000-0000E8830000}"/>
    <cellStyle name="Positive 3 4 5 8" xfId="33756" xr:uid="{00000000-0005-0000-0000-0000E9830000}"/>
    <cellStyle name="Positive 3 4 5 8 2" xfId="33757" xr:uid="{00000000-0005-0000-0000-0000EA830000}"/>
    <cellStyle name="Positive 3 4 5 9" xfId="33758" xr:uid="{00000000-0005-0000-0000-0000EB830000}"/>
    <cellStyle name="Positive 3 4 5 9 2" xfId="33759" xr:uid="{00000000-0005-0000-0000-0000EC830000}"/>
    <cellStyle name="Positive 3 4 6" xfId="33760" xr:uid="{00000000-0005-0000-0000-0000ED830000}"/>
    <cellStyle name="Positive 3 4 6 2" xfId="33761" xr:uid="{00000000-0005-0000-0000-0000EE830000}"/>
    <cellStyle name="Positive 3 4 6 2 2" xfId="33762" xr:uid="{00000000-0005-0000-0000-0000EF830000}"/>
    <cellStyle name="Positive 3 4 6 3" xfId="33763" xr:uid="{00000000-0005-0000-0000-0000F0830000}"/>
    <cellStyle name="Positive 3 4 7" xfId="33764" xr:uid="{00000000-0005-0000-0000-0000F1830000}"/>
    <cellStyle name="Positive 3 4 7 2" xfId="33765" xr:uid="{00000000-0005-0000-0000-0000F2830000}"/>
    <cellStyle name="Positive 3 4 7 2 2" xfId="33766" xr:uid="{00000000-0005-0000-0000-0000F3830000}"/>
    <cellStyle name="Positive 3 4 7 3" xfId="33767" xr:uid="{00000000-0005-0000-0000-0000F4830000}"/>
    <cellStyle name="Positive 3 4 8" xfId="33768" xr:uid="{00000000-0005-0000-0000-0000F5830000}"/>
    <cellStyle name="Positive 3 4 8 2" xfId="33769" xr:uid="{00000000-0005-0000-0000-0000F6830000}"/>
    <cellStyle name="Positive 3 4 9" xfId="33770" xr:uid="{00000000-0005-0000-0000-0000F7830000}"/>
    <cellStyle name="Positive 3 4 9 2" xfId="33771" xr:uid="{00000000-0005-0000-0000-0000F8830000}"/>
    <cellStyle name="Positive 3 5" xfId="33772" xr:uid="{00000000-0005-0000-0000-0000F9830000}"/>
    <cellStyle name="Positive 3 5 10" xfId="33773" xr:uid="{00000000-0005-0000-0000-0000FA830000}"/>
    <cellStyle name="Positive 3 5 10 2" xfId="33774" xr:uid="{00000000-0005-0000-0000-0000FB830000}"/>
    <cellStyle name="Positive 3 5 11" xfId="33775" xr:uid="{00000000-0005-0000-0000-0000FC830000}"/>
    <cellStyle name="Positive 3 5 11 2" xfId="33776" xr:uid="{00000000-0005-0000-0000-0000FD830000}"/>
    <cellStyle name="Positive 3 5 12" xfId="33777" xr:uid="{00000000-0005-0000-0000-0000FE830000}"/>
    <cellStyle name="Positive 3 5 12 2" xfId="33778" xr:uid="{00000000-0005-0000-0000-0000FF830000}"/>
    <cellStyle name="Positive 3 5 13" xfId="33779" xr:uid="{00000000-0005-0000-0000-000000840000}"/>
    <cellStyle name="Positive 3 5 13 2" xfId="33780" xr:uid="{00000000-0005-0000-0000-000001840000}"/>
    <cellStyle name="Positive 3 5 14" xfId="33781" xr:uid="{00000000-0005-0000-0000-000002840000}"/>
    <cellStyle name="Positive 3 5 14 2" xfId="33782" xr:uid="{00000000-0005-0000-0000-000003840000}"/>
    <cellStyle name="Positive 3 5 15" xfId="33783" xr:uid="{00000000-0005-0000-0000-000004840000}"/>
    <cellStyle name="Positive 3 5 15 2" xfId="33784" xr:uid="{00000000-0005-0000-0000-000005840000}"/>
    <cellStyle name="Positive 3 5 16" xfId="33785" xr:uid="{00000000-0005-0000-0000-000006840000}"/>
    <cellStyle name="Positive 3 5 16 2" xfId="33786" xr:uid="{00000000-0005-0000-0000-000007840000}"/>
    <cellStyle name="Positive 3 5 17" xfId="33787" xr:uid="{00000000-0005-0000-0000-000008840000}"/>
    <cellStyle name="Positive 3 5 17 2" xfId="33788" xr:uid="{00000000-0005-0000-0000-000009840000}"/>
    <cellStyle name="Positive 3 5 18" xfId="33789" xr:uid="{00000000-0005-0000-0000-00000A840000}"/>
    <cellStyle name="Positive 3 5 18 2" xfId="33790" xr:uid="{00000000-0005-0000-0000-00000B840000}"/>
    <cellStyle name="Positive 3 5 19" xfId="33791" xr:uid="{00000000-0005-0000-0000-00000C840000}"/>
    <cellStyle name="Positive 3 5 19 2" xfId="33792" xr:uid="{00000000-0005-0000-0000-00000D840000}"/>
    <cellStyle name="Positive 3 5 2" xfId="33793" xr:uid="{00000000-0005-0000-0000-00000E840000}"/>
    <cellStyle name="Positive 3 5 2 10" xfId="33794" xr:uid="{00000000-0005-0000-0000-00000F840000}"/>
    <cellStyle name="Positive 3 5 2 10 2" xfId="33795" xr:uid="{00000000-0005-0000-0000-000010840000}"/>
    <cellStyle name="Positive 3 5 2 11" xfId="33796" xr:uid="{00000000-0005-0000-0000-000011840000}"/>
    <cellStyle name="Positive 3 5 2 11 2" xfId="33797" xr:uid="{00000000-0005-0000-0000-000012840000}"/>
    <cellStyle name="Positive 3 5 2 12" xfId="33798" xr:uid="{00000000-0005-0000-0000-000013840000}"/>
    <cellStyle name="Positive 3 5 2 12 2" xfId="33799" xr:uid="{00000000-0005-0000-0000-000014840000}"/>
    <cellStyle name="Positive 3 5 2 13" xfId="33800" xr:uid="{00000000-0005-0000-0000-000015840000}"/>
    <cellStyle name="Positive 3 5 2 13 2" xfId="33801" xr:uid="{00000000-0005-0000-0000-000016840000}"/>
    <cellStyle name="Positive 3 5 2 14" xfId="33802" xr:uid="{00000000-0005-0000-0000-000017840000}"/>
    <cellStyle name="Positive 3 5 2 14 2" xfId="33803" xr:uid="{00000000-0005-0000-0000-000018840000}"/>
    <cellStyle name="Positive 3 5 2 15" xfId="33804" xr:uid="{00000000-0005-0000-0000-000019840000}"/>
    <cellStyle name="Positive 3 5 2 15 2" xfId="33805" xr:uid="{00000000-0005-0000-0000-00001A840000}"/>
    <cellStyle name="Positive 3 5 2 16" xfId="33806" xr:uid="{00000000-0005-0000-0000-00001B840000}"/>
    <cellStyle name="Positive 3 5 2 16 2" xfId="33807" xr:uid="{00000000-0005-0000-0000-00001C840000}"/>
    <cellStyle name="Positive 3 5 2 17" xfId="33808" xr:uid="{00000000-0005-0000-0000-00001D840000}"/>
    <cellStyle name="Positive 3 5 2 17 2" xfId="33809" xr:uid="{00000000-0005-0000-0000-00001E840000}"/>
    <cellStyle name="Positive 3 5 2 18" xfId="33810" xr:uid="{00000000-0005-0000-0000-00001F840000}"/>
    <cellStyle name="Positive 3 5 2 18 2" xfId="33811" xr:uid="{00000000-0005-0000-0000-000020840000}"/>
    <cellStyle name="Positive 3 5 2 19" xfId="33812" xr:uid="{00000000-0005-0000-0000-000021840000}"/>
    <cellStyle name="Positive 3 5 2 19 2" xfId="33813" xr:uid="{00000000-0005-0000-0000-000022840000}"/>
    <cellStyle name="Positive 3 5 2 2" xfId="33814" xr:uid="{00000000-0005-0000-0000-000023840000}"/>
    <cellStyle name="Positive 3 5 2 2 10" xfId="33815" xr:uid="{00000000-0005-0000-0000-000024840000}"/>
    <cellStyle name="Positive 3 5 2 2 10 2" xfId="33816" xr:uid="{00000000-0005-0000-0000-000025840000}"/>
    <cellStyle name="Positive 3 5 2 2 11" xfId="33817" xr:uid="{00000000-0005-0000-0000-000026840000}"/>
    <cellStyle name="Positive 3 5 2 2 11 2" xfId="33818" xr:uid="{00000000-0005-0000-0000-000027840000}"/>
    <cellStyle name="Positive 3 5 2 2 12" xfId="33819" xr:uid="{00000000-0005-0000-0000-000028840000}"/>
    <cellStyle name="Positive 3 5 2 2 12 2" xfId="33820" xr:uid="{00000000-0005-0000-0000-000029840000}"/>
    <cellStyle name="Positive 3 5 2 2 13" xfId="33821" xr:uid="{00000000-0005-0000-0000-00002A840000}"/>
    <cellStyle name="Positive 3 5 2 2 13 2" xfId="33822" xr:uid="{00000000-0005-0000-0000-00002B840000}"/>
    <cellStyle name="Positive 3 5 2 2 14" xfId="33823" xr:uid="{00000000-0005-0000-0000-00002C840000}"/>
    <cellStyle name="Positive 3 5 2 2 14 2" xfId="33824" xr:uid="{00000000-0005-0000-0000-00002D840000}"/>
    <cellStyle name="Positive 3 5 2 2 15" xfId="33825" xr:uid="{00000000-0005-0000-0000-00002E840000}"/>
    <cellStyle name="Positive 3 5 2 2 15 2" xfId="33826" xr:uid="{00000000-0005-0000-0000-00002F840000}"/>
    <cellStyle name="Positive 3 5 2 2 16" xfId="33827" xr:uid="{00000000-0005-0000-0000-000030840000}"/>
    <cellStyle name="Positive 3 5 2 2 16 2" xfId="33828" xr:uid="{00000000-0005-0000-0000-000031840000}"/>
    <cellStyle name="Positive 3 5 2 2 17" xfId="33829" xr:uid="{00000000-0005-0000-0000-000032840000}"/>
    <cellStyle name="Positive 3 5 2 2 2" xfId="33830" xr:uid="{00000000-0005-0000-0000-000033840000}"/>
    <cellStyle name="Positive 3 5 2 2 2 2" xfId="33831" xr:uid="{00000000-0005-0000-0000-000034840000}"/>
    <cellStyle name="Positive 3 5 2 2 3" xfId="33832" xr:uid="{00000000-0005-0000-0000-000035840000}"/>
    <cellStyle name="Positive 3 5 2 2 3 2" xfId="33833" xr:uid="{00000000-0005-0000-0000-000036840000}"/>
    <cellStyle name="Positive 3 5 2 2 4" xfId="33834" xr:uid="{00000000-0005-0000-0000-000037840000}"/>
    <cellStyle name="Positive 3 5 2 2 4 2" xfId="33835" xr:uid="{00000000-0005-0000-0000-000038840000}"/>
    <cellStyle name="Positive 3 5 2 2 5" xfId="33836" xr:uid="{00000000-0005-0000-0000-000039840000}"/>
    <cellStyle name="Positive 3 5 2 2 5 2" xfId="33837" xr:uid="{00000000-0005-0000-0000-00003A840000}"/>
    <cellStyle name="Positive 3 5 2 2 6" xfId="33838" xr:uid="{00000000-0005-0000-0000-00003B840000}"/>
    <cellStyle name="Positive 3 5 2 2 6 2" xfId="33839" xr:uid="{00000000-0005-0000-0000-00003C840000}"/>
    <cellStyle name="Positive 3 5 2 2 7" xfId="33840" xr:uid="{00000000-0005-0000-0000-00003D840000}"/>
    <cellStyle name="Positive 3 5 2 2 7 2" xfId="33841" xr:uid="{00000000-0005-0000-0000-00003E840000}"/>
    <cellStyle name="Positive 3 5 2 2 8" xfId="33842" xr:uid="{00000000-0005-0000-0000-00003F840000}"/>
    <cellStyle name="Positive 3 5 2 2 8 2" xfId="33843" xr:uid="{00000000-0005-0000-0000-000040840000}"/>
    <cellStyle name="Positive 3 5 2 2 9" xfId="33844" xr:uid="{00000000-0005-0000-0000-000041840000}"/>
    <cellStyle name="Positive 3 5 2 2 9 2" xfId="33845" xr:uid="{00000000-0005-0000-0000-000042840000}"/>
    <cellStyle name="Positive 3 5 2 20" xfId="33846" xr:uid="{00000000-0005-0000-0000-000043840000}"/>
    <cellStyle name="Positive 3 5 2 3" xfId="33847" xr:uid="{00000000-0005-0000-0000-000044840000}"/>
    <cellStyle name="Positive 3 5 2 3 2" xfId="33848" xr:uid="{00000000-0005-0000-0000-000045840000}"/>
    <cellStyle name="Positive 3 5 2 3 2 2" xfId="33849" xr:uid="{00000000-0005-0000-0000-000046840000}"/>
    <cellStyle name="Positive 3 5 2 3 3" xfId="33850" xr:uid="{00000000-0005-0000-0000-000047840000}"/>
    <cellStyle name="Positive 3 5 2 4" xfId="33851" xr:uid="{00000000-0005-0000-0000-000048840000}"/>
    <cellStyle name="Positive 3 5 2 4 2" xfId="33852" xr:uid="{00000000-0005-0000-0000-000049840000}"/>
    <cellStyle name="Positive 3 5 2 4 2 2" xfId="33853" xr:uid="{00000000-0005-0000-0000-00004A840000}"/>
    <cellStyle name="Positive 3 5 2 4 3" xfId="33854" xr:uid="{00000000-0005-0000-0000-00004B840000}"/>
    <cellStyle name="Positive 3 5 2 5" xfId="33855" xr:uid="{00000000-0005-0000-0000-00004C840000}"/>
    <cellStyle name="Positive 3 5 2 5 2" xfId="33856" xr:uid="{00000000-0005-0000-0000-00004D840000}"/>
    <cellStyle name="Positive 3 5 2 6" xfId="33857" xr:uid="{00000000-0005-0000-0000-00004E840000}"/>
    <cellStyle name="Positive 3 5 2 6 2" xfId="33858" xr:uid="{00000000-0005-0000-0000-00004F840000}"/>
    <cellStyle name="Positive 3 5 2 7" xfId="33859" xr:uid="{00000000-0005-0000-0000-000050840000}"/>
    <cellStyle name="Positive 3 5 2 7 2" xfId="33860" xr:uid="{00000000-0005-0000-0000-000051840000}"/>
    <cellStyle name="Positive 3 5 2 8" xfId="33861" xr:uid="{00000000-0005-0000-0000-000052840000}"/>
    <cellStyle name="Positive 3 5 2 8 2" xfId="33862" xr:uid="{00000000-0005-0000-0000-000053840000}"/>
    <cellStyle name="Positive 3 5 2 9" xfId="33863" xr:uid="{00000000-0005-0000-0000-000054840000}"/>
    <cellStyle name="Positive 3 5 2 9 2" xfId="33864" xr:uid="{00000000-0005-0000-0000-000055840000}"/>
    <cellStyle name="Positive 3 5 20" xfId="33865" xr:uid="{00000000-0005-0000-0000-000056840000}"/>
    <cellStyle name="Positive 3 5 20 2" xfId="33866" xr:uid="{00000000-0005-0000-0000-000057840000}"/>
    <cellStyle name="Positive 3 5 21" xfId="33867" xr:uid="{00000000-0005-0000-0000-000058840000}"/>
    <cellStyle name="Positive 3 5 21 2" xfId="33868" xr:uid="{00000000-0005-0000-0000-000059840000}"/>
    <cellStyle name="Positive 3 5 22" xfId="33869" xr:uid="{00000000-0005-0000-0000-00005A840000}"/>
    <cellStyle name="Positive 3 5 22 2" xfId="33870" xr:uid="{00000000-0005-0000-0000-00005B840000}"/>
    <cellStyle name="Positive 3 5 23" xfId="33871" xr:uid="{00000000-0005-0000-0000-00005C840000}"/>
    <cellStyle name="Positive 3 5 3" xfId="33872" xr:uid="{00000000-0005-0000-0000-00005D840000}"/>
    <cellStyle name="Positive 3 5 3 10" xfId="33873" xr:uid="{00000000-0005-0000-0000-00005E840000}"/>
    <cellStyle name="Positive 3 5 3 10 2" xfId="33874" xr:uid="{00000000-0005-0000-0000-00005F840000}"/>
    <cellStyle name="Positive 3 5 3 11" xfId="33875" xr:uid="{00000000-0005-0000-0000-000060840000}"/>
    <cellStyle name="Positive 3 5 3 11 2" xfId="33876" xr:uid="{00000000-0005-0000-0000-000061840000}"/>
    <cellStyle name="Positive 3 5 3 12" xfId="33877" xr:uid="{00000000-0005-0000-0000-000062840000}"/>
    <cellStyle name="Positive 3 5 3 12 2" xfId="33878" xr:uid="{00000000-0005-0000-0000-000063840000}"/>
    <cellStyle name="Positive 3 5 3 13" xfId="33879" xr:uid="{00000000-0005-0000-0000-000064840000}"/>
    <cellStyle name="Positive 3 5 3 13 2" xfId="33880" xr:uid="{00000000-0005-0000-0000-000065840000}"/>
    <cellStyle name="Positive 3 5 3 14" xfId="33881" xr:uid="{00000000-0005-0000-0000-000066840000}"/>
    <cellStyle name="Positive 3 5 3 14 2" xfId="33882" xr:uid="{00000000-0005-0000-0000-000067840000}"/>
    <cellStyle name="Positive 3 5 3 15" xfId="33883" xr:uid="{00000000-0005-0000-0000-000068840000}"/>
    <cellStyle name="Positive 3 5 3 15 2" xfId="33884" xr:uid="{00000000-0005-0000-0000-000069840000}"/>
    <cellStyle name="Positive 3 5 3 16" xfId="33885" xr:uid="{00000000-0005-0000-0000-00006A840000}"/>
    <cellStyle name="Positive 3 5 3 16 2" xfId="33886" xr:uid="{00000000-0005-0000-0000-00006B840000}"/>
    <cellStyle name="Positive 3 5 3 17" xfId="33887" xr:uid="{00000000-0005-0000-0000-00006C840000}"/>
    <cellStyle name="Positive 3 5 3 17 2" xfId="33888" xr:uid="{00000000-0005-0000-0000-00006D840000}"/>
    <cellStyle name="Positive 3 5 3 18" xfId="33889" xr:uid="{00000000-0005-0000-0000-00006E840000}"/>
    <cellStyle name="Positive 3 5 3 18 2" xfId="33890" xr:uid="{00000000-0005-0000-0000-00006F840000}"/>
    <cellStyle name="Positive 3 5 3 19" xfId="33891" xr:uid="{00000000-0005-0000-0000-000070840000}"/>
    <cellStyle name="Positive 3 5 3 19 2" xfId="33892" xr:uid="{00000000-0005-0000-0000-000071840000}"/>
    <cellStyle name="Positive 3 5 3 2" xfId="33893" xr:uid="{00000000-0005-0000-0000-000072840000}"/>
    <cellStyle name="Positive 3 5 3 2 10" xfId="33894" xr:uid="{00000000-0005-0000-0000-000073840000}"/>
    <cellStyle name="Positive 3 5 3 2 10 2" xfId="33895" xr:uid="{00000000-0005-0000-0000-000074840000}"/>
    <cellStyle name="Positive 3 5 3 2 11" xfId="33896" xr:uid="{00000000-0005-0000-0000-000075840000}"/>
    <cellStyle name="Positive 3 5 3 2 11 2" xfId="33897" xr:uid="{00000000-0005-0000-0000-000076840000}"/>
    <cellStyle name="Positive 3 5 3 2 12" xfId="33898" xr:uid="{00000000-0005-0000-0000-000077840000}"/>
    <cellStyle name="Positive 3 5 3 2 12 2" xfId="33899" xr:uid="{00000000-0005-0000-0000-000078840000}"/>
    <cellStyle name="Positive 3 5 3 2 13" xfId="33900" xr:uid="{00000000-0005-0000-0000-000079840000}"/>
    <cellStyle name="Positive 3 5 3 2 13 2" xfId="33901" xr:uid="{00000000-0005-0000-0000-00007A840000}"/>
    <cellStyle name="Positive 3 5 3 2 14" xfId="33902" xr:uid="{00000000-0005-0000-0000-00007B840000}"/>
    <cellStyle name="Positive 3 5 3 2 14 2" xfId="33903" xr:uid="{00000000-0005-0000-0000-00007C840000}"/>
    <cellStyle name="Positive 3 5 3 2 15" xfId="33904" xr:uid="{00000000-0005-0000-0000-00007D840000}"/>
    <cellStyle name="Positive 3 5 3 2 15 2" xfId="33905" xr:uid="{00000000-0005-0000-0000-00007E840000}"/>
    <cellStyle name="Positive 3 5 3 2 16" xfId="33906" xr:uid="{00000000-0005-0000-0000-00007F840000}"/>
    <cellStyle name="Positive 3 5 3 2 16 2" xfId="33907" xr:uid="{00000000-0005-0000-0000-000080840000}"/>
    <cellStyle name="Positive 3 5 3 2 17" xfId="33908" xr:uid="{00000000-0005-0000-0000-000081840000}"/>
    <cellStyle name="Positive 3 5 3 2 2" xfId="33909" xr:uid="{00000000-0005-0000-0000-000082840000}"/>
    <cellStyle name="Positive 3 5 3 2 2 2" xfId="33910" xr:uid="{00000000-0005-0000-0000-000083840000}"/>
    <cellStyle name="Positive 3 5 3 2 3" xfId="33911" xr:uid="{00000000-0005-0000-0000-000084840000}"/>
    <cellStyle name="Positive 3 5 3 2 3 2" xfId="33912" xr:uid="{00000000-0005-0000-0000-000085840000}"/>
    <cellStyle name="Positive 3 5 3 2 4" xfId="33913" xr:uid="{00000000-0005-0000-0000-000086840000}"/>
    <cellStyle name="Positive 3 5 3 2 4 2" xfId="33914" xr:uid="{00000000-0005-0000-0000-000087840000}"/>
    <cellStyle name="Positive 3 5 3 2 5" xfId="33915" xr:uid="{00000000-0005-0000-0000-000088840000}"/>
    <cellStyle name="Positive 3 5 3 2 5 2" xfId="33916" xr:uid="{00000000-0005-0000-0000-000089840000}"/>
    <cellStyle name="Positive 3 5 3 2 6" xfId="33917" xr:uid="{00000000-0005-0000-0000-00008A840000}"/>
    <cellStyle name="Positive 3 5 3 2 6 2" xfId="33918" xr:uid="{00000000-0005-0000-0000-00008B840000}"/>
    <cellStyle name="Positive 3 5 3 2 7" xfId="33919" xr:uid="{00000000-0005-0000-0000-00008C840000}"/>
    <cellStyle name="Positive 3 5 3 2 7 2" xfId="33920" xr:uid="{00000000-0005-0000-0000-00008D840000}"/>
    <cellStyle name="Positive 3 5 3 2 8" xfId="33921" xr:uid="{00000000-0005-0000-0000-00008E840000}"/>
    <cellStyle name="Positive 3 5 3 2 8 2" xfId="33922" xr:uid="{00000000-0005-0000-0000-00008F840000}"/>
    <cellStyle name="Positive 3 5 3 2 9" xfId="33923" xr:uid="{00000000-0005-0000-0000-000090840000}"/>
    <cellStyle name="Positive 3 5 3 2 9 2" xfId="33924" xr:uid="{00000000-0005-0000-0000-000091840000}"/>
    <cellStyle name="Positive 3 5 3 20" xfId="33925" xr:uid="{00000000-0005-0000-0000-000092840000}"/>
    <cellStyle name="Positive 3 5 3 3" xfId="33926" xr:uid="{00000000-0005-0000-0000-000093840000}"/>
    <cellStyle name="Positive 3 5 3 3 2" xfId="33927" xr:uid="{00000000-0005-0000-0000-000094840000}"/>
    <cellStyle name="Positive 3 5 3 3 2 2" xfId="33928" xr:uid="{00000000-0005-0000-0000-000095840000}"/>
    <cellStyle name="Positive 3 5 3 3 3" xfId="33929" xr:uid="{00000000-0005-0000-0000-000096840000}"/>
    <cellStyle name="Positive 3 5 3 4" xfId="33930" xr:uid="{00000000-0005-0000-0000-000097840000}"/>
    <cellStyle name="Positive 3 5 3 4 2" xfId="33931" xr:uid="{00000000-0005-0000-0000-000098840000}"/>
    <cellStyle name="Positive 3 5 3 4 2 2" xfId="33932" xr:uid="{00000000-0005-0000-0000-000099840000}"/>
    <cellStyle name="Positive 3 5 3 4 3" xfId="33933" xr:uid="{00000000-0005-0000-0000-00009A840000}"/>
    <cellStyle name="Positive 3 5 3 5" xfId="33934" xr:uid="{00000000-0005-0000-0000-00009B840000}"/>
    <cellStyle name="Positive 3 5 3 5 2" xfId="33935" xr:uid="{00000000-0005-0000-0000-00009C840000}"/>
    <cellStyle name="Positive 3 5 3 6" xfId="33936" xr:uid="{00000000-0005-0000-0000-00009D840000}"/>
    <cellStyle name="Positive 3 5 3 6 2" xfId="33937" xr:uid="{00000000-0005-0000-0000-00009E840000}"/>
    <cellStyle name="Positive 3 5 3 7" xfId="33938" xr:uid="{00000000-0005-0000-0000-00009F840000}"/>
    <cellStyle name="Positive 3 5 3 7 2" xfId="33939" xr:uid="{00000000-0005-0000-0000-0000A0840000}"/>
    <cellStyle name="Positive 3 5 3 8" xfId="33940" xr:uid="{00000000-0005-0000-0000-0000A1840000}"/>
    <cellStyle name="Positive 3 5 3 8 2" xfId="33941" xr:uid="{00000000-0005-0000-0000-0000A2840000}"/>
    <cellStyle name="Positive 3 5 3 9" xfId="33942" xr:uid="{00000000-0005-0000-0000-0000A3840000}"/>
    <cellStyle name="Positive 3 5 3 9 2" xfId="33943" xr:uid="{00000000-0005-0000-0000-0000A4840000}"/>
    <cellStyle name="Positive 3 5 4" xfId="33944" xr:uid="{00000000-0005-0000-0000-0000A5840000}"/>
    <cellStyle name="Positive 3 5 4 10" xfId="33945" xr:uid="{00000000-0005-0000-0000-0000A6840000}"/>
    <cellStyle name="Positive 3 5 4 10 2" xfId="33946" xr:uid="{00000000-0005-0000-0000-0000A7840000}"/>
    <cellStyle name="Positive 3 5 4 11" xfId="33947" xr:uid="{00000000-0005-0000-0000-0000A8840000}"/>
    <cellStyle name="Positive 3 5 4 11 2" xfId="33948" xr:uid="{00000000-0005-0000-0000-0000A9840000}"/>
    <cellStyle name="Positive 3 5 4 12" xfId="33949" xr:uid="{00000000-0005-0000-0000-0000AA840000}"/>
    <cellStyle name="Positive 3 5 4 12 2" xfId="33950" xr:uid="{00000000-0005-0000-0000-0000AB840000}"/>
    <cellStyle name="Positive 3 5 4 13" xfId="33951" xr:uid="{00000000-0005-0000-0000-0000AC840000}"/>
    <cellStyle name="Positive 3 5 4 13 2" xfId="33952" xr:uid="{00000000-0005-0000-0000-0000AD840000}"/>
    <cellStyle name="Positive 3 5 4 14" xfId="33953" xr:uid="{00000000-0005-0000-0000-0000AE840000}"/>
    <cellStyle name="Positive 3 5 4 14 2" xfId="33954" xr:uid="{00000000-0005-0000-0000-0000AF840000}"/>
    <cellStyle name="Positive 3 5 4 15" xfId="33955" xr:uid="{00000000-0005-0000-0000-0000B0840000}"/>
    <cellStyle name="Positive 3 5 4 15 2" xfId="33956" xr:uid="{00000000-0005-0000-0000-0000B1840000}"/>
    <cellStyle name="Positive 3 5 4 16" xfId="33957" xr:uid="{00000000-0005-0000-0000-0000B2840000}"/>
    <cellStyle name="Positive 3 5 4 16 2" xfId="33958" xr:uid="{00000000-0005-0000-0000-0000B3840000}"/>
    <cellStyle name="Positive 3 5 4 17" xfId="33959" xr:uid="{00000000-0005-0000-0000-0000B4840000}"/>
    <cellStyle name="Positive 3 5 4 17 2" xfId="33960" xr:uid="{00000000-0005-0000-0000-0000B5840000}"/>
    <cellStyle name="Positive 3 5 4 18" xfId="33961" xr:uid="{00000000-0005-0000-0000-0000B6840000}"/>
    <cellStyle name="Positive 3 5 4 18 2" xfId="33962" xr:uid="{00000000-0005-0000-0000-0000B7840000}"/>
    <cellStyle name="Positive 3 5 4 19" xfId="33963" xr:uid="{00000000-0005-0000-0000-0000B8840000}"/>
    <cellStyle name="Positive 3 5 4 19 2" xfId="33964" xr:uid="{00000000-0005-0000-0000-0000B9840000}"/>
    <cellStyle name="Positive 3 5 4 2" xfId="33965" xr:uid="{00000000-0005-0000-0000-0000BA840000}"/>
    <cellStyle name="Positive 3 5 4 2 10" xfId="33966" xr:uid="{00000000-0005-0000-0000-0000BB840000}"/>
    <cellStyle name="Positive 3 5 4 2 10 2" xfId="33967" xr:uid="{00000000-0005-0000-0000-0000BC840000}"/>
    <cellStyle name="Positive 3 5 4 2 11" xfId="33968" xr:uid="{00000000-0005-0000-0000-0000BD840000}"/>
    <cellStyle name="Positive 3 5 4 2 11 2" xfId="33969" xr:uid="{00000000-0005-0000-0000-0000BE840000}"/>
    <cellStyle name="Positive 3 5 4 2 12" xfId="33970" xr:uid="{00000000-0005-0000-0000-0000BF840000}"/>
    <cellStyle name="Positive 3 5 4 2 12 2" xfId="33971" xr:uid="{00000000-0005-0000-0000-0000C0840000}"/>
    <cellStyle name="Positive 3 5 4 2 13" xfId="33972" xr:uid="{00000000-0005-0000-0000-0000C1840000}"/>
    <cellStyle name="Positive 3 5 4 2 13 2" xfId="33973" xr:uid="{00000000-0005-0000-0000-0000C2840000}"/>
    <cellStyle name="Positive 3 5 4 2 14" xfId="33974" xr:uid="{00000000-0005-0000-0000-0000C3840000}"/>
    <cellStyle name="Positive 3 5 4 2 14 2" xfId="33975" xr:uid="{00000000-0005-0000-0000-0000C4840000}"/>
    <cellStyle name="Positive 3 5 4 2 15" xfId="33976" xr:uid="{00000000-0005-0000-0000-0000C5840000}"/>
    <cellStyle name="Positive 3 5 4 2 15 2" xfId="33977" xr:uid="{00000000-0005-0000-0000-0000C6840000}"/>
    <cellStyle name="Positive 3 5 4 2 16" xfId="33978" xr:uid="{00000000-0005-0000-0000-0000C7840000}"/>
    <cellStyle name="Positive 3 5 4 2 16 2" xfId="33979" xr:uid="{00000000-0005-0000-0000-0000C8840000}"/>
    <cellStyle name="Positive 3 5 4 2 17" xfId="33980" xr:uid="{00000000-0005-0000-0000-0000C9840000}"/>
    <cellStyle name="Positive 3 5 4 2 2" xfId="33981" xr:uid="{00000000-0005-0000-0000-0000CA840000}"/>
    <cellStyle name="Positive 3 5 4 2 2 2" xfId="33982" xr:uid="{00000000-0005-0000-0000-0000CB840000}"/>
    <cellStyle name="Positive 3 5 4 2 3" xfId="33983" xr:uid="{00000000-0005-0000-0000-0000CC840000}"/>
    <cellStyle name="Positive 3 5 4 2 3 2" xfId="33984" xr:uid="{00000000-0005-0000-0000-0000CD840000}"/>
    <cellStyle name="Positive 3 5 4 2 4" xfId="33985" xr:uid="{00000000-0005-0000-0000-0000CE840000}"/>
    <cellStyle name="Positive 3 5 4 2 4 2" xfId="33986" xr:uid="{00000000-0005-0000-0000-0000CF840000}"/>
    <cellStyle name="Positive 3 5 4 2 5" xfId="33987" xr:uid="{00000000-0005-0000-0000-0000D0840000}"/>
    <cellStyle name="Positive 3 5 4 2 5 2" xfId="33988" xr:uid="{00000000-0005-0000-0000-0000D1840000}"/>
    <cellStyle name="Positive 3 5 4 2 6" xfId="33989" xr:uid="{00000000-0005-0000-0000-0000D2840000}"/>
    <cellStyle name="Positive 3 5 4 2 6 2" xfId="33990" xr:uid="{00000000-0005-0000-0000-0000D3840000}"/>
    <cellStyle name="Positive 3 5 4 2 7" xfId="33991" xr:uid="{00000000-0005-0000-0000-0000D4840000}"/>
    <cellStyle name="Positive 3 5 4 2 7 2" xfId="33992" xr:uid="{00000000-0005-0000-0000-0000D5840000}"/>
    <cellStyle name="Positive 3 5 4 2 8" xfId="33993" xr:uid="{00000000-0005-0000-0000-0000D6840000}"/>
    <cellStyle name="Positive 3 5 4 2 8 2" xfId="33994" xr:uid="{00000000-0005-0000-0000-0000D7840000}"/>
    <cellStyle name="Positive 3 5 4 2 9" xfId="33995" xr:uid="{00000000-0005-0000-0000-0000D8840000}"/>
    <cellStyle name="Positive 3 5 4 2 9 2" xfId="33996" xr:uid="{00000000-0005-0000-0000-0000D9840000}"/>
    <cellStyle name="Positive 3 5 4 20" xfId="33997" xr:uid="{00000000-0005-0000-0000-0000DA840000}"/>
    <cellStyle name="Positive 3 5 4 3" xfId="33998" xr:uid="{00000000-0005-0000-0000-0000DB840000}"/>
    <cellStyle name="Positive 3 5 4 3 2" xfId="33999" xr:uid="{00000000-0005-0000-0000-0000DC840000}"/>
    <cellStyle name="Positive 3 5 4 3 2 2" xfId="34000" xr:uid="{00000000-0005-0000-0000-0000DD840000}"/>
    <cellStyle name="Positive 3 5 4 3 3" xfId="34001" xr:uid="{00000000-0005-0000-0000-0000DE840000}"/>
    <cellStyle name="Positive 3 5 4 4" xfId="34002" xr:uid="{00000000-0005-0000-0000-0000DF840000}"/>
    <cellStyle name="Positive 3 5 4 4 2" xfId="34003" xr:uid="{00000000-0005-0000-0000-0000E0840000}"/>
    <cellStyle name="Positive 3 5 4 4 2 2" xfId="34004" xr:uid="{00000000-0005-0000-0000-0000E1840000}"/>
    <cellStyle name="Positive 3 5 4 4 3" xfId="34005" xr:uid="{00000000-0005-0000-0000-0000E2840000}"/>
    <cellStyle name="Positive 3 5 4 5" xfId="34006" xr:uid="{00000000-0005-0000-0000-0000E3840000}"/>
    <cellStyle name="Positive 3 5 4 5 2" xfId="34007" xr:uid="{00000000-0005-0000-0000-0000E4840000}"/>
    <cellStyle name="Positive 3 5 4 6" xfId="34008" xr:uid="{00000000-0005-0000-0000-0000E5840000}"/>
    <cellStyle name="Positive 3 5 4 6 2" xfId="34009" xr:uid="{00000000-0005-0000-0000-0000E6840000}"/>
    <cellStyle name="Positive 3 5 4 7" xfId="34010" xr:uid="{00000000-0005-0000-0000-0000E7840000}"/>
    <cellStyle name="Positive 3 5 4 7 2" xfId="34011" xr:uid="{00000000-0005-0000-0000-0000E8840000}"/>
    <cellStyle name="Positive 3 5 4 8" xfId="34012" xr:uid="{00000000-0005-0000-0000-0000E9840000}"/>
    <cellStyle name="Positive 3 5 4 8 2" xfId="34013" xr:uid="{00000000-0005-0000-0000-0000EA840000}"/>
    <cellStyle name="Positive 3 5 4 9" xfId="34014" xr:uid="{00000000-0005-0000-0000-0000EB840000}"/>
    <cellStyle name="Positive 3 5 4 9 2" xfId="34015" xr:uid="{00000000-0005-0000-0000-0000EC840000}"/>
    <cellStyle name="Positive 3 5 5" xfId="34016" xr:uid="{00000000-0005-0000-0000-0000ED840000}"/>
    <cellStyle name="Positive 3 5 5 10" xfId="34017" xr:uid="{00000000-0005-0000-0000-0000EE840000}"/>
    <cellStyle name="Positive 3 5 5 10 2" xfId="34018" xr:uid="{00000000-0005-0000-0000-0000EF840000}"/>
    <cellStyle name="Positive 3 5 5 11" xfId="34019" xr:uid="{00000000-0005-0000-0000-0000F0840000}"/>
    <cellStyle name="Positive 3 5 5 11 2" xfId="34020" xr:uid="{00000000-0005-0000-0000-0000F1840000}"/>
    <cellStyle name="Positive 3 5 5 12" xfId="34021" xr:uid="{00000000-0005-0000-0000-0000F2840000}"/>
    <cellStyle name="Positive 3 5 5 12 2" xfId="34022" xr:uid="{00000000-0005-0000-0000-0000F3840000}"/>
    <cellStyle name="Positive 3 5 5 13" xfId="34023" xr:uid="{00000000-0005-0000-0000-0000F4840000}"/>
    <cellStyle name="Positive 3 5 5 13 2" xfId="34024" xr:uid="{00000000-0005-0000-0000-0000F5840000}"/>
    <cellStyle name="Positive 3 5 5 14" xfId="34025" xr:uid="{00000000-0005-0000-0000-0000F6840000}"/>
    <cellStyle name="Positive 3 5 5 14 2" xfId="34026" xr:uid="{00000000-0005-0000-0000-0000F7840000}"/>
    <cellStyle name="Positive 3 5 5 15" xfId="34027" xr:uid="{00000000-0005-0000-0000-0000F8840000}"/>
    <cellStyle name="Positive 3 5 5 15 2" xfId="34028" xr:uid="{00000000-0005-0000-0000-0000F9840000}"/>
    <cellStyle name="Positive 3 5 5 16" xfId="34029" xr:uid="{00000000-0005-0000-0000-0000FA840000}"/>
    <cellStyle name="Positive 3 5 5 16 2" xfId="34030" xr:uid="{00000000-0005-0000-0000-0000FB840000}"/>
    <cellStyle name="Positive 3 5 5 17" xfId="34031" xr:uid="{00000000-0005-0000-0000-0000FC840000}"/>
    <cellStyle name="Positive 3 5 5 2" xfId="34032" xr:uid="{00000000-0005-0000-0000-0000FD840000}"/>
    <cellStyle name="Positive 3 5 5 2 2" xfId="34033" xr:uid="{00000000-0005-0000-0000-0000FE840000}"/>
    <cellStyle name="Positive 3 5 5 3" xfId="34034" xr:uid="{00000000-0005-0000-0000-0000FF840000}"/>
    <cellStyle name="Positive 3 5 5 3 2" xfId="34035" xr:uid="{00000000-0005-0000-0000-000000850000}"/>
    <cellStyle name="Positive 3 5 5 4" xfId="34036" xr:uid="{00000000-0005-0000-0000-000001850000}"/>
    <cellStyle name="Positive 3 5 5 4 2" xfId="34037" xr:uid="{00000000-0005-0000-0000-000002850000}"/>
    <cellStyle name="Positive 3 5 5 5" xfId="34038" xr:uid="{00000000-0005-0000-0000-000003850000}"/>
    <cellStyle name="Positive 3 5 5 5 2" xfId="34039" xr:uid="{00000000-0005-0000-0000-000004850000}"/>
    <cellStyle name="Positive 3 5 5 6" xfId="34040" xr:uid="{00000000-0005-0000-0000-000005850000}"/>
    <cellStyle name="Positive 3 5 5 6 2" xfId="34041" xr:uid="{00000000-0005-0000-0000-000006850000}"/>
    <cellStyle name="Positive 3 5 5 7" xfId="34042" xr:uid="{00000000-0005-0000-0000-000007850000}"/>
    <cellStyle name="Positive 3 5 5 7 2" xfId="34043" xr:uid="{00000000-0005-0000-0000-000008850000}"/>
    <cellStyle name="Positive 3 5 5 8" xfId="34044" xr:uid="{00000000-0005-0000-0000-000009850000}"/>
    <cellStyle name="Positive 3 5 5 8 2" xfId="34045" xr:uid="{00000000-0005-0000-0000-00000A850000}"/>
    <cellStyle name="Positive 3 5 5 9" xfId="34046" xr:uid="{00000000-0005-0000-0000-00000B850000}"/>
    <cellStyle name="Positive 3 5 5 9 2" xfId="34047" xr:uid="{00000000-0005-0000-0000-00000C850000}"/>
    <cellStyle name="Positive 3 5 6" xfId="34048" xr:uid="{00000000-0005-0000-0000-00000D850000}"/>
    <cellStyle name="Positive 3 5 6 2" xfId="34049" xr:uid="{00000000-0005-0000-0000-00000E850000}"/>
    <cellStyle name="Positive 3 5 6 2 2" xfId="34050" xr:uid="{00000000-0005-0000-0000-00000F850000}"/>
    <cellStyle name="Positive 3 5 6 3" xfId="34051" xr:uid="{00000000-0005-0000-0000-000010850000}"/>
    <cellStyle name="Positive 3 5 7" xfId="34052" xr:uid="{00000000-0005-0000-0000-000011850000}"/>
    <cellStyle name="Positive 3 5 7 2" xfId="34053" xr:uid="{00000000-0005-0000-0000-000012850000}"/>
    <cellStyle name="Positive 3 5 7 2 2" xfId="34054" xr:uid="{00000000-0005-0000-0000-000013850000}"/>
    <cellStyle name="Positive 3 5 7 3" xfId="34055" xr:uid="{00000000-0005-0000-0000-000014850000}"/>
    <cellStyle name="Positive 3 5 8" xfId="34056" xr:uid="{00000000-0005-0000-0000-000015850000}"/>
    <cellStyle name="Positive 3 5 8 2" xfId="34057" xr:uid="{00000000-0005-0000-0000-000016850000}"/>
    <cellStyle name="Positive 3 5 9" xfId="34058" xr:uid="{00000000-0005-0000-0000-000017850000}"/>
    <cellStyle name="Positive 3 5 9 2" xfId="34059" xr:uid="{00000000-0005-0000-0000-000018850000}"/>
    <cellStyle name="Positive 3 6" xfId="34060" xr:uid="{00000000-0005-0000-0000-000019850000}"/>
    <cellStyle name="Positive 3 6 10" xfId="34061" xr:uid="{00000000-0005-0000-0000-00001A850000}"/>
    <cellStyle name="Positive 3 6 10 2" xfId="34062" xr:uid="{00000000-0005-0000-0000-00001B850000}"/>
    <cellStyle name="Positive 3 6 11" xfId="34063" xr:uid="{00000000-0005-0000-0000-00001C850000}"/>
    <cellStyle name="Positive 3 6 11 2" xfId="34064" xr:uid="{00000000-0005-0000-0000-00001D850000}"/>
    <cellStyle name="Positive 3 6 12" xfId="34065" xr:uid="{00000000-0005-0000-0000-00001E850000}"/>
    <cellStyle name="Positive 3 6 12 2" xfId="34066" xr:uid="{00000000-0005-0000-0000-00001F850000}"/>
    <cellStyle name="Positive 3 6 13" xfId="34067" xr:uid="{00000000-0005-0000-0000-000020850000}"/>
    <cellStyle name="Positive 3 6 13 2" xfId="34068" xr:uid="{00000000-0005-0000-0000-000021850000}"/>
    <cellStyle name="Positive 3 6 14" xfId="34069" xr:uid="{00000000-0005-0000-0000-000022850000}"/>
    <cellStyle name="Positive 3 6 14 2" xfId="34070" xr:uid="{00000000-0005-0000-0000-000023850000}"/>
    <cellStyle name="Positive 3 6 15" xfId="34071" xr:uid="{00000000-0005-0000-0000-000024850000}"/>
    <cellStyle name="Positive 3 6 15 2" xfId="34072" xr:uid="{00000000-0005-0000-0000-000025850000}"/>
    <cellStyle name="Positive 3 6 16" xfId="34073" xr:uid="{00000000-0005-0000-0000-000026850000}"/>
    <cellStyle name="Positive 3 6 16 2" xfId="34074" xr:uid="{00000000-0005-0000-0000-000027850000}"/>
    <cellStyle name="Positive 3 6 17" xfId="34075" xr:uid="{00000000-0005-0000-0000-000028850000}"/>
    <cellStyle name="Positive 3 6 17 2" xfId="34076" xr:uid="{00000000-0005-0000-0000-000029850000}"/>
    <cellStyle name="Positive 3 6 18" xfId="34077" xr:uid="{00000000-0005-0000-0000-00002A850000}"/>
    <cellStyle name="Positive 3 6 18 2" xfId="34078" xr:uid="{00000000-0005-0000-0000-00002B850000}"/>
    <cellStyle name="Positive 3 6 19" xfId="34079" xr:uid="{00000000-0005-0000-0000-00002C850000}"/>
    <cellStyle name="Positive 3 6 19 2" xfId="34080" xr:uid="{00000000-0005-0000-0000-00002D850000}"/>
    <cellStyle name="Positive 3 6 2" xfId="34081" xr:uid="{00000000-0005-0000-0000-00002E850000}"/>
    <cellStyle name="Positive 3 6 2 10" xfId="34082" xr:uid="{00000000-0005-0000-0000-00002F850000}"/>
    <cellStyle name="Positive 3 6 2 10 2" xfId="34083" xr:uid="{00000000-0005-0000-0000-000030850000}"/>
    <cellStyle name="Positive 3 6 2 11" xfId="34084" xr:uid="{00000000-0005-0000-0000-000031850000}"/>
    <cellStyle name="Positive 3 6 2 11 2" xfId="34085" xr:uid="{00000000-0005-0000-0000-000032850000}"/>
    <cellStyle name="Positive 3 6 2 12" xfId="34086" xr:uid="{00000000-0005-0000-0000-000033850000}"/>
    <cellStyle name="Positive 3 6 2 12 2" xfId="34087" xr:uid="{00000000-0005-0000-0000-000034850000}"/>
    <cellStyle name="Positive 3 6 2 13" xfId="34088" xr:uid="{00000000-0005-0000-0000-000035850000}"/>
    <cellStyle name="Positive 3 6 2 13 2" xfId="34089" xr:uid="{00000000-0005-0000-0000-000036850000}"/>
    <cellStyle name="Positive 3 6 2 14" xfId="34090" xr:uid="{00000000-0005-0000-0000-000037850000}"/>
    <cellStyle name="Positive 3 6 2 14 2" xfId="34091" xr:uid="{00000000-0005-0000-0000-000038850000}"/>
    <cellStyle name="Positive 3 6 2 15" xfId="34092" xr:uid="{00000000-0005-0000-0000-000039850000}"/>
    <cellStyle name="Positive 3 6 2 15 2" xfId="34093" xr:uid="{00000000-0005-0000-0000-00003A850000}"/>
    <cellStyle name="Positive 3 6 2 16" xfId="34094" xr:uid="{00000000-0005-0000-0000-00003B850000}"/>
    <cellStyle name="Positive 3 6 2 16 2" xfId="34095" xr:uid="{00000000-0005-0000-0000-00003C850000}"/>
    <cellStyle name="Positive 3 6 2 17" xfId="34096" xr:uid="{00000000-0005-0000-0000-00003D850000}"/>
    <cellStyle name="Positive 3 6 2 17 2" xfId="34097" xr:uid="{00000000-0005-0000-0000-00003E850000}"/>
    <cellStyle name="Positive 3 6 2 18" xfId="34098" xr:uid="{00000000-0005-0000-0000-00003F850000}"/>
    <cellStyle name="Positive 3 6 2 18 2" xfId="34099" xr:uid="{00000000-0005-0000-0000-000040850000}"/>
    <cellStyle name="Positive 3 6 2 19" xfId="34100" xr:uid="{00000000-0005-0000-0000-000041850000}"/>
    <cellStyle name="Positive 3 6 2 19 2" xfId="34101" xr:uid="{00000000-0005-0000-0000-000042850000}"/>
    <cellStyle name="Positive 3 6 2 2" xfId="34102" xr:uid="{00000000-0005-0000-0000-000043850000}"/>
    <cellStyle name="Positive 3 6 2 2 10" xfId="34103" xr:uid="{00000000-0005-0000-0000-000044850000}"/>
    <cellStyle name="Positive 3 6 2 2 10 2" xfId="34104" xr:uid="{00000000-0005-0000-0000-000045850000}"/>
    <cellStyle name="Positive 3 6 2 2 11" xfId="34105" xr:uid="{00000000-0005-0000-0000-000046850000}"/>
    <cellStyle name="Positive 3 6 2 2 11 2" xfId="34106" xr:uid="{00000000-0005-0000-0000-000047850000}"/>
    <cellStyle name="Positive 3 6 2 2 12" xfId="34107" xr:uid="{00000000-0005-0000-0000-000048850000}"/>
    <cellStyle name="Positive 3 6 2 2 12 2" xfId="34108" xr:uid="{00000000-0005-0000-0000-000049850000}"/>
    <cellStyle name="Positive 3 6 2 2 13" xfId="34109" xr:uid="{00000000-0005-0000-0000-00004A850000}"/>
    <cellStyle name="Positive 3 6 2 2 13 2" xfId="34110" xr:uid="{00000000-0005-0000-0000-00004B850000}"/>
    <cellStyle name="Positive 3 6 2 2 14" xfId="34111" xr:uid="{00000000-0005-0000-0000-00004C850000}"/>
    <cellStyle name="Positive 3 6 2 2 14 2" xfId="34112" xr:uid="{00000000-0005-0000-0000-00004D850000}"/>
    <cellStyle name="Positive 3 6 2 2 15" xfId="34113" xr:uid="{00000000-0005-0000-0000-00004E850000}"/>
    <cellStyle name="Positive 3 6 2 2 15 2" xfId="34114" xr:uid="{00000000-0005-0000-0000-00004F850000}"/>
    <cellStyle name="Positive 3 6 2 2 16" xfId="34115" xr:uid="{00000000-0005-0000-0000-000050850000}"/>
    <cellStyle name="Positive 3 6 2 2 16 2" xfId="34116" xr:uid="{00000000-0005-0000-0000-000051850000}"/>
    <cellStyle name="Positive 3 6 2 2 17" xfId="34117" xr:uid="{00000000-0005-0000-0000-000052850000}"/>
    <cellStyle name="Positive 3 6 2 2 2" xfId="34118" xr:uid="{00000000-0005-0000-0000-000053850000}"/>
    <cellStyle name="Positive 3 6 2 2 2 2" xfId="34119" xr:uid="{00000000-0005-0000-0000-000054850000}"/>
    <cellStyle name="Positive 3 6 2 2 3" xfId="34120" xr:uid="{00000000-0005-0000-0000-000055850000}"/>
    <cellStyle name="Positive 3 6 2 2 3 2" xfId="34121" xr:uid="{00000000-0005-0000-0000-000056850000}"/>
    <cellStyle name="Positive 3 6 2 2 4" xfId="34122" xr:uid="{00000000-0005-0000-0000-000057850000}"/>
    <cellStyle name="Positive 3 6 2 2 4 2" xfId="34123" xr:uid="{00000000-0005-0000-0000-000058850000}"/>
    <cellStyle name="Positive 3 6 2 2 5" xfId="34124" xr:uid="{00000000-0005-0000-0000-000059850000}"/>
    <cellStyle name="Positive 3 6 2 2 5 2" xfId="34125" xr:uid="{00000000-0005-0000-0000-00005A850000}"/>
    <cellStyle name="Positive 3 6 2 2 6" xfId="34126" xr:uid="{00000000-0005-0000-0000-00005B850000}"/>
    <cellStyle name="Positive 3 6 2 2 6 2" xfId="34127" xr:uid="{00000000-0005-0000-0000-00005C850000}"/>
    <cellStyle name="Positive 3 6 2 2 7" xfId="34128" xr:uid="{00000000-0005-0000-0000-00005D850000}"/>
    <cellStyle name="Positive 3 6 2 2 7 2" xfId="34129" xr:uid="{00000000-0005-0000-0000-00005E850000}"/>
    <cellStyle name="Positive 3 6 2 2 8" xfId="34130" xr:uid="{00000000-0005-0000-0000-00005F850000}"/>
    <cellStyle name="Positive 3 6 2 2 8 2" xfId="34131" xr:uid="{00000000-0005-0000-0000-000060850000}"/>
    <cellStyle name="Positive 3 6 2 2 9" xfId="34132" xr:uid="{00000000-0005-0000-0000-000061850000}"/>
    <cellStyle name="Positive 3 6 2 2 9 2" xfId="34133" xr:uid="{00000000-0005-0000-0000-000062850000}"/>
    <cellStyle name="Positive 3 6 2 20" xfId="34134" xr:uid="{00000000-0005-0000-0000-000063850000}"/>
    <cellStyle name="Positive 3 6 2 3" xfId="34135" xr:uid="{00000000-0005-0000-0000-000064850000}"/>
    <cellStyle name="Positive 3 6 2 3 2" xfId="34136" xr:uid="{00000000-0005-0000-0000-000065850000}"/>
    <cellStyle name="Positive 3 6 2 3 2 2" xfId="34137" xr:uid="{00000000-0005-0000-0000-000066850000}"/>
    <cellStyle name="Positive 3 6 2 3 3" xfId="34138" xr:uid="{00000000-0005-0000-0000-000067850000}"/>
    <cellStyle name="Positive 3 6 2 4" xfId="34139" xr:uid="{00000000-0005-0000-0000-000068850000}"/>
    <cellStyle name="Positive 3 6 2 4 2" xfId="34140" xr:uid="{00000000-0005-0000-0000-000069850000}"/>
    <cellStyle name="Positive 3 6 2 4 2 2" xfId="34141" xr:uid="{00000000-0005-0000-0000-00006A850000}"/>
    <cellStyle name="Positive 3 6 2 4 3" xfId="34142" xr:uid="{00000000-0005-0000-0000-00006B850000}"/>
    <cellStyle name="Positive 3 6 2 5" xfId="34143" xr:uid="{00000000-0005-0000-0000-00006C850000}"/>
    <cellStyle name="Positive 3 6 2 5 2" xfId="34144" xr:uid="{00000000-0005-0000-0000-00006D850000}"/>
    <cellStyle name="Positive 3 6 2 6" xfId="34145" xr:uid="{00000000-0005-0000-0000-00006E850000}"/>
    <cellStyle name="Positive 3 6 2 6 2" xfId="34146" xr:uid="{00000000-0005-0000-0000-00006F850000}"/>
    <cellStyle name="Positive 3 6 2 7" xfId="34147" xr:uid="{00000000-0005-0000-0000-000070850000}"/>
    <cellStyle name="Positive 3 6 2 7 2" xfId="34148" xr:uid="{00000000-0005-0000-0000-000071850000}"/>
    <cellStyle name="Positive 3 6 2 8" xfId="34149" xr:uid="{00000000-0005-0000-0000-000072850000}"/>
    <cellStyle name="Positive 3 6 2 8 2" xfId="34150" xr:uid="{00000000-0005-0000-0000-000073850000}"/>
    <cellStyle name="Positive 3 6 2 9" xfId="34151" xr:uid="{00000000-0005-0000-0000-000074850000}"/>
    <cellStyle name="Positive 3 6 2 9 2" xfId="34152" xr:uid="{00000000-0005-0000-0000-000075850000}"/>
    <cellStyle name="Positive 3 6 20" xfId="34153" xr:uid="{00000000-0005-0000-0000-000076850000}"/>
    <cellStyle name="Positive 3 6 20 2" xfId="34154" xr:uid="{00000000-0005-0000-0000-000077850000}"/>
    <cellStyle name="Positive 3 6 21" xfId="34155" xr:uid="{00000000-0005-0000-0000-000078850000}"/>
    <cellStyle name="Positive 3 6 21 2" xfId="34156" xr:uid="{00000000-0005-0000-0000-000079850000}"/>
    <cellStyle name="Positive 3 6 22" xfId="34157" xr:uid="{00000000-0005-0000-0000-00007A850000}"/>
    <cellStyle name="Positive 3 6 22 2" xfId="34158" xr:uid="{00000000-0005-0000-0000-00007B850000}"/>
    <cellStyle name="Positive 3 6 23" xfId="34159" xr:uid="{00000000-0005-0000-0000-00007C850000}"/>
    <cellStyle name="Positive 3 6 3" xfId="34160" xr:uid="{00000000-0005-0000-0000-00007D850000}"/>
    <cellStyle name="Positive 3 6 3 10" xfId="34161" xr:uid="{00000000-0005-0000-0000-00007E850000}"/>
    <cellStyle name="Positive 3 6 3 10 2" xfId="34162" xr:uid="{00000000-0005-0000-0000-00007F850000}"/>
    <cellStyle name="Positive 3 6 3 11" xfId="34163" xr:uid="{00000000-0005-0000-0000-000080850000}"/>
    <cellStyle name="Positive 3 6 3 11 2" xfId="34164" xr:uid="{00000000-0005-0000-0000-000081850000}"/>
    <cellStyle name="Positive 3 6 3 12" xfId="34165" xr:uid="{00000000-0005-0000-0000-000082850000}"/>
    <cellStyle name="Positive 3 6 3 12 2" xfId="34166" xr:uid="{00000000-0005-0000-0000-000083850000}"/>
    <cellStyle name="Positive 3 6 3 13" xfId="34167" xr:uid="{00000000-0005-0000-0000-000084850000}"/>
    <cellStyle name="Positive 3 6 3 13 2" xfId="34168" xr:uid="{00000000-0005-0000-0000-000085850000}"/>
    <cellStyle name="Positive 3 6 3 14" xfId="34169" xr:uid="{00000000-0005-0000-0000-000086850000}"/>
    <cellStyle name="Positive 3 6 3 14 2" xfId="34170" xr:uid="{00000000-0005-0000-0000-000087850000}"/>
    <cellStyle name="Positive 3 6 3 15" xfId="34171" xr:uid="{00000000-0005-0000-0000-000088850000}"/>
    <cellStyle name="Positive 3 6 3 15 2" xfId="34172" xr:uid="{00000000-0005-0000-0000-000089850000}"/>
    <cellStyle name="Positive 3 6 3 16" xfId="34173" xr:uid="{00000000-0005-0000-0000-00008A850000}"/>
    <cellStyle name="Positive 3 6 3 16 2" xfId="34174" xr:uid="{00000000-0005-0000-0000-00008B850000}"/>
    <cellStyle name="Positive 3 6 3 17" xfId="34175" xr:uid="{00000000-0005-0000-0000-00008C850000}"/>
    <cellStyle name="Positive 3 6 3 17 2" xfId="34176" xr:uid="{00000000-0005-0000-0000-00008D850000}"/>
    <cellStyle name="Positive 3 6 3 18" xfId="34177" xr:uid="{00000000-0005-0000-0000-00008E850000}"/>
    <cellStyle name="Positive 3 6 3 18 2" xfId="34178" xr:uid="{00000000-0005-0000-0000-00008F850000}"/>
    <cellStyle name="Positive 3 6 3 19" xfId="34179" xr:uid="{00000000-0005-0000-0000-000090850000}"/>
    <cellStyle name="Positive 3 6 3 19 2" xfId="34180" xr:uid="{00000000-0005-0000-0000-000091850000}"/>
    <cellStyle name="Positive 3 6 3 2" xfId="34181" xr:uid="{00000000-0005-0000-0000-000092850000}"/>
    <cellStyle name="Positive 3 6 3 2 10" xfId="34182" xr:uid="{00000000-0005-0000-0000-000093850000}"/>
    <cellStyle name="Positive 3 6 3 2 10 2" xfId="34183" xr:uid="{00000000-0005-0000-0000-000094850000}"/>
    <cellStyle name="Positive 3 6 3 2 11" xfId="34184" xr:uid="{00000000-0005-0000-0000-000095850000}"/>
    <cellStyle name="Positive 3 6 3 2 11 2" xfId="34185" xr:uid="{00000000-0005-0000-0000-000096850000}"/>
    <cellStyle name="Positive 3 6 3 2 12" xfId="34186" xr:uid="{00000000-0005-0000-0000-000097850000}"/>
    <cellStyle name="Positive 3 6 3 2 12 2" xfId="34187" xr:uid="{00000000-0005-0000-0000-000098850000}"/>
    <cellStyle name="Positive 3 6 3 2 13" xfId="34188" xr:uid="{00000000-0005-0000-0000-000099850000}"/>
    <cellStyle name="Positive 3 6 3 2 13 2" xfId="34189" xr:uid="{00000000-0005-0000-0000-00009A850000}"/>
    <cellStyle name="Positive 3 6 3 2 14" xfId="34190" xr:uid="{00000000-0005-0000-0000-00009B850000}"/>
    <cellStyle name="Positive 3 6 3 2 14 2" xfId="34191" xr:uid="{00000000-0005-0000-0000-00009C850000}"/>
    <cellStyle name="Positive 3 6 3 2 15" xfId="34192" xr:uid="{00000000-0005-0000-0000-00009D850000}"/>
    <cellStyle name="Positive 3 6 3 2 15 2" xfId="34193" xr:uid="{00000000-0005-0000-0000-00009E850000}"/>
    <cellStyle name="Positive 3 6 3 2 16" xfId="34194" xr:uid="{00000000-0005-0000-0000-00009F850000}"/>
    <cellStyle name="Positive 3 6 3 2 16 2" xfId="34195" xr:uid="{00000000-0005-0000-0000-0000A0850000}"/>
    <cellStyle name="Positive 3 6 3 2 17" xfId="34196" xr:uid="{00000000-0005-0000-0000-0000A1850000}"/>
    <cellStyle name="Positive 3 6 3 2 2" xfId="34197" xr:uid="{00000000-0005-0000-0000-0000A2850000}"/>
    <cellStyle name="Positive 3 6 3 2 2 2" xfId="34198" xr:uid="{00000000-0005-0000-0000-0000A3850000}"/>
    <cellStyle name="Positive 3 6 3 2 3" xfId="34199" xr:uid="{00000000-0005-0000-0000-0000A4850000}"/>
    <cellStyle name="Positive 3 6 3 2 3 2" xfId="34200" xr:uid="{00000000-0005-0000-0000-0000A5850000}"/>
    <cellStyle name="Positive 3 6 3 2 4" xfId="34201" xr:uid="{00000000-0005-0000-0000-0000A6850000}"/>
    <cellStyle name="Positive 3 6 3 2 4 2" xfId="34202" xr:uid="{00000000-0005-0000-0000-0000A7850000}"/>
    <cellStyle name="Positive 3 6 3 2 5" xfId="34203" xr:uid="{00000000-0005-0000-0000-0000A8850000}"/>
    <cellStyle name="Positive 3 6 3 2 5 2" xfId="34204" xr:uid="{00000000-0005-0000-0000-0000A9850000}"/>
    <cellStyle name="Positive 3 6 3 2 6" xfId="34205" xr:uid="{00000000-0005-0000-0000-0000AA850000}"/>
    <cellStyle name="Positive 3 6 3 2 6 2" xfId="34206" xr:uid="{00000000-0005-0000-0000-0000AB850000}"/>
    <cellStyle name="Positive 3 6 3 2 7" xfId="34207" xr:uid="{00000000-0005-0000-0000-0000AC850000}"/>
    <cellStyle name="Positive 3 6 3 2 7 2" xfId="34208" xr:uid="{00000000-0005-0000-0000-0000AD850000}"/>
    <cellStyle name="Positive 3 6 3 2 8" xfId="34209" xr:uid="{00000000-0005-0000-0000-0000AE850000}"/>
    <cellStyle name="Positive 3 6 3 2 8 2" xfId="34210" xr:uid="{00000000-0005-0000-0000-0000AF850000}"/>
    <cellStyle name="Positive 3 6 3 2 9" xfId="34211" xr:uid="{00000000-0005-0000-0000-0000B0850000}"/>
    <cellStyle name="Positive 3 6 3 2 9 2" xfId="34212" xr:uid="{00000000-0005-0000-0000-0000B1850000}"/>
    <cellStyle name="Positive 3 6 3 20" xfId="34213" xr:uid="{00000000-0005-0000-0000-0000B2850000}"/>
    <cellStyle name="Positive 3 6 3 3" xfId="34214" xr:uid="{00000000-0005-0000-0000-0000B3850000}"/>
    <cellStyle name="Positive 3 6 3 3 2" xfId="34215" xr:uid="{00000000-0005-0000-0000-0000B4850000}"/>
    <cellStyle name="Positive 3 6 3 3 2 2" xfId="34216" xr:uid="{00000000-0005-0000-0000-0000B5850000}"/>
    <cellStyle name="Positive 3 6 3 3 3" xfId="34217" xr:uid="{00000000-0005-0000-0000-0000B6850000}"/>
    <cellStyle name="Positive 3 6 3 4" xfId="34218" xr:uid="{00000000-0005-0000-0000-0000B7850000}"/>
    <cellStyle name="Positive 3 6 3 4 2" xfId="34219" xr:uid="{00000000-0005-0000-0000-0000B8850000}"/>
    <cellStyle name="Positive 3 6 3 4 2 2" xfId="34220" xr:uid="{00000000-0005-0000-0000-0000B9850000}"/>
    <cellStyle name="Positive 3 6 3 4 3" xfId="34221" xr:uid="{00000000-0005-0000-0000-0000BA850000}"/>
    <cellStyle name="Positive 3 6 3 5" xfId="34222" xr:uid="{00000000-0005-0000-0000-0000BB850000}"/>
    <cellStyle name="Positive 3 6 3 5 2" xfId="34223" xr:uid="{00000000-0005-0000-0000-0000BC850000}"/>
    <cellStyle name="Positive 3 6 3 6" xfId="34224" xr:uid="{00000000-0005-0000-0000-0000BD850000}"/>
    <cellStyle name="Positive 3 6 3 6 2" xfId="34225" xr:uid="{00000000-0005-0000-0000-0000BE850000}"/>
    <cellStyle name="Positive 3 6 3 7" xfId="34226" xr:uid="{00000000-0005-0000-0000-0000BF850000}"/>
    <cellStyle name="Positive 3 6 3 7 2" xfId="34227" xr:uid="{00000000-0005-0000-0000-0000C0850000}"/>
    <cellStyle name="Positive 3 6 3 8" xfId="34228" xr:uid="{00000000-0005-0000-0000-0000C1850000}"/>
    <cellStyle name="Positive 3 6 3 8 2" xfId="34229" xr:uid="{00000000-0005-0000-0000-0000C2850000}"/>
    <cellStyle name="Positive 3 6 3 9" xfId="34230" xr:uid="{00000000-0005-0000-0000-0000C3850000}"/>
    <cellStyle name="Positive 3 6 3 9 2" xfId="34231" xr:uid="{00000000-0005-0000-0000-0000C4850000}"/>
    <cellStyle name="Positive 3 6 4" xfId="34232" xr:uid="{00000000-0005-0000-0000-0000C5850000}"/>
    <cellStyle name="Positive 3 6 4 10" xfId="34233" xr:uid="{00000000-0005-0000-0000-0000C6850000}"/>
    <cellStyle name="Positive 3 6 4 10 2" xfId="34234" xr:uid="{00000000-0005-0000-0000-0000C7850000}"/>
    <cellStyle name="Positive 3 6 4 11" xfId="34235" xr:uid="{00000000-0005-0000-0000-0000C8850000}"/>
    <cellStyle name="Positive 3 6 4 11 2" xfId="34236" xr:uid="{00000000-0005-0000-0000-0000C9850000}"/>
    <cellStyle name="Positive 3 6 4 12" xfId="34237" xr:uid="{00000000-0005-0000-0000-0000CA850000}"/>
    <cellStyle name="Positive 3 6 4 12 2" xfId="34238" xr:uid="{00000000-0005-0000-0000-0000CB850000}"/>
    <cellStyle name="Positive 3 6 4 13" xfId="34239" xr:uid="{00000000-0005-0000-0000-0000CC850000}"/>
    <cellStyle name="Positive 3 6 4 13 2" xfId="34240" xr:uid="{00000000-0005-0000-0000-0000CD850000}"/>
    <cellStyle name="Positive 3 6 4 14" xfId="34241" xr:uid="{00000000-0005-0000-0000-0000CE850000}"/>
    <cellStyle name="Positive 3 6 4 14 2" xfId="34242" xr:uid="{00000000-0005-0000-0000-0000CF850000}"/>
    <cellStyle name="Positive 3 6 4 15" xfId="34243" xr:uid="{00000000-0005-0000-0000-0000D0850000}"/>
    <cellStyle name="Positive 3 6 4 15 2" xfId="34244" xr:uid="{00000000-0005-0000-0000-0000D1850000}"/>
    <cellStyle name="Positive 3 6 4 16" xfId="34245" xr:uid="{00000000-0005-0000-0000-0000D2850000}"/>
    <cellStyle name="Positive 3 6 4 16 2" xfId="34246" xr:uid="{00000000-0005-0000-0000-0000D3850000}"/>
    <cellStyle name="Positive 3 6 4 17" xfId="34247" xr:uid="{00000000-0005-0000-0000-0000D4850000}"/>
    <cellStyle name="Positive 3 6 4 17 2" xfId="34248" xr:uid="{00000000-0005-0000-0000-0000D5850000}"/>
    <cellStyle name="Positive 3 6 4 18" xfId="34249" xr:uid="{00000000-0005-0000-0000-0000D6850000}"/>
    <cellStyle name="Positive 3 6 4 18 2" xfId="34250" xr:uid="{00000000-0005-0000-0000-0000D7850000}"/>
    <cellStyle name="Positive 3 6 4 19" xfId="34251" xr:uid="{00000000-0005-0000-0000-0000D8850000}"/>
    <cellStyle name="Positive 3 6 4 19 2" xfId="34252" xr:uid="{00000000-0005-0000-0000-0000D9850000}"/>
    <cellStyle name="Positive 3 6 4 2" xfId="34253" xr:uid="{00000000-0005-0000-0000-0000DA850000}"/>
    <cellStyle name="Positive 3 6 4 2 10" xfId="34254" xr:uid="{00000000-0005-0000-0000-0000DB850000}"/>
    <cellStyle name="Positive 3 6 4 2 10 2" xfId="34255" xr:uid="{00000000-0005-0000-0000-0000DC850000}"/>
    <cellStyle name="Positive 3 6 4 2 11" xfId="34256" xr:uid="{00000000-0005-0000-0000-0000DD850000}"/>
    <cellStyle name="Positive 3 6 4 2 11 2" xfId="34257" xr:uid="{00000000-0005-0000-0000-0000DE850000}"/>
    <cellStyle name="Positive 3 6 4 2 12" xfId="34258" xr:uid="{00000000-0005-0000-0000-0000DF850000}"/>
    <cellStyle name="Positive 3 6 4 2 12 2" xfId="34259" xr:uid="{00000000-0005-0000-0000-0000E0850000}"/>
    <cellStyle name="Positive 3 6 4 2 13" xfId="34260" xr:uid="{00000000-0005-0000-0000-0000E1850000}"/>
    <cellStyle name="Positive 3 6 4 2 13 2" xfId="34261" xr:uid="{00000000-0005-0000-0000-0000E2850000}"/>
    <cellStyle name="Positive 3 6 4 2 14" xfId="34262" xr:uid="{00000000-0005-0000-0000-0000E3850000}"/>
    <cellStyle name="Positive 3 6 4 2 14 2" xfId="34263" xr:uid="{00000000-0005-0000-0000-0000E4850000}"/>
    <cellStyle name="Positive 3 6 4 2 15" xfId="34264" xr:uid="{00000000-0005-0000-0000-0000E5850000}"/>
    <cellStyle name="Positive 3 6 4 2 15 2" xfId="34265" xr:uid="{00000000-0005-0000-0000-0000E6850000}"/>
    <cellStyle name="Positive 3 6 4 2 16" xfId="34266" xr:uid="{00000000-0005-0000-0000-0000E7850000}"/>
    <cellStyle name="Positive 3 6 4 2 16 2" xfId="34267" xr:uid="{00000000-0005-0000-0000-0000E8850000}"/>
    <cellStyle name="Positive 3 6 4 2 17" xfId="34268" xr:uid="{00000000-0005-0000-0000-0000E9850000}"/>
    <cellStyle name="Positive 3 6 4 2 2" xfId="34269" xr:uid="{00000000-0005-0000-0000-0000EA850000}"/>
    <cellStyle name="Positive 3 6 4 2 2 2" xfId="34270" xr:uid="{00000000-0005-0000-0000-0000EB850000}"/>
    <cellStyle name="Positive 3 6 4 2 3" xfId="34271" xr:uid="{00000000-0005-0000-0000-0000EC850000}"/>
    <cellStyle name="Positive 3 6 4 2 3 2" xfId="34272" xr:uid="{00000000-0005-0000-0000-0000ED850000}"/>
    <cellStyle name="Positive 3 6 4 2 4" xfId="34273" xr:uid="{00000000-0005-0000-0000-0000EE850000}"/>
    <cellStyle name="Positive 3 6 4 2 4 2" xfId="34274" xr:uid="{00000000-0005-0000-0000-0000EF850000}"/>
    <cellStyle name="Positive 3 6 4 2 5" xfId="34275" xr:uid="{00000000-0005-0000-0000-0000F0850000}"/>
    <cellStyle name="Positive 3 6 4 2 5 2" xfId="34276" xr:uid="{00000000-0005-0000-0000-0000F1850000}"/>
    <cellStyle name="Positive 3 6 4 2 6" xfId="34277" xr:uid="{00000000-0005-0000-0000-0000F2850000}"/>
    <cellStyle name="Positive 3 6 4 2 6 2" xfId="34278" xr:uid="{00000000-0005-0000-0000-0000F3850000}"/>
    <cellStyle name="Positive 3 6 4 2 7" xfId="34279" xr:uid="{00000000-0005-0000-0000-0000F4850000}"/>
    <cellStyle name="Positive 3 6 4 2 7 2" xfId="34280" xr:uid="{00000000-0005-0000-0000-0000F5850000}"/>
    <cellStyle name="Positive 3 6 4 2 8" xfId="34281" xr:uid="{00000000-0005-0000-0000-0000F6850000}"/>
    <cellStyle name="Positive 3 6 4 2 8 2" xfId="34282" xr:uid="{00000000-0005-0000-0000-0000F7850000}"/>
    <cellStyle name="Positive 3 6 4 2 9" xfId="34283" xr:uid="{00000000-0005-0000-0000-0000F8850000}"/>
    <cellStyle name="Positive 3 6 4 2 9 2" xfId="34284" xr:uid="{00000000-0005-0000-0000-0000F9850000}"/>
    <cellStyle name="Positive 3 6 4 20" xfId="34285" xr:uid="{00000000-0005-0000-0000-0000FA850000}"/>
    <cellStyle name="Positive 3 6 4 3" xfId="34286" xr:uid="{00000000-0005-0000-0000-0000FB850000}"/>
    <cellStyle name="Positive 3 6 4 3 2" xfId="34287" xr:uid="{00000000-0005-0000-0000-0000FC850000}"/>
    <cellStyle name="Positive 3 6 4 3 2 2" xfId="34288" xr:uid="{00000000-0005-0000-0000-0000FD850000}"/>
    <cellStyle name="Positive 3 6 4 3 3" xfId="34289" xr:uid="{00000000-0005-0000-0000-0000FE850000}"/>
    <cellStyle name="Positive 3 6 4 4" xfId="34290" xr:uid="{00000000-0005-0000-0000-0000FF850000}"/>
    <cellStyle name="Positive 3 6 4 4 2" xfId="34291" xr:uid="{00000000-0005-0000-0000-000000860000}"/>
    <cellStyle name="Positive 3 6 4 4 2 2" xfId="34292" xr:uid="{00000000-0005-0000-0000-000001860000}"/>
    <cellStyle name="Positive 3 6 4 4 3" xfId="34293" xr:uid="{00000000-0005-0000-0000-000002860000}"/>
    <cellStyle name="Positive 3 6 4 5" xfId="34294" xr:uid="{00000000-0005-0000-0000-000003860000}"/>
    <cellStyle name="Positive 3 6 4 5 2" xfId="34295" xr:uid="{00000000-0005-0000-0000-000004860000}"/>
    <cellStyle name="Positive 3 6 4 6" xfId="34296" xr:uid="{00000000-0005-0000-0000-000005860000}"/>
    <cellStyle name="Positive 3 6 4 6 2" xfId="34297" xr:uid="{00000000-0005-0000-0000-000006860000}"/>
    <cellStyle name="Positive 3 6 4 7" xfId="34298" xr:uid="{00000000-0005-0000-0000-000007860000}"/>
    <cellStyle name="Positive 3 6 4 7 2" xfId="34299" xr:uid="{00000000-0005-0000-0000-000008860000}"/>
    <cellStyle name="Positive 3 6 4 8" xfId="34300" xr:uid="{00000000-0005-0000-0000-000009860000}"/>
    <cellStyle name="Positive 3 6 4 8 2" xfId="34301" xr:uid="{00000000-0005-0000-0000-00000A860000}"/>
    <cellStyle name="Positive 3 6 4 9" xfId="34302" xr:uid="{00000000-0005-0000-0000-00000B860000}"/>
    <cellStyle name="Positive 3 6 4 9 2" xfId="34303" xr:uid="{00000000-0005-0000-0000-00000C860000}"/>
    <cellStyle name="Positive 3 6 5" xfId="34304" xr:uid="{00000000-0005-0000-0000-00000D860000}"/>
    <cellStyle name="Positive 3 6 5 10" xfId="34305" xr:uid="{00000000-0005-0000-0000-00000E860000}"/>
    <cellStyle name="Positive 3 6 5 10 2" xfId="34306" xr:uid="{00000000-0005-0000-0000-00000F860000}"/>
    <cellStyle name="Positive 3 6 5 11" xfId="34307" xr:uid="{00000000-0005-0000-0000-000010860000}"/>
    <cellStyle name="Positive 3 6 5 11 2" xfId="34308" xr:uid="{00000000-0005-0000-0000-000011860000}"/>
    <cellStyle name="Positive 3 6 5 12" xfId="34309" xr:uid="{00000000-0005-0000-0000-000012860000}"/>
    <cellStyle name="Positive 3 6 5 12 2" xfId="34310" xr:uid="{00000000-0005-0000-0000-000013860000}"/>
    <cellStyle name="Positive 3 6 5 13" xfId="34311" xr:uid="{00000000-0005-0000-0000-000014860000}"/>
    <cellStyle name="Positive 3 6 5 13 2" xfId="34312" xr:uid="{00000000-0005-0000-0000-000015860000}"/>
    <cellStyle name="Positive 3 6 5 14" xfId="34313" xr:uid="{00000000-0005-0000-0000-000016860000}"/>
    <cellStyle name="Positive 3 6 5 14 2" xfId="34314" xr:uid="{00000000-0005-0000-0000-000017860000}"/>
    <cellStyle name="Positive 3 6 5 15" xfId="34315" xr:uid="{00000000-0005-0000-0000-000018860000}"/>
    <cellStyle name="Positive 3 6 5 15 2" xfId="34316" xr:uid="{00000000-0005-0000-0000-000019860000}"/>
    <cellStyle name="Positive 3 6 5 16" xfId="34317" xr:uid="{00000000-0005-0000-0000-00001A860000}"/>
    <cellStyle name="Positive 3 6 5 16 2" xfId="34318" xr:uid="{00000000-0005-0000-0000-00001B860000}"/>
    <cellStyle name="Positive 3 6 5 17" xfId="34319" xr:uid="{00000000-0005-0000-0000-00001C860000}"/>
    <cellStyle name="Positive 3 6 5 2" xfId="34320" xr:uid="{00000000-0005-0000-0000-00001D860000}"/>
    <cellStyle name="Positive 3 6 5 2 2" xfId="34321" xr:uid="{00000000-0005-0000-0000-00001E860000}"/>
    <cellStyle name="Positive 3 6 5 3" xfId="34322" xr:uid="{00000000-0005-0000-0000-00001F860000}"/>
    <cellStyle name="Positive 3 6 5 3 2" xfId="34323" xr:uid="{00000000-0005-0000-0000-000020860000}"/>
    <cellStyle name="Positive 3 6 5 4" xfId="34324" xr:uid="{00000000-0005-0000-0000-000021860000}"/>
    <cellStyle name="Positive 3 6 5 4 2" xfId="34325" xr:uid="{00000000-0005-0000-0000-000022860000}"/>
    <cellStyle name="Positive 3 6 5 5" xfId="34326" xr:uid="{00000000-0005-0000-0000-000023860000}"/>
    <cellStyle name="Positive 3 6 5 5 2" xfId="34327" xr:uid="{00000000-0005-0000-0000-000024860000}"/>
    <cellStyle name="Positive 3 6 5 6" xfId="34328" xr:uid="{00000000-0005-0000-0000-000025860000}"/>
    <cellStyle name="Positive 3 6 5 6 2" xfId="34329" xr:uid="{00000000-0005-0000-0000-000026860000}"/>
    <cellStyle name="Positive 3 6 5 7" xfId="34330" xr:uid="{00000000-0005-0000-0000-000027860000}"/>
    <cellStyle name="Positive 3 6 5 7 2" xfId="34331" xr:uid="{00000000-0005-0000-0000-000028860000}"/>
    <cellStyle name="Positive 3 6 5 8" xfId="34332" xr:uid="{00000000-0005-0000-0000-000029860000}"/>
    <cellStyle name="Positive 3 6 5 8 2" xfId="34333" xr:uid="{00000000-0005-0000-0000-00002A860000}"/>
    <cellStyle name="Positive 3 6 5 9" xfId="34334" xr:uid="{00000000-0005-0000-0000-00002B860000}"/>
    <cellStyle name="Positive 3 6 5 9 2" xfId="34335" xr:uid="{00000000-0005-0000-0000-00002C860000}"/>
    <cellStyle name="Positive 3 6 6" xfId="34336" xr:uid="{00000000-0005-0000-0000-00002D860000}"/>
    <cellStyle name="Positive 3 6 6 2" xfId="34337" xr:uid="{00000000-0005-0000-0000-00002E860000}"/>
    <cellStyle name="Positive 3 6 6 2 2" xfId="34338" xr:uid="{00000000-0005-0000-0000-00002F860000}"/>
    <cellStyle name="Positive 3 6 6 3" xfId="34339" xr:uid="{00000000-0005-0000-0000-000030860000}"/>
    <cellStyle name="Positive 3 6 7" xfId="34340" xr:uid="{00000000-0005-0000-0000-000031860000}"/>
    <cellStyle name="Positive 3 6 7 2" xfId="34341" xr:uid="{00000000-0005-0000-0000-000032860000}"/>
    <cellStyle name="Positive 3 6 7 2 2" xfId="34342" xr:uid="{00000000-0005-0000-0000-000033860000}"/>
    <cellStyle name="Positive 3 6 7 3" xfId="34343" xr:uid="{00000000-0005-0000-0000-000034860000}"/>
    <cellStyle name="Positive 3 6 8" xfId="34344" xr:uid="{00000000-0005-0000-0000-000035860000}"/>
    <cellStyle name="Positive 3 6 8 2" xfId="34345" xr:uid="{00000000-0005-0000-0000-000036860000}"/>
    <cellStyle name="Positive 3 6 9" xfId="34346" xr:uid="{00000000-0005-0000-0000-000037860000}"/>
    <cellStyle name="Positive 3 6 9 2" xfId="34347" xr:uid="{00000000-0005-0000-0000-000038860000}"/>
    <cellStyle name="Positive 3 7" xfId="34348" xr:uid="{00000000-0005-0000-0000-000039860000}"/>
    <cellStyle name="Positive 3 7 10" xfId="34349" xr:uid="{00000000-0005-0000-0000-00003A860000}"/>
    <cellStyle name="Positive 3 7 10 2" xfId="34350" xr:uid="{00000000-0005-0000-0000-00003B860000}"/>
    <cellStyle name="Positive 3 7 11" xfId="34351" xr:uid="{00000000-0005-0000-0000-00003C860000}"/>
    <cellStyle name="Positive 3 7 11 2" xfId="34352" xr:uid="{00000000-0005-0000-0000-00003D860000}"/>
    <cellStyle name="Positive 3 7 12" xfId="34353" xr:uid="{00000000-0005-0000-0000-00003E860000}"/>
    <cellStyle name="Positive 3 7 12 2" xfId="34354" xr:uid="{00000000-0005-0000-0000-00003F860000}"/>
    <cellStyle name="Positive 3 7 13" xfId="34355" xr:uid="{00000000-0005-0000-0000-000040860000}"/>
    <cellStyle name="Positive 3 7 13 2" xfId="34356" xr:uid="{00000000-0005-0000-0000-000041860000}"/>
    <cellStyle name="Positive 3 7 14" xfId="34357" xr:uid="{00000000-0005-0000-0000-000042860000}"/>
    <cellStyle name="Positive 3 7 14 2" xfId="34358" xr:uid="{00000000-0005-0000-0000-000043860000}"/>
    <cellStyle name="Positive 3 7 15" xfId="34359" xr:uid="{00000000-0005-0000-0000-000044860000}"/>
    <cellStyle name="Positive 3 7 15 2" xfId="34360" xr:uid="{00000000-0005-0000-0000-000045860000}"/>
    <cellStyle name="Positive 3 7 16" xfId="34361" xr:uid="{00000000-0005-0000-0000-000046860000}"/>
    <cellStyle name="Positive 3 7 16 2" xfId="34362" xr:uid="{00000000-0005-0000-0000-000047860000}"/>
    <cellStyle name="Positive 3 7 17" xfId="34363" xr:uid="{00000000-0005-0000-0000-000048860000}"/>
    <cellStyle name="Positive 3 7 17 2" xfId="34364" xr:uid="{00000000-0005-0000-0000-000049860000}"/>
    <cellStyle name="Positive 3 7 18" xfId="34365" xr:uid="{00000000-0005-0000-0000-00004A860000}"/>
    <cellStyle name="Positive 3 7 18 2" xfId="34366" xr:uid="{00000000-0005-0000-0000-00004B860000}"/>
    <cellStyle name="Positive 3 7 19" xfId="34367" xr:uid="{00000000-0005-0000-0000-00004C860000}"/>
    <cellStyle name="Positive 3 7 19 2" xfId="34368" xr:uid="{00000000-0005-0000-0000-00004D860000}"/>
    <cellStyle name="Positive 3 7 2" xfId="34369" xr:uid="{00000000-0005-0000-0000-00004E860000}"/>
    <cellStyle name="Positive 3 7 2 10" xfId="34370" xr:uid="{00000000-0005-0000-0000-00004F860000}"/>
    <cellStyle name="Positive 3 7 2 10 2" xfId="34371" xr:uid="{00000000-0005-0000-0000-000050860000}"/>
    <cellStyle name="Positive 3 7 2 11" xfId="34372" xr:uid="{00000000-0005-0000-0000-000051860000}"/>
    <cellStyle name="Positive 3 7 2 11 2" xfId="34373" xr:uid="{00000000-0005-0000-0000-000052860000}"/>
    <cellStyle name="Positive 3 7 2 12" xfId="34374" xr:uid="{00000000-0005-0000-0000-000053860000}"/>
    <cellStyle name="Positive 3 7 2 12 2" xfId="34375" xr:uid="{00000000-0005-0000-0000-000054860000}"/>
    <cellStyle name="Positive 3 7 2 13" xfId="34376" xr:uid="{00000000-0005-0000-0000-000055860000}"/>
    <cellStyle name="Positive 3 7 2 13 2" xfId="34377" xr:uid="{00000000-0005-0000-0000-000056860000}"/>
    <cellStyle name="Positive 3 7 2 14" xfId="34378" xr:uid="{00000000-0005-0000-0000-000057860000}"/>
    <cellStyle name="Positive 3 7 2 14 2" xfId="34379" xr:uid="{00000000-0005-0000-0000-000058860000}"/>
    <cellStyle name="Positive 3 7 2 15" xfId="34380" xr:uid="{00000000-0005-0000-0000-000059860000}"/>
    <cellStyle name="Positive 3 7 2 15 2" xfId="34381" xr:uid="{00000000-0005-0000-0000-00005A860000}"/>
    <cellStyle name="Positive 3 7 2 16" xfId="34382" xr:uid="{00000000-0005-0000-0000-00005B860000}"/>
    <cellStyle name="Positive 3 7 2 16 2" xfId="34383" xr:uid="{00000000-0005-0000-0000-00005C860000}"/>
    <cellStyle name="Positive 3 7 2 17" xfId="34384" xr:uid="{00000000-0005-0000-0000-00005D860000}"/>
    <cellStyle name="Positive 3 7 2 17 2" xfId="34385" xr:uid="{00000000-0005-0000-0000-00005E860000}"/>
    <cellStyle name="Positive 3 7 2 18" xfId="34386" xr:uid="{00000000-0005-0000-0000-00005F860000}"/>
    <cellStyle name="Positive 3 7 2 18 2" xfId="34387" xr:uid="{00000000-0005-0000-0000-000060860000}"/>
    <cellStyle name="Positive 3 7 2 19" xfId="34388" xr:uid="{00000000-0005-0000-0000-000061860000}"/>
    <cellStyle name="Positive 3 7 2 19 2" xfId="34389" xr:uid="{00000000-0005-0000-0000-000062860000}"/>
    <cellStyle name="Positive 3 7 2 2" xfId="34390" xr:uid="{00000000-0005-0000-0000-000063860000}"/>
    <cellStyle name="Positive 3 7 2 2 10" xfId="34391" xr:uid="{00000000-0005-0000-0000-000064860000}"/>
    <cellStyle name="Positive 3 7 2 2 10 2" xfId="34392" xr:uid="{00000000-0005-0000-0000-000065860000}"/>
    <cellStyle name="Positive 3 7 2 2 11" xfId="34393" xr:uid="{00000000-0005-0000-0000-000066860000}"/>
    <cellStyle name="Positive 3 7 2 2 11 2" xfId="34394" xr:uid="{00000000-0005-0000-0000-000067860000}"/>
    <cellStyle name="Positive 3 7 2 2 12" xfId="34395" xr:uid="{00000000-0005-0000-0000-000068860000}"/>
    <cellStyle name="Positive 3 7 2 2 12 2" xfId="34396" xr:uid="{00000000-0005-0000-0000-000069860000}"/>
    <cellStyle name="Positive 3 7 2 2 13" xfId="34397" xr:uid="{00000000-0005-0000-0000-00006A860000}"/>
    <cellStyle name="Positive 3 7 2 2 13 2" xfId="34398" xr:uid="{00000000-0005-0000-0000-00006B860000}"/>
    <cellStyle name="Positive 3 7 2 2 14" xfId="34399" xr:uid="{00000000-0005-0000-0000-00006C860000}"/>
    <cellStyle name="Positive 3 7 2 2 14 2" xfId="34400" xr:uid="{00000000-0005-0000-0000-00006D860000}"/>
    <cellStyle name="Positive 3 7 2 2 15" xfId="34401" xr:uid="{00000000-0005-0000-0000-00006E860000}"/>
    <cellStyle name="Positive 3 7 2 2 15 2" xfId="34402" xr:uid="{00000000-0005-0000-0000-00006F860000}"/>
    <cellStyle name="Positive 3 7 2 2 16" xfId="34403" xr:uid="{00000000-0005-0000-0000-000070860000}"/>
    <cellStyle name="Positive 3 7 2 2 16 2" xfId="34404" xr:uid="{00000000-0005-0000-0000-000071860000}"/>
    <cellStyle name="Positive 3 7 2 2 17" xfId="34405" xr:uid="{00000000-0005-0000-0000-000072860000}"/>
    <cellStyle name="Positive 3 7 2 2 2" xfId="34406" xr:uid="{00000000-0005-0000-0000-000073860000}"/>
    <cellStyle name="Positive 3 7 2 2 2 2" xfId="34407" xr:uid="{00000000-0005-0000-0000-000074860000}"/>
    <cellStyle name="Positive 3 7 2 2 3" xfId="34408" xr:uid="{00000000-0005-0000-0000-000075860000}"/>
    <cellStyle name="Positive 3 7 2 2 3 2" xfId="34409" xr:uid="{00000000-0005-0000-0000-000076860000}"/>
    <cellStyle name="Positive 3 7 2 2 4" xfId="34410" xr:uid="{00000000-0005-0000-0000-000077860000}"/>
    <cellStyle name="Positive 3 7 2 2 4 2" xfId="34411" xr:uid="{00000000-0005-0000-0000-000078860000}"/>
    <cellStyle name="Positive 3 7 2 2 5" xfId="34412" xr:uid="{00000000-0005-0000-0000-000079860000}"/>
    <cellStyle name="Positive 3 7 2 2 5 2" xfId="34413" xr:uid="{00000000-0005-0000-0000-00007A860000}"/>
    <cellStyle name="Positive 3 7 2 2 6" xfId="34414" xr:uid="{00000000-0005-0000-0000-00007B860000}"/>
    <cellStyle name="Positive 3 7 2 2 6 2" xfId="34415" xr:uid="{00000000-0005-0000-0000-00007C860000}"/>
    <cellStyle name="Positive 3 7 2 2 7" xfId="34416" xr:uid="{00000000-0005-0000-0000-00007D860000}"/>
    <cellStyle name="Positive 3 7 2 2 7 2" xfId="34417" xr:uid="{00000000-0005-0000-0000-00007E860000}"/>
    <cellStyle name="Positive 3 7 2 2 8" xfId="34418" xr:uid="{00000000-0005-0000-0000-00007F860000}"/>
    <cellStyle name="Positive 3 7 2 2 8 2" xfId="34419" xr:uid="{00000000-0005-0000-0000-000080860000}"/>
    <cellStyle name="Positive 3 7 2 2 9" xfId="34420" xr:uid="{00000000-0005-0000-0000-000081860000}"/>
    <cellStyle name="Positive 3 7 2 2 9 2" xfId="34421" xr:uid="{00000000-0005-0000-0000-000082860000}"/>
    <cellStyle name="Positive 3 7 2 20" xfId="34422" xr:uid="{00000000-0005-0000-0000-000083860000}"/>
    <cellStyle name="Positive 3 7 2 3" xfId="34423" xr:uid="{00000000-0005-0000-0000-000084860000}"/>
    <cellStyle name="Positive 3 7 2 3 2" xfId="34424" xr:uid="{00000000-0005-0000-0000-000085860000}"/>
    <cellStyle name="Positive 3 7 2 3 2 2" xfId="34425" xr:uid="{00000000-0005-0000-0000-000086860000}"/>
    <cellStyle name="Positive 3 7 2 3 3" xfId="34426" xr:uid="{00000000-0005-0000-0000-000087860000}"/>
    <cellStyle name="Positive 3 7 2 4" xfId="34427" xr:uid="{00000000-0005-0000-0000-000088860000}"/>
    <cellStyle name="Positive 3 7 2 4 2" xfId="34428" xr:uid="{00000000-0005-0000-0000-000089860000}"/>
    <cellStyle name="Positive 3 7 2 4 2 2" xfId="34429" xr:uid="{00000000-0005-0000-0000-00008A860000}"/>
    <cellStyle name="Positive 3 7 2 4 3" xfId="34430" xr:uid="{00000000-0005-0000-0000-00008B860000}"/>
    <cellStyle name="Positive 3 7 2 5" xfId="34431" xr:uid="{00000000-0005-0000-0000-00008C860000}"/>
    <cellStyle name="Positive 3 7 2 5 2" xfId="34432" xr:uid="{00000000-0005-0000-0000-00008D860000}"/>
    <cellStyle name="Positive 3 7 2 6" xfId="34433" xr:uid="{00000000-0005-0000-0000-00008E860000}"/>
    <cellStyle name="Positive 3 7 2 6 2" xfId="34434" xr:uid="{00000000-0005-0000-0000-00008F860000}"/>
    <cellStyle name="Positive 3 7 2 7" xfId="34435" xr:uid="{00000000-0005-0000-0000-000090860000}"/>
    <cellStyle name="Positive 3 7 2 7 2" xfId="34436" xr:uid="{00000000-0005-0000-0000-000091860000}"/>
    <cellStyle name="Positive 3 7 2 8" xfId="34437" xr:uid="{00000000-0005-0000-0000-000092860000}"/>
    <cellStyle name="Positive 3 7 2 8 2" xfId="34438" xr:uid="{00000000-0005-0000-0000-000093860000}"/>
    <cellStyle name="Positive 3 7 2 9" xfId="34439" xr:uid="{00000000-0005-0000-0000-000094860000}"/>
    <cellStyle name="Positive 3 7 2 9 2" xfId="34440" xr:uid="{00000000-0005-0000-0000-000095860000}"/>
    <cellStyle name="Positive 3 7 20" xfId="34441" xr:uid="{00000000-0005-0000-0000-000096860000}"/>
    <cellStyle name="Positive 3 7 20 2" xfId="34442" xr:uid="{00000000-0005-0000-0000-000097860000}"/>
    <cellStyle name="Positive 3 7 21" xfId="34443" xr:uid="{00000000-0005-0000-0000-000098860000}"/>
    <cellStyle name="Positive 3 7 21 2" xfId="34444" xr:uid="{00000000-0005-0000-0000-000099860000}"/>
    <cellStyle name="Positive 3 7 22" xfId="34445" xr:uid="{00000000-0005-0000-0000-00009A860000}"/>
    <cellStyle name="Positive 3 7 22 2" xfId="34446" xr:uid="{00000000-0005-0000-0000-00009B860000}"/>
    <cellStyle name="Positive 3 7 23" xfId="34447" xr:uid="{00000000-0005-0000-0000-00009C860000}"/>
    <cellStyle name="Positive 3 7 3" xfId="34448" xr:uid="{00000000-0005-0000-0000-00009D860000}"/>
    <cellStyle name="Positive 3 7 3 10" xfId="34449" xr:uid="{00000000-0005-0000-0000-00009E860000}"/>
    <cellStyle name="Positive 3 7 3 10 2" xfId="34450" xr:uid="{00000000-0005-0000-0000-00009F860000}"/>
    <cellStyle name="Positive 3 7 3 11" xfId="34451" xr:uid="{00000000-0005-0000-0000-0000A0860000}"/>
    <cellStyle name="Positive 3 7 3 11 2" xfId="34452" xr:uid="{00000000-0005-0000-0000-0000A1860000}"/>
    <cellStyle name="Positive 3 7 3 12" xfId="34453" xr:uid="{00000000-0005-0000-0000-0000A2860000}"/>
    <cellStyle name="Positive 3 7 3 12 2" xfId="34454" xr:uid="{00000000-0005-0000-0000-0000A3860000}"/>
    <cellStyle name="Positive 3 7 3 13" xfId="34455" xr:uid="{00000000-0005-0000-0000-0000A4860000}"/>
    <cellStyle name="Positive 3 7 3 13 2" xfId="34456" xr:uid="{00000000-0005-0000-0000-0000A5860000}"/>
    <cellStyle name="Positive 3 7 3 14" xfId="34457" xr:uid="{00000000-0005-0000-0000-0000A6860000}"/>
    <cellStyle name="Positive 3 7 3 14 2" xfId="34458" xr:uid="{00000000-0005-0000-0000-0000A7860000}"/>
    <cellStyle name="Positive 3 7 3 15" xfId="34459" xr:uid="{00000000-0005-0000-0000-0000A8860000}"/>
    <cellStyle name="Positive 3 7 3 15 2" xfId="34460" xr:uid="{00000000-0005-0000-0000-0000A9860000}"/>
    <cellStyle name="Positive 3 7 3 16" xfId="34461" xr:uid="{00000000-0005-0000-0000-0000AA860000}"/>
    <cellStyle name="Positive 3 7 3 16 2" xfId="34462" xr:uid="{00000000-0005-0000-0000-0000AB860000}"/>
    <cellStyle name="Positive 3 7 3 17" xfId="34463" xr:uid="{00000000-0005-0000-0000-0000AC860000}"/>
    <cellStyle name="Positive 3 7 3 17 2" xfId="34464" xr:uid="{00000000-0005-0000-0000-0000AD860000}"/>
    <cellStyle name="Positive 3 7 3 18" xfId="34465" xr:uid="{00000000-0005-0000-0000-0000AE860000}"/>
    <cellStyle name="Positive 3 7 3 18 2" xfId="34466" xr:uid="{00000000-0005-0000-0000-0000AF860000}"/>
    <cellStyle name="Positive 3 7 3 19" xfId="34467" xr:uid="{00000000-0005-0000-0000-0000B0860000}"/>
    <cellStyle name="Positive 3 7 3 19 2" xfId="34468" xr:uid="{00000000-0005-0000-0000-0000B1860000}"/>
    <cellStyle name="Positive 3 7 3 2" xfId="34469" xr:uid="{00000000-0005-0000-0000-0000B2860000}"/>
    <cellStyle name="Positive 3 7 3 2 10" xfId="34470" xr:uid="{00000000-0005-0000-0000-0000B3860000}"/>
    <cellStyle name="Positive 3 7 3 2 10 2" xfId="34471" xr:uid="{00000000-0005-0000-0000-0000B4860000}"/>
    <cellStyle name="Positive 3 7 3 2 11" xfId="34472" xr:uid="{00000000-0005-0000-0000-0000B5860000}"/>
    <cellStyle name="Positive 3 7 3 2 11 2" xfId="34473" xr:uid="{00000000-0005-0000-0000-0000B6860000}"/>
    <cellStyle name="Positive 3 7 3 2 12" xfId="34474" xr:uid="{00000000-0005-0000-0000-0000B7860000}"/>
    <cellStyle name="Positive 3 7 3 2 12 2" xfId="34475" xr:uid="{00000000-0005-0000-0000-0000B8860000}"/>
    <cellStyle name="Positive 3 7 3 2 13" xfId="34476" xr:uid="{00000000-0005-0000-0000-0000B9860000}"/>
    <cellStyle name="Positive 3 7 3 2 13 2" xfId="34477" xr:uid="{00000000-0005-0000-0000-0000BA860000}"/>
    <cellStyle name="Positive 3 7 3 2 14" xfId="34478" xr:uid="{00000000-0005-0000-0000-0000BB860000}"/>
    <cellStyle name="Positive 3 7 3 2 14 2" xfId="34479" xr:uid="{00000000-0005-0000-0000-0000BC860000}"/>
    <cellStyle name="Positive 3 7 3 2 15" xfId="34480" xr:uid="{00000000-0005-0000-0000-0000BD860000}"/>
    <cellStyle name="Positive 3 7 3 2 15 2" xfId="34481" xr:uid="{00000000-0005-0000-0000-0000BE860000}"/>
    <cellStyle name="Positive 3 7 3 2 16" xfId="34482" xr:uid="{00000000-0005-0000-0000-0000BF860000}"/>
    <cellStyle name="Positive 3 7 3 2 16 2" xfId="34483" xr:uid="{00000000-0005-0000-0000-0000C0860000}"/>
    <cellStyle name="Positive 3 7 3 2 17" xfId="34484" xr:uid="{00000000-0005-0000-0000-0000C1860000}"/>
    <cellStyle name="Positive 3 7 3 2 2" xfId="34485" xr:uid="{00000000-0005-0000-0000-0000C2860000}"/>
    <cellStyle name="Positive 3 7 3 2 2 2" xfId="34486" xr:uid="{00000000-0005-0000-0000-0000C3860000}"/>
    <cellStyle name="Positive 3 7 3 2 3" xfId="34487" xr:uid="{00000000-0005-0000-0000-0000C4860000}"/>
    <cellStyle name="Positive 3 7 3 2 3 2" xfId="34488" xr:uid="{00000000-0005-0000-0000-0000C5860000}"/>
    <cellStyle name="Positive 3 7 3 2 4" xfId="34489" xr:uid="{00000000-0005-0000-0000-0000C6860000}"/>
    <cellStyle name="Positive 3 7 3 2 4 2" xfId="34490" xr:uid="{00000000-0005-0000-0000-0000C7860000}"/>
    <cellStyle name="Positive 3 7 3 2 5" xfId="34491" xr:uid="{00000000-0005-0000-0000-0000C8860000}"/>
    <cellStyle name="Positive 3 7 3 2 5 2" xfId="34492" xr:uid="{00000000-0005-0000-0000-0000C9860000}"/>
    <cellStyle name="Positive 3 7 3 2 6" xfId="34493" xr:uid="{00000000-0005-0000-0000-0000CA860000}"/>
    <cellStyle name="Positive 3 7 3 2 6 2" xfId="34494" xr:uid="{00000000-0005-0000-0000-0000CB860000}"/>
    <cellStyle name="Positive 3 7 3 2 7" xfId="34495" xr:uid="{00000000-0005-0000-0000-0000CC860000}"/>
    <cellStyle name="Positive 3 7 3 2 7 2" xfId="34496" xr:uid="{00000000-0005-0000-0000-0000CD860000}"/>
    <cellStyle name="Positive 3 7 3 2 8" xfId="34497" xr:uid="{00000000-0005-0000-0000-0000CE860000}"/>
    <cellStyle name="Positive 3 7 3 2 8 2" xfId="34498" xr:uid="{00000000-0005-0000-0000-0000CF860000}"/>
    <cellStyle name="Positive 3 7 3 2 9" xfId="34499" xr:uid="{00000000-0005-0000-0000-0000D0860000}"/>
    <cellStyle name="Positive 3 7 3 2 9 2" xfId="34500" xr:uid="{00000000-0005-0000-0000-0000D1860000}"/>
    <cellStyle name="Positive 3 7 3 20" xfId="34501" xr:uid="{00000000-0005-0000-0000-0000D2860000}"/>
    <cellStyle name="Positive 3 7 3 3" xfId="34502" xr:uid="{00000000-0005-0000-0000-0000D3860000}"/>
    <cellStyle name="Positive 3 7 3 3 2" xfId="34503" xr:uid="{00000000-0005-0000-0000-0000D4860000}"/>
    <cellStyle name="Positive 3 7 3 3 2 2" xfId="34504" xr:uid="{00000000-0005-0000-0000-0000D5860000}"/>
    <cellStyle name="Positive 3 7 3 3 3" xfId="34505" xr:uid="{00000000-0005-0000-0000-0000D6860000}"/>
    <cellStyle name="Positive 3 7 3 4" xfId="34506" xr:uid="{00000000-0005-0000-0000-0000D7860000}"/>
    <cellStyle name="Positive 3 7 3 4 2" xfId="34507" xr:uid="{00000000-0005-0000-0000-0000D8860000}"/>
    <cellStyle name="Positive 3 7 3 4 2 2" xfId="34508" xr:uid="{00000000-0005-0000-0000-0000D9860000}"/>
    <cellStyle name="Positive 3 7 3 4 3" xfId="34509" xr:uid="{00000000-0005-0000-0000-0000DA860000}"/>
    <cellStyle name="Positive 3 7 3 5" xfId="34510" xr:uid="{00000000-0005-0000-0000-0000DB860000}"/>
    <cellStyle name="Positive 3 7 3 5 2" xfId="34511" xr:uid="{00000000-0005-0000-0000-0000DC860000}"/>
    <cellStyle name="Positive 3 7 3 6" xfId="34512" xr:uid="{00000000-0005-0000-0000-0000DD860000}"/>
    <cellStyle name="Positive 3 7 3 6 2" xfId="34513" xr:uid="{00000000-0005-0000-0000-0000DE860000}"/>
    <cellStyle name="Positive 3 7 3 7" xfId="34514" xr:uid="{00000000-0005-0000-0000-0000DF860000}"/>
    <cellStyle name="Positive 3 7 3 7 2" xfId="34515" xr:uid="{00000000-0005-0000-0000-0000E0860000}"/>
    <cellStyle name="Positive 3 7 3 8" xfId="34516" xr:uid="{00000000-0005-0000-0000-0000E1860000}"/>
    <cellStyle name="Positive 3 7 3 8 2" xfId="34517" xr:uid="{00000000-0005-0000-0000-0000E2860000}"/>
    <cellStyle name="Positive 3 7 3 9" xfId="34518" xr:uid="{00000000-0005-0000-0000-0000E3860000}"/>
    <cellStyle name="Positive 3 7 3 9 2" xfId="34519" xr:uid="{00000000-0005-0000-0000-0000E4860000}"/>
    <cellStyle name="Positive 3 7 4" xfId="34520" xr:uid="{00000000-0005-0000-0000-0000E5860000}"/>
    <cellStyle name="Positive 3 7 4 10" xfId="34521" xr:uid="{00000000-0005-0000-0000-0000E6860000}"/>
    <cellStyle name="Positive 3 7 4 10 2" xfId="34522" xr:uid="{00000000-0005-0000-0000-0000E7860000}"/>
    <cellStyle name="Positive 3 7 4 11" xfId="34523" xr:uid="{00000000-0005-0000-0000-0000E8860000}"/>
    <cellStyle name="Positive 3 7 4 11 2" xfId="34524" xr:uid="{00000000-0005-0000-0000-0000E9860000}"/>
    <cellStyle name="Positive 3 7 4 12" xfId="34525" xr:uid="{00000000-0005-0000-0000-0000EA860000}"/>
    <cellStyle name="Positive 3 7 4 12 2" xfId="34526" xr:uid="{00000000-0005-0000-0000-0000EB860000}"/>
    <cellStyle name="Positive 3 7 4 13" xfId="34527" xr:uid="{00000000-0005-0000-0000-0000EC860000}"/>
    <cellStyle name="Positive 3 7 4 13 2" xfId="34528" xr:uid="{00000000-0005-0000-0000-0000ED860000}"/>
    <cellStyle name="Positive 3 7 4 14" xfId="34529" xr:uid="{00000000-0005-0000-0000-0000EE860000}"/>
    <cellStyle name="Positive 3 7 4 14 2" xfId="34530" xr:uid="{00000000-0005-0000-0000-0000EF860000}"/>
    <cellStyle name="Positive 3 7 4 15" xfId="34531" xr:uid="{00000000-0005-0000-0000-0000F0860000}"/>
    <cellStyle name="Positive 3 7 4 15 2" xfId="34532" xr:uid="{00000000-0005-0000-0000-0000F1860000}"/>
    <cellStyle name="Positive 3 7 4 16" xfId="34533" xr:uid="{00000000-0005-0000-0000-0000F2860000}"/>
    <cellStyle name="Positive 3 7 4 16 2" xfId="34534" xr:uid="{00000000-0005-0000-0000-0000F3860000}"/>
    <cellStyle name="Positive 3 7 4 17" xfId="34535" xr:uid="{00000000-0005-0000-0000-0000F4860000}"/>
    <cellStyle name="Positive 3 7 4 17 2" xfId="34536" xr:uid="{00000000-0005-0000-0000-0000F5860000}"/>
    <cellStyle name="Positive 3 7 4 18" xfId="34537" xr:uid="{00000000-0005-0000-0000-0000F6860000}"/>
    <cellStyle name="Positive 3 7 4 18 2" xfId="34538" xr:uid="{00000000-0005-0000-0000-0000F7860000}"/>
    <cellStyle name="Positive 3 7 4 19" xfId="34539" xr:uid="{00000000-0005-0000-0000-0000F8860000}"/>
    <cellStyle name="Positive 3 7 4 19 2" xfId="34540" xr:uid="{00000000-0005-0000-0000-0000F9860000}"/>
    <cellStyle name="Positive 3 7 4 2" xfId="34541" xr:uid="{00000000-0005-0000-0000-0000FA860000}"/>
    <cellStyle name="Positive 3 7 4 2 10" xfId="34542" xr:uid="{00000000-0005-0000-0000-0000FB860000}"/>
    <cellStyle name="Positive 3 7 4 2 10 2" xfId="34543" xr:uid="{00000000-0005-0000-0000-0000FC860000}"/>
    <cellStyle name="Positive 3 7 4 2 11" xfId="34544" xr:uid="{00000000-0005-0000-0000-0000FD860000}"/>
    <cellStyle name="Positive 3 7 4 2 11 2" xfId="34545" xr:uid="{00000000-0005-0000-0000-0000FE860000}"/>
    <cellStyle name="Positive 3 7 4 2 12" xfId="34546" xr:uid="{00000000-0005-0000-0000-0000FF860000}"/>
    <cellStyle name="Positive 3 7 4 2 12 2" xfId="34547" xr:uid="{00000000-0005-0000-0000-000000870000}"/>
    <cellStyle name="Positive 3 7 4 2 13" xfId="34548" xr:uid="{00000000-0005-0000-0000-000001870000}"/>
    <cellStyle name="Positive 3 7 4 2 13 2" xfId="34549" xr:uid="{00000000-0005-0000-0000-000002870000}"/>
    <cellStyle name="Positive 3 7 4 2 14" xfId="34550" xr:uid="{00000000-0005-0000-0000-000003870000}"/>
    <cellStyle name="Positive 3 7 4 2 14 2" xfId="34551" xr:uid="{00000000-0005-0000-0000-000004870000}"/>
    <cellStyle name="Positive 3 7 4 2 15" xfId="34552" xr:uid="{00000000-0005-0000-0000-000005870000}"/>
    <cellStyle name="Positive 3 7 4 2 15 2" xfId="34553" xr:uid="{00000000-0005-0000-0000-000006870000}"/>
    <cellStyle name="Positive 3 7 4 2 16" xfId="34554" xr:uid="{00000000-0005-0000-0000-000007870000}"/>
    <cellStyle name="Positive 3 7 4 2 16 2" xfId="34555" xr:uid="{00000000-0005-0000-0000-000008870000}"/>
    <cellStyle name="Positive 3 7 4 2 17" xfId="34556" xr:uid="{00000000-0005-0000-0000-000009870000}"/>
    <cellStyle name="Positive 3 7 4 2 2" xfId="34557" xr:uid="{00000000-0005-0000-0000-00000A870000}"/>
    <cellStyle name="Positive 3 7 4 2 2 2" xfId="34558" xr:uid="{00000000-0005-0000-0000-00000B870000}"/>
    <cellStyle name="Positive 3 7 4 2 3" xfId="34559" xr:uid="{00000000-0005-0000-0000-00000C870000}"/>
    <cellStyle name="Positive 3 7 4 2 3 2" xfId="34560" xr:uid="{00000000-0005-0000-0000-00000D870000}"/>
    <cellStyle name="Positive 3 7 4 2 4" xfId="34561" xr:uid="{00000000-0005-0000-0000-00000E870000}"/>
    <cellStyle name="Positive 3 7 4 2 4 2" xfId="34562" xr:uid="{00000000-0005-0000-0000-00000F870000}"/>
    <cellStyle name="Positive 3 7 4 2 5" xfId="34563" xr:uid="{00000000-0005-0000-0000-000010870000}"/>
    <cellStyle name="Positive 3 7 4 2 5 2" xfId="34564" xr:uid="{00000000-0005-0000-0000-000011870000}"/>
    <cellStyle name="Positive 3 7 4 2 6" xfId="34565" xr:uid="{00000000-0005-0000-0000-000012870000}"/>
    <cellStyle name="Positive 3 7 4 2 6 2" xfId="34566" xr:uid="{00000000-0005-0000-0000-000013870000}"/>
    <cellStyle name="Positive 3 7 4 2 7" xfId="34567" xr:uid="{00000000-0005-0000-0000-000014870000}"/>
    <cellStyle name="Positive 3 7 4 2 7 2" xfId="34568" xr:uid="{00000000-0005-0000-0000-000015870000}"/>
    <cellStyle name="Positive 3 7 4 2 8" xfId="34569" xr:uid="{00000000-0005-0000-0000-000016870000}"/>
    <cellStyle name="Positive 3 7 4 2 8 2" xfId="34570" xr:uid="{00000000-0005-0000-0000-000017870000}"/>
    <cellStyle name="Positive 3 7 4 2 9" xfId="34571" xr:uid="{00000000-0005-0000-0000-000018870000}"/>
    <cellStyle name="Positive 3 7 4 2 9 2" xfId="34572" xr:uid="{00000000-0005-0000-0000-000019870000}"/>
    <cellStyle name="Positive 3 7 4 20" xfId="34573" xr:uid="{00000000-0005-0000-0000-00001A870000}"/>
    <cellStyle name="Positive 3 7 4 3" xfId="34574" xr:uid="{00000000-0005-0000-0000-00001B870000}"/>
    <cellStyle name="Positive 3 7 4 3 2" xfId="34575" xr:uid="{00000000-0005-0000-0000-00001C870000}"/>
    <cellStyle name="Positive 3 7 4 3 2 2" xfId="34576" xr:uid="{00000000-0005-0000-0000-00001D870000}"/>
    <cellStyle name="Positive 3 7 4 3 3" xfId="34577" xr:uid="{00000000-0005-0000-0000-00001E870000}"/>
    <cellStyle name="Positive 3 7 4 4" xfId="34578" xr:uid="{00000000-0005-0000-0000-00001F870000}"/>
    <cellStyle name="Positive 3 7 4 4 2" xfId="34579" xr:uid="{00000000-0005-0000-0000-000020870000}"/>
    <cellStyle name="Positive 3 7 4 4 2 2" xfId="34580" xr:uid="{00000000-0005-0000-0000-000021870000}"/>
    <cellStyle name="Positive 3 7 4 4 3" xfId="34581" xr:uid="{00000000-0005-0000-0000-000022870000}"/>
    <cellStyle name="Positive 3 7 4 5" xfId="34582" xr:uid="{00000000-0005-0000-0000-000023870000}"/>
    <cellStyle name="Positive 3 7 4 5 2" xfId="34583" xr:uid="{00000000-0005-0000-0000-000024870000}"/>
    <cellStyle name="Positive 3 7 4 6" xfId="34584" xr:uid="{00000000-0005-0000-0000-000025870000}"/>
    <cellStyle name="Positive 3 7 4 6 2" xfId="34585" xr:uid="{00000000-0005-0000-0000-000026870000}"/>
    <cellStyle name="Positive 3 7 4 7" xfId="34586" xr:uid="{00000000-0005-0000-0000-000027870000}"/>
    <cellStyle name="Positive 3 7 4 7 2" xfId="34587" xr:uid="{00000000-0005-0000-0000-000028870000}"/>
    <cellStyle name="Positive 3 7 4 8" xfId="34588" xr:uid="{00000000-0005-0000-0000-000029870000}"/>
    <cellStyle name="Positive 3 7 4 8 2" xfId="34589" xr:uid="{00000000-0005-0000-0000-00002A870000}"/>
    <cellStyle name="Positive 3 7 4 9" xfId="34590" xr:uid="{00000000-0005-0000-0000-00002B870000}"/>
    <cellStyle name="Positive 3 7 4 9 2" xfId="34591" xr:uid="{00000000-0005-0000-0000-00002C870000}"/>
    <cellStyle name="Positive 3 7 5" xfId="34592" xr:uid="{00000000-0005-0000-0000-00002D870000}"/>
    <cellStyle name="Positive 3 7 5 10" xfId="34593" xr:uid="{00000000-0005-0000-0000-00002E870000}"/>
    <cellStyle name="Positive 3 7 5 10 2" xfId="34594" xr:uid="{00000000-0005-0000-0000-00002F870000}"/>
    <cellStyle name="Positive 3 7 5 11" xfId="34595" xr:uid="{00000000-0005-0000-0000-000030870000}"/>
    <cellStyle name="Positive 3 7 5 11 2" xfId="34596" xr:uid="{00000000-0005-0000-0000-000031870000}"/>
    <cellStyle name="Positive 3 7 5 12" xfId="34597" xr:uid="{00000000-0005-0000-0000-000032870000}"/>
    <cellStyle name="Positive 3 7 5 12 2" xfId="34598" xr:uid="{00000000-0005-0000-0000-000033870000}"/>
    <cellStyle name="Positive 3 7 5 13" xfId="34599" xr:uid="{00000000-0005-0000-0000-000034870000}"/>
    <cellStyle name="Positive 3 7 5 13 2" xfId="34600" xr:uid="{00000000-0005-0000-0000-000035870000}"/>
    <cellStyle name="Positive 3 7 5 14" xfId="34601" xr:uid="{00000000-0005-0000-0000-000036870000}"/>
    <cellStyle name="Positive 3 7 5 14 2" xfId="34602" xr:uid="{00000000-0005-0000-0000-000037870000}"/>
    <cellStyle name="Positive 3 7 5 15" xfId="34603" xr:uid="{00000000-0005-0000-0000-000038870000}"/>
    <cellStyle name="Positive 3 7 5 15 2" xfId="34604" xr:uid="{00000000-0005-0000-0000-000039870000}"/>
    <cellStyle name="Positive 3 7 5 16" xfId="34605" xr:uid="{00000000-0005-0000-0000-00003A870000}"/>
    <cellStyle name="Positive 3 7 5 16 2" xfId="34606" xr:uid="{00000000-0005-0000-0000-00003B870000}"/>
    <cellStyle name="Positive 3 7 5 17" xfId="34607" xr:uid="{00000000-0005-0000-0000-00003C870000}"/>
    <cellStyle name="Positive 3 7 5 2" xfId="34608" xr:uid="{00000000-0005-0000-0000-00003D870000}"/>
    <cellStyle name="Positive 3 7 5 2 2" xfId="34609" xr:uid="{00000000-0005-0000-0000-00003E870000}"/>
    <cellStyle name="Positive 3 7 5 3" xfId="34610" xr:uid="{00000000-0005-0000-0000-00003F870000}"/>
    <cellStyle name="Positive 3 7 5 3 2" xfId="34611" xr:uid="{00000000-0005-0000-0000-000040870000}"/>
    <cellStyle name="Positive 3 7 5 4" xfId="34612" xr:uid="{00000000-0005-0000-0000-000041870000}"/>
    <cellStyle name="Positive 3 7 5 4 2" xfId="34613" xr:uid="{00000000-0005-0000-0000-000042870000}"/>
    <cellStyle name="Positive 3 7 5 5" xfId="34614" xr:uid="{00000000-0005-0000-0000-000043870000}"/>
    <cellStyle name="Positive 3 7 5 5 2" xfId="34615" xr:uid="{00000000-0005-0000-0000-000044870000}"/>
    <cellStyle name="Positive 3 7 5 6" xfId="34616" xr:uid="{00000000-0005-0000-0000-000045870000}"/>
    <cellStyle name="Positive 3 7 5 6 2" xfId="34617" xr:uid="{00000000-0005-0000-0000-000046870000}"/>
    <cellStyle name="Positive 3 7 5 7" xfId="34618" xr:uid="{00000000-0005-0000-0000-000047870000}"/>
    <cellStyle name="Positive 3 7 5 7 2" xfId="34619" xr:uid="{00000000-0005-0000-0000-000048870000}"/>
    <cellStyle name="Positive 3 7 5 8" xfId="34620" xr:uid="{00000000-0005-0000-0000-000049870000}"/>
    <cellStyle name="Positive 3 7 5 8 2" xfId="34621" xr:uid="{00000000-0005-0000-0000-00004A870000}"/>
    <cellStyle name="Positive 3 7 5 9" xfId="34622" xr:uid="{00000000-0005-0000-0000-00004B870000}"/>
    <cellStyle name="Positive 3 7 5 9 2" xfId="34623" xr:uid="{00000000-0005-0000-0000-00004C870000}"/>
    <cellStyle name="Positive 3 7 6" xfId="34624" xr:uid="{00000000-0005-0000-0000-00004D870000}"/>
    <cellStyle name="Positive 3 7 6 2" xfId="34625" xr:uid="{00000000-0005-0000-0000-00004E870000}"/>
    <cellStyle name="Positive 3 7 6 2 2" xfId="34626" xr:uid="{00000000-0005-0000-0000-00004F870000}"/>
    <cellStyle name="Positive 3 7 6 3" xfId="34627" xr:uid="{00000000-0005-0000-0000-000050870000}"/>
    <cellStyle name="Positive 3 7 7" xfId="34628" xr:uid="{00000000-0005-0000-0000-000051870000}"/>
    <cellStyle name="Positive 3 7 7 2" xfId="34629" xr:uid="{00000000-0005-0000-0000-000052870000}"/>
    <cellStyle name="Positive 3 7 7 2 2" xfId="34630" xr:uid="{00000000-0005-0000-0000-000053870000}"/>
    <cellStyle name="Positive 3 7 7 3" xfId="34631" xr:uid="{00000000-0005-0000-0000-000054870000}"/>
    <cellStyle name="Positive 3 7 8" xfId="34632" xr:uid="{00000000-0005-0000-0000-000055870000}"/>
    <cellStyle name="Positive 3 7 8 2" xfId="34633" xr:uid="{00000000-0005-0000-0000-000056870000}"/>
    <cellStyle name="Positive 3 7 9" xfId="34634" xr:uid="{00000000-0005-0000-0000-000057870000}"/>
    <cellStyle name="Positive 3 7 9 2" xfId="34635" xr:uid="{00000000-0005-0000-0000-000058870000}"/>
    <cellStyle name="Positive 3 8" xfId="34636" xr:uid="{00000000-0005-0000-0000-000059870000}"/>
    <cellStyle name="Positive 3 8 10" xfId="34637" xr:uid="{00000000-0005-0000-0000-00005A870000}"/>
    <cellStyle name="Positive 3 8 10 2" xfId="34638" xr:uid="{00000000-0005-0000-0000-00005B870000}"/>
    <cellStyle name="Positive 3 8 11" xfId="34639" xr:uid="{00000000-0005-0000-0000-00005C870000}"/>
    <cellStyle name="Positive 3 8 11 2" xfId="34640" xr:uid="{00000000-0005-0000-0000-00005D870000}"/>
    <cellStyle name="Positive 3 8 12" xfId="34641" xr:uid="{00000000-0005-0000-0000-00005E870000}"/>
    <cellStyle name="Positive 3 8 12 2" xfId="34642" xr:uid="{00000000-0005-0000-0000-00005F870000}"/>
    <cellStyle name="Positive 3 8 13" xfId="34643" xr:uid="{00000000-0005-0000-0000-000060870000}"/>
    <cellStyle name="Positive 3 8 13 2" xfId="34644" xr:uid="{00000000-0005-0000-0000-000061870000}"/>
    <cellStyle name="Positive 3 8 14" xfId="34645" xr:uid="{00000000-0005-0000-0000-000062870000}"/>
    <cellStyle name="Positive 3 8 14 2" xfId="34646" xr:uid="{00000000-0005-0000-0000-000063870000}"/>
    <cellStyle name="Positive 3 8 15" xfId="34647" xr:uid="{00000000-0005-0000-0000-000064870000}"/>
    <cellStyle name="Positive 3 8 15 2" xfId="34648" xr:uid="{00000000-0005-0000-0000-000065870000}"/>
    <cellStyle name="Positive 3 8 16" xfId="34649" xr:uid="{00000000-0005-0000-0000-000066870000}"/>
    <cellStyle name="Positive 3 8 16 2" xfId="34650" xr:uid="{00000000-0005-0000-0000-000067870000}"/>
    <cellStyle name="Positive 3 8 17" xfId="34651" xr:uid="{00000000-0005-0000-0000-000068870000}"/>
    <cellStyle name="Positive 3 8 17 2" xfId="34652" xr:uid="{00000000-0005-0000-0000-000069870000}"/>
    <cellStyle name="Positive 3 8 18" xfId="34653" xr:uid="{00000000-0005-0000-0000-00006A870000}"/>
    <cellStyle name="Positive 3 8 18 2" xfId="34654" xr:uid="{00000000-0005-0000-0000-00006B870000}"/>
    <cellStyle name="Positive 3 8 19" xfId="34655" xr:uid="{00000000-0005-0000-0000-00006C870000}"/>
    <cellStyle name="Positive 3 8 19 2" xfId="34656" xr:uid="{00000000-0005-0000-0000-00006D870000}"/>
    <cellStyle name="Positive 3 8 2" xfId="34657" xr:uid="{00000000-0005-0000-0000-00006E870000}"/>
    <cellStyle name="Positive 3 8 2 10" xfId="34658" xr:uid="{00000000-0005-0000-0000-00006F870000}"/>
    <cellStyle name="Positive 3 8 2 10 2" xfId="34659" xr:uid="{00000000-0005-0000-0000-000070870000}"/>
    <cellStyle name="Positive 3 8 2 11" xfId="34660" xr:uid="{00000000-0005-0000-0000-000071870000}"/>
    <cellStyle name="Positive 3 8 2 11 2" xfId="34661" xr:uid="{00000000-0005-0000-0000-000072870000}"/>
    <cellStyle name="Positive 3 8 2 12" xfId="34662" xr:uid="{00000000-0005-0000-0000-000073870000}"/>
    <cellStyle name="Positive 3 8 2 12 2" xfId="34663" xr:uid="{00000000-0005-0000-0000-000074870000}"/>
    <cellStyle name="Positive 3 8 2 13" xfId="34664" xr:uid="{00000000-0005-0000-0000-000075870000}"/>
    <cellStyle name="Positive 3 8 2 13 2" xfId="34665" xr:uid="{00000000-0005-0000-0000-000076870000}"/>
    <cellStyle name="Positive 3 8 2 14" xfId="34666" xr:uid="{00000000-0005-0000-0000-000077870000}"/>
    <cellStyle name="Positive 3 8 2 14 2" xfId="34667" xr:uid="{00000000-0005-0000-0000-000078870000}"/>
    <cellStyle name="Positive 3 8 2 15" xfId="34668" xr:uid="{00000000-0005-0000-0000-000079870000}"/>
    <cellStyle name="Positive 3 8 2 15 2" xfId="34669" xr:uid="{00000000-0005-0000-0000-00007A870000}"/>
    <cellStyle name="Positive 3 8 2 16" xfId="34670" xr:uid="{00000000-0005-0000-0000-00007B870000}"/>
    <cellStyle name="Positive 3 8 2 16 2" xfId="34671" xr:uid="{00000000-0005-0000-0000-00007C870000}"/>
    <cellStyle name="Positive 3 8 2 17" xfId="34672" xr:uid="{00000000-0005-0000-0000-00007D870000}"/>
    <cellStyle name="Positive 3 8 2 17 2" xfId="34673" xr:uid="{00000000-0005-0000-0000-00007E870000}"/>
    <cellStyle name="Positive 3 8 2 18" xfId="34674" xr:uid="{00000000-0005-0000-0000-00007F870000}"/>
    <cellStyle name="Positive 3 8 2 18 2" xfId="34675" xr:uid="{00000000-0005-0000-0000-000080870000}"/>
    <cellStyle name="Positive 3 8 2 19" xfId="34676" xr:uid="{00000000-0005-0000-0000-000081870000}"/>
    <cellStyle name="Positive 3 8 2 19 2" xfId="34677" xr:uid="{00000000-0005-0000-0000-000082870000}"/>
    <cellStyle name="Positive 3 8 2 2" xfId="34678" xr:uid="{00000000-0005-0000-0000-000083870000}"/>
    <cellStyle name="Positive 3 8 2 2 10" xfId="34679" xr:uid="{00000000-0005-0000-0000-000084870000}"/>
    <cellStyle name="Positive 3 8 2 2 10 2" xfId="34680" xr:uid="{00000000-0005-0000-0000-000085870000}"/>
    <cellStyle name="Positive 3 8 2 2 11" xfId="34681" xr:uid="{00000000-0005-0000-0000-000086870000}"/>
    <cellStyle name="Positive 3 8 2 2 11 2" xfId="34682" xr:uid="{00000000-0005-0000-0000-000087870000}"/>
    <cellStyle name="Positive 3 8 2 2 12" xfId="34683" xr:uid="{00000000-0005-0000-0000-000088870000}"/>
    <cellStyle name="Positive 3 8 2 2 12 2" xfId="34684" xr:uid="{00000000-0005-0000-0000-000089870000}"/>
    <cellStyle name="Positive 3 8 2 2 13" xfId="34685" xr:uid="{00000000-0005-0000-0000-00008A870000}"/>
    <cellStyle name="Positive 3 8 2 2 13 2" xfId="34686" xr:uid="{00000000-0005-0000-0000-00008B870000}"/>
    <cellStyle name="Positive 3 8 2 2 14" xfId="34687" xr:uid="{00000000-0005-0000-0000-00008C870000}"/>
    <cellStyle name="Positive 3 8 2 2 14 2" xfId="34688" xr:uid="{00000000-0005-0000-0000-00008D870000}"/>
    <cellStyle name="Positive 3 8 2 2 15" xfId="34689" xr:uid="{00000000-0005-0000-0000-00008E870000}"/>
    <cellStyle name="Positive 3 8 2 2 15 2" xfId="34690" xr:uid="{00000000-0005-0000-0000-00008F870000}"/>
    <cellStyle name="Positive 3 8 2 2 16" xfId="34691" xr:uid="{00000000-0005-0000-0000-000090870000}"/>
    <cellStyle name="Positive 3 8 2 2 16 2" xfId="34692" xr:uid="{00000000-0005-0000-0000-000091870000}"/>
    <cellStyle name="Positive 3 8 2 2 17" xfId="34693" xr:uid="{00000000-0005-0000-0000-000092870000}"/>
    <cellStyle name="Positive 3 8 2 2 2" xfId="34694" xr:uid="{00000000-0005-0000-0000-000093870000}"/>
    <cellStyle name="Positive 3 8 2 2 2 2" xfId="34695" xr:uid="{00000000-0005-0000-0000-000094870000}"/>
    <cellStyle name="Positive 3 8 2 2 3" xfId="34696" xr:uid="{00000000-0005-0000-0000-000095870000}"/>
    <cellStyle name="Positive 3 8 2 2 3 2" xfId="34697" xr:uid="{00000000-0005-0000-0000-000096870000}"/>
    <cellStyle name="Positive 3 8 2 2 4" xfId="34698" xr:uid="{00000000-0005-0000-0000-000097870000}"/>
    <cellStyle name="Positive 3 8 2 2 4 2" xfId="34699" xr:uid="{00000000-0005-0000-0000-000098870000}"/>
    <cellStyle name="Positive 3 8 2 2 5" xfId="34700" xr:uid="{00000000-0005-0000-0000-000099870000}"/>
    <cellStyle name="Positive 3 8 2 2 5 2" xfId="34701" xr:uid="{00000000-0005-0000-0000-00009A870000}"/>
    <cellStyle name="Positive 3 8 2 2 6" xfId="34702" xr:uid="{00000000-0005-0000-0000-00009B870000}"/>
    <cellStyle name="Positive 3 8 2 2 6 2" xfId="34703" xr:uid="{00000000-0005-0000-0000-00009C870000}"/>
    <cellStyle name="Positive 3 8 2 2 7" xfId="34704" xr:uid="{00000000-0005-0000-0000-00009D870000}"/>
    <cellStyle name="Positive 3 8 2 2 7 2" xfId="34705" xr:uid="{00000000-0005-0000-0000-00009E870000}"/>
    <cellStyle name="Positive 3 8 2 2 8" xfId="34706" xr:uid="{00000000-0005-0000-0000-00009F870000}"/>
    <cellStyle name="Positive 3 8 2 2 8 2" xfId="34707" xr:uid="{00000000-0005-0000-0000-0000A0870000}"/>
    <cellStyle name="Positive 3 8 2 2 9" xfId="34708" xr:uid="{00000000-0005-0000-0000-0000A1870000}"/>
    <cellStyle name="Positive 3 8 2 2 9 2" xfId="34709" xr:uid="{00000000-0005-0000-0000-0000A2870000}"/>
    <cellStyle name="Positive 3 8 2 20" xfId="34710" xr:uid="{00000000-0005-0000-0000-0000A3870000}"/>
    <cellStyle name="Positive 3 8 2 3" xfId="34711" xr:uid="{00000000-0005-0000-0000-0000A4870000}"/>
    <cellStyle name="Positive 3 8 2 3 2" xfId="34712" xr:uid="{00000000-0005-0000-0000-0000A5870000}"/>
    <cellStyle name="Positive 3 8 2 3 2 2" xfId="34713" xr:uid="{00000000-0005-0000-0000-0000A6870000}"/>
    <cellStyle name="Positive 3 8 2 3 3" xfId="34714" xr:uid="{00000000-0005-0000-0000-0000A7870000}"/>
    <cellStyle name="Positive 3 8 2 4" xfId="34715" xr:uid="{00000000-0005-0000-0000-0000A8870000}"/>
    <cellStyle name="Positive 3 8 2 4 2" xfId="34716" xr:uid="{00000000-0005-0000-0000-0000A9870000}"/>
    <cellStyle name="Positive 3 8 2 4 2 2" xfId="34717" xr:uid="{00000000-0005-0000-0000-0000AA870000}"/>
    <cellStyle name="Positive 3 8 2 4 3" xfId="34718" xr:uid="{00000000-0005-0000-0000-0000AB870000}"/>
    <cellStyle name="Positive 3 8 2 5" xfId="34719" xr:uid="{00000000-0005-0000-0000-0000AC870000}"/>
    <cellStyle name="Positive 3 8 2 5 2" xfId="34720" xr:uid="{00000000-0005-0000-0000-0000AD870000}"/>
    <cellStyle name="Positive 3 8 2 6" xfId="34721" xr:uid="{00000000-0005-0000-0000-0000AE870000}"/>
    <cellStyle name="Positive 3 8 2 6 2" xfId="34722" xr:uid="{00000000-0005-0000-0000-0000AF870000}"/>
    <cellStyle name="Positive 3 8 2 7" xfId="34723" xr:uid="{00000000-0005-0000-0000-0000B0870000}"/>
    <cellStyle name="Positive 3 8 2 7 2" xfId="34724" xr:uid="{00000000-0005-0000-0000-0000B1870000}"/>
    <cellStyle name="Positive 3 8 2 8" xfId="34725" xr:uid="{00000000-0005-0000-0000-0000B2870000}"/>
    <cellStyle name="Positive 3 8 2 8 2" xfId="34726" xr:uid="{00000000-0005-0000-0000-0000B3870000}"/>
    <cellStyle name="Positive 3 8 2 9" xfId="34727" xr:uid="{00000000-0005-0000-0000-0000B4870000}"/>
    <cellStyle name="Positive 3 8 2 9 2" xfId="34728" xr:uid="{00000000-0005-0000-0000-0000B5870000}"/>
    <cellStyle name="Positive 3 8 20" xfId="34729" xr:uid="{00000000-0005-0000-0000-0000B6870000}"/>
    <cellStyle name="Positive 3 8 20 2" xfId="34730" xr:uid="{00000000-0005-0000-0000-0000B7870000}"/>
    <cellStyle name="Positive 3 8 21" xfId="34731" xr:uid="{00000000-0005-0000-0000-0000B8870000}"/>
    <cellStyle name="Positive 3 8 21 2" xfId="34732" xr:uid="{00000000-0005-0000-0000-0000B9870000}"/>
    <cellStyle name="Positive 3 8 22" xfId="34733" xr:uid="{00000000-0005-0000-0000-0000BA870000}"/>
    <cellStyle name="Positive 3 8 22 2" xfId="34734" xr:uid="{00000000-0005-0000-0000-0000BB870000}"/>
    <cellStyle name="Positive 3 8 23" xfId="34735" xr:uid="{00000000-0005-0000-0000-0000BC870000}"/>
    <cellStyle name="Positive 3 8 3" xfId="34736" xr:uid="{00000000-0005-0000-0000-0000BD870000}"/>
    <cellStyle name="Positive 3 8 3 10" xfId="34737" xr:uid="{00000000-0005-0000-0000-0000BE870000}"/>
    <cellStyle name="Positive 3 8 3 10 2" xfId="34738" xr:uid="{00000000-0005-0000-0000-0000BF870000}"/>
    <cellStyle name="Positive 3 8 3 11" xfId="34739" xr:uid="{00000000-0005-0000-0000-0000C0870000}"/>
    <cellStyle name="Positive 3 8 3 11 2" xfId="34740" xr:uid="{00000000-0005-0000-0000-0000C1870000}"/>
    <cellStyle name="Positive 3 8 3 12" xfId="34741" xr:uid="{00000000-0005-0000-0000-0000C2870000}"/>
    <cellStyle name="Positive 3 8 3 12 2" xfId="34742" xr:uid="{00000000-0005-0000-0000-0000C3870000}"/>
    <cellStyle name="Positive 3 8 3 13" xfId="34743" xr:uid="{00000000-0005-0000-0000-0000C4870000}"/>
    <cellStyle name="Positive 3 8 3 13 2" xfId="34744" xr:uid="{00000000-0005-0000-0000-0000C5870000}"/>
    <cellStyle name="Positive 3 8 3 14" xfId="34745" xr:uid="{00000000-0005-0000-0000-0000C6870000}"/>
    <cellStyle name="Positive 3 8 3 14 2" xfId="34746" xr:uid="{00000000-0005-0000-0000-0000C7870000}"/>
    <cellStyle name="Positive 3 8 3 15" xfId="34747" xr:uid="{00000000-0005-0000-0000-0000C8870000}"/>
    <cellStyle name="Positive 3 8 3 15 2" xfId="34748" xr:uid="{00000000-0005-0000-0000-0000C9870000}"/>
    <cellStyle name="Positive 3 8 3 16" xfId="34749" xr:uid="{00000000-0005-0000-0000-0000CA870000}"/>
    <cellStyle name="Positive 3 8 3 16 2" xfId="34750" xr:uid="{00000000-0005-0000-0000-0000CB870000}"/>
    <cellStyle name="Positive 3 8 3 17" xfId="34751" xr:uid="{00000000-0005-0000-0000-0000CC870000}"/>
    <cellStyle name="Positive 3 8 3 17 2" xfId="34752" xr:uid="{00000000-0005-0000-0000-0000CD870000}"/>
    <cellStyle name="Positive 3 8 3 18" xfId="34753" xr:uid="{00000000-0005-0000-0000-0000CE870000}"/>
    <cellStyle name="Positive 3 8 3 18 2" xfId="34754" xr:uid="{00000000-0005-0000-0000-0000CF870000}"/>
    <cellStyle name="Positive 3 8 3 19" xfId="34755" xr:uid="{00000000-0005-0000-0000-0000D0870000}"/>
    <cellStyle name="Positive 3 8 3 19 2" xfId="34756" xr:uid="{00000000-0005-0000-0000-0000D1870000}"/>
    <cellStyle name="Positive 3 8 3 2" xfId="34757" xr:uid="{00000000-0005-0000-0000-0000D2870000}"/>
    <cellStyle name="Positive 3 8 3 2 10" xfId="34758" xr:uid="{00000000-0005-0000-0000-0000D3870000}"/>
    <cellStyle name="Positive 3 8 3 2 10 2" xfId="34759" xr:uid="{00000000-0005-0000-0000-0000D4870000}"/>
    <cellStyle name="Positive 3 8 3 2 11" xfId="34760" xr:uid="{00000000-0005-0000-0000-0000D5870000}"/>
    <cellStyle name="Positive 3 8 3 2 11 2" xfId="34761" xr:uid="{00000000-0005-0000-0000-0000D6870000}"/>
    <cellStyle name="Positive 3 8 3 2 12" xfId="34762" xr:uid="{00000000-0005-0000-0000-0000D7870000}"/>
    <cellStyle name="Positive 3 8 3 2 12 2" xfId="34763" xr:uid="{00000000-0005-0000-0000-0000D8870000}"/>
    <cellStyle name="Positive 3 8 3 2 13" xfId="34764" xr:uid="{00000000-0005-0000-0000-0000D9870000}"/>
    <cellStyle name="Positive 3 8 3 2 13 2" xfId="34765" xr:uid="{00000000-0005-0000-0000-0000DA870000}"/>
    <cellStyle name="Positive 3 8 3 2 14" xfId="34766" xr:uid="{00000000-0005-0000-0000-0000DB870000}"/>
    <cellStyle name="Positive 3 8 3 2 14 2" xfId="34767" xr:uid="{00000000-0005-0000-0000-0000DC870000}"/>
    <cellStyle name="Positive 3 8 3 2 15" xfId="34768" xr:uid="{00000000-0005-0000-0000-0000DD870000}"/>
    <cellStyle name="Positive 3 8 3 2 15 2" xfId="34769" xr:uid="{00000000-0005-0000-0000-0000DE870000}"/>
    <cellStyle name="Positive 3 8 3 2 16" xfId="34770" xr:uid="{00000000-0005-0000-0000-0000DF870000}"/>
    <cellStyle name="Positive 3 8 3 2 16 2" xfId="34771" xr:uid="{00000000-0005-0000-0000-0000E0870000}"/>
    <cellStyle name="Positive 3 8 3 2 17" xfId="34772" xr:uid="{00000000-0005-0000-0000-0000E1870000}"/>
    <cellStyle name="Positive 3 8 3 2 2" xfId="34773" xr:uid="{00000000-0005-0000-0000-0000E2870000}"/>
    <cellStyle name="Positive 3 8 3 2 2 2" xfId="34774" xr:uid="{00000000-0005-0000-0000-0000E3870000}"/>
    <cellStyle name="Positive 3 8 3 2 3" xfId="34775" xr:uid="{00000000-0005-0000-0000-0000E4870000}"/>
    <cellStyle name="Positive 3 8 3 2 3 2" xfId="34776" xr:uid="{00000000-0005-0000-0000-0000E5870000}"/>
    <cellStyle name="Positive 3 8 3 2 4" xfId="34777" xr:uid="{00000000-0005-0000-0000-0000E6870000}"/>
    <cellStyle name="Positive 3 8 3 2 4 2" xfId="34778" xr:uid="{00000000-0005-0000-0000-0000E7870000}"/>
    <cellStyle name="Positive 3 8 3 2 5" xfId="34779" xr:uid="{00000000-0005-0000-0000-0000E8870000}"/>
    <cellStyle name="Positive 3 8 3 2 5 2" xfId="34780" xr:uid="{00000000-0005-0000-0000-0000E9870000}"/>
    <cellStyle name="Positive 3 8 3 2 6" xfId="34781" xr:uid="{00000000-0005-0000-0000-0000EA870000}"/>
    <cellStyle name="Positive 3 8 3 2 6 2" xfId="34782" xr:uid="{00000000-0005-0000-0000-0000EB870000}"/>
    <cellStyle name="Positive 3 8 3 2 7" xfId="34783" xr:uid="{00000000-0005-0000-0000-0000EC870000}"/>
    <cellStyle name="Positive 3 8 3 2 7 2" xfId="34784" xr:uid="{00000000-0005-0000-0000-0000ED870000}"/>
    <cellStyle name="Positive 3 8 3 2 8" xfId="34785" xr:uid="{00000000-0005-0000-0000-0000EE870000}"/>
    <cellStyle name="Positive 3 8 3 2 8 2" xfId="34786" xr:uid="{00000000-0005-0000-0000-0000EF870000}"/>
    <cellStyle name="Positive 3 8 3 2 9" xfId="34787" xr:uid="{00000000-0005-0000-0000-0000F0870000}"/>
    <cellStyle name="Positive 3 8 3 2 9 2" xfId="34788" xr:uid="{00000000-0005-0000-0000-0000F1870000}"/>
    <cellStyle name="Positive 3 8 3 20" xfId="34789" xr:uid="{00000000-0005-0000-0000-0000F2870000}"/>
    <cellStyle name="Positive 3 8 3 3" xfId="34790" xr:uid="{00000000-0005-0000-0000-0000F3870000}"/>
    <cellStyle name="Positive 3 8 3 3 2" xfId="34791" xr:uid="{00000000-0005-0000-0000-0000F4870000}"/>
    <cellStyle name="Positive 3 8 3 3 2 2" xfId="34792" xr:uid="{00000000-0005-0000-0000-0000F5870000}"/>
    <cellStyle name="Positive 3 8 3 3 3" xfId="34793" xr:uid="{00000000-0005-0000-0000-0000F6870000}"/>
    <cellStyle name="Positive 3 8 3 4" xfId="34794" xr:uid="{00000000-0005-0000-0000-0000F7870000}"/>
    <cellStyle name="Positive 3 8 3 4 2" xfId="34795" xr:uid="{00000000-0005-0000-0000-0000F8870000}"/>
    <cellStyle name="Positive 3 8 3 4 2 2" xfId="34796" xr:uid="{00000000-0005-0000-0000-0000F9870000}"/>
    <cellStyle name="Positive 3 8 3 4 3" xfId="34797" xr:uid="{00000000-0005-0000-0000-0000FA870000}"/>
    <cellStyle name="Positive 3 8 3 5" xfId="34798" xr:uid="{00000000-0005-0000-0000-0000FB870000}"/>
    <cellStyle name="Positive 3 8 3 5 2" xfId="34799" xr:uid="{00000000-0005-0000-0000-0000FC870000}"/>
    <cellStyle name="Positive 3 8 3 6" xfId="34800" xr:uid="{00000000-0005-0000-0000-0000FD870000}"/>
    <cellStyle name="Positive 3 8 3 6 2" xfId="34801" xr:uid="{00000000-0005-0000-0000-0000FE870000}"/>
    <cellStyle name="Positive 3 8 3 7" xfId="34802" xr:uid="{00000000-0005-0000-0000-0000FF870000}"/>
    <cellStyle name="Positive 3 8 3 7 2" xfId="34803" xr:uid="{00000000-0005-0000-0000-000000880000}"/>
    <cellStyle name="Positive 3 8 3 8" xfId="34804" xr:uid="{00000000-0005-0000-0000-000001880000}"/>
    <cellStyle name="Positive 3 8 3 8 2" xfId="34805" xr:uid="{00000000-0005-0000-0000-000002880000}"/>
    <cellStyle name="Positive 3 8 3 9" xfId="34806" xr:uid="{00000000-0005-0000-0000-000003880000}"/>
    <cellStyle name="Positive 3 8 3 9 2" xfId="34807" xr:uid="{00000000-0005-0000-0000-000004880000}"/>
    <cellStyle name="Positive 3 8 4" xfId="34808" xr:uid="{00000000-0005-0000-0000-000005880000}"/>
    <cellStyle name="Positive 3 8 4 10" xfId="34809" xr:uid="{00000000-0005-0000-0000-000006880000}"/>
    <cellStyle name="Positive 3 8 4 10 2" xfId="34810" xr:uid="{00000000-0005-0000-0000-000007880000}"/>
    <cellStyle name="Positive 3 8 4 11" xfId="34811" xr:uid="{00000000-0005-0000-0000-000008880000}"/>
    <cellStyle name="Positive 3 8 4 11 2" xfId="34812" xr:uid="{00000000-0005-0000-0000-000009880000}"/>
    <cellStyle name="Positive 3 8 4 12" xfId="34813" xr:uid="{00000000-0005-0000-0000-00000A880000}"/>
    <cellStyle name="Positive 3 8 4 12 2" xfId="34814" xr:uid="{00000000-0005-0000-0000-00000B880000}"/>
    <cellStyle name="Positive 3 8 4 13" xfId="34815" xr:uid="{00000000-0005-0000-0000-00000C880000}"/>
    <cellStyle name="Positive 3 8 4 13 2" xfId="34816" xr:uid="{00000000-0005-0000-0000-00000D880000}"/>
    <cellStyle name="Positive 3 8 4 14" xfId="34817" xr:uid="{00000000-0005-0000-0000-00000E880000}"/>
    <cellStyle name="Positive 3 8 4 14 2" xfId="34818" xr:uid="{00000000-0005-0000-0000-00000F880000}"/>
    <cellStyle name="Positive 3 8 4 15" xfId="34819" xr:uid="{00000000-0005-0000-0000-000010880000}"/>
    <cellStyle name="Positive 3 8 4 15 2" xfId="34820" xr:uid="{00000000-0005-0000-0000-000011880000}"/>
    <cellStyle name="Positive 3 8 4 16" xfId="34821" xr:uid="{00000000-0005-0000-0000-000012880000}"/>
    <cellStyle name="Positive 3 8 4 16 2" xfId="34822" xr:uid="{00000000-0005-0000-0000-000013880000}"/>
    <cellStyle name="Positive 3 8 4 17" xfId="34823" xr:uid="{00000000-0005-0000-0000-000014880000}"/>
    <cellStyle name="Positive 3 8 4 17 2" xfId="34824" xr:uid="{00000000-0005-0000-0000-000015880000}"/>
    <cellStyle name="Positive 3 8 4 18" xfId="34825" xr:uid="{00000000-0005-0000-0000-000016880000}"/>
    <cellStyle name="Positive 3 8 4 18 2" xfId="34826" xr:uid="{00000000-0005-0000-0000-000017880000}"/>
    <cellStyle name="Positive 3 8 4 19" xfId="34827" xr:uid="{00000000-0005-0000-0000-000018880000}"/>
    <cellStyle name="Positive 3 8 4 19 2" xfId="34828" xr:uid="{00000000-0005-0000-0000-000019880000}"/>
    <cellStyle name="Positive 3 8 4 2" xfId="34829" xr:uid="{00000000-0005-0000-0000-00001A880000}"/>
    <cellStyle name="Positive 3 8 4 2 10" xfId="34830" xr:uid="{00000000-0005-0000-0000-00001B880000}"/>
    <cellStyle name="Positive 3 8 4 2 10 2" xfId="34831" xr:uid="{00000000-0005-0000-0000-00001C880000}"/>
    <cellStyle name="Positive 3 8 4 2 11" xfId="34832" xr:uid="{00000000-0005-0000-0000-00001D880000}"/>
    <cellStyle name="Positive 3 8 4 2 11 2" xfId="34833" xr:uid="{00000000-0005-0000-0000-00001E880000}"/>
    <cellStyle name="Positive 3 8 4 2 12" xfId="34834" xr:uid="{00000000-0005-0000-0000-00001F880000}"/>
    <cellStyle name="Positive 3 8 4 2 12 2" xfId="34835" xr:uid="{00000000-0005-0000-0000-000020880000}"/>
    <cellStyle name="Positive 3 8 4 2 13" xfId="34836" xr:uid="{00000000-0005-0000-0000-000021880000}"/>
    <cellStyle name="Positive 3 8 4 2 13 2" xfId="34837" xr:uid="{00000000-0005-0000-0000-000022880000}"/>
    <cellStyle name="Positive 3 8 4 2 14" xfId="34838" xr:uid="{00000000-0005-0000-0000-000023880000}"/>
    <cellStyle name="Positive 3 8 4 2 14 2" xfId="34839" xr:uid="{00000000-0005-0000-0000-000024880000}"/>
    <cellStyle name="Positive 3 8 4 2 15" xfId="34840" xr:uid="{00000000-0005-0000-0000-000025880000}"/>
    <cellStyle name="Positive 3 8 4 2 15 2" xfId="34841" xr:uid="{00000000-0005-0000-0000-000026880000}"/>
    <cellStyle name="Positive 3 8 4 2 16" xfId="34842" xr:uid="{00000000-0005-0000-0000-000027880000}"/>
    <cellStyle name="Positive 3 8 4 2 16 2" xfId="34843" xr:uid="{00000000-0005-0000-0000-000028880000}"/>
    <cellStyle name="Positive 3 8 4 2 17" xfId="34844" xr:uid="{00000000-0005-0000-0000-000029880000}"/>
    <cellStyle name="Positive 3 8 4 2 2" xfId="34845" xr:uid="{00000000-0005-0000-0000-00002A880000}"/>
    <cellStyle name="Positive 3 8 4 2 2 2" xfId="34846" xr:uid="{00000000-0005-0000-0000-00002B880000}"/>
    <cellStyle name="Positive 3 8 4 2 3" xfId="34847" xr:uid="{00000000-0005-0000-0000-00002C880000}"/>
    <cellStyle name="Positive 3 8 4 2 3 2" xfId="34848" xr:uid="{00000000-0005-0000-0000-00002D880000}"/>
    <cellStyle name="Positive 3 8 4 2 4" xfId="34849" xr:uid="{00000000-0005-0000-0000-00002E880000}"/>
    <cellStyle name="Positive 3 8 4 2 4 2" xfId="34850" xr:uid="{00000000-0005-0000-0000-00002F880000}"/>
    <cellStyle name="Positive 3 8 4 2 5" xfId="34851" xr:uid="{00000000-0005-0000-0000-000030880000}"/>
    <cellStyle name="Positive 3 8 4 2 5 2" xfId="34852" xr:uid="{00000000-0005-0000-0000-000031880000}"/>
    <cellStyle name="Positive 3 8 4 2 6" xfId="34853" xr:uid="{00000000-0005-0000-0000-000032880000}"/>
    <cellStyle name="Positive 3 8 4 2 6 2" xfId="34854" xr:uid="{00000000-0005-0000-0000-000033880000}"/>
    <cellStyle name="Positive 3 8 4 2 7" xfId="34855" xr:uid="{00000000-0005-0000-0000-000034880000}"/>
    <cellStyle name="Positive 3 8 4 2 7 2" xfId="34856" xr:uid="{00000000-0005-0000-0000-000035880000}"/>
    <cellStyle name="Positive 3 8 4 2 8" xfId="34857" xr:uid="{00000000-0005-0000-0000-000036880000}"/>
    <cellStyle name="Positive 3 8 4 2 8 2" xfId="34858" xr:uid="{00000000-0005-0000-0000-000037880000}"/>
    <cellStyle name="Positive 3 8 4 2 9" xfId="34859" xr:uid="{00000000-0005-0000-0000-000038880000}"/>
    <cellStyle name="Positive 3 8 4 2 9 2" xfId="34860" xr:uid="{00000000-0005-0000-0000-000039880000}"/>
    <cellStyle name="Positive 3 8 4 20" xfId="34861" xr:uid="{00000000-0005-0000-0000-00003A880000}"/>
    <cellStyle name="Positive 3 8 4 3" xfId="34862" xr:uid="{00000000-0005-0000-0000-00003B880000}"/>
    <cellStyle name="Positive 3 8 4 3 2" xfId="34863" xr:uid="{00000000-0005-0000-0000-00003C880000}"/>
    <cellStyle name="Positive 3 8 4 3 2 2" xfId="34864" xr:uid="{00000000-0005-0000-0000-00003D880000}"/>
    <cellStyle name="Positive 3 8 4 3 3" xfId="34865" xr:uid="{00000000-0005-0000-0000-00003E880000}"/>
    <cellStyle name="Positive 3 8 4 4" xfId="34866" xr:uid="{00000000-0005-0000-0000-00003F880000}"/>
    <cellStyle name="Positive 3 8 4 4 2" xfId="34867" xr:uid="{00000000-0005-0000-0000-000040880000}"/>
    <cellStyle name="Positive 3 8 4 4 2 2" xfId="34868" xr:uid="{00000000-0005-0000-0000-000041880000}"/>
    <cellStyle name="Positive 3 8 4 4 3" xfId="34869" xr:uid="{00000000-0005-0000-0000-000042880000}"/>
    <cellStyle name="Positive 3 8 4 5" xfId="34870" xr:uid="{00000000-0005-0000-0000-000043880000}"/>
    <cellStyle name="Positive 3 8 4 5 2" xfId="34871" xr:uid="{00000000-0005-0000-0000-000044880000}"/>
    <cellStyle name="Positive 3 8 4 6" xfId="34872" xr:uid="{00000000-0005-0000-0000-000045880000}"/>
    <cellStyle name="Positive 3 8 4 6 2" xfId="34873" xr:uid="{00000000-0005-0000-0000-000046880000}"/>
    <cellStyle name="Positive 3 8 4 7" xfId="34874" xr:uid="{00000000-0005-0000-0000-000047880000}"/>
    <cellStyle name="Positive 3 8 4 7 2" xfId="34875" xr:uid="{00000000-0005-0000-0000-000048880000}"/>
    <cellStyle name="Positive 3 8 4 8" xfId="34876" xr:uid="{00000000-0005-0000-0000-000049880000}"/>
    <cellStyle name="Positive 3 8 4 8 2" xfId="34877" xr:uid="{00000000-0005-0000-0000-00004A880000}"/>
    <cellStyle name="Positive 3 8 4 9" xfId="34878" xr:uid="{00000000-0005-0000-0000-00004B880000}"/>
    <cellStyle name="Positive 3 8 4 9 2" xfId="34879" xr:uid="{00000000-0005-0000-0000-00004C880000}"/>
    <cellStyle name="Positive 3 8 5" xfId="34880" xr:uid="{00000000-0005-0000-0000-00004D880000}"/>
    <cellStyle name="Positive 3 8 5 10" xfId="34881" xr:uid="{00000000-0005-0000-0000-00004E880000}"/>
    <cellStyle name="Positive 3 8 5 10 2" xfId="34882" xr:uid="{00000000-0005-0000-0000-00004F880000}"/>
    <cellStyle name="Positive 3 8 5 11" xfId="34883" xr:uid="{00000000-0005-0000-0000-000050880000}"/>
    <cellStyle name="Positive 3 8 5 11 2" xfId="34884" xr:uid="{00000000-0005-0000-0000-000051880000}"/>
    <cellStyle name="Positive 3 8 5 12" xfId="34885" xr:uid="{00000000-0005-0000-0000-000052880000}"/>
    <cellStyle name="Positive 3 8 5 12 2" xfId="34886" xr:uid="{00000000-0005-0000-0000-000053880000}"/>
    <cellStyle name="Positive 3 8 5 13" xfId="34887" xr:uid="{00000000-0005-0000-0000-000054880000}"/>
    <cellStyle name="Positive 3 8 5 13 2" xfId="34888" xr:uid="{00000000-0005-0000-0000-000055880000}"/>
    <cellStyle name="Positive 3 8 5 14" xfId="34889" xr:uid="{00000000-0005-0000-0000-000056880000}"/>
    <cellStyle name="Positive 3 8 5 14 2" xfId="34890" xr:uid="{00000000-0005-0000-0000-000057880000}"/>
    <cellStyle name="Positive 3 8 5 15" xfId="34891" xr:uid="{00000000-0005-0000-0000-000058880000}"/>
    <cellStyle name="Positive 3 8 5 15 2" xfId="34892" xr:uid="{00000000-0005-0000-0000-000059880000}"/>
    <cellStyle name="Positive 3 8 5 16" xfId="34893" xr:uid="{00000000-0005-0000-0000-00005A880000}"/>
    <cellStyle name="Positive 3 8 5 16 2" xfId="34894" xr:uid="{00000000-0005-0000-0000-00005B880000}"/>
    <cellStyle name="Positive 3 8 5 17" xfId="34895" xr:uid="{00000000-0005-0000-0000-00005C880000}"/>
    <cellStyle name="Positive 3 8 5 2" xfId="34896" xr:uid="{00000000-0005-0000-0000-00005D880000}"/>
    <cellStyle name="Positive 3 8 5 2 2" xfId="34897" xr:uid="{00000000-0005-0000-0000-00005E880000}"/>
    <cellStyle name="Positive 3 8 5 3" xfId="34898" xr:uid="{00000000-0005-0000-0000-00005F880000}"/>
    <cellStyle name="Positive 3 8 5 3 2" xfId="34899" xr:uid="{00000000-0005-0000-0000-000060880000}"/>
    <cellStyle name="Positive 3 8 5 4" xfId="34900" xr:uid="{00000000-0005-0000-0000-000061880000}"/>
    <cellStyle name="Positive 3 8 5 4 2" xfId="34901" xr:uid="{00000000-0005-0000-0000-000062880000}"/>
    <cellStyle name="Positive 3 8 5 5" xfId="34902" xr:uid="{00000000-0005-0000-0000-000063880000}"/>
    <cellStyle name="Positive 3 8 5 5 2" xfId="34903" xr:uid="{00000000-0005-0000-0000-000064880000}"/>
    <cellStyle name="Positive 3 8 5 6" xfId="34904" xr:uid="{00000000-0005-0000-0000-000065880000}"/>
    <cellStyle name="Positive 3 8 5 6 2" xfId="34905" xr:uid="{00000000-0005-0000-0000-000066880000}"/>
    <cellStyle name="Positive 3 8 5 7" xfId="34906" xr:uid="{00000000-0005-0000-0000-000067880000}"/>
    <cellStyle name="Positive 3 8 5 7 2" xfId="34907" xr:uid="{00000000-0005-0000-0000-000068880000}"/>
    <cellStyle name="Positive 3 8 5 8" xfId="34908" xr:uid="{00000000-0005-0000-0000-000069880000}"/>
    <cellStyle name="Positive 3 8 5 8 2" xfId="34909" xr:uid="{00000000-0005-0000-0000-00006A880000}"/>
    <cellStyle name="Positive 3 8 5 9" xfId="34910" xr:uid="{00000000-0005-0000-0000-00006B880000}"/>
    <cellStyle name="Positive 3 8 5 9 2" xfId="34911" xr:uid="{00000000-0005-0000-0000-00006C880000}"/>
    <cellStyle name="Positive 3 8 6" xfId="34912" xr:uid="{00000000-0005-0000-0000-00006D880000}"/>
    <cellStyle name="Positive 3 8 6 2" xfId="34913" xr:uid="{00000000-0005-0000-0000-00006E880000}"/>
    <cellStyle name="Positive 3 8 6 2 2" xfId="34914" xr:uid="{00000000-0005-0000-0000-00006F880000}"/>
    <cellStyle name="Positive 3 8 6 3" xfId="34915" xr:uid="{00000000-0005-0000-0000-000070880000}"/>
    <cellStyle name="Positive 3 8 7" xfId="34916" xr:uid="{00000000-0005-0000-0000-000071880000}"/>
    <cellStyle name="Positive 3 8 7 2" xfId="34917" xr:uid="{00000000-0005-0000-0000-000072880000}"/>
    <cellStyle name="Positive 3 8 7 2 2" xfId="34918" xr:uid="{00000000-0005-0000-0000-000073880000}"/>
    <cellStyle name="Positive 3 8 7 3" xfId="34919" xr:uid="{00000000-0005-0000-0000-000074880000}"/>
    <cellStyle name="Positive 3 8 8" xfId="34920" xr:uid="{00000000-0005-0000-0000-000075880000}"/>
    <cellStyle name="Positive 3 8 8 2" xfId="34921" xr:uid="{00000000-0005-0000-0000-000076880000}"/>
    <cellStyle name="Positive 3 8 9" xfId="34922" xr:uid="{00000000-0005-0000-0000-000077880000}"/>
    <cellStyle name="Positive 3 8 9 2" xfId="34923" xr:uid="{00000000-0005-0000-0000-000078880000}"/>
    <cellStyle name="Positive 3 9" xfId="34924" xr:uid="{00000000-0005-0000-0000-000079880000}"/>
    <cellStyle name="Positive 3 9 10" xfId="34925" xr:uid="{00000000-0005-0000-0000-00007A880000}"/>
    <cellStyle name="Positive 3 9 10 2" xfId="34926" xr:uid="{00000000-0005-0000-0000-00007B880000}"/>
    <cellStyle name="Positive 3 9 11" xfId="34927" xr:uid="{00000000-0005-0000-0000-00007C880000}"/>
    <cellStyle name="Positive 3 9 11 2" xfId="34928" xr:uid="{00000000-0005-0000-0000-00007D880000}"/>
    <cellStyle name="Positive 3 9 12" xfId="34929" xr:uid="{00000000-0005-0000-0000-00007E880000}"/>
    <cellStyle name="Positive 3 9 12 2" xfId="34930" xr:uid="{00000000-0005-0000-0000-00007F880000}"/>
    <cellStyle name="Positive 3 9 13" xfId="34931" xr:uid="{00000000-0005-0000-0000-000080880000}"/>
    <cellStyle name="Positive 3 9 13 2" xfId="34932" xr:uid="{00000000-0005-0000-0000-000081880000}"/>
    <cellStyle name="Positive 3 9 14" xfId="34933" xr:uid="{00000000-0005-0000-0000-000082880000}"/>
    <cellStyle name="Positive 3 9 14 2" xfId="34934" xr:uid="{00000000-0005-0000-0000-000083880000}"/>
    <cellStyle name="Positive 3 9 15" xfId="34935" xr:uid="{00000000-0005-0000-0000-000084880000}"/>
    <cellStyle name="Positive 3 9 15 2" xfId="34936" xr:uid="{00000000-0005-0000-0000-000085880000}"/>
    <cellStyle name="Positive 3 9 16" xfId="34937" xr:uid="{00000000-0005-0000-0000-000086880000}"/>
    <cellStyle name="Positive 3 9 16 2" xfId="34938" xr:uid="{00000000-0005-0000-0000-000087880000}"/>
    <cellStyle name="Positive 3 9 17" xfId="34939" xr:uid="{00000000-0005-0000-0000-000088880000}"/>
    <cellStyle name="Positive 3 9 17 2" xfId="34940" xr:uid="{00000000-0005-0000-0000-000089880000}"/>
    <cellStyle name="Positive 3 9 18" xfId="34941" xr:uid="{00000000-0005-0000-0000-00008A880000}"/>
    <cellStyle name="Positive 3 9 18 2" xfId="34942" xr:uid="{00000000-0005-0000-0000-00008B880000}"/>
    <cellStyle name="Positive 3 9 19" xfId="34943" xr:uid="{00000000-0005-0000-0000-00008C880000}"/>
    <cellStyle name="Positive 3 9 19 2" xfId="34944" xr:uid="{00000000-0005-0000-0000-00008D880000}"/>
    <cellStyle name="Positive 3 9 2" xfId="34945" xr:uid="{00000000-0005-0000-0000-00008E880000}"/>
    <cellStyle name="Positive 3 9 2 10" xfId="34946" xr:uid="{00000000-0005-0000-0000-00008F880000}"/>
    <cellStyle name="Positive 3 9 2 10 2" xfId="34947" xr:uid="{00000000-0005-0000-0000-000090880000}"/>
    <cellStyle name="Positive 3 9 2 11" xfId="34948" xr:uid="{00000000-0005-0000-0000-000091880000}"/>
    <cellStyle name="Positive 3 9 2 11 2" xfId="34949" xr:uid="{00000000-0005-0000-0000-000092880000}"/>
    <cellStyle name="Positive 3 9 2 12" xfId="34950" xr:uid="{00000000-0005-0000-0000-000093880000}"/>
    <cellStyle name="Positive 3 9 2 12 2" xfId="34951" xr:uid="{00000000-0005-0000-0000-000094880000}"/>
    <cellStyle name="Positive 3 9 2 13" xfId="34952" xr:uid="{00000000-0005-0000-0000-000095880000}"/>
    <cellStyle name="Positive 3 9 2 13 2" xfId="34953" xr:uid="{00000000-0005-0000-0000-000096880000}"/>
    <cellStyle name="Positive 3 9 2 14" xfId="34954" xr:uid="{00000000-0005-0000-0000-000097880000}"/>
    <cellStyle name="Positive 3 9 2 14 2" xfId="34955" xr:uid="{00000000-0005-0000-0000-000098880000}"/>
    <cellStyle name="Positive 3 9 2 15" xfId="34956" xr:uid="{00000000-0005-0000-0000-000099880000}"/>
    <cellStyle name="Positive 3 9 2 15 2" xfId="34957" xr:uid="{00000000-0005-0000-0000-00009A880000}"/>
    <cellStyle name="Positive 3 9 2 16" xfId="34958" xr:uid="{00000000-0005-0000-0000-00009B880000}"/>
    <cellStyle name="Positive 3 9 2 16 2" xfId="34959" xr:uid="{00000000-0005-0000-0000-00009C880000}"/>
    <cellStyle name="Positive 3 9 2 17" xfId="34960" xr:uid="{00000000-0005-0000-0000-00009D880000}"/>
    <cellStyle name="Positive 3 9 2 17 2" xfId="34961" xr:uid="{00000000-0005-0000-0000-00009E880000}"/>
    <cellStyle name="Positive 3 9 2 18" xfId="34962" xr:uid="{00000000-0005-0000-0000-00009F880000}"/>
    <cellStyle name="Positive 3 9 2 18 2" xfId="34963" xr:uid="{00000000-0005-0000-0000-0000A0880000}"/>
    <cellStyle name="Positive 3 9 2 19" xfId="34964" xr:uid="{00000000-0005-0000-0000-0000A1880000}"/>
    <cellStyle name="Positive 3 9 2 19 2" xfId="34965" xr:uid="{00000000-0005-0000-0000-0000A2880000}"/>
    <cellStyle name="Positive 3 9 2 2" xfId="34966" xr:uid="{00000000-0005-0000-0000-0000A3880000}"/>
    <cellStyle name="Positive 3 9 2 2 10" xfId="34967" xr:uid="{00000000-0005-0000-0000-0000A4880000}"/>
    <cellStyle name="Positive 3 9 2 2 10 2" xfId="34968" xr:uid="{00000000-0005-0000-0000-0000A5880000}"/>
    <cellStyle name="Positive 3 9 2 2 11" xfId="34969" xr:uid="{00000000-0005-0000-0000-0000A6880000}"/>
    <cellStyle name="Positive 3 9 2 2 11 2" xfId="34970" xr:uid="{00000000-0005-0000-0000-0000A7880000}"/>
    <cellStyle name="Positive 3 9 2 2 12" xfId="34971" xr:uid="{00000000-0005-0000-0000-0000A8880000}"/>
    <cellStyle name="Positive 3 9 2 2 12 2" xfId="34972" xr:uid="{00000000-0005-0000-0000-0000A9880000}"/>
    <cellStyle name="Positive 3 9 2 2 13" xfId="34973" xr:uid="{00000000-0005-0000-0000-0000AA880000}"/>
    <cellStyle name="Positive 3 9 2 2 13 2" xfId="34974" xr:uid="{00000000-0005-0000-0000-0000AB880000}"/>
    <cellStyle name="Positive 3 9 2 2 14" xfId="34975" xr:uid="{00000000-0005-0000-0000-0000AC880000}"/>
    <cellStyle name="Positive 3 9 2 2 14 2" xfId="34976" xr:uid="{00000000-0005-0000-0000-0000AD880000}"/>
    <cellStyle name="Positive 3 9 2 2 15" xfId="34977" xr:uid="{00000000-0005-0000-0000-0000AE880000}"/>
    <cellStyle name="Positive 3 9 2 2 15 2" xfId="34978" xr:uid="{00000000-0005-0000-0000-0000AF880000}"/>
    <cellStyle name="Positive 3 9 2 2 16" xfId="34979" xr:uid="{00000000-0005-0000-0000-0000B0880000}"/>
    <cellStyle name="Positive 3 9 2 2 16 2" xfId="34980" xr:uid="{00000000-0005-0000-0000-0000B1880000}"/>
    <cellStyle name="Positive 3 9 2 2 17" xfId="34981" xr:uid="{00000000-0005-0000-0000-0000B2880000}"/>
    <cellStyle name="Positive 3 9 2 2 2" xfId="34982" xr:uid="{00000000-0005-0000-0000-0000B3880000}"/>
    <cellStyle name="Positive 3 9 2 2 2 2" xfId="34983" xr:uid="{00000000-0005-0000-0000-0000B4880000}"/>
    <cellStyle name="Positive 3 9 2 2 3" xfId="34984" xr:uid="{00000000-0005-0000-0000-0000B5880000}"/>
    <cellStyle name="Positive 3 9 2 2 3 2" xfId="34985" xr:uid="{00000000-0005-0000-0000-0000B6880000}"/>
    <cellStyle name="Positive 3 9 2 2 4" xfId="34986" xr:uid="{00000000-0005-0000-0000-0000B7880000}"/>
    <cellStyle name="Positive 3 9 2 2 4 2" xfId="34987" xr:uid="{00000000-0005-0000-0000-0000B8880000}"/>
    <cellStyle name="Positive 3 9 2 2 5" xfId="34988" xr:uid="{00000000-0005-0000-0000-0000B9880000}"/>
    <cellStyle name="Positive 3 9 2 2 5 2" xfId="34989" xr:uid="{00000000-0005-0000-0000-0000BA880000}"/>
    <cellStyle name="Positive 3 9 2 2 6" xfId="34990" xr:uid="{00000000-0005-0000-0000-0000BB880000}"/>
    <cellStyle name="Positive 3 9 2 2 6 2" xfId="34991" xr:uid="{00000000-0005-0000-0000-0000BC880000}"/>
    <cellStyle name="Positive 3 9 2 2 7" xfId="34992" xr:uid="{00000000-0005-0000-0000-0000BD880000}"/>
    <cellStyle name="Positive 3 9 2 2 7 2" xfId="34993" xr:uid="{00000000-0005-0000-0000-0000BE880000}"/>
    <cellStyle name="Positive 3 9 2 2 8" xfId="34994" xr:uid="{00000000-0005-0000-0000-0000BF880000}"/>
    <cellStyle name="Positive 3 9 2 2 8 2" xfId="34995" xr:uid="{00000000-0005-0000-0000-0000C0880000}"/>
    <cellStyle name="Positive 3 9 2 2 9" xfId="34996" xr:uid="{00000000-0005-0000-0000-0000C1880000}"/>
    <cellStyle name="Positive 3 9 2 2 9 2" xfId="34997" xr:uid="{00000000-0005-0000-0000-0000C2880000}"/>
    <cellStyle name="Positive 3 9 2 20" xfId="34998" xr:uid="{00000000-0005-0000-0000-0000C3880000}"/>
    <cellStyle name="Positive 3 9 2 3" xfId="34999" xr:uid="{00000000-0005-0000-0000-0000C4880000}"/>
    <cellStyle name="Positive 3 9 2 3 2" xfId="35000" xr:uid="{00000000-0005-0000-0000-0000C5880000}"/>
    <cellStyle name="Positive 3 9 2 3 2 2" xfId="35001" xr:uid="{00000000-0005-0000-0000-0000C6880000}"/>
    <cellStyle name="Positive 3 9 2 3 3" xfId="35002" xr:uid="{00000000-0005-0000-0000-0000C7880000}"/>
    <cellStyle name="Positive 3 9 2 4" xfId="35003" xr:uid="{00000000-0005-0000-0000-0000C8880000}"/>
    <cellStyle name="Positive 3 9 2 4 2" xfId="35004" xr:uid="{00000000-0005-0000-0000-0000C9880000}"/>
    <cellStyle name="Positive 3 9 2 4 2 2" xfId="35005" xr:uid="{00000000-0005-0000-0000-0000CA880000}"/>
    <cellStyle name="Positive 3 9 2 4 3" xfId="35006" xr:uid="{00000000-0005-0000-0000-0000CB880000}"/>
    <cellStyle name="Positive 3 9 2 5" xfId="35007" xr:uid="{00000000-0005-0000-0000-0000CC880000}"/>
    <cellStyle name="Positive 3 9 2 5 2" xfId="35008" xr:uid="{00000000-0005-0000-0000-0000CD880000}"/>
    <cellStyle name="Positive 3 9 2 6" xfId="35009" xr:uid="{00000000-0005-0000-0000-0000CE880000}"/>
    <cellStyle name="Positive 3 9 2 6 2" xfId="35010" xr:uid="{00000000-0005-0000-0000-0000CF880000}"/>
    <cellStyle name="Positive 3 9 2 7" xfId="35011" xr:uid="{00000000-0005-0000-0000-0000D0880000}"/>
    <cellStyle name="Positive 3 9 2 7 2" xfId="35012" xr:uid="{00000000-0005-0000-0000-0000D1880000}"/>
    <cellStyle name="Positive 3 9 2 8" xfId="35013" xr:uid="{00000000-0005-0000-0000-0000D2880000}"/>
    <cellStyle name="Positive 3 9 2 8 2" xfId="35014" xr:uid="{00000000-0005-0000-0000-0000D3880000}"/>
    <cellStyle name="Positive 3 9 2 9" xfId="35015" xr:uid="{00000000-0005-0000-0000-0000D4880000}"/>
    <cellStyle name="Positive 3 9 2 9 2" xfId="35016" xr:uid="{00000000-0005-0000-0000-0000D5880000}"/>
    <cellStyle name="Positive 3 9 20" xfId="35017" xr:uid="{00000000-0005-0000-0000-0000D6880000}"/>
    <cellStyle name="Positive 3 9 20 2" xfId="35018" xr:uid="{00000000-0005-0000-0000-0000D7880000}"/>
    <cellStyle name="Positive 3 9 21" xfId="35019" xr:uid="{00000000-0005-0000-0000-0000D8880000}"/>
    <cellStyle name="Positive 3 9 21 2" xfId="35020" xr:uid="{00000000-0005-0000-0000-0000D9880000}"/>
    <cellStyle name="Positive 3 9 22" xfId="35021" xr:uid="{00000000-0005-0000-0000-0000DA880000}"/>
    <cellStyle name="Positive 3 9 22 2" xfId="35022" xr:uid="{00000000-0005-0000-0000-0000DB880000}"/>
    <cellStyle name="Positive 3 9 23" xfId="35023" xr:uid="{00000000-0005-0000-0000-0000DC880000}"/>
    <cellStyle name="Positive 3 9 3" xfId="35024" xr:uid="{00000000-0005-0000-0000-0000DD880000}"/>
    <cellStyle name="Positive 3 9 3 10" xfId="35025" xr:uid="{00000000-0005-0000-0000-0000DE880000}"/>
    <cellStyle name="Positive 3 9 3 10 2" xfId="35026" xr:uid="{00000000-0005-0000-0000-0000DF880000}"/>
    <cellStyle name="Positive 3 9 3 11" xfId="35027" xr:uid="{00000000-0005-0000-0000-0000E0880000}"/>
    <cellStyle name="Positive 3 9 3 11 2" xfId="35028" xr:uid="{00000000-0005-0000-0000-0000E1880000}"/>
    <cellStyle name="Positive 3 9 3 12" xfId="35029" xr:uid="{00000000-0005-0000-0000-0000E2880000}"/>
    <cellStyle name="Positive 3 9 3 12 2" xfId="35030" xr:uid="{00000000-0005-0000-0000-0000E3880000}"/>
    <cellStyle name="Positive 3 9 3 13" xfId="35031" xr:uid="{00000000-0005-0000-0000-0000E4880000}"/>
    <cellStyle name="Positive 3 9 3 13 2" xfId="35032" xr:uid="{00000000-0005-0000-0000-0000E5880000}"/>
    <cellStyle name="Positive 3 9 3 14" xfId="35033" xr:uid="{00000000-0005-0000-0000-0000E6880000}"/>
    <cellStyle name="Positive 3 9 3 14 2" xfId="35034" xr:uid="{00000000-0005-0000-0000-0000E7880000}"/>
    <cellStyle name="Positive 3 9 3 15" xfId="35035" xr:uid="{00000000-0005-0000-0000-0000E8880000}"/>
    <cellStyle name="Positive 3 9 3 15 2" xfId="35036" xr:uid="{00000000-0005-0000-0000-0000E9880000}"/>
    <cellStyle name="Positive 3 9 3 16" xfId="35037" xr:uid="{00000000-0005-0000-0000-0000EA880000}"/>
    <cellStyle name="Positive 3 9 3 16 2" xfId="35038" xr:uid="{00000000-0005-0000-0000-0000EB880000}"/>
    <cellStyle name="Positive 3 9 3 17" xfId="35039" xr:uid="{00000000-0005-0000-0000-0000EC880000}"/>
    <cellStyle name="Positive 3 9 3 17 2" xfId="35040" xr:uid="{00000000-0005-0000-0000-0000ED880000}"/>
    <cellStyle name="Positive 3 9 3 18" xfId="35041" xr:uid="{00000000-0005-0000-0000-0000EE880000}"/>
    <cellStyle name="Positive 3 9 3 18 2" xfId="35042" xr:uid="{00000000-0005-0000-0000-0000EF880000}"/>
    <cellStyle name="Positive 3 9 3 19" xfId="35043" xr:uid="{00000000-0005-0000-0000-0000F0880000}"/>
    <cellStyle name="Positive 3 9 3 19 2" xfId="35044" xr:uid="{00000000-0005-0000-0000-0000F1880000}"/>
    <cellStyle name="Positive 3 9 3 2" xfId="35045" xr:uid="{00000000-0005-0000-0000-0000F2880000}"/>
    <cellStyle name="Positive 3 9 3 2 10" xfId="35046" xr:uid="{00000000-0005-0000-0000-0000F3880000}"/>
    <cellStyle name="Positive 3 9 3 2 10 2" xfId="35047" xr:uid="{00000000-0005-0000-0000-0000F4880000}"/>
    <cellStyle name="Positive 3 9 3 2 11" xfId="35048" xr:uid="{00000000-0005-0000-0000-0000F5880000}"/>
    <cellStyle name="Positive 3 9 3 2 11 2" xfId="35049" xr:uid="{00000000-0005-0000-0000-0000F6880000}"/>
    <cellStyle name="Positive 3 9 3 2 12" xfId="35050" xr:uid="{00000000-0005-0000-0000-0000F7880000}"/>
    <cellStyle name="Positive 3 9 3 2 12 2" xfId="35051" xr:uid="{00000000-0005-0000-0000-0000F8880000}"/>
    <cellStyle name="Positive 3 9 3 2 13" xfId="35052" xr:uid="{00000000-0005-0000-0000-0000F9880000}"/>
    <cellStyle name="Positive 3 9 3 2 13 2" xfId="35053" xr:uid="{00000000-0005-0000-0000-0000FA880000}"/>
    <cellStyle name="Positive 3 9 3 2 14" xfId="35054" xr:uid="{00000000-0005-0000-0000-0000FB880000}"/>
    <cellStyle name="Positive 3 9 3 2 14 2" xfId="35055" xr:uid="{00000000-0005-0000-0000-0000FC880000}"/>
    <cellStyle name="Positive 3 9 3 2 15" xfId="35056" xr:uid="{00000000-0005-0000-0000-0000FD880000}"/>
    <cellStyle name="Positive 3 9 3 2 15 2" xfId="35057" xr:uid="{00000000-0005-0000-0000-0000FE880000}"/>
    <cellStyle name="Positive 3 9 3 2 16" xfId="35058" xr:uid="{00000000-0005-0000-0000-0000FF880000}"/>
    <cellStyle name="Positive 3 9 3 2 16 2" xfId="35059" xr:uid="{00000000-0005-0000-0000-000000890000}"/>
    <cellStyle name="Positive 3 9 3 2 17" xfId="35060" xr:uid="{00000000-0005-0000-0000-000001890000}"/>
    <cellStyle name="Positive 3 9 3 2 2" xfId="35061" xr:uid="{00000000-0005-0000-0000-000002890000}"/>
    <cellStyle name="Positive 3 9 3 2 2 2" xfId="35062" xr:uid="{00000000-0005-0000-0000-000003890000}"/>
    <cellStyle name="Positive 3 9 3 2 3" xfId="35063" xr:uid="{00000000-0005-0000-0000-000004890000}"/>
    <cellStyle name="Positive 3 9 3 2 3 2" xfId="35064" xr:uid="{00000000-0005-0000-0000-000005890000}"/>
    <cellStyle name="Positive 3 9 3 2 4" xfId="35065" xr:uid="{00000000-0005-0000-0000-000006890000}"/>
    <cellStyle name="Positive 3 9 3 2 4 2" xfId="35066" xr:uid="{00000000-0005-0000-0000-000007890000}"/>
    <cellStyle name="Positive 3 9 3 2 5" xfId="35067" xr:uid="{00000000-0005-0000-0000-000008890000}"/>
    <cellStyle name="Positive 3 9 3 2 5 2" xfId="35068" xr:uid="{00000000-0005-0000-0000-000009890000}"/>
    <cellStyle name="Positive 3 9 3 2 6" xfId="35069" xr:uid="{00000000-0005-0000-0000-00000A890000}"/>
    <cellStyle name="Positive 3 9 3 2 6 2" xfId="35070" xr:uid="{00000000-0005-0000-0000-00000B890000}"/>
    <cellStyle name="Positive 3 9 3 2 7" xfId="35071" xr:uid="{00000000-0005-0000-0000-00000C890000}"/>
    <cellStyle name="Positive 3 9 3 2 7 2" xfId="35072" xr:uid="{00000000-0005-0000-0000-00000D890000}"/>
    <cellStyle name="Positive 3 9 3 2 8" xfId="35073" xr:uid="{00000000-0005-0000-0000-00000E890000}"/>
    <cellStyle name="Positive 3 9 3 2 8 2" xfId="35074" xr:uid="{00000000-0005-0000-0000-00000F890000}"/>
    <cellStyle name="Positive 3 9 3 2 9" xfId="35075" xr:uid="{00000000-0005-0000-0000-000010890000}"/>
    <cellStyle name="Positive 3 9 3 2 9 2" xfId="35076" xr:uid="{00000000-0005-0000-0000-000011890000}"/>
    <cellStyle name="Positive 3 9 3 20" xfId="35077" xr:uid="{00000000-0005-0000-0000-000012890000}"/>
    <cellStyle name="Positive 3 9 3 3" xfId="35078" xr:uid="{00000000-0005-0000-0000-000013890000}"/>
    <cellStyle name="Positive 3 9 3 3 2" xfId="35079" xr:uid="{00000000-0005-0000-0000-000014890000}"/>
    <cellStyle name="Positive 3 9 3 3 2 2" xfId="35080" xr:uid="{00000000-0005-0000-0000-000015890000}"/>
    <cellStyle name="Positive 3 9 3 3 3" xfId="35081" xr:uid="{00000000-0005-0000-0000-000016890000}"/>
    <cellStyle name="Positive 3 9 3 4" xfId="35082" xr:uid="{00000000-0005-0000-0000-000017890000}"/>
    <cellStyle name="Positive 3 9 3 4 2" xfId="35083" xr:uid="{00000000-0005-0000-0000-000018890000}"/>
    <cellStyle name="Positive 3 9 3 4 2 2" xfId="35084" xr:uid="{00000000-0005-0000-0000-000019890000}"/>
    <cellStyle name="Positive 3 9 3 4 3" xfId="35085" xr:uid="{00000000-0005-0000-0000-00001A890000}"/>
    <cellStyle name="Positive 3 9 3 5" xfId="35086" xr:uid="{00000000-0005-0000-0000-00001B890000}"/>
    <cellStyle name="Positive 3 9 3 5 2" xfId="35087" xr:uid="{00000000-0005-0000-0000-00001C890000}"/>
    <cellStyle name="Positive 3 9 3 6" xfId="35088" xr:uid="{00000000-0005-0000-0000-00001D890000}"/>
    <cellStyle name="Positive 3 9 3 6 2" xfId="35089" xr:uid="{00000000-0005-0000-0000-00001E890000}"/>
    <cellStyle name="Positive 3 9 3 7" xfId="35090" xr:uid="{00000000-0005-0000-0000-00001F890000}"/>
    <cellStyle name="Positive 3 9 3 7 2" xfId="35091" xr:uid="{00000000-0005-0000-0000-000020890000}"/>
    <cellStyle name="Positive 3 9 3 8" xfId="35092" xr:uid="{00000000-0005-0000-0000-000021890000}"/>
    <cellStyle name="Positive 3 9 3 8 2" xfId="35093" xr:uid="{00000000-0005-0000-0000-000022890000}"/>
    <cellStyle name="Positive 3 9 3 9" xfId="35094" xr:uid="{00000000-0005-0000-0000-000023890000}"/>
    <cellStyle name="Positive 3 9 3 9 2" xfId="35095" xr:uid="{00000000-0005-0000-0000-000024890000}"/>
    <cellStyle name="Positive 3 9 4" xfId="35096" xr:uid="{00000000-0005-0000-0000-000025890000}"/>
    <cellStyle name="Positive 3 9 4 10" xfId="35097" xr:uid="{00000000-0005-0000-0000-000026890000}"/>
    <cellStyle name="Positive 3 9 4 10 2" xfId="35098" xr:uid="{00000000-0005-0000-0000-000027890000}"/>
    <cellStyle name="Positive 3 9 4 11" xfId="35099" xr:uid="{00000000-0005-0000-0000-000028890000}"/>
    <cellStyle name="Positive 3 9 4 11 2" xfId="35100" xr:uid="{00000000-0005-0000-0000-000029890000}"/>
    <cellStyle name="Positive 3 9 4 12" xfId="35101" xr:uid="{00000000-0005-0000-0000-00002A890000}"/>
    <cellStyle name="Positive 3 9 4 12 2" xfId="35102" xr:uid="{00000000-0005-0000-0000-00002B890000}"/>
    <cellStyle name="Positive 3 9 4 13" xfId="35103" xr:uid="{00000000-0005-0000-0000-00002C890000}"/>
    <cellStyle name="Positive 3 9 4 13 2" xfId="35104" xr:uid="{00000000-0005-0000-0000-00002D890000}"/>
    <cellStyle name="Positive 3 9 4 14" xfId="35105" xr:uid="{00000000-0005-0000-0000-00002E890000}"/>
    <cellStyle name="Positive 3 9 4 14 2" xfId="35106" xr:uid="{00000000-0005-0000-0000-00002F890000}"/>
    <cellStyle name="Positive 3 9 4 15" xfId="35107" xr:uid="{00000000-0005-0000-0000-000030890000}"/>
    <cellStyle name="Positive 3 9 4 15 2" xfId="35108" xr:uid="{00000000-0005-0000-0000-000031890000}"/>
    <cellStyle name="Positive 3 9 4 16" xfId="35109" xr:uid="{00000000-0005-0000-0000-000032890000}"/>
    <cellStyle name="Positive 3 9 4 16 2" xfId="35110" xr:uid="{00000000-0005-0000-0000-000033890000}"/>
    <cellStyle name="Positive 3 9 4 17" xfId="35111" xr:uid="{00000000-0005-0000-0000-000034890000}"/>
    <cellStyle name="Positive 3 9 4 17 2" xfId="35112" xr:uid="{00000000-0005-0000-0000-000035890000}"/>
    <cellStyle name="Positive 3 9 4 18" xfId="35113" xr:uid="{00000000-0005-0000-0000-000036890000}"/>
    <cellStyle name="Positive 3 9 4 18 2" xfId="35114" xr:uid="{00000000-0005-0000-0000-000037890000}"/>
    <cellStyle name="Positive 3 9 4 19" xfId="35115" xr:uid="{00000000-0005-0000-0000-000038890000}"/>
    <cellStyle name="Positive 3 9 4 19 2" xfId="35116" xr:uid="{00000000-0005-0000-0000-000039890000}"/>
    <cellStyle name="Positive 3 9 4 2" xfId="35117" xr:uid="{00000000-0005-0000-0000-00003A890000}"/>
    <cellStyle name="Positive 3 9 4 2 10" xfId="35118" xr:uid="{00000000-0005-0000-0000-00003B890000}"/>
    <cellStyle name="Positive 3 9 4 2 10 2" xfId="35119" xr:uid="{00000000-0005-0000-0000-00003C890000}"/>
    <cellStyle name="Positive 3 9 4 2 11" xfId="35120" xr:uid="{00000000-0005-0000-0000-00003D890000}"/>
    <cellStyle name="Positive 3 9 4 2 11 2" xfId="35121" xr:uid="{00000000-0005-0000-0000-00003E890000}"/>
    <cellStyle name="Positive 3 9 4 2 12" xfId="35122" xr:uid="{00000000-0005-0000-0000-00003F890000}"/>
    <cellStyle name="Positive 3 9 4 2 12 2" xfId="35123" xr:uid="{00000000-0005-0000-0000-000040890000}"/>
    <cellStyle name="Positive 3 9 4 2 13" xfId="35124" xr:uid="{00000000-0005-0000-0000-000041890000}"/>
    <cellStyle name="Positive 3 9 4 2 13 2" xfId="35125" xr:uid="{00000000-0005-0000-0000-000042890000}"/>
    <cellStyle name="Positive 3 9 4 2 14" xfId="35126" xr:uid="{00000000-0005-0000-0000-000043890000}"/>
    <cellStyle name="Positive 3 9 4 2 14 2" xfId="35127" xr:uid="{00000000-0005-0000-0000-000044890000}"/>
    <cellStyle name="Positive 3 9 4 2 15" xfId="35128" xr:uid="{00000000-0005-0000-0000-000045890000}"/>
    <cellStyle name="Positive 3 9 4 2 15 2" xfId="35129" xr:uid="{00000000-0005-0000-0000-000046890000}"/>
    <cellStyle name="Positive 3 9 4 2 16" xfId="35130" xr:uid="{00000000-0005-0000-0000-000047890000}"/>
    <cellStyle name="Positive 3 9 4 2 16 2" xfId="35131" xr:uid="{00000000-0005-0000-0000-000048890000}"/>
    <cellStyle name="Positive 3 9 4 2 17" xfId="35132" xr:uid="{00000000-0005-0000-0000-000049890000}"/>
    <cellStyle name="Positive 3 9 4 2 2" xfId="35133" xr:uid="{00000000-0005-0000-0000-00004A890000}"/>
    <cellStyle name="Positive 3 9 4 2 2 2" xfId="35134" xr:uid="{00000000-0005-0000-0000-00004B890000}"/>
    <cellStyle name="Positive 3 9 4 2 3" xfId="35135" xr:uid="{00000000-0005-0000-0000-00004C890000}"/>
    <cellStyle name="Positive 3 9 4 2 3 2" xfId="35136" xr:uid="{00000000-0005-0000-0000-00004D890000}"/>
    <cellStyle name="Positive 3 9 4 2 4" xfId="35137" xr:uid="{00000000-0005-0000-0000-00004E890000}"/>
    <cellStyle name="Positive 3 9 4 2 4 2" xfId="35138" xr:uid="{00000000-0005-0000-0000-00004F890000}"/>
    <cellStyle name="Positive 3 9 4 2 5" xfId="35139" xr:uid="{00000000-0005-0000-0000-000050890000}"/>
    <cellStyle name="Positive 3 9 4 2 5 2" xfId="35140" xr:uid="{00000000-0005-0000-0000-000051890000}"/>
    <cellStyle name="Positive 3 9 4 2 6" xfId="35141" xr:uid="{00000000-0005-0000-0000-000052890000}"/>
    <cellStyle name="Positive 3 9 4 2 6 2" xfId="35142" xr:uid="{00000000-0005-0000-0000-000053890000}"/>
    <cellStyle name="Positive 3 9 4 2 7" xfId="35143" xr:uid="{00000000-0005-0000-0000-000054890000}"/>
    <cellStyle name="Positive 3 9 4 2 7 2" xfId="35144" xr:uid="{00000000-0005-0000-0000-000055890000}"/>
    <cellStyle name="Positive 3 9 4 2 8" xfId="35145" xr:uid="{00000000-0005-0000-0000-000056890000}"/>
    <cellStyle name="Positive 3 9 4 2 8 2" xfId="35146" xr:uid="{00000000-0005-0000-0000-000057890000}"/>
    <cellStyle name="Positive 3 9 4 2 9" xfId="35147" xr:uid="{00000000-0005-0000-0000-000058890000}"/>
    <cellStyle name="Positive 3 9 4 2 9 2" xfId="35148" xr:uid="{00000000-0005-0000-0000-000059890000}"/>
    <cellStyle name="Positive 3 9 4 20" xfId="35149" xr:uid="{00000000-0005-0000-0000-00005A890000}"/>
    <cellStyle name="Positive 3 9 4 3" xfId="35150" xr:uid="{00000000-0005-0000-0000-00005B890000}"/>
    <cellStyle name="Positive 3 9 4 3 2" xfId="35151" xr:uid="{00000000-0005-0000-0000-00005C890000}"/>
    <cellStyle name="Positive 3 9 4 3 2 2" xfId="35152" xr:uid="{00000000-0005-0000-0000-00005D890000}"/>
    <cellStyle name="Positive 3 9 4 3 3" xfId="35153" xr:uid="{00000000-0005-0000-0000-00005E890000}"/>
    <cellStyle name="Positive 3 9 4 4" xfId="35154" xr:uid="{00000000-0005-0000-0000-00005F890000}"/>
    <cellStyle name="Positive 3 9 4 4 2" xfId="35155" xr:uid="{00000000-0005-0000-0000-000060890000}"/>
    <cellStyle name="Positive 3 9 4 4 2 2" xfId="35156" xr:uid="{00000000-0005-0000-0000-000061890000}"/>
    <cellStyle name="Positive 3 9 4 4 3" xfId="35157" xr:uid="{00000000-0005-0000-0000-000062890000}"/>
    <cellStyle name="Positive 3 9 4 5" xfId="35158" xr:uid="{00000000-0005-0000-0000-000063890000}"/>
    <cellStyle name="Positive 3 9 4 5 2" xfId="35159" xr:uid="{00000000-0005-0000-0000-000064890000}"/>
    <cellStyle name="Positive 3 9 4 6" xfId="35160" xr:uid="{00000000-0005-0000-0000-000065890000}"/>
    <cellStyle name="Positive 3 9 4 6 2" xfId="35161" xr:uid="{00000000-0005-0000-0000-000066890000}"/>
    <cellStyle name="Positive 3 9 4 7" xfId="35162" xr:uid="{00000000-0005-0000-0000-000067890000}"/>
    <cellStyle name="Positive 3 9 4 7 2" xfId="35163" xr:uid="{00000000-0005-0000-0000-000068890000}"/>
    <cellStyle name="Positive 3 9 4 8" xfId="35164" xr:uid="{00000000-0005-0000-0000-000069890000}"/>
    <cellStyle name="Positive 3 9 4 8 2" xfId="35165" xr:uid="{00000000-0005-0000-0000-00006A890000}"/>
    <cellStyle name="Positive 3 9 4 9" xfId="35166" xr:uid="{00000000-0005-0000-0000-00006B890000}"/>
    <cellStyle name="Positive 3 9 4 9 2" xfId="35167" xr:uid="{00000000-0005-0000-0000-00006C890000}"/>
    <cellStyle name="Positive 3 9 5" xfId="35168" xr:uid="{00000000-0005-0000-0000-00006D890000}"/>
    <cellStyle name="Positive 3 9 5 10" xfId="35169" xr:uid="{00000000-0005-0000-0000-00006E890000}"/>
    <cellStyle name="Positive 3 9 5 10 2" xfId="35170" xr:uid="{00000000-0005-0000-0000-00006F890000}"/>
    <cellStyle name="Positive 3 9 5 11" xfId="35171" xr:uid="{00000000-0005-0000-0000-000070890000}"/>
    <cellStyle name="Positive 3 9 5 11 2" xfId="35172" xr:uid="{00000000-0005-0000-0000-000071890000}"/>
    <cellStyle name="Positive 3 9 5 12" xfId="35173" xr:uid="{00000000-0005-0000-0000-000072890000}"/>
    <cellStyle name="Positive 3 9 5 12 2" xfId="35174" xr:uid="{00000000-0005-0000-0000-000073890000}"/>
    <cellStyle name="Positive 3 9 5 13" xfId="35175" xr:uid="{00000000-0005-0000-0000-000074890000}"/>
    <cellStyle name="Positive 3 9 5 13 2" xfId="35176" xr:uid="{00000000-0005-0000-0000-000075890000}"/>
    <cellStyle name="Positive 3 9 5 14" xfId="35177" xr:uid="{00000000-0005-0000-0000-000076890000}"/>
    <cellStyle name="Positive 3 9 5 14 2" xfId="35178" xr:uid="{00000000-0005-0000-0000-000077890000}"/>
    <cellStyle name="Positive 3 9 5 15" xfId="35179" xr:uid="{00000000-0005-0000-0000-000078890000}"/>
    <cellStyle name="Positive 3 9 5 15 2" xfId="35180" xr:uid="{00000000-0005-0000-0000-000079890000}"/>
    <cellStyle name="Positive 3 9 5 16" xfId="35181" xr:uid="{00000000-0005-0000-0000-00007A890000}"/>
    <cellStyle name="Positive 3 9 5 16 2" xfId="35182" xr:uid="{00000000-0005-0000-0000-00007B890000}"/>
    <cellStyle name="Positive 3 9 5 17" xfId="35183" xr:uid="{00000000-0005-0000-0000-00007C890000}"/>
    <cellStyle name="Positive 3 9 5 2" xfId="35184" xr:uid="{00000000-0005-0000-0000-00007D890000}"/>
    <cellStyle name="Positive 3 9 5 2 2" xfId="35185" xr:uid="{00000000-0005-0000-0000-00007E890000}"/>
    <cellStyle name="Positive 3 9 5 3" xfId="35186" xr:uid="{00000000-0005-0000-0000-00007F890000}"/>
    <cellStyle name="Positive 3 9 5 3 2" xfId="35187" xr:uid="{00000000-0005-0000-0000-000080890000}"/>
    <cellStyle name="Positive 3 9 5 4" xfId="35188" xr:uid="{00000000-0005-0000-0000-000081890000}"/>
    <cellStyle name="Positive 3 9 5 4 2" xfId="35189" xr:uid="{00000000-0005-0000-0000-000082890000}"/>
    <cellStyle name="Positive 3 9 5 5" xfId="35190" xr:uid="{00000000-0005-0000-0000-000083890000}"/>
    <cellStyle name="Positive 3 9 5 5 2" xfId="35191" xr:uid="{00000000-0005-0000-0000-000084890000}"/>
    <cellStyle name="Positive 3 9 5 6" xfId="35192" xr:uid="{00000000-0005-0000-0000-000085890000}"/>
    <cellStyle name="Positive 3 9 5 6 2" xfId="35193" xr:uid="{00000000-0005-0000-0000-000086890000}"/>
    <cellStyle name="Positive 3 9 5 7" xfId="35194" xr:uid="{00000000-0005-0000-0000-000087890000}"/>
    <cellStyle name="Positive 3 9 5 7 2" xfId="35195" xr:uid="{00000000-0005-0000-0000-000088890000}"/>
    <cellStyle name="Positive 3 9 5 8" xfId="35196" xr:uid="{00000000-0005-0000-0000-000089890000}"/>
    <cellStyle name="Positive 3 9 5 8 2" xfId="35197" xr:uid="{00000000-0005-0000-0000-00008A890000}"/>
    <cellStyle name="Positive 3 9 5 9" xfId="35198" xr:uid="{00000000-0005-0000-0000-00008B890000}"/>
    <cellStyle name="Positive 3 9 5 9 2" xfId="35199" xr:uid="{00000000-0005-0000-0000-00008C890000}"/>
    <cellStyle name="Positive 3 9 6" xfId="35200" xr:uid="{00000000-0005-0000-0000-00008D890000}"/>
    <cellStyle name="Positive 3 9 6 2" xfId="35201" xr:uid="{00000000-0005-0000-0000-00008E890000}"/>
    <cellStyle name="Positive 3 9 6 2 2" xfId="35202" xr:uid="{00000000-0005-0000-0000-00008F890000}"/>
    <cellStyle name="Positive 3 9 6 3" xfId="35203" xr:uid="{00000000-0005-0000-0000-000090890000}"/>
    <cellStyle name="Positive 3 9 7" xfId="35204" xr:uid="{00000000-0005-0000-0000-000091890000}"/>
    <cellStyle name="Positive 3 9 7 2" xfId="35205" xr:uid="{00000000-0005-0000-0000-000092890000}"/>
    <cellStyle name="Positive 3 9 7 2 2" xfId="35206" xr:uid="{00000000-0005-0000-0000-000093890000}"/>
    <cellStyle name="Positive 3 9 7 3" xfId="35207" xr:uid="{00000000-0005-0000-0000-000094890000}"/>
    <cellStyle name="Positive 3 9 8" xfId="35208" xr:uid="{00000000-0005-0000-0000-000095890000}"/>
    <cellStyle name="Positive 3 9 8 2" xfId="35209" xr:uid="{00000000-0005-0000-0000-000096890000}"/>
    <cellStyle name="Positive 3 9 9" xfId="35210" xr:uid="{00000000-0005-0000-0000-000097890000}"/>
    <cellStyle name="Positive 3 9 9 2" xfId="35211" xr:uid="{00000000-0005-0000-0000-000098890000}"/>
    <cellStyle name="Positive 4" xfId="35212" xr:uid="{00000000-0005-0000-0000-000099890000}"/>
    <cellStyle name="Positive 4 10" xfId="35213" xr:uid="{00000000-0005-0000-0000-00009A890000}"/>
    <cellStyle name="Positive 4 10 10" xfId="35214" xr:uid="{00000000-0005-0000-0000-00009B890000}"/>
    <cellStyle name="Positive 4 10 10 2" xfId="35215" xr:uid="{00000000-0005-0000-0000-00009C890000}"/>
    <cellStyle name="Positive 4 10 11" xfId="35216" xr:uid="{00000000-0005-0000-0000-00009D890000}"/>
    <cellStyle name="Positive 4 10 11 2" xfId="35217" xr:uid="{00000000-0005-0000-0000-00009E890000}"/>
    <cellStyle name="Positive 4 10 12" xfId="35218" xr:uid="{00000000-0005-0000-0000-00009F890000}"/>
    <cellStyle name="Positive 4 10 12 2" xfId="35219" xr:uid="{00000000-0005-0000-0000-0000A0890000}"/>
    <cellStyle name="Positive 4 10 13" xfId="35220" xr:uid="{00000000-0005-0000-0000-0000A1890000}"/>
    <cellStyle name="Positive 4 10 13 2" xfId="35221" xr:uid="{00000000-0005-0000-0000-0000A2890000}"/>
    <cellStyle name="Positive 4 10 14" xfId="35222" xr:uid="{00000000-0005-0000-0000-0000A3890000}"/>
    <cellStyle name="Positive 4 10 14 2" xfId="35223" xr:uid="{00000000-0005-0000-0000-0000A4890000}"/>
    <cellStyle name="Positive 4 10 15" xfId="35224" xr:uid="{00000000-0005-0000-0000-0000A5890000}"/>
    <cellStyle name="Positive 4 10 15 2" xfId="35225" xr:uid="{00000000-0005-0000-0000-0000A6890000}"/>
    <cellStyle name="Positive 4 10 16" xfId="35226" xr:uid="{00000000-0005-0000-0000-0000A7890000}"/>
    <cellStyle name="Positive 4 10 16 2" xfId="35227" xr:uid="{00000000-0005-0000-0000-0000A8890000}"/>
    <cellStyle name="Positive 4 10 17" xfId="35228" xr:uid="{00000000-0005-0000-0000-0000A9890000}"/>
    <cellStyle name="Positive 4 10 17 2" xfId="35229" xr:uid="{00000000-0005-0000-0000-0000AA890000}"/>
    <cellStyle name="Positive 4 10 18" xfId="35230" xr:uid="{00000000-0005-0000-0000-0000AB890000}"/>
    <cellStyle name="Positive 4 10 18 2" xfId="35231" xr:uid="{00000000-0005-0000-0000-0000AC890000}"/>
    <cellStyle name="Positive 4 10 19" xfId="35232" xr:uid="{00000000-0005-0000-0000-0000AD890000}"/>
    <cellStyle name="Positive 4 10 19 2" xfId="35233" xr:uid="{00000000-0005-0000-0000-0000AE890000}"/>
    <cellStyle name="Positive 4 10 2" xfId="35234" xr:uid="{00000000-0005-0000-0000-0000AF890000}"/>
    <cellStyle name="Positive 4 10 2 10" xfId="35235" xr:uid="{00000000-0005-0000-0000-0000B0890000}"/>
    <cellStyle name="Positive 4 10 2 10 2" xfId="35236" xr:uid="{00000000-0005-0000-0000-0000B1890000}"/>
    <cellStyle name="Positive 4 10 2 11" xfId="35237" xr:uid="{00000000-0005-0000-0000-0000B2890000}"/>
    <cellStyle name="Positive 4 10 2 11 2" xfId="35238" xr:uid="{00000000-0005-0000-0000-0000B3890000}"/>
    <cellStyle name="Positive 4 10 2 12" xfId="35239" xr:uid="{00000000-0005-0000-0000-0000B4890000}"/>
    <cellStyle name="Positive 4 10 2 12 2" xfId="35240" xr:uid="{00000000-0005-0000-0000-0000B5890000}"/>
    <cellStyle name="Positive 4 10 2 13" xfId="35241" xr:uid="{00000000-0005-0000-0000-0000B6890000}"/>
    <cellStyle name="Positive 4 10 2 13 2" xfId="35242" xr:uid="{00000000-0005-0000-0000-0000B7890000}"/>
    <cellStyle name="Positive 4 10 2 14" xfId="35243" xr:uid="{00000000-0005-0000-0000-0000B8890000}"/>
    <cellStyle name="Positive 4 10 2 14 2" xfId="35244" xr:uid="{00000000-0005-0000-0000-0000B9890000}"/>
    <cellStyle name="Positive 4 10 2 15" xfId="35245" xr:uid="{00000000-0005-0000-0000-0000BA890000}"/>
    <cellStyle name="Positive 4 10 2 15 2" xfId="35246" xr:uid="{00000000-0005-0000-0000-0000BB890000}"/>
    <cellStyle name="Positive 4 10 2 16" xfId="35247" xr:uid="{00000000-0005-0000-0000-0000BC890000}"/>
    <cellStyle name="Positive 4 10 2 16 2" xfId="35248" xr:uid="{00000000-0005-0000-0000-0000BD890000}"/>
    <cellStyle name="Positive 4 10 2 17" xfId="35249" xr:uid="{00000000-0005-0000-0000-0000BE890000}"/>
    <cellStyle name="Positive 4 10 2 17 2" xfId="35250" xr:uid="{00000000-0005-0000-0000-0000BF890000}"/>
    <cellStyle name="Positive 4 10 2 18" xfId="35251" xr:uid="{00000000-0005-0000-0000-0000C0890000}"/>
    <cellStyle name="Positive 4 10 2 18 2" xfId="35252" xr:uid="{00000000-0005-0000-0000-0000C1890000}"/>
    <cellStyle name="Positive 4 10 2 19" xfId="35253" xr:uid="{00000000-0005-0000-0000-0000C2890000}"/>
    <cellStyle name="Positive 4 10 2 19 2" xfId="35254" xr:uid="{00000000-0005-0000-0000-0000C3890000}"/>
    <cellStyle name="Positive 4 10 2 2" xfId="35255" xr:uid="{00000000-0005-0000-0000-0000C4890000}"/>
    <cellStyle name="Positive 4 10 2 2 10" xfId="35256" xr:uid="{00000000-0005-0000-0000-0000C5890000}"/>
    <cellStyle name="Positive 4 10 2 2 10 2" xfId="35257" xr:uid="{00000000-0005-0000-0000-0000C6890000}"/>
    <cellStyle name="Positive 4 10 2 2 11" xfId="35258" xr:uid="{00000000-0005-0000-0000-0000C7890000}"/>
    <cellStyle name="Positive 4 10 2 2 11 2" xfId="35259" xr:uid="{00000000-0005-0000-0000-0000C8890000}"/>
    <cellStyle name="Positive 4 10 2 2 12" xfId="35260" xr:uid="{00000000-0005-0000-0000-0000C9890000}"/>
    <cellStyle name="Positive 4 10 2 2 12 2" xfId="35261" xr:uid="{00000000-0005-0000-0000-0000CA890000}"/>
    <cellStyle name="Positive 4 10 2 2 13" xfId="35262" xr:uid="{00000000-0005-0000-0000-0000CB890000}"/>
    <cellStyle name="Positive 4 10 2 2 13 2" xfId="35263" xr:uid="{00000000-0005-0000-0000-0000CC890000}"/>
    <cellStyle name="Positive 4 10 2 2 14" xfId="35264" xr:uid="{00000000-0005-0000-0000-0000CD890000}"/>
    <cellStyle name="Positive 4 10 2 2 14 2" xfId="35265" xr:uid="{00000000-0005-0000-0000-0000CE890000}"/>
    <cellStyle name="Positive 4 10 2 2 15" xfId="35266" xr:uid="{00000000-0005-0000-0000-0000CF890000}"/>
    <cellStyle name="Positive 4 10 2 2 15 2" xfId="35267" xr:uid="{00000000-0005-0000-0000-0000D0890000}"/>
    <cellStyle name="Positive 4 10 2 2 16" xfId="35268" xr:uid="{00000000-0005-0000-0000-0000D1890000}"/>
    <cellStyle name="Positive 4 10 2 2 16 2" xfId="35269" xr:uid="{00000000-0005-0000-0000-0000D2890000}"/>
    <cellStyle name="Positive 4 10 2 2 17" xfId="35270" xr:uid="{00000000-0005-0000-0000-0000D3890000}"/>
    <cellStyle name="Positive 4 10 2 2 2" xfId="35271" xr:uid="{00000000-0005-0000-0000-0000D4890000}"/>
    <cellStyle name="Positive 4 10 2 2 2 2" xfId="35272" xr:uid="{00000000-0005-0000-0000-0000D5890000}"/>
    <cellStyle name="Positive 4 10 2 2 3" xfId="35273" xr:uid="{00000000-0005-0000-0000-0000D6890000}"/>
    <cellStyle name="Positive 4 10 2 2 3 2" xfId="35274" xr:uid="{00000000-0005-0000-0000-0000D7890000}"/>
    <cellStyle name="Positive 4 10 2 2 4" xfId="35275" xr:uid="{00000000-0005-0000-0000-0000D8890000}"/>
    <cellStyle name="Positive 4 10 2 2 4 2" xfId="35276" xr:uid="{00000000-0005-0000-0000-0000D9890000}"/>
    <cellStyle name="Positive 4 10 2 2 5" xfId="35277" xr:uid="{00000000-0005-0000-0000-0000DA890000}"/>
    <cellStyle name="Positive 4 10 2 2 5 2" xfId="35278" xr:uid="{00000000-0005-0000-0000-0000DB890000}"/>
    <cellStyle name="Positive 4 10 2 2 6" xfId="35279" xr:uid="{00000000-0005-0000-0000-0000DC890000}"/>
    <cellStyle name="Positive 4 10 2 2 6 2" xfId="35280" xr:uid="{00000000-0005-0000-0000-0000DD890000}"/>
    <cellStyle name="Positive 4 10 2 2 7" xfId="35281" xr:uid="{00000000-0005-0000-0000-0000DE890000}"/>
    <cellStyle name="Positive 4 10 2 2 7 2" xfId="35282" xr:uid="{00000000-0005-0000-0000-0000DF890000}"/>
    <cellStyle name="Positive 4 10 2 2 8" xfId="35283" xr:uid="{00000000-0005-0000-0000-0000E0890000}"/>
    <cellStyle name="Positive 4 10 2 2 8 2" xfId="35284" xr:uid="{00000000-0005-0000-0000-0000E1890000}"/>
    <cellStyle name="Positive 4 10 2 2 9" xfId="35285" xr:uid="{00000000-0005-0000-0000-0000E2890000}"/>
    <cellStyle name="Positive 4 10 2 2 9 2" xfId="35286" xr:uid="{00000000-0005-0000-0000-0000E3890000}"/>
    <cellStyle name="Positive 4 10 2 20" xfId="35287" xr:uid="{00000000-0005-0000-0000-0000E4890000}"/>
    <cellStyle name="Positive 4 10 2 3" xfId="35288" xr:uid="{00000000-0005-0000-0000-0000E5890000}"/>
    <cellStyle name="Positive 4 10 2 3 2" xfId="35289" xr:uid="{00000000-0005-0000-0000-0000E6890000}"/>
    <cellStyle name="Positive 4 10 2 3 2 2" xfId="35290" xr:uid="{00000000-0005-0000-0000-0000E7890000}"/>
    <cellStyle name="Positive 4 10 2 3 3" xfId="35291" xr:uid="{00000000-0005-0000-0000-0000E8890000}"/>
    <cellStyle name="Positive 4 10 2 4" xfId="35292" xr:uid="{00000000-0005-0000-0000-0000E9890000}"/>
    <cellStyle name="Positive 4 10 2 4 2" xfId="35293" xr:uid="{00000000-0005-0000-0000-0000EA890000}"/>
    <cellStyle name="Positive 4 10 2 4 2 2" xfId="35294" xr:uid="{00000000-0005-0000-0000-0000EB890000}"/>
    <cellStyle name="Positive 4 10 2 4 3" xfId="35295" xr:uid="{00000000-0005-0000-0000-0000EC890000}"/>
    <cellStyle name="Positive 4 10 2 5" xfId="35296" xr:uid="{00000000-0005-0000-0000-0000ED890000}"/>
    <cellStyle name="Positive 4 10 2 5 2" xfId="35297" xr:uid="{00000000-0005-0000-0000-0000EE890000}"/>
    <cellStyle name="Positive 4 10 2 6" xfId="35298" xr:uid="{00000000-0005-0000-0000-0000EF890000}"/>
    <cellStyle name="Positive 4 10 2 6 2" xfId="35299" xr:uid="{00000000-0005-0000-0000-0000F0890000}"/>
    <cellStyle name="Positive 4 10 2 7" xfId="35300" xr:uid="{00000000-0005-0000-0000-0000F1890000}"/>
    <cellStyle name="Positive 4 10 2 7 2" xfId="35301" xr:uid="{00000000-0005-0000-0000-0000F2890000}"/>
    <cellStyle name="Positive 4 10 2 8" xfId="35302" xr:uid="{00000000-0005-0000-0000-0000F3890000}"/>
    <cellStyle name="Positive 4 10 2 8 2" xfId="35303" xr:uid="{00000000-0005-0000-0000-0000F4890000}"/>
    <cellStyle name="Positive 4 10 2 9" xfId="35304" xr:uid="{00000000-0005-0000-0000-0000F5890000}"/>
    <cellStyle name="Positive 4 10 2 9 2" xfId="35305" xr:uid="{00000000-0005-0000-0000-0000F6890000}"/>
    <cellStyle name="Positive 4 10 20" xfId="35306" xr:uid="{00000000-0005-0000-0000-0000F7890000}"/>
    <cellStyle name="Positive 4 10 20 2" xfId="35307" xr:uid="{00000000-0005-0000-0000-0000F8890000}"/>
    <cellStyle name="Positive 4 10 21" xfId="35308" xr:uid="{00000000-0005-0000-0000-0000F9890000}"/>
    <cellStyle name="Positive 4 10 21 2" xfId="35309" xr:uid="{00000000-0005-0000-0000-0000FA890000}"/>
    <cellStyle name="Positive 4 10 22" xfId="35310" xr:uid="{00000000-0005-0000-0000-0000FB890000}"/>
    <cellStyle name="Positive 4 10 22 2" xfId="35311" xr:uid="{00000000-0005-0000-0000-0000FC890000}"/>
    <cellStyle name="Positive 4 10 23" xfId="35312" xr:uid="{00000000-0005-0000-0000-0000FD890000}"/>
    <cellStyle name="Positive 4 10 3" xfId="35313" xr:uid="{00000000-0005-0000-0000-0000FE890000}"/>
    <cellStyle name="Positive 4 10 3 10" xfId="35314" xr:uid="{00000000-0005-0000-0000-0000FF890000}"/>
    <cellStyle name="Positive 4 10 3 10 2" xfId="35315" xr:uid="{00000000-0005-0000-0000-0000008A0000}"/>
    <cellStyle name="Positive 4 10 3 11" xfId="35316" xr:uid="{00000000-0005-0000-0000-0000018A0000}"/>
    <cellStyle name="Positive 4 10 3 11 2" xfId="35317" xr:uid="{00000000-0005-0000-0000-0000028A0000}"/>
    <cellStyle name="Positive 4 10 3 12" xfId="35318" xr:uid="{00000000-0005-0000-0000-0000038A0000}"/>
    <cellStyle name="Positive 4 10 3 12 2" xfId="35319" xr:uid="{00000000-0005-0000-0000-0000048A0000}"/>
    <cellStyle name="Positive 4 10 3 13" xfId="35320" xr:uid="{00000000-0005-0000-0000-0000058A0000}"/>
    <cellStyle name="Positive 4 10 3 13 2" xfId="35321" xr:uid="{00000000-0005-0000-0000-0000068A0000}"/>
    <cellStyle name="Positive 4 10 3 14" xfId="35322" xr:uid="{00000000-0005-0000-0000-0000078A0000}"/>
    <cellStyle name="Positive 4 10 3 14 2" xfId="35323" xr:uid="{00000000-0005-0000-0000-0000088A0000}"/>
    <cellStyle name="Positive 4 10 3 15" xfId="35324" xr:uid="{00000000-0005-0000-0000-0000098A0000}"/>
    <cellStyle name="Positive 4 10 3 15 2" xfId="35325" xr:uid="{00000000-0005-0000-0000-00000A8A0000}"/>
    <cellStyle name="Positive 4 10 3 16" xfId="35326" xr:uid="{00000000-0005-0000-0000-00000B8A0000}"/>
    <cellStyle name="Positive 4 10 3 16 2" xfId="35327" xr:uid="{00000000-0005-0000-0000-00000C8A0000}"/>
    <cellStyle name="Positive 4 10 3 17" xfId="35328" xr:uid="{00000000-0005-0000-0000-00000D8A0000}"/>
    <cellStyle name="Positive 4 10 3 17 2" xfId="35329" xr:uid="{00000000-0005-0000-0000-00000E8A0000}"/>
    <cellStyle name="Positive 4 10 3 18" xfId="35330" xr:uid="{00000000-0005-0000-0000-00000F8A0000}"/>
    <cellStyle name="Positive 4 10 3 18 2" xfId="35331" xr:uid="{00000000-0005-0000-0000-0000108A0000}"/>
    <cellStyle name="Positive 4 10 3 19" xfId="35332" xr:uid="{00000000-0005-0000-0000-0000118A0000}"/>
    <cellStyle name="Positive 4 10 3 19 2" xfId="35333" xr:uid="{00000000-0005-0000-0000-0000128A0000}"/>
    <cellStyle name="Positive 4 10 3 2" xfId="35334" xr:uid="{00000000-0005-0000-0000-0000138A0000}"/>
    <cellStyle name="Positive 4 10 3 2 10" xfId="35335" xr:uid="{00000000-0005-0000-0000-0000148A0000}"/>
    <cellStyle name="Positive 4 10 3 2 10 2" xfId="35336" xr:uid="{00000000-0005-0000-0000-0000158A0000}"/>
    <cellStyle name="Positive 4 10 3 2 11" xfId="35337" xr:uid="{00000000-0005-0000-0000-0000168A0000}"/>
    <cellStyle name="Positive 4 10 3 2 11 2" xfId="35338" xr:uid="{00000000-0005-0000-0000-0000178A0000}"/>
    <cellStyle name="Positive 4 10 3 2 12" xfId="35339" xr:uid="{00000000-0005-0000-0000-0000188A0000}"/>
    <cellStyle name="Positive 4 10 3 2 12 2" xfId="35340" xr:uid="{00000000-0005-0000-0000-0000198A0000}"/>
    <cellStyle name="Positive 4 10 3 2 13" xfId="35341" xr:uid="{00000000-0005-0000-0000-00001A8A0000}"/>
    <cellStyle name="Positive 4 10 3 2 13 2" xfId="35342" xr:uid="{00000000-0005-0000-0000-00001B8A0000}"/>
    <cellStyle name="Positive 4 10 3 2 14" xfId="35343" xr:uid="{00000000-0005-0000-0000-00001C8A0000}"/>
    <cellStyle name="Positive 4 10 3 2 14 2" xfId="35344" xr:uid="{00000000-0005-0000-0000-00001D8A0000}"/>
    <cellStyle name="Positive 4 10 3 2 15" xfId="35345" xr:uid="{00000000-0005-0000-0000-00001E8A0000}"/>
    <cellStyle name="Positive 4 10 3 2 15 2" xfId="35346" xr:uid="{00000000-0005-0000-0000-00001F8A0000}"/>
    <cellStyle name="Positive 4 10 3 2 16" xfId="35347" xr:uid="{00000000-0005-0000-0000-0000208A0000}"/>
    <cellStyle name="Positive 4 10 3 2 16 2" xfId="35348" xr:uid="{00000000-0005-0000-0000-0000218A0000}"/>
    <cellStyle name="Positive 4 10 3 2 17" xfId="35349" xr:uid="{00000000-0005-0000-0000-0000228A0000}"/>
    <cellStyle name="Positive 4 10 3 2 2" xfId="35350" xr:uid="{00000000-0005-0000-0000-0000238A0000}"/>
    <cellStyle name="Positive 4 10 3 2 2 2" xfId="35351" xr:uid="{00000000-0005-0000-0000-0000248A0000}"/>
    <cellStyle name="Positive 4 10 3 2 3" xfId="35352" xr:uid="{00000000-0005-0000-0000-0000258A0000}"/>
    <cellStyle name="Positive 4 10 3 2 3 2" xfId="35353" xr:uid="{00000000-0005-0000-0000-0000268A0000}"/>
    <cellStyle name="Positive 4 10 3 2 4" xfId="35354" xr:uid="{00000000-0005-0000-0000-0000278A0000}"/>
    <cellStyle name="Positive 4 10 3 2 4 2" xfId="35355" xr:uid="{00000000-0005-0000-0000-0000288A0000}"/>
    <cellStyle name="Positive 4 10 3 2 5" xfId="35356" xr:uid="{00000000-0005-0000-0000-0000298A0000}"/>
    <cellStyle name="Positive 4 10 3 2 5 2" xfId="35357" xr:uid="{00000000-0005-0000-0000-00002A8A0000}"/>
    <cellStyle name="Positive 4 10 3 2 6" xfId="35358" xr:uid="{00000000-0005-0000-0000-00002B8A0000}"/>
    <cellStyle name="Positive 4 10 3 2 6 2" xfId="35359" xr:uid="{00000000-0005-0000-0000-00002C8A0000}"/>
    <cellStyle name="Positive 4 10 3 2 7" xfId="35360" xr:uid="{00000000-0005-0000-0000-00002D8A0000}"/>
    <cellStyle name="Positive 4 10 3 2 7 2" xfId="35361" xr:uid="{00000000-0005-0000-0000-00002E8A0000}"/>
    <cellStyle name="Positive 4 10 3 2 8" xfId="35362" xr:uid="{00000000-0005-0000-0000-00002F8A0000}"/>
    <cellStyle name="Positive 4 10 3 2 8 2" xfId="35363" xr:uid="{00000000-0005-0000-0000-0000308A0000}"/>
    <cellStyle name="Positive 4 10 3 2 9" xfId="35364" xr:uid="{00000000-0005-0000-0000-0000318A0000}"/>
    <cellStyle name="Positive 4 10 3 2 9 2" xfId="35365" xr:uid="{00000000-0005-0000-0000-0000328A0000}"/>
    <cellStyle name="Positive 4 10 3 20" xfId="35366" xr:uid="{00000000-0005-0000-0000-0000338A0000}"/>
    <cellStyle name="Positive 4 10 3 3" xfId="35367" xr:uid="{00000000-0005-0000-0000-0000348A0000}"/>
    <cellStyle name="Positive 4 10 3 3 2" xfId="35368" xr:uid="{00000000-0005-0000-0000-0000358A0000}"/>
    <cellStyle name="Positive 4 10 3 3 2 2" xfId="35369" xr:uid="{00000000-0005-0000-0000-0000368A0000}"/>
    <cellStyle name="Positive 4 10 3 3 3" xfId="35370" xr:uid="{00000000-0005-0000-0000-0000378A0000}"/>
    <cellStyle name="Positive 4 10 3 4" xfId="35371" xr:uid="{00000000-0005-0000-0000-0000388A0000}"/>
    <cellStyle name="Positive 4 10 3 4 2" xfId="35372" xr:uid="{00000000-0005-0000-0000-0000398A0000}"/>
    <cellStyle name="Positive 4 10 3 4 2 2" xfId="35373" xr:uid="{00000000-0005-0000-0000-00003A8A0000}"/>
    <cellStyle name="Positive 4 10 3 4 3" xfId="35374" xr:uid="{00000000-0005-0000-0000-00003B8A0000}"/>
    <cellStyle name="Positive 4 10 3 5" xfId="35375" xr:uid="{00000000-0005-0000-0000-00003C8A0000}"/>
    <cellStyle name="Positive 4 10 3 5 2" xfId="35376" xr:uid="{00000000-0005-0000-0000-00003D8A0000}"/>
    <cellStyle name="Positive 4 10 3 6" xfId="35377" xr:uid="{00000000-0005-0000-0000-00003E8A0000}"/>
    <cellStyle name="Positive 4 10 3 6 2" xfId="35378" xr:uid="{00000000-0005-0000-0000-00003F8A0000}"/>
    <cellStyle name="Positive 4 10 3 7" xfId="35379" xr:uid="{00000000-0005-0000-0000-0000408A0000}"/>
    <cellStyle name="Positive 4 10 3 7 2" xfId="35380" xr:uid="{00000000-0005-0000-0000-0000418A0000}"/>
    <cellStyle name="Positive 4 10 3 8" xfId="35381" xr:uid="{00000000-0005-0000-0000-0000428A0000}"/>
    <cellStyle name="Positive 4 10 3 8 2" xfId="35382" xr:uid="{00000000-0005-0000-0000-0000438A0000}"/>
    <cellStyle name="Positive 4 10 3 9" xfId="35383" xr:uid="{00000000-0005-0000-0000-0000448A0000}"/>
    <cellStyle name="Positive 4 10 3 9 2" xfId="35384" xr:uid="{00000000-0005-0000-0000-0000458A0000}"/>
    <cellStyle name="Positive 4 10 4" xfId="35385" xr:uid="{00000000-0005-0000-0000-0000468A0000}"/>
    <cellStyle name="Positive 4 10 4 10" xfId="35386" xr:uid="{00000000-0005-0000-0000-0000478A0000}"/>
    <cellStyle name="Positive 4 10 4 10 2" xfId="35387" xr:uid="{00000000-0005-0000-0000-0000488A0000}"/>
    <cellStyle name="Positive 4 10 4 11" xfId="35388" xr:uid="{00000000-0005-0000-0000-0000498A0000}"/>
    <cellStyle name="Positive 4 10 4 11 2" xfId="35389" xr:uid="{00000000-0005-0000-0000-00004A8A0000}"/>
    <cellStyle name="Positive 4 10 4 12" xfId="35390" xr:uid="{00000000-0005-0000-0000-00004B8A0000}"/>
    <cellStyle name="Positive 4 10 4 12 2" xfId="35391" xr:uid="{00000000-0005-0000-0000-00004C8A0000}"/>
    <cellStyle name="Positive 4 10 4 13" xfId="35392" xr:uid="{00000000-0005-0000-0000-00004D8A0000}"/>
    <cellStyle name="Positive 4 10 4 13 2" xfId="35393" xr:uid="{00000000-0005-0000-0000-00004E8A0000}"/>
    <cellStyle name="Positive 4 10 4 14" xfId="35394" xr:uid="{00000000-0005-0000-0000-00004F8A0000}"/>
    <cellStyle name="Positive 4 10 4 14 2" xfId="35395" xr:uid="{00000000-0005-0000-0000-0000508A0000}"/>
    <cellStyle name="Positive 4 10 4 15" xfId="35396" xr:uid="{00000000-0005-0000-0000-0000518A0000}"/>
    <cellStyle name="Positive 4 10 4 15 2" xfId="35397" xr:uid="{00000000-0005-0000-0000-0000528A0000}"/>
    <cellStyle name="Positive 4 10 4 16" xfId="35398" xr:uid="{00000000-0005-0000-0000-0000538A0000}"/>
    <cellStyle name="Positive 4 10 4 16 2" xfId="35399" xr:uid="{00000000-0005-0000-0000-0000548A0000}"/>
    <cellStyle name="Positive 4 10 4 17" xfId="35400" xr:uid="{00000000-0005-0000-0000-0000558A0000}"/>
    <cellStyle name="Positive 4 10 4 17 2" xfId="35401" xr:uid="{00000000-0005-0000-0000-0000568A0000}"/>
    <cellStyle name="Positive 4 10 4 18" xfId="35402" xr:uid="{00000000-0005-0000-0000-0000578A0000}"/>
    <cellStyle name="Positive 4 10 4 18 2" xfId="35403" xr:uid="{00000000-0005-0000-0000-0000588A0000}"/>
    <cellStyle name="Positive 4 10 4 19" xfId="35404" xr:uid="{00000000-0005-0000-0000-0000598A0000}"/>
    <cellStyle name="Positive 4 10 4 19 2" xfId="35405" xr:uid="{00000000-0005-0000-0000-00005A8A0000}"/>
    <cellStyle name="Positive 4 10 4 2" xfId="35406" xr:uid="{00000000-0005-0000-0000-00005B8A0000}"/>
    <cellStyle name="Positive 4 10 4 2 10" xfId="35407" xr:uid="{00000000-0005-0000-0000-00005C8A0000}"/>
    <cellStyle name="Positive 4 10 4 2 10 2" xfId="35408" xr:uid="{00000000-0005-0000-0000-00005D8A0000}"/>
    <cellStyle name="Positive 4 10 4 2 11" xfId="35409" xr:uid="{00000000-0005-0000-0000-00005E8A0000}"/>
    <cellStyle name="Positive 4 10 4 2 11 2" xfId="35410" xr:uid="{00000000-0005-0000-0000-00005F8A0000}"/>
    <cellStyle name="Positive 4 10 4 2 12" xfId="35411" xr:uid="{00000000-0005-0000-0000-0000608A0000}"/>
    <cellStyle name="Positive 4 10 4 2 12 2" xfId="35412" xr:uid="{00000000-0005-0000-0000-0000618A0000}"/>
    <cellStyle name="Positive 4 10 4 2 13" xfId="35413" xr:uid="{00000000-0005-0000-0000-0000628A0000}"/>
    <cellStyle name="Positive 4 10 4 2 13 2" xfId="35414" xr:uid="{00000000-0005-0000-0000-0000638A0000}"/>
    <cellStyle name="Positive 4 10 4 2 14" xfId="35415" xr:uid="{00000000-0005-0000-0000-0000648A0000}"/>
    <cellStyle name="Positive 4 10 4 2 14 2" xfId="35416" xr:uid="{00000000-0005-0000-0000-0000658A0000}"/>
    <cellStyle name="Positive 4 10 4 2 15" xfId="35417" xr:uid="{00000000-0005-0000-0000-0000668A0000}"/>
    <cellStyle name="Positive 4 10 4 2 15 2" xfId="35418" xr:uid="{00000000-0005-0000-0000-0000678A0000}"/>
    <cellStyle name="Positive 4 10 4 2 16" xfId="35419" xr:uid="{00000000-0005-0000-0000-0000688A0000}"/>
    <cellStyle name="Positive 4 10 4 2 16 2" xfId="35420" xr:uid="{00000000-0005-0000-0000-0000698A0000}"/>
    <cellStyle name="Positive 4 10 4 2 17" xfId="35421" xr:uid="{00000000-0005-0000-0000-00006A8A0000}"/>
    <cellStyle name="Positive 4 10 4 2 2" xfId="35422" xr:uid="{00000000-0005-0000-0000-00006B8A0000}"/>
    <cellStyle name="Positive 4 10 4 2 2 2" xfId="35423" xr:uid="{00000000-0005-0000-0000-00006C8A0000}"/>
    <cellStyle name="Positive 4 10 4 2 3" xfId="35424" xr:uid="{00000000-0005-0000-0000-00006D8A0000}"/>
    <cellStyle name="Positive 4 10 4 2 3 2" xfId="35425" xr:uid="{00000000-0005-0000-0000-00006E8A0000}"/>
    <cellStyle name="Positive 4 10 4 2 4" xfId="35426" xr:uid="{00000000-0005-0000-0000-00006F8A0000}"/>
    <cellStyle name="Positive 4 10 4 2 4 2" xfId="35427" xr:uid="{00000000-0005-0000-0000-0000708A0000}"/>
    <cellStyle name="Positive 4 10 4 2 5" xfId="35428" xr:uid="{00000000-0005-0000-0000-0000718A0000}"/>
    <cellStyle name="Positive 4 10 4 2 5 2" xfId="35429" xr:uid="{00000000-0005-0000-0000-0000728A0000}"/>
    <cellStyle name="Positive 4 10 4 2 6" xfId="35430" xr:uid="{00000000-0005-0000-0000-0000738A0000}"/>
    <cellStyle name="Positive 4 10 4 2 6 2" xfId="35431" xr:uid="{00000000-0005-0000-0000-0000748A0000}"/>
    <cellStyle name="Positive 4 10 4 2 7" xfId="35432" xr:uid="{00000000-0005-0000-0000-0000758A0000}"/>
    <cellStyle name="Positive 4 10 4 2 7 2" xfId="35433" xr:uid="{00000000-0005-0000-0000-0000768A0000}"/>
    <cellStyle name="Positive 4 10 4 2 8" xfId="35434" xr:uid="{00000000-0005-0000-0000-0000778A0000}"/>
    <cellStyle name="Positive 4 10 4 2 8 2" xfId="35435" xr:uid="{00000000-0005-0000-0000-0000788A0000}"/>
    <cellStyle name="Positive 4 10 4 2 9" xfId="35436" xr:uid="{00000000-0005-0000-0000-0000798A0000}"/>
    <cellStyle name="Positive 4 10 4 2 9 2" xfId="35437" xr:uid="{00000000-0005-0000-0000-00007A8A0000}"/>
    <cellStyle name="Positive 4 10 4 20" xfId="35438" xr:uid="{00000000-0005-0000-0000-00007B8A0000}"/>
    <cellStyle name="Positive 4 10 4 3" xfId="35439" xr:uid="{00000000-0005-0000-0000-00007C8A0000}"/>
    <cellStyle name="Positive 4 10 4 3 2" xfId="35440" xr:uid="{00000000-0005-0000-0000-00007D8A0000}"/>
    <cellStyle name="Positive 4 10 4 3 2 2" xfId="35441" xr:uid="{00000000-0005-0000-0000-00007E8A0000}"/>
    <cellStyle name="Positive 4 10 4 3 3" xfId="35442" xr:uid="{00000000-0005-0000-0000-00007F8A0000}"/>
    <cellStyle name="Positive 4 10 4 4" xfId="35443" xr:uid="{00000000-0005-0000-0000-0000808A0000}"/>
    <cellStyle name="Positive 4 10 4 4 2" xfId="35444" xr:uid="{00000000-0005-0000-0000-0000818A0000}"/>
    <cellStyle name="Positive 4 10 4 4 2 2" xfId="35445" xr:uid="{00000000-0005-0000-0000-0000828A0000}"/>
    <cellStyle name="Positive 4 10 4 4 3" xfId="35446" xr:uid="{00000000-0005-0000-0000-0000838A0000}"/>
    <cellStyle name="Positive 4 10 4 5" xfId="35447" xr:uid="{00000000-0005-0000-0000-0000848A0000}"/>
    <cellStyle name="Positive 4 10 4 5 2" xfId="35448" xr:uid="{00000000-0005-0000-0000-0000858A0000}"/>
    <cellStyle name="Positive 4 10 4 6" xfId="35449" xr:uid="{00000000-0005-0000-0000-0000868A0000}"/>
    <cellStyle name="Positive 4 10 4 6 2" xfId="35450" xr:uid="{00000000-0005-0000-0000-0000878A0000}"/>
    <cellStyle name="Positive 4 10 4 7" xfId="35451" xr:uid="{00000000-0005-0000-0000-0000888A0000}"/>
    <cellStyle name="Positive 4 10 4 7 2" xfId="35452" xr:uid="{00000000-0005-0000-0000-0000898A0000}"/>
    <cellStyle name="Positive 4 10 4 8" xfId="35453" xr:uid="{00000000-0005-0000-0000-00008A8A0000}"/>
    <cellStyle name="Positive 4 10 4 8 2" xfId="35454" xr:uid="{00000000-0005-0000-0000-00008B8A0000}"/>
    <cellStyle name="Positive 4 10 4 9" xfId="35455" xr:uid="{00000000-0005-0000-0000-00008C8A0000}"/>
    <cellStyle name="Positive 4 10 4 9 2" xfId="35456" xr:uid="{00000000-0005-0000-0000-00008D8A0000}"/>
    <cellStyle name="Positive 4 10 5" xfId="35457" xr:uid="{00000000-0005-0000-0000-00008E8A0000}"/>
    <cellStyle name="Positive 4 10 5 10" xfId="35458" xr:uid="{00000000-0005-0000-0000-00008F8A0000}"/>
    <cellStyle name="Positive 4 10 5 10 2" xfId="35459" xr:uid="{00000000-0005-0000-0000-0000908A0000}"/>
    <cellStyle name="Positive 4 10 5 11" xfId="35460" xr:uid="{00000000-0005-0000-0000-0000918A0000}"/>
    <cellStyle name="Positive 4 10 5 11 2" xfId="35461" xr:uid="{00000000-0005-0000-0000-0000928A0000}"/>
    <cellStyle name="Positive 4 10 5 12" xfId="35462" xr:uid="{00000000-0005-0000-0000-0000938A0000}"/>
    <cellStyle name="Positive 4 10 5 12 2" xfId="35463" xr:uid="{00000000-0005-0000-0000-0000948A0000}"/>
    <cellStyle name="Positive 4 10 5 13" xfId="35464" xr:uid="{00000000-0005-0000-0000-0000958A0000}"/>
    <cellStyle name="Positive 4 10 5 13 2" xfId="35465" xr:uid="{00000000-0005-0000-0000-0000968A0000}"/>
    <cellStyle name="Positive 4 10 5 14" xfId="35466" xr:uid="{00000000-0005-0000-0000-0000978A0000}"/>
    <cellStyle name="Positive 4 10 5 14 2" xfId="35467" xr:uid="{00000000-0005-0000-0000-0000988A0000}"/>
    <cellStyle name="Positive 4 10 5 15" xfId="35468" xr:uid="{00000000-0005-0000-0000-0000998A0000}"/>
    <cellStyle name="Positive 4 10 5 15 2" xfId="35469" xr:uid="{00000000-0005-0000-0000-00009A8A0000}"/>
    <cellStyle name="Positive 4 10 5 16" xfId="35470" xr:uid="{00000000-0005-0000-0000-00009B8A0000}"/>
    <cellStyle name="Positive 4 10 5 16 2" xfId="35471" xr:uid="{00000000-0005-0000-0000-00009C8A0000}"/>
    <cellStyle name="Positive 4 10 5 17" xfId="35472" xr:uid="{00000000-0005-0000-0000-00009D8A0000}"/>
    <cellStyle name="Positive 4 10 5 2" xfId="35473" xr:uid="{00000000-0005-0000-0000-00009E8A0000}"/>
    <cellStyle name="Positive 4 10 5 2 2" xfId="35474" xr:uid="{00000000-0005-0000-0000-00009F8A0000}"/>
    <cellStyle name="Positive 4 10 5 3" xfId="35475" xr:uid="{00000000-0005-0000-0000-0000A08A0000}"/>
    <cellStyle name="Positive 4 10 5 3 2" xfId="35476" xr:uid="{00000000-0005-0000-0000-0000A18A0000}"/>
    <cellStyle name="Positive 4 10 5 4" xfId="35477" xr:uid="{00000000-0005-0000-0000-0000A28A0000}"/>
    <cellStyle name="Positive 4 10 5 4 2" xfId="35478" xr:uid="{00000000-0005-0000-0000-0000A38A0000}"/>
    <cellStyle name="Positive 4 10 5 5" xfId="35479" xr:uid="{00000000-0005-0000-0000-0000A48A0000}"/>
    <cellStyle name="Positive 4 10 5 5 2" xfId="35480" xr:uid="{00000000-0005-0000-0000-0000A58A0000}"/>
    <cellStyle name="Positive 4 10 5 6" xfId="35481" xr:uid="{00000000-0005-0000-0000-0000A68A0000}"/>
    <cellStyle name="Positive 4 10 5 6 2" xfId="35482" xr:uid="{00000000-0005-0000-0000-0000A78A0000}"/>
    <cellStyle name="Positive 4 10 5 7" xfId="35483" xr:uid="{00000000-0005-0000-0000-0000A88A0000}"/>
    <cellStyle name="Positive 4 10 5 7 2" xfId="35484" xr:uid="{00000000-0005-0000-0000-0000A98A0000}"/>
    <cellStyle name="Positive 4 10 5 8" xfId="35485" xr:uid="{00000000-0005-0000-0000-0000AA8A0000}"/>
    <cellStyle name="Positive 4 10 5 8 2" xfId="35486" xr:uid="{00000000-0005-0000-0000-0000AB8A0000}"/>
    <cellStyle name="Positive 4 10 5 9" xfId="35487" xr:uid="{00000000-0005-0000-0000-0000AC8A0000}"/>
    <cellStyle name="Positive 4 10 5 9 2" xfId="35488" xr:uid="{00000000-0005-0000-0000-0000AD8A0000}"/>
    <cellStyle name="Positive 4 10 6" xfId="35489" xr:uid="{00000000-0005-0000-0000-0000AE8A0000}"/>
    <cellStyle name="Positive 4 10 6 2" xfId="35490" xr:uid="{00000000-0005-0000-0000-0000AF8A0000}"/>
    <cellStyle name="Positive 4 10 6 2 2" xfId="35491" xr:uid="{00000000-0005-0000-0000-0000B08A0000}"/>
    <cellStyle name="Positive 4 10 6 3" xfId="35492" xr:uid="{00000000-0005-0000-0000-0000B18A0000}"/>
    <cellStyle name="Positive 4 10 7" xfId="35493" xr:uid="{00000000-0005-0000-0000-0000B28A0000}"/>
    <cellStyle name="Positive 4 10 7 2" xfId="35494" xr:uid="{00000000-0005-0000-0000-0000B38A0000}"/>
    <cellStyle name="Positive 4 10 7 2 2" xfId="35495" xr:uid="{00000000-0005-0000-0000-0000B48A0000}"/>
    <cellStyle name="Positive 4 10 7 3" xfId="35496" xr:uid="{00000000-0005-0000-0000-0000B58A0000}"/>
    <cellStyle name="Positive 4 10 8" xfId="35497" xr:uid="{00000000-0005-0000-0000-0000B68A0000}"/>
    <cellStyle name="Positive 4 10 8 2" xfId="35498" xr:uid="{00000000-0005-0000-0000-0000B78A0000}"/>
    <cellStyle name="Positive 4 10 9" xfId="35499" xr:uid="{00000000-0005-0000-0000-0000B88A0000}"/>
    <cellStyle name="Positive 4 10 9 2" xfId="35500" xr:uid="{00000000-0005-0000-0000-0000B98A0000}"/>
    <cellStyle name="Positive 4 11" xfId="35501" xr:uid="{00000000-0005-0000-0000-0000BA8A0000}"/>
    <cellStyle name="Positive 4 11 10" xfId="35502" xr:uid="{00000000-0005-0000-0000-0000BB8A0000}"/>
    <cellStyle name="Positive 4 11 10 2" xfId="35503" xr:uid="{00000000-0005-0000-0000-0000BC8A0000}"/>
    <cellStyle name="Positive 4 11 11" xfId="35504" xr:uid="{00000000-0005-0000-0000-0000BD8A0000}"/>
    <cellStyle name="Positive 4 11 11 2" xfId="35505" xr:uid="{00000000-0005-0000-0000-0000BE8A0000}"/>
    <cellStyle name="Positive 4 11 12" xfId="35506" xr:uid="{00000000-0005-0000-0000-0000BF8A0000}"/>
    <cellStyle name="Positive 4 11 12 2" xfId="35507" xr:uid="{00000000-0005-0000-0000-0000C08A0000}"/>
    <cellStyle name="Positive 4 11 13" xfId="35508" xr:uid="{00000000-0005-0000-0000-0000C18A0000}"/>
    <cellStyle name="Positive 4 11 13 2" xfId="35509" xr:uid="{00000000-0005-0000-0000-0000C28A0000}"/>
    <cellStyle name="Positive 4 11 14" xfId="35510" xr:uid="{00000000-0005-0000-0000-0000C38A0000}"/>
    <cellStyle name="Positive 4 11 14 2" xfId="35511" xr:uid="{00000000-0005-0000-0000-0000C48A0000}"/>
    <cellStyle name="Positive 4 11 15" xfId="35512" xr:uid="{00000000-0005-0000-0000-0000C58A0000}"/>
    <cellStyle name="Positive 4 11 15 2" xfId="35513" xr:uid="{00000000-0005-0000-0000-0000C68A0000}"/>
    <cellStyle name="Positive 4 11 16" xfId="35514" xr:uid="{00000000-0005-0000-0000-0000C78A0000}"/>
    <cellStyle name="Positive 4 11 16 2" xfId="35515" xr:uid="{00000000-0005-0000-0000-0000C88A0000}"/>
    <cellStyle name="Positive 4 11 17" xfId="35516" xr:uid="{00000000-0005-0000-0000-0000C98A0000}"/>
    <cellStyle name="Positive 4 11 17 2" xfId="35517" xr:uid="{00000000-0005-0000-0000-0000CA8A0000}"/>
    <cellStyle name="Positive 4 11 18" xfId="35518" xr:uid="{00000000-0005-0000-0000-0000CB8A0000}"/>
    <cellStyle name="Positive 4 11 18 2" xfId="35519" xr:uid="{00000000-0005-0000-0000-0000CC8A0000}"/>
    <cellStyle name="Positive 4 11 19" xfId="35520" xr:uid="{00000000-0005-0000-0000-0000CD8A0000}"/>
    <cellStyle name="Positive 4 11 19 2" xfId="35521" xr:uid="{00000000-0005-0000-0000-0000CE8A0000}"/>
    <cellStyle name="Positive 4 11 2" xfId="35522" xr:uid="{00000000-0005-0000-0000-0000CF8A0000}"/>
    <cellStyle name="Positive 4 11 2 10" xfId="35523" xr:uid="{00000000-0005-0000-0000-0000D08A0000}"/>
    <cellStyle name="Positive 4 11 2 10 2" xfId="35524" xr:uid="{00000000-0005-0000-0000-0000D18A0000}"/>
    <cellStyle name="Positive 4 11 2 11" xfId="35525" xr:uid="{00000000-0005-0000-0000-0000D28A0000}"/>
    <cellStyle name="Positive 4 11 2 11 2" xfId="35526" xr:uid="{00000000-0005-0000-0000-0000D38A0000}"/>
    <cellStyle name="Positive 4 11 2 12" xfId="35527" xr:uid="{00000000-0005-0000-0000-0000D48A0000}"/>
    <cellStyle name="Positive 4 11 2 12 2" xfId="35528" xr:uid="{00000000-0005-0000-0000-0000D58A0000}"/>
    <cellStyle name="Positive 4 11 2 13" xfId="35529" xr:uid="{00000000-0005-0000-0000-0000D68A0000}"/>
    <cellStyle name="Positive 4 11 2 13 2" xfId="35530" xr:uid="{00000000-0005-0000-0000-0000D78A0000}"/>
    <cellStyle name="Positive 4 11 2 14" xfId="35531" xr:uid="{00000000-0005-0000-0000-0000D88A0000}"/>
    <cellStyle name="Positive 4 11 2 14 2" xfId="35532" xr:uid="{00000000-0005-0000-0000-0000D98A0000}"/>
    <cellStyle name="Positive 4 11 2 15" xfId="35533" xr:uid="{00000000-0005-0000-0000-0000DA8A0000}"/>
    <cellStyle name="Positive 4 11 2 15 2" xfId="35534" xr:uid="{00000000-0005-0000-0000-0000DB8A0000}"/>
    <cellStyle name="Positive 4 11 2 16" xfId="35535" xr:uid="{00000000-0005-0000-0000-0000DC8A0000}"/>
    <cellStyle name="Positive 4 11 2 16 2" xfId="35536" xr:uid="{00000000-0005-0000-0000-0000DD8A0000}"/>
    <cellStyle name="Positive 4 11 2 17" xfId="35537" xr:uid="{00000000-0005-0000-0000-0000DE8A0000}"/>
    <cellStyle name="Positive 4 11 2 17 2" xfId="35538" xr:uid="{00000000-0005-0000-0000-0000DF8A0000}"/>
    <cellStyle name="Positive 4 11 2 18" xfId="35539" xr:uid="{00000000-0005-0000-0000-0000E08A0000}"/>
    <cellStyle name="Positive 4 11 2 18 2" xfId="35540" xr:uid="{00000000-0005-0000-0000-0000E18A0000}"/>
    <cellStyle name="Positive 4 11 2 19" xfId="35541" xr:uid="{00000000-0005-0000-0000-0000E28A0000}"/>
    <cellStyle name="Positive 4 11 2 19 2" xfId="35542" xr:uid="{00000000-0005-0000-0000-0000E38A0000}"/>
    <cellStyle name="Positive 4 11 2 2" xfId="35543" xr:uid="{00000000-0005-0000-0000-0000E48A0000}"/>
    <cellStyle name="Positive 4 11 2 2 10" xfId="35544" xr:uid="{00000000-0005-0000-0000-0000E58A0000}"/>
    <cellStyle name="Positive 4 11 2 2 10 2" xfId="35545" xr:uid="{00000000-0005-0000-0000-0000E68A0000}"/>
    <cellStyle name="Positive 4 11 2 2 11" xfId="35546" xr:uid="{00000000-0005-0000-0000-0000E78A0000}"/>
    <cellStyle name="Positive 4 11 2 2 11 2" xfId="35547" xr:uid="{00000000-0005-0000-0000-0000E88A0000}"/>
    <cellStyle name="Positive 4 11 2 2 12" xfId="35548" xr:uid="{00000000-0005-0000-0000-0000E98A0000}"/>
    <cellStyle name="Positive 4 11 2 2 12 2" xfId="35549" xr:uid="{00000000-0005-0000-0000-0000EA8A0000}"/>
    <cellStyle name="Positive 4 11 2 2 13" xfId="35550" xr:uid="{00000000-0005-0000-0000-0000EB8A0000}"/>
    <cellStyle name="Positive 4 11 2 2 13 2" xfId="35551" xr:uid="{00000000-0005-0000-0000-0000EC8A0000}"/>
    <cellStyle name="Positive 4 11 2 2 14" xfId="35552" xr:uid="{00000000-0005-0000-0000-0000ED8A0000}"/>
    <cellStyle name="Positive 4 11 2 2 14 2" xfId="35553" xr:uid="{00000000-0005-0000-0000-0000EE8A0000}"/>
    <cellStyle name="Positive 4 11 2 2 15" xfId="35554" xr:uid="{00000000-0005-0000-0000-0000EF8A0000}"/>
    <cellStyle name="Positive 4 11 2 2 15 2" xfId="35555" xr:uid="{00000000-0005-0000-0000-0000F08A0000}"/>
    <cellStyle name="Positive 4 11 2 2 16" xfId="35556" xr:uid="{00000000-0005-0000-0000-0000F18A0000}"/>
    <cellStyle name="Positive 4 11 2 2 16 2" xfId="35557" xr:uid="{00000000-0005-0000-0000-0000F28A0000}"/>
    <cellStyle name="Positive 4 11 2 2 17" xfId="35558" xr:uid="{00000000-0005-0000-0000-0000F38A0000}"/>
    <cellStyle name="Positive 4 11 2 2 2" xfId="35559" xr:uid="{00000000-0005-0000-0000-0000F48A0000}"/>
    <cellStyle name="Positive 4 11 2 2 2 2" xfId="35560" xr:uid="{00000000-0005-0000-0000-0000F58A0000}"/>
    <cellStyle name="Positive 4 11 2 2 3" xfId="35561" xr:uid="{00000000-0005-0000-0000-0000F68A0000}"/>
    <cellStyle name="Positive 4 11 2 2 3 2" xfId="35562" xr:uid="{00000000-0005-0000-0000-0000F78A0000}"/>
    <cellStyle name="Positive 4 11 2 2 4" xfId="35563" xr:uid="{00000000-0005-0000-0000-0000F88A0000}"/>
    <cellStyle name="Positive 4 11 2 2 4 2" xfId="35564" xr:uid="{00000000-0005-0000-0000-0000F98A0000}"/>
    <cellStyle name="Positive 4 11 2 2 5" xfId="35565" xr:uid="{00000000-0005-0000-0000-0000FA8A0000}"/>
    <cellStyle name="Positive 4 11 2 2 5 2" xfId="35566" xr:uid="{00000000-0005-0000-0000-0000FB8A0000}"/>
    <cellStyle name="Positive 4 11 2 2 6" xfId="35567" xr:uid="{00000000-0005-0000-0000-0000FC8A0000}"/>
    <cellStyle name="Positive 4 11 2 2 6 2" xfId="35568" xr:uid="{00000000-0005-0000-0000-0000FD8A0000}"/>
    <cellStyle name="Positive 4 11 2 2 7" xfId="35569" xr:uid="{00000000-0005-0000-0000-0000FE8A0000}"/>
    <cellStyle name="Positive 4 11 2 2 7 2" xfId="35570" xr:uid="{00000000-0005-0000-0000-0000FF8A0000}"/>
    <cellStyle name="Positive 4 11 2 2 8" xfId="35571" xr:uid="{00000000-0005-0000-0000-0000008B0000}"/>
    <cellStyle name="Positive 4 11 2 2 8 2" xfId="35572" xr:uid="{00000000-0005-0000-0000-0000018B0000}"/>
    <cellStyle name="Positive 4 11 2 2 9" xfId="35573" xr:uid="{00000000-0005-0000-0000-0000028B0000}"/>
    <cellStyle name="Positive 4 11 2 2 9 2" xfId="35574" xr:uid="{00000000-0005-0000-0000-0000038B0000}"/>
    <cellStyle name="Positive 4 11 2 20" xfId="35575" xr:uid="{00000000-0005-0000-0000-0000048B0000}"/>
    <cellStyle name="Positive 4 11 2 3" xfId="35576" xr:uid="{00000000-0005-0000-0000-0000058B0000}"/>
    <cellStyle name="Positive 4 11 2 3 2" xfId="35577" xr:uid="{00000000-0005-0000-0000-0000068B0000}"/>
    <cellStyle name="Positive 4 11 2 3 2 2" xfId="35578" xr:uid="{00000000-0005-0000-0000-0000078B0000}"/>
    <cellStyle name="Positive 4 11 2 3 3" xfId="35579" xr:uid="{00000000-0005-0000-0000-0000088B0000}"/>
    <cellStyle name="Positive 4 11 2 4" xfId="35580" xr:uid="{00000000-0005-0000-0000-0000098B0000}"/>
    <cellStyle name="Positive 4 11 2 4 2" xfId="35581" xr:uid="{00000000-0005-0000-0000-00000A8B0000}"/>
    <cellStyle name="Positive 4 11 2 4 2 2" xfId="35582" xr:uid="{00000000-0005-0000-0000-00000B8B0000}"/>
    <cellStyle name="Positive 4 11 2 4 3" xfId="35583" xr:uid="{00000000-0005-0000-0000-00000C8B0000}"/>
    <cellStyle name="Positive 4 11 2 5" xfId="35584" xr:uid="{00000000-0005-0000-0000-00000D8B0000}"/>
    <cellStyle name="Positive 4 11 2 5 2" xfId="35585" xr:uid="{00000000-0005-0000-0000-00000E8B0000}"/>
    <cellStyle name="Positive 4 11 2 6" xfId="35586" xr:uid="{00000000-0005-0000-0000-00000F8B0000}"/>
    <cellStyle name="Positive 4 11 2 6 2" xfId="35587" xr:uid="{00000000-0005-0000-0000-0000108B0000}"/>
    <cellStyle name="Positive 4 11 2 7" xfId="35588" xr:uid="{00000000-0005-0000-0000-0000118B0000}"/>
    <cellStyle name="Positive 4 11 2 7 2" xfId="35589" xr:uid="{00000000-0005-0000-0000-0000128B0000}"/>
    <cellStyle name="Positive 4 11 2 8" xfId="35590" xr:uid="{00000000-0005-0000-0000-0000138B0000}"/>
    <cellStyle name="Positive 4 11 2 8 2" xfId="35591" xr:uid="{00000000-0005-0000-0000-0000148B0000}"/>
    <cellStyle name="Positive 4 11 2 9" xfId="35592" xr:uid="{00000000-0005-0000-0000-0000158B0000}"/>
    <cellStyle name="Positive 4 11 2 9 2" xfId="35593" xr:uid="{00000000-0005-0000-0000-0000168B0000}"/>
    <cellStyle name="Positive 4 11 20" xfId="35594" xr:uid="{00000000-0005-0000-0000-0000178B0000}"/>
    <cellStyle name="Positive 4 11 20 2" xfId="35595" xr:uid="{00000000-0005-0000-0000-0000188B0000}"/>
    <cellStyle name="Positive 4 11 21" xfId="35596" xr:uid="{00000000-0005-0000-0000-0000198B0000}"/>
    <cellStyle name="Positive 4 11 21 2" xfId="35597" xr:uid="{00000000-0005-0000-0000-00001A8B0000}"/>
    <cellStyle name="Positive 4 11 22" xfId="35598" xr:uid="{00000000-0005-0000-0000-00001B8B0000}"/>
    <cellStyle name="Positive 4 11 22 2" xfId="35599" xr:uid="{00000000-0005-0000-0000-00001C8B0000}"/>
    <cellStyle name="Positive 4 11 23" xfId="35600" xr:uid="{00000000-0005-0000-0000-00001D8B0000}"/>
    <cellStyle name="Positive 4 11 3" xfId="35601" xr:uid="{00000000-0005-0000-0000-00001E8B0000}"/>
    <cellStyle name="Positive 4 11 3 10" xfId="35602" xr:uid="{00000000-0005-0000-0000-00001F8B0000}"/>
    <cellStyle name="Positive 4 11 3 10 2" xfId="35603" xr:uid="{00000000-0005-0000-0000-0000208B0000}"/>
    <cellStyle name="Positive 4 11 3 11" xfId="35604" xr:uid="{00000000-0005-0000-0000-0000218B0000}"/>
    <cellStyle name="Positive 4 11 3 11 2" xfId="35605" xr:uid="{00000000-0005-0000-0000-0000228B0000}"/>
    <cellStyle name="Positive 4 11 3 12" xfId="35606" xr:uid="{00000000-0005-0000-0000-0000238B0000}"/>
    <cellStyle name="Positive 4 11 3 12 2" xfId="35607" xr:uid="{00000000-0005-0000-0000-0000248B0000}"/>
    <cellStyle name="Positive 4 11 3 13" xfId="35608" xr:uid="{00000000-0005-0000-0000-0000258B0000}"/>
    <cellStyle name="Positive 4 11 3 13 2" xfId="35609" xr:uid="{00000000-0005-0000-0000-0000268B0000}"/>
    <cellStyle name="Positive 4 11 3 14" xfId="35610" xr:uid="{00000000-0005-0000-0000-0000278B0000}"/>
    <cellStyle name="Positive 4 11 3 14 2" xfId="35611" xr:uid="{00000000-0005-0000-0000-0000288B0000}"/>
    <cellStyle name="Positive 4 11 3 15" xfId="35612" xr:uid="{00000000-0005-0000-0000-0000298B0000}"/>
    <cellStyle name="Positive 4 11 3 15 2" xfId="35613" xr:uid="{00000000-0005-0000-0000-00002A8B0000}"/>
    <cellStyle name="Positive 4 11 3 16" xfId="35614" xr:uid="{00000000-0005-0000-0000-00002B8B0000}"/>
    <cellStyle name="Positive 4 11 3 16 2" xfId="35615" xr:uid="{00000000-0005-0000-0000-00002C8B0000}"/>
    <cellStyle name="Positive 4 11 3 17" xfId="35616" xr:uid="{00000000-0005-0000-0000-00002D8B0000}"/>
    <cellStyle name="Positive 4 11 3 17 2" xfId="35617" xr:uid="{00000000-0005-0000-0000-00002E8B0000}"/>
    <cellStyle name="Positive 4 11 3 18" xfId="35618" xr:uid="{00000000-0005-0000-0000-00002F8B0000}"/>
    <cellStyle name="Positive 4 11 3 18 2" xfId="35619" xr:uid="{00000000-0005-0000-0000-0000308B0000}"/>
    <cellStyle name="Positive 4 11 3 19" xfId="35620" xr:uid="{00000000-0005-0000-0000-0000318B0000}"/>
    <cellStyle name="Positive 4 11 3 19 2" xfId="35621" xr:uid="{00000000-0005-0000-0000-0000328B0000}"/>
    <cellStyle name="Positive 4 11 3 2" xfId="35622" xr:uid="{00000000-0005-0000-0000-0000338B0000}"/>
    <cellStyle name="Positive 4 11 3 2 10" xfId="35623" xr:uid="{00000000-0005-0000-0000-0000348B0000}"/>
    <cellStyle name="Positive 4 11 3 2 10 2" xfId="35624" xr:uid="{00000000-0005-0000-0000-0000358B0000}"/>
    <cellStyle name="Positive 4 11 3 2 11" xfId="35625" xr:uid="{00000000-0005-0000-0000-0000368B0000}"/>
    <cellStyle name="Positive 4 11 3 2 11 2" xfId="35626" xr:uid="{00000000-0005-0000-0000-0000378B0000}"/>
    <cellStyle name="Positive 4 11 3 2 12" xfId="35627" xr:uid="{00000000-0005-0000-0000-0000388B0000}"/>
    <cellStyle name="Positive 4 11 3 2 12 2" xfId="35628" xr:uid="{00000000-0005-0000-0000-0000398B0000}"/>
    <cellStyle name="Positive 4 11 3 2 13" xfId="35629" xr:uid="{00000000-0005-0000-0000-00003A8B0000}"/>
    <cellStyle name="Positive 4 11 3 2 13 2" xfId="35630" xr:uid="{00000000-0005-0000-0000-00003B8B0000}"/>
    <cellStyle name="Positive 4 11 3 2 14" xfId="35631" xr:uid="{00000000-0005-0000-0000-00003C8B0000}"/>
    <cellStyle name="Positive 4 11 3 2 14 2" xfId="35632" xr:uid="{00000000-0005-0000-0000-00003D8B0000}"/>
    <cellStyle name="Positive 4 11 3 2 15" xfId="35633" xr:uid="{00000000-0005-0000-0000-00003E8B0000}"/>
    <cellStyle name="Positive 4 11 3 2 15 2" xfId="35634" xr:uid="{00000000-0005-0000-0000-00003F8B0000}"/>
    <cellStyle name="Positive 4 11 3 2 16" xfId="35635" xr:uid="{00000000-0005-0000-0000-0000408B0000}"/>
    <cellStyle name="Positive 4 11 3 2 16 2" xfId="35636" xr:uid="{00000000-0005-0000-0000-0000418B0000}"/>
    <cellStyle name="Positive 4 11 3 2 17" xfId="35637" xr:uid="{00000000-0005-0000-0000-0000428B0000}"/>
    <cellStyle name="Positive 4 11 3 2 2" xfId="35638" xr:uid="{00000000-0005-0000-0000-0000438B0000}"/>
    <cellStyle name="Positive 4 11 3 2 2 2" xfId="35639" xr:uid="{00000000-0005-0000-0000-0000448B0000}"/>
    <cellStyle name="Positive 4 11 3 2 3" xfId="35640" xr:uid="{00000000-0005-0000-0000-0000458B0000}"/>
    <cellStyle name="Positive 4 11 3 2 3 2" xfId="35641" xr:uid="{00000000-0005-0000-0000-0000468B0000}"/>
    <cellStyle name="Positive 4 11 3 2 4" xfId="35642" xr:uid="{00000000-0005-0000-0000-0000478B0000}"/>
    <cellStyle name="Positive 4 11 3 2 4 2" xfId="35643" xr:uid="{00000000-0005-0000-0000-0000488B0000}"/>
    <cellStyle name="Positive 4 11 3 2 5" xfId="35644" xr:uid="{00000000-0005-0000-0000-0000498B0000}"/>
    <cellStyle name="Positive 4 11 3 2 5 2" xfId="35645" xr:uid="{00000000-0005-0000-0000-00004A8B0000}"/>
    <cellStyle name="Positive 4 11 3 2 6" xfId="35646" xr:uid="{00000000-0005-0000-0000-00004B8B0000}"/>
    <cellStyle name="Positive 4 11 3 2 6 2" xfId="35647" xr:uid="{00000000-0005-0000-0000-00004C8B0000}"/>
    <cellStyle name="Positive 4 11 3 2 7" xfId="35648" xr:uid="{00000000-0005-0000-0000-00004D8B0000}"/>
    <cellStyle name="Positive 4 11 3 2 7 2" xfId="35649" xr:uid="{00000000-0005-0000-0000-00004E8B0000}"/>
    <cellStyle name="Positive 4 11 3 2 8" xfId="35650" xr:uid="{00000000-0005-0000-0000-00004F8B0000}"/>
    <cellStyle name="Positive 4 11 3 2 8 2" xfId="35651" xr:uid="{00000000-0005-0000-0000-0000508B0000}"/>
    <cellStyle name="Positive 4 11 3 2 9" xfId="35652" xr:uid="{00000000-0005-0000-0000-0000518B0000}"/>
    <cellStyle name="Positive 4 11 3 2 9 2" xfId="35653" xr:uid="{00000000-0005-0000-0000-0000528B0000}"/>
    <cellStyle name="Positive 4 11 3 20" xfId="35654" xr:uid="{00000000-0005-0000-0000-0000538B0000}"/>
    <cellStyle name="Positive 4 11 3 3" xfId="35655" xr:uid="{00000000-0005-0000-0000-0000548B0000}"/>
    <cellStyle name="Positive 4 11 3 3 2" xfId="35656" xr:uid="{00000000-0005-0000-0000-0000558B0000}"/>
    <cellStyle name="Positive 4 11 3 3 2 2" xfId="35657" xr:uid="{00000000-0005-0000-0000-0000568B0000}"/>
    <cellStyle name="Positive 4 11 3 3 3" xfId="35658" xr:uid="{00000000-0005-0000-0000-0000578B0000}"/>
    <cellStyle name="Positive 4 11 3 4" xfId="35659" xr:uid="{00000000-0005-0000-0000-0000588B0000}"/>
    <cellStyle name="Positive 4 11 3 4 2" xfId="35660" xr:uid="{00000000-0005-0000-0000-0000598B0000}"/>
    <cellStyle name="Positive 4 11 3 4 2 2" xfId="35661" xr:uid="{00000000-0005-0000-0000-00005A8B0000}"/>
    <cellStyle name="Positive 4 11 3 4 3" xfId="35662" xr:uid="{00000000-0005-0000-0000-00005B8B0000}"/>
    <cellStyle name="Positive 4 11 3 5" xfId="35663" xr:uid="{00000000-0005-0000-0000-00005C8B0000}"/>
    <cellStyle name="Positive 4 11 3 5 2" xfId="35664" xr:uid="{00000000-0005-0000-0000-00005D8B0000}"/>
    <cellStyle name="Positive 4 11 3 6" xfId="35665" xr:uid="{00000000-0005-0000-0000-00005E8B0000}"/>
    <cellStyle name="Positive 4 11 3 6 2" xfId="35666" xr:uid="{00000000-0005-0000-0000-00005F8B0000}"/>
    <cellStyle name="Positive 4 11 3 7" xfId="35667" xr:uid="{00000000-0005-0000-0000-0000608B0000}"/>
    <cellStyle name="Positive 4 11 3 7 2" xfId="35668" xr:uid="{00000000-0005-0000-0000-0000618B0000}"/>
    <cellStyle name="Positive 4 11 3 8" xfId="35669" xr:uid="{00000000-0005-0000-0000-0000628B0000}"/>
    <cellStyle name="Positive 4 11 3 8 2" xfId="35670" xr:uid="{00000000-0005-0000-0000-0000638B0000}"/>
    <cellStyle name="Positive 4 11 3 9" xfId="35671" xr:uid="{00000000-0005-0000-0000-0000648B0000}"/>
    <cellStyle name="Positive 4 11 3 9 2" xfId="35672" xr:uid="{00000000-0005-0000-0000-0000658B0000}"/>
    <cellStyle name="Positive 4 11 4" xfId="35673" xr:uid="{00000000-0005-0000-0000-0000668B0000}"/>
    <cellStyle name="Positive 4 11 4 10" xfId="35674" xr:uid="{00000000-0005-0000-0000-0000678B0000}"/>
    <cellStyle name="Positive 4 11 4 10 2" xfId="35675" xr:uid="{00000000-0005-0000-0000-0000688B0000}"/>
    <cellStyle name="Positive 4 11 4 11" xfId="35676" xr:uid="{00000000-0005-0000-0000-0000698B0000}"/>
    <cellStyle name="Positive 4 11 4 11 2" xfId="35677" xr:uid="{00000000-0005-0000-0000-00006A8B0000}"/>
    <cellStyle name="Positive 4 11 4 12" xfId="35678" xr:uid="{00000000-0005-0000-0000-00006B8B0000}"/>
    <cellStyle name="Positive 4 11 4 12 2" xfId="35679" xr:uid="{00000000-0005-0000-0000-00006C8B0000}"/>
    <cellStyle name="Positive 4 11 4 13" xfId="35680" xr:uid="{00000000-0005-0000-0000-00006D8B0000}"/>
    <cellStyle name="Positive 4 11 4 13 2" xfId="35681" xr:uid="{00000000-0005-0000-0000-00006E8B0000}"/>
    <cellStyle name="Positive 4 11 4 14" xfId="35682" xr:uid="{00000000-0005-0000-0000-00006F8B0000}"/>
    <cellStyle name="Positive 4 11 4 14 2" xfId="35683" xr:uid="{00000000-0005-0000-0000-0000708B0000}"/>
    <cellStyle name="Positive 4 11 4 15" xfId="35684" xr:uid="{00000000-0005-0000-0000-0000718B0000}"/>
    <cellStyle name="Positive 4 11 4 15 2" xfId="35685" xr:uid="{00000000-0005-0000-0000-0000728B0000}"/>
    <cellStyle name="Positive 4 11 4 16" xfId="35686" xr:uid="{00000000-0005-0000-0000-0000738B0000}"/>
    <cellStyle name="Positive 4 11 4 16 2" xfId="35687" xr:uid="{00000000-0005-0000-0000-0000748B0000}"/>
    <cellStyle name="Positive 4 11 4 17" xfId="35688" xr:uid="{00000000-0005-0000-0000-0000758B0000}"/>
    <cellStyle name="Positive 4 11 4 17 2" xfId="35689" xr:uid="{00000000-0005-0000-0000-0000768B0000}"/>
    <cellStyle name="Positive 4 11 4 18" xfId="35690" xr:uid="{00000000-0005-0000-0000-0000778B0000}"/>
    <cellStyle name="Positive 4 11 4 18 2" xfId="35691" xr:uid="{00000000-0005-0000-0000-0000788B0000}"/>
    <cellStyle name="Positive 4 11 4 19" xfId="35692" xr:uid="{00000000-0005-0000-0000-0000798B0000}"/>
    <cellStyle name="Positive 4 11 4 19 2" xfId="35693" xr:uid="{00000000-0005-0000-0000-00007A8B0000}"/>
    <cellStyle name="Positive 4 11 4 2" xfId="35694" xr:uid="{00000000-0005-0000-0000-00007B8B0000}"/>
    <cellStyle name="Positive 4 11 4 2 10" xfId="35695" xr:uid="{00000000-0005-0000-0000-00007C8B0000}"/>
    <cellStyle name="Positive 4 11 4 2 10 2" xfId="35696" xr:uid="{00000000-0005-0000-0000-00007D8B0000}"/>
    <cellStyle name="Positive 4 11 4 2 11" xfId="35697" xr:uid="{00000000-0005-0000-0000-00007E8B0000}"/>
    <cellStyle name="Positive 4 11 4 2 11 2" xfId="35698" xr:uid="{00000000-0005-0000-0000-00007F8B0000}"/>
    <cellStyle name="Positive 4 11 4 2 12" xfId="35699" xr:uid="{00000000-0005-0000-0000-0000808B0000}"/>
    <cellStyle name="Positive 4 11 4 2 12 2" xfId="35700" xr:uid="{00000000-0005-0000-0000-0000818B0000}"/>
    <cellStyle name="Positive 4 11 4 2 13" xfId="35701" xr:uid="{00000000-0005-0000-0000-0000828B0000}"/>
    <cellStyle name="Positive 4 11 4 2 13 2" xfId="35702" xr:uid="{00000000-0005-0000-0000-0000838B0000}"/>
    <cellStyle name="Positive 4 11 4 2 14" xfId="35703" xr:uid="{00000000-0005-0000-0000-0000848B0000}"/>
    <cellStyle name="Positive 4 11 4 2 14 2" xfId="35704" xr:uid="{00000000-0005-0000-0000-0000858B0000}"/>
    <cellStyle name="Positive 4 11 4 2 15" xfId="35705" xr:uid="{00000000-0005-0000-0000-0000868B0000}"/>
    <cellStyle name="Positive 4 11 4 2 15 2" xfId="35706" xr:uid="{00000000-0005-0000-0000-0000878B0000}"/>
    <cellStyle name="Positive 4 11 4 2 16" xfId="35707" xr:uid="{00000000-0005-0000-0000-0000888B0000}"/>
    <cellStyle name="Positive 4 11 4 2 16 2" xfId="35708" xr:uid="{00000000-0005-0000-0000-0000898B0000}"/>
    <cellStyle name="Positive 4 11 4 2 17" xfId="35709" xr:uid="{00000000-0005-0000-0000-00008A8B0000}"/>
    <cellStyle name="Positive 4 11 4 2 2" xfId="35710" xr:uid="{00000000-0005-0000-0000-00008B8B0000}"/>
    <cellStyle name="Positive 4 11 4 2 2 2" xfId="35711" xr:uid="{00000000-0005-0000-0000-00008C8B0000}"/>
    <cellStyle name="Positive 4 11 4 2 3" xfId="35712" xr:uid="{00000000-0005-0000-0000-00008D8B0000}"/>
    <cellStyle name="Positive 4 11 4 2 3 2" xfId="35713" xr:uid="{00000000-0005-0000-0000-00008E8B0000}"/>
    <cellStyle name="Positive 4 11 4 2 4" xfId="35714" xr:uid="{00000000-0005-0000-0000-00008F8B0000}"/>
    <cellStyle name="Positive 4 11 4 2 4 2" xfId="35715" xr:uid="{00000000-0005-0000-0000-0000908B0000}"/>
    <cellStyle name="Positive 4 11 4 2 5" xfId="35716" xr:uid="{00000000-0005-0000-0000-0000918B0000}"/>
    <cellStyle name="Positive 4 11 4 2 5 2" xfId="35717" xr:uid="{00000000-0005-0000-0000-0000928B0000}"/>
    <cellStyle name="Positive 4 11 4 2 6" xfId="35718" xr:uid="{00000000-0005-0000-0000-0000938B0000}"/>
    <cellStyle name="Positive 4 11 4 2 6 2" xfId="35719" xr:uid="{00000000-0005-0000-0000-0000948B0000}"/>
    <cellStyle name="Positive 4 11 4 2 7" xfId="35720" xr:uid="{00000000-0005-0000-0000-0000958B0000}"/>
    <cellStyle name="Positive 4 11 4 2 7 2" xfId="35721" xr:uid="{00000000-0005-0000-0000-0000968B0000}"/>
    <cellStyle name="Positive 4 11 4 2 8" xfId="35722" xr:uid="{00000000-0005-0000-0000-0000978B0000}"/>
    <cellStyle name="Positive 4 11 4 2 8 2" xfId="35723" xr:uid="{00000000-0005-0000-0000-0000988B0000}"/>
    <cellStyle name="Positive 4 11 4 2 9" xfId="35724" xr:uid="{00000000-0005-0000-0000-0000998B0000}"/>
    <cellStyle name="Positive 4 11 4 2 9 2" xfId="35725" xr:uid="{00000000-0005-0000-0000-00009A8B0000}"/>
    <cellStyle name="Positive 4 11 4 20" xfId="35726" xr:uid="{00000000-0005-0000-0000-00009B8B0000}"/>
    <cellStyle name="Positive 4 11 4 3" xfId="35727" xr:uid="{00000000-0005-0000-0000-00009C8B0000}"/>
    <cellStyle name="Positive 4 11 4 3 2" xfId="35728" xr:uid="{00000000-0005-0000-0000-00009D8B0000}"/>
    <cellStyle name="Positive 4 11 4 3 2 2" xfId="35729" xr:uid="{00000000-0005-0000-0000-00009E8B0000}"/>
    <cellStyle name="Positive 4 11 4 3 3" xfId="35730" xr:uid="{00000000-0005-0000-0000-00009F8B0000}"/>
    <cellStyle name="Positive 4 11 4 4" xfId="35731" xr:uid="{00000000-0005-0000-0000-0000A08B0000}"/>
    <cellStyle name="Positive 4 11 4 4 2" xfId="35732" xr:uid="{00000000-0005-0000-0000-0000A18B0000}"/>
    <cellStyle name="Positive 4 11 4 4 2 2" xfId="35733" xr:uid="{00000000-0005-0000-0000-0000A28B0000}"/>
    <cellStyle name="Positive 4 11 4 4 3" xfId="35734" xr:uid="{00000000-0005-0000-0000-0000A38B0000}"/>
    <cellStyle name="Positive 4 11 4 5" xfId="35735" xr:uid="{00000000-0005-0000-0000-0000A48B0000}"/>
    <cellStyle name="Positive 4 11 4 5 2" xfId="35736" xr:uid="{00000000-0005-0000-0000-0000A58B0000}"/>
    <cellStyle name="Positive 4 11 4 6" xfId="35737" xr:uid="{00000000-0005-0000-0000-0000A68B0000}"/>
    <cellStyle name="Positive 4 11 4 6 2" xfId="35738" xr:uid="{00000000-0005-0000-0000-0000A78B0000}"/>
    <cellStyle name="Positive 4 11 4 7" xfId="35739" xr:uid="{00000000-0005-0000-0000-0000A88B0000}"/>
    <cellStyle name="Positive 4 11 4 7 2" xfId="35740" xr:uid="{00000000-0005-0000-0000-0000A98B0000}"/>
    <cellStyle name="Positive 4 11 4 8" xfId="35741" xr:uid="{00000000-0005-0000-0000-0000AA8B0000}"/>
    <cellStyle name="Positive 4 11 4 8 2" xfId="35742" xr:uid="{00000000-0005-0000-0000-0000AB8B0000}"/>
    <cellStyle name="Positive 4 11 4 9" xfId="35743" xr:uid="{00000000-0005-0000-0000-0000AC8B0000}"/>
    <cellStyle name="Positive 4 11 4 9 2" xfId="35744" xr:uid="{00000000-0005-0000-0000-0000AD8B0000}"/>
    <cellStyle name="Positive 4 11 5" xfId="35745" xr:uid="{00000000-0005-0000-0000-0000AE8B0000}"/>
    <cellStyle name="Positive 4 11 5 10" xfId="35746" xr:uid="{00000000-0005-0000-0000-0000AF8B0000}"/>
    <cellStyle name="Positive 4 11 5 10 2" xfId="35747" xr:uid="{00000000-0005-0000-0000-0000B08B0000}"/>
    <cellStyle name="Positive 4 11 5 11" xfId="35748" xr:uid="{00000000-0005-0000-0000-0000B18B0000}"/>
    <cellStyle name="Positive 4 11 5 11 2" xfId="35749" xr:uid="{00000000-0005-0000-0000-0000B28B0000}"/>
    <cellStyle name="Positive 4 11 5 12" xfId="35750" xr:uid="{00000000-0005-0000-0000-0000B38B0000}"/>
    <cellStyle name="Positive 4 11 5 12 2" xfId="35751" xr:uid="{00000000-0005-0000-0000-0000B48B0000}"/>
    <cellStyle name="Positive 4 11 5 13" xfId="35752" xr:uid="{00000000-0005-0000-0000-0000B58B0000}"/>
    <cellStyle name="Positive 4 11 5 13 2" xfId="35753" xr:uid="{00000000-0005-0000-0000-0000B68B0000}"/>
    <cellStyle name="Positive 4 11 5 14" xfId="35754" xr:uid="{00000000-0005-0000-0000-0000B78B0000}"/>
    <cellStyle name="Positive 4 11 5 14 2" xfId="35755" xr:uid="{00000000-0005-0000-0000-0000B88B0000}"/>
    <cellStyle name="Positive 4 11 5 15" xfId="35756" xr:uid="{00000000-0005-0000-0000-0000B98B0000}"/>
    <cellStyle name="Positive 4 11 5 15 2" xfId="35757" xr:uid="{00000000-0005-0000-0000-0000BA8B0000}"/>
    <cellStyle name="Positive 4 11 5 16" xfId="35758" xr:uid="{00000000-0005-0000-0000-0000BB8B0000}"/>
    <cellStyle name="Positive 4 11 5 16 2" xfId="35759" xr:uid="{00000000-0005-0000-0000-0000BC8B0000}"/>
    <cellStyle name="Positive 4 11 5 17" xfId="35760" xr:uid="{00000000-0005-0000-0000-0000BD8B0000}"/>
    <cellStyle name="Positive 4 11 5 2" xfId="35761" xr:uid="{00000000-0005-0000-0000-0000BE8B0000}"/>
    <cellStyle name="Positive 4 11 5 2 2" xfId="35762" xr:uid="{00000000-0005-0000-0000-0000BF8B0000}"/>
    <cellStyle name="Positive 4 11 5 3" xfId="35763" xr:uid="{00000000-0005-0000-0000-0000C08B0000}"/>
    <cellStyle name="Positive 4 11 5 3 2" xfId="35764" xr:uid="{00000000-0005-0000-0000-0000C18B0000}"/>
    <cellStyle name="Positive 4 11 5 4" xfId="35765" xr:uid="{00000000-0005-0000-0000-0000C28B0000}"/>
    <cellStyle name="Positive 4 11 5 4 2" xfId="35766" xr:uid="{00000000-0005-0000-0000-0000C38B0000}"/>
    <cellStyle name="Positive 4 11 5 5" xfId="35767" xr:uid="{00000000-0005-0000-0000-0000C48B0000}"/>
    <cellStyle name="Positive 4 11 5 5 2" xfId="35768" xr:uid="{00000000-0005-0000-0000-0000C58B0000}"/>
    <cellStyle name="Positive 4 11 5 6" xfId="35769" xr:uid="{00000000-0005-0000-0000-0000C68B0000}"/>
    <cellStyle name="Positive 4 11 5 6 2" xfId="35770" xr:uid="{00000000-0005-0000-0000-0000C78B0000}"/>
    <cellStyle name="Positive 4 11 5 7" xfId="35771" xr:uid="{00000000-0005-0000-0000-0000C88B0000}"/>
    <cellStyle name="Positive 4 11 5 7 2" xfId="35772" xr:uid="{00000000-0005-0000-0000-0000C98B0000}"/>
    <cellStyle name="Positive 4 11 5 8" xfId="35773" xr:uid="{00000000-0005-0000-0000-0000CA8B0000}"/>
    <cellStyle name="Positive 4 11 5 8 2" xfId="35774" xr:uid="{00000000-0005-0000-0000-0000CB8B0000}"/>
    <cellStyle name="Positive 4 11 5 9" xfId="35775" xr:uid="{00000000-0005-0000-0000-0000CC8B0000}"/>
    <cellStyle name="Positive 4 11 5 9 2" xfId="35776" xr:uid="{00000000-0005-0000-0000-0000CD8B0000}"/>
    <cellStyle name="Positive 4 11 6" xfId="35777" xr:uid="{00000000-0005-0000-0000-0000CE8B0000}"/>
    <cellStyle name="Positive 4 11 6 2" xfId="35778" xr:uid="{00000000-0005-0000-0000-0000CF8B0000}"/>
    <cellStyle name="Positive 4 11 6 2 2" xfId="35779" xr:uid="{00000000-0005-0000-0000-0000D08B0000}"/>
    <cellStyle name="Positive 4 11 6 3" xfId="35780" xr:uid="{00000000-0005-0000-0000-0000D18B0000}"/>
    <cellStyle name="Positive 4 11 7" xfId="35781" xr:uid="{00000000-0005-0000-0000-0000D28B0000}"/>
    <cellStyle name="Positive 4 11 7 2" xfId="35782" xr:uid="{00000000-0005-0000-0000-0000D38B0000}"/>
    <cellStyle name="Positive 4 11 7 2 2" xfId="35783" xr:uid="{00000000-0005-0000-0000-0000D48B0000}"/>
    <cellStyle name="Positive 4 11 7 3" xfId="35784" xr:uid="{00000000-0005-0000-0000-0000D58B0000}"/>
    <cellStyle name="Positive 4 11 8" xfId="35785" xr:uid="{00000000-0005-0000-0000-0000D68B0000}"/>
    <cellStyle name="Positive 4 11 8 2" xfId="35786" xr:uid="{00000000-0005-0000-0000-0000D78B0000}"/>
    <cellStyle name="Positive 4 11 9" xfId="35787" xr:uid="{00000000-0005-0000-0000-0000D88B0000}"/>
    <cellStyle name="Positive 4 11 9 2" xfId="35788" xr:uid="{00000000-0005-0000-0000-0000D98B0000}"/>
    <cellStyle name="Positive 4 12" xfId="35789" xr:uid="{00000000-0005-0000-0000-0000DA8B0000}"/>
    <cellStyle name="Positive 4 12 10" xfId="35790" xr:uid="{00000000-0005-0000-0000-0000DB8B0000}"/>
    <cellStyle name="Positive 4 12 10 2" xfId="35791" xr:uid="{00000000-0005-0000-0000-0000DC8B0000}"/>
    <cellStyle name="Positive 4 12 11" xfId="35792" xr:uid="{00000000-0005-0000-0000-0000DD8B0000}"/>
    <cellStyle name="Positive 4 12 11 2" xfId="35793" xr:uid="{00000000-0005-0000-0000-0000DE8B0000}"/>
    <cellStyle name="Positive 4 12 12" xfId="35794" xr:uid="{00000000-0005-0000-0000-0000DF8B0000}"/>
    <cellStyle name="Positive 4 12 12 2" xfId="35795" xr:uid="{00000000-0005-0000-0000-0000E08B0000}"/>
    <cellStyle name="Positive 4 12 13" xfId="35796" xr:uid="{00000000-0005-0000-0000-0000E18B0000}"/>
    <cellStyle name="Positive 4 12 13 2" xfId="35797" xr:uid="{00000000-0005-0000-0000-0000E28B0000}"/>
    <cellStyle name="Positive 4 12 14" xfId="35798" xr:uid="{00000000-0005-0000-0000-0000E38B0000}"/>
    <cellStyle name="Positive 4 12 14 2" xfId="35799" xr:uid="{00000000-0005-0000-0000-0000E48B0000}"/>
    <cellStyle name="Positive 4 12 15" xfId="35800" xr:uid="{00000000-0005-0000-0000-0000E58B0000}"/>
    <cellStyle name="Positive 4 12 15 2" xfId="35801" xr:uid="{00000000-0005-0000-0000-0000E68B0000}"/>
    <cellStyle name="Positive 4 12 16" xfId="35802" xr:uid="{00000000-0005-0000-0000-0000E78B0000}"/>
    <cellStyle name="Positive 4 12 16 2" xfId="35803" xr:uid="{00000000-0005-0000-0000-0000E88B0000}"/>
    <cellStyle name="Positive 4 12 17" xfId="35804" xr:uid="{00000000-0005-0000-0000-0000E98B0000}"/>
    <cellStyle name="Positive 4 12 17 2" xfId="35805" xr:uid="{00000000-0005-0000-0000-0000EA8B0000}"/>
    <cellStyle name="Positive 4 12 18" xfId="35806" xr:uid="{00000000-0005-0000-0000-0000EB8B0000}"/>
    <cellStyle name="Positive 4 12 18 2" xfId="35807" xr:uid="{00000000-0005-0000-0000-0000EC8B0000}"/>
    <cellStyle name="Positive 4 12 19" xfId="35808" xr:uid="{00000000-0005-0000-0000-0000ED8B0000}"/>
    <cellStyle name="Positive 4 12 19 2" xfId="35809" xr:uid="{00000000-0005-0000-0000-0000EE8B0000}"/>
    <cellStyle name="Positive 4 12 2" xfId="35810" xr:uid="{00000000-0005-0000-0000-0000EF8B0000}"/>
    <cellStyle name="Positive 4 12 2 10" xfId="35811" xr:uid="{00000000-0005-0000-0000-0000F08B0000}"/>
    <cellStyle name="Positive 4 12 2 10 2" xfId="35812" xr:uid="{00000000-0005-0000-0000-0000F18B0000}"/>
    <cellStyle name="Positive 4 12 2 11" xfId="35813" xr:uid="{00000000-0005-0000-0000-0000F28B0000}"/>
    <cellStyle name="Positive 4 12 2 11 2" xfId="35814" xr:uid="{00000000-0005-0000-0000-0000F38B0000}"/>
    <cellStyle name="Positive 4 12 2 12" xfId="35815" xr:uid="{00000000-0005-0000-0000-0000F48B0000}"/>
    <cellStyle name="Positive 4 12 2 12 2" xfId="35816" xr:uid="{00000000-0005-0000-0000-0000F58B0000}"/>
    <cellStyle name="Positive 4 12 2 13" xfId="35817" xr:uid="{00000000-0005-0000-0000-0000F68B0000}"/>
    <cellStyle name="Positive 4 12 2 13 2" xfId="35818" xr:uid="{00000000-0005-0000-0000-0000F78B0000}"/>
    <cellStyle name="Positive 4 12 2 14" xfId="35819" xr:uid="{00000000-0005-0000-0000-0000F88B0000}"/>
    <cellStyle name="Positive 4 12 2 14 2" xfId="35820" xr:uid="{00000000-0005-0000-0000-0000F98B0000}"/>
    <cellStyle name="Positive 4 12 2 15" xfId="35821" xr:uid="{00000000-0005-0000-0000-0000FA8B0000}"/>
    <cellStyle name="Positive 4 12 2 15 2" xfId="35822" xr:uid="{00000000-0005-0000-0000-0000FB8B0000}"/>
    <cellStyle name="Positive 4 12 2 16" xfId="35823" xr:uid="{00000000-0005-0000-0000-0000FC8B0000}"/>
    <cellStyle name="Positive 4 12 2 16 2" xfId="35824" xr:uid="{00000000-0005-0000-0000-0000FD8B0000}"/>
    <cellStyle name="Positive 4 12 2 17" xfId="35825" xr:uid="{00000000-0005-0000-0000-0000FE8B0000}"/>
    <cellStyle name="Positive 4 12 2 17 2" xfId="35826" xr:uid="{00000000-0005-0000-0000-0000FF8B0000}"/>
    <cellStyle name="Positive 4 12 2 18" xfId="35827" xr:uid="{00000000-0005-0000-0000-0000008C0000}"/>
    <cellStyle name="Positive 4 12 2 18 2" xfId="35828" xr:uid="{00000000-0005-0000-0000-0000018C0000}"/>
    <cellStyle name="Positive 4 12 2 19" xfId="35829" xr:uid="{00000000-0005-0000-0000-0000028C0000}"/>
    <cellStyle name="Positive 4 12 2 19 2" xfId="35830" xr:uid="{00000000-0005-0000-0000-0000038C0000}"/>
    <cellStyle name="Positive 4 12 2 2" xfId="35831" xr:uid="{00000000-0005-0000-0000-0000048C0000}"/>
    <cellStyle name="Positive 4 12 2 2 10" xfId="35832" xr:uid="{00000000-0005-0000-0000-0000058C0000}"/>
    <cellStyle name="Positive 4 12 2 2 10 2" xfId="35833" xr:uid="{00000000-0005-0000-0000-0000068C0000}"/>
    <cellStyle name="Positive 4 12 2 2 11" xfId="35834" xr:uid="{00000000-0005-0000-0000-0000078C0000}"/>
    <cellStyle name="Positive 4 12 2 2 11 2" xfId="35835" xr:uid="{00000000-0005-0000-0000-0000088C0000}"/>
    <cellStyle name="Positive 4 12 2 2 12" xfId="35836" xr:uid="{00000000-0005-0000-0000-0000098C0000}"/>
    <cellStyle name="Positive 4 12 2 2 12 2" xfId="35837" xr:uid="{00000000-0005-0000-0000-00000A8C0000}"/>
    <cellStyle name="Positive 4 12 2 2 13" xfId="35838" xr:uid="{00000000-0005-0000-0000-00000B8C0000}"/>
    <cellStyle name="Positive 4 12 2 2 13 2" xfId="35839" xr:uid="{00000000-0005-0000-0000-00000C8C0000}"/>
    <cellStyle name="Positive 4 12 2 2 14" xfId="35840" xr:uid="{00000000-0005-0000-0000-00000D8C0000}"/>
    <cellStyle name="Positive 4 12 2 2 14 2" xfId="35841" xr:uid="{00000000-0005-0000-0000-00000E8C0000}"/>
    <cellStyle name="Positive 4 12 2 2 15" xfId="35842" xr:uid="{00000000-0005-0000-0000-00000F8C0000}"/>
    <cellStyle name="Positive 4 12 2 2 15 2" xfId="35843" xr:uid="{00000000-0005-0000-0000-0000108C0000}"/>
    <cellStyle name="Positive 4 12 2 2 16" xfId="35844" xr:uid="{00000000-0005-0000-0000-0000118C0000}"/>
    <cellStyle name="Positive 4 12 2 2 16 2" xfId="35845" xr:uid="{00000000-0005-0000-0000-0000128C0000}"/>
    <cellStyle name="Positive 4 12 2 2 17" xfId="35846" xr:uid="{00000000-0005-0000-0000-0000138C0000}"/>
    <cellStyle name="Positive 4 12 2 2 2" xfId="35847" xr:uid="{00000000-0005-0000-0000-0000148C0000}"/>
    <cellStyle name="Positive 4 12 2 2 2 2" xfId="35848" xr:uid="{00000000-0005-0000-0000-0000158C0000}"/>
    <cellStyle name="Positive 4 12 2 2 3" xfId="35849" xr:uid="{00000000-0005-0000-0000-0000168C0000}"/>
    <cellStyle name="Positive 4 12 2 2 3 2" xfId="35850" xr:uid="{00000000-0005-0000-0000-0000178C0000}"/>
    <cellStyle name="Positive 4 12 2 2 4" xfId="35851" xr:uid="{00000000-0005-0000-0000-0000188C0000}"/>
    <cellStyle name="Positive 4 12 2 2 4 2" xfId="35852" xr:uid="{00000000-0005-0000-0000-0000198C0000}"/>
    <cellStyle name="Positive 4 12 2 2 5" xfId="35853" xr:uid="{00000000-0005-0000-0000-00001A8C0000}"/>
    <cellStyle name="Positive 4 12 2 2 5 2" xfId="35854" xr:uid="{00000000-0005-0000-0000-00001B8C0000}"/>
    <cellStyle name="Positive 4 12 2 2 6" xfId="35855" xr:uid="{00000000-0005-0000-0000-00001C8C0000}"/>
    <cellStyle name="Positive 4 12 2 2 6 2" xfId="35856" xr:uid="{00000000-0005-0000-0000-00001D8C0000}"/>
    <cellStyle name="Positive 4 12 2 2 7" xfId="35857" xr:uid="{00000000-0005-0000-0000-00001E8C0000}"/>
    <cellStyle name="Positive 4 12 2 2 7 2" xfId="35858" xr:uid="{00000000-0005-0000-0000-00001F8C0000}"/>
    <cellStyle name="Positive 4 12 2 2 8" xfId="35859" xr:uid="{00000000-0005-0000-0000-0000208C0000}"/>
    <cellStyle name="Positive 4 12 2 2 8 2" xfId="35860" xr:uid="{00000000-0005-0000-0000-0000218C0000}"/>
    <cellStyle name="Positive 4 12 2 2 9" xfId="35861" xr:uid="{00000000-0005-0000-0000-0000228C0000}"/>
    <cellStyle name="Positive 4 12 2 2 9 2" xfId="35862" xr:uid="{00000000-0005-0000-0000-0000238C0000}"/>
    <cellStyle name="Positive 4 12 2 20" xfId="35863" xr:uid="{00000000-0005-0000-0000-0000248C0000}"/>
    <cellStyle name="Positive 4 12 2 3" xfId="35864" xr:uid="{00000000-0005-0000-0000-0000258C0000}"/>
    <cellStyle name="Positive 4 12 2 3 2" xfId="35865" xr:uid="{00000000-0005-0000-0000-0000268C0000}"/>
    <cellStyle name="Positive 4 12 2 3 2 2" xfId="35866" xr:uid="{00000000-0005-0000-0000-0000278C0000}"/>
    <cellStyle name="Positive 4 12 2 3 3" xfId="35867" xr:uid="{00000000-0005-0000-0000-0000288C0000}"/>
    <cellStyle name="Positive 4 12 2 4" xfId="35868" xr:uid="{00000000-0005-0000-0000-0000298C0000}"/>
    <cellStyle name="Positive 4 12 2 4 2" xfId="35869" xr:uid="{00000000-0005-0000-0000-00002A8C0000}"/>
    <cellStyle name="Positive 4 12 2 4 2 2" xfId="35870" xr:uid="{00000000-0005-0000-0000-00002B8C0000}"/>
    <cellStyle name="Positive 4 12 2 4 3" xfId="35871" xr:uid="{00000000-0005-0000-0000-00002C8C0000}"/>
    <cellStyle name="Positive 4 12 2 5" xfId="35872" xr:uid="{00000000-0005-0000-0000-00002D8C0000}"/>
    <cellStyle name="Positive 4 12 2 5 2" xfId="35873" xr:uid="{00000000-0005-0000-0000-00002E8C0000}"/>
    <cellStyle name="Positive 4 12 2 6" xfId="35874" xr:uid="{00000000-0005-0000-0000-00002F8C0000}"/>
    <cellStyle name="Positive 4 12 2 6 2" xfId="35875" xr:uid="{00000000-0005-0000-0000-0000308C0000}"/>
    <cellStyle name="Positive 4 12 2 7" xfId="35876" xr:uid="{00000000-0005-0000-0000-0000318C0000}"/>
    <cellStyle name="Positive 4 12 2 7 2" xfId="35877" xr:uid="{00000000-0005-0000-0000-0000328C0000}"/>
    <cellStyle name="Positive 4 12 2 8" xfId="35878" xr:uid="{00000000-0005-0000-0000-0000338C0000}"/>
    <cellStyle name="Positive 4 12 2 8 2" xfId="35879" xr:uid="{00000000-0005-0000-0000-0000348C0000}"/>
    <cellStyle name="Positive 4 12 2 9" xfId="35880" xr:uid="{00000000-0005-0000-0000-0000358C0000}"/>
    <cellStyle name="Positive 4 12 2 9 2" xfId="35881" xr:uid="{00000000-0005-0000-0000-0000368C0000}"/>
    <cellStyle name="Positive 4 12 20" xfId="35882" xr:uid="{00000000-0005-0000-0000-0000378C0000}"/>
    <cellStyle name="Positive 4 12 20 2" xfId="35883" xr:uid="{00000000-0005-0000-0000-0000388C0000}"/>
    <cellStyle name="Positive 4 12 21" xfId="35884" xr:uid="{00000000-0005-0000-0000-0000398C0000}"/>
    <cellStyle name="Positive 4 12 21 2" xfId="35885" xr:uid="{00000000-0005-0000-0000-00003A8C0000}"/>
    <cellStyle name="Positive 4 12 22" xfId="35886" xr:uid="{00000000-0005-0000-0000-00003B8C0000}"/>
    <cellStyle name="Positive 4 12 22 2" xfId="35887" xr:uid="{00000000-0005-0000-0000-00003C8C0000}"/>
    <cellStyle name="Positive 4 12 23" xfId="35888" xr:uid="{00000000-0005-0000-0000-00003D8C0000}"/>
    <cellStyle name="Positive 4 12 3" xfId="35889" xr:uid="{00000000-0005-0000-0000-00003E8C0000}"/>
    <cellStyle name="Positive 4 12 3 10" xfId="35890" xr:uid="{00000000-0005-0000-0000-00003F8C0000}"/>
    <cellStyle name="Positive 4 12 3 10 2" xfId="35891" xr:uid="{00000000-0005-0000-0000-0000408C0000}"/>
    <cellStyle name="Positive 4 12 3 11" xfId="35892" xr:uid="{00000000-0005-0000-0000-0000418C0000}"/>
    <cellStyle name="Positive 4 12 3 11 2" xfId="35893" xr:uid="{00000000-0005-0000-0000-0000428C0000}"/>
    <cellStyle name="Positive 4 12 3 12" xfId="35894" xr:uid="{00000000-0005-0000-0000-0000438C0000}"/>
    <cellStyle name="Positive 4 12 3 12 2" xfId="35895" xr:uid="{00000000-0005-0000-0000-0000448C0000}"/>
    <cellStyle name="Positive 4 12 3 13" xfId="35896" xr:uid="{00000000-0005-0000-0000-0000458C0000}"/>
    <cellStyle name="Positive 4 12 3 13 2" xfId="35897" xr:uid="{00000000-0005-0000-0000-0000468C0000}"/>
    <cellStyle name="Positive 4 12 3 14" xfId="35898" xr:uid="{00000000-0005-0000-0000-0000478C0000}"/>
    <cellStyle name="Positive 4 12 3 14 2" xfId="35899" xr:uid="{00000000-0005-0000-0000-0000488C0000}"/>
    <cellStyle name="Positive 4 12 3 15" xfId="35900" xr:uid="{00000000-0005-0000-0000-0000498C0000}"/>
    <cellStyle name="Positive 4 12 3 15 2" xfId="35901" xr:uid="{00000000-0005-0000-0000-00004A8C0000}"/>
    <cellStyle name="Positive 4 12 3 16" xfId="35902" xr:uid="{00000000-0005-0000-0000-00004B8C0000}"/>
    <cellStyle name="Positive 4 12 3 16 2" xfId="35903" xr:uid="{00000000-0005-0000-0000-00004C8C0000}"/>
    <cellStyle name="Positive 4 12 3 17" xfId="35904" xr:uid="{00000000-0005-0000-0000-00004D8C0000}"/>
    <cellStyle name="Positive 4 12 3 17 2" xfId="35905" xr:uid="{00000000-0005-0000-0000-00004E8C0000}"/>
    <cellStyle name="Positive 4 12 3 18" xfId="35906" xr:uid="{00000000-0005-0000-0000-00004F8C0000}"/>
    <cellStyle name="Positive 4 12 3 18 2" xfId="35907" xr:uid="{00000000-0005-0000-0000-0000508C0000}"/>
    <cellStyle name="Positive 4 12 3 19" xfId="35908" xr:uid="{00000000-0005-0000-0000-0000518C0000}"/>
    <cellStyle name="Positive 4 12 3 19 2" xfId="35909" xr:uid="{00000000-0005-0000-0000-0000528C0000}"/>
    <cellStyle name="Positive 4 12 3 2" xfId="35910" xr:uid="{00000000-0005-0000-0000-0000538C0000}"/>
    <cellStyle name="Positive 4 12 3 2 10" xfId="35911" xr:uid="{00000000-0005-0000-0000-0000548C0000}"/>
    <cellStyle name="Positive 4 12 3 2 10 2" xfId="35912" xr:uid="{00000000-0005-0000-0000-0000558C0000}"/>
    <cellStyle name="Positive 4 12 3 2 11" xfId="35913" xr:uid="{00000000-0005-0000-0000-0000568C0000}"/>
    <cellStyle name="Positive 4 12 3 2 11 2" xfId="35914" xr:uid="{00000000-0005-0000-0000-0000578C0000}"/>
    <cellStyle name="Positive 4 12 3 2 12" xfId="35915" xr:uid="{00000000-0005-0000-0000-0000588C0000}"/>
    <cellStyle name="Positive 4 12 3 2 12 2" xfId="35916" xr:uid="{00000000-0005-0000-0000-0000598C0000}"/>
    <cellStyle name="Positive 4 12 3 2 13" xfId="35917" xr:uid="{00000000-0005-0000-0000-00005A8C0000}"/>
    <cellStyle name="Positive 4 12 3 2 13 2" xfId="35918" xr:uid="{00000000-0005-0000-0000-00005B8C0000}"/>
    <cellStyle name="Positive 4 12 3 2 14" xfId="35919" xr:uid="{00000000-0005-0000-0000-00005C8C0000}"/>
    <cellStyle name="Positive 4 12 3 2 14 2" xfId="35920" xr:uid="{00000000-0005-0000-0000-00005D8C0000}"/>
    <cellStyle name="Positive 4 12 3 2 15" xfId="35921" xr:uid="{00000000-0005-0000-0000-00005E8C0000}"/>
    <cellStyle name="Positive 4 12 3 2 15 2" xfId="35922" xr:uid="{00000000-0005-0000-0000-00005F8C0000}"/>
    <cellStyle name="Positive 4 12 3 2 16" xfId="35923" xr:uid="{00000000-0005-0000-0000-0000608C0000}"/>
    <cellStyle name="Positive 4 12 3 2 16 2" xfId="35924" xr:uid="{00000000-0005-0000-0000-0000618C0000}"/>
    <cellStyle name="Positive 4 12 3 2 17" xfId="35925" xr:uid="{00000000-0005-0000-0000-0000628C0000}"/>
    <cellStyle name="Positive 4 12 3 2 2" xfId="35926" xr:uid="{00000000-0005-0000-0000-0000638C0000}"/>
    <cellStyle name="Positive 4 12 3 2 2 2" xfId="35927" xr:uid="{00000000-0005-0000-0000-0000648C0000}"/>
    <cellStyle name="Positive 4 12 3 2 3" xfId="35928" xr:uid="{00000000-0005-0000-0000-0000658C0000}"/>
    <cellStyle name="Positive 4 12 3 2 3 2" xfId="35929" xr:uid="{00000000-0005-0000-0000-0000668C0000}"/>
    <cellStyle name="Positive 4 12 3 2 4" xfId="35930" xr:uid="{00000000-0005-0000-0000-0000678C0000}"/>
    <cellStyle name="Positive 4 12 3 2 4 2" xfId="35931" xr:uid="{00000000-0005-0000-0000-0000688C0000}"/>
    <cellStyle name="Positive 4 12 3 2 5" xfId="35932" xr:uid="{00000000-0005-0000-0000-0000698C0000}"/>
    <cellStyle name="Positive 4 12 3 2 5 2" xfId="35933" xr:uid="{00000000-0005-0000-0000-00006A8C0000}"/>
    <cellStyle name="Positive 4 12 3 2 6" xfId="35934" xr:uid="{00000000-0005-0000-0000-00006B8C0000}"/>
    <cellStyle name="Positive 4 12 3 2 6 2" xfId="35935" xr:uid="{00000000-0005-0000-0000-00006C8C0000}"/>
    <cellStyle name="Positive 4 12 3 2 7" xfId="35936" xr:uid="{00000000-0005-0000-0000-00006D8C0000}"/>
    <cellStyle name="Positive 4 12 3 2 7 2" xfId="35937" xr:uid="{00000000-0005-0000-0000-00006E8C0000}"/>
    <cellStyle name="Positive 4 12 3 2 8" xfId="35938" xr:uid="{00000000-0005-0000-0000-00006F8C0000}"/>
    <cellStyle name="Positive 4 12 3 2 8 2" xfId="35939" xr:uid="{00000000-0005-0000-0000-0000708C0000}"/>
    <cellStyle name="Positive 4 12 3 2 9" xfId="35940" xr:uid="{00000000-0005-0000-0000-0000718C0000}"/>
    <cellStyle name="Positive 4 12 3 2 9 2" xfId="35941" xr:uid="{00000000-0005-0000-0000-0000728C0000}"/>
    <cellStyle name="Positive 4 12 3 20" xfId="35942" xr:uid="{00000000-0005-0000-0000-0000738C0000}"/>
    <cellStyle name="Positive 4 12 3 3" xfId="35943" xr:uid="{00000000-0005-0000-0000-0000748C0000}"/>
    <cellStyle name="Positive 4 12 3 3 2" xfId="35944" xr:uid="{00000000-0005-0000-0000-0000758C0000}"/>
    <cellStyle name="Positive 4 12 3 3 2 2" xfId="35945" xr:uid="{00000000-0005-0000-0000-0000768C0000}"/>
    <cellStyle name="Positive 4 12 3 3 3" xfId="35946" xr:uid="{00000000-0005-0000-0000-0000778C0000}"/>
    <cellStyle name="Positive 4 12 3 4" xfId="35947" xr:uid="{00000000-0005-0000-0000-0000788C0000}"/>
    <cellStyle name="Positive 4 12 3 4 2" xfId="35948" xr:uid="{00000000-0005-0000-0000-0000798C0000}"/>
    <cellStyle name="Positive 4 12 3 4 2 2" xfId="35949" xr:uid="{00000000-0005-0000-0000-00007A8C0000}"/>
    <cellStyle name="Positive 4 12 3 4 3" xfId="35950" xr:uid="{00000000-0005-0000-0000-00007B8C0000}"/>
    <cellStyle name="Positive 4 12 3 5" xfId="35951" xr:uid="{00000000-0005-0000-0000-00007C8C0000}"/>
    <cellStyle name="Positive 4 12 3 5 2" xfId="35952" xr:uid="{00000000-0005-0000-0000-00007D8C0000}"/>
    <cellStyle name="Positive 4 12 3 6" xfId="35953" xr:uid="{00000000-0005-0000-0000-00007E8C0000}"/>
    <cellStyle name="Positive 4 12 3 6 2" xfId="35954" xr:uid="{00000000-0005-0000-0000-00007F8C0000}"/>
    <cellStyle name="Positive 4 12 3 7" xfId="35955" xr:uid="{00000000-0005-0000-0000-0000808C0000}"/>
    <cellStyle name="Positive 4 12 3 7 2" xfId="35956" xr:uid="{00000000-0005-0000-0000-0000818C0000}"/>
    <cellStyle name="Positive 4 12 3 8" xfId="35957" xr:uid="{00000000-0005-0000-0000-0000828C0000}"/>
    <cellStyle name="Positive 4 12 3 8 2" xfId="35958" xr:uid="{00000000-0005-0000-0000-0000838C0000}"/>
    <cellStyle name="Positive 4 12 3 9" xfId="35959" xr:uid="{00000000-0005-0000-0000-0000848C0000}"/>
    <cellStyle name="Positive 4 12 3 9 2" xfId="35960" xr:uid="{00000000-0005-0000-0000-0000858C0000}"/>
    <cellStyle name="Positive 4 12 4" xfId="35961" xr:uid="{00000000-0005-0000-0000-0000868C0000}"/>
    <cellStyle name="Positive 4 12 4 10" xfId="35962" xr:uid="{00000000-0005-0000-0000-0000878C0000}"/>
    <cellStyle name="Positive 4 12 4 10 2" xfId="35963" xr:uid="{00000000-0005-0000-0000-0000888C0000}"/>
    <cellStyle name="Positive 4 12 4 11" xfId="35964" xr:uid="{00000000-0005-0000-0000-0000898C0000}"/>
    <cellStyle name="Positive 4 12 4 11 2" xfId="35965" xr:uid="{00000000-0005-0000-0000-00008A8C0000}"/>
    <cellStyle name="Positive 4 12 4 12" xfId="35966" xr:uid="{00000000-0005-0000-0000-00008B8C0000}"/>
    <cellStyle name="Positive 4 12 4 12 2" xfId="35967" xr:uid="{00000000-0005-0000-0000-00008C8C0000}"/>
    <cellStyle name="Positive 4 12 4 13" xfId="35968" xr:uid="{00000000-0005-0000-0000-00008D8C0000}"/>
    <cellStyle name="Positive 4 12 4 13 2" xfId="35969" xr:uid="{00000000-0005-0000-0000-00008E8C0000}"/>
    <cellStyle name="Positive 4 12 4 14" xfId="35970" xr:uid="{00000000-0005-0000-0000-00008F8C0000}"/>
    <cellStyle name="Positive 4 12 4 14 2" xfId="35971" xr:uid="{00000000-0005-0000-0000-0000908C0000}"/>
    <cellStyle name="Positive 4 12 4 15" xfId="35972" xr:uid="{00000000-0005-0000-0000-0000918C0000}"/>
    <cellStyle name="Positive 4 12 4 15 2" xfId="35973" xr:uid="{00000000-0005-0000-0000-0000928C0000}"/>
    <cellStyle name="Positive 4 12 4 16" xfId="35974" xr:uid="{00000000-0005-0000-0000-0000938C0000}"/>
    <cellStyle name="Positive 4 12 4 16 2" xfId="35975" xr:uid="{00000000-0005-0000-0000-0000948C0000}"/>
    <cellStyle name="Positive 4 12 4 17" xfId="35976" xr:uid="{00000000-0005-0000-0000-0000958C0000}"/>
    <cellStyle name="Positive 4 12 4 17 2" xfId="35977" xr:uid="{00000000-0005-0000-0000-0000968C0000}"/>
    <cellStyle name="Positive 4 12 4 18" xfId="35978" xr:uid="{00000000-0005-0000-0000-0000978C0000}"/>
    <cellStyle name="Positive 4 12 4 18 2" xfId="35979" xr:uid="{00000000-0005-0000-0000-0000988C0000}"/>
    <cellStyle name="Positive 4 12 4 19" xfId="35980" xr:uid="{00000000-0005-0000-0000-0000998C0000}"/>
    <cellStyle name="Positive 4 12 4 19 2" xfId="35981" xr:uid="{00000000-0005-0000-0000-00009A8C0000}"/>
    <cellStyle name="Positive 4 12 4 2" xfId="35982" xr:uid="{00000000-0005-0000-0000-00009B8C0000}"/>
    <cellStyle name="Positive 4 12 4 2 10" xfId="35983" xr:uid="{00000000-0005-0000-0000-00009C8C0000}"/>
    <cellStyle name="Positive 4 12 4 2 10 2" xfId="35984" xr:uid="{00000000-0005-0000-0000-00009D8C0000}"/>
    <cellStyle name="Positive 4 12 4 2 11" xfId="35985" xr:uid="{00000000-0005-0000-0000-00009E8C0000}"/>
    <cellStyle name="Positive 4 12 4 2 11 2" xfId="35986" xr:uid="{00000000-0005-0000-0000-00009F8C0000}"/>
    <cellStyle name="Positive 4 12 4 2 12" xfId="35987" xr:uid="{00000000-0005-0000-0000-0000A08C0000}"/>
    <cellStyle name="Positive 4 12 4 2 12 2" xfId="35988" xr:uid="{00000000-0005-0000-0000-0000A18C0000}"/>
    <cellStyle name="Positive 4 12 4 2 13" xfId="35989" xr:uid="{00000000-0005-0000-0000-0000A28C0000}"/>
    <cellStyle name="Positive 4 12 4 2 13 2" xfId="35990" xr:uid="{00000000-0005-0000-0000-0000A38C0000}"/>
    <cellStyle name="Positive 4 12 4 2 14" xfId="35991" xr:uid="{00000000-0005-0000-0000-0000A48C0000}"/>
    <cellStyle name="Positive 4 12 4 2 14 2" xfId="35992" xr:uid="{00000000-0005-0000-0000-0000A58C0000}"/>
    <cellStyle name="Positive 4 12 4 2 15" xfId="35993" xr:uid="{00000000-0005-0000-0000-0000A68C0000}"/>
    <cellStyle name="Positive 4 12 4 2 15 2" xfId="35994" xr:uid="{00000000-0005-0000-0000-0000A78C0000}"/>
    <cellStyle name="Positive 4 12 4 2 16" xfId="35995" xr:uid="{00000000-0005-0000-0000-0000A88C0000}"/>
    <cellStyle name="Positive 4 12 4 2 16 2" xfId="35996" xr:uid="{00000000-0005-0000-0000-0000A98C0000}"/>
    <cellStyle name="Positive 4 12 4 2 17" xfId="35997" xr:uid="{00000000-0005-0000-0000-0000AA8C0000}"/>
    <cellStyle name="Positive 4 12 4 2 2" xfId="35998" xr:uid="{00000000-0005-0000-0000-0000AB8C0000}"/>
    <cellStyle name="Positive 4 12 4 2 2 2" xfId="35999" xr:uid="{00000000-0005-0000-0000-0000AC8C0000}"/>
    <cellStyle name="Positive 4 12 4 2 3" xfId="36000" xr:uid="{00000000-0005-0000-0000-0000AD8C0000}"/>
    <cellStyle name="Positive 4 12 4 2 3 2" xfId="36001" xr:uid="{00000000-0005-0000-0000-0000AE8C0000}"/>
    <cellStyle name="Positive 4 12 4 2 4" xfId="36002" xr:uid="{00000000-0005-0000-0000-0000AF8C0000}"/>
    <cellStyle name="Positive 4 12 4 2 4 2" xfId="36003" xr:uid="{00000000-0005-0000-0000-0000B08C0000}"/>
    <cellStyle name="Positive 4 12 4 2 5" xfId="36004" xr:uid="{00000000-0005-0000-0000-0000B18C0000}"/>
    <cellStyle name="Positive 4 12 4 2 5 2" xfId="36005" xr:uid="{00000000-0005-0000-0000-0000B28C0000}"/>
    <cellStyle name="Positive 4 12 4 2 6" xfId="36006" xr:uid="{00000000-0005-0000-0000-0000B38C0000}"/>
    <cellStyle name="Positive 4 12 4 2 6 2" xfId="36007" xr:uid="{00000000-0005-0000-0000-0000B48C0000}"/>
    <cellStyle name="Positive 4 12 4 2 7" xfId="36008" xr:uid="{00000000-0005-0000-0000-0000B58C0000}"/>
    <cellStyle name="Positive 4 12 4 2 7 2" xfId="36009" xr:uid="{00000000-0005-0000-0000-0000B68C0000}"/>
    <cellStyle name="Positive 4 12 4 2 8" xfId="36010" xr:uid="{00000000-0005-0000-0000-0000B78C0000}"/>
    <cellStyle name="Positive 4 12 4 2 8 2" xfId="36011" xr:uid="{00000000-0005-0000-0000-0000B88C0000}"/>
    <cellStyle name="Positive 4 12 4 2 9" xfId="36012" xr:uid="{00000000-0005-0000-0000-0000B98C0000}"/>
    <cellStyle name="Positive 4 12 4 2 9 2" xfId="36013" xr:uid="{00000000-0005-0000-0000-0000BA8C0000}"/>
    <cellStyle name="Positive 4 12 4 20" xfId="36014" xr:uid="{00000000-0005-0000-0000-0000BB8C0000}"/>
    <cellStyle name="Positive 4 12 4 3" xfId="36015" xr:uid="{00000000-0005-0000-0000-0000BC8C0000}"/>
    <cellStyle name="Positive 4 12 4 3 2" xfId="36016" xr:uid="{00000000-0005-0000-0000-0000BD8C0000}"/>
    <cellStyle name="Positive 4 12 4 3 2 2" xfId="36017" xr:uid="{00000000-0005-0000-0000-0000BE8C0000}"/>
    <cellStyle name="Positive 4 12 4 3 3" xfId="36018" xr:uid="{00000000-0005-0000-0000-0000BF8C0000}"/>
    <cellStyle name="Positive 4 12 4 4" xfId="36019" xr:uid="{00000000-0005-0000-0000-0000C08C0000}"/>
    <cellStyle name="Positive 4 12 4 4 2" xfId="36020" xr:uid="{00000000-0005-0000-0000-0000C18C0000}"/>
    <cellStyle name="Positive 4 12 4 4 2 2" xfId="36021" xr:uid="{00000000-0005-0000-0000-0000C28C0000}"/>
    <cellStyle name="Positive 4 12 4 4 3" xfId="36022" xr:uid="{00000000-0005-0000-0000-0000C38C0000}"/>
    <cellStyle name="Positive 4 12 4 5" xfId="36023" xr:uid="{00000000-0005-0000-0000-0000C48C0000}"/>
    <cellStyle name="Positive 4 12 4 5 2" xfId="36024" xr:uid="{00000000-0005-0000-0000-0000C58C0000}"/>
    <cellStyle name="Positive 4 12 4 6" xfId="36025" xr:uid="{00000000-0005-0000-0000-0000C68C0000}"/>
    <cellStyle name="Positive 4 12 4 6 2" xfId="36026" xr:uid="{00000000-0005-0000-0000-0000C78C0000}"/>
    <cellStyle name="Positive 4 12 4 7" xfId="36027" xr:uid="{00000000-0005-0000-0000-0000C88C0000}"/>
    <cellStyle name="Positive 4 12 4 7 2" xfId="36028" xr:uid="{00000000-0005-0000-0000-0000C98C0000}"/>
    <cellStyle name="Positive 4 12 4 8" xfId="36029" xr:uid="{00000000-0005-0000-0000-0000CA8C0000}"/>
    <cellStyle name="Positive 4 12 4 8 2" xfId="36030" xr:uid="{00000000-0005-0000-0000-0000CB8C0000}"/>
    <cellStyle name="Positive 4 12 4 9" xfId="36031" xr:uid="{00000000-0005-0000-0000-0000CC8C0000}"/>
    <cellStyle name="Positive 4 12 4 9 2" xfId="36032" xr:uid="{00000000-0005-0000-0000-0000CD8C0000}"/>
    <cellStyle name="Positive 4 12 5" xfId="36033" xr:uid="{00000000-0005-0000-0000-0000CE8C0000}"/>
    <cellStyle name="Positive 4 12 5 10" xfId="36034" xr:uid="{00000000-0005-0000-0000-0000CF8C0000}"/>
    <cellStyle name="Positive 4 12 5 10 2" xfId="36035" xr:uid="{00000000-0005-0000-0000-0000D08C0000}"/>
    <cellStyle name="Positive 4 12 5 11" xfId="36036" xr:uid="{00000000-0005-0000-0000-0000D18C0000}"/>
    <cellStyle name="Positive 4 12 5 11 2" xfId="36037" xr:uid="{00000000-0005-0000-0000-0000D28C0000}"/>
    <cellStyle name="Positive 4 12 5 12" xfId="36038" xr:uid="{00000000-0005-0000-0000-0000D38C0000}"/>
    <cellStyle name="Positive 4 12 5 12 2" xfId="36039" xr:uid="{00000000-0005-0000-0000-0000D48C0000}"/>
    <cellStyle name="Positive 4 12 5 13" xfId="36040" xr:uid="{00000000-0005-0000-0000-0000D58C0000}"/>
    <cellStyle name="Positive 4 12 5 13 2" xfId="36041" xr:uid="{00000000-0005-0000-0000-0000D68C0000}"/>
    <cellStyle name="Positive 4 12 5 14" xfId="36042" xr:uid="{00000000-0005-0000-0000-0000D78C0000}"/>
    <cellStyle name="Positive 4 12 5 14 2" xfId="36043" xr:uid="{00000000-0005-0000-0000-0000D88C0000}"/>
    <cellStyle name="Positive 4 12 5 15" xfId="36044" xr:uid="{00000000-0005-0000-0000-0000D98C0000}"/>
    <cellStyle name="Positive 4 12 5 15 2" xfId="36045" xr:uid="{00000000-0005-0000-0000-0000DA8C0000}"/>
    <cellStyle name="Positive 4 12 5 16" xfId="36046" xr:uid="{00000000-0005-0000-0000-0000DB8C0000}"/>
    <cellStyle name="Positive 4 12 5 16 2" xfId="36047" xr:uid="{00000000-0005-0000-0000-0000DC8C0000}"/>
    <cellStyle name="Positive 4 12 5 17" xfId="36048" xr:uid="{00000000-0005-0000-0000-0000DD8C0000}"/>
    <cellStyle name="Positive 4 12 5 2" xfId="36049" xr:uid="{00000000-0005-0000-0000-0000DE8C0000}"/>
    <cellStyle name="Positive 4 12 5 2 2" xfId="36050" xr:uid="{00000000-0005-0000-0000-0000DF8C0000}"/>
    <cellStyle name="Positive 4 12 5 3" xfId="36051" xr:uid="{00000000-0005-0000-0000-0000E08C0000}"/>
    <cellStyle name="Positive 4 12 5 3 2" xfId="36052" xr:uid="{00000000-0005-0000-0000-0000E18C0000}"/>
    <cellStyle name="Positive 4 12 5 4" xfId="36053" xr:uid="{00000000-0005-0000-0000-0000E28C0000}"/>
    <cellStyle name="Positive 4 12 5 4 2" xfId="36054" xr:uid="{00000000-0005-0000-0000-0000E38C0000}"/>
    <cellStyle name="Positive 4 12 5 5" xfId="36055" xr:uid="{00000000-0005-0000-0000-0000E48C0000}"/>
    <cellStyle name="Positive 4 12 5 5 2" xfId="36056" xr:uid="{00000000-0005-0000-0000-0000E58C0000}"/>
    <cellStyle name="Positive 4 12 5 6" xfId="36057" xr:uid="{00000000-0005-0000-0000-0000E68C0000}"/>
    <cellStyle name="Positive 4 12 5 6 2" xfId="36058" xr:uid="{00000000-0005-0000-0000-0000E78C0000}"/>
    <cellStyle name="Positive 4 12 5 7" xfId="36059" xr:uid="{00000000-0005-0000-0000-0000E88C0000}"/>
    <cellStyle name="Positive 4 12 5 7 2" xfId="36060" xr:uid="{00000000-0005-0000-0000-0000E98C0000}"/>
    <cellStyle name="Positive 4 12 5 8" xfId="36061" xr:uid="{00000000-0005-0000-0000-0000EA8C0000}"/>
    <cellStyle name="Positive 4 12 5 8 2" xfId="36062" xr:uid="{00000000-0005-0000-0000-0000EB8C0000}"/>
    <cellStyle name="Positive 4 12 5 9" xfId="36063" xr:uid="{00000000-0005-0000-0000-0000EC8C0000}"/>
    <cellStyle name="Positive 4 12 5 9 2" xfId="36064" xr:uid="{00000000-0005-0000-0000-0000ED8C0000}"/>
    <cellStyle name="Positive 4 12 6" xfId="36065" xr:uid="{00000000-0005-0000-0000-0000EE8C0000}"/>
    <cellStyle name="Positive 4 12 6 2" xfId="36066" xr:uid="{00000000-0005-0000-0000-0000EF8C0000}"/>
    <cellStyle name="Positive 4 12 6 2 2" xfId="36067" xr:uid="{00000000-0005-0000-0000-0000F08C0000}"/>
    <cellStyle name="Positive 4 12 6 3" xfId="36068" xr:uid="{00000000-0005-0000-0000-0000F18C0000}"/>
    <cellStyle name="Positive 4 12 7" xfId="36069" xr:uid="{00000000-0005-0000-0000-0000F28C0000}"/>
    <cellStyle name="Positive 4 12 7 2" xfId="36070" xr:uid="{00000000-0005-0000-0000-0000F38C0000}"/>
    <cellStyle name="Positive 4 12 7 2 2" xfId="36071" xr:uid="{00000000-0005-0000-0000-0000F48C0000}"/>
    <cellStyle name="Positive 4 12 7 3" xfId="36072" xr:uid="{00000000-0005-0000-0000-0000F58C0000}"/>
    <cellStyle name="Positive 4 12 8" xfId="36073" xr:uid="{00000000-0005-0000-0000-0000F68C0000}"/>
    <cellStyle name="Positive 4 12 8 2" xfId="36074" xr:uid="{00000000-0005-0000-0000-0000F78C0000}"/>
    <cellStyle name="Positive 4 12 9" xfId="36075" xr:uid="{00000000-0005-0000-0000-0000F88C0000}"/>
    <cellStyle name="Positive 4 12 9 2" xfId="36076" xr:uid="{00000000-0005-0000-0000-0000F98C0000}"/>
    <cellStyle name="Positive 4 13" xfId="36077" xr:uid="{00000000-0005-0000-0000-0000FA8C0000}"/>
    <cellStyle name="Positive 4 13 10" xfId="36078" xr:uid="{00000000-0005-0000-0000-0000FB8C0000}"/>
    <cellStyle name="Positive 4 13 10 2" xfId="36079" xr:uid="{00000000-0005-0000-0000-0000FC8C0000}"/>
    <cellStyle name="Positive 4 13 11" xfId="36080" xr:uid="{00000000-0005-0000-0000-0000FD8C0000}"/>
    <cellStyle name="Positive 4 13 11 2" xfId="36081" xr:uid="{00000000-0005-0000-0000-0000FE8C0000}"/>
    <cellStyle name="Positive 4 13 12" xfId="36082" xr:uid="{00000000-0005-0000-0000-0000FF8C0000}"/>
    <cellStyle name="Positive 4 13 12 2" xfId="36083" xr:uid="{00000000-0005-0000-0000-0000008D0000}"/>
    <cellStyle name="Positive 4 13 13" xfId="36084" xr:uid="{00000000-0005-0000-0000-0000018D0000}"/>
    <cellStyle name="Positive 4 13 13 2" xfId="36085" xr:uid="{00000000-0005-0000-0000-0000028D0000}"/>
    <cellStyle name="Positive 4 13 14" xfId="36086" xr:uid="{00000000-0005-0000-0000-0000038D0000}"/>
    <cellStyle name="Positive 4 13 14 2" xfId="36087" xr:uid="{00000000-0005-0000-0000-0000048D0000}"/>
    <cellStyle name="Positive 4 13 15" xfId="36088" xr:uid="{00000000-0005-0000-0000-0000058D0000}"/>
    <cellStyle name="Positive 4 13 15 2" xfId="36089" xr:uid="{00000000-0005-0000-0000-0000068D0000}"/>
    <cellStyle name="Positive 4 13 16" xfId="36090" xr:uid="{00000000-0005-0000-0000-0000078D0000}"/>
    <cellStyle name="Positive 4 13 16 2" xfId="36091" xr:uid="{00000000-0005-0000-0000-0000088D0000}"/>
    <cellStyle name="Positive 4 13 17" xfId="36092" xr:uid="{00000000-0005-0000-0000-0000098D0000}"/>
    <cellStyle name="Positive 4 13 17 2" xfId="36093" xr:uid="{00000000-0005-0000-0000-00000A8D0000}"/>
    <cellStyle name="Positive 4 13 18" xfId="36094" xr:uid="{00000000-0005-0000-0000-00000B8D0000}"/>
    <cellStyle name="Positive 4 13 18 2" xfId="36095" xr:uid="{00000000-0005-0000-0000-00000C8D0000}"/>
    <cellStyle name="Positive 4 13 19" xfId="36096" xr:uid="{00000000-0005-0000-0000-00000D8D0000}"/>
    <cellStyle name="Positive 4 13 19 2" xfId="36097" xr:uid="{00000000-0005-0000-0000-00000E8D0000}"/>
    <cellStyle name="Positive 4 13 2" xfId="36098" xr:uid="{00000000-0005-0000-0000-00000F8D0000}"/>
    <cellStyle name="Positive 4 13 2 10" xfId="36099" xr:uid="{00000000-0005-0000-0000-0000108D0000}"/>
    <cellStyle name="Positive 4 13 2 10 2" xfId="36100" xr:uid="{00000000-0005-0000-0000-0000118D0000}"/>
    <cellStyle name="Positive 4 13 2 11" xfId="36101" xr:uid="{00000000-0005-0000-0000-0000128D0000}"/>
    <cellStyle name="Positive 4 13 2 11 2" xfId="36102" xr:uid="{00000000-0005-0000-0000-0000138D0000}"/>
    <cellStyle name="Positive 4 13 2 12" xfId="36103" xr:uid="{00000000-0005-0000-0000-0000148D0000}"/>
    <cellStyle name="Positive 4 13 2 12 2" xfId="36104" xr:uid="{00000000-0005-0000-0000-0000158D0000}"/>
    <cellStyle name="Positive 4 13 2 13" xfId="36105" xr:uid="{00000000-0005-0000-0000-0000168D0000}"/>
    <cellStyle name="Positive 4 13 2 13 2" xfId="36106" xr:uid="{00000000-0005-0000-0000-0000178D0000}"/>
    <cellStyle name="Positive 4 13 2 14" xfId="36107" xr:uid="{00000000-0005-0000-0000-0000188D0000}"/>
    <cellStyle name="Positive 4 13 2 14 2" xfId="36108" xr:uid="{00000000-0005-0000-0000-0000198D0000}"/>
    <cellStyle name="Positive 4 13 2 15" xfId="36109" xr:uid="{00000000-0005-0000-0000-00001A8D0000}"/>
    <cellStyle name="Positive 4 13 2 15 2" xfId="36110" xr:uid="{00000000-0005-0000-0000-00001B8D0000}"/>
    <cellStyle name="Positive 4 13 2 16" xfId="36111" xr:uid="{00000000-0005-0000-0000-00001C8D0000}"/>
    <cellStyle name="Positive 4 13 2 16 2" xfId="36112" xr:uid="{00000000-0005-0000-0000-00001D8D0000}"/>
    <cellStyle name="Positive 4 13 2 17" xfId="36113" xr:uid="{00000000-0005-0000-0000-00001E8D0000}"/>
    <cellStyle name="Positive 4 13 2 17 2" xfId="36114" xr:uid="{00000000-0005-0000-0000-00001F8D0000}"/>
    <cellStyle name="Positive 4 13 2 18" xfId="36115" xr:uid="{00000000-0005-0000-0000-0000208D0000}"/>
    <cellStyle name="Positive 4 13 2 18 2" xfId="36116" xr:uid="{00000000-0005-0000-0000-0000218D0000}"/>
    <cellStyle name="Positive 4 13 2 19" xfId="36117" xr:uid="{00000000-0005-0000-0000-0000228D0000}"/>
    <cellStyle name="Positive 4 13 2 19 2" xfId="36118" xr:uid="{00000000-0005-0000-0000-0000238D0000}"/>
    <cellStyle name="Positive 4 13 2 2" xfId="36119" xr:uid="{00000000-0005-0000-0000-0000248D0000}"/>
    <cellStyle name="Positive 4 13 2 2 10" xfId="36120" xr:uid="{00000000-0005-0000-0000-0000258D0000}"/>
    <cellStyle name="Positive 4 13 2 2 10 2" xfId="36121" xr:uid="{00000000-0005-0000-0000-0000268D0000}"/>
    <cellStyle name="Positive 4 13 2 2 11" xfId="36122" xr:uid="{00000000-0005-0000-0000-0000278D0000}"/>
    <cellStyle name="Positive 4 13 2 2 11 2" xfId="36123" xr:uid="{00000000-0005-0000-0000-0000288D0000}"/>
    <cellStyle name="Positive 4 13 2 2 12" xfId="36124" xr:uid="{00000000-0005-0000-0000-0000298D0000}"/>
    <cellStyle name="Positive 4 13 2 2 12 2" xfId="36125" xr:uid="{00000000-0005-0000-0000-00002A8D0000}"/>
    <cellStyle name="Positive 4 13 2 2 13" xfId="36126" xr:uid="{00000000-0005-0000-0000-00002B8D0000}"/>
    <cellStyle name="Positive 4 13 2 2 13 2" xfId="36127" xr:uid="{00000000-0005-0000-0000-00002C8D0000}"/>
    <cellStyle name="Positive 4 13 2 2 14" xfId="36128" xr:uid="{00000000-0005-0000-0000-00002D8D0000}"/>
    <cellStyle name="Positive 4 13 2 2 14 2" xfId="36129" xr:uid="{00000000-0005-0000-0000-00002E8D0000}"/>
    <cellStyle name="Positive 4 13 2 2 15" xfId="36130" xr:uid="{00000000-0005-0000-0000-00002F8D0000}"/>
    <cellStyle name="Positive 4 13 2 2 15 2" xfId="36131" xr:uid="{00000000-0005-0000-0000-0000308D0000}"/>
    <cellStyle name="Positive 4 13 2 2 16" xfId="36132" xr:uid="{00000000-0005-0000-0000-0000318D0000}"/>
    <cellStyle name="Positive 4 13 2 2 16 2" xfId="36133" xr:uid="{00000000-0005-0000-0000-0000328D0000}"/>
    <cellStyle name="Positive 4 13 2 2 17" xfId="36134" xr:uid="{00000000-0005-0000-0000-0000338D0000}"/>
    <cellStyle name="Positive 4 13 2 2 2" xfId="36135" xr:uid="{00000000-0005-0000-0000-0000348D0000}"/>
    <cellStyle name="Positive 4 13 2 2 2 2" xfId="36136" xr:uid="{00000000-0005-0000-0000-0000358D0000}"/>
    <cellStyle name="Positive 4 13 2 2 3" xfId="36137" xr:uid="{00000000-0005-0000-0000-0000368D0000}"/>
    <cellStyle name="Positive 4 13 2 2 3 2" xfId="36138" xr:uid="{00000000-0005-0000-0000-0000378D0000}"/>
    <cellStyle name="Positive 4 13 2 2 4" xfId="36139" xr:uid="{00000000-0005-0000-0000-0000388D0000}"/>
    <cellStyle name="Positive 4 13 2 2 4 2" xfId="36140" xr:uid="{00000000-0005-0000-0000-0000398D0000}"/>
    <cellStyle name="Positive 4 13 2 2 5" xfId="36141" xr:uid="{00000000-0005-0000-0000-00003A8D0000}"/>
    <cellStyle name="Positive 4 13 2 2 5 2" xfId="36142" xr:uid="{00000000-0005-0000-0000-00003B8D0000}"/>
    <cellStyle name="Positive 4 13 2 2 6" xfId="36143" xr:uid="{00000000-0005-0000-0000-00003C8D0000}"/>
    <cellStyle name="Positive 4 13 2 2 6 2" xfId="36144" xr:uid="{00000000-0005-0000-0000-00003D8D0000}"/>
    <cellStyle name="Positive 4 13 2 2 7" xfId="36145" xr:uid="{00000000-0005-0000-0000-00003E8D0000}"/>
    <cellStyle name="Positive 4 13 2 2 7 2" xfId="36146" xr:uid="{00000000-0005-0000-0000-00003F8D0000}"/>
    <cellStyle name="Positive 4 13 2 2 8" xfId="36147" xr:uid="{00000000-0005-0000-0000-0000408D0000}"/>
    <cellStyle name="Positive 4 13 2 2 8 2" xfId="36148" xr:uid="{00000000-0005-0000-0000-0000418D0000}"/>
    <cellStyle name="Positive 4 13 2 2 9" xfId="36149" xr:uid="{00000000-0005-0000-0000-0000428D0000}"/>
    <cellStyle name="Positive 4 13 2 2 9 2" xfId="36150" xr:uid="{00000000-0005-0000-0000-0000438D0000}"/>
    <cellStyle name="Positive 4 13 2 20" xfId="36151" xr:uid="{00000000-0005-0000-0000-0000448D0000}"/>
    <cellStyle name="Positive 4 13 2 3" xfId="36152" xr:uid="{00000000-0005-0000-0000-0000458D0000}"/>
    <cellStyle name="Positive 4 13 2 3 2" xfId="36153" xr:uid="{00000000-0005-0000-0000-0000468D0000}"/>
    <cellStyle name="Positive 4 13 2 3 2 2" xfId="36154" xr:uid="{00000000-0005-0000-0000-0000478D0000}"/>
    <cellStyle name="Positive 4 13 2 3 3" xfId="36155" xr:uid="{00000000-0005-0000-0000-0000488D0000}"/>
    <cellStyle name="Positive 4 13 2 4" xfId="36156" xr:uid="{00000000-0005-0000-0000-0000498D0000}"/>
    <cellStyle name="Positive 4 13 2 4 2" xfId="36157" xr:uid="{00000000-0005-0000-0000-00004A8D0000}"/>
    <cellStyle name="Positive 4 13 2 4 2 2" xfId="36158" xr:uid="{00000000-0005-0000-0000-00004B8D0000}"/>
    <cellStyle name="Positive 4 13 2 4 3" xfId="36159" xr:uid="{00000000-0005-0000-0000-00004C8D0000}"/>
    <cellStyle name="Positive 4 13 2 5" xfId="36160" xr:uid="{00000000-0005-0000-0000-00004D8D0000}"/>
    <cellStyle name="Positive 4 13 2 5 2" xfId="36161" xr:uid="{00000000-0005-0000-0000-00004E8D0000}"/>
    <cellStyle name="Positive 4 13 2 6" xfId="36162" xr:uid="{00000000-0005-0000-0000-00004F8D0000}"/>
    <cellStyle name="Positive 4 13 2 6 2" xfId="36163" xr:uid="{00000000-0005-0000-0000-0000508D0000}"/>
    <cellStyle name="Positive 4 13 2 7" xfId="36164" xr:uid="{00000000-0005-0000-0000-0000518D0000}"/>
    <cellStyle name="Positive 4 13 2 7 2" xfId="36165" xr:uid="{00000000-0005-0000-0000-0000528D0000}"/>
    <cellStyle name="Positive 4 13 2 8" xfId="36166" xr:uid="{00000000-0005-0000-0000-0000538D0000}"/>
    <cellStyle name="Positive 4 13 2 8 2" xfId="36167" xr:uid="{00000000-0005-0000-0000-0000548D0000}"/>
    <cellStyle name="Positive 4 13 2 9" xfId="36168" xr:uid="{00000000-0005-0000-0000-0000558D0000}"/>
    <cellStyle name="Positive 4 13 2 9 2" xfId="36169" xr:uid="{00000000-0005-0000-0000-0000568D0000}"/>
    <cellStyle name="Positive 4 13 20" xfId="36170" xr:uid="{00000000-0005-0000-0000-0000578D0000}"/>
    <cellStyle name="Positive 4 13 20 2" xfId="36171" xr:uid="{00000000-0005-0000-0000-0000588D0000}"/>
    <cellStyle name="Positive 4 13 21" xfId="36172" xr:uid="{00000000-0005-0000-0000-0000598D0000}"/>
    <cellStyle name="Positive 4 13 21 2" xfId="36173" xr:uid="{00000000-0005-0000-0000-00005A8D0000}"/>
    <cellStyle name="Positive 4 13 22" xfId="36174" xr:uid="{00000000-0005-0000-0000-00005B8D0000}"/>
    <cellStyle name="Positive 4 13 22 2" xfId="36175" xr:uid="{00000000-0005-0000-0000-00005C8D0000}"/>
    <cellStyle name="Positive 4 13 23" xfId="36176" xr:uid="{00000000-0005-0000-0000-00005D8D0000}"/>
    <cellStyle name="Positive 4 13 3" xfId="36177" xr:uid="{00000000-0005-0000-0000-00005E8D0000}"/>
    <cellStyle name="Positive 4 13 3 10" xfId="36178" xr:uid="{00000000-0005-0000-0000-00005F8D0000}"/>
    <cellStyle name="Positive 4 13 3 10 2" xfId="36179" xr:uid="{00000000-0005-0000-0000-0000608D0000}"/>
    <cellStyle name="Positive 4 13 3 11" xfId="36180" xr:uid="{00000000-0005-0000-0000-0000618D0000}"/>
    <cellStyle name="Positive 4 13 3 11 2" xfId="36181" xr:uid="{00000000-0005-0000-0000-0000628D0000}"/>
    <cellStyle name="Positive 4 13 3 12" xfId="36182" xr:uid="{00000000-0005-0000-0000-0000638D0000}"/>
    <cellStyle name="Positive 4 13 3 12 2" xfId="36183" xr:uid="{00000000-0005-0000-0000-0000648D0000}"/>
    <cellStyle name="Positive 4 13 3 13" xfId="36184" xr:uid="{00000000-0005-0000-0000-0000658D0000}"/>
    <cellStyle name="Positive 4 13 3 13 2" xfId="36185" xr:uid="{00000000-0005-0000-0000-0000668D0000}"/>
    <cellStyle name="Positive 4 13 3 14" xfId="36186" xr:uid="{00000000-0005-0000-0000-0000678D0000}"/>
    <cellStyle name="Positive 4 13 3 14 2" xfId="36187" xr:uid="{00000000-0005-0000-0000-0000688D0000}"/>
    <cellStyle name="Positive 4 13 3 15" xfId="36188" xr:uid="{00000000-0005-0000-0000-0000698D0000}"/>
    <cellStyle name="Positive 4 13 3 15 2" xfId="36189" xr:uid="{00000000-0005-0000-0000-00006A8D0000}"/>
    <cellStyle name="Positive 4 13 3 16" xfId="36190" xr:uid="{00000000-0005-0000-0000-00006B8D0000}"/>
    <cellStyle name="Positive 4 13 3 16 2" xfId="36191" xr:uid="{00000000-0005-0000-0000-00006C8D0000}"/>
    <cellStyle name="Positive 4 13 3 17" xfId="36192" xr:uid="{00000000-0005-0000-0000-00006D8D0000}"/>
    <cellStyle name="Positive 4 13 3 17 2" xfId="36193" xr:uid="{00000000-0005-0000-0000-00006E8D0000}"/>
    <cellStyle name="Positive 4 13 3 18" xfId="36194" xr:uid="{00000000-0005-0000-0000-00006F8D0000}"/>
    <cellStyle name="Positive 4 13 3 18 2" xfId="36195" xr:uid="{00000000-0005-0000-0000-0000708D0000}"/>
    <cellStyle name="Positive 4 13 3 19" xfId="36196" xr:uid="{00000000-0005-0000-0000-0000718D0000}"/>
    <cellStyle name="Positive 4 13 3 19 2" xfId="36197" xr:uid="{00000000-0005-0000-0000-0000728D0000}"/>
    <cellStyle name="Positive 4 13 3 2" xfId="36198" xr:uid="{00000000-0005-0000-0000-0000738D0000}"/>
    <cellStyle name="Positive 4 13 3 2 10" xfId="36199" xr:uid="{00000000-0005-0000-0000-0000748D0000}"/>
    <cellStyle name="Positive 4 13 3 2 10 2" xfId="36200" xr:uid="{00000000-0005-0000-0000-0000758D0000}"/>
    <cellStyle name="Positive 4 13 3 2 11" xfId="36201" xr:uid="{00000000-0005-0000-0000-0000768D0000}"/>
    <cellStyle name="Positive 4 13 3 2 11 2" xfId="36202" xr:uid="{00000000-0005-0000-0000-0000778D0000}"/>
    <cellStyle name="Positive 4 13 3 2 12" xfId="36203" xr:uid="{00000000-0005-0000-0000-0000788D0000}"/>
    <cellStyle name="Positive 4 13 3 2 12 2" xfId="36204" xr:uid="{00000000-0005-0000-0000-0000798D0000}"/>
    <cellStyle name="Positive 4 13 3 2 13" xfId="36205" xr:uid="{00000000-0005-0000-0000-00007A8D0000}"/>
    <cellStyle name="Positive 4 13 3 2 13 2" xfId="36206" xr:uid="{00000000-0005-0000-0000-00007B8D0000}"/>
    <cellStyle name="Positive 4 13 3 2 14" xfId="36207" xr:uid="{00000000-0005-0000-0000-00007C8D0000}"/>
    <cellStyle name="Positive 4 13 3 2 14 2" xfId="36208" xr:uid="{00000000-0005-0000-0000-00007D8D0000}"/>
    <cellStyle name="Positive 4 13 3 2 15" xfId="36209" xr:uid="{00000000-0005-0000-0000-00007E8D0000}"/>
    <cellStyle name="Positive 4 13 3 2 15 2" xfId="36210" xr:uid="{00000000-0005-0000-0000-00007F8D0000}"/>
    <cellStyle name="Positive 4 13 3 2 16" xfId="36211" xr:uid="{00000000-0005-0000-0000-0000808D0000}"/>
    <cellStyle name="Positive 4 13 3 2 16 2" xfId="36212" xr:uid="{00000000-0005-0000-0000-0000818D0000}"/>
    <cellStyle name="Positive 4 13 3 2 17" xfId="36213" xr:uid="{00000000-0005-0000-0000-0000828D0000}"/>
    <cellStyle name="Positive 4 13 3 2 2" xfId="36214" xr:uid="{00000000-0005-0000-0000-0000838D0000}"/>
    <cellStyle name="Positive 4 13 3 2 2 2" xfId="36215" xr:uid="{00000000-0005-0000-0000-0000848D0000}"/>
    <cellStyle name="Positive 4 13 3 2 3" xfId="36216" xr:uid="{00000000-0005-0000-0000-0000858D0000}"/>
    <cellStyle name="Positive 4 13 3 2 3 2" xfId="36217" xr:uid="{00000000-0005-0000-0000-0000868D0000}"/>
    <cellStyle name="Positive 4 13 3 2 4" xfId="36218" xr:uid="{00000000-0005-0000-0000-0000878D0000}"/>
    <cellStyle name="Positive 4 13 3 2 4 2" xfId="36219" xr:uid="{00000000-0005-0000-0000-0000888D0000}"/>
    <cellStyle name="Positive 4 13 3 2 5" xfId="36220" xr:uid="{00000000-0005-0000-0000-0000898D0000}"/>
    <cellStyle name="Positive 4 13 3 2 5 2" xfId="36221" xr:uid="{00000000-0005-0000-0000-00008A8D0000}"/>
    <cellStyle name="Positive 4 13 3 2 6" xfId="36222" xr:uid="{00000000-0005-0000-0000-00008B8D0000}"/>
    <cellStyle name="Positive 4 13 3 2 6 2" xfId="36223" xr:uid="{00000000-0005-0000-0000-00008C8D0000}"/>
    <cellStyle name="Positive 4 13 3 2 7" xfId="36224" xr:uid="{00000000-0005-0000-0000-00008D8D0000}"/>
    <cellStyle name="Positive 4 13 3 2 7 2" xfId="36225" xr:uid="{00000000-0005-0000-0000-00008E8D0000}"/>
    <cellStyle name="Positive 4 13 3 2 8" xfId="36226" xr:uid="{00000000-0005-0000-0000-00008F8D0000}"/>
    <cellStyle name="Positive 4 13 3 2 8 2" xfId="36227" xr:uid="{00000000-0005-0000-0000-0000908D0000}"/>
    <cellStyle name="Positive 4 13 3 2 9" xfId="36228" xr:uid="{00000000-0005-0000-0000-0000918D0000}"/>
    <cellStyle name="Positive 4 13 3 2 9 2" xfId="36229" xr:uid="{00000000-0005-0000-0000-0000928D0000}"/>
    <cellStyle name="Positive 4 13 3 20" xfId="36230" xr:uid="{00000000-0005-0000-0000-0000938D0000}"/>
    <cellStyle name="Positive 4 13 3 3" xfId="36231" xr:uid="{00000000-0005-0000-0000-0000948D0000}"/>
    <cellStyle name="Positive 4 13 3 3 2" xfId="36232" xr:uid="{00000000-0005-0000-0000-0000958D0000}"/>
    <cellStyle name="Positive 4 13 3 3 2 2" xfId="36233" xr:uid="{00000000-0005-0000-0000-0000968D0000}"/>
    <cellStyle name="Positive 4 13 3 3 3" xfId="36234" xr:uid="{00000000-0005-0000-0000-0000978D0000}"/>
    <cellStyle name="Positive 4 13 3 4" xfId="36235" xr:uid="{00000000-0005-0000-0000-0000988D0000}"/>
    <cellStyle name="Positive 4 13 3 4 2" xfId="36236" xr:uid="{00000000-0005-0000-0000-0000998D0000}"/>
    <cellStyle name="Positive 4 13 3 4 2 2" xfId="36237" xr:uid="{00000000-0005-0000-0000-00009A8D0000}"/>
    <cellStyle name="Positive 4 13 3 4 3" xfId="36238" xr:uid="{00000000-0005-0000-0000-00009B8D0000}"/>
    <cellStyle name="Positive 4 13 3 5" xfId="36239" xr:uid="{00000000-0005-0000-0000-00009C8D0000}"/>
    <cellStyle name="Positive 4 13 3 5 2" xfId="36240" xr:uid="{00000000-0005-0000-0000-00009D8D0000}"/>
    <cellStyle name="Positive 4 13 3 6" xfId="36241" xr:uid="{00000000-0005-0000-0000-00009E8D0000}"/>
    <cellStyle name="Positive 4 13 3 6 2" xfId="36242" xr:uid="{00000000-0005-0000-0000-00009F8D0000}"/>
    <cellStyle name="Positive 4 13 3 7" xfId="36243" xr:uid="{00000000-0005-0000-0000-0000A08D0000}"/>
    <cellStyle name="Positive 4 13 3 7 2" xfId="36244" xr:uid="{00000000-0005-0000-0000-0000A18D0000}"/>
    <cellStyle name="Positive 4 13 3 8" xfId="36245" xr:uid="{00000000-0005-0000-0000-0000A28D0000}"/>
    <cellStyle name="Positive 4 13 3 8 2" xfId="36246" xr:uid="{00000000-0005-0000-0000-0000A38D0000}"/>
    <cellStyle name="Positive 4 13 3 9" xfId="36247" xr:uid="{00000000-0005-0000-0000-0000A48D0000}"/>
    <cellStyle name="Positive 4 13 3 9 2" xfId="36248" xr:uid="{00000000-0005-0000-0000-0000A58D0000}"/>
    <cellStyle name="Positive 4 13 4" xfId="36249" xr:uid="{00000000-0005-0000-0000-0000A68D0000}"/>
    <cellStyle name="Positive 4 13 4 10" xfId="36250" xr:uid="{00000000-0005-0000-0000-0000A78D0000}"/>
    <cellStyle name="Positive 4 13 4 10 2" xfId="36251" xr:uid="{00000000-0005-0000-0000-0000A88D0000}"/>
    <cellStyle name="Positive 4 13 4 11" xfId="36252" xr:uid="{00000000-0005-0000-0000-0000A98D0000}"/>
    <cellStyle name="Positive 4 13 4 11 2" xfId="36253" xr:uid="{00000000-0005-0000-0000-0000AA8D0000}"/>
    <cellStyle name="Positive 4 13 4 12" xfId="36254" xr:uid="{00000000-0005-0000-0000-0000AB8D0000}"/>
    <cellStyle name="Positive 4 13 4 12 2" xfId="36255" xr:uid="{00000000-0005-0000-0000-0000AC8D0000}"/>
    <cellStyle name="Positive 4 13 4 13" xfId="36256" xr:uid="{00000000-0005-0000-0000-0000AD8D0000}"/>
    <cellStyle name="Positive 4 13 4 13 2" xfId="36257" xr:uid="{00000000-0005-0000-0000-0000AE8D0000}"/>
    <cellStyle name="Positive 4 13 4 14" xfId="36258" xr:uid="{00000000-0005-0000-0000-0000AF8D0000}"/>
    <cellStyle name="Positive 4 13 4 14 2" xfId="36259" xr:uid="{00000000-0005-0000-0000-0000B08D0000}"/>
    <cellStyle name="Positive 4 13 4 15" xfId="36260" xr:uid="{00000000-0005-0000-0000-0000B18D0000}"/>
    <cellStyle name="Positive 4 13 4 15 2" xfId="36261" xr:uid="{00000000-0005-0000-0000-0000B28D0000}"/>
    <cellStyle name="Positive 4 13 4 16" xfId="36262" xr:uid="{00000000-0005-0000-0000-0000B38D0000}"/>
    <cellStyle name="Positive 4 13 4 16 2" xfId="36263" xr:uid="{00000000-0005-0000-0000-0000B48D0000}"/>
    <cellStyle name="Positive 4 13 4 17" xfId="36264" xr:uid="{00000000-0005-0000-0000-0000B58D0000}"/>
    <cellStyle name="Positive 4 13 4 17 2" xfId="36265" xr:uid="{00000000-0005-0000-0000-0000B68D0000}"/>
    <cellStyle name="Positive 4 13 4 18" xfId="36266" xr:uid="{00000000-0005-0000-0000-0000B78D0000}"/>
    <cellStyle name="Positive 4 13 4 18 2" xfId="36267" xr:uid="{00000000-0005-0000-0000-0000B88D0000}"/>
    <cellStyle name="Positive 4 13 4 19" xfId="36268" xr:uid="{00000000-0005-0000-0000-0000B98D0000}"/>
    <cellStyle name="Positive 4 13 4 19 2" xfId="36269" xr:uid="{00000000-0005-0000-0000-0000BA8D0000}"/>
    <cellStyle name="Positive 4 13 4 2" xfId="36270" xr:uid="{00000000-0005-0000-0000-0000BB8D0000}"/>
    <cellStyle name="Positive 4 13 4 2 10" xfId="36271" xr:uid="{00000000-0005-0000-0000-0000BC8D0000}"/>
    <cellStyle name="Positive 4 13 4 2 10 2" xfId="36272" xr:uid="{00000000-0005-0000-0000-0000BD8D0000}"/>
    <cellStyle name="Positive 4 13 4 2 11" xfId="36273" xr:uid="{00000000-0005-0000-0000-0000BE8D0000}"/>
    <cellStyle name="Positive 4 13 4 2 11 2" xfId="36274" xr:uid="{00000000-0005-0000-0000-0000BF8D0000}"/>
    <cellStyle name="Positive 4 13 4 2 12" xfId="36275" xr:uid="{00000000-0005-0000-0000-0000C08D0000}"/>
    <cellStyle name="Positive 4 13 4 2 12 2" xfId="36276" xr:uid="{00000000-0005-0000-0000-0000C18D0000}"/>
    <cellStyle name="Positive 4 13 4 2 13" xfId="36277" xr:uid="{00000000-0005-0000-0000-0000C28D0000}"/>
    <cellStyle name="Positive 4 13 4 2 13 2" xfId="36278" xr:uid="{00000000-0005-0000-0000-0000C38D0000}"/>
    <cellStyle name="Positive 4 13 4 2 14" xfId="36279" xr:uid="{00000000-0005-0000-0000-0000C48D0000}"/>
    <cellStyle name="Positive 4 13 4 2 14 2" xfId="36280" xr:uid="{00000000-0005-0000-0000-0000C58D0000}"/>
    <cellStyle name="Positive 4 13 4 2 15" xfId="36281" xr:uid="{00000000-0005-0000-0000-0000C68D0000}"/>
    <cellStyle name="Positive 4 13 4 2 15 2" xfId="36282" xr:uid="{00000000-0005-0000-0000-0000C78D0000}"/>
    <cellStyle name="Positive 4 13 4 2 16" xfId="36283" xr:uid="{00000000-0005-0000-0000-0000C88D0000}"/>
    <cellStyle name="Positive 4 13 4 2 16 2" xfId="36284" xr:uid="{00000000-0005-0000-0000-0000C98D0000}"/>
    <cellStyle name="Positive 4 13 4 2 17" xfId="36285" xr:uid="{00000000-0005-0000-0000-0000CA8D0000}"/>
    <cellStyle name="Positive 4 13 4 2 2" xfId="36286" xr:uid="{00000000-0005-0000-0000-0000CB8D0000}"/>
    <cellStyle name="Positive 4 13 4 2 2 2" xfId="36287" xr:uid="{00000000-0005-0000-0000-0000CC8D0000}"/>
    <cellStyle name="Positive 4 13 4 2 3" xfId="36288" xr:uid="{00000000-0005-0000-0000-0000CD8D0000}"/>
    <cellStyle name="Positive 4 13 4 2 3 2" xfId="36289" xr:uid="{00000000-0005-0000-0000-0000CE8D0000}"/>
    <cellStyle name="Positive 4 13 4 2 4" xfId="36290" xr:uid="{00000000-0005-0000-0000-0000CF8D0000}"/>
    <cellStyle name="Positive 4 13 4 2 4 2" xfId="36291" xr:uid="{00000000-0005-0000-0000-0000D08D0000}"/>
    <cellStyle name="Positive 4 13 4 2 5" xfId="36292" xr:uid="{00000000-0005-0000-0000-0000D18D0000}"/>
    <cellStyle name="Positive 4 13 4 2 5 2" xfId="36293" xr:uid="{00000000-0005-0000-0000-0000D28D0000}"/>
    <cellStyle name="Positive 4 13 4 2 6" xfId="36294" xr:uid="{00000000-0005-0000-0000-0000D38D0000}"/>
    <cellStyle name="Positive 4 13 4 2 6 2" xfId="36295" xr:uid="{00000000-0005-0000-0000-0000D48D0000}"/>
    <cellStyle name="Positive 4 13 4 2 7" xfId="36296" xr:uid="{00000000-0005-0000-0000-0000D58D0000}"/>
    <cellStyle name="Positive 4 13 4 2 7 2" xfId="36297" xr:uid="{00000000-0005-0000-0000-0000D68D0000}"/>
    <cellStyle name="Positive 4 13 4 2 8" xfId="36298" xr:uid="{00000000-0005-0000-0000-0000D78D0000}"/>
    <cellStyle name="Positive 4 13 4 2 8 2" xfId="36299" xr:uid="{00000000-0005-0000-0000-0000D88D0000}"/>
    <cellStyle name="Positive 4 13 4 2 9" xfId="36300" xr:uid="{00000000-0005-0000-0000-0000D98D0000}"/>
    <cellStyle name="Positive 4 13 4 2 9 2" xfId="36301" xr:uid="{00000000-0005-0000-0000-0000DA8D0000}"/>
    <cellStyle name="Positive 4 13 4 20" xfId="36302" xr:uid="{00000000-0005-0000-0000-0000DB8D0000}"/>
    <cellStyle name="Positive 4 13 4 3" xfId="36303" xr:uid="{00000000-0005-0000-0000-0000DC8D0000}"/>
    <cellStyle name="Positive 4 13 4 3 2" xfId="36304" xr:uid="{00000000-0005-0000-0000-0000DD8D0000}"/>
    <cellStyle name="Positive 4 13 4 3 2 2" xfId="36305" xr:uid="{00000000-0005-0000-0000-0000DE8D0000}"/>
    <cellStyle name="Positive 4 13 4 3 3" xfId="36306" xr:uid="{00000000-0005-0000-0000-0000DF8D0000}"/>
    <cellStyle name="Positive 4 13 4 4" xfId="36307" xr:uid="{00000000-0005-0000-0000-0000E08D0000}"/>
    <cellStyle name="Positive 4 13 4 4 2" xfId="36308" xr:uid="{00000000-0005-0000-0000-0000E18D0000}"/>
    <cellStyle name="Positive 4 13 4 4 2 2" xfId="36309" xr:uid="{00000000-0005-0000-0000-0000E28D0000}"/>
    <cellStyle name="Positive 4 13 4 4 3" xfId="36310" xr:uid="{00000000-0005-0000-0000-0000E38D0000}"/>
    <cellStyle name="Positive 4 13 4 5" xfId="36311" xr:uid="{00000000-0005-0000-0000-0000E48D0000}"/>
    <cellStyle name="Positive 4 13 4 5 2" xfId="36312" xr:uid="{00000000-0005-0000-0000-0000E58D0000}"/>
    <cellStyle name="Positive 4 13 4 6" xfId="36313" xr:uid="{00000000-0005-0000-0000-0000E68D0000}"/>
    <cellStyle name="Positive 4 13 4 6 2" xfId="36314" xr:uid="{00000000-0005-0000-0000-0000E78D0000}"/>
    <cellStyle name="Positive 4 13 4 7" xfId="36315" xr:uid="{00000000-0005-0000-0000-0000E88D0000}"/>
    <cellStyle name="Positive 4 13 4 7 2" xfId="36316" xr:uid="{00000000-0005-0000-0000-0000E98D0000}"/>
    <cellStyle name="Positive 4 13 4 8" xfId="36317" xr:uid="{00000000-0005-0000-0000-0000EA8D0000}"/>
    <cellStyle name="Positive 4 13 4 8 2" xfId="36318" xr:uid="{00000000-0005-0000-0000-0000EB8D0000}"/>
    <cellStyle name="Positive 4 13 4 9" xfId="36319" xr:uid="{00000000-0005-0000-0000-0000EC8D0000}"/>
    <cellStyle name="Positive 4 13 4 9 2" xfId="36320" xr:uid="{00000000-0005-0000-0000-0000ED8D0000}"/>
    <cellStyle name="Positive 4 13 5" xfId="36321" xr:uid="{00000000-0005-0000-0000-0000EE8D0000}"/>
    <cellStyle name="Positive 4 13 5 10" xfId="36322" xr:uid="{00000000-0005-0000-0000-0000EF8D0000}"/>
    <cellStyle name="Positive 4 13 5 10 2" xfId="36323" xr:uid="{00000000-0005-0000-0000-0000F08D0000}"/>
    <cellStyle name="Positive 4 13 5 11" xfId="36324" xr:uid="{00000000-0005-0000-0000-0000F18D0000}"/>
    <cellStyle name="Positive 4 13 5 11 2" xfId="36325" xr:uid="{00000000-0005-0000-0000-0000F28D0000}"/>
    <cellStyle name="Positive 4 13 5 12" xfId="36326" xr:uid="{00000000-0005-0000-0000-0000F38D0000}"/>
    <cellStyle name="Positive 4 13 5 12 2" xfId="36327" xr:uid="{00000000-0005-0000-0000-0000F48D0000}"/>
    <cellStyle name="Positive 4 13 5 13" xfId="36328" xr:uid="{00000000-0005-0000-0000-0000F58D0000}"/>
    <cellStyle name="Positive 4 13 5 13 2" xfId="36329" xr:uid="{00000000-0005-0000-0000-0000F68D0000}"/>
    <cellStyle name="Positive 4 13 5 14" xfId="36330" xr:uid="{00000000-0005-0000-0000-0000F78D0000}"/>
    <cellStyle name="Positive 4 13 5 14 2" xfId="36331" xr:uid="{00000000-0005-0000-0000-0000F88D0000}"/>
    <cellStyle name="Positive 4 13 5 15" xfId="36332" xr:uid="{00000000-0005-0000-0000-0000F98D0000}"/>
    <cellStyle name="Positive 4 13 5 15 2" xfId="36333" xr:uid="{00000000-0005-0000-0000-0000FA8D0000}"/>
    <cellStyle name="Positive 4 13 5 16" xfId="36334" xr:uid="{00000000-0005-0000-0000-0000FB8D0000}"/>
    <cellStyle name="Positive 4 13 5 16 2" xfId="36335" xr:uid="{00000000-0005-0000-0000-0000FC8D0000}"/>
    <cellStyle name="Positive 4 13 5 17" xfId="36336" xr:uid="{00000000-0005-0000-0000-0000FD8D0000}"/>
    <cellStyle name="Positive 4 13 5 2" xfId="36337" xr:uid="{00000000-0005-0000-0000-0000FE8D0000}"/>
    <cellStyle name="Positive 4 13 5 2 2" xfId="36338" xr:uid="{00000000-0005-0000-0000-0000FF8D0000}"/>
    <cellStyle name="Positive 4 13 5 3" xfId="36339" xr:uid="{00000000-0005-0000-0000-0000008E0000}"/>
    <cellStyle name="Positive 4 13 5 3 2" xfId="36340" xr:uid="{00000000-0005-0000-0000-0000018E0000}"/>
    <cellStyle name="Positive 4 13 5 4" xfId="36341" xr:uid="{00000000-0005-0000-0000-0000028E0000}"/>
    <cellStyle name="Positive 4 13 5 4 2" xfId="36342" xr:uid="{00000000-0005-0000-0000-0000038E0000}"/>
    <cellStyle name="Positive 4 13 5 5" xfId="36343" xr:uid="{00000000-0005-0000-0000-0000048E0000}"/>
    <cellStyle name="Positive 4 13 5 5 2" xfId="36344" xr:uid="{00000000-0005-0000-0000-0000058E0000}"/>
    <cellStyle name="Positive 4 13 5 6" xfId="36345" xr:uid="{00000000-0005-0000-0000-0000068E0000}"/>
    <cellStyle name="Positive 4 13 5 6 2" xfId="36346" xr:uid="{00000000-0005-0000-0000-0000078E0000}"/>
    <cellStyle name="Positive 4 13 5 7" xfId="36347" xr:uid="{00000000-0005-0000-0000-0000088E0000}"/>
    <cellStyle name="Positive 4 13 5 7 2" xfId="36348" xr:uid="{00000000-0005-0000-0000-0000098E0000}"/>
    <cellStyle name="Positive 4 13 5 8" xfId="36349" xr:uid="{00000000-0005-0000-0000-00000A8E0000}"/>
    <cellStyle name="Positive 4 13 5 8 2" xfId="36350" xr:uid="{00000000-0005-0000-0000-00000B8E0000}"/>
    <cellStyle name="Positive 4 13 5 9" xfId="36351" xr:uid="{00000000-0005-0000-0000-00000C8E0000}"/>
    <cellStyle name="Positive 4 13 5 9 2" xfId="36352" xr:uid="{00000000-0005-0000-0000-00000D8E0000}"/>
    <cellStyle name="Positive 4 13 6" xfId="36353" xr:uid="{00000000-0005-0000-0000-00000E8E0000}"/>
    <cellStyle name="Positive 4 13 6 2" xfId="36354" xr:uid="{00000000-0005-0000-0000-00000F8E0000}"/>
    <cellStyle name="Positive 4 13 6 2 2" xfId="36355" xr:uid="{00000000-0005-0000-0000-0000108E0000}"/>
    <cellStyle name="Positive 4 13 6 3" xfId="36356" xr:uid="{00000000-0005-0000-0000-0000118E0000}"/>
    <cellStyle name="Positive 4 13 7" xfId="36357" xr:uid="{00000000-0005-0000-0000-0000128E0000}"/>
    <cellStyle name="Positive 4 13 7 2" xfId="36358" xr:uid="{00000000-0005-0000-0000-0000138E0000}"/>
    <cellStyle name="Positive 4 13 7 2 2" xfId="36359" xr:uid="{00000000-0005-0000-0000-0000148E0000}"/>
    <cellStyle name="Positive 4 13 7 3" xfId="36360" xr:uid="{00000000-0005-0000-0000-0000158E0000}"/>
    <cellStyle name="Positive 4 13 8" xfId="36361" xr:uid="{00000000-0005-0000-0000-0000168E0000}"/>
    <cellStyle name="Positive 4 13 8 2" xfId="36362" xr:uid="{00000000-0005-0000-0000-0000178E0000}"/>
    <cellStyle name="Positive 4 13 9" xfId="36363" xr:uid="{00000000-0005-0000-0000-0000188E0000}"/>
    <cellStyle name="Positive 4 13 9 2" xfId="36364" xr:uid="{00000000-0005-0000-0000-0000198E0000}"/>
    <cellStyle name="Positive 4 14" xfId="36365" xr:uid="{00000000-0005-0000-0000-00001A8E0000}"/>
    <cellStyle name="Positive 4 14 10" xfId="36366" xr:uid="{00000000-0005-0000-0000-00001B8E0000}"/>
    <cellStyle name="Positive 4 14 10 2" xfId="36367" xr:uid="{00000000-0005-0000-0000-00001C8E0000}"/>
    <cellStyle name="Positive 4 14 11" xfId="36368" xr:uid="{00000000-0005-0000-0000-00001D8E0000}"/>
    <cellStyle name="Positive 4 14 11 2" xfId="36369" xr:uid="{00000000-0005-0000-0000-00001E8E0000}"/>
    <cellStyle name="Positive 4 14 12" xfId="36370" xr:uid="{00000000-0005-0000-0000-00001F8E0000}"/>
    <cellStyle name="Positive 4 14 12 2" xfId="36371" xr:uid="{00000000-0005-0000-0000-0000208E0000}"/>
    <cellStyle name="Positive 4 14 13" xfId="36372" xr:uid="{00000000-0005-0000-0000-0000218E0000}"/>
    <cellStyle name="Positive 4 14 13 2" xfId="36373" xr:uid="{00000000-0005-0000-0000-0000228E0000}"/>
    <cellStyle name="Positive 4 14 14" xfId="36374" xr:uid="{00000000-0005-0000-0000-0000238E0000}"/>
    <cellStyle name="Positive 4 14 14 2" xfId="36375" xr:uid="{00000000-0005-0000-0000-0000248E0000}"/>
    <cellStyle name="Positive 4 14 15" xfId="36376" xr:uid="{00000000-0005-0000-0000-0000258E0000}"/>
    <cellStyle name="Positive 4 14 15 2" xfId="36377" xr:uid="{00000000-0005-0000-0000-0000268E0000}"/>
    <cellStyle name="Positive 4 14 16" xfId="36378" xr:uid="{00000000-0005-0000-0000-0000278E0000}"/>
    <cellStyle name="Positive 4 14 16 2" xfId="36379" xr:uid="{00000000-0005-0000-0000-0000288E0000}"/>
    <cellStyle name="Positive 4 14 17" xfId="36380" xr:uid="{00000000-0005-0000-0000-0000298E0000}"/>
    <cellStyle name="Positive 4 14 17 2" xfId="36381" xr:uid="{00000000-0005-0000-0000-00002A8E0000}"/>
    <cellStyle name="Positive 4 14 18" xfId="36382" xr:uid="{00000000-0005-0000-0000-00002B8E0000}"/>
    <cellStyle name="Positive 4 14 18 2" xfId="36383" xr:uid="{00000000-0005-0000-0000-00002C8E0000}"/>
    <cellStyle name="Positive 4 14 19" xfId="36384" xr:uid="{00000000-0005-0000-0000-00002D8E0000}"/>
    <cellStyle name="Positive 4 14 19 2" xfId="36385" xr:uid="{00000000-0005-0000-0000-00002E8E0000}"/>
    <cellStyle name="Positive 4 14 2" xfId="36386" xr:uid="{00000000-0005-0000-0000-00002F8E0000}"/>
    <cellStyle name="Positive 4 14 2 10" xfId="36387" xr:uid="{00000000-0005-0000-0000-0000308E0000}"/>
    <cellStyle name="Positive 4 14 2 10 2" xfId="36388" xr:uid="{00000000-0005-0000-0000-0000318E0000}"/>
    <cellStyle name="Positive 4 14 2 11" xfId="36389" xr:uid="{00000000-0005-0000-0000-0000328E0000}"/>
    <cellStyle name="Positive 4 14 2 11 2" xfId="36390" xr:uid="{00000000-0005-0000-0000-0000338E0000}"/>
    <cellStyle name="Positive 4 14 2 12" xfId="36391" xr:uid="{00000000-0005-0000-0000-0000348E0000}"/>
    <cellStyle name="Positive 4 14 2 12 2" xfId="36392" xr:uid="{00000000-0005-0000-0000-0000358E0000}"/>
    <cellStyle name="Positive 4 14 2 13" xfId="36393" xr:uid="{00000000-0005-0000-0000-0000368E0000}"/>
    <cellStyle name="Positive 4 14 2 13 2" xfId="36394" xr:uid="{00000000-0005-0000-0000-0000378E0000}"/>
    <cellStyle name="Positive 4 14 2 14" xfId="36395" xr:uid="{00000000-0005-0000-0000-0000388E0000}"/>
    <cellStyle name="Positive 4 14 2 14 2" xfId="36396" xr:uid="{00000000-0005-0000-0000-0000398E0000}"/>
    <cellStyle name="Positive 4 14 2 15" xfId="36397" xr:uid="{00000000-0005-0000-0000-00003A8E0000}"/>
    <cellStyle name="Positive 4 14 2 15 2" xfId="36398" xr:uid="{00000000-0005-0000-0000-00003B8E0000}"/>
    <cellStyle name="Positive 4 14 2 16" xfId="36399" xr:uid="{00000000-0005-0000-0000-00003C8E0000}"/>
    <cellStyle name="Positive 4 14 2 16 2" xfId="36400" xr:uid="{00000000-0005-0000-0000-00003D8E0000}"/>
    <cellStyle name="Positive 4 14 2 17" xfId="36401" xr:uid="{00000000-0005-0000-0000-00003E8E0000}"/>
    <cellStyle name="Positive 4 14 2 17 2" xfId="36402" xr:uid="{00000000-0005-0000-0000-00003F8E0000}"/>
    <cellStyle name="Positive 4 14 2 18" xfId="36403" xr:uid="{00000000-0005-0000-0000-0000408E0000}"/>
    <cellStyle name="Positive 4 14 2 18 2" xfId="36404" xr:uid="{00000000-0005-0000-0000-0000418E0000}"/>
    <cellStyle name="Positive 4 14 2 19" xfId="36405" xr:uid="{00000000-0005-0000-0000-0000428E0000}"/>
    <cellStyle name="Positive 4 14 2 19 2" xfId="36406" xr:uid="{00000000-0005-0000-0000-0000438E0000}"/>
    <cellStyle name="Positive 4 14 2 2" xfId="36407" xr:uid="{00000000-0005-0000-0000-0000448E0000}"/>
    <cellStyle name="Positive 4 14 2 2 10" xfId="36408" xr:uid="{00000000-0005-0000-0000-0000458E0000}"/>
    <cellStyle name="Positive 4 14 2 2 10 2" xfId="36409" xr:uid="{00000000-0005-0000-0000-0000468E0000}"/>
    <cellStyle name="Positive 4 14 2 2 11" xfId="36410" xr:uid="{00000000-0005-0000-0000-0000478E0000}"/>
    <cellStyle name="Positive 4 14 2 2 11 2" xfId="36411" xr:uid="{00000000-0005-0000-0000-0000488E0000}"/>
    <cellStyle name="Positive 4 14 2 2 12" xfId="36412" xr:uid="{00000000-0005-0000-0000-0000498E0000}"/>
    <cellStyle name="Positive 4 14 2 2 12 2" xfId="36413" xr:uid="{00000000-0005-0000-0000-00004A8E0000}"/>
    <cellStyle name="Positive 4 14 2 2 13" xfId="36414" xr:uid="{00000000-0005-0000-0000-00004B8E0000}"/>
    <cellStyle name="Positive 4 14 2 2 13 2" xfId="36415" xr:uid="{00000000-0005-0000-0000-00004C8E0000}"/>
    <cellStyle name="Positive 4 14 2 2 14" xfId="36416" xr:uid="{00000000-0005-0000-0000-00004D8E0000}"/>
    <cellStyle name="Positive 4 14 2 2 14 2" xfId="36417" xr:uid="{00000000-0005-0000-0000-00004E8E0000}"/>
    <cellStyle name="Positive 4 14 2 2 15" xfId="36418" xr:uid="{00000000-0005-0000-0000-00004F8E0000}"/>
    <cellStyle name="Positive 4 14 2 2 15 2" xfId="36419" xr:uid="{00000000-0005-0000-0000-0000508E0000}"/>
    <cellStyle name="Positive 4 14 2 2 16" xfId="36420" xr:uid="{00000000-0005-0000-0000-0000518E0000}"/>
    <cellStyle name="Positive 4 14 2 2 16 2" xfId="36421" xr:uid="{00000000-0005-0000-0000-0000528E0000}"/>
    <cellStyle name="Positive 4 14 2 2 17" xfId="36422" xr:uid="{00000000-0005-0000-0000-0000538E0000}"/>
    <cellStyle name="Positive 4 14 2 2 2" xfId="36423" xr:uid="{00000000-0005-0000-0000-0000548E0000}"/>
    <cellStyle name="Positive 4 14 2 2 2 2" xfId="36424" xr:uid="{00000000-0005-0000-0000-0000558E0000}"/>
    <cellStyle name="Positive 4 14 2 2 3" xfId="36425" xr:uid="{00000000-0005-0000-0000-0000568E0000}"/>
    <cellStyle name="Positive 4 14 2 2 3 2" xfId="36426" xr:uid="{00000000-0005-0000-0000-0000578E0000}"/>
    <cellStyle name="Positive 4 14 2 2 4" xfId="36427" xr:uid="{00000000-0005-0000-0000-0000588E0000}"/>
    <cellStyle name="Positive 4 14 2 2 4 2" xfId="36428" xr:uid="{00000000-0005-0000-0000-0000598E0000}"/>
    <cellStyle name="Positive 4 14 2 2 5" xfId="36429" xr:uid="{00000000-0005-0000-0000-00005A8E0000}"/>
    <cellStyle name="Positive 4 14 2 2 5 2" xfId="36430" xr:uid="{00000000-0005-0000-0000-00005B8E0000}"/>
    <cellStyle name="Positive 4 14 2 2 6" xfId="36431" xr:uid="{00000000-0005-0000-0000-00005C8E0000}"/>
    <cellStyle name="Positive 4 14 2 2 6 2" xfId="36432" xr:uid="{00000000-0005-0000-0000-00005D8E0000}"/>
    <cellStyle name="Positive 4 14 2 2 7" xfId="36433" xr:uid="{00000000-0005-0000-0000-00005E8E0000}"/>
    <cellStyle name="Positive 4 14 2 2 7 2" xfId="36434" xr:uid="{00000000-0005-0000-0000-00005F8E0000}"/>
    <cellStyle name="Positive 4 14 2 2 8" xfId="36435" xr:uid="{00000000-0005-0000-0000-0000608E0000}"/>
    <cellStyle name="Positive 4 14 2 2 8 2" xfId="36436" xr:uid="{00000000-0005-0000-0000-0000618E0000}"/>
    <cellStyle name="Positive 4 14 2 2 9" xfId="36437" xr:uid="{00000000-0005-0000-0000-0000628E0000}"/>
    <cellStyle name="Positive 4 14 2 2 9 2" xfId="36438" xr:uid="{00000000-0005-0000-0000-0000638E0000}"/>
    <cellStyle name="Positive 4 14 2 20" xfId="36439" xr:uid="{00000000-0005-0000-0000-0000648E0000}"/>
    <cellStyle name="Positive 4 14 2 3" xfId="36440" xr:uid="{00000000-0005-0000-0000-0000658E0000}"/>
    <cellStyle name="Positive 4 14 2 3 2" xfId="36441" xr:uid="{00000000-0005-0000-0000-0000668E0000}"/>
    <cellStyle name="Positive 4 14 2 3 2 2" xfId="36442" xr:uid="{00000000-0005-0000-0000-0000678E0000}"/>
    <cellStyle name="Positive 4 14 2 3 3" xfId="36443" xr:uid="{00000000-0005-0000-0000-0000688E0000}"/>
    <cellStyle name="Positive 4 14 2 4" xfId="36444" xr:uid="{00000000-0005-0000-0000-0000698E0000}"/>
    <cellStyle name="Positive 4 14 2 4 2" xfId="36445" xr:uid="{00000000-0005-0000-0000-00006A8E0000}"/>
    <cellStyle name="Positive 4 14 2 4 2 2" xfId="36446" xr:uid="{00000000-0005-0000-0000-00006B8E0000}"/>
    <cellStyle name="Positive 4 14 2 4 3" xfId="36447" xr:uid="{00000000-0005-0000-0000-00006C8E0000}"/>
    <cellStyle name="Positive 4 14 2 5" xfId="36448" xr:uid="{00000000-0005-0000-0000-00006D8E0000}"/>
    <cellStyle name="Positive 4 14 2 5 2" xfId="36449" xr:uid="{00000000-0005-0000-0000-00006E8E0000}"/>
    <cellStyle name="Positive 4 14 2 6" xfId="36450" xr:uid="{00000000-0005-0000-0000-00006F8E0000}"/>
    <cellStyle name="Positive 4 14 2 6 2" xfId="36451" xr:uid="{00000000-0005-0000-0000-0000708E0000}"/>
    <cellStyle name="Positive 4 14 2 7" xfId="36452" xr:uid="{00000000-0005-0000-0000-0000718E0000}"/>
    <cellStyle name="Positive 4 14 2 7 2" xfId="36453" xr:uid="{00000000-0005-0000-0000-0000728E0000}"/>
    <cellStyle name="Positive 4 14 2 8" xfId="36454" xr:uid="{00000000-0005-0000-0000-0000738E0000}"/>
    <cellStyle name="Positive 4 14 2 8 2" xfId="36455" xr:uid="{00000000-0005-0000-0000-0000748E0000}"/>
    <cellStyle name="Positive 4 14 2 9" xfId="36456" xr:uid="{00000000-0005-0000-0000-0000758E0000}"/>
    <cellStyle name="Positive 4 14 2 9 2" xfId="36457" xr:uid="{00000000-0005-0000-0000-0000768E0000}"/>
    <cellStyle name="Positive 4 14 20" xfId="36458" xr:uid="{00000000-0005-0000-0000-0000778E0000}"/>
    <cellStyle name="Positive 4 14 20 2" xfId="36459" xr:uid="{00000000-0005-0000-0000-0000788E0000}"/>
    <cellStyle name="Positive 4 14 21" xfId="36460" xr:uid="{00000000-0005-0000-0000-0000798E0000}"/>
    <cellStyle name="Positive 4 14 21 2" xfId="36461" xr:uid="{00000000-0005-0000-0000-00007A8E0000}"/>
    <cellStyle name="Positive 4 14 22" xfId="36462" xr:uid="{00000000-0005-0000-0000-00007B8E0000}"/>
    <cellStyle name="Positive 4 14 22 2" xfId="36463" xr:uid="{00000000-0005-0000-0000-00007C8E0000}"/>
    <cellStyle name="Positive 4 14 23" xfId="36464" xr:uid="{00000000-0005-0000-0000-00007D8E0000}"/>
    <cellStyle name="Positive 4 14 3" xfId="36465" xr:uid="{00000000-0005-0000-0000-00007E8E0000}"/>
    <cellStyle name="Positive 4 14 3 10" xfId="36466" xr:uid="{00000000-0005-0000-0000-00007F8E0000}"/>
    <cellStyle name="Positive 4 14 3 10 2" xfId="36467" xr:uid="{00000000-0005-0000-0000-0000808E0000}"/>
    <cellStyle name="Positive 4 14 3 11" xfId="36468" xr:uid="{00000000-0005-0000-0000-0000818E0000}"/>
    <cellStyle name="Positive 4 14 3 11 2" xfId="36469" xr:uid="{00000000-0005-0000-0000-0000828E0000}"/>
    <cellStyle name="Positive 4 14 3 12" xfId="36470" xr:uid="{00000000-0005-0000-0000-0000838E0000}"/>
    <cellStyle name="Positive 4 14 3 12 2" xfId="36471" xr:uid="{00000000-0005-0000-0000-0000848E0000}"/>
    <cellStyle name="Positive 4 14 3 13" xfId="36472" xr:uid="{00000000-0005-0000-0000-0000858E0000}"/>
    <cellStyle name="Positive 4 14 3 13 2" xfId="36473" xr:uid="{00000000-0005-0000-0000-0000868E0000}"/>
    <cellStyle name="Positive 4 14 3 14" xfId="36474" xr:uid="{00000000-0005-0000-0000-0000878E0000}"/>
    <cellStyle name="Positive 4 14 3 14 2" xfId="36475" xr:uid="{00000000-0005-0000-0000-0000888E0000}"/>
    <cellStyle name="Positive 4 14 3 15" xfId="36476" xr:uid="{00000000-0005-0000-0000-0000898E0000}"/>
    <cellStyle name="Positive 4 14 3 15 2" xfId="36477" xr:uid="{00000000-0005-0000-0000-00008A8E0000}"/>
    <cellStyle name="Positive 4 14 3 16" xfId="36478" xr:uid="{00000000-0005-0000-0000-00008B8E0000}"/>
    <cellStyle name="Positive 4 14 3 16 2" xfId="36479" xr:uid="{00000000-0005-0000-0000-00008C8E0000}"/>
    <cellStyle name="Positive 4 14 3 17" xfId="36480" xr:uid="{00000000-0005-0000-0000-00008D8E0000}"/>
    <cellStyle name="Positive 4 14 3 17 2" xfId="36481" xr:uid="{00000000-0005-0000-0000-00008E8E0000}"/>
    <cellStyle name="Positive 4 14 3 18" xfId="36482" xr:uid="{00000000-0005-0000-0000-00008F8E0000}"/>
    <cellStyle name="Positive 4 14 3 18 2" xfId="36483" xr:uid="{00000000-0005-0000-0000-0000908E0000}"/>
    <cellStyle name="Positive 4 14 3 19" xfId="36484" xr:uid="{00000000-0005-0000-0000-0000918E0000}"/>
    <cellStyle name="Positive 4 14 3 19 2" xfId="36485" xr:uid="{00000000-0005-0000-0000-0000928E0000}"/>
    <cellStyle name="Positive 4 14 3 2" xfId="36486" xr:uid="{00000000-0005-0000-0000-0000938E0000}"/>
    <cellStyle name="Positive 4 14 3 2 10" xfId="36487" xr:uid="{00000000-0005-0000-0000-0000948E0000}"/>
    <cellStyle name="Positive 4 14 3 2 10 2" xfId="36488" xr:uid="{00000000-0005-0000-0000-0000958E0000}"/>
    <cellStyle name="Positive 4 14 3 2 11" xfId="36489" xr:uid="{00000000-0005-0000-0000-0000968E0000}"/>
    <cellStyle name="Positive 4 14 3 2 11 2" xfId="36490" xr:uid="{00000000-0005-0000-0000-0000978E0000}"/>
    <cellStyle name="Positive 4 14 3 2 12" xfId="36491" xr:uid="{00000000-0005-0000-0000-0000988E0000}"/>
    <cellStyle name="Positive 4 14 3 2 12 2" xfId="36492" xr:uid="{00000000-0005-0000-0000-0000998E0000}"/>
    <cellStyle name="Positive 4 14 3 2 13" xfId="36493" xr:uid="{00000000-0005-0000-0000-00009A8E0000}"/>
    <cellStyle name="Positive 4 14 3 2 13 2" xfId="36494" xr:uid="{00000000-0005-0000-0000-00009B8E0000}"/>
    <cellStyle name="Positive 4 14 3 2 14" xfId="36495" xr:uid="{00000000-0005-0000-0000-00009C8E0000}"/>
    <cellStyle name="Positive 4 14 3 2 14 2" xfId="36496" xr:uid="{00000000-0005-0000-0000-00009D8E0000}"/>
    <cellStyle name="Positive 4 14 3 2 15" xfId="36497" xr:uid="{00000000-0005-0000-0000-00009E8E0000}"/>
    <cellStyle name="Positive 4 14 3 2 15 2" xfId="36498" xr:uid="{00000000-0005-0000-0000-00009F8E0000}"/>
    <cellStyle name="Positive 4 14 3 2 16" xfId="36499" xr:uid="{00000000-0005-0000-0000-0000A08E0000}"/>
    <cellStyle name="Positive 4 14 3 2 16 2" xfId="36500" xr:uid="{00000000-0005-0000-0000-0000A18E0000}"/>
    <cellStyle name="Positive 4 14 3 2 17" xfId="36501" xr:uid="{00000000-0005-0000-0000-0000A28E0000}"/>
    <cellStyle name="Positive 4 14 3 2 2" xfId="36502" xr:uid="{00000000-0005-0000-0000-0000A38E0000}"/>
    <cellStyle name="Positive 4 14 3 2 2 2" xfId="36503" xr:uid="{00000000-0005-0000-0000-0000A48E0000}"/>
    <cellStyle name="Positive 4 14 3 2 3" xfId="36504" xr:uid="{00000000-0005-0000-0000-0000A58E0000}"/>
    <cellStyle name="Positive 4 14 3 2 3 2" xfId="36505" xr:uid="{00000000-0005-0000-0000-0000A68E0000}"/>
    <cellStyle name="Positive 4 14 3 2 4" xfId="36506" xr:uid="{00000000-0005-0000-0000-0000A78E0000}"/>
    <cellStyle name="Positive 4 14 3 2 4 2" xfId="36507" xr:uid="{00000000-0005-0000-0000-0000A88E0000}"/>
    <cellStyle name="Positive 4 14 3 2 5" xfId="36508" xr:uid="{00000000-0005-0000-0000-0000A98E0000}"/>
    <cellStyle name="Positive 4 14 3 2 5 2" xfId="36509" xr:uid="{00000000-0005-0000-0000-0000AA8E0000}"/>
    <cellStyle name="Positive 4 14 3 2 6" xfId="36510" xr:uid="{00000000-0005-0000-0000-0000AB8E0000}"/>
    <cellStyle name="Positive 4 14 3 2 6 2" xfId="36511" xr:uid="{00000000-0005-0000-0000-0000AC8E0000}"/>
    <cellStyle name="Positive 4 14 3 2 7" xfId="36512" xr:uid="{00000000-0005-0000-0000-0000AD8E0000}"/>
    <cellStyle name="Positive 4 14 3 2 7 2" xfId="36513" xr:uid="{00000000-0005-0000-0000-0000AE8E0000}"/>
    <cellStyle name="Positive 4 14 3 2 8" xfId="36514" xr:uid="{00000000-0005-0000-0000-0000AF8E0000}"/>
    <cellStyle name="Positive 4 14 3 2 8 2" xfId="36515" xr:uid="{00000000-0005-0000-0000-0000B08E0000}"/>
    <cellStyle name="Positive 4 14 3 2 9" xfId="36516" xr:uid="{00000000-0005-0000-0000-0000B18E0000}"/>
    <cellStyle name="Positive 4 14 3 2 9 2" xfId="36517" xr:uid="{00000000-0005-0000-0000-0000B28E0000}"/>
    <cellStyle name="Positive 4 14 3 20" xfId="36518" xr:uid="{00000000-0005-0000-0000-0000B38E0000}"/>
    <cellStyle name="Positive 4 14 3 3" xfId="36519" xr:uid="{00000000-0005-0000-0000-0000B48E0000}"/>
    <cellStyle name="Positive 4 14 3 3 2" xfId="36520" xr:uid="{00000000-0005-0000-0000-0000B58E0000}"/>
    <cellStyle name="Positive 4 14 3 3 2 2" xfId="36521" xr:uid="{00000000-0005-0000-0000-0000B68E0000}"/>
    <cellStyle name="Positive 4 14 3 3 3" xfId="36522" xr:uid="{00000000-0005-0000-0000-0000B78E0000}"/>
    <cellStyle name="Positive 4 14 3 4" xfId="36523" xr:uid="{00000000-0005-0000-0000-0000B88E0000}"/>
    <cellStyle name="Positive 4 14 3 4 2" xfId="36524" xr:uid="{00000000-0005-0000-0000-0000B98E0000}"/>
    <cellStyle name="Positive 4 14 3 4 2 2" xfId="36525" xr:uid="{00000000-0005-0000-0000-0000BA8E0000}"/>
    <cellStyle name="Positive 4 14 3 4 3" xfId="36526" xr:uid="{00000000-0005-0000-0000-0000BB8E0000}"/>
    <cellStyle name="Positive 4 14 3 5" xfId="36527" xr:uid="{00000000-0005-0000-0000-0000BC8E0000}"/>
    <cellStyle name="Positive 4 14 3 5 2" xfId="36528" xr:uid="{00000000-0005-0000-0000-0000BD8E0000}"/>
    <cellStyle name="Positive 4 14 3 6" xfId="36529" xr:uid="{00000000-0005-0000-0000-0000BE8E0000}"/>
    <cellStyle name="Positive 4 14 3 6 2" xfId="36530" xr:uid="{00000000-0005-0000-0000-0000BF8E0000}"/>
    <cellStyle name="Positive 4 14 3 7" xfId="36531" xr:uid="{00000000-0005-0000-0000-0000C08E0000}"/>
    <cellStyle name="Positive 4 14 3 7 2" xfId="36532" xr:uid="{00000000-0005-0000-0000-0000C18E0000}"/>
    <cellStyle name="Positive 4 14 3 8" xfId="36533" xr:uid="{00000000-0005-0000-0000-0000C28E0000}"/>
    <cellStyle name="Positive 4 14 3 8 2" xfId="36534" xr:uid="{00000000-0005-0000-0000-0000C38E0000}"/>
    <cellStyle name="Positive 4 14 3 9" xfId="36535" xr:uid="{00000000-0005-0000-0000-0000C48E0000}"/>
    <cellStyle name="Positive 4 14 3 9 2" xfId="36536" xr:uid="{00000000-0005-0000-0000-0000C58E0000}"/>
    <cellStyle name="Positive 4 14 4" xfId="36537" xr:uid="{00000000-0005-0000-0000-0000C68E0000}"/>
    <cellStyle name="Positive 4 14 4 10" xfId="36538" xr:uid="{00000000-0005-0000-0000-0000C78E0000}"/>
    <cellStyle name="Positive 4 14 4 10 2" xfId="36539" xr:uid="{00000000-0005-0000-0000-0000C88E0000}"/>
    <cellStyle name="Positive 4 14 4 11" xfId="36540" xr:uid="{00000000-0005-0000-0000-0000C98E0000}"/>
    <cellStyle name="Positive 4 14 4 11 2" xfId="36541" xr:uid="{00000000-0005-0000-0000-0000CA8E0000}"/>
    <cellStyle name="Positive 4 14 4 12" xfId="36542" xr:uid="{00000000-0005-0000-0000-0000CB8E0000}"/>
    <cellStyle name="Positive 4 14 4 12 2" xfId="36543" xr:uid="{00000000-0005-0000-0000-0000CC8E0000}"/>
    <cellStyle name="Positive 4 14 4 13" xfId="36544" xr:uid="{00000000-0005-0000-0000-0000CD8E0000}"/>
    <cellStyle name="Positive 4 14 4 13 2" xfId="36545" xr:uid="{00000000-0005-0000-0000-0000CE8E0000}"/>
    <cellStyle name="Positive 4 14 4 14" xfId="36546" xr:uid="{00000000-0005-0000-0000-0000CF8E0000}"/>
    <cellStyle name="Positive 4 14 4 14 2" xfId="36547" xr:uid="{00000000-0005-0000-0000-0000D08E0000}"/>
    <cellStyle name="Positive 4 14 4 15" xfId="36548" xr:uid="{00000000-0005-0000-0000-0000D18E0000}"/>
    <cellStyle name="Positive 4 14 4 15 2" xfId="36549" xr:uid="{00000000-0005-0000-0000-0000D28E0000}"/>
    <cellStyle name="Positive 4 14 4 16" xfId="36550" xr:uid="{00000000-0005-0000-0000-0000D38E0000}"/>
    <cellStyle name="Positive 4 14 4 16 2" xfId="36551" xr:uid="{00000000-0005-0000-0000-0000D48E0000}"/>
    <cellStyle name="Positive 4 14 4 17" xfId="36552" xr:uid="{00000000-0005-0000-0000-0000D58E0000}"/>
    <cellStyle name="Positive 4 14 4 17 2" xfId="36553" xr:uid="{00000000-0005-0000-0000-0000D68E0000}"/>
    <cellStyle name="Positive 4 14 4 18" xfId="36554" xr:uid="{00000000-0005-0000-0000-0000D78E0000}"/>
    <cellStyle name="Positive 4 14 4 18 2" xfId="36555" xr:uid="{00000000-0005-0000-0000-0000D88E0000}"/>
    <cellStyle name="Positive 4 14 4 19" xfId="36556" xr:uid="{00000000-0005-0000-0000-0000D98E0000}"/>
    <cellStyle name="Positive 4 14 4 19 2" xfId="36557" xr:uid="{00000000-0005-0000-0000-0000DA8E0000}"/>
    <cellStyle name="Positive 4 14 4 2" xfId="36558" xr:uid="{00000000-0005-0000-0000-0000DB8E0000}"/>
    <cellStyle name="Positive 4 14 4 2 10" xfId="36559" xr:uid="{00000000-0005-0000-0000-0000DC8E0000}"/>
    <cellStyle name="Positive 4 14 4 2 10 2" xfId="36560" xr:uid="{00000000-0005-0000-0000-0000DD8E0000}"/>
    <cellStyle name="Positive 4 14 4 2 11" xfId="36561" xr:uid="{00000000-0005-0000-0000-0000DE8E0000}"/>
    <cellStyle name="Positive 4 14 4 2 11 2" xfId="36562" xr:uid="{00000000-0005-0000-0000-0000DF8E0000}"/>
    <cellStyle name="Positive 4 14 4 2 12" xfId="36563" xr:uid="{00000000-0005-0000-0000-0000E08E0000}"/>
    <cellStyle name="Positive 4 14 4 2 12 2" xfId="36564" xr:uid="{00000000-0005-0000-0000-0000E18E0000}"/>
    <cellStyle name="Positive 4 14 4 2 13" xfId="36565" xr:uid="{00000000-0005-0000-0000-0000E28E0000}"/>
    <cellStyle name="Positive 4 14 4 2 13 2" xfId="36566" xr:uid="{00000000-0005-0000-0000-0000E38E0000}"/>
    <cellStyle name="Positive 4 14 4 2 14" xfId="36567" xr:uid="{00000000-0005-0000-0000-0000E48E0000}"/>
    <cellStyle name="Positive 4 14 4 2 14 2" xfId="36568" xr:uid="{00000000-0005-0000-0000-0000E58E0000}"/>
    <cellStyle name="Positive 4 14 4 2 15" xfId="36569" xr:uid="{00000000-0005-0000-0000-0000E68E0000}"/>
    <cellStyle name="Positive 4 14 4 2 15 2" xfId="36570" xr:uid="{00000000-0005-0000-0000-0000E78E0000}"/>
    <cellStyle name="Positive 4 14 4 2 16" xfId="36571" xr:uid="{00000000-0005-0000-0000-0000E88E0000}"/>
    <cellStyle name="Positive 4 14 4 2 16 2" xfId="36572" xr:uid="{00000000-0005-0000-0000-0000E98E0000}"/>
    <cellStyle name="Positive 4 14 4 2 17" xfId="36573" xr:uid="{00000000-0005-0000-0000-0000EA8E0000}"/>
    <cellStyle name="Positive 4 14 4 2 2" xfId="36574" xr:uid="{00000000-0005-0000-0000-0000EB8E0000}"/>
    <cellStyle name="Positive 4 14 4 2 2 2" xfId="36575" xr:uid="{00000000-0005-0000-0000-0000EC8E0000}"/>
    <cellStyle name="Positive 4 14 4 2 3" xfId="36576" xr:uid="{00000000-0005-0000-0000-0000ED8E0000}"/>
    <cellStyle name="Positive 4 14 4 2 3 2" xfId="36577" xr:uid="{00000000-0005-0000-0000-0000EE8E0000}"/>
    <cellStyle name="Positive 4 14 4 2 4" xfId="36578" xr:uid="{00000000-0005-0000-0000-0000EF8E0000}"/>
    <cellStyle name="Positive 4 14 4 2 4 2" xfId="36579" xr:uid="{00000000-0005-0000-0000-0000F08E0000}"/>
    <cellStyle name="Positive 4 14 4 2 5" xfId="36580" xr:uid="{00000000-0005-0000-0000-0000F18E0000}"/>
    <cellStyle name="Positive 4 14 4 2 5 2" xfId="36581" xr:uid="{00000000-0005-0000-0000-0000F28E0000}"/>
    <cellStyle name="Positive 4 14 4 2 6" xfId="36582" xr:uid="{00000000-0005-0000-0000-0000F38E0000}"/>
    <cellStyle name="Positive 4 14 4 2 6 2" xfId="36583" xr:uid="{00000000-0005-0000-0000-0000F48E0000}"/>
    <cellStyle name="Positive 4 14 4 2 7" xfId="36584" xr:uid="{00000000-0005-0000-0000-0000F58E0000}"/>
    <cellStyle name="Positive 4 14 4 2 7 2" xfId="36585" xr:uid="{00000000-0005-0000-0000-0000F68E0000}"/>
    <cellStyle name="Positive 4 14 4 2 8" xfId="36586" xr:uid="{00000000-0005-0000-0000-0000F78E0000}"/>
    <cellStyle name="Positive 4 14 4 2 8 2" xfId="36587" xr:uid="{00000000-0005-0000-0000-0000F88E0000}"/>
    <cellStyle name="Positive 4 14 4 2 9" xfId="36588" xr:uid="{00000000-0005-0000-0000-0000F98E0000}"/>
    <cellStyle name="Positive 4 14 4 2 9 2" xfId="36589" xr:uid="{00000000-0005-0000-0000-0000FA8E0000}"/>
    <cellStyle name="Positive 4 14 4 20" xfId="36590" xr:uid="{00000000-0005-0000-0000-0000FB8E0000}"/>
    <cellStyle name="Positive 4 14 4 3" xfId="36591" xr:uid="{00000000-0005-0000-0000-0000FC8E0000}"/>
    <cellStyle name="Positive 4 14 4 3 2" xfId="36592" xr:uid="{00000000-0005-0000-0000-0000FD8E0000}"/>
    <cellStyle name="Positive 4 14 4 3 2 2" xfId="36593" xr:uid="{00000000-0005-0000-0000-0000FE8E0000}"/>
    <cellStyle name="Positive 4 14 4 3 3" xfId="36594" xr:uid="{00000000-0005-0000-0000-0000FF8E0000}"/>
    <cellStyle name="Positive 4 14 4 4" xfId="36595" xr:uid="{00000000-0005-0000-0000-0000008F0000}"/>
    <cellStyle name="Positive 4 14 4 4 2" xfId="36596" xr:uid="{00000000-0005-0000-0000-0000018F0000}"/>
    <cellStyle name="Positive 4 14 4 4 2 2" xfId="36597" xr:uid="{00000000-0005-0000-0000-0000028F0000}"/>
    <cellStyle name="Positive 4 14 4 4 3" xfId="36598" xr:uid="{00000000-0005-0000-0000-0000038F0000}"/>
    <cellStyle name="Positive 4 14 4 5" xfId="36599" xr:uid="{00000000-0005-0000-0000-0000048F0000}"/>
    <cellStyle name="Positive 4 14 4 5 2" xfId="36600" xr:uid="{00000000-0005-0000-0000-0000058F0000}"/>
    <cellStyle name="Positive 4 14 4 6" xfId="36601" xr:uid="{00000000-0005-0000-0000-0000068F0000}"/>
    <cellStyle name="Positive 4 14 4 6 2" xfId="36602" xr:uid="{00000000-0005-0000-0000-0000078F0000}"/>
    <cellStyle name="Positive 4 14 4 7" xfId="36603" xr:uid="{00000000-0005-0000-0000-0000088F0000}"/>
    <cellStyle name="Positive 4 14 4 7 2" xfId="36604" xr:uid="{00000000-0005-0000-0000-0000098F0000}"/>
    <cellStyle name="Positive 4 14 4 8" xfId="36605" xr:uid="{00000000-0005-0000-0000-00000A8F0000}"/>
    <cellStyle name="Positive 4 14 4 8 2" xfId="36606" xr:uid="{00000000-0005-0000-0000-00000B8F0000}"/>
    <cellStyle name="Positive 4 14 4 9" xfId="36607" xr:uid="{00000000-0005-0000-0000-00000C8F0000}"/>
    <cellStyle name="Positive 4 14 4 9 2" xfId="36608" xr:uid="{00000000-0005-0000-0000-00000D8F0000}"/>
    <cellStyle name="Positive 4 14 5" xfId="36609" xr:uid="{00000000-0005-0000-0000-00000E8F0000}"/>
    <cellStyle name="Positive 4 14 5 10" xfId="36610" xr:uid="{00000000-0005-0000-0000-00000F8F0000}"/>
    <cellStyle name="Positive 4 14 5 10 2" xfId="36611" xr:uid="{00000000-0005-0000-0000-0000108F0000}"/>
    <cellStyle name="Positive 4 14 5 11" xfId="36612" xr:uid="{00000000-0005-0000-0000-0000118F0000}"/>
    <cellStyle name="Positive 4 14 5 11 2" xfId="36613" xr:uid="{00000000-0005-0000-0000-0000128F0000}"/>
    <cellStyle name="Positive 4 14 5 12" xfId="36614" xr:uid="{00000000-0005-0000-0000-0000138F0000}"/>
    <cellStyle name="Positive 4 14 5 12 2" xfId="36615" xr:uid="{00000000-0005-0000-0000-0000148F0000}"/>
    <cellStyle name="Positive 4 14 5 13" xfId="36616" xr:uid="{00000000-0005-0000-0000-0000158F0000}"/>
    <cellStyle name="Positive 4 14 5 13 2" xfId="36617" xr:uid="{00000000-0005-0000-0000-0000168F0000}"/>
    <cellStyle name="Positive 4 14 5 14" xfId="36618" xr:uid="{00000000-0005-0000-0000-0000178F0000}"/>
    <cellStyle name="Positive 4 14 5 14 2" xfId="36619" xr:uid="{00000000-0005-0000-0000-0000188F0000}"/>
    <cellStyle name="Positive 4 14 5 15" xfId="36620" xr:uid="{00000000-0005-0000-0000-0000198F0000}"/>
    <cellStyle name="Positive 4 14 5 15 2" xfId="36621" xr:uid="{00000000-0005-0000-0000-00001A8F0000}"/>
    <cellStyle name="Positive 4 14 5 16" xfId="36622" xr:uid="{00000000-0005-0000-0000-00001B8F0000}"/>
    <cellStyle name="Positive 4 14 5 16 2" xfId="36623" xr:uid="{00000000-0005-0000-0000-00001C8F0000}"/>
    <cellStyle name="Positive 4 14 5 17" xfId="36624" xr:uid="{00000000-0005-0000-0000-00001D8F0000}"/>
    <cellStyle name="Positive 4 14 5 2" xfId="36625" xr:uid="{00000000-0005-0000-0000-00001E8F0000}"/>
    <cellStyle name="Positive 4 14 5 2 2" xfId="36626" xr:uid="{00000000-0005-0000-0000-00001F8F0000}"/>
    <cellStyle name="Positive 4 14 5 3" xfId="36627" xr:uid="{00000000-0005-0000-0000-0000208F0000}"/>
    <cellStyle name="Positive 4 14 5 3 2" xfId="36628" xr:uid="{00000000-0005-0000-0000-0000218F0000}"/>
    <cellStyle name="Positive 4 14 5 4" xfId="36629" xr:uid="{00000000-0005-0000-0000-0000228F0000}"/>
    <cellStyle name="Positive 4 14 5 4 2" xfId="36630" xr:uid="{00000000-0005-0000-0000-0000238F0000}"/>
    <cellStyle name="Positive 4 14 5 5" xfId="36631" xr:uid="{00000000-0005-0000-0000-0000248F0000}"/>
    <cellStyle name="Positive 4 14 5 5 2" xfId="36632" xr:uid="{00000000-0005-0000-0000-0000258F0000}"/>
    <cellStyle name="Positive 4 14 5 6" xfId="36633" xr:uid="{00000000-0005-0000-0000-0000268F0000}"/>
    <cellStyle name="Positive 4 14 5 6 2" xfId="36634" xr:uid="{00000000-0005-0000-0000-0000278F0000}"/>
    <cellStyle name="Positive 4 14 5 7" xfId="36635" xr:uid="{00000000-0005-0000-0000-0000288F0000}"/>
    <cellStyle name="Positive 4 14 5 7 2" xfId="36636" xr:uid="{00000000-0005-0000-0000-0000298F0000}"/>
    <cellStyle name="Positive 4 14 5 8" xfId="36637" xr:uid="{00000000-0005-0000-0000-00002A8F0000}"/>
    <cellStyle name="Positive 4 14 5 8 2" xfId="36638" xr:uid="{00000000-0005-0000-0000-00002B8F0000}"/>
    <cellStyle name="Positive 4 14 5 9" xfId="36639" xr:uid="{00000000-0005-0000-0000-00002C8F0000}"/>
    <cellStyle name="Positive 4 14 5 9 2" xfId="36640" xr:uid="{00000000-0005-0000-0000-00002D8F0000}"/>
    <cellStyle name="Positive 4 14 6" xfId="36641" xr:uid="{00000000-0005-0000-0000-00002E8F0000}"/>
    <cellStyle name="Positive 4 14 6 2" xfId="36642" xr:uid="{00000000-0005-0000-0000-00002F8F0000}"/>
    <cellStyle name="Positive 4 14 6 2 2" xfId="36643" xr:uid="{00000000-0005-0000-0000-0000308F0000}"/>
    <cellStyle name="Positive 4 14 6 3" xfId="36644" xr:uid="{00000000-0005-0000-0000-0000318F0000}"/>
    <cellStyle name="Positive 4 14 7" xfId="36645" xr:uid="{00000000-0005-0000-0000-0000328F0000}"/>
    <cellStyle name="Positive 4 14 7 2" xfId="36646" xr:uid="{00000000-0005-0000-0000-0000338F0000}"/>
    <cellStyle name="Positive 4 14 7 2 2" xfId="36647" xr:uid="{00000000-0005-0000-0000-0000348F0000}"/>
    <cellStyle name="Positive 4 14 7 3" xfId="36648" xr:uid="{00000000-0005-0000-0000-0000358F0000}"/>
    <cellStyle name="Positive 4 14 8" xfId="36649" xr:uid="{00000000-0005-0000-0000-0000368F0000}"/>
    <cellStyle name="Positive 4 14 8 2" xfId="36650" xr:uid="{00000000-0005-0000-0000-0000378F0000}"/>
    <cellStyle name="Positive 4 14 9" xfId="36651" xr:uid="{00000000-0005-0000-0000-0000388F0000}"/>
    <cellStyle name="Positive 4 14 9 2" xfId="36652" xr:uid="{00000000-0005-0000-0000-0000398F0000}"/>
    <cellStyle name="Positive 4 15" xfId="36653" xr:uid="{00000000-0005-0000-0000-00003A8F0000}"/>
    <cellStyle name="Positive 4 15 10" xfId="36654" xr:uid="{00000000-0005-0000-0000-00003B8F0000}"/>
    <cellStyle name="Positive 4 15 10 2" xfId="36655" xr:uid="{00000000-0005-0000-0000-00003C8F0000}"/>
    <cellStyle name="Positive 4 15 11" xfId="36656" xr:uid="{00000000-0005-0000-0000-00003D8F0000}"/>
    <cellStyle name="Positive 4 15 11 2" xfId="36657" xr:uid="{00000000-0005-0000-0000-00003E8F0000}"/>
    <cellStyle name="Positive 4 15 12" xfId="36658" xr:uid="{00000000-0005-0000-0000-00003F8F0000}"/>
    <cellStyle name="Positive 4 15 12 2" xfId="36659" xr:uid="{00000000-0005-0000-0000-0000408F0000}"/>
    <cellStyle name="Positive 4 15 13" xfId="36660" xr:uid="{00000000-0005-0000-0000-0000418F0000}"/>
    <cellStyle name="Positive 4 15 13 2" xfId="36661" xr:uid="{00000000-0005-0000-0000-0000428F0000}"/>
    <cellStyle name="Positive 4 15 14" xfId="36662" xr:uid="{00000000-0005-0000-0000-0000438F0000}"/>
    <cellStyle name="Positive 4 15 14 2" xfId="36663" xr:uid="{00000000-0005-0000-0000-0000448F0000}"/>
    <cellStyle name="Positive 4 15 15" xfId="36664" xr:uid="{00000000-0005-0000-0000-0000458F0000}"/>
    <cellStyle name="Positive 4 15 15 2" xfId="36665" xr:uid="{00000000-0005-0000-0000-0000468F0000}"/>
    <cellStyle name="Positive 4 15 16" xfId="36666" xr:uid="{00000000-0005-0000-0000-0000478F0000}"/>
    <cellStyle name="Positive 4 15 16 2" xfId="36667" xr:uid="{00000000-0005-0000-0000-0000488F0000}"/>
    <cellStyle name="Positive 4 15 17" xfId="36668" xr:uid="{00000000-0005-0000-0000-0000498F0000}"/>
    <cellStyle name="Positive 4 15 17 2" xfId="36669" xr:uid="{00000000-0005-0000-0000-00004A8F0000}"/>
    <cellStyle name="Positive 4 15 18" xfId="36670" xr:uid="{00000000-0005-0000-0000-00004B8F0000}"/>
    <cellStyle name="Positive 4 15 18 2" xfId="36671" xr:uid="{00000000-0005-0000-0000-00004C8F0000}"/>
    <cellStyle name="Positive 4 15 19" xfId="36672" xr:uid="{00000000-0005-0000-0000-00004D8F0000}"/>
    <cellStyle name="Positive 4 15 19 2" xfId="36673" xr:uid="{00000000-0005-0000-0000-00004E8F0000}"/>
    <cellStyle name="Positive 4 15 2" xfId="36674" xr:uid="{00000000-0005-0000-0000-00004F8F0000}"/>
    <cellStyle name="Positive 4 15 2 10" xfId="36675" xr:uid="{00000000-0005-0000-0000-0000508F0000}"/>
    <cellStyle name="Positive 4 15 2 10 2" xfId="36676" xr:uid="{00000000-0005-0000-0000-0000518F0000}"/>
    <cellStyle name="Positive 4 15 2 11" xfId="36677" xr:uid="{00000000-0005-0000-0000-0000528F0000}"/>
    <cellStyle name="Positive 4 15 2 11 2" xfId="36678" xr:uid="{00000000-0005-0000-0000-0000538F0000}"/>
    <cellStyle name="Positive 4 15 2 12" xfId="36679" xr:uid="{00000000-0005-0000-0000-0000548F0000}"/>
    <cellStyle name="Positive 4 15 2 12 2" xfId="36680" xr:uid="{00000000-0005-0000-0000-0000558F0000}"/>
    <cellStyle name="Positive 4 15 2 13" xfId="36681" xr:uid="{00000000-0005-0000-0000-0000568F0000}"/>
    <cellStyle name="Positive 4 15 2 13 2" xfId="36682" xr:uid="{00000000-0005-0000-0000-0000578F0000}"/>
    <cellStyle name="Positive 4 15 2 14" xfId="36683" xr:uid="{00000000-0005-0000-0000-0000588F0000}"/>
    <cellStyle name="Positive 4 15 2 14 2" xfId="36684" xr:uid="{00000000-0005-0000-0000-0000598F0000}"/>
    <cellStyle name="Positive 4 15 2 15" xfId="36685" xr:uid="{00000000-0005-0000-0000-00005A8F0000}"/>
    <cellStyle name="Positive 4 15 2 15 2" xfId="36686" xr:uid="{00000000-0005-0000-0000-00005B8F0000}"/>
    <cellStyle name="Positive 4 15 2 16" xfId="36687" xr:uid="{00000000-0005-0000-0000-00005C8F0000}"/>
    <cellStyle name="Positive 4 15 2 16 2" xfId="36688" xr:uid="{00000000-0005-0000-0000-00005D8F0000}"/>
    <cellStyle name="Positive 4 15 2 17" xfId="36689" xr:uid="{00000000-0005-0000-0000-00005E8F0000}"/>
    <cellStyle name="Positive 4 15 2 17 2" xfId="36690" xr:uid="{00000000-0005-0000-0000-00005F8F0000}"/>
    <cellStyle name="Positive 4 15 2 18" xfId="36691" xr:uid="{00000000-0005-0000-0000-0000608F0000}"/>
    <cellStyle name="Positive 4 15 2 18 2" xfId="36692" xr:uid="{00000000-0005-0000-0000-0000618F0000}"/>
    <cellStyle name="Positive 4 15 2 19" xfId="36693" xr:uid="{00000000-0005-0000-0000-0000628F0000}"/>
    <cellStyle name="Positive 4 15 2 19 2" xfId="36694" xr:uid="{00000000-0005-0000-0000-0000638F0000}"/>
    <cellStyle name="Positive 4 15 2 2" xfId="36695" xr:uid="{00000000-0005-0000-0000-0000648F0000}"/>
    <cellStyle name="Positive 4 15 2 2 10" xfId="36696" xr:uid="{00000000-0005-0000-0000-0000658F0000}"/>
    <cellStyle name="Positive 4 15 2 2 10 2" xfId="36697" xr:uid="{00000000-0005-0000-0000-0000668F0000}"/>
    <cellStyle name="Positive 4 15 2 2 11" xfId="36698" xr:uid="{00000000-0005-0000-0000-0000678F0000}"/>
    <cellStyle name="Positive 4 15 2 2 11 2" xfId="36699" xr:uid="{00000000-0005-0000-0000-0000688F0000}"/>
    <cellStyle name="Positive 4 15 2 2 12" xfId="36700" xr:uid="{00000000-0005-0000-0000-0000698F0000}"/>
    <cellStyle name="Positive 4 15 2 2 12 2" xfId="36701" xr:uid="{00000000-0005-0000-0000-00006A8F0000}"/>
    <cellStyle name="Positive 4 15 2 2 13" xfId="36702" xr:uid="{00000000-0005-0000-0000-00006B8F0000}"/>
    <cellStyle name="Positive 4 15 2 2 13 2" xfId="36703" xr:uid="{00000000-0005-0000-0000-00006C8F0000}"/>
    <cellStyle name="Positive 4 15 2 2 14" xfId="36704" xr:uid="{00000000-0005-0000-0000-00006D8F0000}"/>
    <cellStyle name="Positive 4 15 2 2 14 2" xfId="36705" xr:uid="{00000000-0005-0000-0000-00006E8F0000}"/>
    <cellStyle name="Positive 4 15 2 2 15" xfId="36706" xr:uid="{00000000-0005-0000-0000-00006F8F0000}"/>
    <cellStyle name="Positive 4 15 2 2 15 2" xfId="36707" xr:uid="{00000000-0005-0000-0000-0000708F0000}"/>
    <cellStyle name="Positive 4 15 2 2 16" xfId="36708" xr:uid="{00000000-0005-0000-0000-0000718F0000}"/>
    <cellStyle name="Positive 4 15 2 2 16 2" xfId="36709" xr:uid="{00000000-0005-0000-0000-0000728F0000}"/>
    <cellStyle name="Positive 4 15 2 2 17" xfId="36710" xr:uid="{00000000-0005-0000-0000-0000738F0000}"/>
    <cellStyle name="Positive 4 15 2 2 2" xfId="36711" xr:uid="{00000000-0005-0000-0000-0000748F0000}"/>
    <cellStyle name="Positive 4 15 2 2 2 2" xfId="36712" xr:uid="{00000000-0005-0000-0000-0000758F0000}"/>
    <cellStyle name="Positive 4 15 2 2 3" xfId="36713" xr:uid="{00000000-0005-0000-0000-0000768F0000}"/>
    <cellStyle name="Positive 4 15 2 2 3 2" xfId="36714" xr:uid="{00000000-0005-0000-0000-0000778F0000}"/>
    <cellStyle name="Positive 4 15 2 2 4" xfId="36715" xr:uid="{00000000-0005-0000-0000-0000788F0000}"/>
    <cellStyle name="Positive 4 15 2 2 4 2" xfId="36716" xr:uid="{00000000-0005-0000-0000-0000798F0000}"/>
    <cellStyle name="Positive 4 15 2 2 5" xfId="36717" xr:uid="{00000000-0005-0000-0000-00007A8F0000}"/>
    <cellStyle name="Positive 4 15 2 2 5 2" xfId="36718" xr:uid="{00000000-0005-0000-0000-00007B8F0000}"/>
    <cellStyle name="Positive 4 15 2 2 6" xfId="36719" xr:uid="{00000000-0005-0000-0000-00007C8F0000}"/>
    <cellStyle name="Positive 4 15 2 2 6 2" xfId="36720" xr:uid="{00000000-0005-0000-0000-00007D8F0000}"/>
    <cellStyle name="Positive 4 15 2 2 7" xfId="36721" xr:uid="{00000000-0005-0000-0000-00007E8F0000}"/>
    <cellStyle name="Positive 4 15 2 2 7 2" xfId="36722" xr:uid="{00000000-0005-0000-0000-00007F8F0000}"/>
    <cellStyle name="Positive 4 15 2 2 8" xfId="36723" xr:uid="{00000000-0005-0000-0000-0000808F0000}"/>
    <cellStyle name="Positive 4 15 2 2 8 2" xfId="36724" xr:uid="{00000000-0005-0000-0000-0000818F0000}"/>
    <cellStyle name="Positive 4 15 2 2 9" xfId="36725" xr:uid="{00000000-0005-0000-0000-0000828F0000}"/>
    <cellStyle name="Positive 4 15 2 2 9 2" xfId="36726" xr:uid="{00000000-0005-0000-0000-0000838F0000}"/>
    <cellStyle name="Positive 4 15 2 20" xfId="36727" xr:uid="{00000000-0005-0000-0000-0000848F0000}"/>
    <cellStyle name="Positive 4 15 2 3" xfId="36728" xr:uid="{00000000-0005-0000-0000-0000858F0000}"/>
    <cellStyle name="Positive 4 15 2 3 2" xfId="36729" xr:uid="{00000000-0005-0000-0000-0000868F0000}"/>
    <cellStyle name="Positive 4 15 2 3 2 2" xfId="36730" xr:uid="{00000000-0005-0000-0000-0000878F0000}"/>
    <cellStyle name="Positive 4 15 2 3 3" xfId="36731" xr:uid="{00000000-0005-0000-0000-0000888F0000}"/>
    <cellStyle name="Positive 4 15 2 4" xfId="36732" xr:uid="{00000000-0005-0000-0000-0000898F0000}"/>
    <cellStyle name="Positive 4 15 2 4 2" xfId="36733" xr:uid="{00000000-0005-0000-0000-00008A8F0000}"/>
    <cellStyle name="Positive 4 15 2 4 2 2" xfId="36734" xr:uid="{00000000-0005-0000-0000-00008B8F0000}"/>
    <cellStyle name="Positive 4 15 2 4 3" xfId="36735" xr:uid="{00000000-0005-0000-0000-00008C8F0000}"/>
    <cellStyle name="Positive 4 15 2 5" xfId="36736" xr:uid="{00000000-0005-0000-0000-00008D8F0000}"/>
    <cellStyle name="Positive 4 15 2 5 2" xfId="36737" xr:uid="{00000000-0005-0000-0000-00008E8F0000}"/>
    <cellStyle name="Positive 4 15 2 6" xfId="36738" xr:uid="{00000000-0005-0000-0000-00008F8F0000}"/>
    <cellStyle name="Positive 4 15 2 6 2" xfId="36739" xr:uid="{00000000-0005-0000-0000-0000908F0000}"/>
    <cellStyle name="Positive 4 15 2 7" xfId="36740" xr:uid="{00000000-0005-0000-0000-0000918F0000}"/>
    <cellStyle name="Positive 4 15 2 7 2" xfId="36741" xr:uid="{00000000-0005-0000-0000-0000928F0000}"/>
    <cellStyle name="Positive 4 15 2 8" xfId="36742" xr:uid="{00000000-0005-0000-0000-0000938F0000}"/>
    <cellStyle name="Positive 4 15 2 8 2" xfId="36743" xr:uid="{00000000-0005-0000-0000-0000948F0000}"/>
    <cellStyle name="Positive 4 15 2 9" xfId="36744" xr:uid="{00000000-0005-0000-0000-0000958F0000}"/>
    <cellStyle name="Positive 4 15 2 9 2" xfId="36745" xr:uid="{00000000-0005-0000-0000-0000968F0000}"/>
    <cellStyle name="Positive 4 15 20" xfId="36746" xr:uid="{00000000-0005-0000-0000-0000978F0000}"/>
    <cellStyle name="Positive 4 15 20 2" xfId="36747" xr:uid="{00000000-0005-0000-0000-0000988F0000}"/>
    <cellStyle name="Positive 4 15 21" xfId="36748" xr:uid="{00000000-0005-0000-0000-0000998F0000}"/>
    <cellStyle name="Positive 4 15 21 2" xfId="36749" xr:uid="{00000000-0005-0000-0000-00009A8F0000}"/>
    <cellStyle name="Positive 4 15 22" xfId="36750" xr:uid="{00000000-0005-0000-0000-00009B8F0000}"/>
    <cellStyle name="Positive 4 15 22 2" xfId="36751" xr:uid="{00000000-0005-0000-0000-00009C8F0000}"/>
    <cellStyle name="Positive 4 15 23" xfId="36752" xr:uid="{00000000-0005-0000-0000-00009D8F0000}"/>
    <cellStyle name="Positive 4 15 3" xfId="36753" xr:uid="{00000000-0005-0000-0000-00009E8F0000}"/>
    <cellStyle name="Positive 4 15 3 10" xfId="36754" xr:uid="{00000000-0005-0000-0000-00009F8F0000}"/>
    <cellStyle name="Positive 4 15 3 10 2" xfId="36755" xr:uid="{00000000-0005-0000-0000-0000A08F0000}"/>
    <cellStyle name="Positive 4 15 3 11" xfId="36756" xr:uid="{00000000-0005-0000-0000-0000A18F0000}"/>
    <cellStyle name="Positive 4 15 3 11 2" xfId="36757" xr:uid="{00000000-0005-0000-0000-0000A28F0000}"/>
    <cellStyle name="Positive 4 15 3 12" xfId="36758" xr:uid="{00000000-0005-0000-0000-0000A38F0000}"/>
    <cellStyle name="Positive 4 15 3 12 2" xfId="36759" xr:uid="{00000000-0005-0000-0000-0000A48F0000}"/>
    <cellStyle name="Positive 4 15 3 13" xfId="36760" xr:uid="{00000000-0005-0000-0000-0000A58F0000}"/>
    <cellStyle name="Positive 4 15 3 13 2" xfId="36761" xr:uid="{00000000-0005-0000-0000-0000A68F0000}"/>
    <cellStyle name="Positive 4 15 3 14" xfId="36762" xr:uid="{00000000-0005-0000-0000-0000A78F0000}"/>
    <cellStyle name="Positive 4 15 3 14 2" xfId="36763" xr:uid="{00000000-0005-0000-0000-0000A88F0000}"/>
    <cellStyle name="Positive 4 15 3 15" xfId="36764" xr:uid="{00000000-0005-0000-0000-0000A98F0000}"/>
    <cellStyle name="Positive 4 15 3 15 2" xfId="36765" xr:uid="{00000000-0005-0000-0000-0000AA8F0000}"/>
    <cellStyle name="Positive 4 15 3 16" xfId="36766" xr:uid="{00000000-0005-0000-0000-0000AB8F0000}"/>
    <cellStyle name="Positive 4 15 3 16 2" xfId="36767" xr:uid="{00000000-0005-0000-0000-0000AC8F0000}"/>
    <cellStyle name="Positive 4 15 3 17" xfId="36768" xr:uid="{00000000-0005-0000-0000-0000AD8F0000}"/>
    <cellStyle name="Positive 4 15 3 17 2" xfId="36769" xr:uid="{00000000-0005-0000-0000-0000AE8F0000}"/>
    <cellStyle name="Positive 4 15 3 18" xfId="36770" xr:uid="{00000000-0005-0000-0000-0000AF8F0000}"/>
    <cellStyle name="Positive 4 15 3 18 2" xfId="36771" xr:uid="{00000000-0005-0000-0000-0000B08F0000}"/>
    <cellStyle name="Positive 4 15 3 19" xfId="36772" xr:uid="{00000000-0005-0000-0000-0000B18F0000}"/>
    <cellStyle name="Positive 4 15 3 19 2" xfId="36773" xr:uid="{00000000-0005-0000-0000-0000B28F0000}"/>
    <cellStyle name="Positive 4 15 3 2" xfId="36774" xr:uid="{00000000-0005-0000-0000-0000B38F0000}"/>
    <cellStyle name="Positive 4 15 3 2 10" xfId="36775" xr:uid="{00000000-0005-0000-0000-0000B48F0000}"/>
    <cellStyle name="Positive 4 15 3 2 10 2" xfId="36776" xr:uid="{00000000-0005-0000-0000-0000B58F0000}"/>
    <cellStyle name="Positive 4 15 3 2 11" xfId="36777" xr:uid="{00000000-0005-0000-0000-0000B68F0000}"/>
    <cellStyle name="Positive 4 15 3 2 11 2" xfId="36778" xr:uid="{00000000-0005-0000-0000-0000B78F0000}"/>
    <cellStyle name="Positive 4 15 3 2 12" xfId="36779" xr:uid="{00000000-0005-0000-0000-0000B88F0000}"/>
    <cellStyle name="Positive 4 15 3 2 12 2" xfId="36780" xr:uid="{00000000-0005-0000-0000-0000B98F0000}"/>
    <cellStyle name="Positive 4 15 3 2 13" xfId="36781" xr:uid="{00000000-0005-0000-0000-0000BA8F0000}"/>
    <cellStyle name="Positive 4 15 3 2 13 2" xfId="36782" xr:uid="{00000000-0005-0000-0000-0000BB8F0000}"/>
    <cellStyle name="Positive 4 15 3 2 14" xfId="36783" xr:uid="{00000000-0005-0000-0000-0000BC8F0000}"/>
    <cellStyle name="Positive 4 15 3 2 14 2" xfId="36784" xr:uid="{00000000-0005-0000-0000-0000BD8F0000}"/>
    <cellStyle name="Positive 4 15 3 2 15" xfId="36785" xr:uid="{00000000-0005-0000-0000-0000BE8F0000}"/>
    <cellStyle name="Positive 4 15 3 2 15 2" xfId="36786" xr:uid="{00000000-0005-0000-0000-0000BF8F0000}"/>
    <cellStyle name="Positive 4 15 3 2 16" xfId="36787" xr:uid="{00000000-0005-0000-0000-0000C08F0000}"/>
    <cellStyle name="Positive 4 15 3 2 16 2" xfId="36788" xr:uid="{00000000-0005-0000-0000-0000C18F0000}"/>
    <cellStyle name="Positive 4 15 3 2 17" xfId="36789" xr:uid="{00000000-0005-0000-0000-0000C28F0000}"/>
    <cellStyle name="Positive 4 15 3 2 2" xfId="36790" xr:uid="{00000000-0005-0000-0000-0000C38F0000}"/>
    <cellStyle name="Positive 4 15 3 2 2 2" xfId="36791" xr:uid="{00000000-0005-0000-0000-0000C48F0000}"/>
    <cellStyle name="Positive 4 15 3 2 3" xfId="36792" xr:uid="{00000000-0005-0000-0000-0000C58F0000}"/>
    <cellStyle name="Positive 4 15 3 2 3 2" xfId="36793" xr:uid="{00000000-0005-0000-0000-0000C68F0000}"/>
    <cellStyle name="Positive 4 15 3 2 4" xfId="36794" xr:uid="{00000000-0005-0000-0000-0000C78F0000}"/>
    <cellStyle name="Positive 4 15 3 2 4 2" xfId="36795" xr:uid="{00000000-0005-0000-0000-0000C88F0000}"/>
    <cellStyle name="Positive 4 15 3 2 5" xfId="36796" xr:uid="{00000000-0005-0000-0000-0000C98F0000}"/>
    <cellStyle name="Positive 4 15 3 2 5 2" xfId="36797" xr:uid="{00000000-0005-0000-0000-0000CA8F0000}"/>
    <cellStyle name="Positive 4 15 3 2 6" xfId="36798" xr:uid="{00000000-0005-0000-0000-0000CB8F0000}"/>
    <cellStyle name="Positive 4 15 3 2 6 2" xfId="36799" xr:uid="{00000000-0005-0000-0000-0000CC8F0000}"/>
    <cellStyle name="Positive 4 15 3 2 7" xfId="36800" xr:uid="{00000000-0005-0000-0000-0000CD8F0000}"/>
    <cellStyle name="Positive 4 15 3 2 7 2" xfId="36801" xr:uid="{00000000-0005-0000-0000-0000CE8F0000}"/>
    <cellStyle name="Positive 4 15 3 2 8" xfId="36802" xr:uid="{00000000-0005-0000-0000-0000CF8F0000}"/>
    <cellStyle name="Positive 4 15 3 2 8 2" xfId="36803" xr:uid="{00000000-0005-0000-0000-0000D08F0000}"/>
    <cellStyle name="Positive 4 15 3 2 9" xfId="36804" xr:uid="{00000000-0005-0000-0000-0000D18F0000}"/>
    <cellStyle name="Positive 4 15 3 2 9 2" xfId="36805" xr:uid="{00000000-0005-0000-0000-0000D28F0000}"/>
    <cellStyle name="Positive 4 15 3 20" xfId="36806" xr:uid="{00000000-0005-0000-0000-0000D38F0000}"/>
    <cellStyle name="Positive 4 15 3 3" xfId="36807" xr:uid="{00000000-0005-0000-0000-0000D48F0000}"/>
    <cellStyle name="Positive 4 15 3 3 2" xfId="36808" xr:uid="{00000000-0005-0000-0000-0000D58F0000}"/>
    <cellStyle name="Positive 4 15 3 3 2 2" xfId="36809" xr:uid="{00000000-0005-0000-0000-0000D68F0000}"/>
    <cellStyle name="Positive 4 15 3 3 3" xfId="36810" xr:uid="{00000000-0005-0000-0000-0000D78F0000}"/>
    <cellStyle name="Positive 4 15 3 4" xfId="36811" xr:uid="{00000000-0005-0000-0000-0000D88F0000}"/>
    <cellStyle name="Positive 4 15 3 4 2" xfId="36812" xr:uid="{00000000-0005-0000-0000-0000D98F0000}"/>
    <cellStyle name="Positive 4 15 3 4 2 2" xfId="36813" xr:uid="{00000000-0005-0000-0000-0000DA8F0000}"/>
    <cellStyle name="Positive 4 15 3 4 3" xfId="36814" xr:uid="{00000000-0005-0000-0000-0000DB8F0000}"/>
    <cellStyle name="Positive 4 15 3 5" xfId="36815" xr:uid="{00000000-0005-0000-0000-0000DC8F0000}"/>
    <cellStyle name="Positive 4 15 3 5 2" xfId="36816" xr:uid="{00000000-0005-0000-0000-0000DD8F0000}"/>
    <cellStyle name="Positive 4 15 3 6" xfId="36817" xr:uid="{00000000-0005-0000-0000-0000DE8F0000}"/>
    <cellStyle name="Positive 4 15 3 6 2" xfId="36818" xr:uid="{00000000-0005-0000-0000-0000DF8F0000}"/>
    <cellStyle name="Positive 4 15 3 7" xfId="36819" xr:uid="{00000000-0005-0000-0000-0000E08F0000}"/>
    <cellStyle name="Positive 4 15 3 7 2" xfId="36820" xr:uid="{00000000-0005-0000-0000-0000E18F0000}"/>
    <cellStyle name="Positive 4 15 3 8" xfId="36821" xr:uid="{00000000-0005-0000-0000-0000E28F0000}"/>
    <cellStyle name="Positive 4 15 3 8 2" xfId="36822" xr:uid="{00000000-0005-0000-0000-0000E38F0000}"/>
    <cellStyle name="Positive 4 15 3 9" xfId="36823" xr:uid="{00000000-0005-0000-0000-0000E48F0000}"/>
    <cellStyle name="Positive 4 15 3 9 2" xfId="36824" xr:uid="{00000000-0005-0000-0000-0000E58F0000}"/>
    <cellStyle name="Positive 4 15 4" xfId="36825" xr:uid="{00000000-0005-0000-0000-0000E68F0000}"/>
    <cellStyle name="Positive 4 15 4 10" xfId="36826" xr:uid="{00000000-0005-0000-0000-0000E78F0000}"/>
    <cellStyle name="Positive 4 15 4 10 2" xfId="36827" xr:uid="{00000000-0005-0000-0000-0000E88F0000}"/>
    <cellStyle name="Positive 4 15 4 11" xfId="36828" xr:uid="{00000000-0005-0000-0000-0000E98F0000}"/>
    <cellStyle name="Positive 4 15 4 11 2" xfId="36829" xr:uid="{00000000-0005-0000-0000-0000EA8F0000}"/>
    <cellStyle name="Positive 4 15 4 12" xfId="36830" xr:uid="{00000000-0005-0000-0000-0000EB8F0000}"/>
    <cellStyle name="Positive 4 15 4 12 2" xfId="36831" xr:uid="{00000000-0005-0000-0000-0000EC8F0000}"/>
    <cellStyle name="Positive 4 15 4 13" xfId="36832" xr:uid="{00000000-0005-0000-0000-0000ED8F0000}"/>
    <cellStyle name="Positive 4 15 4 13 2" xfId="36833" xr:uid="{00000000-0005-0000-0000-0000EE8F0000}"/>
    <cellStyle name="Positive 4 15 4 14" xfId="36834" xr:uid="{00000000-0005-0000-0000-0000EF8F0000}"/>
    <cellStyle name="Positive 4 15 4 14 2" xfId="36835" xr:uid="{00000000-0005-0000-0000-0000F08F0000}"/>
    <cellStyle name="Positive 4 15 4 15" xfId="36836" xr:uid="{00000000-0005-0000-0000-0000F18F0000}"/>
    <cellStyle name="Positive 4 15 4 15 2" xfId="36837" xr:uid="{00000000-0005-0000-0000-0000F28F0000}"/>
    <cellStyle name="Positive 4 15 4 16" xfId="36838" xr:uid="{00000000-0005-0000-0000-0000F38F0000}"/>
    <cellStyle name="Positive 4 15 4 16 2" xfId="36839" xr:uid="{00000000-0005-0000-0000-0000F48F0000}"/>
    <cellStyle name="Positive 4 15 4 17" xfId="36840" xr:uid="{00000000-0005-0000-0000-0000F58F0000}"/>
    <cellStyle name="Positive 4 15 4 17 2" xfId="36841" xr:uid="{00000000-0005-0000-0000-0000F68F0000}"/>
    <cellStyle name="Positive 4 15 4 18" xfId="36842" xr:uid="{00000000-0005-0000-0000-0000F78F0000}"/>
    <cellStyle name="Positive 4 15 4 18 2" xfId="36843" xr:uid="{00000000-0005-0000-0000-0000F88F0000}"/>
    <cellStyle name="Positive 4 15 4 19" xfId="36844" xr:uid="{00000000-0005-0000-0000-0000F98F0000}"/>
    <cellStyle name="Positive 4 15 4 19 2" xfId="36845" xr:uid="{00000000-0005-0000-0000-0000FA8F0000}"/>
    <cellStyle name="Positive 4 15 4 2" xfId="36846" xr:uid="{00000000-0005-0000-0000-0000FB8F0000}"/>
    <cellStyle name="Positive 4 15 4 2 10" xfId="36847" xr:uid="{00000000-0005-0000-0000-0000FC8F0000}"/>
    <cellStyle name="Positive 4 15 4 2 10 2" xfId="36848" xr:uid="{00000000-0005-0000-0000-0000FD8F0000}"/>
    <cellStyle name="Positive 4 15 4 2 11" xfId="36849" xr:uid="{00000000-0005-0000-0000-0000FE8F0000}"/>
    <cellStyle name="Positive 4 15 4 2 11 2" xfId="36850" xr:uid="{00000000-0005-0000-0000-0000FF8F0000}"/>
    <cellStyle name="Positive 4 15 4 2 12" xfId="36851" xr:uid="{00000000-0005-0000-0000-000000900000}"/>
    <cellStyle name="Positive 4 15 4 2 12 2" xfId="36852" xr:uid="{00000000-0005-0000-0000-000001900000}"/>
    <cellStyle name="Positive 4 15 4 2 13" xfId="36853" xr:uid="{00000000-0005-0000-0000-000002900000}"/>
    <cellStyle name="Positive 4 15 4 2 13 2" xfId="36854" xr:uid="{00000000-0005-0000-0000-000003900000}"/>
    <cellStyle name="Positive 4 15 4 2 14" xfId="36855" xr:uid="{00000000-0005-0000-0000-000004900000}"/>
    <cellStyle name="Positive 4 15 4 2 14 2" xfId="36856" xr:uid="{00000000-0005-0000-0000-000005900000}"/>
    <cellStyle name="Positive 4 15 4 2 15" xfId="36857" xr:uid="{00000000-0005-0000-0000-000006900000}"/>
    <cellStyle name="Positive 4 15 4 2 15 2" xfId="36858" xr:uid="{00000000-0005-0000-0000-000007900000}"/>
    <cellStyle name="Positive 4 15 4 2 16" xfId="36859" xr:uid="{00000000-0005-0000-0000-000008900000}"/>
    <cellStyle name="Positive 4 15 4 2 16 2" xfId="36860" xr:uid="{00000000-0005-0000-0000-000009900000}"/>
    <cellStyle name="Positive 4 15 4 2 17" xfId="36861" xr:uid="{00000000-0005-0000-0000-00000A900000}"/>
    <cellStyle name="Positive 4 15 4 2 2" xfId="36862" xr:uid="{00000000-0005-0000-0000-00000B900000}"/>
    <cellStyle name="Positive 4 15 4 2 2 2" xfId="36863" xr:uid="{00000000-0005-0000-0000-00000C900000}"/>
    <cellStyle name="Positive 4 15 4 2 3" xfId="36864" xr:uid="{00000000-0005-0000-0000-00000D900000}"/>
    <cellStyle name="Positive 4 15 4 2 3 2" xfId="36865" xr:uid="{00000000-0005-0000-0000-00000E900000}"/>
    <cellStyle name="Positive 4 15 4 2 4" xfId="36866" xr:uid="{00000000-0005-0000-0000-00000F900000}"/>
    <cellStyle name="Positive 4 15 4 2 4 2" xfId="36867" xr:uid="{00000000-0005-0000-0000-000010900000}"/>
    <cellStyle name="Positive 4 15 4 2 5" xfId="36868" xr:uid="{00000000-0005-0000-0000-000011900000}"/>
    <cellStyle name="Positive 4 15 4 2 5 2" xfId="36869" xr:uid="{00000000-0005-0000-0000-000012900000}"/>
    <cellStyle name="Positive 4 15 4 2 6" xfId="36870" xr:uid="{00000000-0005-0000-0000-000013900000}"/>
    <cellStyle name="Positive 4 15 4 2 6 2" xfId="36871" xr:uid="{00000000-0005-0000-0000-000014900000}"/>
    <cellStyle name="Positive 4 15 4 2 7" xfId="36872" xr:uid="{00000000-0005-0000-0000-000015900000}"/>
    <cellStyle name="Positive 4 15 4 2 7 2" xfId="36873" xr:uid="{00000000-0005-0000-0000-000016900000}"/>
    <cellStyle name="Positive 4 15 4 2 8" xfId="36874" xr:uid="{00000000-0005-0000-0000-000017900000}"/>
    <cellStyle name="Positive 4 15 4 2 8 2" xfId="36875" xr:uid="{00000000-0005-0000-0000-000018900000}"/>
    <cellStyle name="Positive 4 15 4 2 9" xfId="36876" xr:uid="{00000000-0005-0000-0000-000019900000}"/>
    <cellStyle name="Positive 4 15 4 2 9 2" xfId="36877" xr:uid="{00000000-0005-0000-0000-00001A900000}"/>
    <cellStyle name="Positive 4 15 4 20" xfId="36878" xr:uid="{00000000-0005-0000-0000-00001B900000}"/>
    <cellStyle name="Positive 4 15 4 3" xfId="36879" xr:uid="{00000000-0005-0000-0000-00001C900000}"/>
    <cellStyle name="Positive 4 15 4 3 2" xfId="36880" xr:uid="{00000000-0005-0000-0000-00001D900000}"/>
    <cellStyle name="Positive 4 15 4 3 2 2" xfId="36881" xr:uid="{00000000-0005-0000-0000-00001E900000}"/>
    <cellStyle name="Positive 4 15 4 3 3" xfId="36882" xr:uid="{00000000-0005-0000-0000-00001F900000}"/>
    <cellStyle name="Positive 4 15 4 4" xfId="36883" xr:uid="{00000000-0005-0000-0000-000020900000}"/>
    <cellStyle name="Positive 4 15 4 4 2" xfId="36884" xr:uid="{00000000-0005-0000-0000-000021900000}"/>
    <cellStyle name="Positive 4 15 4 4 2 2" xfId="36885" xr:uid="{00000000-0005-0000-0000-000022900000}"/>
    <cellStyle name="Positive 4 15 4 4 3" xfId="36886" xr:uid="{00000000-0005-0000-0000-000023900000}"/>
    <cellStyle name="Positive 4 15 4 5" xfId="36887" xr:uid="{00000000-0005-0000-0000-000024900000}"/>
    <cellStyle name="Positive 4 15 4 5 2" xfId="36888" xr:uid="{00000000-0005-0000-0000-000025900000}"/>
    <cellStyle name="Positive 4 15 4 6" xfId="36889" xr:uid="{00000000-0005-0000-0000-000026900000}"/>
    <cellStyle name="Positive 4 15 4 6 2" xfId="36890" xr:uid="{00000000-0005-0000-0000-000027900000}"/>
    <cellStyle name="Positive 4 15 4 7" xfId="36891" xr:uid="{00000000-0005-0000-0000-000028900000}"/>
    <cellStyle name="Positive 4 15 4 7 2" xfId="36892" xr:uid="{00000000-0005-0000-0000-000029900000}"/>
    <cellStyle name="Positive 4 15 4 8" xfId="36893" xr:uid="{00000000-0005-0000-0000-00002A900000}"/>
    <cellStyle name="Positive 4 15 4 8 2" xfId="36894" xr:uid="{00000000-0005-0000-0000-00002B900000}"/>
    <cellStyle name="Positive 4 15 4 9" xfId="36895" xr:uid="{00000000-0005-0000-0000-00002C900000}"/>
    <cellStyle name="Positive 4 15 4 9 2" xfId="36896" xr:uid="{00000000-0005-0000-0000-00002D900000}"/>
    <cellStyle name="Positive 4 15 5" xfId="36897" xr:uid="{00000000-0005-0000-0000-00002E900000}"/>
    <cellStyle name="Positive 4 15 5 10" xfId="36898" xr:uid="{00000000-0005-0000-0000-00002F900000}"/>
    <cellStyle name="Positive 4 15 5 10 2" xfId="36899" xr:uid="{00000000-0005-0000-0000-000030900000}"/>
    <cellStyle name="Positive 4 15 5 11" xfId="36900" xr:uid="{00000000-0005-0000-0000-000031900000}"/>
    <cellStyle name="Positive 4 15 5 11 2" xfId="36901" xr:uid="{00000000-0005-0000-0000-000032900000}"/>
    <cellStyle name="Positive 4 15 5 12" xfId="36902" xr:uid="{00000000-0005-0000-0000-000033900000}"/>
    <cellStyle name="Positive 4 15 5 12 2" xfId="36903" xr:uid="{00000000-0005-0000-0000-000034900000}"/>
    <cellStyle name="Positive 4 15 5 13" xfId="36904" xr:uid="{00000000-0005-0000-0000-000035900000}"/>
    <cellStyle name="Positive 4 15 5 13 2" xfId="36905" xr:uid="{00000000-0005-0000-0000-000036900000}"/>
    <cellStyle name="Positive 4 15 5 14" xfId="36906" xr:uid="{00000000-0005-0000-0000-000037900000}"/>
    <cellStyle name="Positive 4 15 5 14 2" xfId="36907" xr:uid="{00000000-0005-0000-0000-000038900000}"/>
    <cellStyle name="Positive 4 15 5 15" xfId="36908" xr:uid="{00000000-0005-0000-0000-000039900000}"/>
    <cellStyle name="Positive 4 15 5 15 2" xfId="36909" xr:uid="{00000000-0005-0000-0000-00003A900000}"/>
    <cellStyle name="Positive 4 15 5 16" xfId="36910" xr:uid="{00000000-0005-0000-0000-00003B900000}"/>
    <cellStyle name="Positive 4 15 5 16 2" xfId="36911" xr:uid="{00000000-0005-0000-0000-00003C900000}"/>
    <cellStyle name="Positive 4 15 5 17" xfId="36912" xr:uid="{00000000-0005-0000-0000-00003D900000}"/>
    <cellStyle name="Positive 4 15 5 2" xfId="36913" xr:uid="{00000000-0005-0000-0000-00003E900000}"/>
    <cellStyle name="Positive 4 15 5 2 2" xfId="36914" xr:uid="{00000000-0005-0000-0000-00003F900000}"/>
    <cellStyle name="Positive 4 15 5 3" xfId="36915" xr:uid="{00000000-0005-0000-0000-000040900000}"/>
    <cellStyle name="Positive 4 15 5 3 2" xfId="36916" xr:uid="{00000000-0005-0000-0000-000041900000}"/>
    <cellStyle name="Positive 4 15 5 4" xfId="36917" xr:uid="{00000000-0005-0000-0000-000042900000}"/>
    <cellStyle name="Positive 4 15 5 4 2" xfId="36918" xr:uid="{00000000-0005-0000-0000-000043900000}"/>
    <cellStyle name="Positive 4 15 5 5" xfId="36919" xr:uid="{00000000-0005-0000-0000-000044900000}"/>
    <cellStyle name="Positive 4 15 5 5 2" xfId="36920" xr:uid="{00000000-0005-0000-0000-000045900000}"/>
    <cellStyle name="Positive 4 15 5 6" xfId="36921" xr:uid="{00000000-0005-0000-0000-000046900000}"/>
    <cellStyle name="Positive 4 15 5 6 2" xfId="36922" xr:uid="{00000000-0005-0000-0000-000047900000}"/>
    <cellStyle name="Positive 4 15 5 7" xfId="36923" xr:uid="{00000000-0005-0000-0000-000048900000}"/>
    <cellStyle name="Positive 4 15 5 7 2" xfId="36924" xr:uid="{00000000-0005-0000-0000-000049900000}"/>
    <cellStyle name="Positive 4 15 5 8" xfId="36925" xr:uid="{00000000-0005-0000-0000-00004A900000}"/>
    <cellStyle name="Positive 4 15 5 8 2" xfId="36926" xr:uid="{00000000-0005-0000-0000-00004B900000}"/>
    <cellStyle name="Positive 4 15 5 9" xfId="36927" xr:uid="{00000000-0005-0000-0000-00004C900000}"/>
    <cellStyle name="Positive 4 15 5 9 2" xfId="36928" xr:uid="{00000000-0005-0000-0000-00004D900000}"/>
    <cellStyle name="Positive 4 15 6" xfId="36929" xr:uid="{00000000-0005-0000-0000-00004E900000}"/>
    <cellStyle name="Positive 4 15 6 2" xfId="36930" xr:uid="{00000000-0005-0000-0000-00004F900000}"/>
    <cellStyle name="Positive 4 15 6 2 2" xfId="36931" xr:uid="{00000000-0005-0000-0000-000050900000}"/>
    <cellStyle name="Positive 4 15 6 3" xfId="36932" xr:uid="{00000000-0005-0000-0000-000051900000}"/>
    <cellStyle name="Positive 4 15 7" xfId="36933" xr:uid="{00000000-0005-0000-0000-000052900000}"/>
    <cellStyle name="Positive 4 15 7 2" xfId="36934" xr:uid="{00000000-0005-0000-0000-000053900000}"/>
    <cellStyle name="Positive 4 15 7 2 2" xfId="36935" xr:uid="{00000000-0005-0000-0000-000054900000}"/>
    <cellStyle name="Positive 4 15 7 3" xfId="36936" xr:uid="{00000000-0005-0000-0000-000055900000}"/>
    <cellStyle name="Positive 4 15 8" xfId="36937" xr:uid="{00000000-0005-0000-0000-000056900000}"/>
    <cellStyle name="Positive 4 15 8 2" xfId="36938" xr:uid="{00000000-0005-0000-0000-000057900000}"/>
    <cellStyle name="Positive 4 15 9" xfId="36939" xr:uid="{00000000-0005-0000-0000-000058900000}"/>
    <cellStyle name="Positive 4 15 9 2" xfId="36940" xr:uid="{00000000-0005-0000-0000-000059900000}"/>
    <cellStyle name="Positive 4 16" xfId="36941" xr:uid="{00000000-0005-0000-0000-00005A900000}"/>
    <cellStyle name="Positive 4 16 10" xfId="36942" xr:uid="{00000000-0005-0000-0000-00005B900000}"/>
    <cellStyle name="Positive 4 16 10 2" xfId="36943" xr:uid="{00000000-0005-0000-0000-00005C900000}"/>
    <cellStyle name="Positive 4 16 11" xfId="36944" xr:uid="{00000000-0005-0000-0000-00005D900000}"/>
    <cellStyle name="Positive 4 16 11 2" xfId="36945" xr:uid="{00000000-0005-0000-0000-00005E900000}"/>
    <cellStyle name="Positive 4 16 12" xfId="36946" xr:uid="{00000000-0005-0000-0000-00005F900000}"/>
    <cellStyle name="Positive 4 16 12 2" xfId="36947" xr:uid="{00000000-0005-0000-0000-000060900000}"/>
    <cellStyle name="Positive 4 16 13" xfId="36948" xr:uid="{00000000-0005-0000-0000-000061900000}"/>
    <cellStyle name="Positive 4 16 13 2" xfId="36949" xr:uid="{00000000-0005-0000-0000-000062900000}"/>
    <cellStyle name="Positive 4 16 14" xfId="36950" xr:uid="{00000000-0005-0000-0000-000063900000}"/>
    <cellStyle name="Positive 4 16 14 2" xfId="36951" xr:uid="{00000000-0005-0000-0000-000064900000}"/>
    <cellStyle name="Positive 4 16 15" xfId="36952" xr:uid="{00000000-0005-0000-0000-000065900000}"/>
    <cellStyle name="Positive 4 16 15 2" xfId="36953" xr:uid="{00000000-0005-0000-0000-000066900000}"/>
    <cellStyle name="Positive 4 16 16" xfId="36954" xr:uid="{00000000-0005-0000-0000-000067900000}"/>
    <cellStyle name="Positive 4 16 16 2" xfId="36955" xr:uid="{00000000-0005-0000-0000-000068900000}"/>
    <cellStyle name="Positive 4 16 17" xfId="36956" xr:uid="{00000000-0005-0000-0000-000069900000}"/>
    <cellStyle name="Positive 4 16 17 2" xfId="36957" xr:uid="{00000000-0005-0000-0000-00006A900000}"/>
    <cellStyle name="Positive 4 16 18" xfId="36958" xr:uid="{00000000-0005-0000-0000-00006B900000}"/>
    <cellStyle name="Positive 4 16 18 2" xfId="36959" xr:uid="{00000000-0005-0000-0000-00006C900000}"/>
    <cellStyle name="Positive 4 16 19" xfId="36960" xr:uid="{00000000-0005-0000-0000-00006D900000}"/>
    <cellStyle name="Positive 4 16 19 2" xfId="36961" xr:uid="{00000000-0005-0000-0000-00006E900000}"/>
    <cellStyle name="Positive 4 16 2" xfId="36962" xr:uid="{00000000-0005-0000-0000-00006F900000}"/>
    <cellStyle name="Positive 4 16 2 10" xfId="36963" xr:uid="{00000000-0005-0000-0000-000070900000}"/>
    <cellStyle name="Positive 4 16 2 10 2" xfId="36964" xr:uid="{00000000-0005-0000-0000-000071900000}"/>
    <cellStyle name="Positive 4 16 2 11" xfId="36965" xr:uid="{00000000-0005-0000-0000-000072900000}"/>
    <cellStyle name="Positive 4 16 2 11 2" xfId="36966" xr:uid="{00000000-0005-0000-0000-000073900000}"/>
    <cellStyle name="Positive 4 16 2 12" xfId="36967" xr:uid="{00000000-0005-0000-0000-000074900000}"/>
    <cellStyle name="Positive 4 16 2 12 2" xfId="36968" xr:uid="{00000000-0005-0000-0000-000075900000}"/>
    <cellStyle name="Positive 4 16 2 13" xfId="36969" xr:uid="{00000000-0005-0000-0000-000076900000}"/>
    <cellStyle name="Positive 4 16 2 13 2" xfId="36970" xr:uid="{00000000-0005-0000-0000-000077900000}"/>
    <cellStyle name="Positive 4 16 2 14" xfId="36971" xr:uid="{00000000-0005-0000-0000-000078900000}"/>
    <cellStyle name="Positive 4 16 2 14 2" xfId="36972" xr:uid="{00000000-0005-0000-0000-000079900000}"/>
    <cellStyle name="Positive 4 16 2 15" xfId="36973" xr:uid="{00000000-0005-0000-0000-00007A900000}"/>
    <cellStyle name="Positive 4 16 2 15 2" xfId="36974" xr:uid="{00000000-0005-0000-0000-00007B900000}"/>
    <cellStyle name="Positive 4 16 2 16" xfId="36975" xr:uid="{00000000-0005-0000-0000-00007C900000}"/>
    <cellStyle name="Positive 4 16 2 16 2" xfId="36976" xr:uid="{00000000-0005-0000-0000-00007D900000}"/>
    <cellStyle name="Positive 4 16 2 17" xfId="36977" xr:uid="{00000000-0005-0000-0000-00007E900000}"/>
    <cellStyle name="Positive 4 16 2 17 2" xfId="36978" xr:uid="{00000000-0005-0000-0000-00007F900000}"/>
    <cellStyle name="Positive 4 16 2 18" xfId="36979" xr:uid="{00000000-0005-0000-0000-000080900000}"/>
    <cellStyle name="Positive 4 16 2 18 2" xfId="36980" xr:uid="{00000000-0005-0000-0000-000081900000}"/>
    <cellStyle name="Positive 4 16 2 19" xfId="36981" xr:uid="{00000000-0005-0000-0000-000082900000}"/>
    <cellStyle name="Positive 4 16 2 19 2" xfId="36982" xr:uid="{00000000-0005-0000-0000-000083900000}"/>
    <cellStyle name="Positive 4 16 2 2" xfId="36983" xr:uid="{00000000-0005-0000-0000-000084900000}"/>
    <cellStyle name="Positive 4 16 2 2 10" xfId="36984" xr:uid="{00000000-0005-0000-0000-000085900000}"/>
    <cellStyle name="Positive 4 16 2 2 10 2" xfId="36985" xr:uid="{00000000-0005-0000-0000-000086900000}"/>
    <cellStyle name="Positive 4 16 2 2 11" xfId="36986" xr:uid="{00000000-0005-0000-0000-000087900000}"/>
    <cellStyle name="Positive 4 16 2 2 11 2" xfId="36987" xr:uid="{00000000-0005-0000-0000-000088900000}"/>
    <cellStyle name="Positive 4 16 2 2 12" xfId="36988" xr:uid="{00000000-0005-0000-0000-000089900000}"/>
    <cellStyle name="Positive 4 16 2 2 12 2" xfId="36989" xr:uid="{00000000-0005-0000-0000-00008A900000}"/>
    <cellStyle name="Positive 4 16 2 2 13" xfId="36990" xr:uid="{00000000-0005-0000-0000-00008B900000}"/>
    <cellStyle name="Positive 4 16 2 2 13 2" xfId="36991" xr:uid="{00000000-0005-0000-0000-00008C900000}"/>
    <cellStyle name="Positive 4 16 2 2 14" xfId="36992" xr:uid="{00000000-0005-0000-0000-00008D900000}"/>
    <cellStyle name="Positive 4 16 2 2 14 2" xfId="36993" xr:uid="{00000000-0005-0000-0000-00008E900000}"/>
    <cellStyle name="Positive 4 16 2 2 15" xfId="36994" xr:uid="{00000000-0005-0000-0000-00008F900000}"/>
    <cellStyle name="Positive 4 16 2 2 15 2" xfId="36995" xr:uid="{00000000-0005-0000-0000-000090900000}"/>
    <cellStyle name="Positive 4 16 2 2 16" xfId="36996" xr:uid="{00000000-0005-0000-0000-000091900000}"/>
    <cellStyle name="Positive 4 16 2 2 16 2" xfId="36997" xr:uid="{00000000-0005-0000-0000-000092900000}"/>
    <cellStyle name="Positive 4 16 2 2 17" xfId="36998" xr:uid="{00000000-0005-0000-0000-000093900000}"/>
    <cellStyle name="Positive 4 16 2 2 2" xfId="36999" xr:uid="{00000000-0005-0000-0000-000094900000}"/>
    <cellStyle name="Positive 4 16 2 2 2 2" xfId="37000" xr:uid="{00000000-0005-0000-0000-000095900000}"/>
    <cellStyle name="Positive 4 16 2 2 3" xfId="37001" xr:uid="{00000000-0005-0000-0000-000096900000}"/>
    <cellStyle name="Positive 4 16 2 2 3 2" xfId="37002" xr:uid="{00000000-0005-0000-0000-000097900000}"/>
    <cellStyle name="Positive 4 16 2 2 4" xfId="37003" xr:uid="{00000000-0005-0000-0000-000098900000}"/>
    <cellStyle name="Positive 4 16 2 2 4 2" xfId="37004" xr:uid="{00000000-0005-0000-0000-000099900000}"/>
    <cellStyle name="Positive 4 16 2 2 5" xfId="37005" xr:uid="{00000000-0005-0000-0000-00009A900000}"/>
    <cellStyle name="Positive 4 16 2 2 5 2" xfId="37006" xr:uid="{00000000-0005-0000-0000-00009B900000}"/>
    <cellStyle name="Positive 4 16 2 2 6" xfId="37007" xr:uid="{00000000-0005-0000-0000-00009C900000}"/>
    <cellStyle name="Positive 4 16 2 2 6 2" xfId="37008" xr:uid="{00000000-0005-0000-0000-00009D900000}"/>
    <cellStyle name="Positive 4 16 2 2 7" xfId="37009" xr:uid="{00000000-0005-0000-0000-00009E900000}"/>
    <cellStyle name="Positive 4 16 2 2 7 2" xfId="37010" xr:uid="{00000000-0005-0000-0000-00009F900000}"/>
    <cellStyle name="Positive 4 16 2 2 8" xfId="37011" xr:uid="{00000000-0005-0000-0000-0000A0900000}"/>
    <cellStyle name="Positive 4 16 2 2 8 2" xfId="37012" xr:uid="{00000000-0005-0000-0000-0000A1900000}"/>
    <cellStyle name="Positive 4 16 2 2 9" xfId="37013" xr:uid="{00000000-0005-0000-0000-0000A2900000}"/>
    <cellStyle name="Positive 4 16 2 2 9 2" xfId="37014" xr:uid="{00000000-0005-0000-0000-0000A3900000}"/>
    <cellStyle name="Positive 4 16 2 20" xfId="37015" xr:uid="{00000000-0005-0000-0000-0000A4900000}"/>
    <cellStyle name="Positive 4 16 2 3" xfId="37016" xr:uid="{00000000-0005-0000-0000-0000A5900000}"/>
    <cellStyle name="Positive 4 16 2 3 2" xfId="37017" xr:uid="{00000000-0005-0000-0000-0000A6900000}"/>
    <cellStyle name="Positive 4 16 2 3 2 2" xfId="37018" xr:uid="{00000000-0005-0000-0000-0000A7900000}"/>
    <cellStyle name="Positive 4 16 2 3 3" xfId="37019" xr:uid="{00000000-0005-0000-0000-0000A8900000}"/>
    <cellStyle name="Positive 4 16 2 4" xfId="37020" xr:uid="{00000000-0005-0000-0000-0000A9900000}"/>
    <cellStyle name="Positive 4 16 2 4 2" xfId="37021" xr:uid="{00000000-0005-0000-0000-0000AA900000}"/>
    <cellStyle name="Positive 4 16 2 4 2 2" xfId="37022" xr:uid="{00000000-0005-0000-0000-0000AB900000}"/>
    <cellStyle name="Positive 4 16 2 4 3" xfId="37023" xr:uid="{00000000-0005-0000-0000-0000AC900000}"/>
    <cellStyle name="Positive 4 16 2 5" xfId="37024" xr:uid="{00000000-0005-0000-0000-0000AD900000}"/>
    <cellStyle name="Positive 4 16 2 5 2" xfId="37025" xr:uid="{00000000-0005-0000-0000-0000AE900000}"/>
    <cellStyle name="Positive 4 16 2 6" xfId="37026" xr:uid="{00000000-0005-0000-0000-0000AF900000}"/>
    <cellStyle name="Positive 4 16 2 6 2" xfId="37027" xr:uid="{00000000-0005-0000-0000-0000B0900000}"/>
    <cellStyle name="Positive 4 16 2 7" xfId="37028" xr:uid="{00000000-0005-0000-0000-0000B1900000}"/>
    <cellStyle name="Positive 4 16 2 7 2" xfId="37029" xr:uid="{00000000-0005-0000-0000-0000B2900000}"/>
    <cellStyle name="Positive 4 16 2 8" xfId="37030" xr:uid="{00000000-0005-0000-0000-0000B3900000}"/>
    <cellStyle name="Positive 4 16 2 8 2" xfId="37031" xr:uid="{00000000-0005-0000-0000-0000B4900000}"/>
    <cellStyle name="Positive 4 16 2 9" xfId="37032" xr:uid="{00000000-0005-0000-0000-0000B5900000}"/>
    <cellStyle name="Positive 4 16 2 9 2" xfId="37033" xr:uid="{00000000-0005-0000-0000-0000B6900000}"/>
    <cellStyle name="Positive 4 16 20" xfId="37034" xr:uid="{00000000-0005-0000-0000-0000B7900000}"/>
    <cellStyle name="Positive 4 16 20 2" xfId="37035" xr:uid="{00000000-0005-0000-0000-0000B8900000}"/>
    <cellStyle name="Positive 4 16 21" xfId="37036" xr:uid="{00000000-0005-0000-0000-0000B9900000}"/>
    <cellStyle name="Positive 4 16 21 2" xfId="37037" xr:uid="{00000000-0005-0000-0000-0000BA900000}"/>
    <cellStyle name="Positive 4 16 22" xfId="37038" xr:uid="{00000000-0005-0000-0000-0000BB900000}"/>
    <cellStyle name="Positive 4 16 22 2" xfId="37039" xr:uid="{00000000-0005-0000-0000-0000BC900000}"/>
    <cellStyle name="Positive 4 16 23" xfId="37040" xr:uid="{00000000-0005-0000-0000-0000BD900000}"/>
    <cellStyle name="Positive 4 16 3" xfId="37041" xr:uid="{00000000-0005-0000-0000-0000BE900000}"/>
    <cellStyle name="Positive 4 16 3 10" xfId="37042" xr:uid="{00000000-0005-0000-0000-0000BF900000}"/>
    <cellStyle name="Positive 4 16 3 10 2" xfId="37043" xr:uid="{00000000-0005-0000-0000-0000C0900000}"/>
    <cellStyle name="Positive 4 16 3 11" xfId="37044" xr:uid="{00000000-0005-0000-0000-0000C1900000}"/>
    <cellStyle name="Positive 4 16 3 11 2" xfId="37045" xr:uid="{00000000-0005-0000-0000-0000C2900000}"/>
    <cellStyle name="Positive 4 16 3 12" xfId="37046" xr:uid="{00000000-0005-0000-0000-0000C3900000}"/>
    <cellStyle name="Positive 4 16 3 12 2" xfId="37047" xr:uid="{00000000-0005-0000-0000-0000C4900000}"/>
    <cellStyle name="Positive 4 16 3 13" xfId="37048" xr:uid="{00000000-0005-0000-0000-0000C5900000}"/>
    <cellStyle name="Positive 4 16 3 13 2" xfId="37049" xr:uid="{00000000-0005-0000-0000-0000C6900000}"/>
    <cellStyle name="Positive 4 16 3 14" xfId="37050" xr:uid="{00000000-0005-0000-0000-0000C7900000}"/>
    <cellStyle name="Positive 4 16 3 14 2" xfId="37051" xr:uid="{00000000-0005-0000-0000-0000C8900000}"/>
    <cellStyle name="Positive 4 16 3 15" xfId="37052" xr:uid="{00000000-0005-0000-0000-0000C9900000}"/>
    <cellStyle name="Positive 4 16 3 15 2" xfId="37053" xr:uid="{00000000-0005-0000-0000-0000CA900000}"/>
    <cellStyle name="Positive 4 16 3 16" xfId="37054" xr:uid="{00000000-0005-0000-0000-0000CB900000}"/>
    <cellStyle name="Positive 4 16 3 16 2" xfId="37055" xr:uid="{00000000-0005-0000-0000-0000CC900000}"/>
    <cellStyle name="Positive 4 16 3 17" xfId="37056" xr:uid="{00000000-0005-0000-0000-0000CD900000}"/>
    <cellStyle name="Positive 4 16 3 17 2" xfId="37057" xr:uid="{00000000-0005-0000-0000-0000CE900000}"/>
    <cellStyle name="Positive 4 16 3 18" xfId="37058" xr:uid="{00000000-0005-0000-0000-0000CF900000}"/>
    <cellStyle name="Positive 4 16 3 18 2" xfId="37059" xr:uid="{00000000-0005-0000-0000-0000D0900000}"/>
    <cellStyle name="Positive 4 16 3 19" xfId="37060" xr:uid="{00000000-0005-0000-0000-0000D1900000}"/>
    <cellStyle name="Positive 4 16 3 19 2" xfId="37061" xr:uid="{00000000-0005-0000-0000-0000D2900000}"/>
    <cellStyle name="Positive 4 16 3 2" xfId="37062" xr:uid="{00000000-0005-0000-0000-0000D3900000}"/>
    <cellStyle name="Positive 4 16 3 2 10" xfId="37063" xr:uid="{00000000-0005-0000-0000-0000D4900000}"/>
    <cellStyle name="Positive 4 16 3 2 10 2" xfId="37064" xr:uid="{00000000-0005-0000-0000-0000D5900000}"/>
    <cellStyle name="Positive 4 16 3 2 11" xfId="37065" xr:uid="{00000000-0005-0000-0000-0000D6900000}"/>
    <cellStyle name="Positive 4 16 3 2 11 2" xfId="37066" xr:uid="{00000000-0005-0000-0000-0000D7900000}"/>
    <cellStyle name="Positive 4 16 3 2 12" xfId="37067" xr:uid="{00000000-0005-0000-0000-0000D8900000}"/>
    <cellStyle name="Positive 4 16 3 2 12 2" xfId="37068" xr:uid="{00000000-0005-0000-0000-0000D9900000}"/>
    <cellStyle name="Positive 4 16 3 2 13" xfId="37069" xr:uid="{00000000-0005-0000-0000-0000DA900000}"/>
    <cellStyle name="Positive 4 16 3 2 13 2" xfId="37070" xr:uid="{00000000-0005-0000-0000-0000DB900000}"/>
    <cellStyle name="Positive 4 16 3 2 14" xfId="37071" xr:uid="{00000000-0005-0000-0000-0000DC900000}"/>
    <cellStyle name="Positive 4 16 3 2 14 2" xfId="37072" xr:uid="{00000000-0005-0000-0000-0000DD900000}"/>
    <cellStyle name="Positive 4 16 3 2 15" xfId="37073" xr:uid="{00000000-0005-0000-0000-0000DE900000}"/>
    <cellStyle name="Positive 4 16 3 2 15 2" xfId="37074" xr:uid="{00000000-0005-0000-0000-0000DF900000}"/>
    <cellStyle name="Positive 4 16 3 2 16" xfId="37075" xr:uid="{00000000-0005-0000-0000-0000E0900000}"/>
    <cellStyle name="Positive 4 16 3 2 16 2" xfId="37076" xr:uid="{00000000-0005-0000-0000-0000E1900000}"/>
    <cellStyle name="Positive 4 16 3 2 17" xfId="37077" xr:uid="{00000000-0005-0000-0000-0000E2900000}"/>
    <cellStyle name="Positive 4 16 3 2 2" xfId="37078" xr:uid="{00000000-0005-0000-0000-0000E3900000}"/>
    <cellStyle name="Positive 4 16 3 2 2 2" xfId="37079" xr:uid="{00000000-0005-0000-0000-0000E4900000}"/>
    <cellStyle name="Positive 4 16 3 2 3" xfId="37080" xr:uid="{00000000-0005-0000-0000-0000E5900000}"/>
    <cellStyle name="Positive 4 16 3 2 3 2" xfId="37081" xr:uid="{00000000-0005-0000-0000-0000E6900000}"/>
    <cellStyle name="Positive 4 16 3 2 4" xfId="37082" xr:uid="{00000000-0005-0000-0000-0000E7900000}"/>
    <cellStyle name="Positive 4 16 3 2 4 2" xfId="37083" xr:uid="{00000000-0005-0000-0000-0000E8900000}"/>
    <cellStyle name="Positive 4 16 3 2 5" xfId="37084" xr:uid="{00000000-0005-0000-0000-0000E9900000}"/>
    <cellStyle name="Positive 4 16 3 2 5 2" xfId="37085" xr:uid="{00000000-0005-0000-0000-0000EA900000}"/>
    <cellStyle name="Positive 4 16 3 2 6" xfId="37086" xr:uid="{00000000-0005-0000-0000-0000EB900000}"/>
    <cellStyle name="Positive 4 16 3 2 6 2" xfId="37087" xr:uid="{00000000-0005-0000-0000-0000EC900000}"/>
    <cellStyle name="Positive 4 16 3 2 7" xfId="37088" xr:uid="{00000000-0005-0000-0000-0000ED900000}"/>
    <cellStyle name="Positive 4 16 3 2 7 2" xfId="37089" xr:uid="{00000000-0005-0000-0000-0000EE900000}"/>
    <cellStyle name="Positive 4 16 3 2 8" xfId="37090" xr:uid="{00000000-0005-0000-0000-0000EF900000}"/>
    <cellStyle name="Positive 4 16 3 2 8 2" xfId="37091" xr:uid="{00000000-0005-0000-0000-0000F0900000}"/>
    <cellStyle name="Positive 4 16 3 2 9" xfId="37092" xr:uid="{00000000-0005-0000-0000-0000F1900000}"/>
    <cellStyle name="Positive 4 16 3 2 9 2" xfId="37093" xr:uid="{00000000-0005-0000-0000-0000F2900000}"/>
    <cellStyle name="Positive 4 16 3 20" xfId="37094" xr:uid="{00000000-0005-0000-0000-0000F3900000}"/>
    <cellStyle name="Positive 4 16 3 3" xfId="37095" xr:uid="{00000000-0005-0000-0000-0000F4900000}"/>
    <cellStyle name="Positive 4 16 3 3 2" xfId="37096" xr:uid="{00000000-0005-0000-0000-0000F5900000}"/>
    <cellStyle name="Positive 4 16 3 3 2 2" xfId="37097" xr:uid="{00000000-0005-0000-0000-0000F6900000}"/>
    <cellStyle name="Positive 4 16 3 3 3" xfId="37098" xr:uid="{00000000-0005-0000-0000-0000F7900000}"/>
    <cellStyle name="Positive 4 16 3 4" xfId="37099" xr:uid="{00000000-0005-0000-0000-0000F8900000}"/>
    <cellStyle name="Positive 4 16 3 4 2" xfId="37100" xr:uid="{00000000-0005-0000-0000-0000F9900000}"/>
    <cellStyle name="Positive 4 16 3 4 2 2" xfId="37101" xr:uid="{00000000-0005-0000-0000-0000FA900000}"/>
    <cellStyle name="Positive 4 16 3 4 3" xfId="37102" xr:uid="{00000000-0005-0000-0000-0000FB900000}"/>
    <cellStyle name="Positive 4 16 3 5" xfId="37103" xr:uid="{00000000-0005-0000-0000-0000FC900000}"/>
    <cellStyle name="Positive 4 16 3 5 2" xfId="37104" xr:uid="{00000000-0005-0000-0000-0000FD900000}"/>
    <cellStyle name="Positive 4 16 3 6" xfId="37105" xr:uid="{00000000-0005-0000-0000-0000FE900000}"/>
    <cellStyle name="Positive 4 16 3 6 2" xfId="37106" xr:uid="{00000000-0005-0000-0000-0000FF900000}"/>
    <cellStyle name="Positive 4 16 3 7" xfId="37107" xr:uid="{00000000-0005-0000-0000-000000910000}"/>
    <cellStyle name="Positive 4 16 3 7 2" xfId="37108" xr:uid="{00000000-0005-0000-0000-000001910000}"/>
    <cellStyle name="Positive 4 16 3 8" xfId="37109" xr:uid="{00000000-0005-0000-0000-000002910000}"/>
    <cellStyle name="Positive 4 16 3 8 2" xfId="37110" xr:uid="{00000000-0005-0000-0000-000003910000}"/>
    <cellStyle name="Positive 4 16 3 9" xfId="37111" xr:uid="{00000000-0005-0000-0000-000004910000}"/>
    <cellStyle name="Positive 4 16 3 9 2" xfId="37112" xr:uid="{00000000-0005-0000-0000-000005910000}"/>
    <cellStyle name="Positive 4 16 4" xfId="37113" xr:uid="{00000000-0005-0000-0000-000006910000}"/>
    <cellStyle name="Positive 4 16 4 10" xfId="37114" xr:uid="{00000000-0005-0000-0000-000007910000}"/>
    <cellStyle name="Positive 4 16 4 10 2" xfId="37115" xr:uid="{00000000-0005-0000-0000-000008910000}"/>
    <cellStyle name="Positive 4 16 4 11" xfId="37116" xr:uid="{00000000-0005-0000-0000-000009910000}"/>
    <cellStyle name="Positive 4 16 4 11 2" xfId="37117" xr:uid="{00000000-0005-0000-0000-00000A910000}"/>
    <cellStyle name="Positive 4 16 4 12" xfId="37118" xr:uid="{00000000-0005-0000-0000-00000B910000}"/>
    <cellStyle name="Positive 4 16 4 12 2" xfId="37119" xr:uid="{00000000-0005-0000-0000-00000C910000}"/>
    <cellStyle name="Positive 4 16 4 13" xfId="37120" xr:uid="{00000000-0005-0000-0000-00000D910000}"/>
    <cellStyle name="Positive 4 16 4 13 2" xfId="37121" xr:uid="{00000000-0005-0000-0000-00000E910000}"/>
    <cellStyle name="Positive 4 16 4 14" xfId="37122" xr:uid="{00000000-0005-0000-0000-00000F910000}"/>
    <cellStyle name="Positive 4 16 4 14 2" xfId="37123" xr:uid="{00000000-0005-0000-0000-000010910000}"/>
    <cellStyle name="Positive 4 16 4 15" xfId="37124" xr:uid="{00000000-0005-0000-0000-000011910000}"/>
    <cellStyle name="Positive 4 16 4 15 2" xfId="37125" xr:uid="{00000000-0005-0000-0000-000012910000}"/>
    <cellStyle name="Positive 4 16 4 16" xfId="37126" xr:uid="{00000000-0005-0000-0000-000013910000}"/>
    <cellStyle name="Positive 4 16 4 16 2" xfId="37127" xr:uid="{00000000-0005-0000-0000-000014910000}"/>
    <cellStyle name="Positive 4 16 4 17" xfId="37128" xr:uid="{00000000-0005-0000-0000-000015910000}"/>
    <cellStyle name="Positive 4 16 4 17 2" xfId="37129" xr:uid="{00000000-0005-0000-0000-000016910000}"/>
    <cellStyle name="Positive 4 16 4 18" xfId="37130" xr:uid="{00000000-0005-0000-0000-000017910000}"/>
    <cellStyle name="Positive 4 16 4 18 2" xfId="37131" xr:uid="{00000000-0005-0000-0000-000018910000}"/>
    <cellStyle name="Positive 4 16 4 19" xfId="37132" xr:uid="{00000000-0005-0000-0000-000019910000}"/>
    <cellStyle name="Positive 4 16 4 19 2" xfId="37133" xr:uid="{00000000-0005-0000-0000-00001A910000}"/>
    <cellStyle name="Positive 4 16 4 2" xfId="37134" xr:uid="{00000000-0005-0000-0000-00001B910000}"/>
    <cellStyle name="Positive 4 16 4 2 10" xfId="37135" xr:uid="{00000000-0005-0000-0000-00001C910000}"/>
    <cellStyle name="Positive 4 16 4 2 10 2" xfId="37136" xr:uid="{00000000-0005-0000-0000-00001D910000}"/>
    <cellStyle name="Positive 4 16 4 2 11" xfId="37137" xr:uid="{00000000-0005-0000-0000-00001E910000}"/>
    <cellStyle name="Positive 4 16 4 2 11 2" xfId="37138" xr:uid="{00000000-0005-0000-0000-00001F910000}"/>
    <cellStyle name="Positive 4 16 4 2 12" xfId="37139" xr:uid="{00000000-0005-0000-0000-000020910000}"/>
    <cellStyle name="Positive 4 16 4 2 12 2" xfId="37140" xr:uid="{00000000-0005-0000-0000-000021910000}"/>
    <cellStyle name="Positive 4 16 4 2 13" xfId="37141" xr:uid="{00000000-0005-0000-0000-000022910000}"/>
    <cellStyle name="Positive 4 16 4 2 13 2" xfId="37142" xr:uid="{00000000-0005-0000-0000-000023910000}"/>
    <cellStyle name="Positive 4 16 4 2 14" xfId="37143" xr:uid="{00000000-0005-0000-0000-000024910000}"/>
    <cellStyle name="Positive 4 16 4 2 14 2" xfId="37144" xr:uid="{00000000-0005-0000-0000-000025910000}"/>
    <cellStyle name="Positive 4 16 4 2 15" xfId="37145" xr:uid="{00000000-0005-0000-0000-000026910000}"/>
    <cellStyle name="Positive 4 16 4 2 15 2" xfId="37146" xr:uid="{00000000-0005-0000-0000-000027910000}"/>
    <cellStyle name="Positive 4 16 4 2 16" xfId="37147" xr:uid="{00000000-0005-0000-0000-000028910000}"/>
    <cellStyle name="Positive 4 16 4 2 16 2" xfId="37148" xr:uid="{00000000-0005-0000-0000-000029910000}"/>
    <cellStyle name="Positive 4 16 4 2 17" xfId="37149" xr:uid="{00000000-0005-0000-0000-00002A910000}"/>
    <cellStyle name="Positive 4 16 4 2 2" xfId="37150" xr:uid="{00000000-0005-0000-0000-00002B910000}"/>
    <cellStyle name="Positive 4 16 4 2 2 2" xfId="37151" xr:uid="{00000000-0005-0000-0000-00002C910000}"/>
    <cellStyle name="Positive 4 16 4 2 3" xfId="37152" xr:uid="{00000000-0005-0000-0000-00002D910000}"/>
    <cellStyle name="Positive 4 16 4 2 3 2" xfId="37153" xr:uid="{00000000-0005-0000-0000-00002E910000}"/>
    <cellStyle name="Positive 4 16 4 2 4" xfId="37154" xr:uid="{00000000-0005-0000-0000-00002F910000}"/>
    <cellStyle name="Positive 4 16 4 2 4 2" xfId="37155" xr:uid="{00000000-0005-0000-0000-000030910000}"/>
    <cellStyle name="Positive 4 16 4 2 5" xfId="37156" xr:uid="{00000000-0005-0000-0000-000031910000}"/>
    <cellStyle name="Positive 4 16 4 2 5 2" xfId="37157" xr:uid="{00000000-0005-0000-0000-000032910000}"/>
    <cellStyle name="Positive 4 16 4 2 6" xfId="37158" xr:uid="{00000000-0005-0000-0000-000033910000}"/>
    <cellStyle name="Positive 4 16 4 2 6 2" xfId="37159" xr:uid="{00000000-0005-0000-0000-000034910000}"/>
    <cellStyle name="Positive 4 16 4 2 7" xfId="37160" xr:uid="{00000000-0005-0000-0000-000035910000}"/>
    <cellStyle name="Positive 4 16 4 2 7 2" xfId="37161" xr:uid="{00000000-0005-0000-0000-000036910000}"/>
    <cellStyle name="Positive 4 16 4 2 8" xfId="37162" xr:uid="{00000000-0005-0000-0000-000037910000}"/>
    <cellStyle name="Positive 4 16 4 2 8 2" xfId="37163" xr:uid="{00000000-0005-0000-0000-000038910000}"/>
    <cellStyle name="Positive 4 16 4 2 9" xfId="37164" xr:uid="{00000000-0005-0000-0000-000039910000}"/>
    <cellStyle name="Positive 4 16 4 2 9 2" xfId="37165" xr:uid="{00000000-0005-0000-0000-00003A910000}"/>
    <cellStyle name="Positive 4 16 4 20" xfId="37166" xr:uid="{00000000-0005-0000-0000-00003B910000}"/>
    <cellStyle name="Positive 4 16 4 3" xfId="37167" xr:uid="{00000000-0005-0000-0000-00003C910000}"/>
    <cellStyle name="Positive 4 16 4 3 2" xfId="37168" xr:uid="{00000000-0005-0000-0000-00003D910000}"/>
    <cellStyle name="Positive 4 16 4 3 2 2" xfId="37169" xr:uid="{00000000-0005-0000-0000-00003E910000}"/>
    <cellStyle name="Positive 4 16 4 3 3" xfId="37170" xr:uid="{00000000-0005-0000-0000-00003F910000}"/>
    <cellStyle name="Positive 4 16 4 4" xfId="37171" xr:uid="{00000000-0005-0000-0000-000040910000}"/>
    <cellStyle name="Positive 4 16 4 4 2" xfId="37172" xr:uid="{00000000-0005-0000-0000-000041910000}"/>
    <cellStyle name="Positive 4 16 4 4 2 2" xfId="37173" xr:uid="{00000000-0005-0000-0000-000042910000}"/>
    <cellStyle name="Positive 4 16 4 4 3" xfId="37174" xr:uid="{00000000-0005-0000-0000-000043910000}"/>
    <cellStyle name="Positive 4 16 4 5" xfId="37175" xr:uid="{00000000-0005-0000-0000-000044910000}"/>
    <cellStyle name="Positive 4 16 4 5 2" xfId="37176" xr:uid="{00000000-0005-0000-0000-000045910000}"/>
    <cellStyle name="Positive 4 16 4 6" xfId="37177" xr:uid="{00000000-0005-0000-0000-000046910000}"/>
    <cellStyle name="Positive 4 16 4 6 2" xfId="37178" xr:uid="{00000000-0005-0000-0000-000047910000}"/>
    <cellStyle name="Positive 4 16 4 7" xfId="37179" xr:uid="{00000000-0005-0000-0000-000048910000}"/>
    <cellStyle name="Positive 4 16 4 7 2" xfId="37180" xr:uid="{00000000-0005-0000-0000-000049910000}"/>
    <cellStyle name="Positive 4 16 4 8" xfId="37181" xr:uid="{00000000-0005-0000-0000-00004A910000}"/>
    <cellStyle name="Positive 4 16 4 8 2" xfId="37182" xr:uid="{00000000-0005-0000-0000-00004B910000}"/>
    <cellStyle name="Positive 4 16 4 9" xfId="37183" xr:uid="{00000000-0005-0000-0000-00004C910000}"/>
    <cellStyle name="Positive 4 16 4 9 2" xfId="37184" xr:uid="{00000000-0005-0000-0000-00004D910000}"/>
    <cellStyle name="Positive 4 16 5" xfId="37185" xr:uid="{00000000-0005-0000-0000-00004E910000}"/>
    <cellStyle name="Positive 4 16 5 10" xfId="37186" xr:uid="{00000000-0005-0000-0000-00004F910000}"/>
    <cellStyle name="Positive 4 16 5 10 2" xfId="37187" xr:uid="{00000000-0005-0000-0000-000050910000}"/>
    <cellStyle name="Positive 4 16 5 11" xfId="37188" xr:uid="{00000000-0005-0000-0000-000051910000}"/>
    <cellStyle name="Positive 4 16 5 11 2" xfId="37189" xr:uid="{00000000-0005-0000-0000-000052910000}"/>
    <cellStyle name="Positive 4 16 5 12" xfId="37190" xr:uid="{00000000-0005-0000-0000-000053910000}"/>
    <cellStyle name="Positive 4 16 5 12 2" xfId="37191" xr:uid="{00000000-0005-0000-0000-000054910000}"/>
    <cellStyle name="Positive 4 16 5 13" xfId="37192" xr:uid="{00000000-0005-0000-0000-000055910000}"/>
    <cellStyle name="Positive 4 16 5 13 2" xfId="37193" xr:uid="{00000000-0005-0000-0000-000056910000}"/>
    <cellStyle name="Positive 4 16 5 14" xfId="37194" xr:uid="{00000000-0005-0000-0000-000057910000}"/>
    <cellStyle name="Positive 4 16 5 14 2" xfId="37195" xr:uid="{00000000-0005-0000-0000-000058910000}"/>
    <cellStyle name="Positive 4 16 5 15" xfId="37196" xr:uid="{00000000-0005-0000-0000-000059910000}"/>
    <cellStyle name="Positive 4 16 5 15 2" xfId="37197" xr:uid="{00000000-0005-0000-0000-00005A910000}"/>
    <cellStyle name="Positive 4 16 5 16" xfId="37198" xr:uid="{00000000-0005-0000-0000-00005B910000}"/>
    <cellStyle name="Positive 4 16 5 16 2" xfId="37199" xr:uid="{00000000-0005-0000-0000-00005C910000}"/>
    <cellStyle name="Positive 4 16 5 17" xfId="37200" xr:uid="{00000000-0005-0000-0000-00005D910000}"/>
    <cellStyle name="Positive 4 16 5 2" xfId="37201" xr:uid="{00000000-0005-0000-0000-00005E910000}"/>
    <cellStyle name="Positive 4 16 5 2 2" xfId="37202" xr:uid="{00000000-0005-0000-0000-00005F910000}"/>
    <cellStyle name="Positive 4 16 5 3" xfId="37203" xr:uid="{00000000-0005-0000-0000-000060910000}"/>
    <cellStyle name="Positive 4 16 5 3 2" xfId="37204" xr:uid="{00000000-0005-0000-0000-000061910000}"/>
    <cellStyle name="Positive 4 16 5 4" xfId="37205" xr:uid="{00000000-0005-0000-0000-000062910000}"/>
    <cellStyle name="Positive 4 16 5 4 2" xfId="37206" xr:uid="{00000000-0005-0000-0000-000063910000}"/>
    <cellStyle name="Positive 4 16 5 5" xfId="37207" xr:uid="{00000000-0005-0000-0000-000064910000}"/>
    <cellStyle name="Positive 4 16 5 5 2" xfId="37208" xr:uid="{00000000-0005-0000-0000-000065910000}"/>
    <cellStyle name="Positive 4 16 5 6" xfId="37209" xr:uid="{00000000-0005-0000-0000-000066910000}"/>
    <cellStyle name="Positive 4 16 5 6 2" xfId="37210" xr:uid="{00000000-0005-0000-0000-000067910000}"/>
    <cellStyle name="Positive 4 16 5 7" xfId="37211" xr:uid="{00000000-0005-0000-0000-000068910000}"/>
    <cellStyle name="Positive 4 16 5 7 2" xfId="37212" xr:uid="{00000000-0005-0000-0000-000069910000}"/>
    <cellStyle name="Positive 4 16 5 8" xfId="37213" xr:uid="{00000000-0005-0000-0000-00006A910000}"/>
    <cellStyle name="Positive 4 16 5 8 2" xfId="37214" xr:uid="{00000000-0005-0000-0000-00006B910000}"/>
    <cellStyle name="Positive 4 16 5 9" xfId="37215" xr:uid="{00000000-0005-0000-0000-00006C910000}"/>
    <cellStyle name="Positive 4 16 5 9 2" xfId="37216" xr:uid="{00000000-0005-0000-0000-00006D910000}"/>
    <cellStyle name="Positive 4 16 6" xfId="37217" xr:uid="{00000000-0005-0000-0000-00006E910000}"/>
    <cellStyle name="Positive 4 16 6 2" xfId="37218" xr:uid="{00000000-0005-0000-0000-00006F910000}"/>
    <cellStyle name="Positive 4 16 6 2 2" xfId="37219" xr:uid="{00000000-0005-0000-0000-000070910000}"/>
    <cellStyle name="Positive 4 16 6 3" xfId="37220" xr:uid="{00000000-0005-0000-0000-000071910000}"/>
    <cellStyle name="Positive 4 16 7" xfId="37221" xr:uid="{00000000-0005-0000-0000-000072910000}"/>
    <cellStyle name="Positive 4 16 7 2" xfId="37222" xr:uid="{00000000-0005-0000-0000-000073910000}"/>
    <cellStyle name="Positive 4 16 7 2 2" xfId="37223" xr:uid="{00000000-0005-0000-0000-000074910000}"/>
    <cellStyle name="Positive 4 16 7 3" xfId="37224" xr:uid="{00000000-0005-0000-0000-000075910000}"/>
    <cellStyle name="Positive 4 16 8" xfId="37225" xr:uid="{00000000-0005-0000-0000-000076910000}"/>
    <cellStyle name="Positive 4 16 8 2" xfId="37226" xr:uid="{00000000-0005-0000-0000-000077910000}"/>
    <cellStyle name="Positive 4 16 9" xfId="37227" xr:uid="{00000000-0005-0000-0000-000078910000}"/>
    <cellStyle name="Positive 4 16 9 2" xfId="37228" xr:uid="{00000000-0005-0000-0000-000079910000}"/>
    <cellStyle name="Positive 4 17" xfId="37229" xr:uid="{00000000-0005-0000-0000-00007A910000}"/>
    <cellStyle name="Positive 4 17 10" xfId="37230" xr:uid="{00000000-0005-0000-0000-00007B910000}"/>
    <cellStyle name="Positive 4 17 10 2" xfId="37231" xr:uid="{00000000-0005-0000-0000-00007C910000}"/>
    <cellStyle name="Positive 4 17 11" xfId="37232" xr:uid="{00000000-0005-0000-0000-00007D910000}"/>
    <cellStyle name="Positive 4 17 11 2" xfId="37233" xr:uid="{00000000-0005-0000-0000-00007E910000}"/>
    <cellStyle name="Positive 4 17 12" xfId="37234" xr:uid="{00000000-0005-0000-0000-00007F910000}"/>
    <cellStyle name="Positive 4 17 12 2" xfId="37235" xr:uid="{00000000-0005-0000-0000-000080910000}"/>
    <cellStyle name="Positive 4 17 13" xfId="37236" xr:uid="{00000000-0005-0000-0000-000081910000}"/>
    <cellStyle name="Positive 4 17 13 2" xfId="37237" xr:uid="{00000000-0005-0000-0000-000082910000}"/>
    <cellStyle name="Positive 4 17 14" xfId="37238" xr:uid="{00000000-0005-0000-0000-000083910000}"/>
    <cellStyle name="Positive 4 17 14 2" xfId="37239" xr:uid="{00000000-0005-0000-0000-000084910000}"/>
    <cellStyle name="Positive 4 17 15" xfId="37240" xr:uid="{00000000-0005-0000-0000-000085910000}"/>
    <cellStyle name="Positive 4 17 15 2" xfId="37241" xr:uid="{00000000-0005-0000-0000-000086910000}"/>
    <cellStyle name="Positive 4 17 16" xfId="37242" xr:uid="{00000000-0005-0000-0000-000087910000}"/>
    <cellStyle name="Positive 4 17 16 2" xfId="37243" xr:uid="{00000000-0005-0000-0000-000088910000}"/>
    <cellStyle name="Positive 4 17 17" xfId="37244" xr:uid="{00000000-0005-0000-0000-000089910000}"/>
    <cellStyle name="Positive 4 17 17 2" xfId="37245" xr:uid="{00000000-0005-0000-0000-00008A910000}"/>
    <cellStyle name="Positive 4 17 18" xfId="37246" xr:uid="{00000000-0005-0000-0000-00008B910000}"/>
    <cellStyle name="Positive 4 17 18 2" xfId="37247" xr:uid="{00000000-0005-0000-0000-00008C910000}"/>
    <cellStyle name="Positive 4 17 19" xfId="37248" xr:uid="{00000000-0005-0000-0000-00008D910000}"/>
    <cellStyle name="Positive 4 17 19 2" xfId="37249" xr:uid="{00000000-0005-0000-0000-00008E910000}"/>
    <cellStyle name="Positive 4 17 2" xfId="37250" xr:uid="{00000000-0005-0000-0000-00008F910000}"/>
    <cellStyle name="Positive 4 17 2 10" xfId="37251" xr:uid="{00000000-0005-0000-0000-000090910000}"/>
    <cellStyle name="Positive 4 17 2 10 2" xfId="37252" xr:uid="{00000000-0005-0000-0000-000091910000}"/>
    <cellStyle name="Positive 4 17 2 11" xfId="37253" xr:uid="{00000000-0005-0000-0000-000092910000}"/>
    <cellStyle name="Positive 4 17 2 11 2" xfId="37254" xr:uid="{00000000-0005-0000-0000-000093910000}"/>
    <cellStyle name="Positive 4 17 2 12" xfId="37255" xr:uid="{00000000-0005-0000-0000-000094910000}"/>
    <cellStyle name="Positive 4 17 2 12 2" xfId="37256" xr:uid="{00000000-0005-0000-0000-000095910000}"/>
    <cellStyle name="Positive 4 17 2 13" xfId="37257" xr:uid="{00000000-0005-0000-0000-000096910000}"/>
    <cellStyle name="Positive 4 17 2 13 2" xfId="37258" xr:uid="{00000000-0005-0000-0000-000097910000}"/>
    <cellStyle name="Positive 4 17 2 14" xfId="37259" xr:uid="{00000000-0005-0000-0000-000098910000}"/>
    <cellStyle name="Positive 4 17 2 14 2" xfId="37260" xr:uid="{00000000-0005-0000-0000-000099910000}"/>
    <cellStyle name="Positive 4 17 2 15" xfId="37261" xr:uid="{00000000-0005-0000-0000-00009A910000}"/>
    <cellStyle name="Positive 4 17 2 15 2" xfId="37262" xr:uid="{00000000-0005-0000-0000-00009B910000}"/>
    <cellStyle name="Positive 4 17 2 16" xfId="37263" xr:uid="{00000000-0005-0000-0000-00009C910000}"/>
    <cellStyle name="Positive 4 17 2 16 2" xfId="37264" xr:uid="{00000000-0005-0000-0000-00009D910000}"/>
    <cellStyle name="Positive 4 17 2 17" xfId="37265" xr:uid="{00000000-0005-0000-0000-00009E910000}"/>
    <cellStyle name="Positive 4 17 2 17 2" xfId="37266" xr:uid="{00000000-0005-0000-0000-00009F910000}"/>
    <cellStyle name="Positive 4 17 2 18" xfId="37267" xr:uid="{00000000-0005-0000-0000-0000A0910000}"/>
    <cellStyle name="Positive 4 17 2 18 2" xfId="37268" xr:uid="{00000000-0005-0000-0000-0000A1910000}"/>
    <cellStyle name="Positive 4 17 2 19" xfId="37269" xr:uid="{00000000-0005-0000-0000-0000A2910000}"/>
    <cellStyle name="Positive 4 17 2 19 2" xfId="37270" xr:uid="{00000000-0005-0000-0000-0000A3910000}"/>
    <cellStyle name="Positive 4 17 2 2" xfId="37271" xr:uid="{00000000-0005-0000-0000-0000A4910000}"/>
    <cellStyle name="Positive 4 17 2 2 10" xfId="37272" xr:uid="{00000000-0005-0000-0000-0000A5910000}"/>
    <cellStyle name="Positive 4 17 2 2 10 2" xfId="37273" xr:uid="{00000000-0005-0000-0000-0000A6910000}"/>
    <cellStyle name="Positive 4 17 2 2 11" xfId="37274" xr:uid="{00000000-0005-0000-0000-0000A7910000}"/>
    <cellStyle name="Positive 4 17 2 2 11 2" xfId="37275" xr:uid="{00000000-0005-0000-0000-0000A8910000}"/>
    <cellStyle name="Positive 4 17 2 2 12" xfId="37276" xr:uid="{00000000-0005-0000-0000-0000A9910000}"/>
    <cellStyle name="Positive 4 17 2 2 12 2" xfId="37277" xr:uid="{00000000-0005-0000-0000-0000AA910000}"/>
    <cellStyle name="Positive 4 17 2 2 13" xfId="37278" xr:uid="{00000000-0005-0000-0000-0000AB910000}"/>
    <cellStyle name="Positive 4 17 2 2 13 2" xfId="37279" xr:uid="{00000000-0005-0000-0000-0000AC910000}"/>
    <cellStyle name="Positive 4 17 2 2 14" xfId="37280" xr:uid="{00000000-0005-0000-0000-0000AD910000}"/>
    <cellStyle name="Positive 4 17 2 2 14 2" xfId="37281" xr:uid="{00000000-0005-0000-0000-0000AE910000}"/>
    <cellStyle name="Positive 4 17 2 2 15" xfId="37282" xr:uid="{00000000-0005-0000-0000-0000AF910000}"/>
    <cellStyle name="Positive 4 17 2 2 15 2" xfId="37283" xr:uid="{00000000-0005-0000-0000-0000B0910000}"/>
    <cellStyle name="Positive 4 17 2 2 16" xfId="37284" xr:uid="{00000000-0005-0000-0000-0000B1910000}"/>
    <cellStyle name="Positive 4 17 2 2 16 2" xfId="37285" xr:uid="{00000000-0005-0000-0000-0000B2910000}"/>
    <cellStyle name="Positive 4 17 2 2 17" xfId="37286" xr:uid="{00000000-0005-0000-0000-0000B3910000}"/>
    <cellStyle name="Positive 4 17 2 2 2" xfId="37287" xr:uid="{00000000-0005-0000-0000-0000B4910000}"/>
    <cellStyle name="Positive 4 17 2 2 2 2" xfId="37288" xr:uid="{00000000-0005-0000-0000-0000B5910000}"/>
    <cellStyle name="Positive 4 17 2 2 3" xfId="37289" xr:uid="{00000000-0005-0000-0000-0000B6910000}"/>
    <cellStyle name="Positive 4 17 2 2 3 2" xfId="37290" xr:uid="{00000000-0005-0000-0000-0000B7910000}"/>
    <cellStyle name="Positive 4 17 2 2 4" xfId="37291" xr:uid="{00000000-0005-0000-0000-0000B8910000}"/>
    <cellStyle name="Positive 4 17 2 2 4 2" xfId="37292" xr:uid="{00000000-0005-0000-0000-0000B9910000}"/>
    <cellStyle name="Positive 4 17 2 2 5" xfId="37293" xr:uid="{00000000-0005-0000-0000-0000BA910000}"/>
    <cellStyle name="Positive 4 17 2 2 5 2" xfId="37294" xr:uid="{00000000-0005-0000-0000-0000BB910000}"/>
    <cellStyle name="Positive 4 17 2 2 6" xfId="37295" xr:uid="{00000000-0005-0000-0000-0000BC910000}"/>
    <cellStyle name="Positive 4 17 2 2 6 2" xfId="37296" xr:uid="{00000000-0005-0000-0000-0000BD910000}"/>
    <cellStyle name="Positive 4 17 2 2 7" xfId="37297" xr:uid="{00000000-0005-0000-0000-0000BE910000}"/>
    <cellStyle name="Positive 4 17 2 2 7 2" xfId="37298" xr:uid="{00000000-0005-0000-0000-0000BF910000}"/>
    <cellStyle name="Positive 4 17 2 2 8" xfId="37299" xr:uid="{00000000-0005-0000-0000-0000C0910000}"/>
    <cellStyle name="Positive 4 17 2 2 8 2" xfId="37300" xr:uid="{00000000-0005-0000-0000-0000C1910000}"/>
    <cellStyle name="Positive 4 17 2 2 9" xfId="37301" xr:uid="{00000000-0005-0000-0000-0000C2910000}"/>
    <cellStyle name="Positive 4 17 2 2 9 2" xfId="37302" xr:uid="{00000000-0005-0000-0000-0000C3910000}"/>
    <cellStyle name="Positive 4 17 2 20" xfId="37303" xr:uid="{00000000-0005-0000-0000-0000C4910000}"/>
    <cellStyle name="Positive 4 17 2 3" xfId="37304" xr:uid="{00000000-0005-0000-0000-0000C5910000}"/>
    <cellStyle name="Positive 4 17 2 3 2" xfId="37305" xr:uid="{00000000-0005-0000-0000-0000C6910000}"/>
    <cellStyle name="Positive 4 17 2 3 2 2" xfId="37306" xr:uid="{00000000-0005-0000-0000-0000C7910000}"/>
    <cellStyle name="Positive 4 17 2 3 3" xfId="37307" xr:uid="{00000000-0005-0000-0000-0000C8910000}"/>
    <cellStyle name="Positive 4 17 2 4" xfId="37308" xr:uid="{00000000-0005-0000-0000-0000C9910000}"/>
    <cellStyle name="Positive 4 17 2 4 2" xfId="37309" xr:uid="{00000000-0005-0000-0000-0000CA910000}"/>
    <cellStyle name="Positive 4 17 2 4 2 2" xfId="37310" xr:uid="{00000000-0005-0000-0000-0000CB910000}"/>
    <cellStyle name="Positive 4 17 2 4 3" xfId="37311" xr:uid="{00000000-0005-0000-0000-0000CC910000}"/>
    <cellStyle name="Positive 4 17 2 5" xfId="37312" xr:uid="{00000000-0005-0000-0000-0000CD910000}"/>
    <cellStyle name="Positive 4 17 2 5 2" xfId="37313" xr:uid="{00000000-0005-0000-0000-0000CE910000}"/>
    <cellStyle name="Positive 4 17 2 6" xfId="37314" xr:uid="{00000000-0005-0000-0000-0000CF910000}"/>
    <cellStyle name="Positive 4 17 2 6 2" xfId="37315" xr:uid="{00000000-0005-0000-0000-0000D0910000}"/>
    <cellStyle name="Positive 4 17 2 7" xfId="37316" xr:uid="{00000000-0005-0000-0000-0000D1910000}"/>
    <cellStyle name="Positive 4 17 2 7 2" xfId="37317" xr:uid="{00000000-0005-0000-0000-0000D2910000}"/>
    <cellStyle name="Positive 4 17 2 8" xfId="37318" xr:uid="{00000000-0005-0000-0000-0000D3910000}"/>
    <cellStyle name="Positive 4 17 2 8 2" xfId="37319" xr:uid="{00000000-0005-0000-0000-0000D4910000}"/>
    <cellStyle name="Positive 4 17 2 9" xfId="37320" xr:uid="{00000000-0005-0000-0000-0000D5910000}"/>
    <cellStyle name="Positive 4 17 2 9 2" xfId="37321" xr:uid="{00000000-0005-0000-0000-0000D6910000}"/>
    <cellStyle name="Positive 4 17 20" xfId="37322" xr:uid="{00000000-0005-0000-0000-0000D7910000}"/>
    <cellStyle name="Positive 4 17 20 2" xfId="37323" xr:uid="{00000000-0005-0000-0000-0000D8910000}"/>
    <cellStyle name="Positive 4 17 21" xfId="37324" xr:uid="{00000000-0005-0000-0000-0000D9910000}"/>
    <cellStyle name="Positive 4 17 21 2" xfId="37325" xr:uid="{00000000-0005-0000-0000-0000DA910000}"/>
    <cellStyle name="Positive 4 17 22" xfId="37326" xr:uid="{00000000-0005-0000-0000-0000DB910000}"/>
    <cellStyle name="Positive 4 17 22 2" xfId="37327" xr:uid="{00000000-0005-0000-0000-0000DC910000}"/>
    <cellStyle name="Positive 4 17 23" xfId="37328" xr:uid="{00000000-0005-0000-0000-0000DD910000}"/>
    <cellStyle name="Positive 4 17 3" xfId="37329" xr:uid="{00000000-0005-0000-0000-0000DE910000}"/>
    <cellStyle name="Positive 4 17 3 10" xfId="37330" xr:uid="{00000000-0005-0000-0000-0000DF910000}"/>
    <cellStyle name="Positive 4 17 3 10 2" xfId="37331" xr:uid="{00000000-0005-0000-0000-0000E0910000}"/>
    <cellStyle name="Positive 4 17 3 11" xfId="37332" xr:uid="{00000000-0005-0000-0000-0000E1910000}"/>
    <cellStyle name="Positive 4 17 3 11 2" xfId="37333" xr:uid="{00000000-0005-0000-0000-0000E2910000}"/>
    <cellStyle name="Positive 4 17 3 12" xfId="37334" xr:uid="{00000000-0005-0000-0000-0000E3910000}"/>
    <cellStyle name="Positive 4 17 3 12 2" xfId="37335" xr:uid="{00000000-0005-0000-0000-0000E4910000}"/>
    <cellStyle name="Positive 4 17 3 13" xfId="37336" xr:uid="{00000000-0005-0000-0000-0000E5910000}"/>
    <cellStyle name="Positive 4 17 3 13 2" xfId="37337" xr:uid="{00000000-0005-0000-0000-0000E6910000}"/>
    <cellStyle name="Positive 4 17 3 14" xfId="37338" xr:uid="{00000000-0005-0000-0000-0000E7910000}"/>
    <cellStyle name="Positive 4 17 3 14 2" xfId="37339" xr:uid="{00000000-0005-0000-0000-0000E8910000}"/>
    <cellStyle name="Positive 4 17 3 15" xfId="37340" xr:uid="{00000000-0005-0000-0000-0000E9910000}"/>
    <cellStyle name="Positive 4 17 3 15 2" xfId="37341" xr:uid="{00000000-0005-0000-0000-0000EA910000}"/>
    <cellStyle name="Positive 4 17 3 16" xfId="37342" xr:uid="{00000000-0005-0000-0000-0000EB910000}"/>
    <cellStyle name="Positive 4 17 3 16 2" xfId="37343" xr:uid="{00000000-0005-0000-0000-0000EC910000}"/>
    <cellStyle name="Positive 4 17 3 17" xfId="37344" xr:uid="{00000000-0005-0000-0000-0000ED910000}"/>
    <cellStyle name="Positive 4 17 3 17 2" xfId="37345" xr:uid="{00000000-0005-0000-0000-0000EE910000}"/>
    <cellStyle name="Positive 4 17 3 18" xfId="37346" xr:uid="{00000000-0005-0000-0000-0000EF910000}"/>
    <cellStyle name="Positive 4 17 3 18 2" xfId="37347" xr:uid="{00000000-0005-0000-0000-0000F0910000}"/>
    <cellStyle name="Positive 4 17 3 19" xfId="37348" xr:uid="{00000000-0005-0000-0000-0000F1910000}"/>
    <cellStyle name="Positive 4 17 3 19 2" xfId="37349" xr:uid="{00000000-0005-0000-0000-0000F2910000}"/>
    <cellStyle name="Positive 4 17 3 2" xfId="37350" xr:uid="{00000000-0005-0000-0000-0000F3910000}"/>
    <cellStyle name="Positive 4 17 3 2 10" xfId="37351" xr:uid="{00000000-0005-0000-0000-0000F4910000}"/>
    <cellStyle name="Positive 4 17 3 2 10 2" xfId="37352" xr:uid="{00000000-0005-0000-0000-0000F5910000}"/>
    <cellStyle name="Positive 4 17 3 2 11" xfId="37353" xr:uid="{00000000-0005-0000-0000-0000F6910000}"/>
    <cellStyle name="Positive 4 17 3 2 11 2" xfId="37354" xr:uid="{00000000-0005-0000-0000-0000F7910000}"/>
    <cellStyle name="Positive 4 17 3 2 12" xfId="37355" xr:uid="{00000000-0005-0000-0000-0000F8910000}"/>
    <cellStyle name="Positive 4 17 3 2 12 2" xfId="37356" xr:uid="{00000000-0005-0000-0000-0000F9910000}"/>
    <cellStyle name="Positive 4 17 3 2 13" xfId="37357" xr:uid="{00000000-0005-0000-0000-0000FA910000}"/>
    <cellStyle name="Positive 4 17 3 2 13 2" xfId="37358" xr:uid="{00000000-0005-0000-0000-0000FB910000}"/>
    <cellStyle name="Positive 4 17 3 2 14" xfId="37359" xr:uid="{00000000-0005-0000-0000-0000FC910000}"/>
    <cellStyle name="Positive 4 17 3 2 14 2" xfId="37360" xr:uid="{00000000-0005-0000-0000-0000FD910000}"/>
    <cellStyle name="Positive 4 17 3 2 15" xfId="37361" xr:uid="{00000000-0005-0000-0000-0000FE910000}"/>
    <cellStyle name="Positive 4 17 3 2 15 2" xfId="37362" xr:uid="{00000000-0005-0000-0000-0000FF910000}"/>
    <cellStyle name="Positive 4 17 3 2 16" xfId="37363" xr:uid="{00000000-0005-0000-0000-000000920000}"/>
    <cellStyle name="Positive 4 17 3 2 16 2" xfId="37364" xr:uid="{00000000-0005-0000-0000-000001920000}"/>
    <cellStyle name="Positive 4 17 3 2 17" xfId="37365" xr:uid="{00000000-0005-0000-0000-000002920000}"/>
    <cellStyle name="Positive 4 17 3 2 2" xfId="37366" xr:uid="{00000000-0005-0000-0000-000003920000}"/>
    <cellStyle name="Positive 4 17 3 2 2 2" xfId="37367" xr:uid="{00000000-0005-0000-0000-000004920000}"/>
    <cellStyle name="Positive 4 17 3 2 3" xfId="37368" xr:uid="{00000000-0005-0000-0000-000005920000}"/>
    <cellStyle name="Positive 4 17 3 2 3 2" xfId="37369" xr:uid="{00000000-0005-0000-0000-000006920000}"/>
    <cellStyle name="Positive 4 17 3 2 4" xfId="37370" xr:uid="{00000000-0005-0000-0000-000007920000}"/>
    <cellStyle name="Positive 4 17 3 2 4 2" xfId="37371" xr:uid="{00000000-0005-0000-0000-000008920000}"/>
    <cellStyle name="Positive 4 17 3 2 5" xfId="37372" xr:uid="{00000000-0005-0000-0000-000009920000}"/>
    <cellStyle name="Positive 4 17 3 2 5 2" xfId="37373" xr:uid="{00000000-0005-0000-0000-00000A920000}"/>
    <cellStyle name="Positive 4 17 3 2 6" xfId="37374" xr:uid="{00000000-0005-0000-0000-00000B920000}"/>
    <cellStyle name="Positive 4 17 3 2 6 2" xfId="37375" xr:uid="{00000000-0005-0000-0000-00000C920000}"/>
    <cellStyle name="Positive 4 17 3 2 7" xfId="37376" xr:uid="{00000000-0005-0000-0000-00000D920000}"/>
    <cellStyle name="Positive 4 17 3 2 7 2" xfId="37377" xr:uid="{00000000-0005-0000-0000-00000E920000}"/>
    <cellStyle name="Positive 4 17 3 2 8" xfId="37378" xr:uid="{00000000-0005-0000-0000-00000F920000}"/>
    <cellStyle name="Positive 4 17 3 2 8 2" xfId="37379" xr:uid="{00000000-0005-0000-0000-000010920000}"/>
    <cellStyle name="Positive 4 17 3 2 9" xfId="37380" xr:uid="{00000000-0005-0000-0000-000011920000}"/>
    <cellStyle name="Positive 4 17 3 2 9 2" xfId="37381" xr:uid="{00000000-0005-0000-0000-000012920000}"/>
    <cellStyle name="Positive 4 17 3 20" xfId="37382" xr:uid="{00000000-0005-0000-0000-000013920000}"/>
    <cellStyle name="Positive 4 17 3 3" xfId="37383" xr:uid="{00000000-0005-0000-0000-000014920000}"/>
    <cellStyle name="Positive 4 17 3 3 2" xfId="37384" xr:uid="{00000000-0005-0000-0000-000015920000}"/>
    <cellStyle name="Positive 4 17 3 3 2 2" xfId="37385" xr:uid="{00000000-0005-0000-0000-000016920000}"/>
    <cellStyle name="Positive 4 17 3 3 3" xfId="37386" xr:uid="{00000000-0005-0000-0000-000017920000}"/>
    <cellStyle name="Positive 4 17 3 4" xfId="37387" xr:uid="{00000000-0005-0000-0000-000018920000}"/>
    <cellStyle name="Positive 4 17 3 4 2" xfId="37388" xr:uid="{00000000-0005-0000-0000-000019920000}"/>
    <cellStyle name="Positive 4 17 3 4 2 2" xfId="37389" xr:uid="{00000000-0005-0000-0000-00001A920000}"/>
    <cellStyle name="Positive 4 17 3 4 3" xfId="37390" xr:uid="{00000000-0005-0000-0000-00001B920000}"/>
    <cellStyle name="Positive 4 17 3 5" xfId="37391" xr:uid="{00000000-0005-0000-0000-00001C920000}"/>
    <cellStyle name="Positive 4 17 3 5 2" xfId="37392" xr:uid="{00000000-0005-0000-0000-00001D920000}"/>
    <cellStyle name="Positive 4 17 3 6" xfId="37393" xr:uid="{00000000-0005-0000-0000-00001E920000}"/>
    <cellStyle name="Positive 4 17 3 6 2" xfId="37394" xr:uid="{00000000-0005-0000-0000-00001F920000}"/>
    <cellStyle name="Positive 4 17 3 7" xfId="37395" xr:uid="{00000000-0005-0000-0000-000020920000}"/>
    <cellStyle name="Positive 4 17 3 7 2" xfId="37396" xr:uid="{00000000-0005-0000-0000-000021920000}"/>
    <cellStyle name="Positive 4 17 3 8" xfId="37397" xr:uid="{00000000-0005-0000-0000-000022920000}"/>
    <cellStyle name="Positive 4 17 3 8 2" xfId="37398" xr:uid="{00000000-0005-0000-0000-000023920000}"/>
    <cellStyle name="Positive 4 17 3 9" xfId="37399" xr:uid="{00000000-0005-0000-0000-000024920000}"/>
    <cellStyle name="Positive 4 17 3 9 2" xfId="37400" xr:uid="{00000000-0005-0000-0000-000025920000}"/>
    <cellStyle name="Positive 4 17 4" xfId="37401" xr:uid="{00000000-0005-0000-0000-000026920000}"/>
    <cellStyle name="Positive 4 17 4 10" xfId="37402" xr:uid="{00000000-0005-0000-0000-000027920000}"/>
    <cellStyle name="Positive 4 17 4 10 2" xfId="37403" xr:uid="{00000000-0005-0000-0000-000028920000}"/>
    <cellStyle name="Positive 4 17 4 11" xfId="37404" xr:uid="{00000000-0005-0000-0000-000029920000}"/>
    <cellStyle name="Positive 4 17 4 11 2" xfId="37405" xr:uid="{00000000-0005-0000-0000-00002A920000}"/>
    <cellStyle name="Positive 4 17 4 12" xfId="37406" xr:uid="{00000000-0005-0000-0000-00002B920000}"/>
    <cellStyle name="Positive 4 17 4 12 2" xfId="37407" xr:uid="{00000000-0005-0000-0000-00002C920000}"/>
    <cellStyle name="Positive 4 17 4 13" xfId="37408" xr:uid="{00000000-0005-0000-0000-00002D920000}"/>
    <cellStyle name="Positive 4 17 4 13 2" xfId="37409" xr:uid="{00000000-0005-0000-0000-00002E920000}"/>
    <cellStyle name="Positive 4 17 4 14" xfId="37410" xr:uid="{00000000-0005-0000-0000-00002F920000}"/>
    <cellStyle name="Positive 4 17 4 14 2" xfId="37411" xr:uid="{00000000-0005-0000-0000-000030920000}"/>
    <cellStyle name="Positive 4 17 4 15" xfId="37412" xr:uid="{00000000-0005-0000-0000-000031920000}"/>
    <cellStyle name="Positive 4 17 4 15 2" xfId="37413" xr:uid="{00000000-0005-0000-0000-000032920000}"/>
    <cellStyle name="Positive 4 17 4 16" xfId="37414" xr:uid="{00000000-0005-0000-0000-000033920000}"/>
    <cellStyle name="Positive 4 17 4 16 2" xfId="37415" xr:uid="{00000000-0005-0000-0000-000034920000}"/>
    <cellStyle name="Positive 4 17 4 17" xfId="37416" xr:uid="{00000000-0005-0000-0000-000035920000}"/>
    <cellStyle name="Positive 4 17 4 17 2" xfId="37417" xr:uid="{00000000-0005-0000-0000-000036920000}"/>
    <cellStyle name="Positive 4 17 4 18" xfId="37418" xr:uid="{00000000-0005-0000-0000-000037920000}"/>
    <cellStyle name="Positive 4 17 4 18 2" xfId="37419" xr:uid="{00000000-0005-0000-0000-000038920000}"/>
    <cellStyle name="Positive 4 17 4 19" xfId="37420" xr:uid="{00000000-0005-0000-0000-000039920000}"/>
    <cellStyle name="Positive 4 17 4 19 2" xfId="37421" xr:uid="{00000000-0005-0000-0000-00003A920000}"/>
    <cellStyle name="Positive 4 17 4 2" xfId="37422" xr:uid="{00000000-0005-0000-0000-00003B920000}"/>
    <cellStyle name="Positive 4 17 4 2 10" xfId="37423" xr:uid="{00000000-0005-0000-0000-00003C920000}"/>
    <cellStyle name="Positive 4 17 4 2 10 2" xfId="37424" xr:uid="{00000000-0005-0000-0000-00003D920000}"/>
    <cellStyle name="Positive 4 17 4 2 11" xfId="37425" xr:uid="{00000000-0005-0000-0000-00003E920000}"/>
    <cellStyle name="Positive 4 17 4 2 11 2" xfId="37426" xr:uid="{00000000-0005-0000-0000-00003F920000}"/>
    <cellStyle name="Positive 4 17 4 2 12" xfId="37427" xr:uid="{00000000-0005-0000-0000-000040920000}"/>
    <cellStyle name="Positive 4 17 4 2 12 2" xfId="37428" xr:uid="{00000000-0005-0000-0000-000041920000}"/>
    <cellStyle name="Positive 4 17 4 2 13" xfId="37429" xr:uid="{00000000-0005-0000-0000-000042920000}"/>
    <cellStyle name="Positive 4 17 4 2 13 2" xfId="37430" xr:uid="{00000000-0005-0000-0000-000043920000}"/>
    <cellStyle name="Positive 4 17 4 2 14" xfId="37431" xr:uid="{00000000-0005-0000-0000-000044920000}"/>
    <cellStyle name="Positive 4 17 4 2 14 2" xfId="37432" xr:uid="{00000000-0005-0000-0000-000045920000}"/>
    <cellStyle name="Positive 4 17 4 2 15" xfId="37433" xr:uid="{00000000-0005-0000-0000-000046920000}"/>
    <cellStyle name="Positive 4 17 4 2 15 2" xfId="37434" xr:uid="{00000000-0005-0000-0000-000047920000}"/>
    <cellStyle name="Positive 4 17 4 2 16" xfId="37435" xr:uid="{00000000-0005-0000-0000-000048920000}"/>
    <cellStyle name="Positive 4 17 4 2 16 2" xfId="37436" xr:uid="{00000000-0005-0000-0000-000049920000}"/>
    <cellStyle name="Positive 4 17 4 2 17" xfId="37437" xr:uid="{00000000-0005-0000-0000-00004A920000}"/>
    <cellStyle name="Positive 4 17 4 2 2" xfId="37438" xr:uid="{00000000-0005-0000-0000-00004B920000}"/>
    <cellStyle name="Positive 4 17 4 2 2 2" xfId="37439" xr:uid="{00000000-0005-0000-0000-00004C920000}"/>
    <cellStyle name="Positive 4 17 4 2 3" xfId="37440" xr:uid="{00000000-0005-0000-0000-00004D920000}"/>
    <cellStyle name="Positive 4 17 4 2 3 2" xfId="37441" xr:uid="{00000000-0005-0000-0000-00004E920000}"/>
    <cellStyle name="Positive 4 17 4 2 4" xfId="37442" xr:uid="{00000000-0005-0000-0000-00004F920000}"/>
    <cellStyle name="Positive 4 17 4 2 4 2" xfId="37443" xr:uid="{00000000-0005-0000-0000-000050920000}"/>
    <cellStyle name="Positive 4 17 4 2 5" xfId="37444" xr:uid="{00000000-0005-0000-0000-000051920000}"/>
    <cellStyle name="Positive 4 17 4 2 5 2" xfId="37445" xr:uid="{00000000-0005-0000-0000-000052920000}"/>
    <cellStyle name="Positive 4 17 4 2 6" xfId="37446" xr:uid="{00000000-0005-0000-0000-000053920000}"/>
    <cellStyle name="Positive 4 17 4 2 6 2" xfId="37447" xr:uid="{00000000-0005-0000-0000-000054920000}"/>
    <cellStyle name="Positive 4 17 4 2 7" xfId="37448" xr:uid="{00000000-0005-0000-0000-000055920000}"/>
    <cellStyle name="Positive 4 17 4 2 7 2" xfId="37449" xr:uid="{00000000-0005-0000-0000-000056920000}"/>
    <cellStyle name="Positive 4 17 4 2 8" xfId="37450" xr:uid="{00000000-0005-0000-0000-000057920000}"/>
    <cellStyle name="Positive 4 17 4 2 8 2" xfId="37451" xr:uid="{00000000-0005-0000-0000-000058920000}"/>
    <cellStyle name="Positive 4 17 4 2 9" xfId="37452" xr:uid="{00000000-0005-0000-0000-000059920000}"/>
    <cellStyle name="Positive 4 17 4 2 9 2" xfId="37453" xr:uid="{00000000-0005-0000-0000-00005A920000}"/>
    <cellStyle name="Positive 4 17 4 20" xfId="37454" xr:uid="{00000000-0005-0000-0000-00005B920000}"/>
    <cellStyle name="Positive 4 17 4 3" xfId="37455" xr:uid="{00000000-0005-0000-0000-00005C920000}"/>
    <cellStyle name="Positive 4 17 4 3 2" xfId="37456" xr:uid="{00000000-0005-0000-0000-00005D920000}"/>
    <cellStyle name="Positive 4 17 4 3 2 2" xfId="37457" xr:uid="{00000000-0005-0000-0000-00005E920000}"/>
    <cellStyle name="Positive 4 17 4 3 3" xfId="37458" xr:uid="{00000000-0005-0000-0000-00005F920000}"/>
    <cellStyle name="Positive 4 17 4 4" xfId="37459" xr:uid="{00000000-0005-0000-0000-000060920000}"/>
    <cellStyle name="Positive 4 17 4 4 2" xfId="37460" xr:uid="{00000000-0005-0000-0000-000061920000}"/>
    <cellStyle name="Positive 4 17 4 4 2 2" xfId="37461" xr:uid="{00000000-0005-0000-0000-000062920000}"/>
    <cellStyle name="Positive 4 17 4 4 3" xfId="37462" xr:uid="{00000000-0005-0000-0000-000063920000}"/>
    <cellStyle name="Positive 4 17 4 5" xfId="37463" xr:uid="{00000000-0005-0000-0000-000064920000}"/>
    <cellStyle name="Positive 4 17 4 5 2" xfId="37464" xr:uid="{00000000-0005-0000-0000-000065920000}"/>
    <cellStyle name="Positive 4 17 4 6" xfId="37465" xr:uid="{00000000-0005-0000-0000-000066920000}"/>
    <cellStyle name="Positive 4 17 4 6 2" xfId="37466" xr:uid="{00000000-0005-0000-0000-000067920000}"/>
    <cellStyle name="Positive 4 17 4 7" xfId="37467" xr:uid="{00000000-0005-0000-0000-000068920000}"/>
    <cellStyle name="Positive 4 17 4 7 2" xfId="37468" xr:uid="{00000000-0005-0000-0000-000069920000}"/>
    <cellStyle name="Positive 4 17 4 8" xfId="37469" xr:uid="{00000000-0005-0000-0000-00006A920000}"/>
    <cellStyle name="Positive 4 17 4 8 2" xfId="37470" xr:uid="{00000000-0005-0000-0000-00006B920000}"/>
    <cellStyle name="Positive 4 17 4 9" xfId="37471" xr:uid="{00000000-0005-0000-0000-00006C920000}"/>
    <cellStyle name="Positive 4 17 4 9 2" xfId="37472" xr:uid="{00000000-0005-0000-0000-00006D920000}"/>
    <cellStyle name="Positive 4 17 5" xfId="37473" xr:uid="{00000000-0005-0000-0000-00006E920000}"/>
    <cellStyle name="Positive 4 17 5 10" xfId="37474" xr:uid="{00000000-0005-0000-0000-00006F920000}"/>
    <cellStyle name="Positive 4 17 5 10 2" xfId="37475" xr:uid="{00000000-0005-0000-0000-000070920000}"/>
    <cellStyle name="Positive 4 17 5 11" xfId="37476" xr:uid="{00000000-0005-0000-0000-000071920000}"/>
    <cellStyle name="Positive 4 17 5 11 2" xfId="37477" xr:uid="{00000000-0005-0000-0000-000072920000}"/>
    <cellStyle name="Positive 4 17 5 12" xfId="37478" xr:uid="{00000000-0005-0000-0000-000073920000}"/>
    <cellStyle name="Positive 4 17 5 12 2" xfId="37479" xr:uid="{00000000-0005-0000-0000-000074920000}"/>
    <cellStyle name="Positive 4 17 5 13" xfId="37480" xr:uid="{00000000-0005-0000-0000-000075920000}"/>
    <cellStyle name="Positive 4 17 5 13 2" xfId="37481" xr:uid="{00000000-0005-0000-0000-000076920000}"/>
    <cellStyle name="Positive 4 17 5 14" xfId="37482" xr:uid="{00000000-0005-0000-0000-000077920000}"/>
    <cellStyle name="Positive 4 17 5 14 2" xfId="37483" xr:uid="{00000000-0005-0000-0000-000078920000}"/>
    <cellStyle name="Positive 4 17 5 15" xfId="37484" xr:uid="{00000000-0005-0000-0000-000079920000}"/>
    <cellStyle name="Positive 4 17 5 15 2" xfId="37485" xr:uid="{00000000-0005-0000-0000-00007A920000}"/>
    <cellStyle name="Positive 4 17 5 16" xfId="37486" xr:uid="{00000000-0005-0000-0000-00007B920000}"/>
    <cellStyle name="Positive 4 17 5 16 2" xfId="37487" xr:uid="{00000000-0005-0000-0000-00007C920000}"/>
    <cellStyle name="Positive 4 17 5 17" xfId="37488" xr:uid="{00000000-0005-0000-0000-00007D920000}"/>
    <cellStyle name="Positive 4 17 5 2" xfId="37489" xr:uid="{00000000-0005-0000-0000-00007E920000}"/>
    <cellStyle name="Positive 4 17 5 2 2" xfId="37490" xr:uid="{00000000-0005-0000-0000-00007F920000}"/>
    <cellStyle name="Positive 4 17 5 3" xfId="37491" xr:uid="{00000000-0005-0000-0000-000080920000}"/>
    <cellStyle name="Positive 4 17 5 3 2" xfId="37492" xr:uid="{00000000-0005-0000-0000-000081920000}"/>
    <cellStyle name="Positive 4 17 5 4" xfId="37493" xr:uid="{00000000-0005-0000-0000-000082920000}"/>
    <cellStyle name="Positive 4 17 5 4 2" xfId="37494" xr:uid="{00000000-0005-0000-0000-000083920000}"/>
    <cellStyle name="Positive 4 17 5 5" xfId="37495" xr:uid="{00000000-0005-0000-0000-000084920000}"/>
    <cellStyle name="Positive 4 17 5 5 2" xfId="37496" xr:uid="{00000000-0005-0000-0000-000085920000}"/>
    <cellStyle name="Positive 4 17 5 6" xfId="37497" xr:uid="{00000000-0005-0000-0000-000086920000}"/>
    <cellStyle name="Positive 4 17 5 6 2" xfId="37498" xr:uid="{00000000-0005-0000-0000-000087920000}"/>
    <cellStyle name="Positive 4 17 5 7" xfId="37499" xr:uid="{00000000-0005-0000-0000-000088920000}"/>
    <cellStyle name="Positive 4 17 5 7 2" xfId="37500" xr:uid="{00000000-0005-0000-0000-000089920000}"/>
    <cellStyle name="Positive 4 17 5 8" xfId="37501" xr:uid="{00000000-0005-0000-0000-00008A920000}"/>
    <cellStyle name="Positive 4 17 5 8 2" xfId="37502" xr:uid="{00000000-0005-0000-0000-00008B920000}"/>
    <cellStyle name="Positive 4 17 5 9" xfId="37503" xr:uid="{00000000-0005-0000-0000-00008C920000}"/>
    <cellStyle name="Positive 4 17 5 9 2" xfId="37504" xr:uid="{00000000-0005-0000-0000-00008D920000}"/>
    <cellStyle name="Positive 4 17 6" xfId="37505" xr:uid="{00000000-0005-0000-0000-00008E920000}"/>
    <cellStyle name="Positive 4 17 6 2" xfId="37506" xr:uid="{00000000-0005-0000-0000-00008F920000}"/>
    <cellStyle name="Positive 4 17 6 2 2" xfId="37507" xr:uid="{00000000-0005-0000-0000-000090920000}"/>
    <cellStyle name="Positive 4 17 6 3" xfId="37508" xr:uid="{00000000-0005-0000-0000-000091920000}"/>
    <cellStyle name="Positive 4 17 7" xfId="37509" xr:uid="{00000000-0005-0000-0000-000092920000}"/>
    <cellStyle name="Positive 4 17 7 2" xfId="37510" xr:uid="{00000000-0005-0000-0000-000093920000}"/>
    <cellStyle name="Positive 4 17 7 2 2" xfId="37511" xr:uid="{00000000-0005-0000-0000-000094920000}"/>
    <cellStyle name="Positive 4 17 7 3" xfId="37512" xr:uid="{00000000-0005-0000-0000-000095920000}"/>
    <cellStyle name="Positive 4 17 8" xfId="37513" xr:uid="{00000000-0005-0000-0000-000096920000}"/>
    <cellStyle name="Positive 4 17 8 2" xfId="37514" xr:uid="{00000000-0005-0000-0000-000097920000}"/>
    <cellStyle name="Positive 4 17 9" xfId="37515" xr:uid="{00000000-0005-0000-0000-000098920000}"/>
    <cellStyle name="Positive 4 17 9 2" xfId="37516" xr:uid="{00000000-0005-0000-0000-000099920000}"/>
    <cellStyle name="Positive 4 18" xfId="37517" xr:uid="{00000000-0005-0000-0000-00009A920000}"/>
    <cellStyle name="Positive 4 18 10" xfId="37518" xr:uid="{00000000-0005-0000-0000-00009B920000}"/>
    <cellStyle name="Positive 4 18 10 2" xfId="37519" xr:uid="{00000000-0005-0000-0000-00009C920000}"/>
    <cellStyle name="Positive 4 18 11" xfId="37520" xr:uid="{00000000-0005-0000-0000-00009D920000}"/>
    <cellStyle name="Positive 4 18 11 2" xfId="37521" xr:uid="{00000000-0005-0000-0000-00009E920000}"/>
    <cellStyle name="Positive 4 18 12" xfId="37522" xr:uid="{00000000-0005-0000-0000-00009F920000}"/>
    <cellStyle name="Positive 4 18 12 2" xfId="37523" xr:uid="{00000000-0005-0000-0000-0000A0920000}"/>
    <cellStyle name="Positive 4 18 13" xfId="37524" xr:uid="{00000000-0005-0000-0000-0000A1920000}"/>
    <cellStyle name="Positive 4 18 13 2" xfId="37525" xr:uid="{00000000-0005-0000-0000-0000A2920000}"/>
    <cellStyle name="Positive 4 18 14" xfId="37526" xr:uid="{00000000-0005-0000-0000-0000A3920000}"/>
    <cellStyle name="Positive 4 18 14 2" xfId="37527" xr:uid="{00000000-0005-0000-0000-0000A4920000}"/>
    <cellStyle name="Positive 4 18 15" xfId="37528" xr:uid="{00000000-0005-0000-0000-0000A5920000}"/>
    <cellStyle name="Positive 4 18 15 2" xfId="37529" xr:uid="{00000000-0005-0000-0000-0000A6920000}"/>
    <cellStyle name="Positive 4 18 16" xfId="37530" xr:uid="{00000000-0005-0000-0000-0000A7920000}"/>
    <cellStyle name="Positive 4 18 16 2" xfId="37531" xr:uid="{00000000-0005-0000-0000-0000A8920000}"/>
    <cellStyle name="Positive 4 18 17" xfId="37532" xr:uid="{00000000-0005-0000-0000-0000A9920000}"/>
    <cellStyle name="Positive 4 18 17 2" xfId="37533" xr:uid="{00000000-0005-0000-0000-0000AA920000}"/>
    <cellStyle name="Positive 4 18 18" xfId="37534" xr:uid="{00000000-0005-0000-0000-0000AB920000}"/>
    <cellStyle name="Positive 4 18 18 2" xfId="37535" xr:uid="{00000000-0005-0000-0000-0000AC920000}"/>
    <cellStyle name="Positive 4 18 19" xfId="37536" xr:uid="{00000000-0005-0000-0000-0000AD920000}"/>
    <cellStyle name="Positive 4 18 19 2" xfId="37537" xr:uid="{00000000-0005-0000-0000-0000AE920000}"/>
    <cellStyle name="Positive 4 18 2" xfId="37538" xr:uid="{00000000-0005-0000-0000-0000AF920000}"/>
    <cellStyle name="Positive 4 18 2 10" xfId="37539" xr:uid="{00000000-0005-0000-0000-0000B0920000}"/>
    <cellStyle name="Positive 4 18 2 10 2" xfId="37540" xr:uid="{00000000-0005-0000-0000-0000B1920000}"/>
    <cellStyle name="Positive 4 18 2 11" xfId="37541" xr:uid="{00000000-0005-0000-0000-0000B2920000}"/>
    <cellStyle name="Positive 4 18 2 11 2" xfId="37542" xr:uid="{00000000-0005-0000-0000-0000B3920000}"/>
    <cellStyle name="Positive 4 18 2 12" xfId="37543" xr:uid="{00000000-0005-0000-0000-0000B4920000}"/>
    <cellStyle name="Positive 4 18 2 12 2" xfId="37544" xr:uid="{00000000-0005-0000-0000-0000B5920000}"/>
    <cellStyle name="Positive 4 18 2 13" xfId="37545" xr:uid="{00000000-0005-0000-0000-0000B6920000}"/>
    <cellStyle name="Positive 4 18 2 13 2" xfId="37546" xr:uid="{00000000-0005-0000-0000-0000B7920000}"/>
    <cellStyle name="Positive 4 18 2 14" xfId="37547" xr:uid="{00000000-0005-0000-0000-0000B8920000}"/>
    <cellStyle name="Positive 4 18 2 14 2" xfId="37548" xr:uid="{00000000-0005-0000-0000-0000B9920000}"/>
    <cellStyle name="Positive 4 18 2 15" xfId="37549" xr:uid="{00000000-0005-0000-0000-0000BA920000}"/>
    <cellStyle name="Positive 4 18 2 15 2" xfId="37550" xr:uid="{00000000-0005-0000-0000-0000BB920000}"/>
    <cellStyle name="Positive 4 18 2 16" xfId="37551" xr:uid="{00000000-0005-0000-0000-0000BC920000}"/>
    <cellStyle name="Positive 4 18 2 16 2" xfId="37552" xr:uid="{00000000-0005-0000-0000-0000BD920000}"/>
    <cellStyle name="Positive 4 18 2 17" xfId="37553" xr:uid="{00000000-0005-0000-0000-0000BE920000}"/>
    <cellStyle name="Positive 4 18 2 2" xfId="37554" xr:uid="{00000000-0005-0000-0000-0000BF920000}"/>
    <cellStyle name="Positive 4 18 2 2 2" xfId="37555" xr:uid="{00000000-0005-0000-0000-0000C0920000}"/>
    <cellStyle name="Positive 4 18 2 3" xfId="37556" xr:uid="{00000000-0005-0000-0000-0000C1920000}"/>
    <cellStyle name="Positive 4 18 2 3 2" xfId="37557" xr:uid="{00000000-0005-0000-0000-0000C2920000}"/>
    <cellStyle name="Positive 4 18 2 4" xfId="37558" xr:uid="{00000000-0005-0000-0000-0000C3920000}"/>
    <cellStyle name="Positive 4 18 2 4 2" xfId="37559" xr:uid="{00000000-0005-0000-0000-0000C4920000}"/>
    <cellStyle name="Positive 4 18 2 5" xfId="37560" xr:uid="{00000000-0005-0000-0000-0000C5920000}"/>
    <cellStyle name="Positive 4 18 2 5 2" xfId="37561" xr:uid="{00000000-0005-0000-0000-0000C6920000}"/>
    <cellStyle name="Positive 4 18 2 6" xfId="37562" xr:uid="{00000000-0005-0000-0000-0000C7920000}"/>
    <cellStyle name="Positive 4 18 2 6 2" xfId="37563" xr:uid="{00000000-0005-0000-0000-0000C8920000}"/>
    <cellStyle name="Positive 4 18 2 7" xfId="37564" xr:uid="{00000000-0005-0000-0000-0000C9920000}"/>
    <cellStyle name="Positive 4 18 2 7 2" xfId="37565" xr:uid="{00000000-0005-0000-0000-0000CA920000}"/>
    <cellStyle name="Positive 4 18 2 8" xfId="37566" xr:uid="{00000000-0005-0000-0000-0000CB920000}"/>
    <cellStyle name="Positive 4 18 2 8 2" xfId="37567" xr:uid="{00000000-0005-0000-0000-0000CC920000}"/>
    <cellStyle name="Positive 4 18 2 9" xfId="37568" xr:uid="{00000000-0005-0000-0000-0000CD920000}"/>
    <cellStyle name="Positive 4 18 2 9 2" xfId="37569" xr:uid="{00000000-0005-0000-0000-0000CE920000}"/>
    <cellStyle name="Positive 4 18 20" xfId="37570" xr:uid="{00000000-0005-0000-0000-0000CF920000}"/>
    <cellStyle name="Positive 4 18 3" xfId="37571" xr:uid="{00000000-0005-0000-0000-0000D0920000}"/>
    <cellStyle name="Positive 4 18 3 2" xfId="37572" xr:uid="{00000000-0005-0000-0000-0000D1920000}"/>
    <cellStyle name="Positive 4 18 3 2 2" xfId="37573" xr:uid="{00000000-0005-0000-0000-0000D2920000}"/>
    <cellStyle name="Positive 4 18 3 3" xfId="37574" xr:uid="{00000000-0005-0000-0000-0000D3920000}"/>
    <cellStyle name="Positive 4 18 4" xfId="37575" xr:uid="{00000000-0005-0000-0000-0000D4920000}"/>
    <cellStyle name="Positive 4 18 4 2" xfId="37576" xr:uid="{00000000-0005-0000-0000-0000D5920000}"/>
    <cellStyle name="Positive 4 18 4 2 2" xfId="37577" xr:uid="{00000000-0005-0000-0000-0000D6920000}"/>
    <cellStyle name="Positive 4 18 4 3" xfId="37578" xr:uid="{00000000-0005-0000-0000-0000D7920000}"/>
    <cellStyle name="Positive 4 18 5" xfId="37579" xr:uid="{00000000-0005-0000-0000-0000D8920000}"/>
    <cellStyle name="Positive 4 18 5 2" xfId="37580" xr:uid="{00000000-0005-0000-0000-0000D9920000}"/>
    <cellStyle name="Positive 4 18 6" xfId="37581" xr:uid="{00000000-0005-0000-0000-0000DA920000}"/>
    <cellStyle name="Positive 4 18 6 2" xfId="37582" xr:uid="{00000000-0005-0000-0000-0000DB920000}"/>
    <cellStyle name="Positive 4 18 7" xfId="37583" xr:uid="{00000000-0005-0000-0000-0000DC920000}"/>
    <cellStyle name="Positive 4 18 7 2" xfId="37584" xr:uid="{00000000-0005-0000-0000-0000DD920000}"/>
    <cellStyle name="Positive 4 18 8" xfId="37585" xr:uid="{00000000-0005-0000-0000-0000DE920000}"/>
    <cellStyle name="Positive 4 18 8 2" xfId="37586" xr:uid="{00000000-0005-0000-0000-0000DF920000}"/>
    <cellStyle name="Positive 4 18 9" xfId="37587" xr:uid="{00000000-0005-0000-0000-0000E0920000}"/>
    <cellStyle name="Positive 4 18 9 2" xfId="37588" xr:uid="{00000000-0005-0000-0000-0000E1920000}"/>
    <cellStyle name="Positive 4 19" xfId="37589" xr:uid="{00000000-0005-0000-0000-0000E2920000}"/>
    <cellStyle name="Positive 4 19 10" xfId="37590" xr:uid="{00000000-0005-0000-0000-0000E3920000}"/>
    <cellStyle name="Positive 4 19 10 2" xfId="37591" xr:uid="{00000000-0005-0000-0000-0000E4920000}"/>
    <cellStyle name="Positive 4 19 11" xfId="37592" xr:uid="{00000000-0005-0000-0000-0000E5920000}"/>
    <cellStyle name="Positive 4 19 11 2" xfId="37593" xr:uid="{00000000-0005-0000-0000-0000E6920000}"/>
    <cellStyle name="Positive 4 19 12" xfId="37594" xr:uid="{00000000-0005-0000-0000-0000E7920000}"/>
    <cellStyle name="Positive 4 19 12 2" xfId="37595" xr:uid="{00000000-0005-0000-0000-0000E8920000}"/>
    <cellStyle name="Positive 4 19 13" xfId="37596" xr:uid="{00000000-0005-0000-0000-0000E9920000}"/>
    <cellStyle name="Positive 4 19 13 2" xfId="37597" xr:uid="{00000000-0005-0000-0000-0000EA920000}"/>
    <cellStyle name="Positive 4 19 14" xfId="37598" xr:uid="{00000000-0005-0000-0000-0000EB920000}"/>
    <cellStyle name="Positive 4 19 14 2" xfId="37599" xr:uid="{00000000-0005-0000-0000-0000EC920000}"/>
    <cellStyle name="Positive 4 19 15" xfId="37600" xr:uid="{00000000-0005-0000-0000-0000ED920000}"/>
    <cellStyle name="Positive 4 19 15 2" xfId="37601" xr:uid="{00000000-0005-0000-0000-0000EE920000}"/>
    <cellStyle name="Positive 4 19 16" xfId="37602" xr:uid="{00000000-0005-0000-0000-0000EF920000}"/>
    <cellStyle name="Positive 4 19 16 2" xfId="37603" xr:uid="{00000000-0005-0000-0000-0000F0920000}"/>
    <cellStyle name="Positive 4 19 17" xfId="37604" xr:uid="{00000000-0005-0000-0000-0000F1920000}"/>
    <cellStyle name="Positive 4 19 17 2" xfId="37605" xr:uid="{00000000-0005-0000-0000-0000F2920000}"/>
    <cellStyle name="Positive 4 19 18" xfId="37606" xr:uid="{00000000-0005-0000-0000-0000F3920000}"/>
    <cellStyle name="Positive 4 19 18 2" xfId="37607" xr:uid="{00000000-0005-0000-0000-0000F4920000}"/>
    <cellStyle name="Positive 4 19 19" xfId="37608" xr:uid="{00000000-0005-0000-0000-0000F5920000}"/>
    <cellStyle name="Positive 4 19 19 2" xfId="37609" xr:uid="{00000000-0005-0000-0000-0000F6920000}"/>
    <cellStyle name="Positive 4 19 2" xfId="37610" xr:uid="{00000000-0005-0000-0000-0000F7920000}"/>
    <cellStyle name="Positive 4 19 2 10" xfId="37611" xr:uid="{00000000-0005-0000-0000-0000F8920000}"/>
    <cellStyle name="Positive 4 19 2 10 2" xfId="37612" xr:uid="{00000000-0005-0000-0000-0000F9920000}"/>
    <cellStyle name="Positive 4 19 2 11" xfId="37613" xr:uid="{00000000-0005-0000-0000-0000FA920000}"/>
    <cellStyle name="Positive 4 19 2 11 2" xfId="37614" xr:uid="{00000000-0005-0000-0000-0000FB920000}"/>
    <cellStyle name="Positive 4 19 2 12" xfId="37615" xr:uid="{00000000-0005-0000-0000-0000FC920000}"/>
    <cellStyle name="Positive 4 19 2 12 2" xfId="37616" xr:uid="{00000000-0005-0000-0000-0000FD920000}"/>
    <cellStyle name="Positive 4 19 2 13" xfId="37617" xr:uid="{00000000-0005-0000-0000-0000FE920000}"/>
    <cellStyle name="Positive 4 19 2 13 2" xfId="37618" xr:uid="{00000000-0005-0000-0000-0000FF920000}"/>
    <cellStyle name="Positive 4 19 2 14" xfId="37619" xr:uid="{00000000-0005-0000-0000-000000930000}"/>
    <cellStyle name="Positive 4 19 2 14 2" xfId="37620" xr:uid="{00000000-0005-0000-0000-000001930000}"/>
    <cellStyle name="Positive 4 19 2 15" xfId="37621" xr:uid="{00000000-0005-0000-0000-000002930000}"/>
    <cellStyle name="Positive 4 19 2 15 2" xfId="37622" xr:uid="{00000000-0005-0000-0000-000003930000}"/>
    <cellStyle name="Positive 4 19 2 16" xfId="37623" xr:uid="{00000000-0005-0000-0000-000004930000}"/>
    <cellStyle name="Positive 4 19 2 16 2" xfId="37624" xr:uid="{00000000-0005-0000-0000-000005930000}"/>
    <cellStyle name="Positive 4 19 2 17" xfId="37625" xr:uid="{00000000-0005-0000-0000-000006930000}"/>
    <cellStyle name="Positive 4 19 2 2" xfId="37626" xr:uid="{00000000-0005-0000-0000-000007930000}"/>
    <cellStyle name="Positive 4 19 2 2 2" xfId="37627" xr:uid="{00000000-0005-0000-0000-000008930000}"/>
    <cellStyle name="Positive 4 19 2 3" xfId="37628" xr:uid="{00000000-0005-0000-0000-000009930000}"/>
    <cellStyle name="Positive 4 19 2 3 2" xfId="37629" xr:uid="{00000000-0005-0000-0000-00000A930000}"/>
    <cellStyle name="Positive 4 19 2 4" xfId="37630" xr:uid="{00000000-0005-0000-0000-00000B930000}"/>
    <cellStyle name="Positive 4 19 2 4 2" xfId="37631" xr:uid="{00000000-0005-0000-0000-00000C930000}"/>
    <cellStyle name="Positive 4 19 2 5" xfId="37632" xr:uid="{00000000-0005-0000-0000-00000D930000}"/>
    <cellStyle name="Positive 4 19 2 5 2" xfId="37633" xr:uid="{00000000-0005-0000-0000-00000E930000}"/>
    <cellStyle name="Positive 4 19 2 6" xfId="37634" xr:uid="{00000000-0005-0000-0000-00000F930000}"/>
    <cellStyle name="Positive 4 19 2 6 2" xfId="37635" xr:uid="{00000000-0005-0000-0000-000010930000}"/>
    <cellStyle name="Positive 4 19 2 7" xfId="37636" xr:uid="{00000000-0005-0000-0000-000011930000}"/>
    <cellStyle name="Positive 4 19 2 7 2" xfId="37637" xr:uid="{00000000-0005-0000-0000-000012930000}"/>
    <cellStyle name="Positive 4 19 2 8" xfId="37638" xr:uid="{00000000-0005-0000-0000-000013930000}"/>
    <cellStyle name="Positive 4 19 2 8 2" xfId="37639" xr:uid="{00000000-0005-0000-0000-000014930000}"/>
    <cellStyle name="Positive 4 19 2 9" xfId="37640" xr:uid="{00000000-0005-0000-0000-000015930000}"/>
    <cellStyle name="Positive 4 19 2 9 2" xfId="37641" xr:uid="{00000000-0005-0000-0000-000016930000}"/>
    <cellStyle name="Positive 4 19 20" xfId="37642" xr:uid="{00000000-0005-0000-0000-000017930000}"/>
    <cellStyle name="Positive 4 19 3" xfId="37643" xr:uid="{00000000-0005-0000-0000-000018930000}"/>
    <cellStyle name="Positive 4 19 3 2" xfId="37644" xr:uid="{00000000-0005-0000-0000-000019930000}"/>
    <cellStyle name="Positive 4 19 3 2 2" xfId="37645" xr:uid="{00000000-0005-0000-0000-00001A930000}"/>
    <cellStyle name="Positive 4 19 3 3" xfId="37646" xr:uid="{00000000-0005-0000-0000-00001B930000}"/>
    <cellStyle name="Positive 4 19 4" xfId="37647" xr:uid="{00000000-0005-0000-0000-00001C930000}"/>
    <cellStyle name="Positive 4 19 4 2" xfId="37648" xr:uid="{00000000-0005-0000-0000-00001D930000}"/>
    <cellStyle name="Positive 4 19 4 2 2" xfId="37649" xr:uid="{00000000-0005-0000-0000-00001E930000}"/>
    <cellStyle name="Positive 4 19 4 3" xfId="37650" xr:uid="{00000000-0005-0000-0000-00001F930000}"/>
    <cellStyle name="Positive 4 19 5" xfId="37651" xr:uid="{00000000-0005-0000-0000-000020930000}"/>
    <cellStyle name="Positive 4 19 5 2" xfId="37652" xr:uid="{00000000-0005-0000-0000-000021930000}"/>
    <cellStyle name="Positive 4 19 6" xfId="37653" xr:uid="{00000000-0005-0000-0000-000022930000}"/>
    <cellStyle name="Positive 4 19 6 2" xfId="37654" xr:uid="{00000000-0005-0000-0000-000023930000}"/>
    <cellStyle name="Positive 4 19 7" xfId="37655" xr:uid="{00000000-0005-0000-0000-000024930000}"/>
    <cellStyle name="Positive 4 19 7 2" xfId="37656" xr:uid="{00000000-0005-0000-0000-000025930000}"/>
    <cellStyle name="Positive 4 19 8" xfId="37657" xr:uid="{00000000-0005-0000-0000-000026930000}"/>
    <cellStyle name="Positive 4 19 8 2" xfId="37658" xr:uid="{00000000-0005-0000-0000-000027930000}"/>
    <cellStyle name="Positive 4 19 9" xfId="37659" xr:uid="{00000000-0005-0000-0000-000028930000}"/>
    <cellStyle name="Positive 4 19 9 2" xfId="37660" xr:uid="{00000000-0005-0000-0000-000029930000}"/>
    <cellStyle name="Positive 4 2" xfId="37661" xr:uid="{00000000-0005-0000-0000-00002A930000}"/>
    <cellStyle name="Positive 4 2 10" xfId="37662" xr:uid="{00000000-0005-0000-0000-00002B930000}"/>
    <cellStyle name="Positive 4 2 10 10" xfId="37663" xr:uid="{00000000-0005-0000-0000-00002C930000}"/>
    <cellStyle name="Positive 4 2 10 10 2" xfId="37664" xr:uid="{00000000-0005-0000-0000-00002D930000}"/>
    <cellStyle name="Positive 4 2 10 11" xfId="37665" xr:uid="{00000000-0005-0000-0000-00002E930000}"/>
    <cellStyle name="Positive 4 2 10 11 2" xfId="37666" xr:uid="{00000000-0005-0000-0000-00002F930000}"/>
    <cellStyle name="Positive 4 2 10 12" xfId="37667" xr:uid="{00000000-0005-0000-0000-000030930000}"/>
    <cellStyle name="Positive 4 2 10 12 2" xfId="37668" xr:uid="{00000000-0005-0000-0000-000031930000}"/>
    <cellStyle name="Positive 4 2 10 13" xfId="37669" xr:uid="{00000000-0005-0000-0000-000032930000}"/>
    <cellStyle name="Positive 4 2 10 13 2" xfId="37670" xr:uid="{00000000-0005-0000-0000-000033930000}"/>
    <cellStyle name="Positive 4 2 10 14" xfId="37671" xr:uid="{00000000-0005-0000-0000-000034930000}"/>
    <cellStyle name="Positive 4 2 10 14 2" xfId="37672" xr:uid="{00000000-0005-0000-0000-000035930000}"/>
    <cellStyle name="Positive 4 2 10 15" xfId="37673" xr:uid="{00000000-0005-0000-0000-000036930000}"/>
    <cellStyle name="Positive 4 2 10 15 2" xfId="37674" xr:uid="{00000000-0005-0000-0000-000037930000}"/>
    <cellStyle name="Positive 4 2 10 16" xfId="37675" xr:uid="{00000000-0005-0000-0000-000038930000}"/>
    <cellStyle name="Positive 4 2 10 16 2" xfId="37676" xr:uid="{00000000-0005-0000-0000-000039930000}"/>
    <cellStyle name="Positive 4 2 10 17" xfId="37677" xr:uid="{00000000-0005-0000-0000-00003A930000}"/>
    <cellStyle name="Positive 4 2 10 17 2" xfId="37678" xr:uid="{00000000-0005-0000-0000-00003B930000}"/>
    <cellStyle name="Positive 4 2 10 18" xfId="37679" xr:uid="{00000000-0005-0000-0000-00003C930000}"/>
    <cellStyle name="Positive 4 2 10 18 2" xfId="37680" xr:uid="{00000000-0005-0000-0000-00003D930000}"/>
    <cellStyle name="Positive 4 2 10 19" xfId="37681" xr:uid="{00000000-0005-0000-0000-00003E930000}"/>
    <cellStyle name="Positive 4 2 10 19 2" xfId="37682" xr:uid="{00000000-0005-0000-0000-00003F930000}"/>
    <cellStyle name="Positive 4 2 10 2" xfId="37683" xr:uid="{00000000-0005-0000-0000-000040930000}"/>
    <cellStyle name="Positive 4 2 10 2 10" xfId="37684" xr:uid="{00000000-0005-0000-0000-000041930000}"/>
    <cellStyle name="Positive 4 2 10 2 10 2" xfId="37685" xr:uid="{00000000-0005-0000-0000-000042930000}"/>
    <cellStyle name="Positive 4 2 10 2 11" xfId="37686" xr:uid="{00000000-0005-0000-0000-000043930000}"/>
    <cellStyle name="Positive 4 2 10 2 11 2" xfId="37687" xr:uid="{00000000-0005-0000-0000-000044930000}"/>
    <cellStyle name="Positive 4 2 10 2 12" xfId="37688" xr:uid="{00000000-0005-0000-0000-000045930000}"/>
    <cellStyle name="Positive 4 2 10 2 12 2" xfId="37689" xr:uid="{00000000-0005-0000-0000-000046930000}"/>
    <cellStyle name="Positive 4 2 10 2 13" xfId="37690" xr:uid="{00000000-0005-0000-0000-000047930000}"/>
    <cellStyle name="Positive 4 2 10 2 13 2" xfId="37691" xr:uid="{00000000-0005-0000-0000-000048930000}"/>
    <cellStyle name="Positive 4 2 10 2 14" xfId="37692" xr:uid="{00000000-0005-0000-0000-000049930000}"/>
    <cellStyle name="Positive 4 2 10 2 14 2" xfId="37693" xr:uid="{00000000-0005-0000-0000-00004A930000}"/>
    <cellStyle name="Positive 4 2 10 2 15" xfId="37694" xr:uid="{00000000-0005-0000-0000-00004B930000}"/>
    <cellStyle name="Positive 4 2 10 2 15 2" xfId="37695" xr:uid="{00000000-0005-0000-0000-00004C930000}"/>
    <cellStyle name="Positive 4 2 10 2 16" xfId="37696" xr:uid="{00000000-0005-0000-0000-00004D930000}"/>
    <cellStyle name="Positive 4 2 10 2 16 2" xfId="37697" xr:uid="{00000000-0005-0000-0000-00004E930000}"/>
    <cellStyle name="Positive 4 2 10 2 17" xfId="37698" xr:uid="{00000000-0005-0000-0000-00004F930000}"/>
    <cellStyle name="Positive 4 2 10 2 17 2" xfId="37699" xr:uid="{00000000-0005-0000-0000-000050930000}"/>
    <cellStyle name="Positive 4 2 10 2 18" xfId="37700" xr:uid="{00000000-0005-0000-0000-000051930000}"/>
    <cellStyle name="Positive 4 2 10 2 18 2" xfId="37701" xr:uid="{00000000-0005-0000-0000-000052930000}"/>
    <cellStyle name="Positive 4 2 10 2 19" xfId="37702" xr:uid="{00000000-0005-0000-0000-000053930000}"/>
    <cellStyle name="Positive 4 2 10 2 19 2" xfId="37703" xr:uid="{00000000-0005-0000-0000-000054930000}"/>
    <cellStyle name="Positive 4 2 10 2 2" xfId="37704" xr:uid="{00000000-0005-0000-0000-000055930000}"/>
    <cellStyle name="Positive 4 2 10 2 2 10" xfId="37705" xr:uid="{00000000-0005-0000-0000-000056930000}"/>
    <cellStyle name="Positive 4 2 10 2 2 10 2" xfId="37706" xr:uid="{00000000-0005-0000-0000-000057930000}"/>
    <cellStyle name="Positive 4 2 10 2 2 11" xfId="37707" xr:uid="{00000000-0005-0000-0000-000058930000}"/>
    <cellStyle name="Positive 4 2 10 2 2 11 2" xfId="37708" xr:uid="{00000000-0005-0000-0000-000059930000}"/>
    <cellStyle name="Positive 4 2 10 2 2 12" xfId="37709" xr:uid="{00000000-0005-0000-0000-00005A930000}"/>
    <cellStyle name="Positive 4 2 10 2 2 12 2" xfId="37710" xr:uid="{00000000-0005-0000-0000-00005B930000}"/>
    <cellStyle name="Positive 4 2 10 2 2 13" xfId="37711" xr:uid="{00000000-0005-0000-0000-00005C930000}"/>
    <cellStyle name="Positive 4 2 10 2 2 13 2" xfId="37712" xr:uid="{00000000-0005-0000-0000-00005D930000}"/>
    <cellStyle name="Positive 4 2 10 2 2 14" xfId="37713" xr:uid="{00000000-0005-0000-0000-00005E930000}"/>
    <cellStyle name="Positive 4 2 10 2 2 14 2" xfId="37714" xr:uid="{00000000-0005-0000-0000-00005F930000}"/>
    <cellStyle name="Positive 4 2 10 2 2 15" xfId="37715" xr:uid="{00000000-0005-0000-0000-000060930000}"/>
    <cellStyle name="Positive 4 2 10 2 2 15 2" xfId="37716" xr:uid="{00000000-0005-0000-0000-000061930000}"/>
    <cellStyle name="Positive 4 2 10 2 2 16" xfId="37717" xr:uid="{00000000-0005-0000-0000-000062930000}"/>
    <cellStyle name="Positive 4 2 10 2 2 16 2" xfId="37718" xr:uid="{00000000-0005-0000-0000-000063930000}"/>
    <cellStyle name="Positive 4 2 10 2 2 17" xfId="37719" xr:uid="{00000000-0005-0000-0000-000064930000}"/>
    <cellStyle name="Positive 4 2 10 2 2 2" xfId="37720" xr:uid="{00000000-0005-0000-0000-000065930000}"/>
    <cellStyle name="Positive 4 2 10 2 2 2 2" xfId="37721" xr:uid="{00000000-0005-0000-0000-000066930000}"/>
    <cellStyle name="Positive 4 2 10 2 2 3" xfId="37722" xr:uid="{00000000-0005-0000-0000-000067930000}"/>
    <cellStyle name="Positive 4 2 10 2 2 3 2" xfId="37723" xr:uid="{00000000-0005-0000-0000-000068930000}"/>
    <cellStyle name="Positive 4 2 10 2 2 4" xfId="37724" xr:uid="{00000000-0005-0000-0000-000069930000}"/>
    <cellStyle name="Positive 4 2 10 2 2 4 2" xfId="37725" xr:uid="{00000000-0005-0000-0000-00006A930000}"/>
    <cellStyle name="Positive 4 2 10 2 2 5" xfId="37726" xr:uid="{00000000-0005-0000-0000-00006B930000}"/>
    <cellStyle name="Positive 4 2 10 2 2 5 2" xfId="37727" xr:uid="{00000000-0005-0000-0000-00006C930000}"/>
    <cellStyle name="Positive 4 2 10 2 2 6" xfId="37728" xr:uid="{00000000-0005-0000-0000-00006D930000}"/>
    <cellStyle name="Positive 4 2 10 2 2 6 2" xfId="37729" xr:uid="{00000000-0005-0000-0000-00006E930000}"/>
    <cellStyle name="Positive 4 2 10 2 2 7" xfId="37730" xr:uid="{00000000-0005-0000-0000-00006F930000}"/>
    <cellStyle name="Positive 4 2 10 2 2 7 2" xfId="37731" xr:uid="{00000000-0005-0000-0000-000070930000}"/>
    <cellStyle name="Positive 4 2 10 2 2 8" xfId="37732" xr:uid="{00000000-0005-0000-0000-000071930000}"/>
    <cellStyle name="Positive 4 2 10 2 2 8 2" xfId="37733" xr:uid="{00000000-0005-0000-0000-000072930000}"/>
    <cellStyle name="Positive 4 2 10 2 2 9" xfId="37734" xr:uid="{00000000-0005-0000-0000-000073930000}"/>
    <cellStyle name="Positive 4 2 10 2 2 9 2" xfId="37735" xr:uid="{00000000-0005-0000-0000-000074930000}"/>
    <cellStyle name="Positive 4 2 10 2 20" xfId="37736" xr:uid="{00000000-0005-0000-0000-000075930000}"/>
    <cellStyle name="Positive 4 2 10 2 3" xfId="37737" xr:uid="{00000000-0005-0000-0000-000076930000}"/>
    <cellStyle name="Positive 4 2 10 2 3 2" xfId="37738" xr:uid="{00000000-0005-0000-0000-000077930000}"/>
    <cellStyle name="Positive 4 2 10 2 3 2 2" xfId="37739" xr:uid="{00000000-0005-0000-0000-000078930000}"/>
    <cellStyle name="Positive 4 2 10 2 3 3" xfId="37740" xr:uid="{00000000-0005-0000-0000-000079930000}"/>
    <cellStyle name="Positive 4 2 10 2 4" xfId="37741" xr:uid="{00000000-0005-0000-0000-00007A930000}"/>
    <cellStyle name="Positive 4 2 10 2 4 2" xfId="37742" xr:uid="{00000000-0005-0000-0000-00007B930000}"/>
    <cellStyle name="Positive 4 2 10 2 4 2 2" xfId="37743" xr:uid="{00000000-0005-0000-0000-00007C930000}"/>
    <cellStyle name="Positive 4 2 10 2 4 3" xfId="37744" xr:uid="{00000000-0005-0000-0000-00007D930000}"/>
    <cellStyle name="Positive 4 2 10 2 5" xfId="37745" xr:uid="{00000000-0005-0000-0000-00007E930000}"/>
    <cellStyle name="Positive 4 2 10 2 5 2" xfId="37746" xr:uid="{00000000-0005-0000-0000-00007F930000}"/>
    <cellStyle name="Positive 4 2 10 2 6" xfId="37747" xr:uid="{00000000-0005-0000-0000-000080930000}"/>
    <cellStyle name="Positive 4 2 10 2 6 2" xfId="37748" xr:uid="{00000000-0005-0000-0000-000081930000}"/>
    <cellStyle name="Positive 4 2 10 2 7" xfId="37749" xr:uid="{00000000-0005-0000-0000-000082930000}"/>
    <cellStyle name="Positive 4 2 10 2 7 2" xfId="37750" xr:uid="{00000000-0005-0000-0000-000083930000}"/>
    <cellStyle name="Positive 4 2 10 2 8" xfId="37751" xr:uid="{00000000-0005-0000-0000-000084930000}"/>
    <cellStyle name="Positive 4 2 10 2 8 2" xfId="37752" xr:uid="{00000000-0005-0000-0000-000085930000}"/>
    <cellStyle name="Positive 4 2 10 2 9" xfId="37753" xr:uid="{00000000-0005-0000-0000-000086930000}"/>
    <cellStyle name="Positive 4 2 10 2 9 2" xfId="37754" xr:uid="{00000000-0005-0000-0000-000087930000}"/>
    <cellStyle name="Positive 4 2 10 20" xfId="37755" xr:uid="{00000000-0005-0000-0000-000088930000}"/>
    <cellStyle name="Positive 4 2 10 20 2" xfId="37756" xr:uid="{00000000-0005-0000-0000-000089930000}"/>
    <cellStyle name="Positive 4 2 10 21" xfId="37757" xr:uid="{00000000-0005-0000-0000-00008A930000}"/>
    <cellStyle name="Positive 4 2 10 21 2" xfId="37758" xr:uid="{00000000-0005-0000-0000-00008B930000}"/>
    <cellStyle name="Positive 4 2 10 22" xfId="37759" xr:uid="{00000000-0005-0000-0000-00008C930000}"/>
    <cellStyle name="Positive 4 2 10 22 2" xfId="37760" xr:uid="{00000000-0005-0000-0000-00008D930000}"/>
    <cellStyle name="Positive 4 2 10 23" xfId="37761" xr:uid="{00000000-0005-0000-0000-00008E930000}"/>
    <cellStyle name="Positive 4 2 10 3" xfId="37762" xr:uid="{00000000-0005-0000-0000-00008F930000}"/>
    <cellStyle name="Positive 4 2 10 3 10" xfId="37763" xr:uid="{00000000-0005-0000-0000-000090930000}"/>
    <cellStyle name="Positive 4 2 10 3 10 2" xfId="37764" xr:uid="{00000000-0005-0000-0000-000091930000}"/>
    <cellStyle name="Positive 4 2 10 3 11" xfId="37765" xr:uid="{00000000-0005-0000-0000-000092930000}"/>
    <cellStyle name="Positive 4 2 10 3 11 2" xfId="37766" xr:uid="{00000000-0005-0000-0000-000093930000}"/>
    <cellStyle name="Positive 4 2 10 3 12" xfId="37767" xr:uid="{00000000-0005-0000-0000-000094930000}"/>
    <cellStyle name="Positive 4 2 10 3 12 2" xfId="37768" xr:uid="{00000000-0005-0000-0000-000095930000}"/>
    <cellStyle name="Positive 4 2 10 3 13" xfId="37769" xr:uid="{00000000-0005-0000-0000-000096930000}"/>
    <cellStyle name="Positive 4 2 10 3 13 2" xfId="37770" xr:uid="{00000000-0005-0000-0000-000097930000}"/>
    <cellStyle name="Positive 4 2 10 3 14" xfId="37771" xr:uid="{00000000-0005-0000-0000-000098930000}"/>
    <cellStyle name="Positive 4 2 10 3 14 2" xfId="37772" xr:uid="{00000000-0005-0000-0000-000099930000}"/>
    <cellStyle name="Positive 4 2 10 3 15" xfId="37773" xr:uid="{00000000-0005-0000-0000-00009A930000}"/>
    <cellStyle name="Positive 4 2 10 3 15 2" xfId="37774" xr:uid="{00000000-0005-0000-0000-00009B930000}"/>
    <cellStyle name="Positive 4 2 10 3 16" xfId="37775" xr:uid="{00000000-0005-0000-0000-00009C930000}"/>
    <cellStyle name="Positive 4 2 10 3 16 2" xfId="37776" xr:uid="{00000000-0005-0000-0000-00009D930000}"/>
    <cellStyle name="Positive 4 2 10 3 17" xfId="37777" xr:uid="{00000000-0005-0000-0000-00009E930000}"/>
    <cellStyle name="Positive 4 2 10 3 17 2" xfId="37778" xr:uid="{00000000-0005-0000-0000-00009F930000}"/>
    <cellStyle name="Positive 4 2 10 3 18" xfId="37779" xr:uid="{00000000-0005-0000-0000-0000A0930000}"/>
    <cellStyle name="Positive 4 2 10 3 18 2" xfId="37780" xr:uid="{00000000-0005-0000-0000-0000A1930000}"/>
    <cellStyle name="Positive 4 2 10 3 19" xfId="37781" xr:uid="{00000000-0005-0000-0000-0000A2930000}"/>
    <cellStyle name="Positive 4 2 10 3 19 2" xfId="37782" xr:uid="{00000000-0005-0000-0000-0000A3930000}"/>
    <cellStyle name="Positive 4 2 10 3 2" xfId="37783" xr:uid="{00000000-0005-0000-0000-0000A4930000}"/>
    <cellStyle name="Positive 4 2 10 3 2 10" xfId="37784" xr:uid="{00000000-0005-0000-0000-0000A5930000}"/>
    <cellStyle name="Positive 4 2 10 3 2 10 2" xfId="37785" xr:uid="{00000000-0005-0000-0000-0000A6930000}"/>
    <cellStyle name="Positive 4 2 10 3 2 11" xfId="37786" xr:uid="{00000000-0005-0000-0000-0000A7930000}"/>
    <cellStyle name="Positive 4 2 10 3 2 11 2" xfId="37787" xr:uid="{00000000-0005-0000-0000-0000A8930000}"/>
    <cellStyle name="Positive 4 2 10 3 2 12" xfId="37788" xr:uid="{00000000-0005-0000-0000-0000A9930000}"/>
    <cellStyle name="Positive 4 2 10 3 2 12 2" xfId="37789" xr:uid="{00000000-0005-0000-0000-0000AA930000}"/>
    <cellStyle name="Positive 4 2 10 3 2 13" xfId="37790" xr:uid="{00000000-0005-0000-0000-0000AB930000}"/>
    <cellStyle name="Positive 4 2 10 3 2 13 2" xfId="37791" xr:uid="{00000000-0005-0000-0000-0000AC930000}"/>
    <cellStyle name="Positive 4 2 10 3 2 14" xfId="37792" xr:uid="{00000000-0005-0000-0000-0000AD930000}"/>
    <cellStyle name="Positive 4 2 10 3 2 14 2" xfId="37793" xr:uid="{00000000-0005-0000-0000-0000AE930000}"/>
    <cellStyle name="Positive 4 2 10 3 2 15" xfId="37794" xr:uid="{00000000-0005-0000-0000-0000AF930000}"/>
    <cellStyle name="Positive 4 2 10 3 2 15 2" xfId="37795" xr:uid="{00000000-0005-0000-0000-0000B0930000}"/>
    <cellStyle name="Positive 4 2 10 3 2 16" xfId="37796" xr:uid="{00000000-0005-0000-0000-0000B1930000}"/>
    <cellStyle name="Positive 4 2 10 3 2 16 2" xfId="37797" xr:uid="{00000000-0005-0000-0000-0000B2930000}"/>
    <cellStyle name="Positive 4 2 10 3 2 17" xfId="37798" xr:uid="{00000000-0005-0000-0000-0000B3930000}"/>
    <cellStyle name="Positive 4 2 10 3 2 2" xfId="37799" xr:uid="{00000000-0005-0000-0000-0000B4930000}"/>
    <cellStyle name="Positive 4 2 10 3 2 2 2" xfId="37800" xr:uid="{00000000-0005-0000-0000-0000B5930000}"/>
    <cellStyle name="Positive 4 2 10 3 2 3" xfId="37801" xr:uid="{00000000-0005-0000-0000-0000B6930000}"/>
    <cellStyle name="Positive 4 2 10 3 2 3 2" xfId="37802" xr:uid="{00000000-0005-0000-0000-0000B7930000}"/>
    <cellStyle name="Positive 4 2 10 3 2 4" xfId="37803" xr:uid="{00000000-0005-0000-0000-0000B8930000}"/>
    <cellStyle name="Positive 4 2 10 3 2 4 2" xfId="37804" xr:uid="{00000000-0005-0000-0000-0000B9930000}"/>
    <cellStyle name="Positive 4 2 10 3 2 5" xfId="37805" xr:uid="{00000000-0005-0000-0000-0000BA930000}"/>
    <cellStyle name="Positive 4 2 10 3 2 5 2" xfId="37806" xr:uid="{00000000-0005-0000-0000-0000BB930000}"/>
    <cellStyle name="Positive 4 2 10 3 2 6" xfId="37807" xr:uid="{00000000-0005-0000-0000-0000BC930000}"/>
    <cellStyle name="Positive 4 2 10 3 2 6 2" xfId="37808" xr:uid="{00000000-0005-0000-0000-0000BD930000}"/>
    <cellStyle name="Positive 4 2 10 3 2 7" xfId="37809" xr:uid="{00000000-0005-0000-0000-0000BE930000}"/>
    <cellStyle name="Positive 4 2 10 3 2 7 2" xfId="37810" xr:uid="{00000000-0005-0000-0000-0000BF930000}"/>
    <cellStyle name="Positive 4 2 10 3 2 8" xfId="37811" xr:uid="{00000000-0005-0000-0000-0000C0930000}"/>
    <cellStyle name="Positive 4 2 10 3 2 8 2" xfId="37812" xr:uid="{00000000-0005-0000-0000-0000C1930000}"/>
    <cellStyle name="Positive 4 2 10 3 2 9" xfId="37813" xr:uid="{00000000-0005-0000-0000-0000C2930000}"/>
    <cellStyle name="Positive 4 2 10 3 2 9 2" xfId="37814" xr:uid="{00000000-0005-0000-0000-0000C3930000}"/>
    <cellStyle name="Positive 4 2 10 3 20" xfId="37815" xr:uid="{00000000-0005-0000-0000-0000C4930000}"/>
    <cellStyle name="Positive 4 2 10 3 3" xfId="37816" xr:uid="{00000000-0005-0000-0000-0000C5930000}"/>
    <cellStyle name="Positive 4 2 10 3 3 2" xfId="37817" xr:uid="{00000000-0005-0000-0000-0000C6930000}"/>
    <cellStyle name="Positive 4 2 10 3 3 2 2" xfId="37818" xr:uid="{00000000-0005-0000-0000-0000C7930000}"/>
    <cellStyle name="Positive 4 2 10 3 3 3" xfId="37819" xr:uid="{00000000-0005-0000-0000-0000C8930000}"/>
    <cellStyle name="Positive 4 2 10 3 4" xfId="37820" xr:uid="{00000000-0005-0000-0000-0000C9930000}"/>
    <cellStyle name="Positive 4 2 10 3 4 2" xfId="37821" xr:uid="{00000000-0005-0000-0000-0000CA930000}"/>
    <cellStyle name="Positive 4 2 10 3 4 2 2" xfId="37822" xr:uid="{00000000-0005-0000-0000-0000CB930000}"/>
    <cellStyle name="Positive 4 2 10 3 4 3" xfId="37823" xr:uid="{00000000-0005-0000-0000-0000CC930000}"/>
    <cellStyle name="Positive 4 2 10 3 5" xfId="37824" xr:uid="{00000000-0005-0000-0000-0000CD930000}"/>
    <cellStyle name="Positive 4 2 10 3 5 2" xfId="37825" xr:uid="{00000000-0005-0000-0000-0000CE930000}"/>
    <cellStyle name="Positive 4 2 10 3 6" xfId="37826" xr:uid="{00000000-0005-0000-0000-0000CF930000}"/>
    <cellStyle name="Positive 4 2 10 3 6 2" xfId="37827" xr:uid="{00000000-0005-0000-0000-0000D0930000}"/>
    <cellStyle name="Positive 4 2 10 3 7" xfId="37828" xr:uid="{00000000-0005-0000-0000-0000D1930000}"/>
    <cellStyle name="Positive 4 2 10 3 7 2" xfId="37829" xr:uid="{00000000-0005-0000-0000-0000D2930000}"/>
    <cellStyle name="Positive 4 2 10 3 8" xfId="37830" xr:uid="{00000000-0005-0000-0000-0000D3930000}"/>
    <cellStyle name="Positive 4 2 10 3 8 2" xfId="37831" xr:uid="{00000000-0005-0000-0000-0000D4930000}"/>
    <cellStyle name="Positive 4 2 10 3 9" xfId="37832" xr:uid="{00000000-0005-0000-0000-0000D5930000}"/>
    <cellStyle name="Positive 4 2 10 3 9 2" xfId="37833" xr:uid="{00000000-0005-0000-0000-0000D6930000}"/>
    <cellStyle name="Positive 4 2 10 4" xfId="37834" xr:uid="{00000000-0005-0000-0000-0000D7930000}"/>
    <cellStyle name="Positive 4 2 10 4 10" xfId="37835" xr:uid="{00000000-0005-0000-0000-0000D8930000}"/>
    <cellStyle name="Positive 4 2 10 4 10 2" xfId="37836" xr:uid="{00000000-0005-0000-0000-0000D9930000}"/>
    <cellStyle name="Positive 4 2 10 4 11" xfId="37837" xr:uid="{00000000-0005-0000-0000-0000DA930000}"/>
    <cellStyle name="Positive 4 2 10 4 11 2" xfId="37838" xr:uid="{00000000-0005-0000-0000-0000DB930000}"/>
    <cellStyle name="Positive 4 2 10 4 12" xfId="37839" xr:uid="{00000000-0005-0000-0000-0000DC930000}"/>
    <cellStyle name="Positive 4 2 10 4 12 2" xfId="37840" xr:uid="{00000000-0005-0000-0000-0000DD930000}"/>
    <cellStyle name="Positive 4 2 10 4 13" xfId="37841" xr:uid="{00000000-0005-0000-0000-0000DE930000}"/>
    <cellStyle name="Positive 4 2 10 4 13 2" xfId="37842" xr:uid="{00000000-0005-0000-0000-0000DF930000}"/>
    <cellStyle name="Positive 4 2 10 4 14" xfId="37843" xr:uid="{00000000-0005-0000-0000-0000E0930000}"/>
    <cellStyle name="Positive 4 2 10 4 14 2" xfId="37844" xr:uid="{00000000-0005-0000-0000-0000E1930000}"/>
    <cellStyle name="Positive 4 2 10 4 15" xfId="37845" xr:uid="{00000000-0005-0000-0000-0000E2930000}"/>
    <cellStyle name="Positive 4 2 10 4 15 2" xfId="37846" xr:uid="{00000000-0005-0000-0000-0000E3930000}"/>
    <cellStyle name="Positive 4 2 10 4 16" xfId="37847" xr:uid="{00000000-0005-0000-0000-0000E4930000}"/>
    <cellStyle name="Positive 4 2 10 4 16 2" xfId="37848" xr:uid="{00000000-0005-0000-0000-0000E5930000}"/>
    <cellStyle name="Positive 4 2 10 4 17" xfId="37849" xr:uid="{00000000-0005-0000-0000-0000E6930000}"/>
    <cellStyle name="Positive 4 2 10 4 17 2" xfId="37850" xr:uid="{00000000-0005-0000-0000-0000E7930000}"/>
    <cellStyle name="Positive 4 2 10 4 18" xfId="37851" xr:uid="{00000000-0005-0000-0000-0000E8930000}"/>
    <cellStyle name="Positive 4 2 10 4 18 2" xfId="37852" xr:uid="{00000000-0005-0000-0000-0000E9930000}"/>
    <cellStyle name="Positive 4 2 10 4 19" xfId="37853" xr:uid="{00000000-0005-0000-0000-0000EA930000}"/>
    <cellStyle name="Positive 4 2 10 4 19 2" xfId="37854" xr:uid="{00000000-0005-0000-0000-0000EB930000}"/>
    <cellStyle name="Positive 4 2 10 4 2" xfId="37855" xr:uid="{00000000-0005-0000-0000-0000EC930000}"/>
    <cellStyle name="Positive 4 2 10 4 2 10" xfId="37856" xr:uid="{00000000-0005-0000-0000-0000ED930000}"/>
    <cellStyle name="Positive 4 2 10 4 2 10 2" xfId="37857" xr:uid="{00000000-0005-0000-0000-0000EE930000}"/>
    <cellStyle name="Positive 4 2 10 4 2 11" xfId="37858" xr:uid="{00000000-0005-0000-0000-0000EF930000}"/>
    <cellStyle name="Positive 4 2 10 4 2 11 2" xfId="37859" xr:uid="{00000000-0005-0000-0000-0000F0930000}"/>
    <cellStyle name="Positive 4 2 10 4 2 12" xfId="37860" xr:uid="{00000000-0005-0000-0000-0000F1930000}"/>
    <cellStyle name="Positive 4 2 10 4 2 12 2" xfId="37861" xr:uid="{00000000-0005-0000-0000-0000F2930000}"/>
    <cellStyle name="Positive 4 2 10 4 2 13" xfId="37862" xr:uid="{00000000-0005-0000-0000-0000F3930000}"/>
    <cellStyle name="Positive 4 2 10 4 2 13 2" xfId="37863" xr:uid="{00000000-0005-0000-0000-0000F4930000}"/>
    <cellStyle name="Positive 4 2 10 4 2 14" xfId="37864" xr:uid="{00000000-0005-0000-0000-0000F5930000}"/>
    <cellStyle name="Positive 4 2 10 4 2 14 2" xfId="37865" xr:uid="{00000000-0005-0000-0000-0000F6930000}"/>
    <cellStyle name="Positive 4 2 10 4 2 15" xfId="37866" xr:uid="{00000000-0005-0000-0000-0000F7930000}"/>
    <cellStyle name="Positive 4 2 10 4 2 15 2" xfId="37867" xr:uid="{00000000-0005-0000-0000-0000F8930000}"/>
    <cellStyle name="Positive 4 2 10 4 2 16" xfId="37868" xr:uid="{00000000-0005-0000-0000-0000F9930000}"/>
    <cellStyle name="Positive 4 2 10 4 2 16 2" xfId="37869" xr:uid="{00000000-0005-0000-0000-0000FA930000}"/>
    <cellStyle name="Positive 4 2 10 4 2 17" xfId="37870" xr:uid="{00000000-0005-0000-0000-0000FB930000}"/>
    <cellStyle name="Positive 4 2 10 4 2 2" xfId="37871" xr:uid="{00000000-0005-0000-0000-0000FC930000}"/>
    <cellStyle name="Positive 4 2 10 4 2 2 2" xfId="37872" xr:uid="{00000000-0005-0000-0000-0000FD930000}"/>
    <cellStyle name="Positive 4 2 10 4 2 3" xfId="37873" xr:uid="{00000000-0005-0000-0000-0000FE930000}"/>
    <cellStyle name="Positive 4 2 10 4 2 3 2" xfId="37874" xr:uid="{00000000-0005-0000-0000-0000FF930000}"/>
    <cellStyle name="Positive 4 2 10 4 2 4" xfId="37875" xr:uid="{00000000-0005-0000-0000-000000940000}"/>
    <cellStyle name="Positive 4 2 10 4 2 4 2" xfId="37876" xr:uid="{00000000-0005-0000-0000-000001940000}"/>
    <cellStyle name="Positive 4 2 10 4 2 5" xfId="37877" xr:uid="{00000000-0005-0000-0000-000002940000}"/>
    <cellStyle name="Positive 4 2 10 4 2 5 2" xfId="37878" xr:uid="{00000000-0005-0000-0000-000003940000}"/>
    <cellStyle name="Positive 4 2 10 4 2 6" xfId="37879" xr:uid="{00000000-0005-0000-0000-000004940000}"/>
    <cellStyle name="Positive 4 2 10 4 2 6 2" xfId="37880" xr:uid="{00000000-0005-0000-0000-000005940000}"/>
    <cellStyle name="Positive 4 2 10 4 2 7" xfId="37881" xr:uid="{00000000-0005-0000-0000-000006940000}"/>
    <cellStyle name="Positive 4 2 10 4 2 7 2" xfId="37882" xr:uid="{00000000-0005-0000-0000-000007940000}"/>
    <cellStyle name="Positive 4 2 10 4 2 8" xfId="37883" xr:uid="{00000000-0005-0000-0000-000008940000}"/>
    <cellStyle name="Positive 4 2 10 4 2 8 2" xfId="37884" xr:uid="{00000000-0005-0000-0000-000009940000}"/>
    <cellStyle name="Positive 4 2 10 4 2 9" xfId="37885" xr:uid="{00000000-0005-0000-0000-00000A940000}"/>
    <cellStyle name="Positive 4 2 10 4 2 9 2" xfId="37886" xr:uid="{00000000-0005-0000-0000-00000B940000}"/>
    <cellStyle name="Positive 4 2 10 4 20" xfId="37887" xr:uid="{00000000-0005-0000-0000-00000C940000}"/>
    <cellStyle name="Positive 4 2 10 4 3" xfId="37888" xr:uid="{00000000-0005-0000-0000-00000D940000}"/>
    <cellStyle name="Positive 4 2 10 4 3 2" xfId="37889" xr:uid="{00000000-0005-0000-0000-00000E940000}"/>
    <cellStyle name="Positive 4 2 10 4 3 2 2" xfId="37890" xr:uid="{00000000-0005-0000-0000-00000F940000}"/>
    <cellStyle name="Positive 4 2 10 4 3 3" xfId="37891" xr:uid="{00000000-0005-0000-0000-000010940000}"/>
    <cellStyle name="Positive 4 2 10 4 4" xfId="37892" xr:uid="{00000000-0005-0000-0000-000011940000}"/>
    <cellStyle name="Positive 4 2 10 4 4 2" xfId="37893" xr:uid="{00000000-0005-0000-0000-000012940000}"/>
    <cellStyle name="Positive 4 2 10 4 4 2 2" xfId="37894" xr:uid="{00000000-0005-0000-0000-000013940000}"/>
    <cellStyle name="Positive 4 2 10 4 4 3" xfId="37895" xr:uid="{00000000-0005-0000-0000-000014940000}"/>
    <cellStyle name="Positive 4 2 10 4 5" xfId="37896" xr:uid="{00000000-0005-0000-0000-000015940000}"/>
    <cellStyle name="Positive 4 2 10 4 5 2" xfId="37897" xr:uid="{00000000-0005-0000-0000-000016940000}"/>
    <cellStyle name="Positive 4 2 10 4 6" xfId="37898" xr:uid="{00000000-0005-0000-0000-000017940000}"/>
    <cellStyle name="Positive 4 2 10 4 6 2" xfId="37899" xr:uid="{00000000-0005-0000-0000-000018940000}"/>
    <cellStyle name="Positive 4 2 10 4 7" xfId="37900" xr:uid="{00000000-0005-0000-0000-000019940000}"/>
    <cellStyle name="Positive 4 2 10 4 7 2" xfId="37901" xr:uid="{00000000-0005-0000-0000-00001A940000}"/>
    <cellStyle name="Positive 4 2 10 4 8" xfId="37902" xr:uid="{00000000-0005-0000-0000-00001B940000}"/>
    <cellStyle name="Positive 4 2 10 4 8 2" xfId="37903" xr:uid="{00000000-0005-0000-0000-00001C940000}"/>
    <cellStyle name="Positive 4 2 10 4 9" xfId="37904" xr:uid="{00000000-0005-0000-0000-00001D940000}"/>
    <cellStyle name="Positive 4 2 10 4 9 2" xfId="37905" xr:uid="{00000000-0005-0000-0000-00001E940000}"/>
    <cellStyle name="Positive 4 2 10 5" xfId="37906" xr:uid="{00000000-0005-0000-0000-00001F940000}"/>
    <cellStyle name="Positive 4 2 10 5 10" xfId="37907" xr:uid="{00000000-0005-0000-0000-000020940000}"/>
    <cellStyle name="Positive 4 2 10 5 10 2" xfId="37908" xr:uid="{00000000-0005-0000-0000-000021940000}"/>
    <cellStyle name="Positive 4 2 10 5 11" xfId="37909" xr:uid="{00000000-0005-0000-0000-000022940000}"/>
    <cellStyle name="Positive 4 2 10 5 11 2" xfId="37910" xr:uid="{00000000-0005-0000-0000-000023940000}"/>
    <cellStyle name="Positive 4 2 10 5 12" xfId="37911" xr:uid="{00000000-0005-0000-0000-000024940000}"/>
    <cellStyle name="Positive 4 2 10 5 12 2" xfId="37912" xr:uid="{00000000-0005-0000-0000-000025940000}"/>
    <cellStyle name="Positive 4 2 10 5 13" xfId="37913" xr:uid="{00000000-0005-0000-0000-000026940000}"/>
    <cellStyle name="Positive 4 2 10 5 13 2" xfId="37914" xr:uid="{00000000-0005-0000-0000-000027940000}"/>
    <cellStyle name="Positive 4 2 10 5 14" xfId="37915" xr:uid="{00000000-0005-0000-0000-000028940000}"/>
    <cellStyle name="Positive 4 2 10 5 14 2" xfId="37916" xr:uid="{00000000-0005-0000-0000-000029940000}"/>
    <cellStyle name="Positive 4 2 10 5 15" xfId="37917" xr:uid="{00000000-0005-0000-0000-00002A940000}"/>
    <cellStyle name="Positive 4 2 10 5 15 2" xfId="37918" xr:uid="{00000000-0005-0000-0000-00002B940000}"/>
    <cellStyle name="Positive 4 2 10 5 16" xfId="37919" xr:uid="{00000000-0005-0000-0000-00002C940000}"/>
    <cellStyle name="Positive 4 2 10 5 16 2" xfId="37920" xr:uid="{00000000-0005-0000-0000-00002D940000}"/>
    <cellStyle name="Positive 4 2 10 5 17" xfId="37921" xr:uid="{00000000-0005-0000-0000-00002E940000}"/>
    <cellStyle name="Positive 4 2 10 5 2" xfId="37922" xr:uid="{00000000-0005-0000-0000-00002F940000}"/>
    <cellStyle name="Positive 4 2 10 5 2 2" xfId="37923" xr:uid="{00000000-0005-0000-0000-000030940000}"/>
    <cellStyle name="Positive 4 2 10 5 3" xfId="37924" xr:uid="{00000000-0005-0000-0000-000031940000}"/>
    <cellStyle name="Positive 4 2 10 5 3 2" xfId="37925" xr:uid="{00000000-0005-0000-0000-000032940000}"/>
    <cellStyle name="Positive 4 2 10 5 4" xfId="37926" xr:uid="{00000000-0005-0000-0000-000033940000}"/>
    <cellStyle name="Positive 4 2 10 5 4 2" xfId="37927" xr:uid="{00000000-0005-0000-0000-000034940000}"/>
    <cellStyle name="Positive 4 2 10 5 5" xfId="37928" xr:uid="{00000000-0005-0000-0000-000035940000}"/>
    <cellStyle name="Positive 4 2 10 5 5 2" xfId="37929" xr:uid="{00000000-0005-0000-0000-000036940000}"/>
    <cellStyle name="Positive 4 2 10 5 6" xfId="37930" xr:uid="{00000000-0005-0000-0000-000037940000}"/>
    <cellStyle name="Positive 4 2 10 5 6 2" xfId="37931" xr:uid="{00000000-0005-0000-0000-000038940000}"/>
    <cellStyle name="Positive 4 2 10 5 7" xfId="37932" xr:uid="{00000000-0005-0000-0000-000039940000}"/>
    <cellStyle name="Positive 4 2 10 5 7 2" xfId="37933" xr:uid="{00000000-0005-0000-0000-00003A940000}"/>
    <cellStyle name="Positive 4 2 10 5 8" xfId="37934" xr:uid="{00000000-0005-0000-0000-00003B940000}"/>
    <cellStyle name="Positive 4 2 10 5 8 2" xfId="37935" xr:uid="{00000000-0005-0000-0000-00003C940000}"/>
    <cellStyle name="Positive 4 2 10 5 9" xfId="37936" xr:uid="{00000000-0005-0000-0000-00003D940000}"/>
    <cellStyle name="Positive 4 2 10 5 9 2" xfId="37937" xr:uid="{00000000-0005-0000-0000-00003E940000}"/>
    <cellStyle name="Positive 4 2 10 6" xfId="37938" xr:uid="{00000000-0005-0000-0000-00003F940000}"/>
    <cellStyle name="Positive 4 2 10 6 2" xfId="37939" xr:uid="{00000000-0005-0000-0000-000040940000}"/>
    <cellStyle name="Positive 4 2 10 6 2 2" xfId="37940" xr:uid="{00000000-0005-0000-0000-000041940000}"/>
    <cellStyle name="Positive 4 2 10 6 3" xfId="37941" xr:uid="{00000000-0005-0000-0000-000042940000}"/>
    <cellStyle name="Positive 4 2 10 7" xfId="37942" xr:uid="{00000000-0005-0000-0000-000043940000}"/>
    <cellStyle name="Positive 4 2 10 7 2" xfId="37943" xr:uid="{00000000-0005-0000-0000-000044940000}"/>
    <cellStyle name="Positive 4 2 10 7 2 2" xfId="37944" xr:uid="{00000000-0005-0000-0000-000045940000}"/>
    <cellStyle name="Positive 4 2 10 7 3" xfId="37945" xr:uid="{00000000-0005-0000-0000-000046940000}"/>
    <cellStyle name="Positive 4 2 10 8" xfId="37946" xr:uid="{00000000-0005-0000-0000-000047940000}"/>
    <cellStyle name="Positive 4 2 10 8 2" xfId="37947" xr:uid="{00000000-0005-0000-0000-000048940000}"/>
    <cellStyle name="Positive 4 2 10 9" xfId="37948" xr:uid="{00000000-0005-0000-0000-000049940000}"/>
    <cellStyle name="Positive 4 2 10 9 2" xfId="37949" xr:uid="{00000000-0005-0000-0000-00004A940000}"/>
    <cellStyle name="Positive 4 2 11" xfId="37950" xr:uid="{00000000-0005-0000-0000-00004B940000}"/>
    <cellStyle name="Positive 4 2 11 10" xfId="37951" xr:uid="{00000000-0005-0000-0000-00004C940000}"/>
    <cellStyle name="Positive 4 2 11 10 2" xfId="37952" xr:uid="{00000000-0005-0000-0000-00004D940000}"/>
    <cellStyle name="Positive 4 2 11 11" xfId="37953" xr:uid="{00000000-0005-0000-0000-00004E940000}"/>
    <cellStyle name="Positive 4 2 11 11 2" xfId="37954" xr:uid="{00000000-0005-0000-0000-00004F940000}"/>
    <cellStyle name="Positive 4 2 11 12" xfId="37955" xr:uid="{00000000-0005-0000-0000-000050940000}"/>
    <cellStyle name="Positive 4 2 11 12 2" xfId="37956" xr:uid="{00000000-0005-0000-0000-000051940000}"/>
    <cellStyle name="Positive 4 2 11 13" xfId="37957" xr:uid="{00000000-0005-0000-0000-000052940000}"/>
    <cellStyle name="Positive 4 2 11 13 2" xfId="37958" xr:uid="{00000000-0005-0000-0000-000053940000}"/>
    <cellStyle name="Positive 4 2 11 14" xfId="37959" xr:uid="{00000000-0005-0000-0000-000054940000}"/>
    <cellStyle name="Positive 4 2 11 14 2" xfId="37960" xr:uid="{00000000-0005-0000-0000-000055940000}"/>
    <cellStyle name="Positive 4 2 11 15" xfId="37961" xr:uid="{00000000-0005-0000-0000-000056940000}"/>
    <cellStyle name="Positive 4 2 11 15 2" xfId="37962" xr:uid="{00000000-0005-0000-0000-000057940000}"/>
    <cellStyle name="Positive 4 2 11 16" xfId="37963" xr:uid="{00000000-0005-0000-0000-000058940000}"/>
    <cellStyle name="Positive 4 2 11 16 2" xfId="37964" xr:uid="{00000000-0005-0000-0000-000059940000}"/>
    <cellStyle name="Positive 4 2 11 17" xfId="37965" xr:uid="{00000000-0005-0000-0000-00005A940000}"/>
    <cellStyle name="Positive 4 2 11 17 2" xfId="37966" xr:uid="{00000000-0005-0000-0000-00005B940000}"/>
    <cellStyle name="Positive 4 2 11 18" xfId="37967" xr:uid="{00000000-0005-0000-0000-00005C940000}"/>
    <cellStyle name="Positive 4 2 11 18 2" xfId="37968" xr:uid="{00000000-0005-0000-0000-00005D940000}"/>
    <cellStyle name="Positive 4 2 11 19" xfId="37969" xr:uid="{00000000-0005-0000-0000-00005E940000}"/>
    <cellStyle name="Positive 4 2 11 19 2" xfId="37970" xr:uid="{00000000-0005-0000-0000-00005F940000}"/>
    <cellStyle name="Positive 4 2 11 2" xfId="37971" xr:uid="{00000000-0005-0000-0000-000060940000}"/>
    <cellStyle name="Positive 4 2 11 2 10" xfId="37972" xr:uid="{00000000-0005-0000-0000-000061940000}"/>
    <cellStyle name="Positive 4 2 11 2 10 2" xfId="37973" xr:uid="{00000000-0005-0000-0000-000062940000}"/>
    <cellStyle name="Positive 4 2 11 2 11" xfId="37974" xr:uid="{00000000-0005-0000-0000-000063940000}"/>
    <cellStyle name="Positive 4 2 11 2 11 2" xfId="37975" xr:uid="{00000000-0005-0000-0000-000064940000}"/>
    <cellStyle name="Positive 4 2 11 2 12" xfId="37976" xr:uid="{00000000-0005-0000-0000-000065940000}"/>
    <cellStyle name="Positive 4 2 11 2 12 2" xfId="37977" xr:uid="{00000000-0005-0000-0000-000066940000}"/>
    <cellStyle name="Positive 4 2 11 2 13" xfId="37978" xr:uid="{00000000-0005-0000-0000-000067940000}"/>
    <cellStyle name="Positive 4 2 11 2 13 2" xfId="37979" xr:uid="{00000000-0005-0000-0000-000068940000}"/>
    <cellStyle name="Positive 4 2 11 2 14" xfId="37980" xr:uid="{00000000-0005-0000-0000-000069940000}"/>
    <cellStyle name="Positive 4 2 11 2 14 2" xfId="37981" xr:uid="{00000000-0005-0000-0000-00006A940000}"/>
    <cellStyle name="Positive 4 2 11 2 15" xfId="37982" xr:uid="{00000000-0005-0000-0000-00006B940000}"/>
    <cellStyle name="Positive 4 2 11 2 15 2" xfId="37983" xr:uid="{00000000-0005-0000-0000-00006C940000}"/>
    <cellStyle name="Positive 4 2 11 2 16" xfId="37984" xr:uid="{00000000-0005-0000-0000-00006D940000}"/>
    <cellStyle name="Positive 4 2 11 2 16 2" xfId="37985" xr:uid="{00000000-0005-0000-0000-00006E940000}"/>
    <cellStyle name="Positive 4 2 11 2 17" xfId="37986" xr:uid="{00000000-0005-0000-0000-00006F940000}"/>
    <cellStyle name="Positive 4 2 11 2 17 2" xfId="37987" xr:uid="{00000000-0005-0000-0000-000070940000}"/>
    <cellStyle name="Positive 4 2 11 2 18" xfId="37988" xr:uid="{00000000-0005-0000-0000-000071940000}"/>
    <cellStyle name="Positive 4 2 11 2 18 2" xfId="37989" xr:uid="{00000000-0005-0000-0000-000072940000}"/>
    <cellStyle name="Positive 4 2 11 2 19" xfId="37990" xr:uid="{00000000-0005-0000-0000-000073940000}"/>
    <cellStyle name="Positive 4 2 11 2 19 2" xfId="37991" xr:uid="{00000000-0005-0000-0000-000074940000}"/>
    <cellStyle name="Positive 4 2 11 2 2" xfId="37992" xr:uid="{00000000-0005-0000-0000-000075940000}"/>
    <cellStyle name="Positive 4 2 11 2 2 10" xfId="37993" xr:uid="{00000000-0005-0000-0000-000076940000}"/>
    <cellStyle name="Positive 4 2 11 2 2 10 2" xfId="37994" xr:uid="{00000000-0005-0000-0000-000077940000}"/>
    <cellStyle name="Positive 4 2 11 2 2 11" xfId="37995" xr:uid="{00000000-0005-0000-0000-000078940000}"/>
    <cellStyle name="Positive 4 2 11 2 2 11 2" xfId="37996" xr:uid="{00000000-0005-0000-0000-000079940000}"/>
    <cellStyle name="Positive 4 2 11 2 2 12" xfId="37997" xr:uid="{00000000-0005-0000-0000-00007A940000}"/>
    <cellStyle name="Positive 4 2 11 2 2 12 2" xfId="37998" xr:uid="{00000000-0005-0000-0000-00007B940000}"/>
    <cellStyle name="Positive 4 2 11 2 2 13" xfId="37999" xr:uid="{00000000-0005-0000-0000-00007C940000}"/>
    <cellStyle name="Positive 4 2 11 2 2 13 2" xfId="38000" xr:uid="{00000000-0005-0000-0000-00007D940000}"/>
    <cellStyle name="Positive 4 2 11 2 2 14" xfId="38001" xr:uid="{00000000-0005-0000-0000-00007E940000}"/>
    <cellStyle name="Positive 4 2 11 2 2 14 2" xfId="38002" xr:uid="{00000000-0005-0000-0000-00007F940000}"/>
    <cellStyle name="Positive 4 2 11 2 2 15" xfId="38003" xr:uid="{00000000-0005-0000-0000-000080940000}"/>
    <cellStyle name="Positive 4 2 11 2 2 15 2" xfId="38004" xr:uid="{00000000-0005-0000-0000-000081940000}"/>
    <cellStyle name="Positive 4 2 11 2 2 16" xfId="38005" xr:uid="{00000000-0005-0000-0000-000082940000}"/>
    <cellStyle name="Positive 4 2 11 2 2 16 2" xfId="38006" xr:uid="{00000000-0005-0000-0000-000083940000}"/>
    <cellStyle name="Positive 4 2 11 2 2 17" xfId="38007" xr:uid="{00000000-0005-0000-0000-000084940000}"/>
    <cellStyle name="Positive 4 2 11 2 2 2" xfId="38008" xr:uid="{00000000-0005-0000-0000-000085940000}"/>
    <cellStyle name="Positive 4 2 11 2 2 2 2" xfId="38009" xr:uid="{00000000-0005-0000-0000-000086940000}"/>
    <cellStyle name="Positive 4 2 11 2 2 3" xfId="38010" xr:uid="{00000000-0005-0000-0000-000087940000}"/>
    <cellStyle name="Positive 4 2 11 2 2 3 2" xfId="38011" xr:uid="{00000000-0005-0000-0000-000088940000}"/>
    <cellStyle name="Positive 4 2 11 2 2 4" xfId="38012" xr:uid="{00000000-0005-0000-0000-000089940000}"/>
    <cellStyle name="Positive 4 2 11 2 2 4 2" xfId="38013" xr:uid="{00000000-0005-0000-0000-00008A940000}"/>
    <cellStyle name="Positive 4 2 11 2 2 5" xfId="38014" xr:uid="{00000000-0005-0000-0000-00008B940000}"/>
    <cellStyle name="Positive 4 2 11 2 2 5 2" xfId="38015" xr:uid="{00000000-0005-0000-0000-00008C940000}"/>
    <cellStyle name="Positive 4 2 11 2 2 6" xfId="38016" xr:uid="{00000000-0005-0000-0000-00008D940000}"/>
    <cellStyle name="Positive 4 2 11 2 2 6 2" xfId="38017" xr:uid="{00000000-0005-0000-0000-00008E940000}"/>
    <cellStyle name="Positive 4 2 11 2 2 7" xfId="38018" xr:uid="{00000000-0005-0000-0000-00008F940000}"/>
    <cellStyle name="Positive 4 2 11 2 2 7 2" xfId="38019" xr:uid="{00000000-0005-0000-0000-000090940000}"/>
    <cellStyle name="Positive 4 2 11 2 2 8" xfId="38020" xr:uid="{00000000-0005-0000-0000-000091940000}"/>
    <cellStyle name="Positive 4 2 11 2 2 8 2" xfId="38021" xr:uid="{00000000-0005-0000-0000-000092940000}"/>
    <cellStyle name="Positive 4 2 11 2 2 9" xfId="38022" xr:uid="{00000000-0005-0000-0000-000093940000}"/>
    <cellStyle name="Positive 4 2 11 2 2 9 2" xfId="38023" xr:uid="{00000000-0005-0000-0000-000094940000}"/>
    <cellStyle name="Positive 4 2 11 2 20" xfId="38024" xr:uid="{00000000-0005-0000-0000-000095940000}"/>
    <cellStyle name="Positive 4 2 11 2 3" xfId="38025" xr:uid="{00000000-0005-0000-0000-000096940000}"/>
    <cellStyle name="Positive 4 2 11 2 3 2" xfId="38026" xr:uid="{00000000-0005-0000-0000-000097940000}"/>
    <cellStyle name="Positive 4 2 11 2 3 2 2" xfId="38027" xr:uid="{00000000-0005-0000-0000-000098940000}"/>
    <cellStyle name="Positive 4 2 11 2 3 3" xfId="38028" xr:uid="{00000000-0005-0000-0000-000099940000}"/>
    <cellStyle name="Positive 4 2 11 2 4" xfId="38029" xr:uid="{00000000-0005-0000-0000-00009A940000}"/>
    <cellStyle name="Positive 4 2 11 2 4 2" xfId="38030" xr:uid="{00000000-0005-0000-0000-00009B940000}"/>
    <cellStyle name="Positive 4 2 11 2 4 2 2" xfId="38031" xr:uid="{00000000-0005-0000-0000-00009C940000}"/>
    <cellStyle name="Positive 4 2 11 2 4 3" xfId="38032" xr:uid="{00000000-0005-0000-0000-00009D940000}"/>
    <cellStyle name="Positive 4 2 11 2 5" xfId="38033" xr:uid="{00000000-0005-0000-0000-00009E940000}"/>
    <cellStyle name="Positive 4 2 11 2 5 2" xfId="38034" xr:uid="{00000000-0005-0000-0000-00009F940000}"/>
    <cellStyle name="Positive 4 2 11 2 6" xfId="38035" xr:uid="{00000000-0005-0000-0000-0000A0940000}"/>
    <cellStyle name="Positive 4 2 11 2 6 2" xfId="38036" xr:uid="{00000000-0005-0000-0000-0000A1940000}"/>
    <cellStyle name="Positive 4 2 11 2 7" xfId="38037" xr:uid="{00000000-0005-0000-0000-0000A2940000}"/>
    <cellStyle name="Positive 4 2 11 2 7 2" xfId="38038" xr:uid="{00000000-0005-0000-0000-0000A3940000}"/>
    <cellStyle name="Positive 4 2 11 2 8" xfId="38039" xr:uid="{00000000-0005-0000-0000-0000A4940000}"/>
    <cellStyle name="Positive 4 2 11 2 8 2" xfId="38040" xr:uid="{00000000-0005-0000-0000-0000A5940000}"/>
    <cellStyle name="Positive 4 2 11 2 9" xfId="38041" xr:uid="{00000000-0005-0000-0000-0000A6940000}"/>
    <cellStyle name="Positive 4 2 11 2 9 2" xfId="38042" xr:uid="{00000000-0005-0000-0000-0000A7940000}"/>
    <cellStyle name="Positive 4 2 11 20" xfId="38043" xr:uid="{00000000-0005-0000-0000-0000A8940000}"/>
    <cellStyle name="Positive 4 2 11 20 2" xfId="38044" xr:uid="{00000000-0005-0000-0000-0000A9940000}"/>
    <cellStyle name="Positive 4 2 11 21" xfId="38045" xr:uid="{00000000-0005-0000-0000-0000AA940000}"/>
    <cellStyle name="Positive 4 2 11 21 2" xfId="38046" xr:uid="{00000000-0005-0000-0000-0000AB940000}"/>
    <cellStyle name="Positive 4 2 11 22" xfId="38047" xr:uid="{00000000-0005-0000-0000-0000AC940000}"/>
    <cellStyle name="Positive 4 2 11 22 2" xfId="38048" xr:uid="{00000000-0005-0000-0000-0000AD940000}"/>
    <cellStyle name="Positive 4 2 11 23" xfId="38049" xr:uid="{00000000-0005-0000-0000-0000AE940000}"/>
    <cellStyle name="Positive 4 2 11 3" xfId="38050" xr:uid="{00000000-0005-0000-0000-0000AF940000}"/>
    <cellStyle name="Positive 4 2 11 3 10" xfId="38051" xr:uid="{00000000-0005-0000-0000-0000B0940000}"/>
    <cellStyle name="Positive 4 2 11 3 10 2" xfId="38052" xr:uid="{00000000-0005-0000-0000-0000B1940000}"/>
    <cellStyle name="Positive 4 2 11 3 11" xfId="38053" xr:uid="{00000000-0005-0000-0000-0000B2940000}"/>
    <cellStyle name="Positive 4 2 11 3 11 2" xfId="38054" xr:uid="{00000000-0005-0000-0000-0000B3940000}"/>
    <cellStyle name="Positive 4 2 11 3 12" xfId="38055" xr:uid="{00000000-0005-0000-0000-0000B4940000}"/>
    <cellStyle name="Positive 4 2 11 3 12 2" xfId="38056" xr:uid="{00000000-0005-0000-0000-0000B5940000}"/>
    <cellStyle name="Positive 4 2 11 3 13" xfId="38057" xr:uid="{00000000-0005-0000-0000-0000B6940000}"/>
    <cellStyle name="Positive 4 2 11 3 13 2" xfId="38058" xr:uid="{00000000-0005-0000-0000-0000B7940000}"/>
    <cellStyle name="Positive 4 2 11 3 14" xfId="38059" xr:uid="{00000000-0005-0000-0000-0000B8940000}"/>
    <cellStyle name="Positive 4 2 11 3 14 2" xfId="38060" xr:uid="{00000000-0005-0000-0000-0000B9940000}"/>
    <cellStyle name="Positive 4 2 11 3 15" xfId="38061" xr:uid="{00000000-0005-0000-0000-0000BA940000}"/>
    <cellStyle name="Positive 4 2 11 3 15 2" xfId="38062" xr:uid="{00000000-0005-0000-0000-0000BB940000}"/>
    <cellStyle name="Positive 4 2 11 3 16" xfId="38063" xr:uid="{00000000-0005-0000-0000-0000BC940000}"/>
    <cellStyle name="Positive 4 2 11 3 16 2" xfId="38064" xr:uid="{00000000-0005-0000-0000-0000BD940000}"/>
    <cellStyle name="Positive 4 2 11 3 17" xfId="38065" xr:uid="{00000000-0005-0000-0000-0000BE940000}"/>
    <cellStyle name="Positive 4 2 11 3 17 2" xfId="38066" xr:uid="{00000000-0005-0000-0000-0000BF940000}"/>
    <cellStyle name="Positive 4 2 11 3 18" xfId="38067" xr:uid="{00000000-0005-0000-0000-0000C0940000}"/>
    <cellStyle name="Positive 4 2 11 3 18 2" xfId="38068" xr:uid="{00000000-0005-0000-0000-0000C1940000}"/>
    <cellStyle name="Positive 4 2 11 3 19" xfId="38069" xr:uid="{00000000-0005-0000-0000-0000C2940000}"/>
    <cellStyle name="Positive 4 2 11 3 19 2" xfId="38070" xr:uid="{00000000-0005-0000-0000-0000C3940000}"/>
    <cellStyle name="Positive 4 2 11 3 2" xfId="38071" xr:uid="{00000000-0005-0000-0000-0000C4940000}"/>
    <cellStyle name="Positive 4 2 11 3 2 10" xfId="38072" xr:uid="{00000000-0005-0000-0000-0000C5940000}"/>
    <cellStyle name="Positive 4 2 11 3 2 10 2" xfId="38073" xr:uid="{00000000-0005-0000-0000-0000C6940000}"/>
    <cellStyle name="Positive 4 2 11 3 2 11" xfId="38074" xr:uid="{00000000-0005-0000-0000-0000C7940000}"/>
    <cellStyle name="Positive 4 2 11 3 2 11 2" xfId="38075" xr:uid="{00000000-0005-0000-0000-0000C8940000}"/>
    <cellStyle name="Positive 4 2 11 3 2 12" xfId="38076" xr:uid="{00000000-0005-0000-0000-0000C9940000}"/>
    <cellStyle name="Positive 4 2 11 3 2 12 2" xfId="38077" xr:uid="{00000000-0005-0000-0000-0000CA940000}"/>
    <cellStyle name="Positive 4 2 11 3 2 13" xfId="38078" xr:uid="{00000000-0005-0000-0000-0000CB940000}"/>
    <cellStyle name="Positive 4 2 11 3 2 13 2" xfId="38079" xr:uid="{00000000-0005-0000-0000-0000CC940000}"/>
    <cellStyle name="Positive 4 2 11 3 2 14" xfId="38080" xr:uid="{00000000-0005-0000-0000-0000CD940000}"/>
    <cellStyle name="Positive 4 2 11 3 2 14 2" xfId="38081" xr:uid="{00000000-0005-0000-0000-0000CE940000}"/>
    <cellStyle name="Positive 4 2 11 3 2 15" xfId="38082" xr:uid="{00000000-0005-0000-0000-0000CF940000}"/>
    <cellStyle name="Positive 4 2 11 3 2 15 2" xfId="38083" xr:uid="{00000000-0005-0000-0000-0000D0940000}"/>
    <cellStyle name="Positive 4 2 11 3 2 16" xfId="38084" xr:uid="{00000000-0005-0000-0000-0000D1940000}"/>
    <cellStyle name="Positive 4 2 11 3 2 16 2" xfId="38085" xr:uid="{00000000-0005-0000-0000-0000D2940000}"/>
    <cellStyle name="Positive 4 2 11 3 2 17" xfId="38086" xr:uid="{00000000-0005-0000-0000-0000D3940000}"/>
    <cellStyle name="Positive 4 2 11 3 2 2" xfId="38087" xr:uid="{00000000-0005-0000-0000-0000D4940000}"/>
    <cellStyle name="Positive 4 2 11 3 2 2 2" xfId="38088" xr:uid="{00000000-0005-0000-0000-0000D5940000}"/>
    <cellStyle name="Positive 4 2 11 3 2 3" xfId="38089" xr:uid="{00000000-0005-0000-0000-0000D6940000}"/>
    <cellStyle name="Positive 4 2 11 3 2 3 2" xfId="38090" xr:uid="{00000000-0005-0000-0000-0000D7940000}"/>
    <cellStyle name="Positive 4 2 11 3 2 4" xfId="38091" xr:uid="{00000000-0005-0000-0000-0000D8940000}"/>
    <cellStyle name="Positive 4 2 11 3 2 4 2" xfId="38092" xr:uid="{00000000-0005-0000-0000-0000D9940000}"/>
    <cellStyle name="Positive 4 2 11 3 2 5" xfId="38093" xr:uid="{00000000-0005-0000-0000-0000DA940000}"/>
    <cellStyle name="Positive 4 2 11 3 2 5 2" xfId="38094" xr:uid="{00000000-0005-0000-0000-0000DB940000}"/>
    <cellStyle name="Positive 4 2 11 3 2 6" xfId="38095" xr:uid="{00000000-0005-0000-0000-0000DC940000}"/>
    <cellStyle name="Positive 4 2 11 3 2 6 2" xfId="38096" xr:uid="{00000000-0005-0000-0000-0000DD940000}"/>
    <cellStyle name="Positive 4 2 11 3 2 7" xfId="38097" xr:uid="{00000000-0005-0000-0000-0000DE940000}"/>
    <cellStyle name="Positive 4 2 11 3 2 7 2" xfId="38098" xr:uid="{00000000-0005-0000-0000-0000DF940000}"/>
    <cellStyle name="Positive 4 2 11 3 2 8" xfId="38099" xr:uid="{00000000-0005-0000-0000-0000E0940000}"/>
    <cellStyle name="Positive 4 2 11 3 2 8 2" xfId="38100" xr:uid="{00000000-0005-0000-0000-0000E1940000}"/>
    <cellStyle name="Positive 4 2 11 3 2 9" xfId="38101" xr:uid="{00000000-0005-0000-0000-0000E2940000}"/>
    <cellStyle name="Positive 4 2 11 3 2 9 2" xfId="38102" xr:uid="{00000000-0005-0000-0000-0000E3940000}"/>
    <cellStyle name="Positive 4 2 11 3 20" xfId="38103" xr:uid="{00000000-0005-0000-0000-0000E4940000}"/>
    <cellStyle name="Positive 4 2 11 3 3" xfId="38104" xr:uid="{00000000-0005-0000-0000-0000E5940000}"/>
    <cellStyle name="Positive 4 2 11 3 3 2" xfId="38105" xr:uid="{00000000-0005-0000-0000-0000E6940000}"/>
    <cellStyle name="Positive 4 2 11 3 3 2 2" xfId="38106" xr:uid="{00000000-0005-0000-0000-0000E7940000}"/>
    <cellStyle name="Positive 4 2 11 3 3 3" xfId="38107" xr:uid="{00000000-0005-0000-0000-0000E8940000}"/>
    <cellStyle name="Positive 4 2 11 3 4" xfId="38108" xr:uid="{00000000-0005-0000-0000-0000E9940000}"/>
    <cellStyle name="Positive 4 2 11 3 4 2" xfId="38109" xr:uid="{00000000-0005-0000-0000-0000EA940000}"/>
    <cellStyle name="Positive 4 2 11 3 4 2 2" xfId="38110" xr:uid="{00000000-0005-0000-0000-0000EB940000}"/>
    <cellStyle name="Positive 4 2 11 3 4 3" xfId="38111" xr:uid="{00000000-0005-0000-0000-0000EC940000}"/>
    <cellStyle name="Positive 4 2 11 3 5" xfId="38112" xr:uid="{00000000-0005-0000-0000-0000ED940000}"/>
    <cellStyle name="Positive 4 2 11 3 5 2" xfId="38113" xr:uid="{00000000-0005-0000-0000-0000EE940000}"/>
    <cellStyle name="Positive 4 2 11 3 6" xfId="38114" xr:uid="{00000000-0005-0000-0000-0000EF940000}"/>
    <cellStyle name="Positive 4 2 11 3 6 2" xfId="38115" xr:uid="{00000000-0005-0000-0000-0000F0940000}"/>
    <cellStyle name="Positive 4 2 11 3 7" xfId="38116" xr:uid="{00000000-0005-0000-0000-0000F1940000}"/>
    <cellStyle name="Positive 4 2 11 3 7 2" xfId="38117" xr:uid="{00000000-0005-0000-0000-0000F2940000}"/>
    <cellStyle name="Positive 4 2 11 3 8" xfId="38118" xr:uid="{00000000-0005-0000-0000-0000F3940000}"/>
    <cellStyle name="Positive 4 2 11 3 8 2" xfId="38119" xr:uid="{00000000-0005-0000-0000-0000F4940000}"/>
    <cellStyle name="Positive 4 2 11 3 9" xfId="38120" xr:uid="{00000000-0005-0000-0000-0000F5940000}"/>
    <cellStyle name="Positive 4 2 11 3 9 2" xfId="38121" xr:uid="{00000000-0005-0000-0000-0000F6940000}"/>
    <cellStyle name="Positive 4 2 11 4" xfId="38122" xr:uid="{00000000-0005-0000-0000-0000F7940000}"/>
    <cellStyle name="Positive 4 2 11 4 10" xfId="38123" xr:uid="{00000000-0005-0000-0000-0000F8940000}"/>
    <cellStyle name="Positive 4 2 11 4 10 2" xfId="38124" xr:uid="{00000000-0005-0000-0000-0000F9940000}"/>
    <cellStyle name="Positive 4 2 11 4 11" xfId="38125" xr:uid="{00000000-0005-0000-0000-0000FA940000}"/>
    <cellStyle name="Positive 4 2 11 4 11 2" xfId="38126" xr:uid="{00000000-0005-0000-0000-0000FB940000}"/>
    <cellStyle name="Positive 4 2 11 4 12" xfId="38127" xr:uid="{00000000-0005-0000-0000-0000FC940000}"/>
    <cellStyle name="Positive 4 2 11 4 12 2" xfId="38128" xr:uid="{00000000-0005-0000-0000-0000FD940000}"/>
    <cellStyle name="Positive 4 2 11 4 13" xfId="38129" xr:uid="{00000000-0005-0000-0000-0000FE940000}"/>
    <cellStyle name="Positive 4 2 11 4 13 2" xfId="38130" xr:uid="{00000000-0005-0000-0000-0000FF940000}"/>
    <cellStyle name="Positive 4 2 11 4 14" xfId="38131" xr:uid="{00000000-0005-0000-0000-000000950000}"/>
    <cellStyle name="Positive 4 2 11 4 14 2" xfId="38132" xr:uid="{00000000-0005-0000-0000-000001950000}"/>
    <cellStyle name="Positive 4 2 11 4 15" xfId="38133" xr:uid="{00000000-0005-0000-0000-000002950000}"/>
    <cellStyle name="Positive 4 2 11 4 15 2" xfId="38134" xr:uid="{00000000-0005-0000-0000-000003950000}"/>
    <cellStyle name="Positive 4 2 11 4 16" xfId="38135" xr:uid="{00000000-0005-0000-0000-000004950000}"/>
    <cellStyle name="Positive 4 2 11 4 16 2" xfId="38136" xr:uid="{00000000-0005-0000-0000-000005950000}"/>
    <cellStyle name="Positive 4 2 11 4 17" xfId="38137" xr:uid="{00000000-0005-0000-0000-000006950000}"/>
    <cellStyle name="Positive 4 2 11 4 17 2" xfId="38138" xr:uid="{00000000-0005-0000-0000-000007950000}"/>
    <cellStyle name="Positive 4 2 11 4 18" xfId="38139" xr:uid="{00000000-0005-0000-0000-000008950000}"/>
    <cellStyle name="Positive 4 2 11 4 18 2" xfId="38140" xr:uid="{00000000-0005-0000-0000-000009950000}"/>
    <cellStyle name="Positive 4 2 11 4 19" xfId="38141" xr:uid="{00000000-0005-0000-0000-00000A950000}"/>
    <cellStyle name="Positive 4 2 11 4 19 2" xfId="38142" xr:uid="{00000000-0005-0000-0000-00000B950000}"/>
    <cellStyle name="Positive 4 2 11 4 2" xfId="38143" xr:uid="{00000000-0005-0000-0000-00000C950000}"/>
    <cellStyle name="Positive 4 2 11 4 2 10" xfId="38144" xr:uid="{00000000-0005-0000-0000-00000D950000}"/>
    <cellStyle name="Positive 4 2 11 4 2 10 2" xfId="38145" xr:uid="{00000000-0005-0000-0000-00000E950000}"/>
    <cellStyle name="Positive 4 2 11 4 2 11" xfId="38146" xr:uid="{00000000-0005-0000-0000-00000F950000}"/>
    <cellStyle name="Positive 4 2 11 4 2 11 2" xfId="38147" xr:uid="{00000000-0005-0000-0000-000010950000}"/>
    <cellStyle name="Positive 4 2 11 4 2 12" xfId="38148" xr:uid="{00000000-0005-0000-0000-000011950000}"/>
    <cellStyle name="Positive 4 2 11 4 2 12 2" xfId="38149" xr:uid="{00000000-0005-0000-0000-000012950000}"/>
    <cellStyle name="Positive 4 2 11 4 2 13" xfId="38150" xr:uid="{00000000-0005-0000-0000-000013950000}"/>
    <cellStyle name="Positive 4 2 11 4 2 13 2" xfId="38151" xr:uid="{00000000-0005-0000-0000-000014950000}"/>
    <cellStyle name="Positive 4 2 11 4 2 14" xfId="38152" xr:uid="{00000000-0005-0000-0000-000015950000}"/>
    <cellStyle name="Positive 4 2 11 4 2 14 2" xfId="38153" xr:uid="{00000000-0005-0000-0000-000016950000}"/>
    <cellStyle name="Positive 4 2 11 4 2 15" xfId="38154" xr:uid="{00000000-0005-0000-0000-000017950000}"/>
    <cellStyle name="Positive 4 2 11 4 2 15 2" xfId="38155" xr:uid="{00000000-0005-0000-0000-000018950000}"/>
    <cellStyle name="Positive 4 2 11 4 2 16" xfId="38156" xr:uid="{00000000-0005-0000-0000-000019950000}"/>
    <cellStyle name="Positive 4 2 11 4 2 16 2" xfId="38157" xr:uid="{00000000-0005-0000-0000-00001A950000}"/>
    <cellStyle name="Positive 4 2 11 4 2 17" xfId="38158" xr:uid="{00000000-0005-0000-0000-00001B950000}"/>
    <cellStyle name="Positive 4 2 11 4 2 2" xfId="38159" xr:uid="{00000000-0005-0000-0000-00001C950000}"/>
    <cellStyle name="Positive 4 2 11 4 2 2 2" xfId="38160" xr:uid="{00000000-0005-0000-0000-00001D950000}"/>
    <cellStyle name="Positive 4 2 11 4 2 3" xfId="38161" xr:uid="{00000000-0005-0000-0000-00001E950000}"/>
    <cellStyle name="Positive 4 2 11 4 2 3 2" xfId="38162" xr:uid="{00000000-0005-0000-0000-00001F950000}"/>
    <cellStyle name="Positive 4 2 11 4 2 4" xfId="38163" xr:uid="{00000000-0005-0000-0000-000020950000}"/>
    <cellStyle name="Positive 4 2 11 4 2 4 2" xfId="38164" xr:uid="{00000000-0005-0000-0000-000021950000}"/>
    <cellStyle name="Positive 4 2 11 4 2 5" xfId="38165" xr:uid="{00000000-0005-0000-0000-000022950000}"/>
    <cellStyle name="Positive 4 2 11 4 2 5 2" xfId="38166" xr:uid="{00000000-0005-0000-0000-000023950000}"/>
    <cellStyle name="Positive 4 2 11 4 2 6" xfId="38167" xr:uid="{00000000-0005-0000-0000-000024950000}"/>
    <cellStyle name="Positive 4 2 11 4 2 6 2" xfId="38168" xr:uid="{00000000-0005-0000-0000-000025950000}"/>
    <cellStyle name="Positive 4 2 11 4 2 7" xfId="38169" xr:uid="{00000000-0005-0000-0000-000026950000}"/>
    <cellStyle name="Positive 4 2 11 4 2 7 2" xfId="38170" xr:uid="{00000000-0005-0000-0000-000027950000}"/>
    <cellStyle name="Positive 4 2 11 4 2 8" xfId="38171" xr:uid="{00000000-0005-0000-0000-000028950000}"/>
    <cellStyle name="Positive 4 2 11 4 2 8 2" xfId="38172" xr:uid="{00000000-0005-0000-0000-000029950000}"/>
    <cellStyle name="Positive 4 2 11 4 2 9" xfId="38173" xr:uid="{00000000-0005-0000-0000-00002A950000}"/>
    <cellStyle name="Positive 4 2 11 4 2 9 2" xfId="38174" xr:uid="{00000000-0005-0000-0000-00002B950000}"/>
    <cellStyle name="Positive 4 2 11 4 20" xfId="38175" xr:uid="{00000000-0005-0000-0000-00002C950000}"/>
    <cellStyle name="Positive 4 2 11 4 3" xfId="38176" xr:uid="{00000000-0005-0000-0000-00002D950000}"/>
    <cellStyle name="Positive 4 2 11 4 3 2" xfId="38177" xr:uid="{00000000-0005-0000-0000-00002E950000}"/>
    <cellStyle name="Positive 4 2 11 4 3 2 2" xfId="38178" xr:uid="{00000000-0005-0000-0000-00002F950000}"/>
    <cellStyle name="Positive 4 2 11 4 3 3" xfId="38179" xr:uid="{00000000-0005-0000-0000-000030950000}"/>
    <cellStyle name="Positive 4 2 11 4 4" xfId="38180" xr:uid="{00000000-0005-0000-0000-000031950000}"/>
    <cellStyle name="Positive 4 2 11 4 4 2" xfId="38181" xr:uid="{00000000-0005-0000-0000-000032950000}"/>
    <cellStyle name="Positive 4 2 11 4 4 2 2" xfId="38182" xr:uid="{00000000-0005-0000-0000-000033950000}"/>
    <cellStyle name="Positive 4 2 11 4 4 3" xfId="38183" xr:uid="{00000000-0005-0000-0000-000034950000}"/>
    <cellStyle name="Positive 4 2 11 4 5" xfId="38184" xr:uid="{00000000-0005-0000-0000-000035950000}"/>
    <cellStyle name="Positive 4 2 11 4 5 2" xfId="38185" xr:uid="{00000000-0005-0000-0000-000036950000}"/>
    <cellStyle name="Positive 4 2 11 4 6" xfId="38186" xr:uid="{00000000-0005-0000-0000-000037950000}"/>
    <cellStyle name="Positive 4 2 11 4 6 2" xfId="38187" xr:uid="{00000000-0005-0000-0000-000038950000}"/>
    <cellStyle name="Positive 4 2 11 4 7" xfId="38188" xr:uid="{00000000-0005-0000-0000-000039950000}"/>
    <cellStyle name="Positive 4 2 11 4 7 2" xfId="38189" xr:uid="{00000000-0005-0000-0000-00003A950000}"/>
    <cellStyle name="Positive 4 2 11 4 8" xfId="38190" xr:uid="{00000000-0005-0000-0000-00003B950000}"/>
    <cellStyle name="Positive 4 2 11 4 8 2" xfId="38191" xr:uid="{00000000-0005-0000-0000-00003C950000}"/>
    <cellStyle name="Positive 4 2 11 4 9" xfId="38192" xr:uid="{00000000-0005-0000-0000-00003D950000}"/>
    <cellStyle name="Positive 4 2 11 4 9 2" xfId="38193" xr:uid="{00000000-0005-0000-0000-00003E950000}"/>
    <cellStyle name="Positive 4 2 11 5" xfId="38194" xr:uid="{00000000-0005-0000-0000-00003F950000}"/>
    <cellStyle name="Positive 4 2 11 5 10" xfId="38195" xr:uid="{00000000-0005-0000-0000-000040950000}"/>
    <cellStyle name="Positive 4 2 11 5 10 2" xfId="38196" xr:uid="{00000000-0005-0000-0000-000041950000}"/>
    <cellStyle name="Positive 4 2 11 5 11" xfId="38197" xr:uid="{00000000-0005-0000-0000-000042950000}"/>
    <cellStyle name="Positive 4 2 11 5 11 2" xfId="38198" xr:uid="{00000000-0005-0000-0000-000043950000}"/>
    <cellStyle name="Positive 4 2 11 5 12" xfId="38199" xr:uid="{00000000-0005-0000-0000-000044950000}"/>
    <cellStyle name="Positive 4 2 11 5 12 2" xfId="38200" xr:uid="{00000000-0005-0000-0000-000045950000}"/>
    <cellStyle name="Positive 4 2 11 5 13" xfId="38201" xr:uid="{00000000-0005-0000-0000-000046950000}"/>
    <cellStyle name="Positive 4 2 11 5 13 2" xfId="38202" xr:uid="{00000000-0005-0000-0000-000047950000}"/>
    <cellStyle name="Positive 4 2 11 5 14" xfId="38203" xr:uid="{00000000-0005-0000-0000-000048950000}"/>
    <cellStyle name="Positive 4 2 11 5 14 2" xfId="38204" xr:uid="{00000000-0005-0000-0000-000049950000}"/>
    <cellStyle name="Positive 4 2 11 5 15" xfId="38205" xr:uid="{00000000-0005-0000-0000-00004A950000}"/>
    <cellStyle name="Positive 4 2 11 5 15 2" xfId="38206" xr:uid="{00000000-0005-0000-0000-00004B950000}"/>
    <cellStyle name="Positive 4 2 11 5 16" xfId="38207" xr:uid="{00000000-0005-0000-0000-00004C950000}"/>
    <cellStyle name="Positive 4 2 11 5 16 2" xfId="38208" xr:uid="{00000000-0005-0000-0000-00004D950000}"/>
    <cellStyle name="Positive 4 2 11 5 17" xfId="38209" xr:uid="{00000000-0005-0000-0000-00004E950000}"/>
    <cellStyle name="Positive 4 2 11 5 2" xfId="38210" xr:uid="{00000000-0005-0000-0000-00004F950000}"/>
    <cellStyle name="Positive 4 2 11 5 2 2" xfId="38211" xr:uid="{00000000-0005-0000-0000-000050950000}"/>
    <cellStyle name="Positive 4 2 11 5 3" xfId="38212" xr:uid="{00000000-0005-0000-0000-000051950000}"/>
    <cellStyle name="Positive 4 2 11 5 3 2" xfId="38213" xr:uid="{00000000-0005-0000-0000-000052950000}"/>
    <cellStyle name="Positive 4 2 11 5 4" xfId="38214" xr:uid="{00000000-0005-0000-0000-000053950000}"/>
    <cellStyle name="Positive 4 2 11 5 4 2" xfId="38215" xr:uid="{00000000-0005-0000-0000-000054950000}"/>
    <cellStyle name="Positive 4 2 11 5 5" xfId="38216" xr:uid="{00000000-0005-0000-0000-000055950000}"/>
    <cellStyle name="Positive 4 2 11 5 5 2" xfId="38217" xr:uid="{00000000-0005-0000-0000-000056950000}"/>
    <cellStyle name="Positive 4 2 11 5 6" xfId="38218" xr:uid="{00000000-0005-0000-0000-000057950000}"/>
    <cellStyle name="Positive 4 2 11 5 6 2" xfId="38219" xr:uid="{00000000-0005-0000-0000-000058950000}"/>
    <cellStyle name="Positive 4 2 11 5 7" xfId="38220" xr:uid="{00000000-0005-0000-0000-000059950000}"/>
    <cellStyle name="Positive 4 2 11 5 7 2" xfId="38221" xr:uid="{00000000-0005-0000-0000-00005A950000}"/>
    <cellStyle name="Positive 4 2 11 5 8" xfId="38222" xr:uid="{00000000-0005-0000-0000-00005B950000}"/>
    <cellStyle name="Positive 4 2 11 5 8 2" xfId="38223" xr:uid="{00000000-0005-0000-0000-00005C950000}"/>
    <cellStyle name="Positive 4 2 11 5 9" xfId="38224" xr:uid="{00000000-0005-0000-0000-00005D950000}"/>
    <cellStyle name="Positive 4 2 11 5 9 2" xfId="38225" xr:uid="{00000000-0005-0000-0000-00005E950000}"/>
    <cellStyle name="Positive 4 2 11 6" xfId="38226" xr:uid="{00000000-0005-0000-0000-00005F950000}"/>
    <cellStyle name="Positive 4 2 11 6 2" xfId="38227" xr:uid="{00000000-0005-0000-0000-000060950000}"/>
    <cellStyle name="Positive 4 2 11 6 2 2" xfId="38228" xr:uid="{00000000-0005-0000-0000-000061950000}"/>
    <cellStyle name="Positive 4 2 11 6 3" xfId="38229" xr:uid="{00000000-0005-0000-0000-000062950000}"/>
    <cellStyle name="Positive 4 2 11 7" xfId="38230" xr:uid="{00000000-0005-0000-0000-000063950000}"/>
    <cellStyle name="Positive 4 2 11 7 2" xfId="38231" xr:uid="{00000000-0005-0000-0000-000064950000}"/>
    <cellStyle name="Positive 4 2 11 7 2 2" xfId="38232" xr:uid="{00000000-0005-0000-0000-000065950000}"/>
    <cellStyle name="Positive 4 2 11 7 3" xfId="38233" xr:uid="{00000000-0005-0000-0000-000066950000}"/>
    <cellStyle name="Positive 4 2 11 8" xfId="38234" xr:uid="{00000000-0005-0000-0000-000067950000}"/>
    <cellStyle name="Positive 4 2 11 8 2" xfId="38235" xr:uid="{00000000-0005-0000-0000-000068950000}"/>
    <cellStyle name="Positive 4 2 11 9" xfId="38236" xr:uid="{00000000-0005-0000-0000-000069950000}"/>
    <cellStyle name="Positive 4 2 11 9 2" xfId="38237" xr:uid="{00000000-0005-0000-0000-00006A950000}"/>
    <cellStyle name="Positive 4 2 12" xfId="38238" xr:uid="{00000000-0005-0000-0000-00006B950000}"/>
    <cellStyle name="Positive 4 2 12 10" xfId="38239" xr:uid="{00000000-0005-0000-0000-00006C950000}"/>
    <cellStyle name="Positive 4 2 12 10 2" xfId="38240" xr:uid="{00000000-0005-0000-0000-00006D950000}"/>
    <cellStyle name="Positive 4 2 12 11" xfId="38241" xr:uid="{00000000-0005-0000-0000-00006E950000}"/>
    <cellStyle name="Positive 4 2 12 11 2" xfId="38242" xr:uid="{00000000-0005-0000-0000-00006F950000}"/>
    <cellStyle name="Positive 4 2 12 12" xfId="38243" xr:uid="{00000000-0005-0000-0000-000070950000}"/>
    <cellStyle name="Positive 4 2 12 12 2" xfId="38244" xr:uid="{00000000-0005-0000-0000-000071950000}"/>
    <cellStyle name="Positive 4 2 12 13" xfId="38245" xr:uid="{00000000-0005-0000-0000-000072950000}"/>
    <cellStyle name="Positive 4 2 12 13 2" xfId="38246" xr:uid="{00000000-0005-0000-0000-000073950000}"/>
    <cellStyle name="Positive 4 2 12 14" xfId="38247" xr:uid="{00000000-0005-0000-0000-000074950000}"/>
    <cellStyle name="Positive 4 2 12 14 2" xfId="38248" xr:uid="{00000000-0005-0000-0000-000075950000}"/>
    <cellStyle name="Positive 4 2 12 15" xfId="38249" xr:uid="{00000000-0005-0000-0000-000076950000}"/>
    <cellStyle name="Positive 4 2 12 15 2" xfId="38250" xr:uid="{00000000-0005-0000-0000-000077950000}"/>
    <cellStyle name="Positive 4 2 12 16" xfId="38251" xr:uid="{00000000-0005-0000-0000-000078950000}"/>
    <cellStyle name="Positive 4 2 12 16 2" xfId="38252" xr:uid="{00000000-0005-0000-0000-000079950000}"/>
    <cellStyle name="Positive 4 2 12 17" xfId="38253" xr:uid="{00000000-0005-0000-0000-00007A950000}"/>
    <cellStyle name="Positive 4 2 12 17 2" xfId="38254" xr:uid="{00000000-0005-0000-0000-00007B950000}"/>
    <cellStyle name="Positive 4 2 12 18" xfId="38255" xr:uid="{00000000-0005-0000-0000-00007C950000}"/>
    <cellStyle name="Positive 4 2 12 18 2" xfId="38256" xr:uid="{00000000-0005-0000-0000-00007D950000}"/>
    <cellStyle name="Positive 4 2 12 19" xfId="38257" xr:uid="{00000000-0005-0000-0000-00007E950000}"/>
    <cellStyle name="Positive 4 2 12 19 2" xfId="38258" xr:uid="{00000000-0005-0000-0000-00007F950000}"/>
    <cellStyle name="Positive 4 2 12 2" xfId="38259" xr:uid="{00000000-0005-0000-0000-000080950000}"/>
    <cellStyle name="Positive 4 2 12 2 10" xfId="38260" xr:uid="{00000000-0005-0000-0000-000081950000}"/>
    <cellStyle name="Positive 4 2 12 2 10 2" xfId="38261" xr:uid="{00000000-0005-0000-0000-000082950000}"/>
    <cellStyle name="Positive 4 2 12 2 11" xfId="38262" xr:uid="{00000000-0005-0000-0000-000083950000}"/>
    <cellStyle name="Positive 4 2 12 2 11 2" xfId="38263" xr:uid="{00000000-0005-0000-0000-000084950000}"/>
    <cellStyle name="Positive 4 2 12 2 12" xfId="38264" xr:uid="{00000000-0005-0000-0000-000085950000}"/>
    <cellStyle name="Positive 4 2 12 2 12 2" xfId="38265" xr:uid="{00000000-0005-0000-0000-000086950000}"/>
    <cellStyle name="Positive 4 2 12 2 13" xfId="38266" xr:uid="{00000000-0005-0000-0000-000087950000}"/>
    <cellStyle name="Positive 4 2 12 2 13 2" xfId="38267" xr:uid="{00000000-0005-0000-0000-000088950000}"/>
    <cellStyle name="Positive 4 2 12 2 14" xfId="38268" xr:uid="{00000000-0005-0000-0000-000089950000}"/>
    <cellStyle name="Positive 4 2 12 2 14 2" xfId="38269" xr:uid="{00000000-0005-0000-0000-00008A950000}"/>
    <cellStyle name="Positive 4 2 12 2 15" xfId="38270" xr:uid="{00000000-0005-0000-0000-00008B950000}"/>
    <cellStyle name="Positive 4 2 12 2 15 2" xfId="38271" xr:uid="{00000000-0005-0000-0000-00008C950000}"/>
    <cellStyle name="Positive 4 2 12 2 16" xfId="38272" xr:uid="{00000000-0005-0000-0000-00008D950000}"/>
    <cellStyle name="Positive 4 2 12 2 16 2" xfId="38273" xr:uid="{00000000-0005-0000-0000-00008E950000}"/>
    <cellStyle name="Positive 4 2 12 2 17" xfId="38274" xr:uid="{00000000-0005-0000-0000-00008F950000}"/>
    <cellStyle name="Positive 4 2 12 2 17 2" xfId="38275" xr:uid="{00000000-0005-0000-0000-000090950000}"/>
    <cellStyle name="Positive 4 2 12 2 18" xfId="38276" xr:uid="{00000000-0005-0000-0000-000091950000}"/>
    <cellStyle name="Positive 4 2 12 2 18 2" xfId="38277" xr:uid="{00000000-0005-0000-0000-000092950000}"/>
    <cellStyle name="Positive 4 2 12 2 19" xfId="38278" xr:uid="{00000000-0005-0000-0000-000093950000}"/>
    <cellStyle name="Positive 4 2 12 2 19 2" xfId="38279" xr:uid="{00000000-0005-0000-0000-000094950000}"/>
    <cellStyle name="Positive 4 2 12 2 2" xfId="38280" xr:uid="{00000000-0005-0000-0000-000095950000}"/>
    <cellStyle name="Positive 4 2 12 2 2 10" xfId="38281" xr:uid="{00000000-0005-0000-0000-000096950000}"/>
    <cellStyle name="Positive 4 2 12 2 2 10 2" xfId="38282" xr:uid="{00000000-0005-0000-0000-000097950000}"/>
    <cellStyle name="Positive 4 2 12 2 2 11" xfId="38283" xr:uid="{00000000-0005-0000-0000-000098950000}"/>
    <cellStyle name="Positive 4 2 12 2 2 11 2" xfId="38284" xr:uid="{00000000-0005-0000-0000-000099950000}"/>
    <cellStyle name="Positive 4 2 12 2 2 12" xfId="38285" xr:uid="{00000000-0005-0000-0000-00009A950000}"/>
    <cellStyle name="Positive 4 2 12 2 2 12 2" xfId="38286" xr:uid="{00000000-0005-0000-0000-00009B950000}"/>
    <cellStyle name="Positive 4 2 12 2 2 13" xfId="38287" xr:uid="{00000000-0005-0000-0000-00009C950000}"/>
    <cellStyle name="Positive 4 2 12 2 2 13 2" xfId="38288" xr:uid="{00000000-0005-0000-0000-00009D950000}"/>
    <cellStyle name="Positive 4 2 12 2 2 14" xfId="38289" xr:uid="{00000000-0005-0000-0000-00009E950000}"/>
    <cellStyle name="Positive 4 2 12 2 2 14 2" xfId="38290" xr:uid="{00000000-0005-0000-0000-00009F950000}"/>
    <cellStyle name="Positive 4 2 12 2 2 15" xfId="38291" xr:uid="{00000000-0005-0000-0000-0000A0950000}"/>
    <cellStyle name="Positive 4 2 12 2 2 15 2" xfId="38292" xr:uid="{00000000-0005-0000-0000-0000A1950000}"/>
    <cellStyle name="Positive 4 2 12 2 2 16" xfId="38293" xr:uid="{00000000-0005-0000-0000-0000A2950000}"/>
    <cellStyle name="Positive 4 2 12 2 2 16 2" xfId="38294" xr:uid="{00000000-0005-0000-0000-0000A3950000}"/>
    <cellStyle name="Positive 4 2 12 2 2 17" xfId="38295" xr:uid="{00000000-0005-0000-0000-0000A4950000}"/>
    <cellStyle name="Positive 4 2 12 2 2 2" xfId="38296" xr:uid="{00000000-0005-0000-0000-0000A5950000}"/>
    <cellStyle name="Positive 4 2 12 2 2 2 2" xfId="38297" xr:uid="{00000000-0005-0000-0000-0000A6950000}"/>
    <cellStyle name="Positive 4 2 12 2 2 3" xfId="38298" xr:uid="{00000000-0005-0000-0000-0000A7950000}"/>
    <cellStyle name="Positive 4 2 12 2 2 3 2" xfId="38299" xr:uid="{00000000-0005-0000-0000-0000A8950000}"/>
    <cellStyle name="Positive 4 2 12 2 2 4" xfId="38300" xr:uid="{00000000-0005-0000-0000-0000A9950000}"/>
    <cellStyle name="Positive 4 2 12 2 2 4 2" xfId="38301" xr:uid="{00000000-0005-0000-0000-0000AA950000}"/>
    <cellStyle name="Positive 4 2 12 2 2 5" xfId="38302" xr:uid="{00000000-0005-0000-0000-0000AB950000}"/>
    <cellStyle name="Positive 4 2 12 2 2 5 2" xfId="38303" xr:uid="{00000000-0005-0000-0000-0000AC950000}"/>
    <cellStyle name="Positive 4 2 12 2 2 6" xfId="38304" xr:uid="{00000000-0005-0000-0000-0000AD950000}"/>
    <cellStyle name="Positive 4 2 12 2 2 6 2" xfId="38305" xr:uid="{00000000-0005-0000-0000-0000AE950000}"/>
    <cellStyle name="Positive 4 2 12 2 2 7" xfId="38306" xr:uid="{00000000-0005-0000-0000-0000AF950000}"/>
    <cellStyle name="Positive 4 2 12 2 2 7 2" xfId="38307" xr:uid="{00000000-0005-0000-0000-0000B0950000}"/>
    <cellStyle name="Positive 4 2 12 2 2 8" xfId="38308" xr:uid="{00000000-0005-0000-0000-0000B1950000}"/>
    <cellStyle name="Positive 4 2 12 2 2 8 2" xfId="38309" xr:uid="{00000000-0005-0000-0000-0000B2950000}"/>
    <cellStyle name="Positive 4 2 12 2 2 9" xfId="38310" xr:uid="{00000000-0005-0000-0000-0000B3950000}"/>
    <cellStyle name="Positive 4 2 12 2 2 9 2" xfId="38311" xr:uid="{00000000-0005-0000-0000-0000B4950000}"/>
    <cellStyle name="Positive 4 2 12 2 20" xfId="38312" xr:uid="{00000000-0005-0000-0000-0000B5950000}"/>
    <cellStyle name="Positive 4 2 12 2 3" xfId="38313" xr:uid="{00000000-0005-0000-0000-0000B6950000}"/>
    <cellStyle name="Positive 4 2 12 2 3 2" xfId="38314" xr:uid="{00000000-0005-0000-0000-0000B7950000}"/>
    <cellStyle name="Positive 4 2 12 2 3 2 2" xfId="38315" xr:uid="{00000000-0005-0000-0000-0000B8950000}"/>
    <cellStyle name="Positive 4 2 12 2 3 3" xfId="38316" xr:uid="{00000000-0005-0000-0000-0000B9950000}"/>
    <cellStyle name="Positive 4 2 12 2 4" xfId="38317" xr:uid="{00000000-0005-0000-0000-0000BA950000}"/>
    <cellStyle name="Positive 4 2 12 2 4 2" xfId="38318" xr:uid="{00000000-0005-0000-0000-0000BB950000}"/>
    <cellStyle name="Positive 4 2 12 2 4 2 2" xfId="38319" xr:uid="{00000000-0005-0000-0000-0000BC950000}"/>
    <cellStyle name="Positive 4 2 12 2 4 3" xfId="38320" xr:uid="{00000000-0005-0000-0000-0000BD950000}"/>
    <cellStyle name="Positive 4 2 12 2 5" xfId="38321" xr:uid="{00000000-0005-0000-0000-0000BE950000}"/>
    <cellStyle name="Positive 4 2 12 2 5 2" xfId="38322" xr:uid="{00000000-0005-0000-0000-0000BF950000}"/>
    <cellStyle name="Positive 4 2 12 2 6" xfId="38323" xr:uid="{00000000-0005-0000-0000-0000C0950000}"/>
    <cellStyle name="Positive 4 2 12 2 6 2" xfId="38324" xr:uid="{00000000-0005-0000-0000-0000C1950000}"/>
    <cellStyle name="Positive 4 2 12 2 7" xfId="38325" xr:uid="{00000000-0005-0000-0000-0000C2950000}"/>
    <cellStyle name="Positive 4 2 12 2 7 2" xfId="38326" xr:uid="{00000000-0005-0000-0000-0000C3950000}"/>
    <cellStyle name="Positive 4 2 12 2 8" xfId="38327" xr:uid="{00000000-0005-0000-0000-0000C4950000}"/>
    <cellStyle name="Positive 4 2 12 2 8 2" xfId="38328" xr:uid="{00000000-0005-0000-0000-0000C5950000}"/>
    <cellStyle name="Positive 4 2 12 2 9" xfId="38329" xr:uid="{00000000-0005-0000-0000-0000C6950000}"/>
    <cellStyle name="Positive 4 2 12 2 9 2" xfId="38330" xr:uid="{00000000-0005-0000-0000-0000C7950000}"/>
    <cellStyle name="Positive 4 2 12 20" xfId="38331" xr:uid="{00000000-0005-0000-0000-0000C8950000}"/>
    <cellStyle name="Positive 4 2 12 20 2" xfId="38332" xr:uid="{00000000-0005-0000-0000-0000C9950000}"/>
    <cellStyle name="Positive 4 2 12 21" xfId="38333" xr:uid="{00000000-0005-0000-0000-0000CA950000}"/>
    <cellStyle name="Positive 4 2 12 21 2" xfId="38334" xr:uid="{00000000-0005-0000-0000-0000CB950000}"/>
    <cellStyle name="Positive 4 2 12 22" xfId="38335" xr:uid="{00000000-0005-0000-0000-0000CC950000}"/>
    <cellStyle name="Positive 4 2 12 22 2" xfId="38336" xr:uid="{00000000-0005-0000-0000-0000CD950000}"/>
    <cellStyle name="Positive 4 2 12 23" xfId="38337" xr:uid="{00000000-0005-0000-0000-0000CE950000}"/>
    <cellStyle name="Positive 4 2 12 3" xfId="38338" xr:uid="{00000000-0005-0000-0000-0000CF950000}"/>
    <cellStyle name="Positive 4 2 12 3 10" xfId="38339" xr:uid="{00000000-0005-0000-0000-0000D0950000}"/>
    <cellStyle name="Positive 4 2 12 3 10 2" xfId="38340" xr:uid="{00000000-0005-0000-0000-0000D1950000}"/>
    <cellStyle name="Positive 4 2 12 3 11" xfId="38341" xr:uid="{00000000-0005-0000-0000-0000D2950000}"/>
    <cellStyle name="Positive 4 2 12 3 11 2" xfId="38342" xr:uid="{00000000-0005-0000-0000-0000D3950000}"/>
    <cellStyle name="Positive 4 2 12 3 12" xfId="38343" xr:uid="{00000000-0005-0000-0000-0000D4950000}"/>
    <cellStyle name="Positive 4 2 12 3 12 2" xfId="38344" xr:uid="{00000000-0005-0000-0000-0000D5950000}"/>
    <cellStyle name="Positive 4 2 12 3 13" xfId="38345" xr:uid="{00000000-0005-0000-0000-0000D6950000}"/>
    <cellStyle name="Positive 4 2 12 3 13 2" xfId="38346" xr:uid="{00000000-0005-0000-0000-0000D7950000}"/>
    <cellStyle name="Positive 4 2 12 3 14" xfId="38347" xr:uid="{00000000-0005-0000-0000-0000D8950000}"/>
    <cellStyle name="Positive 4 2 12 3 14 2" xfId="38348" xr:uid="{00000000-0005-0000-0000-0000D9950000}"/>
    <cellStyle name="Positive 4 2 12 3 15" xfId="38349" xr:uid="{00000000-0005-0000-0000-0000DA950000}"/>
    <cellStyle name="Positive 4 2 12 3 15 2" xfId="38350" xr:uid="{00000000-0005-0000-0000-0000DB950000}"/>
    <cellStyle name="Positive 4 2 12 3 16" xfId="38351" xr:uid="{00000000-0005-0000-0000-0000DC950000}"/>
    <cellStyle name="Positive 4 2 12 3 16 2" xfId="38352" xr:uid="{00000000-0005-0000-0000-0000DD950000}"/>
    <cellStyle name="Positive 4 2 12 3 17" xfId="38353" xr:uid="{00000000-0005-0000-0000-0000DE950000}"/>
    <cellStyle name="Positive 4 2 12 3 17 2" xfId="38354" xr:uid="{00000000-0005-0000-0000-0000DF950000}"/>
    <cellStyle name="Positive 4 2 12 3 18" xfId="38355" xr:uid="{00000000-0005-0000-0000-0000E0950000}"/>
    <cellStyle name="Positive 4 2 12 3 18 2" xfId="38356" xr:uid="{00000000-0005-0000-0000-0000E1950000}"/>
    <cellStyle name="Positive 4 2 12 3 19" xfId="38357" xr:uid="{00000000-0005-0000-0000-0000E2950000}"/>
    <cellStyle name="Positive 4 2 12 3 19 2" xfId="38358" xr:uid="{00000000-0005-0000-0000-0000E3950000}"/>
    <cellStyle name="Positive 4 2 12 3 2" xfId="38359" xr:uid="{00000000-0005-0000-0000-0000E4950000}"/>
    <cellStyle name="Positive 4 2 12 3 2 10" xfId="38360" xr:uid="{00000000-0005-0000-0000-0000E5950000}"/>
    <cellStyle name="Positive 4 2 12 3 2 10 2" xfId="38361" xr:uid="{00000000-0005-0000-0000-0000E6950000}"/>
    <cellStyle name="Positive 4 2 12 3 2 11" xfId="38362" xr:uid="{00000000-0005-0000-0000-0000E7950000}"/>
    <cellStyle name="Positive 4 2 12 3 2 11 2" xfId="38363" xr:uid="{00000000-0005-0000-0000-0000E8950000}"/>
    <cellStyle name="Positive 4 2 12 3 2 12" xfId="38364" xr:uid="{00000000-0005-0000-0000-0000E9950000}"/>
    <cellStyle name="Positive 4 2 12 3 2 12 2" xfId="38365" xr:uid="{00000000-0005-0000-0000-0000EA950000}"/>
    <cellStyle name="Positive 4 2 12 3 2 13" xfId="38366" xr:uid="{00000000-0005-0000-0000-0000EB950000}"/>
    <cellStyle name="Positive 4 2 12 3 2 13 2" xfId="38367" xr:uid="{00000000-0005-0000-0000-0000EC950000}"/>
    <cellStyle name="Positive 4 2 12 3 2 14" xfId="38368" xr:uid="{00000000-0005-0000-0000-0000ED950000}"/>
    <cellStyle name="Positive 4 2 12 3 2 14 2" xfId="38369" xr:uid="{00000000-0005-0000-0000-0000EE950000}"/>
    <cellStyle name="Positive 4 2 12 3 2 15" xfId="38370" xr:uid="{00000000-0005-0000-0000-0000EF950000}"/>
    <cellStyle name="Positive 4 2 12 3 2 15 2" xfId="38371" xr:uid="{00000000-0005-0000-0000-0000F0950000}"/>
    <cellStyle name="Positive 4 2 12 3 2 16" xfId="38372" xr:uid="{00000000-0005-0000-0000-0000F1950000}"/>
    <cellStyle name="Positive 4 2 12 3 2 16 2" xfId="38373" xr:uid="{00000000-0005-0000-0000-0000F2950000}"/>
    <cellStyle name="Positive 4 2 12 3 2 17" xfId="38374" xr:uid="{00000000-0005-0000-0000-0000F3950000}"/>
    <cellStyle name="Positive 4 2 12 3 2 2" xfId="38375" xr:uid="{00000000-0005-0000-0000-0000F4950000}"/>
    <cellStyle name="Positive 4 2 12 3 2 2 2" xfId="38376" xr:uid="{00000000-0005-0000-0000-0000F5950000}"/>
    <cellStyle name="Positive 4 2 12 3 2 3" xfId="38377" xr:uid="{00000000-0005-0000-0000-0000F6950000}"/>
    <cellStyle name="Positive 4 2 12 3 2 3 2" xfId="38378" xr:uid="{00000000-0005-0000-0000-0000F7950000}"/>
    <cellStyle name="Positive 4 2 12 3 2 4" xfId="38379" xr:uid="{00000000-0005-0000-0000-0000F8950000}"/>
    <cellStyle name="Positive 4 2 12 3 2 4 2" xfId="38380" xr:uid="{00000000-0005-0000-0000-0000F9950000}"/>
    <cellStyle name="Positive 4 2 12 3 2 5" xfId="38381" xr:uid="{00000000-0005-0000-0000-0000FA950000}"/>
    <cellStyle name="Positive 4 2 12 3 2 5 2" xfId="38382" xr:uid="{00000000-0005-0000-0000-0000FB950000}"/>
    <cellStyle name="Positive 4 2 12 3 2 6" xfId="38383" xr:uid="{00000000-0005-0000-0000-0000FC950000}"/>
    <cellStyle name="Positive 4 2 12 3 2 6 2" xfId="38384" xr:uid="{00000000-0005-0000-0000-0000FD950000}"/>
    <cellStyle name="Positive 4 2 12 3 2 7" xfId="38385" xr:uid="{00000000-0005-0000-0000-0000FE950000}"/>
    <cellStyle name="Positive 4 2 12 3 2 7 2" xfId="38386" xr:uid="{00000000-0005-0000-0000-0000FF950000}"/>
    <cellStyle name="Positive 4 2 12 3 2 8" xfId="38387" xr:uid="{00000000-0005-0000-0000-000000960000}"/>
    <cellStyle name="Positive 4 2 12 3 2 8 2" xfId="38388" xr:uid="{00000000-0005-0000-0000-000001960000}"/>
    <cellStyle name="Positive 4 2 12 3 2 9" xfId="38389" xr:uid="{00000000-0005-0000-0000-000002960000}"/>
    <cellStyle name="Positive 4 2 12 3 2 9 2" xfId="38390" xr:uid="{00000000-0005-0000-0000-000003960000}"/>
    <cellStyle name="Positive 4 2 12 3 20" xfId="38391" xr:uid="{00000000-0005-0000-0000-000004960000}"/>
    <cellStyle name="Positive 4 2 12 3 3" xfId="38392" xr:uid="{00000000-0005-0000-0000-000005960000}"/>
    <cellStyle name="Positive 4 2 12 3 3 2" xfId="38393" xr:uid="{00000000-0005-0000-0000-000006960000}"/>
    <cellStyle name="Positive 4 2 12 3 3 2 2" xfId="38394" xr:uid="{00000000-0005-0000-0000-000007960000}"/>
    <cellStyle name="Positive 4 2 12 3 3 3" xfId="38395" xr:uid="{00000000-0005-0000-0000-000008960000}"/>
    <cellStyle name="Positive 4 2 12 3 4" xfId="38396" xr:uid="{00000000-0005-0000-0000-000009960000}"/>
    <cellStyle name="Positive 4 2 12 3 4 2" xfId="38397" xr:uid="{00000000-0005-0000-0000-00000A960000}"/>
    <cellStyle name="Positive 4 2 12 3 4 2 2" xfId="38398" xr:uid="{00000000-0005-0000-0000-00000B960000}"/>
    <cellStyle name="Positive 4 2 12 3 4 3" xfId="38399" xr:uid="{00000000-0005-0000-0000-00000C960000}"/>
    <cellStyle name="Positive 4 2 12 3 5" xfId="38400" xr:uid="{00000000-0005-0000-0000-00000D960000}"/>
    <cellStyle name="Positive 4 2 12 3 5 2" xfId="38401" xr:uid="{00000000-0005-0000-0000-00000E960000}"/>
    <cellStyle name="Positive 4 2 12 3 6" xfId="38402" xr:uid="{00000000-0005-0000-0000-00000F960000}"/>
    <cellStyle name="Positive 4 2 12 3 6 2" xfId="38403" xr:uid="{00000000-0005-0000-0000-000010960000}"/>
    <cellStyle name="Positive 4 2 12 3 7" xfId="38404" xr:uid="{00000000-0005-0000-0000-000011960000}"/>
    <cellStyle name="Positive 4 2 12 3 7 2" xfId="38405" xr:uid="{00000000-0005-0000-0000-000012960000}"/>
    <cellStyle name="Positive 4 2 12 3 8" xfId="38406" xr:uid="{00000000-0005-0000-0000-000013960000}"/>
    <cellStyle name="Positive 4 2 12 3 8 2" xfId="38407" xr:uid="{00000000-0005-0000-0000-000014960000}"/>
    <cellStyle name="Positive 4 2 12 3 9" xfId="38408" xr:uid="{00000000-0005-0000-0000-000015960000}"/>
    <cellStyle name="Positive 4 2 12 3 9 2" xfId="38409" xr:uid="{00000000-0005-0000-0000-000016960000}"/>
    <cellStyle name="Positive 4 2 12 4" xfId="38410" xr:uid="{00000000-0005-0000-0000-000017960000}"/>
    <cellStyle name="Positive 4 2 12 4 10" xfId="38411" xr:uid="{00000000-0005-0000-0000-000018960000}"/>
    <cellStyle name="Positive 4 2 12 4 10 2" xfId="38412" xr:uid="{00000000-0005-0000-0000-000019960000}"/>
    <cellStyle name="Positive 4 2 12 4 11" xfId="38413" xr:uid="{00000000-0005-0000-0000-00001A960000}"/>
    <cellStyle name="Positive 4 2 12 4 11 2" xfId="38414" xr:uid="{00000000-0005-0000-0000-00001B960000}"/>
    <cellStyle name="Positive 4 2 12 4 12" xfId="38415" xr:uid="{00000000-0005-0000-0000-00001C960000}"/>
    <cellStyle name="Positive 4 2 12 4 12 2" xfId="38416" xr:uid="{00000000-0005-0000-0000-00001D960000}"/>
    <cellStyle name="Positive 4 2 12 4 13" xfId="38417" xr:uid="{00000000-0005-0000-0000-00001E960000}"/>
    <cellStyle name="Positive 4 2 12 4 13 2" xfId="38418" xr:uid="{00000000-0005-0000-0000-00001F960000}"/>
    <cellStyle name="Positive 4 2 12 4 14" xfId="38419" xr:uid="{00000000-0005-0000-0000-000020960000}"/>
    <cellStyle name="Positive 4 2 12 4 14 2" xfId="38420" xr:uid="{00000000-0005-0000-0000-000021960000}"/>
    <cellStyle name="Positive 4 2 12 4 15" xfId="38421" xr:uid="{00000000-0005-0000-0000-000022960000}"/>
    <cellStyle name="Positive 4 2 12 4 15 2" xfId="38422" xr:uid="{00000000-0005-0000-0000-000023960000}"/>
    <cellStyle name="Positive 4 2 12 4 16" xfId="38423" xr:uid="{00000000-0005-0000-0000-000024960000}"/>
    <cellStyle name="Positive 4 2 12 4 16 2" xfId="38424" xr:uid="{00000000-0005-0000-0000-000025960000}"/>
    <cellStyle name="Positive 4 2 12 4 17" xfId="38425" xr:uid="{00000000-0005-0000-0000-000026960000}"/>
    <cellStyle name="Positive 4 2 12 4 17 2" xfId="38426" xr:uid="{00000000-0005-0000-0000-000027960000}"/>
    <cellStyle name="Positive 4 2 12 4 18" xfId="38427" xr:uid="{00000000-0005-0000-0000-000028960000}"/>
    <cellStyle name="Positive 4 2 12 4 18 2" xfId="38428" xr:uid="{00000000-0005-0000-0000-000029960000}"/>
    <cellStyle name="Positive 4 2 12 4 19" xfId="38429" xr:uid="{00000000-0005-0000-0000-00002A960000}"/>
    <cellStyle name="Positive 4 2 12 4 19 2" xfId="38430" xr:uid="{00000000-0005-0000-0000-00002B960000}"/>
    <cellStyle name="Positive 4 2 12 4 2" xfId="38431" xr:uid="{00000000-0005-0000-0000-00002C960000}"/>
    <cellStyle name="Positive 4 2 12 4 2 10" xfId="38432" xr:uid="{00000000-0005-0000-0000-00002D960000}"/>
    <cellStyle name="Positive 4 2 12 4 2 10 2" xfId="38433" xr:uid="{00000000-0005-0000-0000-00002E960000}"/>
    <cellStyle name="Positive 4 2 12 4 2 11" xfId="38434" xr:uid="{00000000-0005-0000-0000-00002F960000}"/>
    <cellStyle name="Positive 4 2 12 4 2 11 2" xfId="38435" xr:uid="{00000000-0005-0000-0000-000030960000}"/>
    <cellStyle name="Positive 4 2 12 4 2 12" xfId="38436" xr:uid="{00000000-0005-0000-0000-000031960000}"/>
    <cellStyle name="Positive 4 2 12 4 2 12 2" xfId="38437" xr:uid="{00000000-0005-0000-0000-000032960000}"/>
    <cellStyle name="Positive 4 2 12 4 2 13" xfId="38438" xr:uid="{00000000-0005-0000-0000-000033960000}"/>
    <cellStyle name="Positive 4 2 12 4 2 13 2" xfId="38439" xr:uid="{00000000-0005-0000-0000-000034960000}"/>
    <cellStyle name="Positive 4 2 12 4 2 14" xfId="38440" xr:uid="{00000000-0005-0000-0000-000035960000}"/>
    <cellStyle name="Positive 4 2 12 4 2 14 2" xfId="38441" xr:uid="{00000000-0005-0000-0000-000036960000}"/>
    <cellStyle name="Positive 4 2 12 4 2 15" xfId="38442" xr:uid="{00000000-0005-0000-0000-000037960000}"/>
    <cellStyle name="Positive 4 2 12 4 2 15 2" xfId="38443" xr:uid="{00000000-0005-0000-0000-000038960000}"/>
    <cellStyle name="Positive 4 2 12 4 2 16" xfId="38444" xr:uid="{00000000-0005-0000-0000-000039960000}"/>
    <cellStyle name="Positive 4 2 12 4 2 16 2" xfId="38445" xr:uid="{00000000-0005-0000-0000-00003A960000}"/>
    <cellStyle name="Positive 4 2 12 4 2 17" xfId="38446" xr:uid="{00000000-0005-0000-0000-00003B960000}"/>
    <cellStyle name="Positive 4 2 12 4 2 2" xfId="38447" xr:uid="{00000000-0005-0000-0000-00003C960000}"/>
    <cellStyle name="Positive 4 2 12 4 2 2 2" xfId="38448" xr:uid="{00000000-0005-0000-0000-00003D960000}"/>
    <cellStyle name="Positive 4 2 12 4 2 3" xfId="38449" xr:uid="{00000000-0005-0000-0000-00003E960000}"/>
    <cellStyle name="Positive 4 2 12 4 2 3 2" xfId="38450" xr:uid="{00000000-0005-0000-0000-00003F960000}"/>
    <cellStyle name="Positive 4 2 12 4 2 4" xfId="38451" xr:uid="{00000000-0005-0000-0000-000040960000}"/>
    <cellStyle name="Positive 4 2 12 4 2 4 2" xfId="38452" xr:uid="{00000000-0005-0000-0000-000041960000}"/>
    <cellStyle name="Positive 4 2 12 4 2 5" xfId="38453" xr:uid="{00000000-0005-0000-0000-000042960000}"/>
    <cellStyle name="Positive 4 2 12 4 2 5 2" xfId="38454" xr:uid="{00000000-0005-0000-0000-000043960000}"/>
    <cellStyle name="Positive 4 2 12 4 2 6" xfId="38455" xr:uid="{00000000-0005-0000-0000-000044960000}"/>
    <cellStyle name="Positive 4 2 12 4 2 6 2" xfId="38456" xr:uid="{00000000-0005-0000-0000-000045960000}"/>
    <cellStyle name="Positive 4 2 12 4 2 7" xfId="38457" xr:uid="{00000000-0005-0000-0000-000046960000}"/>
    <cellStyle name="Positive 4 2 12 4 2 7 2" xfId="38458" xr:uid="{00000000-0005-0000-0000-000047960000}"/>
    <cellStyle name="Positive 4 2 12 4 2 8" xfId="38459" xr:uid="{00000000-0005-0000-0000-000048960000}"/>
    <cellStyle name="Positive 4 2 12 4 2 8 2" xfId="38460" xr:uid="{00000000-0005-0000-0000-000049960000}"/>
    <cellStyle name="Positive 4 2 12 4 2 9" xfId="38461" xr:uid="{00000000-0005-0000-0000-00004A960000}"/>
    <cellStyle name="Positive 4 2 12 4 2 9 2" xfId="38462" xr:uid="{00000000-0005-0000-0000-00004B960000}"/>
    <cellStyle name="Positive 4 2 12 4 20" xfId="38463" xr:uid="{00000000-0005-0000-0000-00004C960000}"/>
    <cellStyle name="Positive 4 2 12 4 3" xfId="38464" xr:uid="{00000000-0005-0000-0000-00004D960000}"/>
    <cellStyle name="Positive 4 2 12 4 3 2" xfId="38465" xr:uid="{00000000-0005-0000-0000-00004E960000}"/>
    <cellStyle name="Positive 4 2 12 4 3 2 2" xfId="38466" xr:uid="{00000000-0005-0000-0000-00004F960000}"/>
    <cellStyle name="Positive 4 2 12 4 3 3" xfId="38467" xr:uid="{00000000-0005-0000-0000-000050960000}"/>
    <cellStyle name="Positive 4 2 12 4 4" xfId="38468" xr:uid="{00000000-0005-0000-0000-000051960000}"/>
    <cellStyle name="Positive 4 2 12 4 4 2" xfId="38469" xr:uid="{00000000-0005-0000-0000-000052960000}"/>
    <cellStyle name="Positive 4 2 12 4 4 2 2" xfId="38470" xr:uid="{00000000-0005-0000-0000-000053960000}"/>
    <cellStyle name="Positive 4 2 12 4 4 3" xfId="38471" xr:uid="{00000000-0005-0000-0000-000054960000}"/>
    <cellStyle name="Positive 4 2 12 4 5" xfId="38472" xr:uid="{00000000-0005-0000-0000-000055960000}"/>
    <cellStyle name="Positive 4 2 12 4 5 2" xfId="38473" xr:uid="{00000000-0005-0000-0000-000056960000}"/>
    <cellStyle name="Positive 4 2 12 4 6" xfId="38474" xr:uid="{00000000-0005-0000-0000-000057960000}"/>
    <cellStyle name="Positive 4 2 12 4 6 2" xfId="38475" xr:uid="{00000000-0005-0000-0000-000058960000}"/>
    <cellStyle name="Positive 4 2 12 4 7" xfId="38476" xr:uid="{00000000-0005-0000-0000-000059960000}"/>
    <cellStyle name="Positive 4 2 12 4 7 2" xfId="38477" xr:uid="{00000000-0005-0000-0000-00005A960000}"/>
    <cellStyle name="Positive 4 2 12 4 8" xfId="38478" xr:uid="{00000000-0005-0000-0000-00005B960000}"/>
    <cellStyle name="Positive 4 2 12 4 8 2" xfId="38479" xr:uid="{00000000-0005-0000-0000-00005C960000}"/>
    <cellStyle name="Positive 4 2 12 4 9" xfId="38480" xr:uid="{00000000-0005-0000-0000-00005D960000}"/>
    <cellStyle name="Positive 4 2 12 4 9 2" xfId="38481" xr:uid="{00000000-0005-0000-0000-00005E960000}"/>
    <cellStyle name="Positive 4 2 12 5" xfId="38482" xr:uid="{00000000-0005-0000-0000-00005F960000}"/>
    <cellStyle name="Positive 4 2 12 5 10" xfId="38483" xr:uid="{00000000-0005-0000-0000-000060960000}"/>
    <cellStyle name="Positive 4 2 12 5 10 2" xfId="38484" xr:uid="{00000000-0005-0000-0000-000061960000}"/>
    <cellStyle name="Positive 4 2 12 5 11" xfId="38485" xr:uid="{00000000-0005-0000-0000-000062960000}"/>
    <cellStyle name="Positive 4 2 12 5 11 2" xfId="38486" xr:uid="{00000000-0005-0000-0000-000063960000}"/>
    <cellStyle name="Positive 4 2 12 5 12" xfId="38487" xr:uid="{00000000-0005-0000-0000-000064960000}"/>
    <cellStyle name="Positive 4 2 12 5 12 2" xfId="38488" xr:uid="{00000000-0005-0000-0000-000065960000}"/>
    <cellStyle name="Positive 4 2 12 5 13" xfId="38489" xr:uid="{00000000-0005-0000-0000-000066960000}"/>
    <cellStyle name="Positive 4 2 12 5 13 2" xfId="38490" xr:uid="{00000000-0005-0000-0000-000067960000}"/>
    <cellStyle name="Positive 4 2 12 5 14" xfId="38491" xr:uid="{00000000-0005-0000-0000-000068960000}"/>
    <cellStyle name="Positive 4 2 12 5 14 2" xfId="38492" xr:uid="{00000000-0005-0000-0000-000069960000}"/>
    <cellStyle name="Positive 4 2 12 5 15" xfId="38493" xr:uid="{00000000-0005-0000-0000-00006A960000}"/>
    <cellStyle name="Positive 4 2 12 5 15 2" xfId="38494" xr:uid="{00000000-0005-0000-0000-00006B960000}"/>
    <cellStyle name="Positive 4 2 12 5 16" xfId="38495" xr:uid="{00000000-0005-0000-0000-00006C960000}"/>
    <cellStyle name="Positive 4 2 12 5 16 2" xfId="38496" xr:uid="{00000000-0005-0000-0000-00006D960000}"/>
    <cellStyle name="Positive 4 2 12 5 17" xfId="38497" xr:uid="{00000000-0005-0000-0000-00006E960000}"/>
    <cellStyle name="Positive 4 2 12 5 2" xfId="38498" xr:uid="{00000000-0005-0000-0000-00006F960000}"/>
    <cellStyle name="Positive 4 2 12 5 2 2" xfId="38499" xr:uid="{00000000-0005-0000-0000-000070960000}"/>
    <cellStyle name="Positive 4 2 12 5 3" xfId="38500" xr:uid="{00000000-0005-0000-0000-000071960000}"/>
    <cellStyle name="Positive 4 2 12 5 3 2" xfId="38501" xr:uid="{00000000-0005-0000-0000-000072960000}"/>
    <cellStyle name="Positive 4 2 12 5 4" xfId="38502" xr:uid="{00000000-0005-0000-0000-000073960000}"/>
    <cellStyle name="Positive 4 2 12 5 4 2" xfId="38503" xr:uid="{00000000-0005-0000-0000-000074960000}"/>
    <cellStyle name="Positive 4 2 12 5 5" xfId="38504" xr:uid="{00000000-0005-0000-0000-000075960000}"/>
    <cellStyle name="Positive 4 2 12 5 5 2" xfId="38505" xr:uid="{00000000-0005-0000-0000-000076960000}"/>
    <cellStyle name="Positive 4 2 12 5 6" xfId="38506" xr:uid="{00000000-0005-0000-0000-000077960000}"/>
    <cellStyle name="Positive 4 2 12 5 6 2" xfId="38507" xr:uid="{00000000-0005-0000-0000-000078960000}"/>
    <cellStyle name="Positive 4 2 12 5 7" xfId="38508" xr:uid="{00000000-0005-0000-0000-000079960000}"/>
    <cellStyle name="Positive 4 2 12 5 7 2" xfId="38509" xr:uid="{00000000-0005-0000-0000-00007A960000}"/>
    <cellStyle name="Positive 4 2 12 5 8" xfId="38510" xr:uid="{00000000-0005-0000-0000-00007B960000}"/>
    <cellStyle name="Positive 4 2 12 5 8 2" xfId="38511" xr:uid="{00000000-0005-0000-0000-00007C960000}"/>
    <cellStyle name="Positive 4 2 12 5 9" xfId="38512" xr:uid="{00000000-0005-0000-0000-00007D960000}"/>
    <cellStyle name="Positive 4 2 12 5 9 2" xfId="38513" xr:uid="{00000000-0005-0000-0000-00007E960000}"/>
    <cellStyle name="Positive 4 2 12 6" xfId="38514" xr:uid="{00000000-0005-0000-0000-00007F960000}"/>
    <cellStyle name="Positive 4 2 12 6 2" xfId="38515" xr:uid="{00000000-0005-0000-0000-000080960000}"/>
    <cellStyle name="Positive 4 2 12 6 2 2" xfId="38516" xr:uid="{00000000-0005-0000-0000-000081960000}"/>
    <cellStyle name="Positive 4 2 12 6 3" xfId="38517" xr:uid="{00000000-0005-0000-0000-000082960000}"/>
    <cellStyle name="Positive 4 2 12 7" xfId="38518" xr:uid="{00000000-0005-0000-0000-000083960000}"/>
    <cellStyle name="Positive 4 2 12 7 2" xfId="38519" xr:uid="{00000000-0005-0000-0000-000084960000}"/>
    <cellStyle name="Positive 4 2 12 7 2 2" xfId="38520" xr:uid="{00000000-0005-0000-0000-000085960000}"/>
    <cellStyle name="Positive 4 2 12 7 3" xfId="38521" xr:uid="{00000000-0005-0000-0000-000086960000}"/>
    <cellStyle name="Positive 4 2 12 8" xfId="38522" xr:uid="{00000000-0005-0000-0000-000087960000}"/>
    <cellStyle name="Positive 4 2 12 8 2" xfId="38523" xr:uid="{00000000-0005-0000-0000-000088960000}"/>
    <cellStyle name="Positive 4 2 12 9" xfId="38524" xr:uid="{00000000-0005-0000-0000-000089960000}"/>
    <cellStyle name="Positive 4 2 12 9 2" xfId="38525" xr:uid="{00000000-0005-0000-0000-00008A960000}"/>
    <cellStyle name="Positive 4 2 13" xfId="38526" xr:uid="{00000000-0005-0000-0000-00008B960000}"/>
    <cellStyle name="Positive 4 2 13 10" xfId="38527" xr:uid="{00000000-0005-0000-0000-00008C960000}"/>
    <cellStyle name="Positive 4 2 13 10 2" xfId="38528" xr:uid="{00000000-0005-0000-0000-00008D960000}"/>
    <cellStyle name="Positive 4 2 13 11" xfId="38529" xr:uid="{00000000-0005-0000-0000-00008E960000}"/>
    <cellStyle name="Positive 4 2 13 11 2" xfId="38530" xr:uid="{00000000-0005-0000-0000-00008F960000}"/>
    <cellStyle name="Positive 4 2 13 12" xfId="38531" xr:uid="{00000000-0005-0000-0000-000090960000}"/>
    <cellStyle name="Positive 4 2 13 12 2" xfId="38532" xr:uid="{00000000-0005-0000-0000-000091960000}"/>
    <cellStyle name="Positive 4 2 13 13" xfId="38533" xr:uid="{00000000-0005-0000-0000-000092960000}"/>
    <cellStyle name="Positive 4 2 13 13 2" xfId="38534" xr:uid="{00000000-0005-0000-0000-000093960000}"/>
    <cellStyle name="Positive 4 2 13 14" xfId="38535" xr:uid="{00000000-0005-0000-0000-000094960000}"/>
    <cellStyle name="Positive 4 2 13 14 2" xfId="38536" xr:uid="{00000000-0005-0000-0000-000095960000}"/>
    <cellStyle name="Positive 4 2 13 15" xfId="38537" xr:uid="{00000000-0005-0000-0000-000096960000}"/>
    <cellStyle name="Positive 4 2 13 15 2" xfId="38538" xr:uid="{00000000-0005-0000-0000-000097960000}"/>
    <cellStyle name="Positive 4 2 13 16" xfId="38539" xr:uid="{00000000-0005-0000-0000-000098960000}"/>
    <cellStyle name="Positive 4 2 13 16 2" xfId="38540" xr:uid="{00000000-0005-0000-0000-000099960000}"/>
    <cellStyle name="Positive 4 2 13 17" xfId="38541" xr:uid="{00000000-0005-0000-0000-00009A960000}"/>
    <cellStyle name="Positive 4 2 13 17 2" xfId="38542" xr:uid="{00000000-0005-0000-0000-00009B960000}"/>
    <cellStyle name="Positive 4 2 13 18" xfId="38543" xr:uid="{00000000-0005-0000-0000-00009C960000}"/>
    <cellStyle name="Positive 4 2 13 18 2" xfId="38544" xr:uid="{00000000-0005-0000-0000-00009D960000}"/>
    <cellStyle name="Positive 4 2 13 19" xfId="38545" xr:uid="{00000000-0005-0000-0000-00009E960000}"/>
    <cellStyle name="Positive 4 2 13 19 2" xfId="38546" xr:uid="{00000000-0005-0000-0000-00009F960000}"/>
    <cellStyle name="Positive 4 2 13 2" xfId="38547" xr:uid="{00000000-0005-0000-0000-0000A0960000}"/>
    <cellStyle name="Positive 4 2 13 2 10" xfId="38548" xr:uid="{00000000-0005-0000-0000-0000A1960000}"/>
    <cellStyle name="Positive 4 2 13 2 10 2" xfId="38549" xr:uid="{00000000-0005-0000-0000-0000A2960000}"/>
    <cellStyle name="Positive 4 2 13 2 11" xfId="38550" xr:uid="{00000000-0005-0000-0000-0000A3960000}"/>
    <cellStyle name="Positive 4 2 13 2 11 2" xfId="38551" xr:uid="{00000000-0005-0000-0000-0000A4960000}"/>
    <cellStyle name="Positive 4 2 13 2 12" xfId="38552" xr:uid="{00000000-0005-0000-0000-0000A5960000}"/>
    <cellStyle name="Positive 4 2 13 2 12 2" xfId="38553" xr:uid="{00000000-0005-0000-0000-0000A6960000}"/>
    <cellStyle name="Positive 4 2 13 2 13" xfId="38554" xr:uid="{00000000-0005-0000-0000-0000A7960000}"/>
    <cellStyle name="Positive 4 2 13 2 13 2" xfId="38555" xr:uid="{00000000-0005-0000-0000-0000A8960000}"/>
    <cellStyle name="Positive 4 2 13 2 14" xfId="38556" xr:uid="{00000000-0005-0000-0000-0000A9960000}"/>
    <cellStyle name="Positive 4 2 13 2 14 2" xfId="38557" xr:uid="{00000000-0005-0000-0000-0000AA960000}"/>
    <cellStyle name="Positive 4 2 13 2 15" xfId="38558" xr:uid="{00000000-0005-0000-0000-0000AB960000}"/>
    <cellStyle name="Positive 4 2 13 2 15 2" xfId="38559" xr:uid="{00000000-0005-0000-0000-0000AC960000}"/>
    <cellStyle name="Positive 4 2 13 2 16" xfId="38560" xr:uid="{00000000-0005-0000-0000-0000AD960000}"/>
    <cellStyle name="Positive 4 2 13 2 16 2" xfId="38561" xr:uid="{00000000-0005-0000-0000-0000AE960000}"/>
    <cellStyle name="Positive 4 2 13 2 17" xfId="38562" xr:uid="{00000000-0005-0000-0000-0000AF960000}"/>
    <cellStyle name="Positive 4 2 13 2 17 2" xfId="38563" xr:uid="{00000000-0005-0000-0000-0000B0960000}"/>
    <cellStyle name="Positive 4 2 13 2 18" xfId="38564" xr:uid="{00000000-0005-0000-0000-0000B1960000}"/>
    <cellStyle name="Positive 4 2 13 2 18 2" xfId="38565" xr:uid="{00000000-0005-0000-0000-0000B2960000}"/>
    <cellStyle name="Positive 4 2 13 2 19" xfId="38566" xr:uid="{00000000-0005-0000-0000-0000B3960000}"/>
    <cellStyle name="Positive 4 2 13 2 19 2" xfId="38567" xr:uid="{00000000-0005-0000-0000-0000B4960000}"/>
    <cellStyle name="Positive 4 2 13 2 2" xfId="38568" xr:uid="{00000000-0005-0000-0000-0000B5960000}"/>
    <cellStyle name="Positive 4 2 13 2 2 10" xfId="38569" xr:uid="{00000000-0005-0000-0000-0000B6960000}"/>
    <cellStyle name="Positive 4 2 13 2 2 10 2" xfId="38570" xr:uid="{00000000-0005-0000-0000-0000B7960000}"/>
    <cellStyle name="Positive 4 2 13 2 2 11" xfId="38571" xr:uid="{00000000-0005-0000-0000-0000B8960000}"/>
    <cellStyle name="Positive 4 2 13 2 2 11 2" xfId="38572" xr:uid="{00000000-0005-0000-0000-0000B9960000}"/>
    <cellStyle name="Positive 4 2 13 2 2 12" xfId="38573" xr:uid="{00000000-0005-0000-0000-0000BA960000}"/>
    <cellStyle name="Positive 4 2 13 2 2 12 2" xfId="38574" xr:uid="{00000000-0005-0000-0000-0000BB960000}"/>
    <cellStyle name="Positive 4 2 13 2 2 13" xfId="38575" xr:uid="{00000000-0005-0000-0000-0000BC960000}"/>
    <cellStyle name="Positive 4 2 13 2 2 13 2" xfId="38576" xr:uid="{00000000-0005-0000-0000-0000BD960000}"/>
    <cellStyle name="Positive 4 2 13 2 2 14" xfId="38577" xr:uid="{00000000-0005-0000-0000-0000BE960000}"/>
    <cellStyle name="Positive 4 2 13 2 2 14 2" xfId="38578" xr:uid="{00000000-0005-0000-0000-0000BF960000}"/>
    <cellStyle name="Positive 4 2 13 2 2 15" xfId="38579" xr:uid="{00000000-0005-0000-0000-0000C0960000}"/>
    <cellStyle name="Positive 4 2 13 2 2 15 2" xfId="38580" xr:uid="{00000000-0005-0000-0000-0000C1960000}"/>
    <cellStyle name="Positive 4 2 13 2 2 16" xfId="38581" xr:uid="{00000000-0005-0000-0000-0000C2960000}"/>
    <cellStyle name="Positive 4 2 13 2 2 16 2" xfId="38582" xr:uid="{00000000-0005-0000-0000-0000C3960000}"/>
    <cellStyle name="Positive 4 2 13 2 2 17" xfId="38583" xr:uid="{00000000-0005-0000-0000-0000C4960000}"/>
    <cellStyle name="Positive 4 2 13 2 2 2" xfId="38584" xr:uid="{00000000-0005-0000-0000-0000C5960000}"/>
    <cellStyle name="Positive 4 2 13 2 2 2 2" xfId="38585" xr:uid="{00000000-0005-0000-0000-0000C6960000}"/>
    <cellStyle name="Positive 4 2 13 2 2 3" xfId="38586" xr:uid="{00000000-0005-0000-0000-0000C7960000}"/>
    <cellStyle name="Positive 4 2 13 2 2 3 2" xfId="38587" xr:uid="{00000000-0005-0000-0000-0000C8960000}"/>
    <cellStyle name="Positive 4 2 13 2 2 4" xfId="38588" xr:uid="{00000000-0005-0000-0000-0000C9960000}"/>
    <cellStyle name="Positive 4 2 13 2 2 4 2" xfId="38589" xr:uid="{00000000-0005-0000-0000-0000CA960000}"/>
    <cellStyle name="Positive 4 2 13 2 2 5" xfId="38590" xr:uid="{00000000-0005-0000-0000-0000CB960000}"/>
    <cellStyle name="Positive 4 2 13 2 2 5 2" xfId="38591" xr:uid="{00000000-0005-0000-0000-0000CC960000}"/>
    <cellStyle name="Positive 4 2 13 2 2 6" xfId="38592" xr:uid="{00000000-0005-0000-0000-0000CD960000}"/>
    <cellStyle name="Positive 4 2 13 2 2 6 2" xfId="38593" xr:uid="{00000000-0005-0000-0000-0000CE960000}"/>
    <cellStyle name="Positive 4 2 13 2 2 7" xfId="38594" xr:uid="{00000000-0005-0000-0000-0000CF960000}"/>
    <cellStyle name="Positive 4 2 13 2 2 7 2" xfId="38595" xr:uid="{00000000-0005-0000-0000-0000D0960000}"/>
    <cellStyle name="Positive 4 2 13 2 2 8" xfId="38596" xr:uid="{00000000-0005-0000-0000-0000D1960000}"/>
    <cellStyle name="Positive 4 2 13 2 2 8 2" xfId="38597" xr:uid="{00000000-0005-0000-0000-0000D2960000}"/>
    <cellStyle name="Positive 4 2 13 2 2 9" xfId="38598" xr:uid="{00000000-0005-0000-0000-0000D3960000}"/>
    <cellStyle name="Positive 4 2 13 2 2 9 2" xfId="38599" xr:uid="{00000000-0005-0000-0000-0000D4960000}"/>
    <cellStyle name="Positive 4 2 13 2 20" xfId="38600" xr:uid="{00000000-0005-0000-0000-0000D5960000}"/>
    <cellStyle name="Positive 4 2 13 2 3" xfId="38601" xr:uid="{00000000-0005-0000-0000-0000D6960000}"/>
    <cellStyle name="Positive 4 2 13 2 3 2" xfId="38602" xr:uid="{00000000-0005-0000-0000-0000D7960000}"/>
    <cellStyle name="Positive 4 2 13 2 3 2 2" xfId="38603" xr:uid="{00000000-0005-0000-0000-0000D8960000}"/>
    <cellStyle name="Positive 4 2 13 2 3 3" xfId="38604" xr:uid="{00000000-0005-0000-0000-0000D9960000}"/>
    <cellStyle name="Positive 4 2 13 2 4" xfId="38605" xr:uid="{00000000-0005-0000-0000-0000DA960000}"/>
    <cellStyle name="Positive 4 2 13 2 4 2" xfId="38606" xr:uid="{00000000-0005-0000-0000-0000DB960000}"/>
    <cellStyle name="Positive 4 2 13 2 4 2 2" xfId="38607" xr:uid="{00000000-0005-0000-0000-0000DC960000}"/>
    <cellStyle name="Positive 4 2 13 2 4 3" xfId="38608" xr:uid="{00000000-0005-0000-0000-0000DD960000}"/>
    <cellStyle name="Positive 4 2 13 2 5" xfId="38609" xr:uid="{00000000-0005-0000-0000-0000DE960000}"/>
    <cellStyle name="Positive 4 2 13 2 5 2" xfId="38610" xr:uid="{00000000-0005-0000-0000-0000DF960000}"/>
    <cellStyle name="Positive 4 2 13 2 6" xfId="38611" xr:uid="{00000000-0005-0000-0000-0000E0960000}"/>
    <cellStyle name="Positive 4 2 13 2 6 2" xfId="38612" xr:uid="{00000000-0005-0000-0000-0000E1960000}"/>
    <cellStyle name="Positive 4 2 13 2 7" xfId="38613" xr:uid="{00000000-0005-0000-0000-0000E2960000}"/>
    <cellStyle name="Positive 4 2 13 2 7 2" xfId="38614" xr:uid="{00000000-0005-0000-0000-0000E3960000}"/>
    <cellStyle name="Positive 4 2 13 2 8" xfId="38615" xr:uid="{00000000-0005-0000-0000-0000E4960000}"/>
    <cellStyle name="Positive 4 2 13 2 8 2" xfId="38616" xr:uid="{00000000-0005-0000-0000-0000E5960000}"/>
    <cellStyle name="Positive 4 2 13 2 9" xfId="38617" xr:uid="{00000000-0005-0000-0000-0000E6960000}"/>
    <cellStyle name="Positive 4 2 13 2 9 2" xfId="38618" xr:uid="{00000000-0005-0000-0000-0000E7960000}"/>
    <cellStyle name="Positive 4 2 13 20" xfId="38619" xr:uid="{00000000-0005-0000-0000-0000E8960000}"/>
    <cellStyle name="Positive 4 2 13 20 2" xfId="38620" xr:uid="{00000000-0005-0000-0000-0000E9960000}"/>
    <cellStyle name="Positive 4 2 13 21" xfId="38621" xr:uid="{00000000-0005-0000-0000-0000EA960000}"/>
    <cellStyle name="Positive 4 2 13 21 2" xfId="38622" xr:uid="{00000000-0005-0000-0000-0000EB960000}"/>
    <cellStyle name="Positive 4 2 13 22" xfId="38623" xr:uid="{00000000-0005-0000-0000-0000EC960000}"/>
    <cellStyle name="Positive 4 2 13 22 2" xfId="38624" xr:uid="{00000000-0005-0000-0000-0000ED960000}"/>
    <cellStyle name="Positive 4 2 13 23" xfId="38625" xr:uid="{00000000-0005-0000-0000-0000EE960000}"/>
    <cellStyle name="Positive 4 2 13 3" xfId="38626" xr:uid="{00000000-0005-0000-0000-0000EF960000}"/>
    <cellStyle name="Positive 4 2 13 3 10" xfId="38627" xr:uid="{00000000-0005-0000-0000-0000F0960000}"/>
    <cellStyle name="Positive 4 2 13 3 10 2" xfId="38628" xr:uid="{00000000-0005-0000-0000-0000F1960000}"/>
    <cellStyle name="Positive 4 2 13 3 11" xfId="38629" xr:uid="{00000000-0005-0000-0000-0000F2960000}"/>
    <cellStyle name="Positive 4 2 13 3 11 2" xfId="38630" xr:uid="{00000000-0005-0000-0000-0000F3960000}"/>
    <cellStyle name="Positive 4 2 13 3 12" xfId="38631" xr:uid="{00000000-0005-0000-0000-0000F4960000}"/>
    <cellStyle name="Positive 4 2 13 3 12 2" xfId="38632" xr:uid="{00000000-0005-0000-0000-0000F5960000}"/>
    <cellStyle name="Positive 4 2 13 3 13" xfId="38633" xr:uid="{00000000-0005-0000-0000-0000F6960000}"/>
    <cellStyle name="Positive 4 2 13 3 13 2" xfId="38634" xr:uid="{00000000-0005-0000-0000-0000F7960000}"/>
    <cellStyle name="Positive 4 2 13 3 14" xfId="38635" xr:uid="{00000000-0005-0000-0000-0000F8960000}"/>
    <cellStyle name="Positive 4 2 13 3 14 2" xfId="38636" xr:uid="{00000000-0005-0000-0000-0000F9960000}"/>
    <cellStyle name="Positive 4 2 13 3 15" xfId="38637" xr:uid="{00000000-0005-0000-0000-0000FA960000}"/>
    <cellStyle name="Positive 4 2 13 3 15 2" xfId="38638" xr:uid="{00000000-0005-0000-0000-0000FB960000}"/>
    <cellStyle name="Positive 4 2 13 3 16" xfId="38639" xr:uid="{00000000-0005-0000-0000-0000FC960000}"/>
    <cellStyle name="Positive 4 2 13 3 16 2" xfId="38640" xr:uid="{00000000-0005-0000-0000-0000FD960000}"/>
    <cellStyle name="Positive 4 2 13 3 17" xfId="38641" xr:uid="{00000000-0005-0000-0000-0000FE960000}"/>
    <cellStyle name="Positive 4 2 13 3 17 2" xfId="38642" xr:uid="{00000000-0005-0000-0000-0000FF960000}"/>
    <cellStyle name="Positive 4 2 13 3 18" xfId="38643" xr:uid="{00000000-0005-0000-0000-000000970000}"/>
    <cellStyle name="Positive 4 2 13 3 18 2" xfId="38644" xr:uid="{00000000-0005-0000-0000-000001970000}"/>
    <cellStyle name="Positive 4 2 13 3 19" xfId="38645" xr:uid="{00000000-0005-0000-0000-000002970000}"/>
    <cellStyle name="Positive 4 2 13 3 19 2" xfId="38646" xr:uid="{00000000-0005-0000-0000-000003970000}"/>
    <cellStyle name="Positive 4 2 13 3 2" xfId="38647" xr:uid="{00000000-0005-0000-0000-000004970000}"/>
    <cellStyle name="Positive 4 2 13 3 2 10" xfId="38648" xr:uid="{00000000-0005-0000-0000-000005970000}"/>
    <cellStyle name="Positive 4 2 13 3 2 10 2" xfId="38649" xr:uid="{00000000-0005-0000-0000-000006970000}"/>
    <cellStyle name="Positive 4 2 13 3 2 11" xfId="38650" xr:uid="{00000000-0005-0000-0000-000007970000}"/>
    <cellStyle name="Positive 4 2 13 3 2 11 2" xfId="38651" xr:uid="{00000000-0005-0000-0000-000008970000}"/>
    <cellStyle name="Positive 4 2 13 3 2 12" xfId="38652" xr:uid="{00000000-0005-0000-0000-000009970000}"/>
    <cellStyle name="Positive 4 2 13 3 2 12 2" xfId="38653" xr:uid="{00000000-0005-0000-0000-00000A970000}"/>
    <cellStyle name="Positive 4 2 13 3 2 13" xfId="38654" xr:uid="{00000000-0005-0000-0000-00000B970000}"/>
    <cellStyle name="Positive 4 2 13 3 2 13 2" xfId="38655" xr:uid="{00000000-0005-0000-0000-00000C970000}"/>
    <cellStyle name="Positive 4 2 13 3 2 14" xfId="38656" xr:uid="{00000000-0005-0000-0000-00000D970000}"/>
    <cellStyle name="Positive 4 2 13 3 2 14 2" xfId="38657" xr:uid="{00000000-0005-0000-0000-00000E970000}"/>
    <cellStyle name="Positive 4 2 13 3 2 15" xfId="38658" xr:uid="{00000000-0005-0000-0000-00000F970000}"/>
    <cellStyle name="Positive 4 2 13 3 2 15 2" xfId="38659" xr:uid="{00000000-0005-0000-0000-000010970000}"/>
    <cellStyle name="Positive 4 2 13 3 2 16" xfId="38660" xr:uid="{00000000-0005-0000-0000-000011970000}"/>
    <cellStyle name="Positive 4 2 13 3 2 16 2" xfId="38661" xr:uid="{00000000-0005-0000-0000-000012970000}"/>
    <cellStyle name="Positive 4 2 13 3 2 17" xfId="38662" xr:uid="{00000000-0005-0000-0000-000013970000}"/>
    <cellStyle name="Positive 4 2 13 3 2 2" xfId="38663" xr:uid="{00000000-0005-0000-0000-000014970000}"/>
    <cellStyle name="Positive 4 2 13 3 2 2 2" xfId="38664" xr:uid="{00000000-0005-0000-0000-000015970000}"/>
    <cellStyle name="Positive 4 2 13 3 2 3" xfId="38665" xr:uid="{00000000-0005-0000-0000-000016970000}"/>
    <cellStyle name="Positive 4 2 13 3 2 3 2" xfId="38666" xr:uid="{00000000-0005-0000-0000-000017970000}"/>
    <cellStyle name="Positive 4 2 13 3 2 4" xfId="38667" xr:uid="{00000000-0005-0000-0000-000018970000}"/>
    <cellStyle name="Positive 4 2 13 3 2 4 2" xfId="38668" xr:uid="{00000000-0005-0000-0000-000019970000}"/>
    <cellStyle name="Positive 4 2 13 3 2 5" xfId="38669" xr:uid="{00000000-0005-0000-0000-00001A970000}"/>
    <cellStyle name="Positive 4 2 13 3 2 5 2" xfId="38670" xr:uid="{00000000-0005-0000-0000-00001B970000}"/>
    <cellStyle name="Positive 4 2 13 3 2 6" xfId="38671" xr:uid="{00000000-0005-0000-0000-00001C970000}"/>
    <cellStyle name="Positive 4 2 13 3 2 6 2" xfId="38672" xr:uid="{00000000-0005-0000-0000-00001D970000}"/>
    <cellStyle name="Positive 4 2 13 3 2 7" xfId="38673" xr:uid="{00000000-0005-0000-0000-00001E970000}"/>
    <cellStyle name="Positive 4 2 13 3 2 7 2" xfId="38674" xr:uid="{00000000-0005-0000-0000-00001F970000}"/>
    <cellStyle name="Positive 4 2 13 3 2 8" xfId="38675" xr:uid="{00000000-0005-0000-0000-000020970000}"/>
    <cellStyle name="Positive 4 2 13 3 2 8 2" xfId="38676" xr:uid="{00000000-0005-0000-0000-000021970000}"/>
    <cellStyle name="Positive 4 2 13 3 2 9" xfId="38677" xr:uid="{00000000-0005-0000-0000-000022970000}"/>
    <cellStyle name="Positive 4 2 13 3 2 9 2" xfId="38678" xr:uid="{00000000-0005-0000-0000-000023970000}"/>
    <cellStyle name="Positive 4 2 13 3 20" xfId="38679" xr:uid="{00000000-0005-0000-0000-000024970000}"/>
    <cellStyle name="Positive 4 2 13 3 3" xfId="38680" xr:uid="{00000000-0005-0000-0000-000025970000}"/>
    <cellStyle name="Positive 4 2 13 3 3 2" xfId="38681" xr:uid="{00000000-0005-0000-0000-000026970000}"/>
    <cellStyle name="Positive 4 2 13 3 3 2 2" xfId="38682" xr:uid="{00000000-0005-0000-0000-000027970000}"/>
    <cellStyle name="Positive 4 2 13 3 3 3" xfId="38683" xr:uid="{00000000-0005-0000-0000-000028970000}"/>
    <cellStyle name="Positive 4 2 13 3 4" xfId="38684" xr:uid="{00000000-0005-0000-0000-000029970000}"/>
    <cellStyle name="Positive 4 2 13 3 4 2" xfId="38685" xr:uid="{00000000-0005-0000-0000-00002A970000}"/>
    <cellStyle name="Positive 4 2 13 3 4 2 2" xfId="38686" xr:uid="{00000000-0005-0000-0000-00002B970000}"/>
    <cellStyle name="Positive 4 2 13 3 4 3" xfId="38687" xr:uid="{00000000-0005-0000-0000-00002C970000}"/>
    <cellStyle name="Positive 4 2 13 3 5" xfId="38688" xr:uid="{00000000-0005-0000-0000-00002D970000}"/>
    <cellStyle name="Positive 4 2 13 3 5 2" xfId="38689" xr:uid="{00000000-0005-0000-0000-00002E970000}"/>
    <cellStyle name="Positive 4 2 13 3 6" xfId="38690" xr:uid="{00000000-0005-0000-0000-00002F970000}"/>
    <cellStyle name="Positive 4 2 13 3 6 2" xfId="38691" xr:uid="{00000000-0005-0000-0000-000030970000}"/>
    <cellStyle name="Positive 4 2 13 3 7" xfId="38692" xr:uid="{00000000-0005-0000-0000-000031970000}"/>
    <cellStyle name="Positive 4 2 13 3 7 2" xfId="38693" xr:uid="{00000000-0005-0000-0000-000032970000}"/>
    <cellStyle name="Positive 4 2 13 3 8" xfId="38694" xr:uid="{00000000-0005-0000-0000-000033970000}"/>
    <cellStyle name="Positive 4 2 13 3 8 2" xfId="38695" xr:uid="{00000000-0005-0000-0000-000034970000}"/>
    <cellStyle name="Positive 4 2 13 3 9" xfId="38696" xr:uid="{00000000-0005-0000-0000-000035970000}"/>
    <cellStyle name="Positive 4 2 13 3 9 2" xfId="38697" xr:uid="{00000000-0005-0000-0000-000036970000}"/>
    <cellStyle name="Positive 4 2 13 4" xfId="38698" xr:uid="{00000000-0005-0000-0000-000037970000}"/>
    <cellStyle name="Positive 4 2 13 4 10" xfId="38699" xr:uid="{00000000-0005-0000-0000-000038970000}"/>
    <cellStyle name="Positive 4 2 13 4 10 2" xfId="38700" xr:uid="{00000000-0005-0000-0000-000039970000}"/>
    <cellStyle name="Positive 4 2 13 4 11" xfId="38701" xr:uid="{00000000-0005-0000-0000-00003A970000}"/>
    <cellStyle name="Positive 4 2 13 4 11 2" xfId="38702" xr:uid="{00000000-0005-0000-0000-00003B970000}"/>
    <cellStyle name="Positive 4 2 13 4 12" xfId="38703" xr:uid="{00000000-0005-0000-0000-00003C970000}"/>
    <cellStyle name="Positive 4 2 13 4 12 2" xfId="38704" xr:uid="{00000000-0005-0000-0000-00003D970000}"/>
    <cellStyle name="Positive 4 2 13 4 13" xfId="38705" xr:uid="{00000000-0005-0000-0000-00003E970000}"/>
    <cellStyle name="Positive 4 2 13 4 13 2" xfId="38706" xr:uid="{00000000-0005-0000-0000-00003F970000}"/>
    <cellStyle name="Positive 4 2 13 4 14" xfId="38707" xr:uid="{00000000-0005-0000-0000-000040970000}"/>
    <cellStyle name="Positive 4 2 13 4 14 2" xfId="38708" xr:uid="{00000000-0005-0000-0000-000041970000}"/>
    <cellStyle name="Positive 4 2 13 4 15" xfId="38709" xr:uid="{00000000-0005-0000-0000-000042970000}"/>
    <cellStyle name="Positive 4 2 13 4 15 2" xfId="38710" xr:uid="{00000000-0005-0000-0000-000043970000}"/>
    <cellStyle name="Positive 4 2 13 4 16" xfId="38711" xr:uid="{00000000-0005-0000-0000-000044970000}"/>
    <cellStyle name="Positive 4 2 13 4 16 2" xfId="38712" xr:uid="{00000000-0005-0000-0000-000045970000}"/>
    <cellStyle name="Positive 4 2 13 4 17" xfId="38713" xr:uid="{00000000-0005-0000-0000-000046970000}"/>
    <cellStyle name="Positive 4 2 13 4 17 2" xfId="38714" xr:uid="{00000000-0005-0000-0000-000047970000}"/>
    <cellStyle name="Positive 4 2 13 4 18" xfId="38715" xr:uid="{00000000-0005-0000-0000-000048970000}"/>
    <cellStyle name="Positive 4 2 13 4 18 2" xfId="38716" xr:uid="{00000000-0005-0000-0000-000049970000}"/>
    <cellStyle name="Positive 4 2 13 4 19" xfId="38717" xr:uid="{00000000-0005-0000-0000-00004A970000}"/>
    <cellStyle name="Positive 4 2 13 4 19 2" xfId="38718" xr:uid="{00000000-0005-0000-0000-00004B970000}"/>
    <cellStyle name="Positive 4 2 13 4 2" xfId="38719" xr:uid="{00000000-0005-0000-0000-00004C970000}"/>
    <cellStyle name="Positive 4 2 13 4 2 10" xfId="38720" xr:uid="{00000000-0005-0000-0000-00004D970000}"/>
    <cellStyle name="Positive 4 2 13 4 2 10 2" xfId="38721" xr:uid="{00000000-0005-0000-0000-00004E970000}"/>
    <cellStyle name="Positive 4 2 13 4 2 11" xfId="38722" xr:uid="{00000000-0005-0000-0000-00004F970000}"/>
    <cellStyle name="Positive 4 2 13 4 2 11 2" xfId="38723" xr:uid="{00000000-0005-0000-0000-000050970000}"/>
    <cellStyle name="Positive 4 2 13 4 2 12" xfId="38724" xr:uid="{00000000-0005-0000-0000-000051970000}"/>
    <cellStyle name="Positive 4 2 13 4 2 12 2" xfId="38725" xr:uid="{00000000-0005-0000-0000-000052970000}"/>
    <cellStyle name="Positive 4 2 13 4 2 13" xfId="38726" xr:uid="{00000000-0005-0000-0000-000053970000}"/>
    <cellStyle name="Positive 4 2 13 4 2 13 2" xfId="38727" xr:uid="{00000000-0005-0000-0000-000054970000}"/>
    <cellStyle name="Positive 4 2 13 4 2 14" xfId="38728" xr:uid="{00000000-0005-0000-0000-000055970000}"/>
    <cellStyle name="Positive 4 2 13 4 2 14 2" xfId="38729" xr:uid="{00000000-0005-0000-0000-000056970000}"/>
    <cellStyle name="Positive 4 2 13 4 2 15" xfId="38730" xr:uid="{00000000-0005-0000-0000-000057970000}"/>
    <cellStyle name="Positive 4 2 13 4 2 15 2" xfId="38731" xr:uid="{00000000-0005-0000-0000-000058970000}"/>
    <cellStyle name="Positive 4 2 13 4 2 16" xfId="38732" xr:uid="{00000000-0005-0000-0000-000059970000}"/>
    <cellStyle name="Positive 4 2 13 4 2 16 2" xfId="38733" xr:uid="{00000000-0005-0000-0000-00005A970000}"/>
    <cellStyle name="Positive 4 2 13 4 2 17" xfId="38734" xr:uid="{00000000-0005-0000-0000-00005B970000}"/>
    <cellStyle name="Positive 4 2 13 4 2 2" xfId="38735" xr:uid="{00000000-0005-0000-0000-00005C970000}"/>
    <cellStyle name="Positive 4 2 13 4 2 2 2" xfId="38736" xr:uid="{00000000-0005-0000-0000-00005D970000}"/>
    <cellStyle name="Positive 4 2 13 4 2 3" xfId="38737" xr:uid="{00000000-0005-0000-0000-00005E970000}"/>
    <cellStyle name="Positive 4 2 13 4 2 3 2" xfId="38738" xr:uid="{00000000-0005-0000-0000-00005F970000}"/>
    <cellStyle name="Positive 4 2 13 4 2 4" xfId="38739" xr:uid="{00000000-0005-0000-0000-000060970000}"/>
    <cellStyle name="Positive 4 2 13 4 2 4 2" xfId="38740" xr:uid="{00000000-0005-0000-0000-000061970000}"/>
    <cellStyle name="Positive 4 2 13 4 2 5" xfId="38741" xr:uid="{00000000-0005-0000-0000-000062970000}"/>
    <cellStyle name="Positive 4 2 13 4 2 5 2" xfId="38742" xr:uid="{00000000-0005-0000-0000-000063970000}"/>
    <cellStyle name="Positive 4 2 13 4 2 6" xfId="38743" xr:uid="{00000000-0005-0000-0000-000064970000}"/>
    <cellStyle name="Positive 4 2 13 4 2 6 2" xfId="38744" xr:uid="{00000000-0005-0000-0000-000065970000}"/>
    <cellStyle name="Positive 4 2 13 4 2 7" xfId="38745" xr:uid="{00000000-0005-0000-0000-000066970000}"/>
    <cellStyle name="Positive 4 2 13 4 2 7 2" xfId="38746" xr:uid="{00000000-0005-0000-0000-000067970000}"/>
    <cellStyle name="Positive 4 2 13 4 2 8" xfId="38747" xr:uid="{00000000-0005-0000-0000-000068970000}"/>
    <cellStyle name="Positive 4 2 13 4 2 8 2" xfId="38748" xr:uid="{00000000-0005-0000-0000-000069970000}"/>
    <cellStyle name="Positive 4 2 13 4 2 9" xfId="38749" xr:uid="{00000000-0005-0000-0000-00006A970000}"/>
    <cellStyle name="Positive 4 2 13 4 2 9 2" xfId="38750" xr:uid="{00000000-0005-0000-0000-00006B970000}"/>
    <cellStyle name="Positive 4 2 13 4 20" xfId="38751" xr:uid="{00000000-0005-0000-0000-00006C970000}"/>
    <cellStyle name="Positive 4 2 13 4 3" xfId="38752" xr:uid="{00000000-0005-0000-0000-00006D970000}"/>
    <cellStyle name="Positive 4 2 13 4 3 2" xfId="38753" xr:uid="{00000000-0005-0000-0000-00006E970000}"/>
    <cellStyle name="Positive 4 2 13 4 3 2 2" xfId="38754" xr:uid="{00000000-0005-0000-0000-00006F970000}"/>
    <cellStyle name="Positive 4 2 13 4 3 3" xfId="38755" xr:uid="{00000000-0005-0000-0000-000070970000}"/>
    <cellStyle name="Positive 4 2 13 4 4" xfId="38756" xr:uid="{00000000-0005-0000-0000-000071970000}"/>
    <cellStyle name="Positive 4 2 13 4 4 2" xfId="38757" xr:uid="{00000000-0005-0000-0000-000072970000}"/>
    <cellStyle name="Positive 4 2 13 4 4 2 2" xfId="38758" xr:uid="{00000000-0005-0000-0000-000073970000}"/>
    <cellStyle name="Positive 4 2 13 4 4 3" xfId="38759" xr:uid="{00000000-0005-0000-0000-000074970000}"/>
    <cellStyle name="Positive 4 2 13 4 5" xfId="38760" xr:uid="{00000000-0005-0000-0000-000075970000}"/>
    <cellStyle name="Positive 4 2 13 4 5 2" xfId="38761" xr:uid="{00000000-0005-0000-0000-000076970000}"/>
    <cellStyle name="Positive 4 2 13 4 6" xfId="38762" xr:uid="{00000000-0005-0000-0000-000077970000}"/>
    <cellStyle name="Positive 4 2 13 4 6 2" xfId="38763" xr:uid="{00000000-0005-0000-0000-000078970000}"/>
    <cellStyle name="Positive 4 2 13 4 7" xfId="38764" xr:uid="{00000000-0005-0000-0000-000079970000}"/>
    <cellStyle name="Positive 4 2 13 4 7 2" xfId="38765" xr:uid="{00000000-0005-0000-0000-00007A970000}"/>
    <cellStyle name="Positive 4 2 13 4 8" xfId="38766" xr:uid="{00000000-0005-0000-0000-00007B970000}"/>
    <cellStyle name="Positive 4 2 13 4 8 2" xfId="38767" xr:uid="{00000000-0005-0000-0000-00007C970000}"/>
    <cellStyle name="Positive 4 2 13 4 9" xfId="38768" xr:uid="{00000000-0005-0000-0000-00007D970000}"/>
    <cellStyle name="Positive 4 2 13 4 9 2" xfId="38769" xr:uid="{00000000-0005-0000-0000-00007E970000}"/>
    <cellStyle name="Positive 4 2 13 5" xfId="38770" xr:uid="{00000000-0005-0000-0000-00007F970000}"/>
    <cellStyle name="Positive 4 2 13 5 10" xfId="38771" xr:uid="{00000000-0005-0000-0000-000080970000}"/>
    <cellStyle name="Positive 4 2 13 5 10 2" xfId="38772" xr:uid="{00000000-0005-0000-0000-000081970000}"/>
    <cellStyle name="Positive 4 2 13 5 11" xfId="38773" xr:uid="{00000000-0005-0000-0000-000082970000}"/>
    <cellStyle name="Positive 4 2 13 5 11 2" xfId="38774" xr:uid="{00000000-0005-0000-0000-000083970000}"/>
    <cellStyle name="Positive 4 2 13 5 12" xfId="38775" xr:uid="{00000000-0005-0000-0000-000084970000}"/>
    <cellStyle name="Positive 4 2 13 5 12 2" xfId="38776" xr:uid="{00000000-0005-0000-0000-000085970000}"/>
    <cellStyle name="Positive 4 2 13 5 13" xfId="38777" xr:uid="{00000000-0005-0000-0000-000086970000}"/>
    <cellStyle name="Positive 4 2 13 5 13 2" xfId="38778" xr:uid="{00000000-0005-0000-0000-000087970000}"/>
    <cellStyle name="Positive 4 2 13 5 14" xfId="38779" xr:uid="{00000000-0005-0000-0000-000088970000}"/>
    <cellStyle name="Positive 4 2 13 5 14 2" xfId="38780" xr:uid="{00000000-0005-0000-0000-000089970000}"/>
    <cellStyle name="Positive 4 2 13 5 15" xfId="38781" xr:uid="{00000000-0005-0000-0000-00008A970000}"/>
    <cellStyle name="Positive 4 2 13 5 15 2" xfId="38782" xr:uid="{00000000-0005-0000-0000-00008B970000}"/>
    <cellStyle name="Positive 4 2 13 5 16" xfId="38783" xr:uid="{00000000-0005-0000-0000-00008C970000}"/>
    <cellStyle name="Positive 4 2 13 5 16 2" xfId="38784" xr:uid="{00000000-0005-0000-0000-00008D970000}"/>
    <cellStyle name="Positive 4 2 13 5 17" xfId="38785" xr:uid="{00000000-0005-0000-0000-00008E970000}"/>
    <cellStyle name="Positive 4 2 13 5 2" xfId="38786" xr:uid="{00000000-0005-0000-0000-00008F970000}"/>
    <cellStyle name="Positive 4 2 13 5 2 2" xfId="38787" xr:uid="{00000000-0005-0000-0000-000090970000}"/>
    <cellStyle name="Positive 4 2 13 5 3" xfId="38788" xr:uid="{00000000-0005-0000-0000-000091970000}"/>
    <cellStyle name="Positive 4 2 13 5 3 2" xfId="38789" xr:uid="{00000000-0005-0000-0000-000092970000}"/>
    <cellStyle name="Positive 4 2 13 5 4" xfId="38790" xr:uid="{00000000-0005-0000-0000-000093970000}"/>
    <cellStyle name="Positive 4 2 13 5 4 2" xfId="38791" xr:uid="{00000000-0005-0000-0000-000094970000}"/>
    <cellStyle name="Positive 4 2 13 5 5" xfId="38792" xr:uid="{00000000-0005-0000-0000-000095970000}"/>
    <cellStyle name="Positive 4 2 13 5 5 2" xfId="38793" xr:uid="{00000000-0005-0000-0000-000096970000}"/>
    <cellStyle name="Positive 4 2 13 5 6" xfId="38794" xr:uid="{00000000-0005-0000-0000-000097970000}"/>
    <cellStyle name="Positive 4 2 13 5 6 2" xfId="38795" xr:uid="{00000000-0005-0000-0000-000098970000}"/>
    <cellStyle name="Positive 4 2 13 5 7" xfId="38796" xr:uid="{00000000-0005-0000-0000-000099970000}"/>
    <cellStyle name="Positive 4 2 13 5 7 2" xfId="38797" xr:uid="{00000000-0005-0000-0000-00009A970000}"/>
    <cellStyle name="Positive 4 2 13 5 8" xfId="38798" xr:uid="{00000000-0005-0000-0000-00009B970000}"/>
    <cellStyle name="Positive 4 2 13 5 8 2" xfId="38799" xr:uid="{00000000-0005-0000-0000-00009C970000}"/>
    <cellStyle name="Positive 4 2 13 5 9" xfId="38800" xr:uid="{00000000-0005-0000-0000-00009D970000}"/>
    <cellStyle name="Positive 4 2 13 5 9 2" xfId="38801" xr:uid="{00000000-0005-0000-0000-00009E970000}"/>
    <cellStyle name="Positive 4 2 13 6" xfId="38802" xr:uid="{00000000-0005-0000-0000-00009F970000}"/>
    <cellStyle name="Positive 4 2 13 6 2" xfId="38803" xr:uid="{00000000-0005-0000-0000-0000A0970000}"/>
    <cellStyle name="Positive 4 2 13 6 2 2" xfId="38804" xr:uid="{00000000-0005-0000-0000-0000A1970000}"/>
    <cellStyle name="Positive 4 2 13 6 3" xfId="38805" xr:uid="{00000000-0005-0000-0000-0000A2970000}"/>
    <cellStyle name="Positive 4 2 13 7" xfId="38806" xr:uid="{00000000-0005-0000-0000-0000A3970000}"/>
    <cellStyle name="Positive 4 2 13 7 2" xfId="38807" xr:uid="{00000000-0005-0000-0000-0000A4970000}"/>
    <cellStyle name="Positive 4 2 13 7 2 2" xfId="38808" xr:uid="{00000000-0005-0000-0000-0000A5970000}"/>
    <cellStyle name="Positive 4 2 13 7 3" xfId="38809" xr:uid="{00000000-0005-0000-0000-0000A6970000}"/>
    <cellStyle name="Positive 4 2 13 8" xfId="38810" xr:uid="{00000000-0005-0000-0000-0000A7970000}"/>
    <cellStyle name="Positive 4 2 13 8 2" xfId="38811" xr:uid="{00000000-0005-0000-0000-0000A8970000}"/>
    <cellStyle name="Positive 4 2 13 9" xfId="38812" xr:uid="{00000000-0005-0000-0000-0000A9970000}"/>
    <cellStyle name="Positive 4 2 13 9 2" xfId="38813" xr:uid="{00000000-0005-0000-0000-0000AA970000}"/>
    <cellStyle name="Positive 4 2 14" xfId="38814" xr:uid="{00000000-0005-0000-0000-0000AB970000}"/>
    <cellStyle name="Positive 4 2 14 10" xfId="38815" xr:uid="{00000000-0005-0000-0000-0000AC970000}"/>
    <cellStyle name="Positive 4 2 14 10 2" xfId="38816" xr:uid="{00000000-0005-0000-0000-0000AD970000}"/>
    <cellStyle name="Positive 4 2 14 11" xfId="38817" xr:uid="{00000000-0005-0000-0000-0000AE970000}"/>
    <cellStyle name="Positive 4 2 14 11 2" xfId="38818" xr:uid="{00000000-0005-0000-0000-0000AF970000}"/>
    <cellStyle name="Positive 4 2 14 12" xfId="38819" xr:uid="{00000000-0005-0000-0000-0000B0970000}"/>
    <cellStyle name="Positive 4 2 14 12 2" xfId="38820" xr:uid="{00000000-0005-0000-0000-0000B1970000}"/>
    <cellStyle name="Positive 4 2 14 13" xfId="38821" xr:uid="{00000000-0005-0000-0000-0000B2970000}"/>
    <cellStyle name="Positive 4 2 14 13 2" xfId="38822" xr:uid="{00000000-0005-0000-0000-0000B3970000}"/>
    <cellStyle name="Positive 4 2 14 14" xfId="38823" xr:uid="{00000000-0005-0000-0000-0000B4970000}"/>
    <cellStyle name="Positive 4 2 14 14 2" xfId="38824" xr:uid="{00000000-0005-0000-0000-0000B5970000}"/>
    <cellStyle name="Positive 4 2 14 15" xfId="38825" xr:uid="{00000000-0005-0000-0000-0000B6970000}"/>
    <cellStyle name="Positive 4 2 14 15 2" xfId="38826" xr:uid="{00000000-0005-0000-0000-0000B7970000}"/>
    <cellStyle name="Positive 4 2 14 16" xfId="38827" xr:uid="{00000000-0005-0000-0000-0000B8970000}"/>
    <cellStyle name="Positive 4 2 14 16 2" xfId="38828" xr:uid="{00000000-0005-0000-0000-0000B9970000}"/>
    <cellStyle name="Positive 4 2 14 17" xfId="38829" xr:uid="{00000000-0005-0000-0000-0000BA970000}"/>
    <cellStyle name="Positive 4 2 14 17 2" xfId="38830" xr:uid="{00000000-0005-0000-0000-0000BB970000}"/>
    <cellStyle name="Positive 4 2 14 18" xfId="38831" xr:uid="{00000000-0005-0000-0000-0000BC970000}"/>
    <cellStyle name="Positive 4 2 14 18 2" xfId="38832" xr:uid="{00000000-0005-0000-0000-0000BD970000}"/>
    <cellStyle name="Positive 4 2 14 19" xfId="38833" xr:uid="{00000000-0005-0000-0000-0000BE970000}"/>
    <cellStyle name="Positive 4 2 14 19 2" xfId="38834" xr:uid="{00000000-0005-0000-0000-0000BF970000}"/>
    <cellStyle name="Positive 4 2 14 2" xfId="38835" xr:uid="{00000000-0005-0000-0000-0000C0970000}"/>
    <cellStyle name="Positive 4 2 14 2 10" xfId="38836" xr:uid="{00000000-0005-0000-0000-0000C1970000}"/>
    <cellStyle name="Positive 4 2 14 2 10 2" xfId="38837" xr:uid="{00000000-0005-0000-0000-0000C2970000}"/>
    <cellStyle name="Positive 4 2 14 2 11" xfId="38838" xr:uid="{00000000-0005-0000-0000-0000C3970000}"/>
    <cellStyle name="Positive 4 2 14 2 11 2" xfId="38839" xr:uid="{00000000-0005-0000-0000-0000C4970000}"/>
    <cellStyle name="Positive 4 2 14 2 12" xfId="38840" xr:uid="{00000000-0005-0000-0000-0000C5970000}"/>
    <cellStyle name="Positive 4 2 14 2 12 2" xfId="38841" xr:uid="{00000000-0005-0000-0000-0000C6970000}"/>
    <cellStyle name="Positive 4 2 14 2 13" xfId="38842" xr:uid="{00000000-0005-0000-0000-0000C7970000}"/>
    <cellStyle name="Positive 4 2 14 2 13 2" xfId="38843" xr:uid="{00000000-0005-0000-0000-0000C8970000}"/>
    <cellStyle name="Positive 4 2 14 2 14" xfId="38844" xr:uid="{00000000-0005-0000-0000-0000C9970000}"/>
    <cellStyle name="Positive 4 2 14 2 14 2" xfId="38845" xr:uid="{00000000-0005-0000-0000-0000CA970000}"/>
    <cellStyle name="Positive 4 2 14 2 15" xfId="38846" xr:uid="{00000000-0005-0000-0000-0000CB970000}"/>
    <cellStyle name="Positive 4 2 14 2 15 2" xfId="38847" xr:uid="{00000000-0005-0000-0000-0000CC970000}"/>
    <cellStyle name="Positive 4 2 14 2 16" xfId="38848" xr:uid="{00000000-0005-0000-0000-0000CD970000}"/>
    <cellStyle name="Positive 4 2 14 2 16 2" xfId="38849" xr:uid="{00000000-0005-0000-0000-0000CE970000}"/>
    <cellStyle name="Positive 4 2 14 2 17" xfId="38850" xr:uid="{00000000-0005-0000-0000-0000CF970000}"/>
    <cellStyle name="Positive 4 2 14 2 17 2" xfId="38851" xr:uid="{00000000-0005-0000-0000-0000D0970000}"/>
    <cellStyle name="Positive 4 2 14 2 18" xfId="38852" xr:uid="{00000000-0005-0000-0000-0000D1970000}"/>
    <cellStyle name="Positive 4 2 14 2 18 2" xfId="38853" xr:uid="{00000000-0005-0000-0000-0000D2970000}"/>
    <cellStyle name="Positive 4 2 14 2 19" xfId="38854" xr:uid="{00000000-0005-0000-0000-0000D3970000}"/>
    <cellStyle name="Positive 4 2 14 2 19 2" xfId="38855" xr:uid="{00000000-0005-0000-0000-0000D4970000}"/>
    <cellStyle name="Positive 4 2 14 2 2" xfId="38856" xr:uid="{00000000-0005-0000-0000-0000D5970000}"/>
    <cellStyle name="Positive 4 2 14 2 2 10" xfId="38857" xr:uid="{00000000-0005-0000-0000-0000D6970000}"/>
    <cellStyle name="Positive 4 2 14 2 2 10 2" xfId="38858" xr:uid="{00000000-0005-0000-0000-0000D7970000}"/>
    <cellStyle name="Positive 4 2 14 2 2 11" xfId="38859" xr:uid="{00000000-0005-0000-0000-0000D8970000}"/>
    <cellStyle name="Positive 4 2 14 2 2 11 2" xfId="38860" xr:uid="{00000000-0005-0000-0000-0000D9970000}"/>
    <cellStyle name="Positive 4 2 14 2 2 12" xfId="38861" xr:uid="{00000000-0005-0000-0000-0000DA970000}"/>
    <cellStyle name="Positive 4 2 14 2 2 12 2" xfId="38862" xr:uid="{00000000-0005-0000-0000-0000DB970000}"/>
    <cellStyle name="Positive 4 2 14 2 2 13" xfId="38863" xr:uid="{00000000-0005-0000-0000-0000DC970000}"/>
    <cellStyle name="Positive 4 2 14 2 2 13 2" xfId="38864" xr:uid="{00000000-0005-0000-0000-0000DD970000}"/>
    <cellStyle name="Positive 4 2 14 2 2 14" xfId="38865" xr:uid="{00000000-0005-0000-0000-0000DE970000}"/>
    <cellStyle name="Positive 4 2 14 2 2 14 2" xfId="38866" xr:uid="{00000000-0005-0000-0000-0000DF970000}"/>
    <cellStyle name="Positive 4 2 14 2 2 15" xfId="38867" xr:uid="{00000000-0005-0000-0000-0000E0970000}"/>
    <cellStyle name="Positive 4 2 14 2 2 15 2" xfId="38868" xr:uid="{00000000-0005-0000-0000-0000E1970000}"/>
    <cellStyle name="Positive 4 2 14 2 2 16" xfId="38869" xr:uid="{00000000-0005-0000-0000-0000E2970000}"/>
    <cellStyle name="Positive 4 2 14 2 2 16 2" xfId="38870" xr:uid="{00000000-0005-0000-0000-0000E3970000}"/>
    <cellStyle name="Positive 4 2 14 2 2 17" xfId="38871" xr:uid="{00000000-0005-0000-0000-0000E4970000}"/>
    <cellStyle name="Positive 4 2 14 2 2 2" xfId="38872" xr:uid="{00000000-0005-0000-0000-0000E5970000}"/>
    <cellStyle name="Positive 4 2 14 2 2 2 2" xfId="38873" xr:uid="{00000000-0005-0000-0000-0000E6970000}"/>
    <cellStyle name="Positive 4 2 14 2 2 3" xfId="38874" xr:uid="{00000000-0005-0000-0000-0000E7970000}"/>
    <cellStyle name="Positive 4 2 14 2 2 3 2" xfId="38875" xr:uid="{00000000-0005-0000-0000-0000E8970000}"/>
    <cellStyle name="Positive 4 2 14 2 2 4" xfId="38876" xr:uid="{00000000-0005-0000-0000-0000E9970000}"/>
    <cellStyle name="Positive 4 2 14 2 2 4 2" xfId="38877" xr:uid="{00000000-0005-0000-0000-0000EA970000}"/>
    <cellStyle name="Positive 4 2 14 2 2 5" xfId="38878" xr:uid="{00000000-0005-0000-0000-0000EB970000}"/>
    <cellStyle name="Positive 4 2 14 2 2 5 2" xfId="38879" xr:uid="{00000000-0005-0000-0000-0000EC970000}"/>
    <cellStyle name="Positive 4 2 14 2 2 6" xfId="38880" xr:uid="{00000000-0005-0000-0000-0000ED970000}"/>
    <cellStyle name="Positive 4 2 14 2 2 6 2" xfId="38881" xr:uid="{00000000-0005-0000-0000-0000EE970000}"/>
    <cellStyle name="Positive 4 2 14 2 2 7" xfId="38882" xr:uid="{00000000-0005-0000-0000-0000EF970000}"/>
    <cellStyle name="Positive 4 2 14 2 2 7 2" xfId="38883" xr:uid="{00000000-0005-0000-0000-0000F0970000}"/>
    <cellStyle name="Positive 4 2 14 2 2 8" xfId="38884" xr:uid="{00000000-0005-0000-0000-0000F1970000}"/>
    <cellStyle name="Positive 4 2 14 2 2 8 2" xfId="38885" xr:uid="{00000000-0005-0000-0000-0000F2970000}"/>
    <cellStyle name="Positive 4 2 14 2 2 9" xfId="38886" xr:uid="{00000000-0005-0000-0000-0000F3970000}"/>
    <cellStyle name="Positive 4 2 14 2 2 9 2" xfId="38887" xr:uid="{00000000-0005-0000-0000-0000F4970000}"/>
    <cellStyle name="Positive 4 2 14 2 20" xfId="38888" xr:uid="{00000000-0005-0000-0000-0000F5970000}"/>
    <cellStyle name="Positive 4 2 14 2 3" xfId="38889" xr:uid="{00000000-0005-0000-0000-0000F6970000}"/>
    <cellStyle name="Positive 4 2 14 2 3 2" xfId="38890" xr:uid="{00000000-0005-0000-0000-0000F7970000}"/>
    <cellStyle name="Positive 4 2 14 2 3 2 2" xfId="38891" xr:uid="{00000000-0005-0000-0000-0000F8970000}"/>
    <cellStyle name="Positive 4 2 14 2 3 3" xfId="38892" xr:uid="{00000000-0005-0000-0000-0000F9970000}"/>
    <cellStyle name="Positive 4 2 14 2 4" xfId="38893" xr:uid="{00000000-0005-0000-0000-0000FA970000}"/>
    <cellStyle name="Positive 4 2 14 2 4 2" xfId="38894" xr:uid="{00000000-0005-0000-0000-0000FB970000}"/>
    <cellStyle name="Positive 4 2 14 2 4 2 2" xfId="38895" xr:uid="{00000000-0005-0000-0000-0000FC970000}"/>
    <cellStyle name="Positive 4 2 14 2 4 3" xfId="38896" xr:uid="{00000000-0005-0000-0000-0000FD970000}"/>
    <cellStyle name="Positive 4 2 14 2 5" xfId="38897" xr:uid="{00000000-0005-0000-0000-0000FE970000}"/>
    <cellStyle name="Positive 4 2 14 2 5 2" xfId="38898" xr:uid="{00000000-0005-0000-0000-0000FF970000}"/>
    <cellStyle name="Positive 4 2 14 2 6" xfId="38899" xr:uid="{00000000-0005-0000-0000-000000980000}"/>
    <cellStyle name="Positive 4 2 14 2 6 2" xfId="38900" xr:uid="{00000000-0005-0000-0000-000001980000}"/>
    <cellStyle name="Positive 4 2 14 2 7" xfId="38901" xr:uid="{00000000-0005-0000-0000-000002980000}"/>
    <cellStyle name="Positive 4 2 14 2 7 2" xfId="38902" xr:uid="{00000000-0005-0000-0000-000003980000}"/>
    <cellStyle name="Positive 4 2 14 2 8" xfId="38903" xr:uid="{00000000-0005-0000-0000-000004980000}"/>
    <cellStyle name="Positive 4 2 14 2 8 2" xfId="38904" xr:uid="{00000000-0005-0000-0000-000005980000}"/>
    <cellStyle name="Positive 4 2 14 2 9" xfId="38905" xr:uid="{00000000-0005-0000-0000-000006980000}"/>
    <cellStyle name="Positive 4 2 14 2 9 2" xfId="38906" xr:uid="{00000000-0005-0000-0000-000007980000}"/>
    <cellStyle name="Positive 4 2 14 20" xfId="38907" xr:uid="{00000000-0005-0000-0000-000008980000}"/>
    <cellStyle name="Positive 4 2 14 20 2" xfId="38908" xr:uid="{00000000-0005-0000-0000-000009980000}"/>
    <cellStyle name="Positive 4 2 14 21" xfId="38909" xr:uid="{00000000-0005-0000-0000-00000A980000}"/>
    <cellStyle name="Positive 4 2 14 21 2" xfId="38910" xr:uid="{00000000-0005-0000-0000-00000B980000}"/>
    <cellStyle name="Positive 4 2 14 22" xfId="38911" xr:uid="{00000000-0005-0000-0000-00000C980000}"/>
    <cellStyle name="Positive 4 2 14 22 2" xfId="38912" xr:uid="{00000000-0005-0000-0000-00000D980000}"/>
    <cellStyle name="Positive 4 2 14 23" xfId="38913" xr:uid="{00000000-0005-0000-0000-00000E980000}"/>
    <cellStyle name="Positive 4 2 14 3" xfId="38914" xr:uid="{00000000-0005-0000-0000-00000F980000}"/>
    <cellStyle name="Positive 4 2 14 3 10" xfId="38915" xr:uid="{00000000-0005-0000-0000-000010980000}"/>
    <cellStyle name="Positive 4 2 14 3 10 2" xfId="38916" xr:uid="{00000000-0005-0000-0000-000011980000}"/>
    <cellStyle name="Positive 4 2 14 3 11" xfId="38917" xr:uid="{00000000-0005-0000-0000-000012980000}"/>
    <cellStyle name="Positive 4 2 14 3 11 2" xfId="38918" xr:uid="{00000000-0005-0000-0000-000013980000}"/>
    <cellStyle name="Positive 4 2 14 3 12" xfId="38919" xr:uid="{00000000-0005-0000-0000-000014980000}"/>
    <cellStyle name="Positive 4 2 14 3 12 2" xfId="38920" xr:uid="{00000000-0005-0000-0000-000015980000}"/>
    <cellStyle name="Positive 4 2 14 3 13" xfId="38921" xr:uid="{00000000-0005-0000-0000-000016980000}"/>
    <cellStyle name="Positive 4 2 14 3 13 2" xfId="38922" xr:uid="{00000000-0005-0000-0000-000017980000}"/>
    <cellStyle name="Positive 4 2 14 3 14" xfId="38923" xr:uid="{00000000-0005-0000-0000-000018980000}"/>
    <cellStyle name="Positive 4 2 14 3 14 2" xfId="38924" xr:uid="{00000000-0005-0000-0000-000019980000}"/>
    <cellStyle name="Positive 4 2 14 3 15" xfId="38925" xr:uid="{00000000-0005-0000-0000-00001A980000}"/>
    <cellStyle name="Positive 4 2 14 3 15 2" xfId="38926" xr:uid="{00000000-0005-0000-0000-00001B980000}"/>
    <cellStyle name="Positive 4 2 14 3 16" xfId="38927" xr:uid="{00000000-0005-0000-0000-00001C980000}"/>
    <cellStyle name="Positive 4 2 14 3 16 2" xfId="38928" xr:uid="{00000000-0005-0000-0000-00001D980000}"/>
    <cellStyle name="Positive 4 2 14 3 17" xfId="38929" xr:uid="{00000000-0005-0000-0000-00001E980000}"/>
    <cellStyle name="Positive 4 2 14 3 17 2" xfId="38930" xr:uid="{00000000-0005-0000-0000-00001F980000}"/>
    <cellStyle name="Positive 4 2 14 3 18" xfId="38931" xr:uid="{00000000-0005-0000-0000-000020980000}"/>
    <cellStyle name="Positive 4 2 14 3 18 2" xfId="38932" xr:uid="{00000000-0005-0000-0000-000021980000}"/>
    <cellStyle name="Positive 4 2 14 3 19" xfId="38933" xr:uid="{00000000-0005-0000-0000-000022980000}"/>
    <cellStyle name="Positive 4 2 14 3 19 2" xfId="38934" xr:uid="{00000000-0005-0000-0000-000023980000}"/>
    <cellStyle name="Positive 4 2 14 3 2" xfId="38935" xr:uid="{00000000-0005-0000-0000-000024980000}"/>
    <cellStyle name="Positive 4 2 14 3 2 10" xfId="38936" xr:uid="{00000000-0005-0000-0000-000025980000}"/>
    <cellStyle name="Positive 4 2 14 3 2 10 2" xfId="38937" xr:uid="{00000000-0005-0000-0000-000026980000}"/>
    <cellStyle name="Positive 4 2 14 3 2 11" xfId="38938" xr:uid="{00000000-0005-0000-0000-000027980000}"/>
    <cellStyle name="Positive 4 2 14 3 2 11 2" xfId="38939" xr:uid="{00000000-0005-0000-0000-000028980000}"/>
    <cellStyle name="Positive 4 2 14 3 2 12" xfId="38940" xr:uid="{00000000-0005-0000-0000-000029980000}"/>
    <cellStyle name="Positive 4 2 14 3 2 12 2" xfId="38941" xr:uid="{00000000-0005-0000-0000-00002A980000}"/>
    <cellStyle name="Positive 4 2 14 3 2 13" xfId="38942" xr:uid="{00000000-0005-0000-0000-00002B980000}"/>
    <cellStyle name="Positive 4 2 14 3 2 13 2" xfId="38943" xr:uid="{00000000-0005-0000-0000-00002C980000}"/>
    <cellStyle name="Positive 4 2 14 3 2 14" xfId="38944" xr:uid="{00000000-0005-0000-0000-00002D980000}"/>
    <cellStyle name="Positive 4 2 14 3 2 14 2" xfId="38945" xr:uid="{00000000-0005-0000-0000-00002E980000}"/>
    <cellStyle name="Positive 4 2 14 3 2 15" xfId="38946" xr:uid="{00000000-0005-0000-0000-00002F980000}"/>
    <cellStyle name="Positive 4 2 14 3 2 15 2" xfId="38947" xr:uid="{00000000-0005-0000-0000-000030980000}"/>
    <cellStyle name="Positive 4 2 14 3 2 16" xfId="38948" xr:uid="{00000000-0005-0000-0000-000031980000}"/>
    <cellStyle name="Positive 4 2 14 3 2 16 2" xfId="38949" xr:uid="{00000000-0005-0000-0000-000032980000}"/>
    <cellStyle name="Positive 4 2 14 3 2 17" xfId="38950" xr:uid="{00000000-0005-0000-0000-000033980000}"/>
    <cellStyle name="Positive 4 2 14 3 2 2" xfId="38951" xr:uid="{00000000-0005-0000-0000-000034980000}"/>
    <cellStyle name="Positive 4 2 14 3 2 2 2" xfId="38952" xr:uid="{00000000-0005-0000-0000-000035980000}"/>
    <cellStyle name="Positive 4 2 14 3 2 3" xfId="38953" xr:uid="{00000000-0005-0000-0000-000036980000}"/>
    <cellStyle name="Positive 4 2 14 3 2 3 2" xfId="38954" xr:uid="{00000000-0005-0000-0000-000037980000}"/>
    <cellStyle name="Positive 4 2 14 3 2 4" xfId="38955" xr:uid="{00000000-0005-0000-0000-000038980000}"/>
    <cellStyle name="Positive 4 2 14 3 2 4 2" xfId="38956" xr:uid="{00000000-0005-0000-0000-000039980000}"/>
    <cellStyle name="Positive 4 2 14 3 2 5" xfId="38957" xr:uid="{00000000-0005-0000-0000-00003A980000}"/>
    <cellStyle name="Positive 4 2 14 3 2 5 2" xfId="38958" xr:uid="{00000000-0005-0000-0000-00003B980000}"/>
    <cellStyle name="Positive 4 2 14 3 2 6" xfId="38959" xr:uid="{00000000-0005-0000-0000-00003C980000}"/>
    <cellStyle name="Positive 4 2 14 3 2 6 2" xfId="38960" xr:uid="{00000000-0005-0000-0000-00003D980000}"/>
    <cellStyle name="Positive 4 2 14 3 2 7" xfId="38961" xr:uid="{00000000-0005-0000-0000-00003E980000}"/>
    <cellStyle name="Positive 4 2 14 3 2 7 2" xfId="38962" xr:uid="{00000000-0005-0000-0000-00003F980000}"/>
    <cellStyle name="Positive 4 2 14 3 2 8" xfId="38963" xr:uid="{00000000-0005-0000-0000-000040980000}"/>
    <cellStyle name="Positive 4 2 14 3 2 8 2" xfId="38964" xr:uid="{00000000-0005-0000-0000-000041980000}"/>
    <cellStyle name="Positive 4 2 14 3 2 9" xfId="38965" xr:uid="{00000000-0005-0000-0000-000042980000}"/>
    <cellStyle name="Positive 4 2 14 3 2 9 2" xfId="38966" xr:uid="{00000000-0005-0000-0000-000043980000}"/>
    <cellStyle name="Positive 4 2 14 3 20" xfId="38967" xr:uid="{00000000-0005-0000-0000-000044980000}"/>
    <cellStyle name="Positive 4 2 14 3 3" xfId="38968" xr:uid="{00000000-0005-0000-0000-000045980000}"/>
    <cellStyle name="Positive 4 2 14 3 3 2" xfId="38969" xr:uid="{00000000-0005-0000-0000-000046980000}"/>
    <cellStyle name="Positive 4 2 14 3 3 2 2" xfId="38970" xr:uid="{00000000-0005-0000-0000-000047980000}"/>
    <cellStyle name="Positive 4 2 14 3 3 3" xfId="38971" xr:uid="{00000000-0005-0000-0000-000048980000}"/>
    <cellStyle name="Positive 4 2 14 3 4" xfId="38972" xr:uid="{00000000-0005-0000-0000-000049980000}"/>
    <cellStyle name="Positive 4 2 14 3 4 2" xfId="38973" xr:uid="{00000000-0005-0000-0000-00004A980000}"/>
    <cellStyle name="Positive 4 2 14 3 4 2 2" xfId="38974" xr:uid="{00000000-0005-0000-0000-00004B980000}"/>
    <cellStyle name="Positive 4 2 14 3 4 3" xfId="38975" xr:uid="{00000000-0005-0000-0000-00004C980000}"/>
    <cellStyle name="Positive 4 2 14 3 5" xfId="38976" xr:uid="{00000000-0005-0000-0000-00004D980000}"/>
    <cellStyle name="Positive 4 2 14 3 5 2" xfId="38977" xr:uid="{00000000-0005-0000-0000-00004E980000}"/>
    <cellStyle name="Positive 4 2 14 3 6" xfId="38978" xr:uid="{00000000-0005-0000-0000-00004F980000}"/>
    <cellStyle name="Positive 4 2 14 3 6 2" xfId="38979" xr:uid="{00000000-0005-0000-0000-000050980000}"/>
    <cellStyle name="Positive 4 2 14 3 7" xfId="38980" xr:uid="{00000000-0005-0000-0000-000051980000}"/>
    <cellStyle name="Positive 4 2 14 3 7 2" xfId="38981" xr:uid="{00000000-0005-0000-0000-000052980000}"/>
    <cellStyle name="Positive 4 2 14 3 8" xfId="38982" xr:uid="{00000000-0005-0000-0000-000053980000}"/>
    <cellStyle name="Positive 4 2 14 3 8 2" xfId="38983" xr:uid="{00000000-0005-0000-0000-000054980000}"/>
    <cellStyle name="Positive 4 2 14 3 9" xfId="38984" xr:uid="{00000000-0005-0000-0000-000055980000}"/>
    <cellStyle name="Positive 4 2 14 3 9 2" xfId="38985" xr:uid="{00000000-0005-0000-0000-000056980000}"/>
    <cellStyle name="Positive 4 2 14 4" xfId="38986" xr:uid="{00000000-0005-0000-0000-000057980000}"/>
    <cellStyle name="Positive 4 2 14 4 10" xfId="38987" xr:uid="{00000000-0005-0000-0000-000058980000}"/>
    <cellStyle name="Positive 4 2 14 4 10 2" xfId="38988" xr:uid="{00000000-0005-0000-0000-000059980000}"/>
    <cellStyle name="Positive 4 2 14 4 11" xfId="38989" xr:uid="{00000000-0005-0000-0000-00005A980000}"/>
    <cellStyle name="Positive 4 2 14 4 11 2" xfId="38990" xr:uid="{00000000-0005-0000-0000-00005B980000}"/>
    <cellStyle name="Positive 4 2 14 4 12" xfId="38991" xr:uid="{00000000-0005-0000-0000-00005C980000}"/>
    <cellStyle name="Positive 4 2 14 4 12 2" xfId="38992" xr:uid="{00000000-0005-0000-0000-00005D980000}"/>
    <cellStyle name="Positive 4 2 14 4 13" xfId="38993" xr:uid="{00000000-0005-0000-0000-00005E980000}"/>
    <cellStyle name="Positive 4 2 14 4 13 2" xfId="38994" xr:uid="{00000000-0005-0000-0000-00005F980000}"/>
    <cellStyle name="Positive 4 2 14 4 14" xfId="38995" xr:uid="{00000000-0005-0000-0000-000060980000}"/>
    <cellStyle name="Positive 4 2 14 4 14 2" xfId="38996" xr:uid="{00000000-0005-0000-0000-000061980000}"/>
    <cellStyle name="Positive 4 2 14 4 15" xfId="38997" xr:uid="{00000000-0005-0000-0000-000062980000}"/>
    <cellStyle name="Positive 4 2 14 4 15 2" xfId="38998" xr:uid="{00000000-0005-0000-0000-000063980000}"/>
    <cellStyle name="Positive 4 2 14 4 16" xfId="38999" xr:uid="{00000000-0005-0000-0000-000064980000}"/>
    <cellStyle name="Positive 4 2 14 4 16 2" xfId="39000" xr:uid="{00000000-0005-0000-0000-000065980000}"/>
    <cellStyle name="Positive 4 2 14 4 17" xfId="39001" xr:uid="{00000000-0005-0000-0000-000066980000}"/>
    <cellStyle name="Positive 4 2 14 4 17 2" xfId="39002" xr:uid="{00000000-0005-0000-0000-000067980000}"/>
    <cellStyle name="Positive 4 2 14 4 18" xfId="39003" xr:uid="{00000000-0005-0000-0000-000068980000}"/>
    <cellStyle name="Positive 4 2 14 4 18 2" xfId="39004" xr:uid="{00000000-0005-0000-0000-000069980000}"/>
    <cellStyle name="Positive 4 2 14 4 19" xfId="39005" xr:uid="{00000000-0005-0000-0000-00006A980000}"/>
    <cellStyle name="Positive 4 2 14 4 19 2" xfId="39006" xr:uid="{00000000-0005-0000-0000-00006B980000}"/>
    <cellStyle name="Positive 4 2 14 4 2" xfId="39007" xr:uid="{00000000-0005-0000-0000-00006C980000}"/>
    <cellStyle name="Positive 4 2 14 4 2 10" xfId="39008" xr:uid="{00000000-0005-0000-0000-00006D980000}"/>
    <cellStyle name="Positive 4 2 14 4 2 10 2" xfId="39009" xr:uid="{00000000-0005-0000-0000-00006E980000}"/>
    <cellStyle name="Positive 4 2 14 4 2 11" xfId="39010" xr:uid="{00000000-0005-0000-0000-00006F980000}"/>
    <cellStyle name="Positive 4 2 14 4 2 11 2" xfId="39011" xr:uid="{00000000-0005-0000-0000-000070980000}"/>
    <cellStyle name="Positive 4 2 14 4 2 12" xfId="39012" xr:uid="{00000000-0005-0000-0000-000071980000}"/>
    <cellStyle name="Positive 4 2 14 4 2 12 2" xfId="39013" xr:uid="{00000000-0005-0000-0000-000072980000}"/>
    <cellStyle name="Positive 4 2 14 4 2 13" xfId="39014" xr:uid="{00000000-0005-0000-0000-000073980000}"/>
    <cellStyle name="Positive 4 2 14 4 2 13 2" xfId="39015" xr:uid="{00000000-0005-0000-0000-000074980000}"/>
    <cellStyle name="Positive 4 2 14 4 2 14" xfId="39016" xr:uid="{00000000-0005-0000-0000-000075980000}"/>
    <cellStyle name="Positive 4 2 14 4 2 14 2" xfId="39017" xr:uid="{00000000-0005-0000-0000-000076980000}"/>
    <cellStyle name="Positive 4 2 14 4 2 15" xfId="39018" xr:uid="{00000000-0005-0000-0000-000077980000}"/>
    <cellStyle name="Positive 4 2 14 4 2 15 2" xfId="39019" xr:uid="{00000000-0005-0000-0000-000078980000}"/>
    <cellStyle name="Positive 4 2 14 4 2 16" xfId="39020" xr:uid="{00000000-0005-0000-0000-000079980000}"/>
    <cellStyle name="Positive 4 2 14 4 2 16 2" xfId="39021" xr:uid="{00000000-0005-0000-0000-00007A980000}"/>
    <cellStyle name="Positive 4 2 14 4 2 17" xfId="39022" xr:uid="{00000000-0005-0000-0000-00007B980000}"/>
    <cellStyle name="Positive 4 2 14 4 2 2" xfId="39023" xr:uid="{00000000-0005-0000-0000-00007C980000}"/>
    <cellStyle name="Positive 4 2 14 4 2 2 2" xfId="39024" xr:uid="{00000000-0005-0000-0000-00007D980000}"/>
    <cellStyle name="Positive 4 2 14 4 2 3" xfId="39025" xr:uid="{00000000-0005-0000-0000-00007E980000}"/>
    <cellStyle name="Positive 4 2 14 4 2 3 2" xfId="39026" xr:uid="{00000000-0005-0000-0000-00007F980000}"/>
    <cellStyle name="Positive 4 2 14 4 2 4" xfId="39027" xr:uid="{00000000-0005-0000-0000-000080980000}"/>
    <cellStyle name="Positive 4 2 14 4 2 4 2" xfId="39028" xr:uid="{00000000-0005-0000-0000-000081980000}"/>
    <cellStyle name="Positive 4 2 14 4 2 5" xfId="39029" xr:uid="{00000000-0005-0000-0000-000082980000}"/>
    <cellStyle name="Positive 4 2 14 4 2 5 2" xfId="39030" xr:uid="{00000000-0005-0000-0000-000083980000}"/>
    <cellStyle name="Positive 4 2 14 4 2 6" xfId="39031" xr:uid="{00000000-0005-0000-0000-000084980000}"/>
    <cellStyle name="Positive 4 2 14 4 2 6 2" xfId="39032" xr:uid="{00000000-0005-0000-0000-000085980000}"/>
    <cellStyle name="Positive 4 2 14 4 2 7" xfId="39033" xr:uid="{00000000-0005-0000-0000-000086980000}"/>
    <cellStyle name="Positive 4 2 14 4 2 7 2" xfId="39034" xr:uid="{00000000-0005-0000-0000-000087980000}"/>
    <cellStyle name="Positive 4 2 14 4 2 8" xfId="39035" xr:uid="{00000000-0005-0000-0000-000088980000}"/>
    <cellStyle name="Positive 4 2 14 4 2 8 2" xfId="39036" xr:uid="{00000000-0005-0000-0000-000089980000}"/>
    <cellStyle name="Positive 4 2 14 4 2 9" xfId="39037" xr:uid="{00000000-0005-0000-0000-00008A980000}"/>
    <cellStyle name="Positive 4 2 14 4 2 9 2" xfId="39038" xr:uid="{00000000-0005-0000-0000-00008B980000}"/>
    <cellStyle name="Positive 4 2 14 4 20" xfId="39039" xr:uid="{00000000-0005-0000-0000-00008C980000}"/>
    <cellStyle name="Positive 4 2 14 4 3" xfId="39040" xr:uid="{00000000-0005-0000-0000-00008D980000}"/>
    <cellStyle name="Positive 4 2 14 4 3 2" xfId="39041" xr:uid="{00000000-0005-0000-0000-00008E980000}"/>
    <cellStyle name="Positive 4 2 14 4 3 2 2" xfId="39042" xr:uid="{00000000-0005-0000-0000-00008F980000}"/>
    <cellStyle name="Positive 4 2 14 4 3 3" xfId="39043" xr:uid="{00000000-0005-0000-0000-000090980000}"/>
    <cellStyle name="Positive 4 2 14 4 4" xfId="39044" xr:uid="{00000000-0005-0000-0000-000091980000}"/>
    <cellStyle name="Positive 4 2 14 4 4 2" xfId="39045" xr:uid="{00000000-0005-0000-0000-000092980000}"/>
    <cellStyle name="Positive 4 2 14 4 4 2 2" xfId="39046" xr:uid="{00000000-0005-0000-0000-000093980000}"/>
    <cellStyle name="Positive 4 2 14 4 4 3" xfId="39047" xr:uid="{00000000-0005-0000-0000-000094980000}"/>
    <cellStyle name="Positive 4 2 14 4 5" xfId="39048" xr:uid="{00000000-0005-0000-0000-000095980000}"/>
    <cellStyle name="Positive 4 2 14 4 5 2" xfId="39049" xr:uid="{00000000-0005-0000-0000-000096980000}"/>
    <cellStyle name="Positive 4 2 14 4 6" xfId="39050" xr:uid="{00000000-0005-0000-0000-000097980000}"/>
    <cellStyle name="Positive 4 2 14 4 6 2" xfId="39051" xr:uid="{00000000-0005-0000-0000-000098980000}"/>
    <cellStyle name="Positive 4 2 14 4 7" xfId="39052" xr:uid="{00000000-0005-0000-0000-000099980000}"/>
    <cellStyle name="Positive 4 2 14 4 7 2" xfId="39053" xr:uid="{00000000-0005-0000-0000-00009A980000}"/>
    <cellStyle name="Positive 4 2 14 4 8" xfId="39054" xr:uid="{00000000-0005-0000-0000-00009B980000}"/>
    <cellStyle name="Positive 4 2 14 4 8 2" xfId="39055" xr:uid="{00000000-0005-0000-0000-00009C980000}"/>
    <cellStyle name="Positive 4 2 14 4 9" xfId="39056" xr:uid="{00000000-0005-0000-0000-00009D980000}"/>
    <cellStyle name="Positive 4 2 14 4 9 2" xfId="39057" xr:uid="{00000000-0005-0000-0000-00009E980000}"/>
    <cellStyle name="Positive 4 2 14 5" xfId="39058" xr:uid="{00000000-0005-0000-0000-00009F980000}"/>
    <cellStyle name="Positive 4 2 14 5 10" xfId="39059" xr:uid="{00000000-0005-0000-0000-0000A0980000}"/>
    <cellStyle name="Positive 4 2 14 5 10 2" xfId="39060" xr:uid="{00000000-0005-0000-0000-0000A1980000}"/>
    <cellStyle name="Positive 4 2 14 5 11" xfId="39061" xr:uid="{00000000-0005-0000-0000-0000A2980000}"/>
    <cellStyle name="Positive 4 2 14 5 11 2" xfId="39062" xr:uid="{00000000-0005-0000-0000-0000A3980000}"/>
    <cellStyle name="Positive 4 2 14 5 12" xfId="39063" xr:uid="{00000000-0005-0000-0000-0000A4980000}"/>
    <cellStyle name="Positive 4 2 14 5 12 2" xfId="39064" xr:uid="{00000000-0005-0000-0000-0000A5980000}"/>
    <cellStyle name="Positive 4 2 14 5 13" xfId="39065" xr:uid="{00000000-0005-0000-0000-0000A6980000}"/>
    <cellStyle name="Positive 4 2 14 5 13 2" xfId="39066" xr:uid="{00000000-0005-0000-0000-0000A7980000}"/>
    <cellStyle name="Positive 4 2 14 5 14" xfId="39067" xr:uid="{00000000-0005-0000-0000-0000A8980000}"/>
    <cellStyle name="Positive 4 2 14 5 14 2" xfId="39068" xr:uid="{00000000-0005-0000-0000-0000A9980000}"/>
    <cellStyle name="Positive 4 2 14 5 15" xfId="39069" xr:uid="{00000000-0005-0000-0000-0000AA980000}"/>
    <cellStyle name="Positive 4 2 14 5 15 2" xfId="39070" xr:uid="{00000000-0005-0000-0000-0000AB980000}"/>
    <cellStyle name="Positive 4 2 14 5 16" xfId="39071" xr:uid="{00000000-0005-0000-0000-0000AC980000}"/>
    <cellStyle name="Positive 4 2 14 5 16 2" xfId="39072" xr:uid="{00000000-0005-0000-0000-0000AD980000}"/>
    <cellStyle name="Positive 4 2 14 5 17" xfId="39073" xr:uid="{00000000-0005-0000-0000-0000AE980000}"/>
    <cellStyle name="Positive 4 2 14 5 2" xfId="39074" xr:uid="{00000000-0005-0000-0000-0000AF980000}"/>
    <cellStyle name="Positive 4 2 14 5 2 2" xfId="39075" xr:uid="{00000000-0005-0000-0000-0000B0980000}"/>
    <cellStyle name="Positive 4 2 14 5 3" xfId="39076" xr:uid="{00000000-0005-0000-0000-0000B1980000}"/>
    <cellStyle name="Positive 4 2 14 5 3 2" xfId="39077" xr:uid="{00000000-0005-0000-0000-0000B2980000}"/>
    <cellStyle name="Positive 4 2 14 5 4" xfId="39078" xr:uid="{00000000-0005-0000-0000-0000B3980000}"/>
    <cellStyle name="Positive 4 2 14 5 4 2" xfId="39079" xr:uid="{00000000-0005-0000-0000-0000B4980000}"/>
    <cellStyle name="Positive 4 2 14 5 5" xfId="39080" xr:uid="{00000000-0005-0000-0000-0000B5980000}"/>
    <cellStyle name="Positive 4 2 14 5 5 2" xfId="39081" xr:uid="{00000000-0005-0000-0000-0000B6980000}"/>
    <cellStyle name="Positive 4 2 14 5 6" xfId="39082" xr:uid="{00000000-0005-0000-0000-0000B7980000}"/>
    <cellStyle name="Positive 4 2 14 5 6 2" xfId="39083" xr:uid="{00000000-0005-0000-0000-0000B8980000}"/>
    <cellStyle name="Positive 4 2 14 5 7" xfId="39084" xr:uid="{00000000-0005-0000-0000-0000B9980000}"/>
    <cellStyle name="Positive 4 2 14 5 7 2" xfId="39085" xr:uid="{00000000-0005-0000-0000-0000BA980000}"/>
    <cellStyle name="Positive 4 2 14 5 8" xfId="39086" xr:uid="{00000000-0005-0000-0000-0000BB980000}"/>
    <cellStyle name="Positive 4 2 14 5 8 2" xfId="39087" xr:uid="{00000000-0005-0000-0000-0000BC980000}"/>
    <cellStyle name="Positive 4 2 14 5 9" xfId="39088" xr:uid="{00000000-0005-0000-0000-0000BD980000}"/>
    <cellStyle name="Positive 4 2 14 5 9 2" xfId="39089" xr:uid="{00000000-0005-0000-0000-0000BE980000}"/>
    <cellStyle name="Positive 4 2 14 6" xfId="39090" xr:uid="{00000000-0005-0000-0000-0000BF980000}"/>
    <cellStyle name="Positive 4 2 14 6 2" xfId="39091" xr:uid="{00000000-0005-0000-0000-0000C0980000}"/>
    <cellStyle name="Positive 4 2 14 6 2 2" xfId="39092" xr:uid="{00000000-0005-0000-0000-0000C1980000}"/>
    <cellStyle name="Positive 4 2 14 6 3" xfId="39093" xr:uid="{00000000-0005-0000-0000-0000C2980000}"/>
    <cellStyle name="Positive 4 2 14 7" xfId="39094" xr:uid="{00000000-0005-0000-0000-0000C3980000}"/>
    <cellStyle name="Positive 4 2 14 7 2" xfId="39095" xr:uid="{00000000-0005-0000-0000-0000C4980000}"/>
    <cellStyle name="Positive 4 2 14 7 2 2" xfId="39096" xr:uid="{00000000-0005-0000-0000-0000C5980000}"/>
    <cellStyle name="Positive 4 2 14 7 3" xfId="39097" xr:uid="{00000000-0005-0000-0000-0000C6980000}"/>
    <cellStyle name="Positive 4 2 14 8" xfId="39098" xr:uid="{00000000-0005-0000-0000-0000C7980000}"/>
    <cellStyle name="Positive 4 2 14 8 2" xfId="39099" xr:uid="{00000000-0005-0000-0000-0000C8980000}"/>
    <cellStyle name="Positive 4 2 14 9" xfId="39100" xr:uid="{00000000-0005-0000-0000-0000C9980000}"/>
    <cellStyle name="Positive 4 2 14 9 2" xfId="39101" xr:uid="{00000000-0005-0000-0000-0000CA980000}"/>
    <cellStyle name="Positive 4 2 15" xfId="39102" xr:uid="{00000000-0005-0000-0000-0000CB980000}"/>
    <cellStyle name="Positive 4 2 15 10" xfId="39103" xr:uid="{00000000-0005-0000-0000-0000CC980000}"/>
    <cellStyle name="Positive 4 2 15 10 2" xfId="39104" xr:uid="{00000000-0005-0000-0000-0000CD980000}"/>
    <cellStyle name="Positive 4 2 15 11" xfId="39105" xr:uid="{00000000-0005-0000-0000-0000CE980000}"/>
    <cellStyle name="Positive 4 2 15 11 2" xfId="39106" xr:uid="{00000000-0005-0000-0000-0000CF980000}"/>
    <cellStyle name="Positive 4 2 15 12" xfId="39107" xr:uid="{00000000-0005-0000-0000-0000D0980000}"/>
    <cellStyle name="Positive 4 2 15 12 2" xfId="39108" xr:uid="{00000000-0005-0000-0000-0000D1980000}"/>
    <cellStyle name="Positive 4 2 15 13" xfId="39109" xr:uid="{00000000-0005-0000-0000-0000D2980000}"/>
    <cellStyle name="Positive 4 2 15 13 2" xfId="39110" xr:uid="{00000000-0005-0000-0000-0000D3980000}"/>
    <cellStyle name="Positive 4 2 15 14" xfId="39111" xr:uid="{00000000-0005-0000-0000-0000D4980000}"/>
    <cellStyle name="Positive 4 2 15 14 2" xfId="39112" xr:uid="{00000000-0005-0000-0000-0000D5980000}"/>
    <cellStyle name="Positive 4 2 15 15" xfId="39113" xr:uid="{00000000-0005-0000-0000-0000D6980000}"/>
    <cellStyle name="Positive 4 2 15 15 2" xfId="39114" xr:uid="{00000000-0005-0000-0000-0000D7980000}"/>
    <cellStyle name="Positive 4 2 15 16" xfId="39115" xr:uid="{00000000-0005-0000-0000-0000D8980000}"/>
    <cellStyle name="Positive 4 2 15 16 2" xfId="39116" xr:uid="{00000000-0005-0000-0000-0000D9980000}"/>
    <cellStyle name="Positive 4 2 15 17" xfId="39117" xr:uid="{00000000-0005-0000-0000-0000DA980000}"/>
    <cellStyle name="Positive 4 2 15 17 2" xfId="39118" xr:uid="{00000000-0005-0000-0000-0000DB980000}"/>
    <cellStyle name="Positive 4 2 15 18" xfId="39119" xr:uid="{00000000-0005-0000-0000-0000DC980000}"/>
    <cellStyle name="Positive 4 2 15 18 2" xfId="39120" xr:uid="{00000000-0005-0000-0000-0000DD980000}"/>
    <cellStyle name="Positive 4 2 15 19" xfId="39121" xr:uid="{00000000-0005-0000-0000-0000DE980000}"/>
    <cellStyle name="Positive 4 2 15 19 2" xfId="39122" xr:uid="{00000000-0005-0000-0000-0000DF980000}"/>
    <cellStyle name="Positive 4 2 15 2" xfId="39123" xr:uid="{00000000-0005-0000-0000-0000E0980000}"/>
    <cellStyle name="Positive 4 2 15 2 10" xfId="39124" xr:uid="{00000000-0005-0000-0000-0000E1980000}"/>
    <cellStyle name="Positive 4 2 15 2 10 2" xfId="39125" xr:uid="{00000000-0005-0000-0000-0000E2980000}"/>
    <cellStyle name="Positive 4 2 15 2 11" xfId="39126" xr:uid="{00000000-0005-0000-0000-0000E3980000}"/>
    <cellStyle name="Positive 4 2 15 2 11 2" xfId="39127" xr:uid="{00000000-0005-0000-0000-0000E4980000}"/>
    <cellStyle name="Positive 4 2 15 2 12" xfId="39128" xr:uid="{00000000-0005-0000-0000-0000E5980000}"/>
    <cellStyle name="Positive 4 2 15 2 12 2" xfId="39129" xr:uid="{00000000-0005-0000-0000-0000E6980000}"/>
    <cellStyle name="Positive 4 2 15 2 13" xfId="39130" xr:uid="{00000000-0005-0000-0000-0000E7980000}"/>
    <cellStyle name="Positive 4 2 15 2 13 2" xfId="39131" xr:uid="{00000000-0005-0000-0000-0000E8980000}"/>
    <cellStyle name="Positive 4 2 15 2 14" xfId="39132" xr:uid="{00000000-0005-0000-0000-0000E9980000}"/>
    <cellStyle name="Positive 4 2 15 2 14 2" xfId="39133" xr:uid="{00000000-0005-0000-0000-0000EA980000}"/>
    <cellStyle name="Positive 4 2 15 2 15" xfId="39134" xr:uid="{00000000-0005-0000-0000-0000EB980000}"/>
    <cellStyle name="Positive 4 2 15 2 15 2" xfId="39135" xr:uid="{00000000-0005-0000-0000-0000EC980000}"/>
    <cellStyle name="Positive 4 2 15 2 16" xfId="39136" xr:uid="{00000000-0005-0000-0000-0000ED980000}"/>
    <cellStyle name="Positive 4 2 15 2 16 2" xfId="39137" xr:uid="{00000000-0005-0000-0000-0000EE980000}"/>
    <cellStyle name="Positive 4 2 15 2 17" xfId="39138" xr:uid="{00000000-0005-0000-0000-0000EF980000}"/>
    <cellStyle name="Positive 4 2 15 2 17 2" xfId="39139" xr:uid="{00000000-0005-0000-0000-0000F0980000}"/>
    <cellStyle name="Positive 4 2 15 2 18" xfId="39140" xr:uid="{00000000-0005-0000-0000-0000F1980000}"/>
    <cellStyle name="Positive 4 2 15 2 18 2" xfId="39141" xr:uid="{00000000-0005-0000-0000-0000F2980000}"/>
    <cellStyle name="Positive 4 2 15 2 19" xfId="39142" xr:uid="{00000000-0005-0000-0000-0000F3980000}"/>
    <cellStyle name="Positive 4 2 15 2 19 2" xfId="39143" xr:uid="{00000000-0005-0000-0000-0000F4980000}"/>
    <cellStyle name="Positive 4 2 15 2 2" xfId="39144" xr:uid="{00000000-0005-0000-0000-0000F5980000}"/>
    <cellStyle name="Positive 4 2 15 2 2 10" xfId="39145" xr:uid="{00000000-0005-0000-0000-0000F6980000}"/>
    <cellStyle name="Positive 4 2 15 2 2 10 2" xfId="39146" xr:uid="{00000000-0005-0000-0000-0000F7980000}"/>
    <cellStyle name="Positive 4 2 15 2 2 11" xfId="39147" xr:uid="{00000000-0005-0000-0000-0000F8980000}"/>
    <cellStyle name="Positive 4 2 15 2 2 11 2" xfId="39148" xr:uid="{00000000-0005-0000-0000-0000F9980000}"/>
    <cellStyle name="Positive 4 2 15 2 2 12" xfId="39149" xr:uid="{00000000-0005-0000-0000-0000FA980000}"/>
    <cellStyle name="Positive 4 2 15 2 2 12 2" xfId="39150" xr:uid="{00000000-0005-0000-0000-0000FB980000}"/>
    <cellStyle name="Positive 4 2 15 2 2 13" xfId="39151" xr:uid="{00000000-0005-0000-0000-0000FC980000}"/>
    <cellStyle name="Positive 4 2 15 2 2 13 2" xfId="39152" xr:uid="{00000000-0005-0000-0000-0000FD980000}"/>
    <cellStyle name="Positive 4 2 15 2 2 14" xfId="39153" xr:uid="{00000000-0005-0000-0000-0000FE980000}"/>
    <cellStyle name="Positive 4 2 15 2 2 14 2" xfId="39154" xr:uid="{00000000-0005-0000-0000-0000FF980000}"/>
    <cellStyle name="Positive 4 2 15 2 2 15" xfId="39155" xr:uid="{00000000-0005-0000-0000-000000990000}"/>
    <cellStyle name="Positive 4 2 15 2 2 15 2" xfId="39156" xr:uid="{00000000-0005-0000-0000-000001990000}"/>
    <cellStyle name="Positive 4 2 15 2 2 16" xfId="39157" xr:uid="{00000000-0005-0000-0000-000002990000}"/>
    <cellStyle name="Positive 4 2 15 2 2 16 2" xfId="39158" xr:uid="{00000000-0005-0000-0000-000003990000}"/>
    <cellStyle name="Positive 4 2 15 2 2 17" xfId="39159" xr:uid="{00000000-0005-0000-0000-000004990000}"/>
    <cellStyle name="Positive 4 2 15 2 2 2" xfId="39160" xr:uid="{00000000-0005-0000-0000-000005990000}"/>
    <cellStyle name="Positive 4 2 15 2 2 2 2" xfId="39161" xr:uid="{00000000-0005-0000-0000-000006990000}"/>
    <cellStyle name="Positive 4 2 15 2 2 3" xfId="39162" xr:uid="{00000000-0005-0000-0000-000007990000}"/>
    <cellStyle name="Positive 4 2 15 2 2 3 2" xfId="39163" xr:uid="{00000000-0005-0000-0000-000008990000}"/>
    <cellStyle name="Positive 4 2 15 2 2 4" xfId="39164" xr:uid="{00000000-0005-0000-0000-000009990000}"/>
    <cellStyle name="Positive 4 2 15 2 2 4 2" xfId="39165" xr:uid="{00000000-0005-0000-0000-00000A990000}"/>
    <cellStyle name="Positive 4 2 15 2 2 5" xfId="39166" xr:uid="{00000000-0005-0000-0000-00000B990000}"/>
    <cellStyle name="Positive 4 2 15 2 2 5 2" xfId="39167" xr:uid="{00000000-0005-0000-0000-00000C990000}"/>
    <cellStyle name="Positive 4 2 15 2 2 6" xfId="39168" xr:uid="{00000000-0005-0000-0000-00000D990000}"/>
    <cellStyle name="Positive 4 2 15 2 2 6 2" xfId="39169" xr:uid="{00000000-0005-0000-0000-00000E990000}"/>
    <cellStyle name="Positive 4 2 15 2 2 7" xfId="39170" xr:uid="{00000000-0005-0000-0000-00000F990000}"/>
    <cellStyle name="Positive 4 2 15 2 2 7 2" xfId="39171" xr:uid="{00000000-0005-0000-0000-000010990000}"/>
    <cellStyle name="Positive 4 2 15 2 2 8" xfId="39172" xr:uid="{00000000-0005-0000-0000-000011990000}"/>
    <cellStyle name="Positive 4 2 15 2 2 8 2" xfId="39173" xr:uid="{00000000-0005-0000-0000-000012990000}"/>
    <cellStyle name="Positive 4 2 15 2 2 9" xfId="39174" xr:uid="{00000000-0005-0000-0000-000013990000}"/>
    <cellStyle name="Positive 4 2 15 2 2 9 2" xfId="39175" xr:uid="{00000000-0005-0000-0000-000014990000}"/>
    <cellStyle name="Positive 4 2 15 2 20" xfId="39176" xr:uid="{00000000-0005-0000-0000-000015990000}"/>
    <cellStyle name="Positive 4 2 15 2 3" xfId="39177" xr:uid="{00000000-0005-0000-0000-000016990000}"/>
    <cellStyle name="Positive 4 2 15 2 3 2" xfId="39178" xr:uid="{00000000-0005-0000-0000-000017990000}"/>
    <cellStyle name="Positive 4 2 15 2 3 2 2" xfId="39179" xr:uid="{00000000-0005-0000-0000-000018990000}"/>
    <cellStyle name="Positive 4 2 15 2 3 3" xfId="39180" xr:uid="{00000000-0005-0000-0000-000019990000}"/>
    <cellStyle name="Positive 4 2 15 2 4" xfId="39181" xr:uid="{00000000-0005-0000-0000-00001A990000}"/>
    <cellStyle name="Positive 4 2 15 2 4 2" xfId="39182" xr:uid="{00000000-0005-0000-0000-00001B990000}"/>
    <cellStyle name="Positive 4 2 15 2 4 2 2" xfId="39183" xr:uid="{00000000-0005-0000-0000-00001C990000}"/>
    <cellStyle name="Positive 4 2 15 2 4 3" xfId="39184" xr:uid="{00000000-0005-0000-0000-00001D990000}"/>
    <cellStyle name="Positive 4 2 15 2 5" xfId="39185" xr:uid="{00000000-0005-0000-0000-00001E990000}"/>
    <cellStyle name="Positive 4 2 15 2 5 2" xfId="39186" xr:uid="{00000000-0005-0000-0000-00001F990000}"/>
    <cellStyle name="Positive 4 2 15 2 6" xfId="39187" xr:uid="{00000000-0005-0000-0000-000020990000}"/>
    <cellStyle name="Positive 4 2 15 2 6 2" xfId="39188" xr:uid="{00000000-0005-0000-0000-000021990000}"/>
    <cellStyle name="Positive 4 2 15 2 7" xfId="39189" xr:uid="{00000000-0005-0000-0000-000022990000}"/>
    <cellStyle name="Positive 4 2 15 2 7 2" xfId="39190" xr:uid="{00000000-0005-0000-0000-000023990000}"/>
    <cellStyle name="Positive 4 2 15 2 8" xfId="39191" xr:uid="{00000000-0005-0000-0000-000024990000}"/>
    <cellStyle name="Positive 4 2 15 2 8 2" xfId="39192" xr:uid="{00000000-0005-0000-0000-000025990000}"/>
    <cellStyle name="Positive 4 2 15 2 9" xfId="39193" xr:uid="{00000000-0005-0000-0000-000026990000}"/>
    <cellStyle name="Positive 4 2 15 2 9 2" xfId="39194" xr:uid="{00000000-0005-0000-0000-000027990000}"/>
    <cellStyle name="Positive 4 2 15 20" xfId="39195" xr:uid="{00000000-0005-0000-0000-000028990000}"/>
    <cellStyle name="Positive 4 2 15 20 2" xfId="39196" xr:uid="{00000000-0005-0000-0000-000029990000}"/>
    <cellStyle name="Positive 4 2 15 21" xfId="39197" xr:uid="{00000000-0005-0000-0000-00002A990000}"/>
    <cellStyle name="Positive 4 2 15 21 2" xfId="39198" xr:uid="{00000000-0005-0000-0000-00002B990000}"/>
    <cellStyle name="Positive 4 2 15 22" xfId="39199" xr:uid="{00000000-0005-0000-0000-00002C990000}"/>
    <cellStyle name="Positive 4 2 15 22 2" xfId="39200" xr:uid="{00000000-0005-0000-0000-00002D990000}"/>
    <cellStyle name="Positive 4 2 15 23" xfId="39201" xr:uid="{00000000-0005-0000-0000-00002E990000}"/>
    <cellStyle name="Positive 4 2 15 3" xfId="39202" xr:uid="{00000000-0005-0000-0000-00002F990000}"/>
    <cellStyle name="Positive 4 2 15 3 10" xfId="39203" xr:uid="{00000000-0005-0000-0000-000030990000}"/>
    <cellStyle name="Positive 4 2 15 3 10 2" xfId="39204" xr:uid="{00000000-0005-0000-0000-000031990000}"/>
    <cellStyle name="Positive 4 2 15 3 11" xfId="39205" xr:uid="{00000000-0005-0000-0000-000032990000}"/>
    <cellStyle name="Positive 4 2 15 3 11 2" xfId="39206" xr:uid="{00000000-0005-0000-0000-000033990000}"/>
    <cellStyle name="Positive 4 2 15 3 12" xfId="39207" xr:uid="{00000000-0005-0000-0000-000034990000}"/>
    <cellStyle name="Positive 4 2 15 3 12 2" xfId="39208" xr:uid="{00000000-0005-0000-0000-000035990000}"/>
    <cellStyle name="Positive 4 2 15 3 13" xfId="39209" xr:uid="{00000000-0005-0000-0000-000036990000}"/>
    <cellStyle name="Positive 4 2 15 3 13 2" xfId="39210" xr:uid="{00000000-0005-0000-0000-000037990000}"/>
    <cellStyle name="Positive 4 2 15 3 14" xfId="39211" xr:uid="{00000000-0005-0000-0000-000038990000}"/>
    <cellStyle name="Positive 4 2 15 3 14 2" xfId="39212" xr:uid="{00000000-0005-0000-0000-000039990000}"/>
    <cellStyle name="Positive 4 2 15 3 15" xfId="39213" xr:uid="{00000000-0005-0000-0000-00003A990000}"/>
    <cellStyle name="Positive 4 2 15 3 15 2" xfId="39214" xr:uid="{00000000-0005-0000-0000-00003B990000}"/>
    <cellStyle name="Positive 4 2 15 3 16" xfId="39215" xr:uid="{00000000-0005-0000-0000-00003C990000}"/>
    <cellStyle name="Positive 4 2 15 3 16 2" xfId="39216" xr:uid="{00000000-0005-0000-0000-00003D990000}"/>
    <cellStyle name="Positive 4 2 15 3 17" xfId="39217" xr:uid="{00000000-0005-0000-0000-00003E990000}"/>
    <cellStyle name="Positive 4 2 15 3 17 2" xfId="39218" xr:uid="{00000000-0005-0000-0000-00003F990000}"/>
    <cellStyle name="Positive 4 2 15 3 18" xfId="39219" xr:uid="{00000000-0005-0000-0000-000040990000}"/>
    <cellStyle name="Positive 4 2 15 3 18 2" xfId="39220" xr:uid="{00000000-0005-0000-0000-000041990000}"/>
    <cellStyle name="Positive 4 2 15 3 19" xfId="39221" xr:uid="{00000000-0005-0000-0000-000042990000}"/>
    <cellStyle name="Positive 4 2 15 3 19 2" xfId="39222" xr:uid="{00000000-0005-0000-0000-000043990000}"/>
    <cellStyle name="Positive 4 2 15 3 2" xfId="39223" xr:uid="{00000000-0005-0000-0000-000044990000}"/>
    <cellStyle name="Positive 4 2 15 3 2 10" xfId="39224" xr:uid="{00000000-0005-0000-0000-000045990000}"/>
    <cellStyle name="Positive 4 2 15 3 2 10 2" xfId="39225" xr:uid="{00000000-0005-0000-0000-000046990000}"/>
    <cellStyle name="Positive 4 2 15 3 2 11" xfId="39226" xr:uid="{00000000-0005-0000-0000-000047990000}"/>
    <cellStyle name="Positive 4 2 15 3 2 11 2" xfId="39227" xr:uid="{00000000-0005-0000-0000-000048990000}"/>
    <cellStyle name="Positive 4 2 15 3 2 12" xfId="39228" xr:uid="{00000000-0005-0000-0000-000049990000}"/>
    <cellStyle name="Positive 4 2 15 3 2 12 2" xfId="39229" xr:uid="{00000000-0005-0000-0000-00004A990000}"/>
    <cellStyle name="Positive 4 2 15 3 2 13" xfId="39230" xr:uid="{00000000-0005-0000-0000-00004B990000}"/>
    <cellStyle name="Positive 4 2 15 3 2 13 2" xfId="39231" xr:uid="{00000000-0005-0000-0000-00004C990000}"/>
    <cellStyle name="Positive 4 2 15 3 2 14" xfId="39232" xr:uid="{00000000-0005-0000-0000-00004D990000}"/>
    <cellStyle name="Positive 4 2 15 3 2 14 2" xfId="39233" xr:uid="{00000000-0005-0000-0000-00004E990000}"/>
    <cellStyle name="Positive 4 2 15 3 2 15" xfId="39234" xr:uid="{00000000-0005-0000-0000-00004F990000}"/>
    <cellStyle name="Positive 4 2 15 3 2 15 2" xfId="39235" xr:uid="{00000000-0005-0000-0000-000050990000}"/>
    <cellStyle name="Positive 4 2 15 3 2 16" xfId="39236" xr:uid="{00000000-0005-0000-0000-000051990000}"/>
    <cellStyle name="Positive 4 2 15 3 2 16 2" xfId="39237" xr:uid="{00000000-0005-0000-0000-000052990000}"/>
    <cellStyle name="Positive 4 2 15 3 2 17" xfId="39238" xr:uid="{00000000-0005-0000-0000-000053990000}"/>
    <cellStyle name="Positive 4 2 15 3 2 2" xfId="39239" xr:uid="{00000000-0005-0000-0000-000054990000}"/>
    <cellStyle name="Positive 4 2 15 3 2 2 2" xfId="39240" xr:uid="{00000000-0005-0000-0000-000055990000}"/>
    <cellStyle name="Positive 4 2 15 3 2 3" xfId="39241" xr:uid="{00000000-0005-0000-0000-000056990000}"/>
    <cellStyle name="Positive 4 2 15 3 2 3 2" xfId="39242" xr:uid="{00000000-0005-0000-0000-000057990000}"/>
    <cellStyle name="Positive 4 2 15 3 2 4" xfId="39243" xr:uid="{00000000-0005-0000-0000-000058990000}"/>
    <cellStyle name="Positive 4 2 15 3 2 4 2" xfId="39244" xr:uid="{00000000-0005-0000-0000-000059990000}"/>
    <cellStyle name="Positive 4 2 15 3 2 5" xfId="39245" xr:uid="{00000000-0005-0000-0000-00005A990000}"/>
    <cellStyle name="Positive 4 2 15 3 2 5 2" xfId="39246" xr:uid="{00000000-0005-0000-0000-00005B990000}"/>
    <cellStyle name="Positive 4 2 15 3 2 6" xfId="39247" xr:uid="{00000000-0005-0000-0000-00005C990000}"/>
    <cellStyle name="Positive 4 2 15 3 2 6 2" xfId="39248" xr:uid="{00000000-0005-0000-0000-00005D990000}"/>
    <cellStyle name="Positive 4 2 15 3 2 7" xfId="39249" xr:uid="{00000000-0005-0000-0000-00005E990000}"/>
    <cellStyle name="Positive 4 2 15 3 2 7 2" xfId="39250" xr:uid="{00000000-0005-0000-0000-00005F990000}"/>
    <cellStyle name="Positive 4 2 15 3 2 8" xfId="39251" xr:uid="{00000000-0005-0000-0000-000060990000}"/>
    <cellStyle name="Positive 4 2 15 3 2 8 2" xfId="39252" xr:uid="{00000000-0005-0000-0000-000061990000}"/>
    <cellStyle name="Positive 4 2 15 3 2 9" xfId="39253" xr:uid="{00000000-0005-0000-0000-000062990000}"/>
    <cellStyle name="Positive 4 2 15 3 2 9 2" xfId="39254" xr:uid="{00000000-0005-0000-0000-000063990000}"/>
    <cellStyle name="Positive 4 2 15 3 20" xfId="39255" xr:uid="{00000000-0005-0000-0000-000064990000}"/>
    <cellStyle name="Positive 4 2 15 3 3" xfId="39256" xr:uid="{00000000-0005-0000-0000-000065990000}"/>
    <cellStyle name="Positive 4 2 15 3 3 2" xfId="39257" xr:uid="{00000000-0005-0000-0000-000066990000}"/>
    <cellStyle name="Positive 4 2 15 3 3 2 2" xfId="39258" xr:uid="{00000000-0005-0000-0000-000067990000}"/>
    <cellStyle name="Positive 4 2 15 3 3 3" xfId="39259" xr:uid="{00000000-0005-0000-0000-000068990000}"/>
    <cellStyle name="Positive 4 2 15 3 4" xfId="39260" xr:uid="{00000000-0005-0000-0000-000069990000}"/>
    <cellStyle name="Positive 4 2 15 3 4 2" xfId="39261" xr:uid="{00000000-0005-0000-0000-00006A990000}"/>
    <cellStyle name="Positive 4 2 15 3 4 2 2" xfId="39262" xr:uid="{00000000-0005-0000-0000-00006B990000}"/>
    <cellStyle name="Positive 4 2 15 3 4 3" xfId="39263" xr:uid="{00000000-0005-0000-0000-00006C990000}"/>
    <cellStyle name="Positive 4 2 15 3 5" xfId="39264" xr:uid="{00000000-0005-0000-0000-00006D990000}"/>
    <cellStyle name="Positive 4 2 15 3 5 2" xfId="39265" xr:uid="{00000000-0005-0000-0000-00006E990000}"/>
    <cellStyle name="Positive 4 2 15 3 6" xfId="39266" xr:uid="{00000000-0005-0000-0000-00006F990000}"/>
    <cellStyle name="Positive 4 2 15 3 6 2" xfId="39267" xr:uid="{00000000-0005-0000-0000-000070990000}"/>
    <cellStyle name="Positive 4 2 15 3 7" xfId="39268" xr:uid="{00000000-0005-0000-0000-000071990000}"/>
    <cellStyle name="Positive 4 2 15 3 7 2" xfId="39269" xr:uid="{00000000-0005-0000-0000-000072990000}"/>
    <cellStyle name="Positive 4 2 15 3 8" xfId="39270" xr:uid="{00000000-0005-0000-0000-000073990000}"/>
    <cellStyle name="Positive 4 2 15 3 8 2" xfId="39271" xr:uid="{00000000-0005-0000-0000-000074990000}"/>
    <cellStyle name="Positive 4 2 15 3 9" xfId="39272" xr:uid="{00000000-0005-0000-0000-000075990000}"/>
    <cellStyle name="Positive 4 2 15 3 9 2" xfId="39273" xr:uid="{00000000-0005-0000-0000-000076990000}"/>
    <cellStyle name="Positive 4 2 15 4" xfId="39274" xr:uid="{00000000-0005-0000-0000-000077990000}"/>
    <cellStyle name="Positive 4 2 15 4 10" xfId="39275" xr:uid="{00000000-0005-0000-0000-000078990000}"/>
    <cellStyle name="Positive 4 2 15 4 10 2" xfId="39276" xr:uid="{00000000-0005-0000-0000-000079990000}"/>
    <cellStyle name="Positive 4 2 15 4 11" xfId="39277" xr:uid="{00000000-0005-0000-0000-00007A990000}"/>
    <cellStyle name="Positive 4 2 15 4 11 2" xfId="39278" xr:uid="{00000000-0005-0000-0000-00007B990000}"/>
    <cellStyle name="Positive 4 2 15 4 12" xfId="39279" xr:uid="{00000000-0005-0000-0000-00007C990000}"/>
    <cellStyle name="Positive 4 2 15 4 12 2" xfId="39280" xr:uid="{00000000-0005-0000-0000-00007D990000}"/>
    <cellStyle name="Positive 4 2 15 4 13" xfId="39281" xr:uid="{00000000-0005-0000-0000-00007E990000}"/>
    <cellStyle name="Positive 4 2 15 4 13 2" xfId="39282" xr:uid="{00000000-0005-0000-0000-00007F990000}"/>
    <cellStyle name="Positive 4 2 15 4 14" xfId="39283" xr:uid="{00000000-0005-0000-0000-000080990000}"/>
    <cellStyle name="Positive 4 2 15 4 14 2" xfId="39284" xr:uid="{00000000-0005-0000-0000-000081990000}"/>
    <cellStyle name="Positive 4 2 15 4 15" xfId="39285" xr:uid="{00000000-0005-0000-0000-000082990000}"/>
    <cellStyle name="Positive 4 2 15 4 15 2" xfId="39286" xr:uid="{00000000-0005-0000-0000-000083990000}"/>
    <cellStyle name="Positive 4 2 15 4 16" xfId="39287" xr:uid="{00000000-0005-0000-0000-000084990000}"/>
    <cellStyle name="Positive 4 2 15 4 16 2" xfId="39288" xr:uid="{00000000-0005-0000-0000-000085990000}"/>
    <cellStyle name="Positive 4 2 15 4 17" xfId="39289" xr:uid="{00000000-0005-0000-0000-000086990000}"/>
    <cellStyle name="Positive 4 2 15 4 17 2" xfId="39290" xr:uid="{00000000-0005-0000-0000-000087990000}"/>
    <cellStyle name="Positive 4 2 15 4 18" xfId="39291" xr:uid="{00000000-0005-0000-0000-000088990000}"/>
    <cellStyle name="Positive 4 2 15 4 18 2" xfId="39292" xr:uid="{00000000-0005-0000-0000-000089990000}"/>
    <cellStyle name="Positive 4 2 15 4 19" xfId="39293" xr:uid="{00000000-0005-0000-0000-00008A990000}"/>
    <cellStyle name="Positive 4 2 15 4 19 2" xfId="39294" xr:uid="{00000000-0005-0000-0000-00008B990000}"/>
    <cellStyle name="Positive 4 2 15 4 2" xfId="39295" xr:uid="{00000000-0005-0000-0000-00008C990000}"/>
    <cellStyle name="Positive 4 2 15 4 2 10" xfId="39296" xr:uid="{00000000-0005-0000-0000-00008D990000}"/>
    <cellStyle name="Positive 4 2 15 4 2 10 2" xfId="39297" xr:uid="{00000000-0005-0000-0000-00008E990000}"/>
    <cellStyle name="Positive 4 2 15 4 2 11" xfId="39298" xr:uid="{00000000-0005-0000-0000-00008F990000}"/>
    <cellStyle name="Positive 4 2 15 4 2 11 2" xfId="39299" xr:uid="{00000000-0005-0000-0000-000090990000}"/>
    <cellStyle name="Positive 4 2 15 4 2 12" xfId="39300" xr:uid="{00000000-0005-0000-0000-000091990000}"/>
    <cellStyle name="Positive 4 2 15 4 2 12 2" xfId="39301" xr:uid="{00000000-0005-0000-0000-000092990000}"/>
    <cellStyle name="Positive 4 2 15 4 2 13" xfId="39302" xr:uid="{00000000-0005-0000-0000-000093990000}"/>
    <cellStyle name="Positive 4 2 15 4 2 13 2" xfId="39303" xr:uid="{00000000-0005-0000-0000-000094990000}"/>
    <cellStyle name="Positive 4 2 15 4 2 14" xfId="39304" xr:uid="{00000000-0005-0000-0000-000095990000}"/>
    <cellStyle name="Positive 4 2 15 4 2 14 2" xfId="39305" xr:uid="{00000000-0005-0000-0000-000096990000}"/>
    <cellStyle name="Positive 4 2 15 4 2 15" xfId="39306" xr:uid="{00000000-0005-0000-0000-000097990000}"/>
    <cellStyle name="Positive 4 2 15 4 2 15 2" xfId="39307" xr:uid="{00000000-0005-0000-0000-000098990000}"/>
    <cellStyle name="Positive 4 2 15 4 2 16" xfId="39308" xr:uid="{00000000-0005-0000-0000-000099990000}"/>
    <cellStyle name="Positive 4 2 15 4 2 16 2" xfId="39309" xr:uid="{00000000-0005-0000-0000-00009A990000}"/>
    <cellStyle name="Positive 4 2 15 4 2 17" xfId="39310" xr:uid="{00000000-0005-0000-0000-00009B990000}"/>
    <cellStyle name="Positive 4 2 15 4 2 2" xfId="39311" xr:uid="{00000000-0005-0000-0000-00009C990000}"/>
    <cellStyle name="Positive 4 2 15 4 2 2 2" xfId="39312" xr:uid="{00000000-0005-0000-0000-00009D990000}"/>
    <cellStyle name="Positive 4 2 15 4 2 3" xfId="39313" xr:uid="{00000000-0005-0000-0000-00009E990000}"/>
    <cellStyle name="Positive 4 2 15 4 2 3 2" xfId="39314" xr:uid="{00000000-0005-0000-0000-00009F990000}"/>
    <cellStyle name="Positive 4 2 15 4 2 4" xfId="39315" xr:uid="{00000000-0005-0000-0000-0000A0990000}"/>
    <cellStyle name="Positive 4 2 15 4 2 4 2" xfId="39316" xr:uid="{00000000-0005-0000-0000-0000A1990000}"/>
    <cellStyle name="Positive 4 2 15 4 2 5" xfId="39317" xr:uid="{00000000-0005-0000-0000-0000A2990000}"/>
    <cellStyle name="Positive 4 2 15 4 2 5 2" xfId="39318" xr:uid="{00000000-0005-0000-0000-0000A3990000}"/>
    <cellStyle name="Positive 4 2 15 4 2 6" xfId="39319" xr:uid="{00000000-0005-0000-0000-0000A4990000}"/>
    <cellStyle name="Positive 4 2 15 4 2 6 2" xfId="39320" xr:uid="{00000000-0005-0000-0000-0000A5990000}"/>
    <cellStyle name="Positive 4 2 15 4 2 7" xfId="39321" xr:uid="{00000000-0005-0000-0000-0000A6990000}"/>
    <cellStyle name="Positive 4 2 15 4 2 7 2" xfId="39322" xr:uid="{00000000-0005-0000-0000-0000A7990000}"/>
    <cellStyle name="Positive 4 2 15 4 2 8" xfId="39323" xr:uid="{00000000-0005-0000-0000-0000A8990000}"/>
    <cellStyle name="Positive 4 2 15 4 2 8 2" xfId="39324" xr:uid="{00000000-0005-0000-0000-0000A9990000}"/>
    <cellStyle name="Positive 4 2 15 4 2 9" xfId="39325" xr:uid="{00000000-0005-0000-0000-0000AA990000}"/>
    <cellStyle name="Positive 4 2 15 4 2 9 2" xfId="39326" xr:uid="{00000000-0005-0000-0000-0000AB990000}"/>
    <cellStyle name="Positive 4 2 15 4 20" xfId="39327" xr:uid="{00000000-0005-0000-0000-0000AC990000}"/>
    <cellStyle name="Positive 4 2 15 4 3" xfId="39328" xr:uid="{00000000-0005-0000-0000-0000AD990000}"/>
    <cellStyle name="Positive 4 2 15 4 3 2" xfId="39329" xr:uid="{00000000-0005-0000-0000-0000AE990000}"/>
    <cellStyle name="Positive 4 2 15 4 3 2 2" xfId="39330" xr:uid="{00000000-0005-0000-0000-0000AF990000}"/>
    <cellStyle name="Positive 4 2 15 4 3 3" xfId="39331" xr:uid="{00000000-0005-0000-0000-0000B0990000}"/>
    <cellStyle name="Positive 4 2 15 4 4" xfId="39332" xr:uid="{00000000-0005-0000-0000-0000B1990000}"/>
    <cellStyle name="Positive 4 2 15 4 4 2" xfId="39333" xr:uid="{00000000-0005-0000-0000-0000B2990000}"/>
    <cellStyle name="Positive 4 2 15 4 4 2 2" xfId="39334" xr:uid="{00000000-0005-0000-0000-0000B3990000}"/>
    <cellStyle name="Positive 4 2 15 4 4 3" xfId="39335" xr:uid="{00000000-0005-0000-0000-0000B4990000}"/>
    <cellStyle name="Positive 4 2 15 4 5" xfId="39336" xr:uid="{00000000-0005-0000-0000-0000B5990000}"/>
    <cellStyle name="Positive 4 2 15 4 5 2" xfId="39337" xr:uid="{00000000-0005-0000-0000-0000B6990000}"/>
    <cellStyle name="Positive 4 2 15 4 6" xfId="39338" xr:uid="{00000000-0005-0000-0000-0000B7990000}"/>
    <cellStyle name="Positive 4 2 15 4 6 2" xfId="39339" xr:uid="{00000000-0005-0000-0000-0000B8990000}"/>
    <cellStyle name="Positive 4 2 15 4 7" xfId="39340" xr:uid="{00000000-0005-0000-0000-0000B9990000}"/>
    <cellStyle name="Positive 4 2 15 4 7 2" xfId="39341" xr:uid="{00000000-0005-0000-0000-0000BA990000}"/>
    <cellStyle name="Positive 4 2 15 4 8" xfId="39342" xr:uid="{00000000-0005-0000-0000-0000BB990000}"/>
    <cellStyle name="Positive 4 2 15 4 8 2" xfId="39343" xr:uid="{00000000-0005-0000-0000-0000BC990000}"/>
    <cellStyle name="Positive 4 2 15 4 9" xfId="39344" xr:uid="{00000000-0005-0000-0000-0000BD990000}"/>
    <cellStyle name="Positive 4 2 15 4 9 2" xfId="39345" xr:uid="{00000000-0005-0000-0000-0000BE990000}"/>
    <cellStyle name="Positive 4 2 15 5" xfId="39346" xr:uid="{00000000-0005-0000-0000-0000BF990000}"/>
    <cellStyle name="Positive 4 2 15 5 10" xfId="39347" xr:uid="{00000000-0005-0000-0000-0000C0990000}"/>
    <cellStyle name="Positive 4 2 15 5 10 2" xfId="39348" xr:uid="{00000000-0005-0000-0000-0000C1990000}"/>
    <cellStyle name="Positive 4 2 15 5 11" xfId="39349" xr:uid="{00000000-0005-0000-0000-0000C2990000}"/>
    <cellStyle name="Positive 4 2 15 5 11 2" xfId="39350" xr:uid="{00000000-0005-0000-0000-0000C3990000}"/>
    <cellStyle name="Positive 4 2 15 5 12" xfId="39351" xr:uid="{00000000-0005-0000-0000-0000C4990000}"/>
    <cellStyle name="Positive 4 2 15 5 12 2" xfId="39352" xr:uid="{00000000-0005-0000-0000-0000C5990000}"/>
    <cellStyle name="Positive 4 2 15 5 13" xfId="39353" xr:uid="{00000000-0005-0000-0000-0000C6990000}"/>
    <cellStyle name="Positive 4 2 15 5 13 2" xfId="39354" xr:uid="{00000000-0005-0000-0000-0000C7990000}"/>
    <cellStyle name="Positive 4 2 15 5 14" xfId="39355" xr:uid="{00000000-0005-0000-0000-0000C8990000}"/>
    <cellStyle name="Positive 4 2 15 5 14 2" xfId="39356" xr:uid="{00000000-0005-0000-0000-0000C9990000}"/>
    <cellStyle name="Positive 4 2 15 5 15" xfId="39357" xr:uid="{00000000-0005-0000-0000-0000CA990000}"/>
    <cellStyle name="Positive 4 2 15 5 15 2" xfId="39358" xr:uid="{00000000-0005-0000-0000-0000CB990000}"/>
    <cellStyle name="Positive 4 2 15 5 16" xfId="39359" xr:uid="{00000000-0005-0000-0000-0000CC990000}"/>
    <cellStyle name="Positive 4 2 15 5 16 2" xfId="39360" xr:uid="{00000000-0005-0000-0000-0000CD990000}"/>
    <cellStyle name="Positive 4 2 15 5 17" xfId="39361" xr:uid="{00000000-0005-0000-0000-0000CE990000}"/>
    <cellStyle name="Positive 4 2 15 5 2" xfId="39362" xr:uid="{00000000-0005-0000-0000-0000CF990000}"/>
    <cellStyle name="Positive 4 2 15 5 2 2" xfId="39363" xr:uid="{00000000-0005-0000-0000-0000D0990000}"/>
    <cellStyle name="Positive 4 2 15 5 3" xfId="39364" xr:uid="{00000000-0005-0000-0000-0000D1990000}"/>
    <cellStyle name="Positive 4 2 15 5 3 2" xfId="39365" xr:uid="{00000000-0005-0000-0000-0000D2990000}"/>
    <cellStyle name="Positive 4 2 15 5 4" xfId="39366" xr:uid="{00000000-0005-0000-0000-0000D3990000}"/>
    <cellStyle name="Positive 4 2 15 5 4 2" xfId="39367" xr:uid="{00000000-0005-0000-0000-0000D4990000}"/>
    <cellStyle name="Positive 4 2 15 5 5" xfId="39368" xr:uid="{00000000-0005-0000-0000-0000D5990000}"/>
    <cellStyle name="Positive 4 2 15 5 5 2" xfId="39369" xr:uid="{00000000-0005-0000-0000-0000D6990000}"/>
    <cellStyle name="Positive 4 2 15 5 6" xfId="39370" xr:uid="{00000000-0005-0000-0000-0000D7990000}"/>
    <cellStyle name="Positive 4 2 15 5 6 2" xfId="39371" xr:uid="{00000000-0005-0000-0000-0000D8990000}"/>
    <cellStyle name="Positive 4 2 15 5 7" xfId="39372" xr:uid="{00000000-0005-0000-0000-0000D9990000}"/>
    <cellStyle name="Positive 4 2 15 5 7 2" xfId="39373" xr:uid="{00000000-0005-0000-0000-0000DA990000}"/>
    <cellStyle name="Positive 4 2 15 5 8" xfId="39374" xr:uid="{00000000-0005-0000-0000-0000DB990000}"/>
    <cellStyle name="Positive 4 2 15 5 8 2" xfId="39375" xr:uid="{00000000-0005-0000-0000-0000DC990000}"/>
    <cellStyle name="Positive 4 2 15 5 9" xfId="39376" xr:uid="{00000000-0005-0000-0000-0000DD990000}"/>
    <cellStyle name="Positive 4 2 15 5 9 2" xfId="39377" xr:uid="{00000000-0005-0000-0000-0000DE990000}"/>
    <cellStyle name="Positive 4 2 15 6" xfId="39378" xr:uid="{00000000-0005-0000-0000-0000DF990000}"/>
    <cellStyle name="Positive 4 2 15 6 2" xfId="39379" xr:uid="{00000000-0005-0000-0000-0000E0990000}"/>
    <cellStyle name="Positive 4 2 15 6 2 2" xfId="39380" xr:uid="{00000000-0005-0000-0000-0000E1990000}"/>
    <cellStyle name="Positive 4 2 15 6 3" xfId="39381" xr:uid="{00000000-0005-0000-0000-0000E2990000}"/>
    <cellStyle name="Positive 4 2 15 7" xfId="39382" xr:uid="{00000000-0005-0000-0000-0000E3990000}"/>
    <cellStyle name="Positive 4 2 15 7 2" xfId="39383" xr:uid="{00000000-0005-0000-0000-0000E4990000}"/>
    <cellStyle name="Positive 4 2 15 7 2 2" xfId="39384" xr:uid="{00000000-0005-0000-0000-0000E5990000}"/>
    <cellStyle name="Positive 4 2 15 7 3" xfId="39385" xr:uid="{00000000-0005-0000-0000-0000E6990000}"/>
    <cellStyle name="Positive 4 2 15 8" xfId="39386" xr:uid="{00000000-0005-0000-0000-0000E7990000}"/>
    <cellStyle name="Positive 4 2 15 8 2" xfId="39387" xr:uid="{00000000-0005-0000-0000-0000E8990000}"/>
    <cellStyle name="Positive 4 2 15 9" xfId="39388" xr:uid="{00000000-0005-0000-0000-0000E9990000}"/>
    <cellStyle name="Positive 4 2 15 9 2" xfId="39389" xr:uid="{00000000-0005-0000-0000-0000EA990000}"/>
    <cellStyle name="Positive 4 2 16" xfId="39390" xr:uid="{00000000-0005-0000-0000-0000EB990000}"/>
    <cellStyle name="Positive 4 2 16 10" xfId="39391" xr:uid="{00000000-0005-0000-0000-0000EC990000}"/>
    <cellStyle name="Positive 4 2 16 10 2" xfId="39392" xr:uid="{00000000-0005-0000-0000-0000ED990000}"/>
    <cellStyle name="Positive 4 2 16 11" xfId="39393" xr:uid="{00000000-0005-0000-0000-0000EE990000}"/>
    <cellStyle name="Positive 4 2 16 11 2" xfId="39394" xr:uid="{00000000-0005-0000-0000-0000EF990000}"/>
    <cellStyle name="Positive 4 2 16 12" xfId="39395" xr:uid="{00000000-0005-0000-0000-0000F0990000}"/>
    <cellStyle name="Positive 4 2 16 12 2" xfId="39396" xr:uid="{00000000-0005-0000-0000-0000F1990000}"/>
    <cellStyle name="Positive 4 2 16 13" xfId="39397" xr:uid="{00000000-0005-0000-0000-0000F2990000}"/>
    <cellStyle name="Positive 4 2 16 13 2" xfId="39398" xr:uid="{00000000-0005-0000-0000-0000F3990000}"/>
    <cellStyle name="Positive 4 2 16 14" xfId="39399" xr:uid="{00000000-0005-0000-0000-0000F4990000}"/>
    <cellStyle name="Positive 4 2 16 14 2" xfId="39400" xr:uid="{00000000-0005-0000-0000-0000F5990000}"/>
    <cellStyle name="Positive 4 2 16 15" xfId="39401" xr:uid="{00000000-0005-0000-0000-0000F6990000}"/>
    <cellStyle name="Positive 4 2 16 15 2" xfId="39402" xr:uid="{00000000-0005-0000-0000-0000F7990000}"/>
    <cellStyle name="Positive 4 2 16 16" xfId="39403" xr:uid="{00000000-0005-0000-0000-0000F8990000}"/>
    <cellStyle name="Positive 4 2 16 16 2" xfId="39404" xr:uid="{00000000-0005-0000-0000-0000F9990000}"/>
    <cellStyle name="Positive 4 2 16 17" xfId="39405" xr:uid="{00000000-0005-0000-0000-0000FA990000}"/>
    <cellStyle name="Positive 4 2 16 17 2" xfId="39406" xr:uid="{00000000-0005-0000-0000-0000FB990000}"/>
    <cellStyle name="Positive 4 2 16 18" xfId="39407" xr:uid="{00000000-0005-0000-0000-0000FC990000}"/>
    <cellStyle name="Positive 4 2 16 18 2" xfId="39408" xr:uid="{00000000-0005-0000-0000-0000FD990000}"/>
    <cellStyle name="Positive 4 2 16 19" xfId="39409" xr:uid="{00000000-0005-0000-0000-0000FE990000}"/>
    <cellStyle name="Positive 4 2 16 19 2" xfId="39410" xr:uid="{00000000-0005-0000-0000-0000FF990000}"/>
    <cellStyle name="Positive 4 2 16 2" xfId="39411" xr:uid="{00000000-0005-0000-0000-0000009A0000}"/>
    <cellStyle name="Positive 4 2 16 2 10" xfId="39412" xr:uid="{00000000-0005-0000-0000-0000019A0000}"/>
    <cellStyle name="Positive 4 2 16 2 10 2" xfId="39413" xr:uid="{00000000-0005-0000-0000-0000029A0000}"/>
    <cellStyle name="Positive 4 2 16 2 11" xfId="39414" xr:uid="{00000000-0005-0000-0000-0000039A0000}"/>
    <cellStyle name="Positive 4 2 16 2 11 2" xfId="39415" xr:uid="{00000000-0005-0000-0000-0000049A0000}"/>
    <cellStyle name="Positive 4 2 16 2 12" xfId="39416" xr:uid="{00000000-0005-0000-0000-0000059A0000}"/>
    <cellStyle name="Positive 4 2 16 2 12 2" xfId="39417" xr:uid="{00000000-0005-0000-0000-0000069A0000}"/>
    <cellStyle name="Positive 4 2 16 2 13" xfId="39418" xr:uid="{00000000-0005-0000-0000-0000079A0000}"/>
    <cellStyle name="Positive 4 2 16 2 13 2" xfId="39419" xr:uid="{00000000-0005-0000-0000-0000089A0000}"/>
    <cellStyle name="Positive 4 2 16 2 14" xfId="39420" xr:uid="{00000000-0005-0000-0000-0000099A0000}"/>
    <cellStyle name="Positive 4 2 16 2 14 2" xfId="39421" xr:uid="{00000000-0005-0000-0000-00000A9A0000}"/>
    <cellStyle name="Positive 4 2 16 2 15" xfId="39422" xr:uid="{00000000-0005-0000-0000-00000B9A0000}"/>
    <cellStyle name="Positive 4 2 16 2 15 2" xfId="39423" xr:uid="{00000000-0005-0000-0000-00000C9A0000}"/>
    <cellStyle name="Positive 4 2 16 2 16" xfId="39424" xr:uid="{00000000-0005-0000-0000-00000D9A0000}"/>
    <cellStyle name="Positive 4 2 16 2 16 2" xfId="39425" xr:uid="{00000000-0005-0000-0000-00000E9A0000}"/>
    <cellStyle name="Positive 4 2 16 2 17" xfId="39426" xr:uid="{00000000-0005-0000-0000-00000F9A0000}"/>
    <cellStyle name="Positive 4 2 16 2 17 2" xfId="39427" xr:uid="{00000000-0005-0000-0000-0000109A0000}"/>
    <cellStyle name="Positive 4 2 16 2 18" xfId="39428" xr:uid="{00000000-0005-0000-0000-0000119A0000}"/>
    <cellStyle name="Positive 4 2 16 2 18 2" xfId="39429" xr:uid="{00000000-0005-0000-0000-0000129A0000}"/>
    <cellStyle name="Positive 4 2 16 2 19" xfId="39430" xr:uid="{00000000-0005-0000-0000-0000139A0000}"/>
    <cellStyle name="Positive 4 2 16 2 19 2" xfId="39431" xr:uid="{00000000-0005-0000-0000-0000149A0000}"/>
    <cellStyle name="Positive 4 2 16 2 2" xfId="39432" xr:uid="{00000000-0005-0000-0000-0000159A0000}"/>
    <cellStyle name="Positive 4 2 16 2 2 10" xfId="39433" xr:uid="{00000000-0005-0000-0000-0000169A0000}"/>
    <cellStyle name="Positive 4 2 16 2 2 10 2" xfId="39434" xr:uid="{00000000-0005-0000-0000-0000179A0000}"/>
    <cellStyle name="Positive 4 2 16 2 2 11" xfId="39435" xr:uid="{00000000-0005-0000-0000-0000189A0000}"/>
    <cellStyle name="Positive 4 2 16 2 2 11 2" xfId="39436" xr:uid="{00000000-0005-0000-0000-0000199A0000}"/>
    <cellStyle name="Positive 4 2 16 2 2 12" xfId="39437" xr:uid="{00000000-0005-0000-0000-00001A9A0000}"/>
    <cellStyle name="Positive 4 2 16 2 2 12 2" xfId="39438" xr:uid="{00000000-0005-0000-0000-00001B9A0000}"/>
    <cellStyle name="Positive 4 2 16 2 2 13" xfId="39439" xr:uid="{00000000-0005-0000-0000-00001C9A0000}"/>
    <cellStyle name="Positive 4 2 16 2 2 13 2" xfId="39440" xr:uid="{00000000-0005-0000-0000-00001D9A0000}"/>
    <cellStyle name="Positive 4 2 16 2 2 14" xfId="39441" xr:uid="{00000000-0005-0000-0000-00001E9A0000}"/>
    <cellStyle name="Positive 4 2 16 2 2 14 2" xfId="39442" xr:uid="{00000000-0005-0000-0000-00001F9A0000}"/>
    <cellStyle name="Positive 4 2 16 2 2 15" xfId="39443" xr:uid="{00000000-0005-0000-0000-0000209A0000}"/>
    <cellStyle name="Positive 4 2 16 2 2 15 2" xfId="39444" xr:uid="{00000000-0005-0000-0000-0000219A0000}"/>
    <cellStyle name="Positive 4 2 16 2 2 16" xfId="39445" xr:uid="{00000000-0005-0000-0000-0000229A0000}"/>
    <cellStyle name="Positive 4 2 16 2 2 16 2" xfId="39446" xr:uid="{00000000-0005-0000-0000-0000239A0000}"/>
    <cellStyle name="Positive 4 2 16 2 2 17" xfId="39447" xr:uid="{00000000-0005-0000-0000-0000249A0000}"/>
    <cellStyle name="Positive 4 2 16 2 2 2" xfId="39448" xr:uid="{00000000-0005-0000-0000-0000259A0000}"/>
    <cellStyle name="Positive 4 2 16 2 2 2 2" xfId="39449" xr:uid="{00000000-0005-0000-0000-0000269A0000}"/>
    <cellStyle name="Positive 4 2 16 2 2 3" xfId="39450" xr:uid="{00000000-0005-0000-0000-0000279A0000}"/>
    <cellStyle name="Positive 4 2 16 2 2 3 2" xfId="39451" xr:uid="{00000000-0005-0000-0000-0000289A0000}"/>
    <cellStyle name="Positive 4 2 16 2 2 4" xfId="39452" xr:uid="{00000000-0005-0000-0000-0000299A0000}"/>
    <cellStyle name="Positive 4 2 16 2 2 4 2" xfId="39453" xr:uid="{00000000-0005-0000-0000-00002A9A0000}"/>
    <cellStyle name="Positive 4 2 16 2 2 5" xfId="39454" xr:uid="{00000000-0005-0000-0000-00002B9A0000}"/>
    <cellStyle name="Positive 4 2 16 2 2 5 2" xfId="39455" xr:uid="{00000000-0005-0000-0000-00002C9A0000}"/>
    <cellStyle name="Positive 4 2 16 2 2 6" xfId="39456" xr:uid="{00000000-0005-0000-0000-00002D9A0000}"/>
    <cellStyle name="Positive 4 2 16 2 2 6 2" xfId="39457" xr:uid="{00000000-0005-0000-0000-00002E9A0000}"/>
    <cellStyle name="Positive 4 2 16 2 2 7" xfId="39458" xr:uid="{00000000-0005-0000-0000-00002F9A0000}"/>
    <cellStyle name="Positive 4 2 16 2 2 7 2" xfId="39459" xr:uid="{00000000-0005-0000-0000-0000309A0000}"/>
    <cellStyle name="Positive 4 2 16 2 2 8" xfId="39460" xr:uid="{00000000-0005-0000-0000-0000319A0000}"/>
    <cellStyle name="Positive 4 2 16 2 2 8 2" xfId="39461" xr:uid="{00000000-0005-0000-0000-0000329A0000}"/>
    <cellStyle name="Positive 4 2 16 2 2 9" xfId="39462" xr:uid="{00000000-0005-0000-0000-0000339A0000}"/>
    <cellStyle name="Positive 4 2 16 2 2 9 2" xfId="39463" xr:uid="{00000000-0005-0000-0000-0000349A0000}"/>
    <cellStyle name="Positive 4 2 16 2 20" xfId="39464" xr:uid="{00000000-0005-0000-0000-0000359A0000}"/>
    <cellStyle name="Positive 4 2 16 2 3" xfId="39465" xr:uid="{00000000-0005-0000-0000-0000369A0000}"/>
    <cellStyle name="Positive 4 2 16 2 3 2" xfId="39466" xr:uid="{00000000-0005-0000-0000-0000379A0000}"/>
    <cellStyle name="Positive 4 2 16 2 3 2 2" xfId="39467" xr:uid="{00000000-0005-0000-0000-0000389A0000}"/>
    <cellStyle name="Positive 4 2 16 2 3 3" xfId="39468" xr:uid="{00000000-0005-0000-0000-0000399A0000}"/>
    <cellStyle name="Positive 4 2 16 2 4" xfId="39469" xr:uid="{00000000-0005-0000-0000-00003A9A0000}"/>
    <cellStyle name="Positive 4 2 16 2 4 2" xfId="39470" xr:uid="{00000000-0005-0000-0000-00003B9A0000}"/>
    <cellStyle name="Positive 4 2 16 2 4 2 2" xfId="39471" xr:uid="{00000000-0005-0000-0000-00003C9A0000}"/>
    <cellStyle name="Positive 4 2 16 2 4 3" xfId="39472" xr:uid="{00000000-0005-0000-0000-00003D9A0000}"/>
    <cellStyle name="Positive 4 2 16 2 5" xfId="39473" xr:uid="{00000000-0005-0000-0000-00003E9A0000}"/>
    <cellStyle name="Positive 4 2 16 2 5 2" xfId="39474" xr:uid="{00000000-0005-0000-0000-00003F9A0000}"/>
    <cellStyle name="Positive 4 2 16 2 6" xfId="39475" xr:uid="{00000000-0005-0000-0000-0000409A0000}"/>
    <cellStyle name="Positive 4 2 16 2 6 2" xfId="39476" xr:uid="{00000000-0005-0000-0000-0000419A0000}"/>
    <cellStyle name="Positive 4 2 16 2 7" xfId="39477" xr:uid="{00000000-0005-0000-0000-0000429A0000}"/>
    <cellStyle name="Positive 4 2 16 2 7 2" xfId="39478" xr:uid="{00000000-0005-0000-0000-0000439A0000}"/>
    <cellStyle name="Positive 4 2 16 2 8" xfId="39479" xr:uid="{00000000-0005-0000-0000-0000449A0000}"/>
    <cellStyle name="Positive 4 2 16 2 8 2" xfId="39480" xr:uid="{00000000-0005-0000-0000-0000459A0000}"/>
    <cellStyle name="Positive 4 2 16 2 9" xfId="39481" xr:uid="{00000000-0005-0000-0000-0000469A0000}"/>
    <cellStyle name="Positive 4 2 16 2 9 2" xfId="39482" xr:uid="{00000000-0005-0000-0000-0000479A0000}"/>
    <cellStyle name="Positive 4 2 16 20" xfId="39483" xr:uid="{00000000-0005-0000-0000-0000489A0000}"/>
    <cellStyle name="Positive 4 2 16 20 2" xfId="39484" xr:uid="{00000000-0005-0000-0000-0000499A0000}"/>
    <cellStyle name="Positive 4 2 16 21" xfId="39485" xr:uid="{00000000-0005-0000-0000-00004A9A0000}"/>
    <cellStyle name="Positive 4 2 16 21 2" xfId="39486" xr:uid="{00000000-0005-0000-0000-00004B9A0000}"/>
    <cellStyle name="Positive 4 2 16 22" xfId="39487" xr:uid="{00000000-0005-0000-0000-00004C9A0000}"/>
    <cellStyle name="Positive 4 2 16 22 2" xfId="39488" xr:uid="{00000000-0005-0000-0000-00004D9A0000}"/>
    <cellStyle name="Positive 4 2 16 23" xfId="39489" xr:uid="{00000000-0005-0000-0000-00004E9A0000}"/>
    <cellStyle name="Positive 4 2 16 3" xfId="39490" xr:uid="{00000000-0005-0000-0000-00004F9A0000}"/>
    <cellStyle name="Positive 4 2 16 3 10" xfId="39491" xr:uid="{00000000-0005-0000-0000-0000509A0000}"/>
    <cellStyle name="Positive 4 2 16 3 10 2" xfId="39492" xr:uid="{00000000-0005-0000-0000-0000519A0000}"/>
    <cellStyle name="Positive 4 2 16 3 11" xfId="39493" xr:uid="{00000000-0005-0000-0000-0000529A0000}"/>
    <cellStyle name="Positive 4 2 16 3 11 2" xfId="39494" xr:uid="{00000000-0005-0000-0000-0000539A0000}"/>
    <cellStyle name="Positive 4 2 16 3 12" xfId="39495" xr:uid="{00000000-0005-0000-0000-0000549A0000}"/>
    <cellStyle name="Positive 4 2 16 3 12 2" xfId="39496" xr:uid="{00000000-0005-0000-0000-0000559A0000}"/>
    <cellStyle name="Positive 4 2 16 3 13" xfId="39497" xr:uid="{00000000-0005-0000-0000-0000569A0000}"/>
    <cellStyle name="Positive 4 2 16 3 13 2" xfId="39498" xr:uid="{00000000-0005-0000-0000-0000579A0000}"/>
    <cellStyle name="Positive 4 2 16 3 14" xfId="39499" xr:uid="{00000000-0005-0000-0000-0000589A0000}"/>
    <cellStyle name="Positive 4 2 16 3 14 2" xfId="39500" xr:uid="{00000000-0005-0000-0000-0000599A0000}"/>
    <cellStyle name="Positive 4 2 16 3 15" xfId="39501" xr:uid="{00000000-0005-0000-0000-00005A9A0000}"/>
    <cellStyle name="Positive 4 2 16 3 15 2" xfId="39502" xr:uid="{00000000-0005-0000-0000-00005B9A0000}"/>
    <cellStyle name="Positive 4 2 16 3 16" xfId="39503" xr:uid="{00000000-0005-0000-0000-00005C9A0000}"/>
    <cellStyle name="Positive 4 2 16 3 16 2" xfId="39504" xr:uid="{00000000-0005-0000-0000-00005D9A0000}"/>
    <cellStyle name="Positive 4 2 16 3 17" xfId="39505" xr:uid="{00000000-0005-0000-0000-00005E9A0000}"/>
    <cellStyle name="Positive 4 2 16 3 17 2" xfId="39506" xr:uid="{00000000-0005-0000-0000-00005F9A0000}"/>
    <cellStyle name="Positive 4 2 16 3 18" xfId="39507" xr:uid="{00000000-0005-0000-0000-0000609A0000}"/>
    <cellStyle name="Positive 4 2 16 3 18 2" xfId="39508" xr:uid="{00000000-0005-0000-0000-0000619A0000}"/>
    <cellStyle name="Positive 4 2 16 3 19" xfId="39509" xr:uid="{00000000-0005-0000-0000-0000629A0000}"/>
    <cellStyle name="Positive 4 2 16 3 19 2" xfId="39510" xr:uid="{00000000-0005-0000-0000-0000639A0000}"/>
    <cellStyle name="Positive 4 2 16 3 2" xfId="39511" xr:uid="{00000000-0005-0000-0000-0000649A0000}"/>
    <cellStyle name="Positive 4 2 16 3 2 10" xfId="39512" xr:uid="{00000000-0005-0000-0000-0000659A0000}"/>
    <cellStyle name="Positive 4 2 16 3 2 10 2" xfId="39513" xr:uid="{00000000-0005-0000-0000-0000669A0000}"/>
    <cellStyle name="Positive 4 2 16 3 2 11" xfId="39514" xr:uid="{00000000-0005-0000-0000-0000679A0000}"/>
    <cellStyle name="Positive 4 2 16 3 2 11 2" xfId="39515" xr:uid="{00000000-0005-0000-0000-0000689A0000}"/>
    <cellStyle name="Positive 4 2 16 3 2 12" xfId="39516" xr:uid="{00000000-0005-0000-0000-0000699A0000}"/>
    <cellStyle name="Positive 4 2 16 3 2 12 2" xfId="39517" xr:uid="{00000000-0005-0000-0000-00006A9A0000}"/>
    <cellStyle name="Positive 4 2 16 3 2 13" xfId="39518" xr:uid="{00000000-0005-0000-0000-00006B9A0000}"/>
    <cellStyle name="Positive 4 2 16 3 2 13 2" xfId="39519" xr:uid="{00000000-0005-0000-0000-00006C9A0000}"/>
    <cellStyle name="Positive 4 2 16 3 2 14" xfId="39520" xr:uid="{00000000-0005-0000-0000-00006D9A0000}"/>
    <cellStyle name="Positive 4 2 16 3 2 14 2" xfId="39521" xr:uid="{00000000-0005-0000-0000-00006E9A0000}"/>
    <cellStyle name="Positive 4 2 16 3 2 15" xfId="39522" xr:uid="{00000000-0005-0000-0000-00006F9A0000}"/>
    <cellStyle name="Positive 4 2 16 3 2 15 2" xfId="39523" xr:uid="{00000000-0005-0000-0000-0000709A0000}"/>
    <cellStyle name="Positive 4 2 16 3 2 16" xfId="39524" xr:uid="{00000000-0005-0000-0000-0000719A0000}"/>
    <cellStyle name="Positive 4 2 16 3 2 16 2" xfId="39525" xr:uid="{00000000-0005-0000-0000-0000729A0000}"/>
    <cellStyle name="Positive 4 2 16 3 2 17" xfId="39526" xr:uid="{00000000-0005-0000-0000-0000739A0000}"/>
    <cellStyle name="Positive 4 2 16 3 2 2" xfId="39527" xr:uid="{00000000-0005-0000-0000-0000749A0000}"/>
    <cellStyle name="Positive 4 2 16 3 2 2 2" xfId="39528" xr:uid="{00000000-0005-0000-0000-0000759A0000}"/>
    <cellStyle name="Positive 4 2 16 3 2 3" xfId="39529" xr:uid="{00000000-0005-0000-0000-0000769A0000}"/>
    <cellStyle name="Positive 4 2 16 3 2 3 2" xfId="39530" xr:uid="{00000000-0005-0000-0000-0000779A0000}"/>
    <cellStyle name="Positive 4 2 16 3 2 4" xfId="39531" xr:uid="{00000000-0005-0000-0000-0000789A0000}"/>
    <cellStyle name="Positive 4 2 16 3 2 4 2" xfId="39532" xr:uid="{00000000-0005-0000-0000-0000799A0000}"/>
    <cellStyle name="Positive 4 2 16 3 2 5" xfId="39533" xr:uid="{00000000-0005-0000-0000-00007A9A0000}"/>
    <cellStyle name="Positive 4 2 16 3 2 5 2" xfId="39534" xr:uid="{00000000-0005-0000-0000-00007B9A0000}"/>
    <cellStyle name="Positive 4 2 16 3 2 6" xfId="39535" xr:uid="{00000000-0005-0000-0000-00007C9A0000}"/>
    <cellStyle name="Positive 4 2 16 3 2 6 2" xfId="39536" xr:uid="{00000000-0005-0000-0000-00007D9A0000}"/>
    <cellStyle name="Positive 4 2 16 3 2 7" xfId="39537" xr:uid="{00000000-0005-0000-0000-00007E9A0000}"/>
    <cellStyle name="Positive 4 2 16 3 2 7 2" xfId="39538" xr:uid="{00000000-0005-0000-0000-00007F9A0000}"/>
    <cellStyle name="Positive 4 2 16 3 2 8" xfId="39539" xr:uid="{00000000-0005-0000-0000-0000809A0000}"/>
    <cellStyle name="Positive 4 2 16 3 2 8 2" xfId="39540" xr:uid="{00000000-0005-0000-0000-0000819A0000}"/>
    <cellStyle name="Positive 4 2 16 3 2 9" xfId="39541" xr:uid="{00000000-0005-0000-0000-0000829A0000}"/>
    <cellStyle name="Positive 4 2 16 3 2 9 2" xfId="39542" xr:uid="{00000000-0005-0000-0000-0000839A0000}"/>
    <cellStyle name="Positive 4 2 16 3 20" xfId="39543" xr:uid="{00000000-0005-0000-0000-0000849A0000}"/>
    <cellStyle name="Positive 4 2 16 3 3" xfId="39544" xr:uid="{00000000-0005-0000-0000-0000859A0000}"/>
    <cellStyle name="Positive 4 2 16 3 3 2" xfId="39545" xr:uid="{00000000-0005-0000-0000-0000869A0000}"/>
    <cellStyle name="Positive 4 2 16 3 3 2 2" xfId="39546" xr:uid="{00000000-0005-0000-0000-0000879A0000}"/>
    <cellStyle name="Positive 4 2 16 3 3 3" xfId="39547" xr:uid="{00000000-0005-0000-0000-0000889A0000}"/>
    <cellStyle name="Positive 4 2 16 3 4" xfId="39548" xr:uid="{00000000-0005-0000-0000-0000899A0000}"/>
    <cellStyle name="Positive 4 2 16 3 4 2" xfId="39549" xr:uid="{00000000-0005-0000-0000-00008A9A0000}"/>
    <cellStyle name="Positive 4 2 16 3 4 2 2" xfId="39550" xr:uid="{00000000-0005-0000-0000-00008B9A0000}"/>
    <cellStyle name="Positive 4 2 16 3 4 3" xfId="39551" xr:uid="{00000000-0005-0000-0000-00008C9A0000}"/>
    <cellStyle name="Positive 4 2 16 3 5" xfId="39552" xr:uid="{00000000-0005-0000-0000-00008D9A0000}"/>
    <cellStyle name="Positive 4 2 16 3 5 2" xfId="39553" xr:uid="{00000000-0005-0000-0000-00008E9A0000}"/>
    <cellStyle name="Positive 4 2 16 3 6" xfId="39554" xr:uid="{00000000-0005-0000-0000-00008F9A0000}"/>
    <cellStyle name="Positive 4 2 16 3 6 2" xfId="39555" xr:uid="{00000000-0005-0000-0000-0000909A0000}"/>
    <cellStyle name="Positive 4 2 16 3 7" xfId="39556" xr:uid="{00000000-0005-0000-0000-0000919A0000}"/>
    <cellStyle name="Positive 4 2 16 3 7 2" xfId="39557" xr:uid="{00000000-0005-0000-0000-0000929A0000}"/>
    <cellStyle name="Positive 4 2 16 3 8" xfId="39558" xr:uid="{00000000-0005-0000-0000-0000939A0000}"/>
    <cellStyle name="Positive 4 2 16 3 8 2" xfId="39559" xr:uid="{00000000-0005-0000-0000-0000949A0000}"/>
    <cellStyle name="Positive 4 2 16 3 9" xfId="39560" xr:uid="{00000000-0005-0000-0000-0000959A0000}"/>
    <cellStyle name="Positive 4 2 16 3 9 2" xfId="39561" xr:uid="{00000000-0005-0000-0000-0000969A0000}"/>
    <cellStyle name="Positive 4 2 16 4" xfId="39562" xr:uid="{00000000-0005-0000-0000-0000979A0000}"/>
    <cellStyle name="Positive 4 2 16 4 10" xfId="39563" xr:uid="{00000000-0005-0000-0000-0000989A0000}"/>
    <cellStyle name="Positive 4 2 16 4 10 2" xfId="39564" xr:uid="{00000000-0005-0000-0000-0000999A0000}"/>
    <cellStyle name="Positive 4 2 16 4 11" xfId="39565" xr:uid="{00000000-0005-0000-0000-00009A9A0000}"/>
    <cellStyle name="Positive 4 2 16 4 11 2" xfId="39566" xr:uid="{00000000-0005-0000-0000-00009B9A0000}"/>
    <cellStyle name="Positive 4 2 16 4 12" xfId="39567" xr:uid="{00000000-0005-0000-0000-00009C9A0000}"/>
    <cellStyle name="Positive 4 2 16 4 12 2" xfId="39568" xr:uid="{00000000-0005-0000-0000-00009D9A0000}"/>
    <cellStyle name="Positive 4 2 16 4 13" xfId="39569" xr:uid="{00000000-0005-0000-0000-00009E9A0000}"/>
    <cellStyle name="Positive 4 2 16 4 13 2" xfId="39570" xr:uid="{00000000-0005-0000-0000-00009F9A0000}"/>
    <cellStyle name="Positive 4 2 16 4 14" xfId="39571" xr:uid="{00000000-0005-0000-0000-0000A09A0000}"/>
    <cellStyle name="Positive 4 2 16 4 14 2" xfId="39572" xr:uid="{00000000-0005-0000-0000-0000A19A0000}"/>
    <cellStyle name="Positive 4 2 16 4 15" xfId="39573" xr:uid="{00000000-0005-0000-0000-0000A29A0000}"/>
    <cellStyle name="Positive 4 2 16 4 15 2" xfId="39574" xr:uid="{00000000-0005-0000-0000-0000A39A0000}"/>
    <cellStyle name="Positive 4 2 16 4 16" xfId="39575" xr:uid="{00000000-0005-0000-0000-0000A49A0000}"/>
    <cellStyle name="Positive 4 2 16 4 16 2" xfId="39576" xr:uid="{00000000-0005-0000-0000-0000A59A0000}"/>
    <cellStyle name="Positive 4 2 16 4 17" xfId="39577" xr:uid="{00000000-0005-0000-0000-0000A69A0000}"/>
    <cellStyle name="Positive 4 2 16 4 17 2" xfId="39578" xr:uid="{00000000-0005-0000-0000-0000A79A0000}"/>
    <cellStyle name="Positive 4 2 16 4 18" xfId="39579" xr:uid="{00000000-0005-0000-0000-0000A89A0000}"/>
    <cellStyle name="Positive 4 2 16 4 18 2" xfId="39580" xr:uid="{00000000-0005-0000-0000-0000A99A0000}"/>
    <cellStyle name="Positive 4 2 16 4 19" xfId="39581" xr:uid="{00000000-0005-0000-0000-0000AA9A0000}"/>
    <cellStyle name="Positive 4 2 16 4 19 2" xfId="39582" xr:uid="{00000000-0005-0000-0000-0000AB9A0000}"/>
    <cellStyle name="Positive 4 2 16 4 2" xfId="39583" xr:uid="{00000000-0005-0000-0000-0000AC9A0000}"/>
    <cellStyle name="Positive 4 2 16 4 2 10" xfId="39584" xr:uid="{00000000-0005-0000-0000-0000AD9A0000}"/>
    <cellStyle name="Positive 4 2 16 4 2 10 2" xfId="39585" xr:uid="{00000000-0005-0000-0000-0000AE9A0000}"/>
    <cellStyle name="Positive 4 2 16 4 2 11" xfId="39586" xr:uid="{00000000-0005-0000-0000-0000AF9A0000}"/>
    <cellStyle name="Positive 4 2 16 4 2 11 2" xfId="39587" xr:uid="{00000000-0005-0000-0000-0000B09A0000}"/>
    <cellStyle name="Positive 4 2 16 4 2 12" xfId="39588" xr:uid="{00000000-0005-0000-0000-0000B19A0000}"/>
    <cellStyle name="Positive 4 2 16 4 2 12 2" xfId="39589" xr:uid="{00000000-0005-0000-0000-0000B29A0000}"/>
    <cellStyle name="Positive 4 2 16 4 2 13" xfId="39590" xr:uid="{00000000-0005-0000-0000-0000B39A0000}"/>
    <cellStyle name="Positive 4 2 16 4 2 13 2" xfId="39591" xr:uid="{00000000-0005-0000-0000-0000B49A0000}"/>
    <cellStyle name="Positive 4 2 16 4 2 14" xfId="39592" xr:uid="{00000000-0005-0000-0000-0000B59A0000}"/>
    <cellStyle name="Positive 4 2 16 4 2 14 2" xfId="39593" xr:uid="{00000000-0005-0000-0000-0000B69A0000}"/>
    <cellStyle name="Positive 4 2 16 4 2 15" xfId="39594" xr:uid="{00000000-0005-0000-0000-0000B79A0000}"/>
    <cellStyle name="Positive 4 2 16 4 2 15 2" xfId="39595" xr:uid="{00000000-0005-0000-0000-0000B89A0000}"/>
    <cellStyle name="Positive 4 2 16 4 2 16" xfId="39596" xr:uid="{00000000-0005-0000-0000-0000B99A0000}"/>
    <cellStyle name="Positive 4 2 16 4 2 16 2" xfId="39597" xr:uid="{00000000-0005-0000-0000-0000BA9A0000}"/>
    <cellStyle name="Positive 4 2 16 4 2 17" xfId="39598" xr:uid="{00000000-0005-0000-0000-0000BB9A0000}"/>
    <cellStyle name="Positive 4 2 16 4 2 2" xfId="39599" xr:uid="{00000000-0005-0000-0000-0000BC9A0000}"/>
    <cellStyle name="Positive 4 2 16 4 2 2 2" xfId="39600" xr:uid="{00000000-0005-0000-0000-0000BD9A0000}"/>
    <cellStyle name="Positive 4 2 16 4 2 3" xfId="39601" xr:uid="{00000000-0005-0000-0000-0000BE9A0000}"/>
    <cellStyle name="Positive 4 2 16 4 2 3 2" xfId="39602" xr:uid="{00000000-0005-0000-0000-0000BF9A0000}"/>
    <cellStyle name="Positive 4 2 16 4 2 4" xfId="39603" xr:uid="{00000000-0005-0000-0000-0000C09A0000}"/>
    <cellStyle name="Positive 4 2 16 4 2 4 2" xfId="39604" xr:uid="{00000000-0005-0000-0000-0000C19A0000}"/>
    <cellStyle name="Positive 4 2 16 4 2 5" xfId="39605" xr:uid="{00000000-0005-0000-0000-0000C29A0000}"/>
    <cellStyle name="Positive 4 2 16 4 2 5 2" xfId="39606" xr:uid="{00000000-0005-0000-0000-0000C39A0000}"/>
    <cellStyle name="Positive 4 2 16 4 2 6" xfId="39607" xr:uid="{00000000-0005-0000-0000-0000C49A0000}"/>
    <cellStyle name="Positive 4 2 16 4 2 6 2" xfId="39608" xr:uid="{00000000-0005-0000-0000-0000C59A0000}"/>
    <cellStyle name="Positive 4 2 16 4 2 7" xfId="39609" xr:uid="{00000000-0005-0000-0000-0000C69A0000}"/>
    <cellStyle name="Positive 4 2 16 4 2 7 2" xfId="39610" xr:uid="{00000000-0005-0000-0000-0000C79A0000}"/>
    <cellStyle name="Positive 4 2 16 4 2 8" xfId="39611" xr:uid="{00000000-0005-0000-0000-0000C89A0000}"/>
    <cellStyle name="Positive 4 2 16 4 2 8 2" xfId="39612" xr:uid="{00000000-0005-0000-0000-0000C99A0000}"/>
    <cellStyle name="Positive 4 2 16 4 2 9" xfId="39613" xr:uid="{00000000-0005-0000-0000-0000CA9A0000}"/>
    <cellStyle name="Positive 4 2 16 4 2 9 2" xfId="39614" xr:uid="{00000000-0005-0000-0000-0000CB9A0000}"/>
    <cellStyle name="Positive 4 2 16 4 20" xfId="39615" xr:uid="{00000000-0005-0000-0000-0000CC9A0000}"/>
    <cellStyle name="Positive 4 2 16 4 3" xfId="39616" xr:uid="{00000000-0005-0000-0000-0000CD9A0000}"/>
    <cellStyle name="Positive 4 2 16 4 3 2" xfId="39617" xr:uid="{00000000-0005-0000-0000-0000CE9A0000}"/>
    <cellStyle name="Positive 4 2 16 4 3 2 2" xfId="39618" xr:uid="{00000000-0005-0000-0000-0000CF9A0000}"/>
    <cellStyle name="Positive 4 2 16 4 3 3" xfId="39619" xr:uid="{00000000-0005-0000-0000-0000D09A0000}"/>
    <cellStyle name="Positive 4 2 16 4 4" xfId="39620" xr:uid="{00000000-0005-0000-0000-0000D19A0000}"/>
    <cellStyle name="Positive 4 2 16 4 4 2" xfId="39621" xr:uid="{00000000-0005-0000-0000-0000D29A0000}"/>
    <cellStyle name="Positive 4 2 16 4 4 2 2" xfId="39622" xr:uid="{00000000-0005-0000-0000-0000D39A0000}"/>
    <cellStyle name="Positive 4 2 16 4 4 3" xfId="39623" xr:uid="{00000000-0005-0000-0000-0000D49A0000}"/>
    <cellStyle name="Positive 4 2 16 4 5" xfId="39624" xr:uid="{00000000-0005-0000-0000-0000D59A0000}"/>
    <cellStyle name="Positive 4 2 16 4 5 2" xfId="39625" xr:uid="{00000000-0005-0000-0000-0000D69A0000}"/>
    <cellStyle name="Positive 4 2 16 4 6" xfId="39626" xr:uid="{00000000-0005-0000-0000-0000D79A0000}"/>
    <cellStyle name="Positive 4 2 16 4 6 2" xfId="39627" xr:uid="{00000000-0005-0000-0000-0000D89A0000}"/>
    <cellStyle name="Positive 4 2 16 4 7" xfId="39628" xr:uid="{00000000-0005-0000-0000-0000D99A0000}"/>
    <cellStyle name="Positive 4 2 16 4 7 2" xfId="39629" xr:uid="{00000000-0005-0000-0000-0000DA9A0000}"/>
    <cellStyle name="Positive 4 2 16 4 8" xfId="39630" xr:uid="{00000000-0005-0000-0000-0000DB9A0000}"/>
    <cellStyle name="Positive 4 2 16 4 8 2" xfId="39631" xr:uid="{00000000-0005-0000-0000-0000DC9A0000}"/>
    <cellStyle name="Positive 4 2 16 4 9" xfId="39632" xr:uid="{00000000-0005-0000-0000-0000DD9A0000}"/>
    <cellStyle name="Positive 4 2 16 4 9 2" xfId="39633" xr:uid="{00000000-0005-0000-0000-0000DE9A0000}"/>
    <cellStyle name="Positive 4 2 16 5" xfId="39634" xr:uid="{00000000-0005-0000-0000-0000DF9A0000}"/>
    <cellStyle name="Positive 4 2 16 5 10" xfId="39635" xr:uid="{00000000-0005-0000-0000-0000E09A0000}"/>
    <cellStyle name="Positive 4 2 16 5 10 2" xfId="39636" xr:uid="{00000000-0005-0000-0000-0000E19A0000}"/>
    <cellStyle name="Positive 4 2 16 5 11" xfId="39637" xr:uid="{00000000-0005-0000-0000-0000E29A0000}"/>
    <cellStyle name="Positive 4 2 16 5 11 2" xfId="39638" xr:uid="{00000000-0005-0000-0000-0000E39A0000}"/>
    <cellStyle name="Positive 4 2 16 5 12" xfId="39639" xr:uid="{00000000-0005-0000-0000-0000E49A0000}"/>
    <cellStyle name="Positive 4 2 16 5 12 2" xfId="39640" xr:uid="{00000000-0005-0000-0000-0000E59A0000}"/>
    <cellStyle name="Positive 4 2 16 5 13" xfId="39641" xr:uid="{00000000-0005-0000-0000-0000E69A0000}"/>
    <cellStyle name="Positive 4 2 16 5 13 2" xfId="39642" xr:uid="{00000000-0005-0000-0000-0000E79A0000}"/>
    <cellStyle name="Positive 4 2 16 5 14" xfId="39643" xr:uid="{00000000-0005-0000-0000-0000E89A0000}"/>
    <cellStyle name="Positive 4 2 16 5 14 2" xfId="39644" xr:uid="{00000000-0005-0000-0000-0000E99A0000}"/>
    <cellStyle name="Positive 4 2 16 5 15" xfId="39645" xr:uid="{00000000-0005-0000-0000-0000EA9A0000}"/>
    <cellStyle name="Positive 4 2 16 5 15 2" xfId="39646" xr:uid="{00000000-0005-0000-0000-0000EB9A0000}"/>
    <cellStyle name="Positive 4 2 16 5 16" xfId="39647" xr:uid="{00000000-0005-0000-0000-0000EC9A0000}"/>
    <cellStyle name="Positive 4 2 16 5 16 2" xfId="39648" xr:uid="{00000000-0005-0000-0000-0000ED9A0000}"/>
    <cellStyle name="Positive 4 2 16 5 17" xfId="39649" xr:uid="{00000000-0005-0000-0000-0000EE9A0000}"/>
    <cellStyle name="Positive 4 2 16 5 2" xfId="39650" xr:uid="{00000000-0005-0000-0000-0000EF9A0000}"/>
    <cellStyle name="Positive 4 2 16 5 2 2" xfId="39651" xr:uid="{00000000-0005-0000-0000-0000F09A0000}"/>
    <cellStyle name="Positive 4 2 16 5 3" xfId="39652" xr:uid="{00000000-0005-0000-0000-0000F19A0000}"/>
    <cellStyle name="Positive 4 2 16 5 3 2" xfId="39653" xr:uid="{00000000-0005-0000-0000-0000F29A0000}"/>
    <cellStyle name="Positive 4 2 16 5 4" xfId="39654" xr:uid="{00000000-0005-0000-0000-0000F39A0000}"/>
    <cellStyle name="Positive 4 2 16 5 4 2" xfId="39655" xr:uid="{00000000-0005-0000-0000-0000F49A0000}"/>
    <cellStyle name="Positive 4 2 16 5 5" xfId="39656" xr:uid="{00000000-0005-0000-0000-0000F59A0000}"/>
    <cellStyle name="Positive 4 2 16 5 5 2" xfId="39657" xr:uid="{00000000-0005-0000-0000-0000F69A0000}"/>
    <cellStyle name="Positive 4 2 16 5 6" xfId="39658" xr:uid="{00000000-0005-0000-0000-0000F79A0000}"/>
    <cellStyle name="Positive 4 2 16 5 6 2" xfId="39659" xr:uid="{00000000-0005-0000-0000-0000F89A0000}"/>
    <cellStyle name="Positive 4 2 16 5 7" xfId="39660" xr:uid="{00000000-0005-0000-0000-0000F99A0000}"/>
    <cellStyle name="Positive 4 2 16 5 7 2" xfId="39661" xr:uid="{00000000-0005-0000-0000-0000FA9A0000}"/>
    <cellStyle name="Positive 4 2 16 5 8" xfId="39662" xr:uid="{00000000-0005-0000-0000-0000FB9A0000}"/>
    <cellStyle name="Positive 4 2 16 5 8 2" xfId="39663" xr:uid="{00000000-0005-0000-0000-0000FC9A0000}"/>
    <cellStyle name="Positive 4 2 16 5 9" xfId="39664" xr:uid="{00000000-0005-0000-0000-0000FD9A0000}"/>
    <cellStyle name="Positive 4 2 16 5 9 2" xfId="39665" xr:uid="{00000000-0005-0000-0000-0000FE9A0000}"/>
    <cellStyle name="Positive 4 2 16 6" xfId="39666" xr:uid="{00000000-0005-0000-0000-0000FF9A0000}"/>
    <cellStyle name="Positive 4 2 16 6 2" xfId="39667" xr:uid="{00000000-0005-0000-0000-0000009B0000}"/>
    <cellStyle name="Positive 4 2 16 6 2 2" xfId="39668" xr:uid="{00000000-0005-0000-0000-0000019B0000}"/>
    <cellStyle name="Positive 4 2 16 6 3" xfId="39669" xr:uid="{00000000-0005-0000-0000-0000029B0000}"/>
    <cellStyle name="Positive 4 2 16 7" xfId="39670" xr:uid="{00000000-0005-0000-0000-0000039B0000}"/>
    <cellStyle name="Positive 4 2 16 7 2" xfId="39671" xr:uid="{00000000-0005-0000-0000-0000049B0000}"/>
    <cellStyle name="Positive 4 2 16 7 2 2" xfId="39672" xr:uid="{00000000-0005-0000-0000-0000059B0000}"/>
    <cellStyle name="Positive 4 2 16 7 3" xfId="39673" xr:uid="{00000000-0005-0000-0000-0000069B0000}"/>
    <cellStyle name="Positive 4 2 16 8" xfId="39674" xr:uid="{00000000-0005-0000-0000-0000079B0000}"/>
    <cellStyle name="Positive 4 2 16 8 2" xfId="39675" xr:uid="{00000000-0005-0000-0000-0000089B0000}"/>
    <cellStyle name="Positive 4 2 16 9" xfId="39676" xr:uid="{00000000-0005-0000-0000-0000099B0000}"/>
    <cellStyle name="Positive 4 2 16 9 2" xfId="39677" xr:uid="{00000000-0005-0000-0000-00000A9B0000}"/>
    <cellStyle name="Positive 4 2 17" xfId="39678" xr:uid="{00000000-0005-0000-0000-00000B9B0000}"/>
    <cellStyle name="Positive 4 2 17 10" xfId="39679" xr:uid="{00000000-0005-0000-0000-00000C9B0000}"/>
    <cellStyle name="Positive 4 2 17 10 2" xfId="39680" xr:uid="{00000000-0005-0000-0000-00000D9B0000}"/>
    <cellStyle name="Positive 4 2 17 11" xfId="39681" xr:uid="{00000000-0005-0000-0000-00000E9B0000}"/>
    <cellStyle name="Positive 4 2 17 11 2" xfId="39682" xr:uid="{00000000-0005-0000-0000-00000F9B0000}"/>
    <cellStyle name="Positive 4 2 17 12" xfId="39683" xr:uid="{00000000-0005-0000-0000-0000109B0000}"/>
    <cellStyle name="Positive 4 2 17 12 2" xfId="39684" xr:uid="{00000000-0005-0000-0000-0000119B0000}"/>
    <cellStyle name="Positive 4 2 17 13" xfId="39685" xr:uid="{00000000-0005-0000-0000-0000129B0000}"/>
    <cellStyle name="Positive 4 2 17 13 2" xfId="39686" xr:uid="{00000000-0005-0000-0000-0000139B0000}"/>
    <cellStyle name="Positive 4 2 17 14" xfId="39687" xr:uid="{00000000-0005-0000-0000-0000149B0000}"/>
    <cellStyle name="Positive 4 2 17 14 2" xfId="39688" xr:uid="{00000000-0005-0000-0000-0000159B0000}"/>
    <cellStyle name="Positive 4 2 17 15" xfId="39689" xr:uid="{00000000-0005-0000-0000-0000169B0000}"/>
    <cellStyle name="Positive 4 2 17 15 2" xfId="39690" xr:uid="{00000000-0005-0000-0000-0000179B0000}"/>
    <cellStyle name="Positive 4 2 17 16" xfId="39691" xr:uid="{00000000-0005-0000-0000-0000189B0000}"/>
    <cellStyle name="Positive 4 2 17 16 2" xfId="39692" xr:uid="{00000000-0005-0000-0000-0000199B0000}"/>
    <cellStyle name="Positive 4 2 17 17" xfId="39693" xr:uid="{00000000-0005-0000-0000-00001A9B0000}"/>
    <cellStyle name="Positive 4 2 17 17 2" xfId="39694" xr:uid="{00000000-0005-0000-0000-00001B9B0000}"/>
    <cellStyle name="Positive 4 2 17 18" xfId="39695" xr:uid="{00000000-0005-0000-0000-00001C9B0000}"/>
    <cellStyle name="Positive 4 2 17 18 2" xfId="39696" xr:uid="{00000000-0005-0000-0000-00001D9B0000}"/>
    <cellStyle name="Positive 4 2 17 19" xfId="39697" xr:uid="{00000000-0005-0000-0000-00001E9B0000}"/>
    <cellStyle name="Positive 4 2 17 19 2" xfId="39698" xr:uid="{00000000-0005-0000-0000-00001F9B0000}"/>
    <cellStyle name="Positive 4 2 17 2" xfId="39699" xr:uid="{00000000-0005-0000-0000-0000209B0000}"/>
    <cellStyle name="Positive 4 2 17 2 10" xfId="39700" xr:uid="{00000000-0005-0000-0000-0000219B0000}"/>
    <cellStyle name="Positive 4 2 17 2 10 2" xfId="39701" xr:uid="{00000000-0005-0000-0000-0000229B0000}"/>
    <cellStyle name="Positive 4 2 17 2 11" xfId="39702" xr:uid="{00000000-0005-0000-0000-0000239B0000}"/>
    <cellStyle name="Positive 4 2 17 2 11 2" xfId="39703" xr:uid="{00000000-0005-0000-0000-0000249B0000}"/>
    <cellStyle name="Positive 4 2 17 2 12" xfId="39704" xr:uid="{00000000-0005-0000-0000-0000259B0000}"/>
    <cellStyle name="Positive 4 2 17 2 12 2" xfId="39705" xr:uid="{00000000-0005-0000-0000-0000269B0000}"/>
    <cellStyle name="Positive 4 2 17 2 13" xfId="39706" xr:uid="{00000000-0005-0000-0000-0000279B0000}"/>
    <cellStyle name="Positive 4 2 17 2 13 2" xfId="39707" xr:uid="{00000000-0005-0000-0000-0000289B0000}"/>
    <cellStyle name="Positive 4 2 17 2 14" xfId="39708" xr:uid="{00000000-0005-0000-0000-0000299B0000}"/>
    <cellStyle name="Positive 4 2 17 2 14 2" xfId="39709" xr:uid="{00000000-0005-0000-0000-00002A9B0000}"/>
    <cellStyle name="Positive 4 2 17 2 15" xfId="39710" xr:uid="{00000000-0005-0000-0000-00002B9B0000}"/>
    <cellStyle name="Positive 4 2 17 2 15 2" xfId="39711" xr:uid="{00000000-0005-0000-0000-00002C9B0000}"/>
    <cellStyle name="Positive 4 2 17 2 16" xfId="39712" xr:uid="{00000000-0005-0000-0000-00002D9B0000}"/>
    <cellStyle name="Positive 4 2 17 2 16 2" xfId="39713" xr:uid="{00000000-0005-0000-0000-00002E9B0000}"/>
    <cellStyle name="Positive 4 2 17 2 17" xfId="39714" xr:uid="{00000000-0005-0000-0000-00002F9B0000}"/>
    <cellStyle name="Positive 4 2 17 2 2" xfId="39715" xr:uid="{00000000-0005-0000-0000-0000309B0000}"/>
    <cellStyle name="Positive 4 2 17 2 2 2" xfId="39716" xr:uid="{00000000-0005-0000-0000-0000319B0000}"/>
    <cellStyle name="Positive 4 2 17 2 3" xfId="39717" xr:uid="{00000000-0005-0000-0000-0000329B0000}"/>
    <cellStyle name="Positive 4 2 17 2 3 2" xfId="39718" xr:uid="{00000000-0005-0000-0000-0000339B0000}"/>
    <cellStyle name="Positive 4 2 17 2 4" xfId="39719" xr:uid="{00000000-0005-0000-0000-0000349B0000}"/>
    <cellStyle name="Positive 4 2 17 2 4 2" xfId="39720" xr:uid="{00000000-0005-0000-0000-0000359B0000}"/>
    <cellStyle name="Positive 4 2 17 2 5" xfId="39721" xr:uid="{00000000-0005-0000-0000-0000369B0000}"/>
    <cellStyle name="Positive 4 2 17 2 5 2" xfId="39722" xr:uid="{00000000-0005-0000-0000-0000379B0000}"/>
    <cellStyle name="Positive 4 2 17 2 6" xfId="39723" xr:uid="{00000000-0005-0000-0000-0000389B0000}"/>
    <cellStyle name="Positive 4 2 17 2 6 2" xfId="39724" xr:uid="{00000000-0005-0000-0000-0000399B0000}"/>
    <cellStyle name="Positive 4 2 17 2 7" xfId="39725" xr:uid="{00000000-0005-0000-0000-00003A9B0000}"/>
    <cellStyle name="Positive 4 2 17 2 7 2" xfId="39726" xr:uid="{00000000-0005-0000-0000-00003B9B0000}"/>
    <cellStyle name="Positive 4 2 17 2 8" xfId="39727" xr:uid="{00000000-0005-0000-0000-00003C9B0000}"/>
    <cellStyle name="Positive 4 2 17 2 8 2" xfId="39728" xr:uid="{00000000-0005-0000-0000-00003D9B0000}"/>
    <cellStyle name="Positive 4 2 17 2 9" xfId="39729" xr:uid="{00000000-0005-0000-0000-00003E9B0000}"/>
    <cellStyle name="Positive 4 2 17 2 9 2" xfId="39730" xr:uid="{00000000-0005-0000-0000-00003F9B0000}"/>
    <cellStyle name="Positive 4 2 17 20" xfId="39731" xr:uid="{00000000-0005-0000-0000-0000409B0000}"/>
    <cellStyle name="Positive 4 2 17 3" xfId="39732" xr:uid="{00000000-0005-0000-0000-0000419B0000}"/>
    <cellStyle name="Positive 4 2 17 3 2" xfId="39733" xr:uid="{00000000-0005-0000-0000-0000429B0000}"/>
    <cellStyle name="Positive 4 2 17 3 2 2" xfId="39734" xr:uid="{00000000-0005-0000-0000-0000439B0000}"/>
    <cellStyle name="Positive 4 2 17 3 3" xfId="39735" xr:uid="{00000000-0005-0000-0000-0000449B0000}"/>
    <cellStyle name="Positive 4 2 17 4" xfId="39736" xr:uid="{00000000-0005-0000-0000-0000459B0000}"/>
    <cellStyle name="Positive 4 2 17 4 2" xfId="39737" xr:uid="{00000000-0005-0000-0000-0000469B0000}"/>
    <cellStyle name="Positive 4 2 17 4 2 2" xfId="39738" xr:uid="{00000000-0005-0000-0000-0000479B0000}"/>
    <cellStyle name="Positive 4 2 17 4 3" xfId="39739" xr:uid="{00000000-0005-0000-0000-0000489B0000}"/>
    <cellStyle name="Positive 4 2 17 5" xfId="39740" xr:uid="{00000000-0005-0000-0000-0000499B0000}"/>
    <cellStyle name="Positive 4 2 17 5 2" xfId="39741" xr:uid="{00000000-0005-0000-0000-00004A9B0000}"/>
    <cellStyle name="Positive 4 2 17 6" xfId="39742" xr:uid="{00000000-0005-0000-0000-00004B9B0000}"/>
    <cellStyle name="Positive 4 2 17 6 2" xfId="39743" xr:uid="{00000000-0005-0000-0000-00004C9B0000}"/>
    <cellStyle name="Positive 4 2 17 7" xfId="39744" xr:uid="{00000000-0005-0000-0000-00004D9B0000}"/>
    <cellStyle name="Positive 4 2 17 7 2" xfId="39745" xr:uid="{00000000-0005-0000-0000-00004E9B0000}"/>
    <cellStyle name="Positive 4 2 17 8" xfId="39746" xr:uid="{00000000-0005-0000-0000-00004F9B0000}"/>
    <cellStyle name="Positive 4 2 17 8 2" xfId="39747" xr:uid="{00000000-0005-0000-0000-0000509B0000}"/>
    <cellStyle name="Positive 4 2 17 9" xfId="39748" xr:uid="{00000000-0005-0000-0000-0000519B0000}"/>
    <cellStyle name="Positive 4 2 17 9 2" xfId="39749" xr:uid="{00000000-0005-0000-0000-0000529B0000}"/>
    <cellStyle name="Positive 4 2 18" xfId="39750" xr:uid="{00000000-0005-0000-0000-0000539B0000}"/>
    <cellStyle name="Positive 4 2 18 10" xfId="39751" xr:uid="{00000000-0005-0000-0000-0000549B0000}"/>
    <cellStyle name="Positive 4 2 18 10 2" xfId="39752" xr:uid="{00000000-0005-0000-0000-0000559B0000}"/>
    <cellStyle name="Positive 4 2 18 11" xfId="39753" xr:uid="{00000000-0005-0000-0000-0000569B0000}"/>
    <cellStyle name="Positive 4 2 18 11 2" xfId="39754" xr:uid="{00000000-0005-0000-0000-0000579B0000}"/>
    <cellStyle name="Positive 4 2 18 12" xfId="39755" xr:uid="{00000000-0005-0000-0000-0000589B0000}"/>
    <cellStyle name="Positive 4 2 18 12 2" xfId="39756" xr:uid="{00000000-0005-0000-0000-0000599B0000}"/>
    <cellStyle name="Positive 4 2 18 13" xfId="39757" xr:uid="{00000000-0005-0000-0000-00005A9B0000}"/>
    <cellStyle name="Positive 4 2 18 13 2" xfId="39758" xr:uid="{00000000-0005-0000-0000-00005B9B0000}"/>
    <cellStyle name="Positive 4 2 18 14" xfId="39759" xr:uid="{00000000-0005-0000-0000-00005C9B0000}"/>
    <cellStyle name="Positive 4 2 18 14 2" xfId="39760" xr:uid="{00000000-0005-0000-0000-00005D9B0000}"/>
    <cellStyle name="Positive 4 2 18 15" xfId="39761" xr:uid="{00000000-0005-0000-0000-00005E9B0000}"/>
    <cellStyle name="Positive 4 2 18 15 2" xfId="39762" xr:uid="{00000000-0005-0000-0000-00005F9B0000}"/>
    <cellStyle name="Positive 4 2 18 16" xfId="39763" xr:uid="{00000000-0005-0000-0000-0000609B0000}"/>
    <cellStyle name="Positive 4 2 18 16 2" xfId="39764" xr:uid="{00000000-0005-0000-0000-0000619B0000}"/>
    <cellStyle name="Positive 4 2 18 17" xfId="39765" xr:uid="{00000000-0005-0000-0000-0000629B0000}"/>
    <cellStyle name="Positive 4 2 18 17 2" xfId="39766" xr:uid="{00000000-0005-0000-0000-0000639B0000}"/>
    <cellStyle name="Positive 4 2 18 18" xfId="39767" xr:uid="{00000000-0005-0000-0000-0000649B0000}"/>
    <cellStyle name="Positive 4 2 18 18 2" xfId="39768" xr:uid="{00000000-0005-0000-0000-0000659B0000}"/>
    <cellStyle name="Positive 4 2 18 19" xfId="39769" xr:uid="{00000000-0005-0000-0000-0000669B0000}"/>
    <cellStyle name="Positive 4 2 18 19 2" xfId="39770" xr:uid="{00000000-0005-0000-0000-0000679B0000}"/>
    <cellStyle name="Positive 4 2 18 2" xfId="39771" xr:uid="{00000000-0005-0000-0000-0000689B0000}"/>
    <cellStyle name="Positive 4 2 18 2 10" xfId="39772" xr:uid="{00000000-0005-0000-0000-0000699B0000}"/>
    <cellStyle name="Positive 4 2 18 2 10 2" xfId="39773" xr:uid="{00000000-0005-0000-0000-00006A9B0000}"/>
    <cellStyle name="Positive 4 2 18 2 11" xfId="39774" xr:uid="{00000000-0005-0000-0000-00006B9B0000}"/>
    <cellStyle name="Positive 4 2 18 2 11 2" xfId="39775" xr:uid="{00000000-0005-0000-0000-00006C9B0000}"/>
    <cellStyle name="Positive 4 2 18 2 12" xfId="39776" xr:uid="{00000000-0005-0000-0000-00006D9B0000}"/>
    <cellStyle name="Positive 4 2 18 2 12 2" xfId="39777" xr:uid="{00000000-0005-0000-0000-00006E9B0000}"/>
    <cellStyle name="Positive 4 2 18 2 13" xfId="39778" xr:uid="{00000000-0005-0000-0000-00006F9B0000}"/>
    <cellStyle name="Positive 4 2 18 2 13 2" xfId="39779" xr:uid="{00000000-0005-0000-0000-0000709B0000}"/>
    <cellStyle name="Positive 4 2 18 2 14" xfId="39780" xr:uid="{00000000-0005-0000-0000-0000719B0000}"/>
    <cellStyle name="Positive 4 2 18 2 14 2" xfId="39781" xr:uid="{00000000-0005-0000-0000-0000729B0000}"/>
    <cellStyle name="Positive 4 2 18 2 15" xfId="39782" xr:uid="{00000000-0005-0000-0000-0000739B0000}"/>
    <cellStyle name="Positive 4 2 18 2 15 2" xfId="39783" xr:uid="{00000000-0005-0000-0000-0000749B0000}"/>
    <cellStyle name="Positive 4 2 18 2 16" xfId="39784" xr:uid="{00000000-0005-0000-0000-0000759B0000}"/>
    <cellStyle name="Positive 4 2 18 2 16 2" xfId="39785" xr:uid="{00000000-0005-0000-0000-0000769B0000}"/>
    <cellStyle name="Positive 4 2 18 2 17" xfId="39786" xr:uid="{00000000-0005-0000-0000-0000779B0000}"/>
    <cellStyle name="Positive 4 2 18 2 2" xfId="39787" xr:uid="{00000000-0005-0000-0000-0000789B0000}"/>
    <cellStyle name="Positive 4 2 18 2 2 2" xfId="39788" xr:uid="{00000000-0005-0000-0000-0000799B0000}"/>
    <cellStyle name="Positive 4 2 18 2 3" xfId="39789" xr:uid="{00000000-0005-0000-0000-00007A9B0000}"/>
    <cellStyle name="Positive 4 2 18 2 3 2" xfId="39790" xr:uid="{00000000-0005-0000-0000-00007B9B0000}"/>
    <cellStyle name="Positive 4 2 18 2 4" xfId="39791" xr:uid="{00000000-0005-0000-0000-00007C9B0000}"/>
    <cellStyle name="Positive 4 2 18 2 4 2" xfId="39792" xr:uid="{00000000-0005-0000-0000-00007D9B0000}"/>
    <cellStyle name="Positive 4 2 18 2 5" xfId="39793" xr:uid="{00000000-0005-0000-0000-00007E9B0000}"/>
    <cellStyle name="Positive 4 2 18 2 5 2" xfId="39794" xr:uid="{00000000-0005-0000-0000-00007F9B0000}"/>
    <cellStyle name="Positive 4 2 18 2 6" xfId="39795" xr:uid="{00000000-0005-0000-0000-0000809B0000}"/>
    <cellStyle name="Positive 4 2 18 2 6 2" xfId="39796" xr:uid="{00000000-0005-0000-0000-0000819B0000}"/>
    <cellStyle name="Positive 4 2 18 2 7" xfId="39797" xr:uid="{00000000-0005-0000-0000-0000829B0000}"/>
    <cellStyle name="Positive 4 2 18 2 7 2" xfId="39798" xr:uid="{00000000-0005-0000-0000-0000839B0000}"/>
    <cellStyle name="Positive 4 2 18 2 8" xfId="39799" xr:uid="{00000000-0005-0000-0000-0000849B0000}"/>
    <cellStyle name="Positive 4 2 18 2 8 2" xfId="39800" xr:uid="{00000000-0005-0000-0000-0000859B0000}"/>
    <cellStyle name="Positive 4 2 18 2 9" xfId="39801" xr:uid="{00000000-0005-0000-0000-0000869B0000}"/>
    <cellStyle name="Positive 4 2 18 2 9 2" xfId="39802" xr:uid="{00000000-0005-0000-0000-0000879B0000}"/>
    <cellStyle name="Positive 4 2 18 20" xfId="39803" xr:uid="{00000000-0005-0000-0000-0000889B0000}"/>
    <cellStyle name="Positive 4 2 18 3" xfId="39804" xr:uid="{00000000-0005-0000-0000-0000899B0000}"/>
    <cellStyle name="Positive 4 2 18 3 2" xfId="39805" xr:uid="{00000000-0005-0000-0000-00008A9B0000}"/>
    <cellStyle name="Positive 4 2 18 3 2 2" xfId="39806" xr:uid="{00000000-0005-0000-0000-00008B9B0000}"/>
    <cellStyle name="Positive 4 2 18 3 3" xfId="39807" xr:uid="{00000000-0005-0000-0000-00008C9B0000}"/>
    <cellStyle name="Positive 4 2 18 4" xfId="39808" xr:uid="{00000000-0005-0000-0000-00008D9B0000}"/>
    <cellStyle name="Positive 4 2 18 4 2" xfId="39809" xr:uid="{00000000-0005-0000-0000-00008E9B0000}"/>
    <cellStyle name="Positive 4 2 18 4 2 2" xfId="39810" xr:uid="{00000000-0005-0000-0000-00008F9B0000}"/>
    <cellStyle name="Positive 4 2 18 4 3" xfId="39811" xr:uid="{00000000-0005-0000-0000-0000909B0000}"/>
    <cellStyle name="Positive 4 2 18 5" xfId="39812" xr:uid="{00000000-0005-0000-0000-0000919B0000}"/>
    <cellStyle name="Positive 4 2 18 5 2" xfId="39813" xr:uid="{00000000-0005-0000-0000-0000929B0000}"/>
    <cellStyle name="Positive 4 2 18 6" xfId="39814" xr:uid="{00000000-0005-0000-0000-0000939B0000}"/>
    <cellStyle name="Positive 4 2 18 6 2" xfId="39815" xr:uid="{00000000-0005-0000-0000-0000949B0000}"/>
    <cellStyle name="Positive 4 2 18 7" xfId="39816" xr:uid="{00000000-0005-0000-0000-0000959B0000}"/>
    <cellStyle name="Positive 4 2 18 7 2" xfId="39817" xr:uid="{00000000-0005-0000-0000-0000969B0000}"/>
    <cellStyle name="Positive 4 2 18 8" xfId="39818" xr:uid="{00000000-0005-0000-0000-0000979B0000}"/>
    <cellStyle name="Positive 4 2 18 8 2" xfId="39819" xr:uid="{00000000-0005-0000-0000-0000989B0000}"/>
    <cellStyle name="Positive 4 2 18 9" xfId="39820" xr:uid="{00000000-0005-0000-0000-0000999B0000}"/>
    <cellStyle name="Positive 4 2 18 9 2" xfId="39821" xr:uid="{00000000-0005-0000-0000-00009A9B0000}"/>
    <cellStyle name="Positive 4 2 19" xfId="39822" xr:uid="{00000000-0005-0000-0000-00009B9B0000}"/>
    <cellStyle name="Positive 4 2 19 10" xfId="39823" xr:uid="{00000000-0005-0000-0000-00009C9B0000}"/>
    <cellStyle name="Positive 4 2 19 10 2" xfId="39824" xr:uid="{00000000-0005-0000-0000-00009D9B0000}"/>
    <cellStyle name="Positive 4 2 19 11" xfId="39825" xr:uid="{00000000-0005-0000-0000-00009E9B0000}"/>
    <cellStyle name="Positive 4 2 19 11 2" xfId="39826" xr:uid="{00000000-0005-0000-0000-00009F9B0000}"/>
    <cellStyle name="Positive 4 2 19 12" xfId="39827" xr:uid="{00000000-0005-0000-0000-0000A09B0000}"/>
    <cellStyle name="Positive 4 2 19 12 2" xfId="39828" xr:uid="{00000000-0005-0000-0000-0000A19B0000}"/>
    <cellStyle name="Positive 4 2 19 13" xfId="39829" xr:uid="{00000000-0005-0000-0000-0000A29B0000}"/>
    <cellStyle name="Positive 4 2 19 13 2" xfId="39830" xr:uid="{00000000-0005-0000-0000-0000A39B0000}"/>
    <cellStyle name="Positive 4 2 19 14" xfId="39831" xr:uid="{00000000-0005-0000-0000-0000A49B0000}"/>
    <cellStyle name="Positive 4 2 19 14 2" xfId="39832" xr:uid="{00000000-0005-0000-0000-0000A59B0000}"/>
    <cellStyle name="Positive 4 2 19 15" xfId="39833" xr:uid="{00000000-0005-0000-0000-0000A69B0000}"/>
    <cellStyle name="Positive 4 2 19 15 2" xfId="39834" xr:uid="{00000000-0005-0000-0000-0000A79B0000}"/>
    <cellStyle name="Positive 4 2 19 16" xfId="39835" xr:uid="{00000000-0005-0000-0000-0000A89B0000}"/>
    <cellStyle name="Positive 4 2 19 16 2" xfId="39836" xr:uid="{00000000-0005-0000-0000-0000A99B0000}"/>
    <cellStyle name="Positive 4 2 19 17" xfId="39837" xr:uid="{00000000-0005-0000-0000-0000AA9B0000}"/>
    <cellStyle name="Positive 4 2 19 17 2" xfId="39838" xr:uid="{00000000-0005-0000-0000-0000AB9B0000}"/>
    <cellStyle name="Positive 4 2 19 18" xfId="39839" xr:uid="{00000000-0005-0000-0000-0000AC9B0000}"/>
    <cellStyle name="Positive 4 2 19 18 2" xfId="39840" xr:uid="{00000000-0005-0000-0000-0000AD9B0000}"/>
    <cellStyle name="Positive 4 2 19 19" xfId="39841" xr:uid="{00000000-0005-0000-0000-0000AE9B0000}"/>
    <cellStyle name="Positive 4 2 19 19 2" xfId="39842" xr:uid="{00000000-0005-0000-0000-0000AF9B0000}"/>
    <cellStyle name="Positive 4 2 19 2" xfId="39843" xr:uid="{00000000-0005-0000-0000-0000B09B0000}"/>
    <cellStyle name="Positive 4 2 19 2 10" xfId="39844" xr:uid="{00000000-0005-0000-0000-0000B19B0000}"/>
    <cellStyle name="Positive 4 2 19 2 10 2" xfId="39845" xr:uid="{00000000-0005-0000-0000-0000B29B0000}"/>
    <cellStyle name="Positive 4 2 19 2 11" xfId="39846" xr:uid="{00000000-0005-0000-0000-0000B39B0000}"/>
    <cellStyle name="Positive 4 2 19 2 11 2" xfId="39847" xr:uid="{00000000-0005-0000-0000-0000B49B0000}"/>
    <cellStyle name="Positive 4 2 19 2 12" xfId="39848" xr:uid="{00000000-0005-0000-0000-0000B59B0000}"/>
    <cellStyle name="Positive 4 2 19 2 12 2" xfId="39849" xr:uid="{00000000-0005-0000-0000-0000B69B0000}"/>
    <cellStyle name="Positive 4 2 19 2 13" xfId="39850" xr:uid="{00000000-0005-0000-0000-0000B79B0000}"/>
    <cellStyle name="Positive 4 2 19 2 13 2" xfId="39851" xr:uid="{00000000-0005-0000-0000-0000B89B0000}"/>
    <cellStyle name="Positive 4 2 19 2 14" xfId="39852" xr:uid="{00000000-0005-0000-0000-0000B99B0000}"/>
    <cellStyle name="Positive 4 2 19 2 14 2" xfId="39853" xr:uid="{00000000-0005-0000-0000-0000BA9B0000}"/>
    <cellStyle name="Positive 4 2 19 2 15" xfId="39854" xr:uid="{00000000-0005-0000-0000-0000BB9B0000}"/>
    <cellStyle name="Positive 4 2 19 2 15 2" xfId="39855" xr:uid="{00000000-0005-0000-0000-0000BC9B0000}"/>
    <cellStyle name="Positive 4 2 19 2 16" xfId="39856" xr:uid="{00000000-0005-0000-0000-0000BD9B0000}"/>
    <cellStyle name="Positive 4 2 19 2 16 2" xfId="39857" xr:uid="{00000000-0005-0000-0000-0000BE9B0000}"/>
    <cellStyle name="Positive 4 2 19 2 17" xfId="39858" xr:uid="{00000000-0005-0000-0000-0000BF9B0000}"/>
    <cellStyle name="Positive 4 2 19 2 2" xfId="39859" xr:uid="{00000000-0005-0000-0000-0000C09B0000}"/>
    <cellStyle name="Positive 4 2 19 2 2 2" xfId="39860" xr:uid="{00000000-0005-0000-0000-0000C19B0000}"/>
    <cellStyle name="Positive 4 2 19 2 3" xfId="39861" xr:uid="{00000000-0005-0000-0000-0000C29B0000}"/>
    <cellStyle name="Positive 4 2 19 2 3 2" xfId="39862" xr:uid="{00000000-0005-0000-0000-0000C39B0000}"/>
    <cellStyle name="Positive 4 2 19 2 4" xfId="39863" xr:uid="{00000000-0005-0000-0000-0000C49B0000}"/>
    <cellStyle name="Positive 4 2 19 2 4 2" xfId="39864" xr:uid="{00000000-0005-0000-0000-0000C59B0000}"/>
    <cellStyle name="Positive 4 2 19 2 5" xfId="39865" xr:uid="{00000000-0005-0000-0000-0000C69B0000}"/>
    <cellStyle name="Positive 4 2 19 2 5 2" xfId="39866" xr:uid="{00000000-0005-0000-0000-0000C79B0000}"/>
    <cellStyle name="Positive 4 2 19 2 6" xfId="39867" xr:uid="{00000000-0005-0000-0000-0000C89B0000}"/>
    <cellStyle name="Positive 4 2 19 2 6 2" xfId="39868" xr:uid="{00000000-0005-0000-0000-0000C99B0000}"/>
    <cellStyle name="Positive 4 2 19 2 7" xfId="39869" xr:uid="{00000000-0005-0000-0000-0000CA9B0000}"/>
    <cellStyle name="Positive 4 2 19 2 7 2" xfId="39870" xr:uid="{00000000-0005-0000-0000-0000CB9B0000}"/>
    <cellStyle name="Positive 4 2 19 2 8" xfId="39871" xr:uid="{00000000-0005-0000-0000-0000CC9B0000}"/>
    <cellStyle name="Positive 4 2 19 2 8 2" xfId="39872" xr:uid="{00000000-0005-0000-0000-0000CD9B0000}"/>
    <cellStyle name="Positive 4 2 19 2 9" xfId="39873" xr:uid="{00000000-0005-0000-0000-0000CE9B0000}"/>
    <cellStyle name="Positive 4 2 19 2 9 2" xfId="39874" xr:uid="{00000000-0005-0000-0000-0000CF9B0000}"/>
    <cellStyle name="Positive 4 2 19 20" xfId="39875" xr:uid="{00000000-0005-0000-0000-0000D09B0000}"/>
    <cellStyle name="Positive 4 2 19 3" xfId="39876" xr:uid="{00000000-0005-0000-0000-0000D19B0000}"/>
    <cellStyle name="Positive 4 2 19 3 2" xfId="39877" xr:uid="{00000000-0005-0000-0000-0000D29B0000}"/>
    <cellStyle name="Positive 4 2 19 3 2 2" xfId="39878" xr:uid="{00000000-0005-0000-0000-0000D39B0000}"/>
    <cellStyle name="Positive 4 2 19 3 3" xfId="39879" xr:uid="{00000000-0005-0000-0000-0000D49B0000}"/>
    <cellStyle name="Positive 4 2 19 4" xfId="39880" xr:uid="{00000000-0005-0000-0000-0000D59B0000}"/>
    <cellStyle name="Positive 4 2 19 4 2" xfId="39881" xr:uid="{00000000-0005-0000-0000-0000D69B0000}"/>
    <cellStyle name="Positive 4 2 19 4 2 2" xfId="39882" xr:uid="{00000000-0005-0000-0000-0000D79B0000}"/>
    <cellStyle name="Positive 4 2 19 4 3" xfId="39883" xr:uid="{00000000-0005-0000-0000-0000D89B0000}"/>
    <cellStyle name="Positive 4 2 19 5" xfId="39884" xr:uid="{00000000-0005-0000-0000-0000D99B0000}"/>
    <cellStyle name="Positive 4 2 19 5 2" xfId="39885" xr:uid="{00000000-0005-0000-0000-0000DA9B0000}"/>
    <cellStyle name="Positive 4 2 19 6" xfId="39886" xr:uid="{00000000-0005-0000-0000-0000DB9B0000}"/>
    <cellStyle name="Positive 4 2 19 6 2" xfId="39887" xr:uid="{00000000-0005-0000-0000-0000DC9B0000}"/>
    <cellStyle name="Positive 4 2 19 7" xfId="39888" xr:uid="{00000000-0005-0000-0000-0000DD9B0000}"/>
    <cellStyle name="Positive 4 2 19 7 2" xfId="39889" xr:uid="{00000000-0005-0000-0000-0000DE9B0000}"/>
    <cellStyle name="Positive 4 2 19 8" xfId="39890" xr:uid="{00000000-0005-0000-0000-0000DF9B0000}"/>
    <cellStyle name="Positive 4 2 19 8 2" xfId="39891" xr:uid="{00000000-0005-0000-0000-0000E09B0000}"/>
    <cellStyle name="Positive 4 2 19 9" xfId="39892" xr:uid="{00000000-0005-0000-0000-0000E19B0000}"/>
    <cellStyle name="Positive 4 2 19 9 2" xfId="39893" xr:uid="{00000000-0005-0000-0000-0000E29B0000}"/>
    <cellStyle name="Positive 4 2 2" xfId="39894" xr:uid="{00000000-0005-0000-0000-0000E39B0000}"/>
    <cellStyle name="Positive 4 2 2 10" xfId="39895" xr:uid="{00000000-0005-0000-0000-0000E49B0000}"/>
    <cellStyle name="Positive 4 2 2 10 2" xfId="39896" xr:uid="{00000000-0005-0000-0000-0000E59B0000}"/>
    <cellStyle name="Positive 4 2 2 11" xfId="39897" xr:uid="{00000000-0005-0000-0000-0000E69B0000}"/>
    <cellStyle name="Positive 4 2 2 11 2" xfId="39898" xr:uid="{00000000-0005-0000-0000-0000E79B0000}"/>
    <cellStyle name="Positive 4 2 2 12" xfId="39899" xr:uid="{00000000-0005-0000-0000-0000E89B0000}"/>
    <cellStyle name="Positive 4 2 2 12 2" xfId="39900" xr:uid="{00000000-0005-0000-0000-0000E99B0000}"/>
    <cellStyle name="Positive 4 2 2 13" xfId="39901" xr:uid="{00000000-0005-0000-0000-0000EA9B0000}"/>
    <cellStyle name="Positive 4 2 2 13 2" xfId="39902" xr:uid="{00000000-0005-0000-0000-0000EB9B0000}"/>
    <cellStyle name="Positive 4 2 2 14" xfId="39903" xr:uid="{00000000-0005-0000-0000-0000EC9B0000}"/>
    <cellStyle name="Positive 4 2 2 14 2" xfId="39904" xr:uid="{00000000-0005-0000-0000-0000ED9B0000}"/>
    <cellStyle name="Positive 4 2 2 15" xfId="39905" xr:uid="{00000000-0005-0000-0000-0000EE9B0000}"/>
    <cellStyle name="Positive 4 2 2 15 2" xfId="39906" xr:uid="{00000000-0005-0000-0000-0000EF9B0000}"/>
    <cellStyle name="Positive 4 2 2 16" xfId="39907" xr:uid="{00000000-0005-0000-0000-0000F09B0000}"/>
    <cellStyle name="Positive 4 2 2 16 2" xfId="39908" xr:uid="{00000000-0005-0000-0000-0000F19B0000}"/>
    <cellStyle name="Positive 4 2 2 17" xfId="39909" xr:uid="{00000000-0005-0000-0000-0000F29B0000}"/>
    <cellStyle name="Positive 4 2 2 17 2" xfId="39910" xr:uid="{00000000-0005-0000-0000-0000F39B0000}"/>
    <cellStyle name="Positive 4 2 2 18" xfId="39911" xr:uid="{00000000-0005-0000-0000-0000F49B0000}"/>
    <cellStyle name="Positive 4 2 2 18 2" xfId="39912" xr:uid="{00000000-0005-0000-0000-0000F59B0000}"/>
    <cellStyle name="Positive 4 2 2 19" xfId="39913" xr:uid="{00000000-0005-0000-0000-0000F69B0000}"/>
    <cellStyle name="Positive 4 2 2 19 2" xfId="39914" xr:uid="{00000000-0005-0000-0000-0000F79B0000}"/>
    <cellStyle name="Positive 4 2 2 2" xfId="39915" xr:uid="{00000000-0005-0000-0000-0000F89B0000}"/>
    <cellStyle name="Positive 4 2 2 2 10" xfId="39916" xr:uid="{00000000-0005-0000-0000-0000F99B0000}"/>
    <cellStyle name="Positive 4 2 2 2 10 2" xfId="39917" xr:uid="{00000000-0005-0000-0000-0000FA9B0000}"/>
    <cellStyle name="Positive 4 2 2 2 11" xfId="39918" xr:uid="{00000000-0005-0000-0000-0000FB9B0000}"/>
    <cellStyle name="Positive 4 2 2 2 11 2" xfId="39919" xr:uid="{00000000-0005-0000-0000-0000FC9B0000}"/>
    <cellStyle name="Positive 4 2 2 2 12" xfId="39920" xr:uid="{00000000-0005-0000-0000-0000FD9B0000}"/>
    <cellStyle name="Positive 4 2 2 2 12 2" xfId="39921" xr:uid="{00000000-0005-0000-0000-0000FE9B0000}"/>
    <cellStyle name="Positive 4 2 2 2 13" xfId="39922" xr:uid="{00000000-0005-0000-0000-0000FF9B0000}"/>
    <cellStyle name="Positive 4 2 2 2 13 2" xfId="39923" xr:uid="{00000000-0005-0000-0000-0000009C0000}"/>
    <cellStyle name="Positive 4 2 2 2 14" xfId="39924" xr:uid="{00000000-0005-0000-0000-0000019C0000}"/>
    <cellStyle name="Positive 4 2 2 2 14 2" xfId="39925" xr:uid="{00000000-0005-0000-0000-0000029C0000}"/>
    <cellStyle name="Positive 4 2 2 2 15" xfId="39926" xr:uid="{00000000-0005-0000-0000-0000039C0000}"/>
    <cellStyle name="Positive 4 2 2 2 15 2" xfId="39927" xr:uid="{00000000-0005-0000-0000-0000049C0000}"/>
    <cellStyle name="Positive 4 2 2 2 16" xfId="39928" xr:uid="{00000000-0005-0000-0000-0000059C0000}"/>
    <cellStyle name="Positive 4 2 2 2 16 2" xfId="39929" xr:uid="{00000000-0005-0000-0000-0000069C0000}"/>
    <cellStyle name="Positive 4 2 2 2 17" xfId="39930" xr:uid="{00000000-0005-0000-0000-0000079C0000}"/>
    <cellStyle name="Positive 4 2 2 2 17 2" xfId="39931" xr:uid="{00000000-0005-0000-0000-0000089C0000}"/>
    <cellStyle name="Positive 4 2 2 2 18" xfId="39932" xr:uid="{00000000-0005-0000-0000-0000099C0000}"/>
    <cellStyle name="Positive 4 2 2 2 18 2" xfId="39933" xr:uid="{00000000-0005-0000-0000-00000A9C0000}"/>
    <cellStyle name="Positive 4 2 2 2 19" xfId="39934" xr:uid="{00000000-0005-0000-0000-00000B9C0000}"/>
    <cellStyle name="Positive 4 2 2 2 19 2" xfId="39935" xr:uid="{00000000-0005-0000-0000-00000C9C0000}"/>
    <cellStyle name="Positive 4 2 2 2 2" xfId="39936" xr:uid="{00000000-0005-0000-0000-00000D9C0000}"/>
    <cellStyle name="Positive 4 2 2 2 2 10" xfId="39937" xr:uid="{00000000-0005-0000-0000-00000E9C0000}"/>
    <cellStyle name="Positive 4 2 2 2 2 10 2" xfId="39938" xr:uid="{00000000-0005-0000-0000-00000F9C0000}"/>
    <cellStyle name="Positive 4 2 2 2 2 11" xfId="39939" xr:uid="{00000000-0005-0000-0000-0000109C0000}"/>
    <cellStyle name="Positive 4 2 2 2 2 11 2" xfId="39940" xr:uid="{00000000-0005-0000-0000-0000119C0000}"/>
    <cellStyle name="Positive 4 2 2 2 2 12" xfId="39941" xr:uid="{00000000-0005-0000-0000-0000129C0000}"/>
    <cellStyle name="Positive 4 2 2 2 2 12 2" xfId="39942" xr:uid="{00000000-0005-0000-0000-0000139C0000}"/>
    <cellStyle name="Positive 4 2 2 2 2 13" xfId="39943" xr:uid="{00000000-0005-0000-0000-0000149C0000}"/>
    <cellStyle name="Positive 4 2 2 2 2 13 2" xfId="39944" xr:uid="{00000000-0005-0000-0000-0000159C0000}"/>
    <cellStyle name="Positive 4 2 2 2 2 14" xfId="39945" xr:uid="{00000000-0005-0000-0000-0000169C0000}"/>
    <cellStyle name="Positive 4 2 2 2 2 14 2" xfId="39946" xr:uid="{00000000-0005-0000-0000-0000179C0000}"/>
    <cellStyle name="Positive 4 2 2 2 2 15" xfId="39947" xr:uid="{00000000-0005-0000-0000-0000189C0000}"/>
    <cellStyle name="Positive 4 2 2 2 2 15 2" xfId="39948" xr:uid="{00000000-0005-0000-0000-0000199C0000}"/>
    <cellStyle name="Positive 4 2 2 2 2 16" xfId="39949" xr:uid="{00000000-0005-0000-0000-00001A9C0000}"/>
    <cellStyle name="Positive 4 2 2 2 2 16 2" xfId="39950" xr:uid="{00000000-0005-0000-0000-00001B9C0000}"/>
    <cellStyle name="Positive 4 2 2 2 2 17" xfId="39951" xr:uid="{00000000-0005-0000-0000-00001C9C0000}"/>
    <cellStyle name="Positive 4 2 2 2 2 2" xfId="39952" xr:uid="{00000000-0005-0000-0000-00001D9C0000}"/>
    <cellStyle name="Positive 4 2 2 2 2 2 2" xfId="39953" xr:uid="{00000000-0005-0000-0000-00001E9C0000}"/>
    <cellStyle name="Positive 4 2 2 2 2 3" xfId="39954" xr:uid="{00000000-0005-0000-0000-00001F9C0000}"/>
    <cellStyle name="Positive 4 2 2 2 2 3 2" xfId="39955" xr:uid="{00000000-0005-0000-0000-0000209C0000}"/>
    <cellStyle name="Positive 4 2 2 2 2 4" xfId="39956" xr:uid="{00000000-0005-0000-0000-0000219C0000}"/>
    <cellStyle name="Positive 4 2 2 2 2 4 2" xfId="39957" xr:uid="{00000000-0005-0000-0000-0000229C0000}"/>
    <cellStyle name="Positive 4 2 2 2 2 5" xfId="39958" xr:uid="{00000000-0005-0000-0000-0000239C0000}"/>
    <cellStyle name="Positive 4 2 2 2 2 5 2" xfId="39959" xr:uid="{00000000-0005-0000-0000-0000249C0000}"/>
    <cellStyle name="Positive 4 2 2 2 2 6" xfId="39960" xr:uid="{00000000-0005-0000-0000-0000259C0000}"/>
    <cellStyle name="Positive 4 2 2 2 2 6 2" xfId="39961" xr:uid="{00000000-0005-0000-0000-0000269C0000}"/>
    <cellStyle name="Positive 4 2 2 2 2 7" xfId="39962" xr:uid="{00000000-0005-0000-0000-0000279C0000}"/>
    <cellStyle name="Positive 4 2 2 2 2 7 2" xfId="39963" xr:uid="{00000000-0005-0000-0000-0000289C0000}"/>
    <cellStyle name="Positive 4 2 2 2 2 8" xfId="39964" xr:uid="{00000000-0005-0000-0000-0000299C0000}"/>
    <cellStyle name="Positive 4 2 2 2 2 8 2" xfId="39965" xr:uid="{00000000-0005-0000-0000-00002A9C0000}"/>
    <cellStyle name="Positive 4 2 2 2 2 9" xfId="39966" xr:uid="{00000000-0005-0000-0000-00002B9C0000}"/>
    <cellStyle name="Positive 4 2 2 2 2 9 2" xfId="39967" xr:uid="{00000000-0005-0000-0000-00002C9C0000}"/>
    <cellStyle name="Positive 4 2 2 2 20" xfId="39968" xr:uid="{00000000-0005-0000-0000-00002D9C0000}"/>
    <cellStyle name="Positive 4 2 2 2 3" xfId="39969" xr:uid="{00000000-0005-0000-0000-00002E9C0000}"/>
    <cellStyle name="Positive 4 2 2 2 3 2" xfId="39970" xr:uid="{00000000-0005-0000-0000-00002F9C0000}"/>
    <cellStyle name="Positive 4 2 2 2 3 2 2" xfId="39971" xr:uid="{00000000-0005-0000-0000-0000309C0000}"/>
    <cellStyle name="Positive 4 2 2 2 3 3" xfId="39972" xr:uid="{00000000-0005-0000-0000-0000319C0000}"/>
    <cellStyle name="Positive 4 2 2 2 4" xfId="39973" xr:uid="{00000000-0005-0000-0000-0000329C0000}"/>
    <cellStyle name="Positive 4 2 2 2 4 2" xfId="39974" xr:uid="{00000000-0005-0000-0000-0000339C0000}"/>
    <cellStyle name="Positive 4 2 2 2 4 2 2" xfId="39975" xr:uid="{00000000-0005-0000-0000-0000349C0000}"/>
    <cellStyle name="Positive 4 2 2 2 4 3" xfId="39976" xr:uid="{00000000-0005-0000-0000-0000359C0000}"/>
    <cellStyle name="Positive 4 2 2 2 5" xfId="39977" xr:uid="{00000000-0005-0000-0000-0000369C0000}"/>
    <cellStyle name="Positive 4 2 2 2 5 2" xfId="39978" xr:uid="{00000000-0005-0000-0000-0000379C0000}"/>
    <cellStyle name="Positive 4 2 2 2 6" xfId="39979" xr:uid="{00000000-0005-0000-0000-0000389C0000}"/>
    <cellStyle name="Positive 4 2 2 2 6 2" xfId="39980" xr:uid="{00000000-0005-0000-0000-0000399C0000}"/>
    <cellStyle name="Positive 4 2 2 2 7" xfId="39981" xr:uid="{00000000-0005-0000-0000-00003A9C0000}"/>
    <cellStyle name="Positive 4 2 2 2 7 2" xfId="39982" xr:uid="{00000000-0005-0000-0000-00003B9C0000}"/>
    <cellStyle name="Positive 4 2 2 2 8" xfId="39983" xr:uid="{00000000-0005-0000-0000-00003C9C0000}"/>
    <cellStyle name="Positive 4 2 2 2 8 2" xfId="39984" xr:uid="{00000000-0005-0000-0000-00003D9C0000}"/>
    <cellStyle name="Positive 4 2 2 2 9" xfId="39985" xr:uid="{00000000-0005-0000-0000-00003E9C0000}"/>
    <cellStyle name="Positive 4 2 2 2 9 2" xfId="39986" xr:uid="{00000000-0005-0000-0000-00003F9C0000}"/>
    <cellStyle name="Positive 4 2 2 20" xfId="39987" xr:uid="{00000000-0005-0000-0000-0000409C0000}"/>
    <cellStyle name="Positive 4 2 2 20 2" xfId="39988" xr:uid="{00000000-0005-0000-0000-0000419C0000}"/>
    <cellStyle name="Positive 4 2 2 21" xfId="39989" xr:uid="{00000000-0005-0000-0000-0000429C0000}"/>
    <cellStyle name="Positive 4 2 2 21 2" xfId="39990" xr:uid="{00000000-0005-0000-0000-0000439C0000}"/>
    <cellStyle name="Positive 4 2 2 22" xfId="39991" xr:uid="{00000000-0005-0000-0000-0000449C0000}"/>
    <cellStyle name="Positive 4 2 2 22 2" xfId="39992" xr:uid="{00000000-0005-0000-0000-0000459C0000}"/>
    <cellStyle name="Positive 4 2 2 23" xfId="39993" xr:uid="{00000000-0005-0000-0000-0000469C0000}"/>
    <cellStyle name="Positive 4 2 2 3" xfId="39994" xr:uid="{00000000-0005-0000-0000-0000479C0000}"/>
    <cellStyle name="Positive 4 2 2 3 10" xfId="39995" xr:uid="{00000000-0005-0000-0000-0000489C0000}"/>
    <cellStyle name="Positive 4 2 2 3 10 2" xfId="39996" xr:uid="{00000000-0005-0000-0000-0000499C0000}"/>
    <cellStyle name="Positive 4 2 2 3 11" xfId="39997" xr:uid="{00000000-0005-0000-0000-00004A9C0000}"/>
    <cellStyle name="Positive 4 2 2 3 11 2" xfId="39998" xr:uid="{00000000-0005-0000-0000-00004B9C0000}"/>
    <cellStyle name="Positive 4 2 2 3 12" xfId="39999" xr:uid="{00000000-0005-0000-0000-00004C9C0000}"/>
    <cellStyle name="Positive 4 2 2 3 12 2" xfId="40000" xr:uid="{00000000-0005-0000-0000-00004D9C0000}"/>
    <cellStyle name="Positive 4 2 2 3 13" xfId="40001" xr:uid="{00000000-0005-0000-0000-00004E9C0000}"/>
    <cellStyle name="Positive 4 2 2 3 13 2" xfId="40002" xr:uid="{00000000-0005-0000-0000-00004F9C0000}"/>
    <cellStyle name="Positive 4 2 2 3 14" xfId="40003" xr:uid="{00000000-0005-0000-0000-0000509C0000}"/>
    <cellStyle name="Positive 4 2 2 3 14 2" xfId="40004" xr:uid="{00000000-0005-0000-0000-0000519C0000}"/>
    <cellStyle name="Positive 4 2 2 3 15" xfId="40005" xr:uid="{00000000-0005-0000-0000-0000529C0000}"/>
    <cellStyle name="Positive 4 2 2 3 15 2" xfId="40006" xr:uid="{00000000-0005-0000-0000-0000539C0000}"/>
    <cellStyle name="Positive 4 2 2 3 16" xfId="40007" xr:uid="{00000000-0005-0000-0000-0000549C0000}"/>
    <cellStyle name="Positive 4 2 2 3 16 2" xfId="40008" xr:uid="{00000000-0005-0000-0000-0000559C0000}"/>
    <cellStyle name="Positive 4 2 2 3 17" xfId="40009" xr:uid="{00000000-0005-0000-0000-0000569C0000}"/>
    <cellStyle name="Positive 4 2 2 3 17 2" xfId="40010" xr:uid="{00000000-0005-0000-0000-0000579C0000}"/>
    <cellStyle name="Positive 4 2 2 3 18" xfId="40011" xr:uid="{00000000-0005-0000-0000-0000589C0000}"/>
    <cellStyle name="Positive 4 2 2 3 18 2" xfId="40012" xr:uid="{00000000-0005-0000-0000-0000599C0000}"/>
    <cellStyle name="Positive 4 2 2 3 19" xfId="40013" xr:uid="{00000000-0005-0000-0000-00005A9C0000}"/>
    <cellStyle name="Positive 4 2 2 3 19 2" xfId="40014" xr:uid="{00000000-0005-0000-0000-00005B9C0000}"/>
    <cellStyle name="Positive 4 2 2 3 2" xfId="40015" xr:uid="{00000000-0005-0000-0000-00005C9C0000}"/>
    <cellStyle name="Positive 4 2 2 3 2 10" xfId="40016" xr:uid="{00000000-0005-0000-0000-00005D9C0000}"/>
    <cellStyle name="Positive 4 2 2 3 2 10 2" xfId="40017" xr:uid="{00000000-0005-0000-0000-00005E9C0000}"/>
    <cellStyle name="Positive 4 2 2 3 2 11" xfId="40018" xr:uid="{00000000-0005-0000-0000-00005F9C0000}"/>
    <cellStyle name="Positive 4 2 2 3 2 11 2" xfId="40019" xr:uid="{00000000-0005-0000-0000-0000609C0000}"/>
    <cellStyle name="Positive 4 2 2 3 2 12" xfId="40020" xr:uid="{00000000-0005-0000-0000-0000619C0000}"/>
    <cellStyle name="Positive 4 2 2 3 2 12 2" xfId="40021" xr:uid="{00000000-0005-0000-0000-0000629C0000}"/>
    <cellStyle name="Positive 4 2 2 3 2 13" xfId="40022" xr:uid="{00000000-0005-0000-0000-0000639C0000}"/>
    <cellStyle name="Positive 4 2 2 3 2 13 2" xfId="40023" xr:uid="{00000000-0005-0000-0000-0000649C0000}"/>
    <cellStyle name="Positive 4 2 2 3 2 14" xfId="40024" xr:uid="{00000000-0005-0000-0000-0000659C0000}"/>
    <cellStyle name="Positive 4 2 2 3 2 14 2" xfId="40025" xr:uid="{00000000-0005-0000-0000-0000669C0000}"/>
    <cellStyle name="Positive 4 2 2 3 2 15" xfId="40026" xr:uid="{00000000-0005-0000-0000-0000679C0000}"/>
    <cellStyle name="Positive 4 2 2 3 2 15 2" xfId="40027" xr:uid="{00000000-0005-0000-0000-0000689C0000}"/>
    <cellStyle name="Positive 4 2 2 3 2 16" xfId="40028" xr:uid="{00000000-0005-0000-0000-0000699C0000}"/>
    <cellStyle name="Positive 4 2 2 3 2 16 2" xfId="40029" xr:uid="{00000000-0005-0000-0000-00006A9C0000}"/>
    <cellStyle name="Positive 4 2 2 3 2 17" xfId="40030" xr:uid="{00000000-0005-0000-0000-00006B9C0000}"/>
    <cellStyle name="Positive 4 2 2 3 2 2" xfId="40031" xr:uid="{00000000-0005-0000-0000-00006C9C0000}"/>
    <cellStyle name="Positive 4 2 2 3 2 2 2" xfId="40032" xr:uid="{00000000-0005-0000-0000-00006D9C0000}"/>
    <cellStyle name="Positive 4 2 2 3 2 3" xfId="40033" xr:uid="{00000000-0005-0000-0000-00006E9C0000}"/>
    <cellStyle name="Positive 4 2 2 3 2 3 2" xfId="40034" xr:uid="{00000000-0005-0000-0000-00006F9C0000}"/>
    <cellStyle name="Positive 4 2 2 3 2 4" xfId="40035" xr:uid="{00000000-0005-0000-0000-0000709C0000}"/>
    <cellStyle name="Positive 4 2 2 3 2 4 2" xfId="40036" xr:uid="{00000000-0005-0000-0000-0000719C0000}"/>
    <cellStyle name="Positive 4 2 2 3 2 5" xfId="40037" xr:uid="{00000000-0005-0000-0000-0000729C0000}"/>
    <cellStyle name="Positive 4 2 2 3 2 5 2" xfId="40038" xr:uid="{00000000-0005-0000-0000-0000739C0000}"/>
    <cellStyle name="Positive 4 2 2 3 2 6" xfId="40039" xr:uid="{00000000-0005-0000-0000-0000749C0000}"/>
    <cellStyle name="Positive 4 2 2 3 2 6 2" xfId="40040" xr:uid="{00000000-0005-0000-0000-0000759C0000}"/>
    <cellStyle name="Positive 4 2 2 3 2 7" xfId="40041" xr:uid="{00000000-0005-0000-0000-0000769C0000}"/>
    <cellStyle name="Positive 4 2 2 3 2 7 2" xfId="40042" xr:uid="{00000000-0005-0000-0000-0000779C0000}"/>
    <cellStyle name="Positive 4 2 2 3 2 8" xfId="40043" xr:uid="{00000000-0005-0000-0000-0000789C0000}"/>
    <cellStyle name="Positive 4 2 2 3 2 8 2" xfId="40044" xr:uid="{00000000-0005-0000-0000-0000799C0000}"/>
    <cellStyle name="Positive 4 2 2 3 2 9" xfId="40045" xr:uid="{00000000-0005-0000-0000-00007A9C0000}"/>
    <cellStyle name="Positive 4 2 2 3 2 9 2" xfId="40046" xr:uid="{00000000-0005-0000-0000-00007B9C0000}"/>
    <cellStyle name="Positive 4 2 2 3 20" xfId="40047" xr:uid="{00000000-0005-0000-0000-00007C9C0000}"/>
    <cellStyle name="Positive 4 2 2 3 3" xfId="40048" xr:uid="{00000000-0005-0000-0000-00007D9C0000}"/>
    <cellStyle name="Positive 4 2 2 3 3 2" xfId="40049" xr:uid="{00000000-0005-0000-0000-00007E9C0000}"/>
    <cellStyle name="Positive 4 2 2 3 3 2 2" xfId="40050" xr:uid="{00000000-0005-0000-0000-00007F9C0000}"/>
    <cellStyle name="Positive 4 2 2 3 3 3" xfId="40051" xr:uid="{00000000-0005-0000-0000-0000809C0000}"/>
    <cellStyle name="Positive 4 2 2 3 4" xfId="40052" xr:uid="{00000000-0005-0000-0000-0000819C0000}"/>
    <cellStyle name="Positive 4 2 2 3 4 2" xfId="40053" xr:uid="{00000000-0005-0000-0000-0000829C0000}"/>
    <cellStyle name="Positive 4 2 2 3 4 2 2" xfId="40054" xr:uid="{00000000-0005-0000-0000-0000839C0000}"/>
    <cellStyle name="Positive 4 2 2 3 4 3" xfId="40055" xr:uid="{00000000-0005-0000-0000-0000849C0000}"/>
    <cellStyle name="Positive 4 2 2 3 5" xfId="40056" xr:uid="{00000000-0005-0000-0000-0000859C0000}"/>
    <cellStyle name="Positive 4 2 2 3 5 2" xfId="40057" xr:uid="{00000000-0005-0000-0000-0000869C0000}"/>
    <cellStyle name="Positive 4 2 2 3 6" xfId="40058" xr:uid="{00000000-0005-0000-0000-0000879C0000}"/>
    <cellStyle name="Positive 4 2 2 3 6 2" xfId="40059" xr:uid="{00000000-0005-0000-0000-0000889C0000}"/>
    <cellStyle name="Positive 4 2 2 3 7" xfId="40060" xr:uid="{00000000-0005-0000-0000-0000899C0000}"/>
    <cellStyle name="Positive 4 2 2 3 7 2" xfId="40061" xr:uid="{00000000-0005-0000-0000-00008A9C0000}"/>
    <cellStyle name="Positive 4 2 2 3 8" xfId="40062" xr:uid="{00000000-0005-0000-0000-00008B9C0000}"/>
    <cellStyle name="Positive 4 2 2 3 8 2" xfId="40063" xr:uid="{00000000-0005-0000-0000-00008C9C0000}"/>
    <cellStyle name="Positive 4 2 2 3 9" xfId="40064" xr:uid="{00000000-0005-0000-0000-00008D9C0000}"/>
    <cellStyle name="Positive 4 2 2 3 9 2" xfId="40065" xr:uid="{00000000-0005-0000-0000-00008E9C0000}"/>
    <cellStyle name="Positive 4 2 2 4" xfId="40066" xr:uid="{00000000-0005-0000-0000-00008F9C0000}"/>
    <cellStyle name="Positive 4 2 2 4 10" xfId="40067" xr:uid="{00000000-0005-0000-0000-0000909C0000}"/>
    <cellStyle name="Positive 4 2 2 4 10 2" xfId="40068" xr:uid="{00000000-0005-0000-0000-0000919C0000}"/>
    <cellStyle name="Positive 4 2 2 4 11" xfId="40069" xr:uid="{00000000-0005-0000-0000-0000929C0000}"/>
    <cellStyle name="Positive 4 2 2 4 11 2" xfId="40070" xr:uid="{00000000-0005-0000-0000-0000939C0000}"/>
    <cellStyle name="Positive 4 2 2 4 12" xfId="40071" xr:uid="{00000000-0005-0000-0000-0000949C0000}"/>
    <cellStyle name="Positive 4 2 2 4 12 2" xfId="40072" xr:uid="{00000000-0005-0000-0000-0000959C0000}"/>
    <cellStyle name="Positive 4 2 2 4 13" xfId="40073" xr:uid="{00000000-0005-0000-0000-0000969C0000}"/>
    <cellStyle name="Positive 4 2 2 4 13 2" xfId="40074" xr:uid="{00000000-0005-0000-0000-0000979C0000}"/>
    <cellStyle name="Positive 4 2 2 4 14" xfId="40075" xr:uid="{00000000-0005-0000-0000-0000989C0000}"/>
    <cellStyle name="Positive 4 2 2 4 14 2" xfId="40076" xr:uid="{00000000-0005-0000-0000-0000999C0000}"/>
    <cellStyle name="Positive 4 2 2 4 15" xfId="40077" xr:uid="{00000000-0005-0000-0000-00009A9C0000}"/>
    <cellStyle name="Positive 4 2 2 4 15 2" xfId="40078" xr:uid="{00000000-0005-0000-0000-00009B9C0000}"/>
    <cellStyle name="Positive 4 2 2 4 16" xfId="40079" xr:uid="{00000000-0005-0000-0000-00009C9C0000}"/>
    <cellStyle name="Positive 4 2 2 4 16 2" xfId="40080" xr:uid="{00000000-0005-0000-0000-00009D9C0000}"/>
    <cellStyle name="Positive 4 2 2 4 17" xfId="40081" xr:uid="{00000000-0005-0000-0000-00009E9C0000}"/>
    <cellStyle name="Positive 4 2 2 4 17 2" xfId="40082" xr:uid="{00000000-0005-0000-0000-00009F9C0000}"/>
    <cellStyle name="Positive 4 2 2 4 18" xfId="40083" xr:uid="{00000000-0005-0000-0000-0000A09C0000}"/>
    <cellStyle name="Positive 4 2 2 4 18 2" xfId="40084" xr:uid="{00000000-0005-0000-0000-0000A19C0000}"/>
    <cellStyle name="Positive 4 2 2 4 19" xfId="40085" xr:uid="{00000000-0005-0000-0000-0000A29C0000}"/>
    <cellStyle name="Positive 4 2 2 4 19 2" xfId="40086" xr:uid="{00000000-0005-0000-0000-0000A39C0000}"/>
    <cellStyle name="Positive 4 2 2 4 2" xfId="40087" xr:uid="{00000000-0005-0000-0000-0000A49C0000}"/>
    <cellStyle name="Positive 4 2 2 4 2 10" xfId="40088" xr:uid="{00000000-0005-0000-0000-0000A59C0000}"/>
    <cellStyle name="Positive 4 2 2 4 2 10 2" xfId="40089" xr:uid="{00000000-0005-0000-0000-0000A69C0000}"/>
    <cellStyle name="Positive 4 2 2 4 2 11" xfId="40090" xr:uid="{00000000-0005-0000-0000-0000A79C0000}"/>
    <cellStyle name="Positive 4 2 2 4 2 11 2" xfId="40091" xr:uid="{00000000-0005-0000-0000-0000A89C0000}"/>
    <cellStyle name="Positive 4 2 2 4 2 12" xfId="40092" xr:uid="{00000000-0005-0000-0000-0000A99C0000}"/>
    <cellStyle name="Positive 4 2 2 4 2 12 2" xfId="40093" xr:uid="{00000000-0005-0000-0000-0000AA9C0000}"/>
    <cellStyle name="Positive 4 2 2 4 2 13" xfId="40094" xr:uid="{00000000-0005-0000-0000-0000AB9C0000}"/>
    <cellStyle name="Positive 4 2 2 4 2 13 2" xfId="40095" xr:uid="{00000000-0005-0000-0000-0000AC9C0000}"/>
    <cellStyle name="Positive 4 2 2 4 2 14" xfId="40096" xr:uid="{00000000-0005-0000-0000-0000AD9C0000}"/>
    <cellStyle name="Positive 4 2 2 4 2 14 2" xfId="40097" xr:uid="{00000000-0005-0000-0000-0000AE9C0000}"/>
    <cellStyle name="Positive 4 2 2 4 2 15" xfId="40098" xr:uid="{00000000-0005-0000-0000-0000AF9C0000}"/>
    <cellStyle name="Positive 4 2 2 4 2 15 2" xfId="40099" xr:uid="{00000000-0005-0000-0000-0000B09C0000}"/>
    <cellStyle name="Positive 4 2 2 4 2 16" xfId="40100" xr:uid="{00000000-0005-0000-0000-0000B19C0000}"/>
    <cellStyle name="Positive 4 2 2 4 2 16 2" xfId="40101" xr:uid="{00000000-0005-0000-0000-0000B29C0000}"/>
    <cellStyle name="Positive 4 2 2 4 2 17" xfId="40102" xr:uid="{00000000-0005-0000-0000-0000B39C0000}"/>
    <cellStyle name="Positive 4 2 2 4 2 2" xfId="40103" xr:uid="{00000000-0005-0000-0000-0000B49C0000}"/>
    <cellStyle name="Positive 4 2 2 4 2 2 2" xfId="40104" xr:uid="{00000000-0005-0000-0000-0000B59C0000}"/>
    <cellStyle name="Positive 4 2 2 4 2 3" xfId="40105" xr:uid="{00000000-0005-0000-0000-0000B69C0000}"/>
    <cellStyle name="Positive 4 2 2 4 2 3 2" xfId="40106" xr:uid="{00000000-0005-0000-0000-0000B79C0000}"/>
    <cellStyle name="Positive 4 2 2 4 2 4" xfId="40107" xr:uid="{00000000-0005-0000-0000-0000B89C0000}"/>
    <cellStyle name="Positive 4 2 2 4 2 4 2" xfId="40108" xr:uid="{00000000-0005-0000-0000-0000B99C0000}"/>
    <cellStyle name="Positive 4 2 2 4 2 5" xfId="40109" xr:uid="{00000000-0005-0000-0000-0000BA9C0000}"/>
    <cellStyle name="Positive 4 2 2 4 2 5 2" xfId="40110" xr:uid="{00000000-0005-0000-0000-0000BB9C0000}"/>
    <cellStyle name="Positive 4 2 2 4 2 6" xfId="40111" xr:uid="{00000000-0005-0000-0000-0000BC9C0000}"/>
    <cellStyle name="Positive 4 2 2 4 2 6 2" xfId="40112" xr:uid="{00000000-0005-0000-0000-0000BD9C0000}"/>
    <cellStyle name="Positive 4 2 2 4 2 7" xfId="40113" xr:uid="{00000000-0005-0000-0000-0000BE9C0000}"/>
    <cellStyle name="Positive 4 2 2 4 2 7 2" xfId="40114" xr:uid="{00000000-0005-0000-0000-0000BF9C0000}"/>
    <cellStyle name="Positive 4 2 2 4 2 8" xfId="40115" xr:uid="{00000000-0005-0000-0000-0000C09C0000}"/>
    <cellStyle name="Positive 4 2 2 4 2 8 2" xfId="40116" xr:uid="{00000000-0005-0000-0000-0000C19C0000}"/>
    <cellStyle name="Positive 4 2 2 4 2 9" xfId="40117" xr:uid="{00000000-0005-0000-0000-0000C29C0000}"/>
    <cellStyle name="Positive 4 2 2 4 2 9 2" xfId="40118" xr:uid="{00000000-0005-0000-0000-0000C39C0000}"/>
    <cellStyle name="Positive 4 2 2 4 20" xfId="40119" xr:uid="{00000000-0005-0000-0000-0000C49C0000}"/>
    <cellStyle name="Positive 4 2 2 4 3" xfId="40120" xr:uid="{00000000-0005-0000-0000-0000C59C0000}"/>
    <cellStyle name="Positive 4 2 2 4 3 2" xfId="40121" xr:uid="{00000000-0005-0000-0000-0000C69C0000}"/>
    <cellStyle name="Positive 4 2 2 4 3 2 2" xfId="40122" xr:uid="{00000000-0005-0000-0000-0000C79C0000}"/>
    <cellStyle name="Positive 4 2 2 4 3 3" xfId="40123" xr:uid="{00000000-0005-0000-0000-0000C89C0000}"/>
    <cellStyle name="Positive 4 2 2 4 4" xfId="40124" xr:uid="{00000000-0005-0000-0000-0000C99C0000}"/>
    <cellStyle name="Positive 4 2 2 4 4 2" xfId="40125" xr:uid="{00000000-0005-0000-0000-0000CA9C0000}"/>
    <cellStyle name="Positive 4 2 2 4 4 2 2" xfId="40126" xr:uid="{00000000-0005-0000-0000-0000CB9C0000}"/>
    <cellStyle name="Positive 4 2 2 4 4 3" xfId="40127" xr:uid="{00000000-0005-0000-0000-0000CC9C0000}"/>
    <cellStyle name="Positive 4 2 2 4 5" xfId="40128" xr:uid="{00000000-0005-0000-0000-0000CD9C0000}"/>
    <cellStyle name="Positive 4 2 2 4 5 2" xfId="40129" xr:uid="{00000000-0005-0000-0000-0000CE9C0000}"/>
    <cellStyle name="Positive 4 2 2 4 6" xfId="40130" xr:uid="{00000000-0005-0000-0000-0000CF9C0000}"/>
    <cellStyle name="Positive 4 2 2 4 6 2" xfId="40131" xr:uid="{00000000-0005-0000-0000-0000D09C0000}"/>
    <cellStyle name="Positive 4 2 2 4 7" xfId="40132" xr:uid="{00000000-0005-0000-0000-0000D19C0000}"/>
    <cellStyle name="Positive 4 2 2 4 7 2" xfId="40133" xr:uid="{00000000-0005-0000-0000-0000D29C0000}"/>
    <cellStyle name="Positive 4 2 2 4 8" xfId="40134" xr:uid="{00000000-0005-0000-0000-0000D39C0000}"/>
    <cellStyle name="Positive 4 2 2 4 8 2" xfId="40135" xr:uid="{00000000-0005-0000-0000-0000D49C0000}"/>
    <cellStyle name="Positive 4 2 2 4 9" xfId="40136" xr:uid="{00000000-0005-0000-0000-0000D59C0000}"/>
    <cellStyle name="Positive 4 2 2 4 9 2" xfId="40137" xr:uid="{00000000-0005-0000-0000-0000D69C0000}"/>
    <cellStyle name="Positive 4 2 2 5" xfId="40138" xr:uid="{00000000-0005-0000-0000-0000D79C0000}"/>
    <cellStyle name="Positive 4 2 2 5 10" xfId="40139" xr:uid="{00000000-0005-0000-0000-0000D89C0000}"/>
    <cellStyle name="Positive 4 2 2 5 10 2" xfId="40140" xr:uid="{00000000-0005-0000-0000-0000D99C0000}"/>
    <cellStyle name="Positive 4 2 2 5 11" xfId="40141" xr:uid="{00000000-0005-0000-0000-0000DA9C0000}"/>
    <cellStyle name="Positive 4 2 2 5 11 2" xfId="40142" xr:uid="{00000000-0005-0000-0000-0000DB9C0000}"/>
    <cellStyle name="Positive 4 2 2 5 12" xfId="40143" xr:uid="{00000000-0005-0000-0000-0000DC9C0000}"/>
    <cellStyle name="Positive 4 2 2 5 12 2" xfId="40144" xr:uid="{00000000-0005-0000-0000-0000DD9C0000}"/>
    <cellStyle name="Positive 4 2 2 5 13" xfId="40145" xr:uid="{00000000-0005-0000-0000-0000DE9C0000}"/>
    <cellStyle name="Positive 4 2 2 5 13 2" xfId="40146" xr:uid="{00000000-0005-0000-0000-0000DF9C0000}"/>
    <cellStyle name="Positive 4 2 2 5 14" xfId="40147" xr:uid="{00000000-0005-0000-0000-0000E09C0000}"/>
    <cellStyle name="Positive 4 2 2 5 14 2" xfId="40148" xr:uid="{00000000-0005-0000-0000-0000E19C0000}"/>
    <cellStyle name="Positive 4 2 2 5 15" xfId="40149" xr:uid="{00000000-0005-0000-0000-0000E29C0000}"/>
    <cellStyle name="Positive 4 2 2 5 15 2" xfId="40150" xr:uid="{00000000-0005-0000-0000-0000E39C0000}"/>
    <cellStyle name="Positive 4 2 2 5 16" xfId="40151" xr:uid="{00000000-0005-0000-0000-0000E49C0000}"/>
    <cellStyle name="Positive 4 2 2 5 16 2" xfId="40152" xr:uid="{00000000-0005-0000-0000-0000E59C0000}"/>
    <cellStyle name="Positive 4 2 2 5 17" xfId="40153" xr:uid="{00000000-0005-0000-0000-0000E69C0000}"/>
    <cellStyle name="Positive 4 2 2 5 2" xfId="40154" xr:uid="{00000000-0005-0000-0000-0000E79C0000}"/>
    <cellStyle name="Positive 4 2 2 5 2 2" xfId="40155" xr:uid="{00000000-0005-0000-0000-0000E89C0000}"/>
    <cellStyle name="Positive 4 2 2 5 3" xfId="40156" xr:uid="{00000000-0005-0000-0000-0000E99C0000}"/>
    <cellStyle name="Positive 4 2 2 5 3 2" xfId="40157" xr:uid="{00000000-0005-0000-0000-0000EA9C0000}"/>
    <cellStyle name="Positive 4 2 2 5 4" xfId="40158" xr:uid="{00000000-0005-0000-0000-0000EB9C0000}"/>
    <cellStyle name="Positive 4 2 2 5 4 2" xfId="40159" xr:uid="{00000000-0005-0000-0000-0000EC9C0000}"/>
    <cellStyle name="Positive 4 2 2 5 5" xfId="40160" xr:uid="{00000000-0005-0000-0000-0000ED9C0000}"/>
    <cellStyle name="Positive 4 2 2 5 5 2" xfId="40161" xr:uid="{00000000-0005-0000-0000-0000EE9C0000}"/>
    <cellStyle name="Positive 4 2 2 5 6" xfId="40162" xr:uid="{00000000-0005-0000-0000-0000EF9C0000}"/>
    <cellStyle name="Positive 4 2 2 5 6 2" xfId="40163" xr:uid="{00000000-0005-0000-0000-0000F09C0000}"/>
    <cellStyle name="Positive 4 2 2 5 7" xfId="40164" xr:uid="{00000000-0005-0000-0000-0000F19C0000}"/>
    <cellStyle name="Positive 4 2 2 5 7 2" xfId="40165" xr:uid="{00000000-0005-0000-0000-0000F29C0000}"/>
    <cellStyle name="Positive 4 2 2 5 8" xfId="40166" xr:uid="{00000000-0005-0000-0000-0000F39C0000}"/>
    <cellStyle name="Positive 4 2 2 5 8 2" xfId="40167" xr:uid="{00000000-0005-0000-0000-0000F49C0000}"/>
    <cellStyle name="Positive 4 2 2 5 9" xfId="40168" xr:uid="{00000000-0005-0000-0000-0000F59C0000}"/>
    <cellStyle name="Positive 4 2 2 5 9 2" xfId="40169" xr:uid="{00000000-0005-0000-0000-0000F69C0000}"/>
    <cellStyle name="Positive 4 2 2 6" xfId="40170" xr:uid="{00000000-0005-0000-0000-0000F79C0000}"/>
    <cellStyle name="Positive 4 2 2 6 2" xfId="40171" xr:uid="{00000000-0005-0000-0000-0000F89C0000}"/>
    <cellStyle name="Positive 4 2 2 6 2 2" xfId="40172" xr:uid="{00000000-0005-0000-0000-0000F99C0000}"/>
    <cellStyle name="Positive 4 2 2 6 3" xfId="40173" xr:uid="{00000000-0005-0000-0000-0000FA9C0000}"/>
    <cellStyle name="Positive 4 2 2 7" xfId="40174" xr:uid="{00000000-0005-0000-0000-0000FB9C0000}"/>
    <cellStyle name="Positive 4 2 2 7 2" xfId="40175" xr:uid="{00000000-0005-0000-0000-0000FC9C0000}"/>
    <cellStyle name="Positive 4 2 2 7 2 2" xfId="40176" xr:uid="{00000000-0005-0000-0000-0000FD9C0000}"/>
    <cellStyle name="Positive 4 2 2 7 3" xfId="40177" xr:uid="{00000000-0005-0000-0000-0000FE9C0000}"/>
    <cellStyle name="Positive 4 2 2 8" xfId="40178" xr:uid="{00000000-0005-0000-0000-0000FF9C0000}"/>
    <cellStyle name="Positive 4 2 2 8 2" xfId="40179" xr:uid="{00000000-0005-0000-0000-0000009D0000}"/>
    <cellStyle name="Positive 4 2 2 9" xfId="40180" xr:uid="{00000000-0005-0000-0000-0000019D0000}"/>
    <cellStyle name="Positive 4 2 2 9 2" xfId="40181" xr:uid="{00000000-0005-0000-0000-0000029D0000}"/>
    <cellStyle name="Positive 4 2 20" xfId="40182" xr:uid="{00000000-0005-0000-0000-0000039D0000}"/>
    <cellStyle name="Positive 4 2 20 10" xfId="40183" xr:uid="{00000000-0005-0000-0000-0000049D0000}"/>
    <cellStyle name="Positive 4 2 20 10 2" xfId="40184" xr:uid="{00000000-0005-0000-0000-0000059D0000}"/>
    <cellStyle name="Positive 4 2 20 11" xfId="40185" xr:uid="{00000000-0005-0000-0000-0000069D0000}"/>
    <cellStyle name="Positive 4 2 20 11 2" xfId="40186" xr:uid="{00000000-0005-0000-0000-0000079D0000}"/>
    <cellStyle name="Positive 4 2 20 12" xfId="40187" xr:uid="{00000000-0005-0000-0000-0000089D0000}"/>
    <cellStyle name="Positive 4 2 20 12 2" xfId="40188" xr:uid="{00000000-0005-0000-0000-0000099D0000}"/>
    <cellStyle name="Positive 4 2 20 13" xfId="40189" xr:uid="{00000000-0005-0000-0000-00000A9D0000}"/>
    <cellStyle name="Positive 4 2 20 13 2" xfId="40190" xr:uid="{00000000-0005-0000-0000-00000B9D0000}"/>
    <cellStyle name="Positive 4 2 20 14" xfId="40191" xr:uid="{00000000-0005-0000-0000-00000C9D0000}"/>
    <cellStyle name="Positive 4 2 20 14 2" xfId="40192" xr:uid="{00000000-0005-0000-0000-00000D9D0000}"/>
    <cellStyle name="Positive 4 2 20 15" xfId="40193" xr:uid="{00000000-0005-0000-0000-00000E9D0000}"/>
    <cellStyle name="Positive 4 2 20 15 2" xfId="40194" xr:uid="{00000000-0005-0000-0000-00000F9D0000}"/>
    <cellStyle name="Positive 4 2 20 16" xfId="40195" xr:uid="{00000000-0005-0000-0000-0000109D0000}"/>
    <cellStyle name="Positive 4 2 20 16 2" xfId="40196" xr:uid="{00000000-0005-0000-0000-0000119D0000}"/>
    <cellStyle name="Positive 4 2 20 17" xfId="40197" xr:uid="{00000000-0005-0000-0000-0000129D0000}"/>
    <cellStyle name="Positive 4 2 20 2" xfId="40198" xr:uid="{00000000-0005-0000-0000-0000139D0000}"/>
    <cellStyle name="Positive 4 2 20 2 2" xfId="40199" xr:uid="{00000000-0005-0000-0000-0000149D0000}"/>
    <cellStyle name="Positive 4 2 20 3" xfId="40200" xr:uid="{00000000-0005-0000-0000-0000159D0000}"/>
    <cellStyle name="Positive 4 2 20 3 2" xfId="40201" xr:uid="{00000000-0005-0000-0000-0000169D0000}"/>
    <cellStyle name="Positive 4 2 20 4" xfId="40202" xr:uid="{00000000-0005-0000-0000-0000179D0000}"/>
    <cellStyle name="Positive 4 2 20 4 2" xfId="40203" xr:uid="{00000000-0005-0000-0000-0000189D0000}"/>
    <cellStyle name="Positive 4 2 20 5" xfId="40204" xr:uid="{00000000-0005-0000-0000-0000199D0000}"/>
    <cellStyle name="Positive 4 2 20 5 2" xfId="40205" xr:uid="{00000000-0005-0000-0000-00001A9D0000}"/>
    <cellStyle name="Positive 4 2 20 6" xfId="40206" xr:uid="{00000000-0005-0000-0000-00001B9D0000}"/>
    <cellStyle name="Positive 4 2 20 6 2" xfId="40207" xr:uid="{00000000-0005-0000-0000-00001C9D0000}"/>
    <cellStyle name="Positive 4 2 20 7" xfId="40208" xr:uid="{00000000-0005-0000-0000-00001D9D0000}"/>
    <cellStyle name="Positive 4 2 20 7 2" xfId="40209" xr:uid="{00000000-0005-0000-0000-00001E9D0000}"/>
    <cellStyle name="Positive 4 2 20 8" xfId="40210" xr:uid="{00000000-0005-0000-0000-00001F9D0000}"/>
    <cellStyle name="Positive 4 2 20 8 2" xfId="40211" xr:uid="{00000000-0005-0000-0000-0000209D0000}"/>
    <cellStyle name="Positive 4 2 20 9" xfId="40212" xr:uid="{00000000-0005-0000-0000-0000219D0000}"/>
    <cellStyle name="Positive 4 2 20 9 2" xfId="40213" xr:uid="{00000000-0005-0000-0000-0000229D0000}"/>
    <cellStyle name="Positive 4 2 21" xfId="40214" xr:uid="{00000000-0005-0000-0000-0000239D0000}"/>
    <cellStyle name="Positive 4 2 21 2" xfId="40215" xr:uid="{00000000-0005-0000-0000-0000249D0000}"/>
    <cellStyle name="Positive 4 2 21 2 2" xfId="40216" xr:uid="{00000000-0005-0000-0000-0000259D0000}"/>
    <cellStyle name="Positive 4 2 21 3" xfId="40217" xr:uid="{00000000-0005-0000-0000-0000269D0000}"/>
    <cellStyle name="Positive 4 2 22" xfId="40218" xr:uid="{00000000-0005-0000-0000-0000279D0000}"/>
    <cellStyle name="Positive 4 2 22 2" xfId="40219" xr:uid="{00000000-0005-0000-0000-0000289D0000}"/>
    <cellStyle name="Positive 4 2 22 2 2" xfId="40220" xr:uid="{00000000-0005-0000-0000-0000299D0000}"/>
    <cellStyle name="Positive 4 2 22 3" xfId="40221" xr:uid="{00000000-0005-0000-0000-00002A9D0000}"/>
    <cellStyle name="Positive 4 2 23" xfId="40222" xr:uid="{00000000-0005-0000-0000-00002B9D0000}"/>
    <cellStyle name="Positive 4 2 23 2" xfId="40223" xr:uid="{00000000-0005-0000-0000-00002C9D0000}"/>
    <cellStyle name="Positive 4 2 24" xfId="40224" xr:uid="{00000000-0005-0000-0000-00002D9D0000}"/>
    <cellStyle name="Positive 4 2 24 2" xfId="40225" xr:uid="{00000000-0005-0000-0000-00002E9D0000}"/>
    <cellStyle name="Positive 4 2 25" xfId="40226" xr:uid="{00000000-0005-0000-0000-00002F9D0000}"/>
    <cellStyle name="Positive 4 2 25 2" xfId="40227" xr:uid="{00000000-0005-0000-0000-0000309D0000}"/>
    <cellStyle name="Positive 4 2 26" xfId="40228" xr:uid="{00000000-0005-0000-0000-0000319D0000}"/>
    <cellStyle name="Positive 4 2 26 2" xfId="40229" xr:uid="{00000000-0005-0000-0000-0000329D0000}"/>
    <cellStyle name="Positive 4 2 27" xfId="40230" xr:uid="{00000000-0005-0000-0000-0000339D0000}"/>
    <cellStyle name="Positive 4 2 27 2" xfId="40231" xr:uid="{00000000-0005-0000-0000-0000349D0000}"/>
    <cellStyle name="Positive 4 2 28" xfId="40232" xr:uid="{00000000-0005-0000-0000-0000359D0000}"/>
    <cellStyle name="Positive 4 2 28 2" xfId="40233" xr:uid="{00000000-0005-0000-0000-0000369D0000}"/>
    <cellStyle name="Positive 4 2 29" xfId="40234" xr:uid="{00000000-0005-0000-0000-0000379D0000}"/>
    <cellStyle name="Positive 4 2 29 2" xfId="40235" xr:uid="{00000000-0005-0000-0000-0000389D0000}"/>
    <cellStyle name="Positive 4 2 3" xfId="40236" xr:uid="{00000000-0005-0000-0000-0000399D0000}"/>
    <cellStyle name="Positive 4 2 3 10" xfId="40237" xr:uid="{00000000-0005-0000-0000-00003A9D0000}"/>
    <cellStyle name="Positive 4 2 3 10 2" xfId="40238" xr:uid="{00000000-0005-0000-0000-00003B9D0000}"/>
    <cellStyle name="Positive 4 2 3 11" xfId="40239" xr:uid="{00000000-0005-0000-0000-00003C9D0000}"/>
    <cellStyle name="Positive 4 2 3 11 2" xfId="40240" xr:uid="{00000000-0005-0000-0000-00003D9D0000}"/>
    <cellStyle name="Positive 4 2 3 12" xfId="40241" xr:uid="{00000000-0005-0000-0000-00003E9D0000}"/>
    <cellStyle name="Positive 4 2 3 12 2" xfId="40242" xr:uid="{00000000-0005-0000-0000-00003F9D0000}"/>
    <cellStyle name="Positive 4 2 3 13" xfId="40243" xr:uid="{00000000-0005-0000-0000-0000409D0000}"/>
    <cellStyle name="Positive 4 2 3 13 2" xfId="40244" xr:uid="{00000000-0005-0000-0000-0000419D0000}"/>
    <cellStyle name="Positive 4 2 3 14" xfId="40245" xr:uid="{00000000-0005-0000-0000-0000429D0000}"/>
    <cellStyle name="Positive 4 2 3 14 2" xfId="40246" xr:uid="{00000000-0005-0000-0000-0000439D0000}"/>
    <cellStyle name="Positive 4 2 3 15" xfId="40247" xr:uid="{00000000-0005-0000-0000-0000449D0000}"/>
    <cellStyle name="Positive 4 2 3 15 2" xfId="40248" xr:uid="{00000000-0005-0000-0000-0000459D0000}"/>
    <cellStyle name="Positive 4 2 3 16" xfId="40249" xr:uid="{00000000-0005-0000-0000-0000469D0000}"/>
    <cellStyle name="Positive 4 2 3 16 2" xfId="40250" xr:uid="{00000000-0005-0000-0000-0000479D0000}"/>
    <cellStyle name="Positive 4 2 3 17" xfId="40251" xr:uid="{00000000-0005-0000-0000-0000489D0000}"/>
    <cellStyle name="Positive 4 2 3 17 2" xfId="40252" xr:uid="{00000000-0005-0000-0000-0000499D0000}"/>
    <cellStyle name="Positive 4 2 3 18" xfId="40253" xr:uid="{00000000-0005-0000-0000-00004A9D0000}"/>
    <cellStyle name="Positive 4 2 3 18 2" xfId="40254" xr:uid="{00000000-0005-0000-0000-00004B9D0000}"/>
    <cellStyle name="Positive 4 2 3 19" xfId="40255" xr:uid="{00000000-0005-0000-0000-00004C9D0000}"/>
    <cellStyle name="Positive 4 2 3 19 2" xfId="40256" xr:uid="{00000000-0005-0000-0000-00004D9D0000}"/>
    <cellStyle name="Positive 4 2 3 2" xfId="40257" xr:uid="{00000000-0005-0000-0000-00004E9D0000}"/>
    <cellStyle name="Positive 4 2 3 2 10" xfId="40258" xr:uid="{00000000-0005-0000-0000-00004F9D0000}"/>
    <cellStyle name="Positive 4 2 3 2 10 2" xfId="40259" xr:uid="{00000000-0005-0000-0000-0000509D0000}"/>
    <cellStyle name="Positive 4 2 3 2 11" xfId="40260" xr:uid="{00000000-0005-0000-0000-0000519D0000}"/>
    <cellStyle name="Positive 4 2 3 2 11 2" xfId="40261" xr:uid="{00000000-0005-0000-0000-0000529D0000}"/>
    <cellStyle name="Positive 4 2 3 2 12" xfId="40262" xr:uid="{00000000-0005-0000-0000-0000539D0000}"/>
    <cellStyle name="Positive 4 2 3 2 12 2" xfId="40263" xr:uid="{00000000-0005-0000-0000-0000549D0000}"/>
    <cellStyle name="Positive 4 2 3 2 13" xfId="40264" xr:uid="{00000000-0005-0000-0000-0000559D0000}"/>
    <cellStyle name="Positive 4 2 3 2 13 2" xfId="40265" xr:uid="{00000000-0005-0000-0000-0000569D0000}"/>
    <cellStyle name="Positive 4 2 3 2 14" xfId="40266" xr:uid="{00000000-0005-0000-0000-0000579D0000}"/>
    <cellStyle name="Positive 4 2 3 2 14 2" xfId="40267" xr:uid="{00000000-0005-0000-0000-0000589D0000}"/>
    <cellStyle name="Positive 4 2 3 2 15" xfId="40268" xr:uid="{00000000-0005-0000-0000-0000599D0000}"/>
    <cellStyle name="Positive 4 2 3 2 15 2" xfId="40269" xr:uid="{00000000-0005-0000-0000-00005A9D0000}"/>
    <cellStyle name="Positive 4 2 3 2 16" xfId="40270" xr:uid="{00000000-0005-0000-0000-00005B9D0000}"/>
    <cellStyle name="Positive 4 2 3 2 16 2" xfId="40271" xr:uid="{00000000-0005-0000-0000-00005C9D0000}"/>
    <cellStyle name="Positive 4 2 3 2 17" xfId="40272" xr:uid="{00000000-0005-0000-0000-00005D9D0000}"/>
    <cellStyle name="Positive 4 2 3 2 17 2" xfId="40273" xr:uid="{00000000-0005-0000-0000-00005E9D0000}"/>
    <cellStyle name="Positive 4 2 3 2 18" xfId="40274" xr:uid="{00000000-0005-0000-0000-00005F9D0000}"/>
    <cellStyle name="Positive 4 2 3 2 18 2" xfId="40275" xr:uid="{00000000-0005-0000-0000-0000609D0000}"/>
    <cellStyle name="Positive 4 2 3 2 19" xfId="40276" xr:uid="{00000000-0005-0000-0000-0000619D0000}"/>
    <cellStyle name="Positive 4 2 3 2 19 2" xfId="40277" xr:uid="{00000000-0005-0000-0000-0000629D0000}"/>
    <cellStyle name="Positive 4 2 3 2 2" xfId="40278" xr:uid="{00000000-0005-0000-0000-0000639D0000}"/>
    <cellStyle name="Positive 4 2 3 2 2 10" xfId="40279" xr:uid="{00000000-0005-0000-0000-0000649D0000}"/>
    <cellStyle name="Positive 4 2 3 2 2 10 2" xfId="40280" xr:uid="{00000000-0005-0000-0000-0000659D0000}"/>
    <cellStyle name="Positive 4 2 3 2 2 11" xfId="40281" xr:uid="{00000000-0005-0000-0000-0000669D0000}"/>
    <cellStyle name="Positive 4 2 3 2 2 11 2" xfId="40282" xr:uid="{00000000-0005-0000-0000-0000679D0000}"/>
    <cellStyle name="Positive 4 2 3 2 2 12" xfId="40283" xr:uid="{00000000-0005-0000-0000-0000689D0000}"/>
    <cellStyle name="Positive 4 2 3 2 2 12 2" xfId="40284" xr:uid="{00000000-0005-0000-0000-0000699D0000}"/>
    <cellStyle name="Positive 4 2 3 2 2 13" xfId="40285" xr:uid="{00000000-0005-0000-0000-00006A9D0000}"/>
    <cellStyle name="Positive 4 2 3 2 2 13 2" xfId="40286" xr:uid="{00000000-0005-0000-0000-00006B9D0000}"/>
    <cellStyle name="Positive 4 2 3 2 2 14" xfId="40287" xr:uid="{00000000-0005-0000-0000-00006C9D0000}"/>
    <cellStyle name="Positive 4 2 3 2 2 14 2" xfId="40288" xr:uid="{00000000-0005-0000-0000-00006D9D0000}"/>
    <cellStyle name="Positive 4 2 3 2 2 15" xfId="40289" xr:uid="{00000000-0005-0000-0000-00006E9D0000}"/>
    <cellStyle name="Positive 4 2 3 2 2 15 2" xfId="40290" xr:uid="{00000000-0005-0000-0000-00006F9D0000}"/>
    <cellStyle name="Positive 4 2 3 2 2 16" xfId="40291" xr:uid="{00000000-0005-0000-0000-0000709D0000}"/>
    <cellStyle name="Positive 4 2 3 2 2 16 2" xfId="40292" xr:uid="{00000000-0005-0000-0000-0000719D0000}"/>
    <cellStyle name="Positive 4 2 3 2 2 17" xfId="40293" xr:uid="{00000000-0005-0000-0000-0000729D0000}"/>
    <cellStyle name="Positive 4 2 3 2 2 2" xfId="40294" xr:uid="{00000000-0005-0000-0000-0000739D0000}"/>
    <cellStyle name="Positive 4 2 3 2 2 2 2" xfId="40295" xr:uid="{00000000-0005-0000-0000-0000749D0000}"/>
    <cellStyle name="Positive 4 2 3 2 2 3" xfId="40296" xr:uid="{00000000-0005-0000-0000-0000759D0000}"/>
    <cellStyle name="Positive 4 2 3 2 2 3 2" xfId="40297" xr:uid="{00000000-0005-0000-0000-0000769D0000}"/>
    <cellStyle name="Positive 4 2 3 2 2 4" xfId="40298" xr:uid="{00000000-0005-0000-0000-0000779D0000}"/>
    <cellStyle name="Positive 4 2 3 2 2 4 2" xfId="40299" xr:uid="{00000000-0005-0000-0000-0000789D0000}"/>
    <cellStyle name="Positive 4 2 3 2 2 5" xfId="40300" xr:uid="{00000000-0005-0000-0000-0000799D0000}"/>
    <cellStyle name="Positive 4 2 3 2 2 5 2" xfId="40301" xr:uid="{00000000-0005-0000-0000-00007A9D0000}"/>
    <cellStyle name="Positive 4 2 3 2 2 6" xfId="40302" xr:uid="{00000000-0005-0000-0000-00007B9D0000}"/>
    <cellStyle name="Positive 4 2 3 2 2 6 2" xfId="40303" xr:uid="{00000000-0005-0000-0000-00007C9D0000}"/>
    <cellStyle name="Positive 4 2 3 2 2 7" xfId="40304" xr:uid="{00000000-0005-0000-0000-00007D9D0000}"/>
    <cellStyle name="Positive 4 2 3 2 2 7 2" xfId="40305" xr:uid="{00000000-0005-0000-0000-00007E9D0000}"/>
    <cellStyle name="Positive 4 2 3 2 2 8" xfId="40306" xr:uid="{00000000-0005-0000-0000-00007F9D0000}"/>
    <cellStyle name="Positive 4 2 3 2 2 8 2" xfId="40307" xr:uid="{00000000-0005-0000-0000-0000809D0000}"/>
    <cellStyle name="Positive 4 2 3 2 2 9" xfId="40308" xr:uid="{00000000-0005-0000-0000-0000819D0000}"/>
    <cellStyle name="Positive 4 2 3 2 2 9 2" xfId="40309" xr:uid="{00000000-0005-0000-0000-0000829D0000}"/>
    <cellStyle name="Positive 4 2 3 2 20" xfId="40310" xr:uid="{00000000-0005-0000-0000-0000839D0000}"/>
    <cellStyle name="Positive 4 2 3 2 3" xfId="40311" xr:uid="{00000000-0005-0000-0000-0000849D0000}"/>
    <cellStyle name="Positive 4 2 3 2 3 2" xfId="40312" xr:uid="{00000000-0005-0000-0000-0000859D0000}"/>
    <cellStyle name="Positive 4 2 3 2 3 2 2" xfId="40313" xr:uid="{00000000-0005-0000-0000-0000869D0000}"/>
    <cellStyle name="Positive 4 2 3 2 3 3" xfId="40314" xr:uid="{00000000-0005-0000-0000-0000879D0000}"/>
    <cellStyle name="Positive 4 2 3 2 4" xfId="40315" xr:uid="{00000000-0005-0000-0000-0000889D0000}"/>
    <cellStyle name="Positive 4 2 3 2 4 2" xfId="40316" xr:uid="{00000000-0005-0000-0000-0000899D0000}"/>
    <cellStyle name="Positive 4 2 3 2 4 2 2" xfId="40317" xr:uid="{00000000-0005-0000-0000-00008A9D0000}"/>
    <cellStyle name="Positive 4 2 3 2 4 3" xfId="40318" xr:uid="{00000000-0005-0000-0000-00008B9D0000}"/>
    <cellStyle name="Positive 4 2 3 2 5" xfId="40319" xr:uid="{00000000-0005-0000-0000-00008C9D0000}"/>
    <cellStyle name="Positive 4 2 3 2 5 2" xfId="40320" xr:uid="{00000000-0005-0000-0000-00008D9D0000}"/>
    <cellStyle name="Positive 4 2 3 2 6" xfId="40321" xr:uid="{00000000-0005-0000-0000-00008E9D0000}"/>
    <cellStyle name="Positive 4 2 3 2 6 2" xfId="40322" xr:uid="{00000000-0005-0000-0000-00008F9D0000}"/>
    <cellStyle name="Positive 4 2 3 2 7" xfId="40323" xr:uid="{00000000-0005-0000-0000-0000909D0000}"/>
    <cellStyle name="Positive 4 2 3 2 7 2" xfId="40324" xr:uid="{00000000-0005-0000-0000-0000919D0000}"/>
    <cellStyle name="Positive 4 2 3 2 8" xfId="40325" xr:uid="{00000000-0005-0000-0000-0000929D0000}"/>
    <cellStyle name="Positive 4 2 3 2 8 2" xfId="40326" xr:uid="{00000000-0005-0000-0000-0000939D0000}"/>
    <cellStyle name="Positive 4 2 3 2 9" xfId="40327" xr:uid="{00000000-0005-0000-0000-0000949D0000}"/>
    <cellStyle name="Positive 4 2 3 2 9 2" xfId="40328" xr:uid="{00000000-0005-0000-0000-0000959D0000}"/>
    <cellStyle name="Positive 4 2 3 20" xfId="40329" xr:uid="{00000000-0005-0000-0000-0000969D0000}"/>
    <cellStyle name="Positive 4 2 3 20 2" xfId="40330" xr:uid="{00000000-0005-0000-0000-0000979D0000}"/>
    <cellStyle name="Positive 4 2 3 21" xfId="40331" xr:uid="{00000000-0005-0000-0000-0000989D0000}"/>
    <cellStyle name="Positive 4 2 3 21 2" xfId="40332" xr:uid="{00000000-0005-0000-0000-0000999D0000}"/>
    <cellStyle name="Positive 4 2 3 22" xfId="40333" xr:uid="{00000000-0005-0000-0000-00009A9D0000}"/>
    <cellStyle name="Positive 4 2 3 22 2" xfId="40334" xr:uid="{00000000-0005-0000-0000-00009B9D0000}"/>
    <cellStyle name="Positive 4 2 3 23" xfId="40335" xr:uid="{00000000-0005-0000-0000-00009C9D0000}"/>
    <cellStyle name="Positive 4 2 3 3" xfId="40336" xr:uid="{00000000-0005-0000-0000-00009D9D0000}"/>
    <cellStyle name="Positive 4 2 3 3 10" xfId="40337" xr:uid="{00000000-0005-0000-0000-00009E9D0000}"/>
    <cellStyle name="Positive 4 2 3 3 10 2" xfId="40338" xr:uid="{00000000-0005-0000-0000-00009F9D0000}"/>
    <cellStyle name="Positive 4 2 3 3 11" xfId="40339" xr:uid="{00000000-0005-0000-0000-0000A09D0000}"/>
    <cellStyle name="Positive 4 2 3 3 11 2" xfId="40340" xr:uid="{00000000-0005-0000-0000-0000A19D0000}"/>
    <cellStyle name="Positive 4 2 3 3 12" xfId="40341" xr:uid="{00000000-0005-0000-0000-0000A29D0000}"/>
    <cellStyle name="Positive 4 2 3 3 12 2" xfId="40342" xr:uid="{00000000-0005-0000-0000-0000A39D0000}"/>
    <cellStyle name="Positive 4 2 3 3 13" xfId="40343" xr:uid="{00000000-0005-0000-0000-0000A49D0000}"/>
    <cellStyle name="Positive 4 2 3 3 13 2" xfId="40344" xr:uid="{00000000-0005-0000-0000-0000A59D0000}"/>
    <cellStyle name="Positive 4 2 3 3 14" xfId="40345" xr:uid="{00000000-0005-0000-0000-0000A69D0000}"/>
    <cellStyle name="Positive 4 2 3 3 14 2" xfId="40346" xr:uid="{00000000-0005-0000-0000-0000A79D0000}"/>
    <cellStyle name="Positive 4 2 3 3 15" xfId="40347" xr:uid="{00000000-0005-0000-0000-0000A89D0000}"/>
    <cellStyle name="Positive 4 2 3 3 15 2" xfId="40348" xr:uid="{00000000-0005-0000-0000-0000A99D0000}"/>
    <cellStyle name="Positive 4 2 3 3 16" xfId="40349" xr:uid="{00000000-0005-0000-0000-0000AA9D0000}"/>
    <cellStyle name="Positive 4 2 3 3 16 2" xfId="40350" xr:uid="{00000000-0005-0000-0000-0000AB9D0000}"/>
    <cellStyle name="Positive 4 2 3 3 17" xfId="40351" xr:uid="{00000000-0005-0000-0000-0000AC9D0000}"/>
    <cellStyle name="Positive 4 2 3 3 17 2" xfId="40352" xr:uid="{00000000-0005-0000-0000-0000AD9D0000}"/>
    <cellStyle name="Positive 4 2 3 3 18" xfId="40353" xr:uid="{00000000-0005-0000-0000-0000AE9D0000}"/>
    <cellStyle name="Positive 4 2 3 3 18 2" xfId="40354" xr:uid="{00000000-0005-0000-0000-0000AF9D0000}"/>
    <cellStyle name="Positive 4 2 3 3 19" xfId="40355" xr:uid="{00000000-0005-0000-0000-0000B09D0000}"/>
    <cellStyle name="Positive 4 2 3 3 19 2" xfId="40356" xr:uid="{00000000-0005-0000-0000-0000B19D0000}"/>
    <cellStyle name="Positive 4 2 3 3 2" xfId="40357" xr:uid="{00000000-0005-0000-0000-0000B29D0000}"/>
    <cellStyle name="Positive 4 2 3 3 2 10" xfId="40358" xr:uid="{00000000-0005-0000-0000-0000B39D0000}"/>
    <cellStyle name="Positive 4 2 3 3 2 10 2" xfId="40359" xr:uid="{00000000-0005-0000-0000-0000B49D0000}"/>
    <cellStyle name="Positive 4 2 3 3 2 11" xfId="40360" xr:uid="{00000000-0005-0000-0000-0000B59D0000}"/>
    <cellStyle name="Positive 4 2 3 3 2 11 2" xfId="40361" xr:uid="{00000000-0005-0000-0000-0000B69D0000}"/>
    <cellStyle name="Positive 4 2 3 3 2 12" xfId="40362" xr:uid="{00000000-0005-0000-0000-0000B79D0000}"/>
    <cellStyle name="Positive 4 2 3 3 2 12 2" xfId="40363" xr:uid="{00000000-0005-0000-0000-0000B89D0000}"/>
    <cellStyle name="Positive 4 2 3 3 2 13" xfId="40364" xr:uid="{00000000-0005-0000-0000-0000B99D0000}"/>
    <cellStyle name="Positive 4 2 3 3 2 13 2" xfId="40365" xr:uid="{00000000-0005-0000-0000-0000BA9D0000}"/>
    <cellStyle name="Positive 4 2 3 3 2 14" xfId="40366" xr:uid="{00000000-0005-0000-0000-0000BB9D0000}"/>
    <cellStyle name="Positive 4 2 3 3 2 14 2" xfId="40367" xr:uid="{00000000-0005-0000-0000-0000BC9D0000}"/>
    <cellStyle name="Positive 4 2 3 3 2 15" xfId="40368" xr:uid="{00000000-0005-0000-0000-0000BD9D0000}"/>
    <cellStyle name="Positive 4 2 3 3 2 15 2" xfId="40369" xr:uid="{00000000-0005-0000-0000-0000BE9D0000}"/>
    <cellStyle name="Positive 4 2 3 3 2 16" xfId="40370" xr:uid="{00000000-0005-0000-0000-0000BF9D0000}"/>
    <cellStyle name="Positive 4 2 3 3 2 16 2" xfId="40371" xr:uid="{00000000-0005-0000-0000-0000C09D0000}"/>
    <cellStyle name="Positive 4 2 3 3 2 17" xfId="40372" xr:uid="{00000000-0005-0000-0000-0000C19D0000}"/>
    <cellStyle name="Positive 4 2 3 3 2 2" xfId="40373" xr:uid="{00000000-0005-0000-0000-0000C29D0000}"/>
    <cellStyle name="Positive 4 2 3 3 2 2 2" xfId="40374" xr:uid="{00000000-0005-0000-0000-0000C39D0000}"/>
    <cellStyle name="Positive 4 2 3 3 2 3" xfId="40375" xr:uid="{00000000-0005-0000-0000-0000C49D0000}"/>
    <cellStyle name="Positive 4 2 3 3 2 3 2" xfId="40376" xr:uid="{00000000-0005-0000-0000-0000C59D0000}"/>
    <cellStyle name="Positive 4 2 3 3 2 4" xfId="40377" xr:uid="{00000000-0005-0000-0000-0000C69D0000}"/>
    <cellStyle name="Positive 4 2 3 3 2 4 2" xfId="40378" xr:uid="{00000000-0005-0000-0000-0000C79D0000}"/>
    <cellStyle name="Positive 4 2 3 3 2 5" xfId="40379" xr:uid="{00000000-0005-0000-0000-0000C89D0000}"/>
    <cellStyle name="Positive 4 2 3 3 2 5 2" xfId="40380" xr:uid="{00000000-0005-0000-0000-0000C99D0000}"/>
    <cellStyle name="Positive 4 2 3 3 2 6" xfId="40381" xr:uid="{00000000-0005-0000-0000-0000CA9D0000}"/>
    <cellStyle name="Positive 4 2 3 3 2 6 2" xfId="40382" xr:uid="{00000000-0005-0000-0000-0000CB9D0000}"/>
    <cellStyle name="Positive 4 2 3 3 2 7" xfId="40383" xr:uid="{00000000-0005-0000-0000-0000CC9D0000}"/>
    <cellStyle name="Positive 4 2 3 3 2 7 2" xfId="40384" xr:uid="{00000000-0005-0000-0000-0000CD9D0000}"/>
    <cellStyle name="Positive 4 2 3 3 2 8" xfId="40385" xr:uid="{00000000-0005-0000-0000-0000CE9D0000}"/>
    <cellStyle name="Positive 4 2 3 3 2 8 2" xfId="40386" xr:uid="{00000000-0005-0000-0000-0000CF9D0000}"/>
    <cellStyle name="Positive 4 2 3 3 2 9" xfId="40387" xr:uid="{00000000-0005-0000-0000-0000D09D0000}"/>
    <cellStyle name="Positive 4 2 3 3 2 9 2" xfId="40388" xr:uid="{00000000-0005-0000-0000-0000D19D0000}"/>
    <cellStyle name="Positive 4 2 3 3 20" xfId="40389" xr:uid="{00000000-0005-0000-0000-0000D29D0000}"/>
    <cellStyle name="Positive 4 2 3 3 3" xfId="40390" xr:uid="{00000000-0005-0000-0000-0000D39D0000}"/>
    <cellStyle name="Positive 4 2 3 3 3 2" xfId="40391" xr:uid="{00000000-0005-0000-0000-0000D49D0000}"/>
    <cellStyle name="Positive 4 2 3 3 3 2 2" xfId="40392" xr:uid="{00000000-0005-0000-0000-0000D59D0000}"/>
    <cellStyle name="Positive 4 2 3 3 3 3" xfId="40393" xr:uid="{00000000-0005-0000-0000-0000D69D0000}"/>
    <cellStyle name="Positive 4 2 3 3 4" xfId="40394" xr:uid="{00000000-0005-0000-0000-0000D79D0000}"/>
    <cellStyle name="Positive 4 2 3 3 4 2" xfId="40395" xr:uid="{00000000-0005-0000-0000-0000D89D0000}"/>
    <cellStyle name="Positive 4 2 3 3 4 2 2" xfId="40396" xr:uid="{00000000-0005-0000-0000-0000D99D0000}"/>
    <cellStyle name="Positive 4 2 3 3 4 3" xfId="40397" xr:uid="{00000000-0005-0000-0000-0000DA9D0000}"/>
    <cellStyle name="Positive 4 2 3 3 5" xfId="40398" xr:uid="{00000000-0005-0000-0000-0000DB9D0000}"/>
    <cellStyle name="Positive 4 2 3 3 5 2" xfId="40399" xr:uid="{00000000-0005-0000-0000-0000DC9D0000}"/>
    <cellStyle name="Positive 4 2 3 3 6" xfId="40400" xr:uid="{00000000-0005-0000-0000-0000DD9D0000}"/>
    <cellStyle name="Positive 4 2 3 3 6 2" xfId="40401" xr:uid="{00000000-0005-0000-0000-0000DE9D0000}"/>
    <cellStyle name="Positive 4 2 3 3 7" xfId="40402" xr:uid="{00000000-0005-0000-0000-0000DF9D0000}"/>
    <cellStyle name="Positive 4 2 3 3 7 2" xfId="40403" xr:uid="{00000000-0005-0000-0000-0000E09D0000}"/>
    <cellStyle name="Positive 4 2 3 3 8" xfId="40404" xr:uid="{00000000-0005-0000-0000-0000E19D0000}"/>
    <cellStyle name="Positive 4 2 3 3 8 2" xfId="40405" xr:uid="{00000000-0005-0000-0000-0000E29D0000}"/>
    <cellStyle name="Positive 4 2 3 3 9" xfId="40406" xr:uid="{00000000-0005-0000-0000-0000E39D0000}"/>
    <cellStyle name="Positive 4 2 3 3 9 2" xfId="40407" xr:uid="{00000000-0005-0000-0000-0000E49D0000}"/>
    <cellStyle name="Positive 4 2 3 4" xfId="40408" xr:uid="{00000000-0005-0000-0000-0000E59D0000}"/>
    <cellStyle name="Positive 4 2 3 4 10" xfId="40409" xr:uid="{00000000-0005-0000-0000-0000E69D0000}"/>
    <cellStyle name="Positive 4 2 3 4 10 2" xfId="40410" xr:uid="{00000000-0005-0000-0000-0000E79D0000}"/>
    <cellStyle name="Positive 4 2 3 4 11" xfId="40411" xr:uid="{00000000-0005-0000-0000-0000E89D0000}"/>
    <cellStyle name="Positive 4 2 3 4 11 2" xfId="40412" xr:uid="{00000000-0005-0000-0000-0000E99D0000}"/>
    <cellStyle name="Positive 4 2 3 4 12" xfId="40413" xr:uid="{00000000-0005-0000-0000-0000EA9D0000}"/>
    <cellStyle name="Positive 4 2 3 4 12 2" xfId="40414" xr:uid="{00000000-0005-0000-0000-0000EB9D0000}"/>
    <cellStyle name="Positive 4 2 3 4 13" xfId="40415" xr:uid="{00000000-0005-0000-0000-0000EC9D0000}"/>
    <cellStyle name="Positive 4 2 3 4 13 2" xfId="40416" xr:uid="{00000000-0005-0000-0000-0000ED9D0000}"/>
    <cellStyle name="Positive 4 2 3 4 14" xfId="40417" xr:uid="{00000000-0005-0000-0000-0000EE9D0000}"/>
    <cellStyle name="Positive 4 2 3 4 14 2" xfId="40418" xr:uid="{00000000-0005-0000-0000-0000EF9D0000}"/>
    <cellStyle name="Positive 4 2 3 4 15" xfId="40419" xr:uid="{00000000-0005-0000-0000-0000F09D0000}"/>
    <cellStyle name="Positive 4 2 3 4 15 2" xfId="40420" xr:uid="{00000000-0005-0000-0000-0000F19D0000}"/>
    <cellStyle name="Positive 4 2 3 4 16" xfId="40421" xr:uid="{00000000-0005-0000-0000-0000F29D0000}"/>
    <cellStyle name="Positive 4 2 3 4 16 2" xfId="40422" xr:uid="{00000000-0005-0000-0000-0000F39D0000}"/>
    <cellStyle name="Positive 4 2 3 4 17" xfId="40423" xr:uid="{00000000-0005-0000-0000-0000F49D0000}"/>
    <cellStyle name="Positive 4 2 3 4 17 2" xfId="40424" xr:uid="{00000000-0005-0000-0000-0000F59D0000}"/>
    <cellStyle name="Positive 4 2 3 4 18" xfId="40425" xr:uid="{00000000-0005-0000-0000-0000F69D0000}"/>
    <cellStyle name="Positive 4 2 3 4 18 2" xfId="40426" xr:uid="{00000000-0005-0000-0000-0000F79D0000}"/>
    <cellStyle name="Positive 4 2 3 4 19" xfId="40427" xr:uid="{00000000-0005-0000-0000-0000F89D0000}"/>
    <cellStyle name="Positive 4 2 3 4 19 2" xfId="40428" xr:uid="{00000000-0005-0000-0000-0000F99D0000}"/>
    <cellStyle name="Positive 4 2 3 4 2" xfId="40429" xr:uid="{00000000-0005-0000-0000-0000FA9D0000}"/>
    <cellStyle name="Positive 4 2 3 4 2 10" xfId="40430" xr:uid="{00000000-0005-0000-0000-0000FB9D0000}"/>
    <cellStyle name="Positive 4 2 3 4 2 10 2" xfId="40431" xr:uid="{00000000-0005-0000-0000-0000FC9D0000}"/>
    <cellStyle name="Positive 4 2 3 4 2 11" xfId="40432" xr:uid="{00000000-0005-0000-0000-0000FD9D0000}"/>
    <cellStyle name="Positive 4 2 3 4 2 11 2" xfId="40433" xr:uid="{00000000-0005-0000-0000-0000FE9D0000}"/>
    <cellStyle name="Positive 4 2 3 4 2 12" xfId="40434" xr:uid="{00000000-0005-0000-0000-0000FF9D0000}"/>
    <cellStyle name="Positive 4 2 3 4 2 12 2" xfId="40435" xr:uid="{00000000-0005-0000-0000-0000009E0000}"/>
    <cellStyle name="Positive 4 2 3 4 2 13" xfId="40436" xr:uid="{00000000-0005-0000-0000-0000019E0000}"/>
    <cellStyle name="Positive 4 2 3 4 2 13 2" xfId="40437" xr:uid="{00000000-0005-0000-0000-0000029E0000}"/>
    <cellStyle name="Positive 4 2 3 4 2 14" xfId="40438" xr:uid="{00000000-0005-0000-0000-0000039E0000}"/>
    <cellStyle name="Positive 4 2 3 4 2 14 2" xfId="40439" xr:uid="{00000000-0005-0000-0000-0000049E0000}"/>
    <cellStyle name="Positive 4 2 3 4 2 15" xfId="40440" xr:uid="{00000000-0005-0000-0000-0000059E0000}"/>
    <cellStyle name="Positive 4 2 3 4 2 15 2" xfId="40441" xr:uid="{00000000-0005-0000-0000-0000069E0000}"/>
    <cellStyle name="Positive 4 2 3 4 2 16" xfId="40442" xr:uid="{00000000-0005-0000-0000-0000079E0000}"/>
    <cellStyle name="Positive 4 2 3 4 2 16 2" xfId="40443" xr:uid="{00000000-0005-0000-0000-0000089E0000}"/>
    <cellStyle name="Positive 4 2 3 4 2 17" xfId="40444" xr:uid="{00000000-0005-0000-0000-0000099E0000}"/>
    <cellStyle name="Positive 4 2 3 4 2 2" xfId="40445" xr:uid="{00000000-0005-0000-0000-00000A9E0000}"/>
    <cellStyle name="Positive 4 2 3 4 2 2 2" xfId="40446" xr:uid="{00000000-0005-0000-0000-00000B9E0000}"/>
    <cellStyle name="Positive 4 2 3 4 2 3" xfId="40447" xr:uid="{00000000-0005-0000-0000-00000C9E0000}"/>
    <cellStyle name="Positive 4 2 3 4 2 3 2" xfId="40448" xr:uid="{00000000-0005-0000-0000-00000D9E0000}"/>
    <cellStyle name="Positive 4 2 3 4 2 4" xfId="40449" xr:uid="{00000000-0005-0000-0000-00000E9E0000}"/>
    <cellStyle name="Positive 4 2 3 4 2 4 2" xfId="40450" xr:uid="{00000000-0005-0000-0000-00000F9E0000}"/>
    <cellStyle name="Positive 4 2 3 4 2 5" xfId="40451" xr:uid="{00000000-0005-0000-0000-0000109E0000}"/>
    <cellStyle name="Positive 4 2 3 4 2 5 2" xfId="40452" xr:uid="{00000000-0005-0000-0000-0000119E0000}"/>
    <cellStyle name="Positive 4 2 3 4 2 6" xfId="40453" xr:uid="{00000000-0005-0000-0000-0000129E0000}"/>
    <cellStyle name="Positive 4 2 3 4 2 6 2" xfId="40454" xr:uid="{00000000-0005-0000-0000-0000139E0000}"/>
    <cellStyle name="Positive 4 2 3 4 2 7" xfId="40455" xr:uid="{00000000-0005-0000-0000-0000149E0000}"/>
    <cellStyle name="Positive 4 2 3 4 2 7 2" xfId="40456" xr:uid="{00000000-0005-0000-0000-0000159E0000}"/>
    <cellStyle name="Positive 4 2 3 4 2 8" xfId="40457" xr:uid="{00000000-0005-0000-0000-0000169E0000}"/>
    <cellStyle name="Positive 4 2 3 4 2 8 2" xfId="40458" xr:uid="{00000000-0005-0000-0000-0000179E0000}"/>
    <cellStyle name="Positive 4 2 3 4 2 9" xfId="40459" xr:uid="{00000000-0005-0000-0000-0000189E0000}"/>
    <cellStyle name="Positive 4 2 3 4 2 9 2" xfId="40460" xr:uid="{00000000-0005-0000-0000-0000199E0000}"/>
    <cellStyle name="Positive 4 2 3 4 20" xfId="40461" xr:uid="{00000000-0005-0000-0000-00001A9E0000}"/>
    <cellStyle name="Positive 4 2 3 4 3" xfId="40462" xr:uid="{00000000-0005-0000-0000-00001B9E0000}"/>
    <cellStyle name="Positive 4 2 3 4 3 2" xfId="40463" xr:uid="{00000000-0005-0000-0000-00001C9E0000}"/>
    <cellStyle name="Positive 4 2 3 4 3 2 2" xfId="40464" xr:uid="{00000000-0005-0000-0000-00001D9E0000}"/>
    <cellStyle name="Positive 4 2 3 4 3 3" xfId="40465" xr:uid="{00000000-0005-0000-0000-00001E9E0000}"/>
    <cellStyle name="Positive 4 2 3 4 4" xfId="40466" xr:uid="{00000000-0005-0000-0000-00001F9E0000}"/>
    <cellStyle name="Positive 4 2 3 4 4 2" xfId="40467" xr:uid="{00000000-0005-0000-0000-0000209E0000}"/>
    <cellStyle name="Positive 4 2 3 4 4 2 2" xfId="40468" xr:uid="{00000000-0005-0000-0000-0000219E0000}"/>
    <cellStyle name="Positive 4 2 3 4 4 3" xfId="40469" xr:uid="{00000000-0005-0000-0000-0000229E0000}"/>
    <cellStyle name="Positive 4 2 3 4 5" xfId="40470" xr:uid="{00000000-0005-0000-0000-0000239E0000}"/>
    <cellStyle name="Positive 4 2 3 4 5 2" xfId="40471" xr:uid="{00000000-0005-0000-0000-0000249E0000}"/>
    <cellStyle name="Positive 4 2 3 4 6" xfId="40472" xr:uid="{00000000-0005-0000-0000-0000259E0000}"/>
    <cellStyle name="Positive 4 2 3 4 6 2" xfId="40473" xr:uid="{00000000-0005-0000-0000-0000269E0000}"/>
    <cellStyle name="Positive 4 2 3 4 7" xfId="40474" xr:uid="{00000000-0005-0000-0000-0000279E0000}"/>
    <cellStyle name="Positive 4 2 3 4 7 2" xfId="40475" xr:uid="{00000000-0005-0000-0000-0000289E0000}"/>
    <cellStyle name="Positive 4 2 3 4 8" xfId="40476" xr:uid="{00000000-0005-0000-0000-0000299E0000}"/>
    <cellStyle name="Positive 4 2 3 4 8 2" xfId="40477" xr:uid="{00000000-0005-0000-0000-00002A9E0000}"/>
    <cellStyle name="Positive 4 2 3 4 9" xfId="40478" xr:uid="{00000000-0005-0000-0000-00002B9E0000}"/>
    <cellStyle name="Positive 4 2 3 4 9 2" xfId="40479" xr:uid="{00000000-0005-0000-0000-00002C9E0000}"/>
    <cellStyle name="Positive 4 2 3 5" xfId="40480" xr:uid="{00000000-0005-0000-0000-00002D9E0000}"/>
    <cellStyle name="Positive 4 2 3 5 10" xfId="40481" xr:uid="{00000000-0005-0000-0000-00002E9E0000}"/>
    <cellStyle name="Positive 4 2 3 5 10 2" xfId="40482" xr:uid="{00000000-0005-0000-0000-00002F9E0000}"/>
    <cellStyle name="Positive 4 2 3 5 11" xfId="40483" xr:uid="{00000000-0005-0000-0000-0000309E0000}"/>
    <cellStyle name="Positive 4 2 3 5 11 2" xfId="40484" xr:uid="{00000000-0005-0000-0000-0000319E0000}"/>
    <cellStyle name="Positive 4 2 3 5 12" xfId="40485" xr:uid="{00000000-0005-0000-0000-0000329E0000}"/>
    <cellStyle name="Positive 4 2 3 5 12 2" xfId="40486" xr:uid="{00000000-0005-0000-0000-0000339E0000}"/>
    <cellStyle name="Positive 4 2 3 5 13" xfId="40487" xr:uid="{00000000-0005-0000-0000-0000349E0000}"/>
    <cellStyle name="Positive 4 2 3 5 13 2" xfId="40488" xr:uid="{00000000-0005-0000-0000-0000359E0000}"/>
    <cellStyle name="Positive 4 2 3 5 14" xfId="40489" xr:uid="{00000000-0005-0000-0000-0000369E0000}"/>
    <cellStyle name="Positive 4 2 3 5 14 2" xfId="40490" xr:uid="{00000000-0005-0000-0000-0000379E0000}"/>
    <cellStyle name="Positive 4 2 3 5 15" xfId="40491" xr:uid="{00000000-0005-0000-0000-0000389E0000}"/>
    <cellStyle name="Positive 4 2 3 5 15 2" xfId="40492" xr:uid="{00000000-0005-0000-0000-0000399E0000}"/>
    <cellStyle name="Positive 4 2 3 5 16" xfId="40493" xr:uid="{00000000-0005-0000-0000-00003A9E0000}"/>
    <cellStyle name="Positive 4 2 3 5 16 2" xfId="40494" xr:uid="{00000000-0005-0000-0000-00003B9E0000}"/>
    <cellStyle name="Positive 4 2 3 5 17" xfId="40495" xr:uid="{00000000-0005-0000-0000-00003C9E0000}"/>
    <cellStyle name="Positive 4 2 3 5 2" xfId="40496" xr:uid="{00000000-0005-0000-0000-00003D9E0000}"/>
    <cellStyle name="Positive 4 2 3 5 2 2" xfId="40497" xr:uid="{00000000-0005-0000-0000-00003E9E0000}"/>
    <cellStyle name="Positive 4 2 3 5 3" xfId="40498" xr:uid="{00000000-0005-0000-0000-00003F9E0000}"/>
    <cellStyle name="Positive 4 2 3 5 3 2" xfId="40499" xr:uid="{00000000-0005-0000-0000-0000409E0000}"/>
    <cellStyle name="Positive 4 2 3 5 4" xfId="40500" xr:uid="{00000000-0005-0000-0000-0000419E0000}"/>
    <cellStyle name="Positive 4 2 3 5 4 2" xfId="40501" xr:uid="{00000000-0005-0000-0000-0000429E0000}"/>
    <cellStyle name="Positive 4 2 3 5 5" xfId="40502" xr:uid="{00000000-0005-0000-0000-0000439E0000}"/>
    <cellStyle name="Positive 4 2 3 5 5 2" xfId="40503" xr:uid="{00000000-0005-0000-0000-0000449E0000}"/>
    <cellStyle name="Positive 4 2 3 5 6" xfId="40504" xr:uid="{00000000-0005-0000-0000-0000459E0000}"/>
    <cellStyle name="Positive 4 2 3 5 6 2" xfId="40505" xr:uid="{00000000-0005-0000-0000-0000469E0000}"/>
    <cellStyle name="Positive 4 2 3 5 7" xfId="40506" xr:uid="{00000000-0005-0000-0000-0000479E0000}"/>
    <cellStyle name="Positive 4 2 3 5 7 2" xfId="40507" xr:uid="{00000000-0005-0000-0000-0000489E0000}"/>
    <cellStyle name="Positive 4 2 3 5 8" xfId="40508" xr:uid="{00000000-0005-0000-0000-0000499E0000}"/>
    <cellStyle name="Positive 4 2 3 5 8 2" xfId="40509" xr:uid="{00000000-0005-0000-0000-00004A9E0000}"/>
    <cellStyle name="Positive 4 2 3 5 9" xfId="40510" xr:uid="{00000000-0005-0000-0000-00004B9E0000}"/>
    <cellStyle name="Positive 4 2 3 5 9 2" xfId="40511" xr:uid="{00000000-0005-0000-0000-00004C9E0000}"/>
    <cellStyle name="Positive 4 2 3 6" xfId="40512" xr:uid="{00000000-0005-0000-0000-00004D9E0000}"/>
    <cellStyle name="Positive 4 2 3 6 2" xfId="40513" xr:uid="{00000000-0005-0000-0000-00004E9E0000}"/>
    <cellStyle name="Positive 4 2 3 6 2 2" xfId="40514" xr:uid="{00000000-0005-0000-0000-00004F9E0000}"/>
    <cellStyle name="Positive 4 2 3 6 3" xfId="40515" xr:uid="{00000000-0005-0000-0000-0000509E0000}"/>
    <cellStyle name="Positive 4 2 3 7" xfId="40516" xr:uid="{00000000-0005-0000-0000-0000519E0000}"/>
    <cellStyle name="Positive 4 2 3 7 2" xfId="40517" xr:uid="{00000000-0005-0000-0000-0000529E0000}"/>
    <cellStyle name="Positive 4 2 3 7 2 2" xfId="40518" xr:uid="{00000000-0005-0000-0000-0000539E0000}"/>
    <cellStyle name="Positive 4 2 3 7 3" xfId="40519" xr:uid="{00000000-0005-0000-0000-0000549E0000}"/>
    <cellStyle name="Positive 4 2 3 8" xfId="40520" xr:uid="{00000000-0005-0000-0000-0000559E0000}"/>
    <cellStyle name="Positive 4 2 3 8 2" xfId="40521" xr:uid="{00000000-0005-0000-0000-0000569E0000}"/>
    <cellStyle name="Positive 4 2 3 9" xfId="40522" xr:uid="{00000000-0005-0000-0000-0000579E0000}"/>
    <cellStyle name="Positive 4 2 3 9 2" xfId="40523" xr:uid="{00000000-0005-0000-0000-0000589E0000}"/>
    <cellStyle name="Positive 4 2 30" xfId="40524" xr:uid="{00000000-0005-0000-0000-0000599E0000}"/>
    <cellStyle name="Positive 4 2 30 2" xfId="40525" xr:uid="{00000000-0005-0000-0000-00005A9E0000}"/>
    <cellStyle name="Positive 4 2 31" xfId="40526" xr:uid="{00000000-0005-0000-0000-00005B9E0000}"/>
    <cellStyle name="Positive 4 2 31 2" xfId="40527" xr:uid="{00000000-0005-0000-0000-00005C9E0000}"/>
    <cellStyle name="Positive 4 2 32" xfId="40528" xr:uid="{00000000-0005-0000-0000-00005D9E0000}"/>
    <cellStyle name="Positive 4 2 32 2" xfId="40529" xr:uid="{00000000-0005-0000-0000-00005E9E0000}"/>
    <cellStyle name="Positive 4 2 33" xfId="40530" xr:uid="{00000000-0005-0000-0000-00005F9E0000}"/>
    <cellStyle name="Positive 4 2 33 2" xfId="40531" xr:uid="{00000000-0005-0000-0000-0000609E0000}"/>
    <cellStyle name="Positive 4 2 34" xfId="40532" xr:uid="{00000000-0005-0000-0000-0000619E0000}"/>
    <cellStyle name="Positive 4 2 34 2" xfId="40533" xr:uid="{00000000-0005-0000-0000-0000629E0000}"/>
    <cellStyle name="Positive 4 2 35" xfId="40534" xr:uid="{00000000-0005-0000-0000-0000639E0000}"/>
    <cellStyle name="Positive 4 2 35 2" xfId="40535" xr:uid="{00000000-0005-0000-0000-0000649E0000}"/>
    <cellStyle name="Positive 4 2 36" xfId="40536" xr:uid="{00000000-0005-0000-0000-0000659E0000}"/>
    <cellStyle name="Positive 4 2 36 2" xfId="40537" xr:uid="{00000000-0005-0000-0000-0000669E0000}"/>
    <cellStyle name="Positive 4 2 37" xfId="40538" xr:uid="{00000000-0005-0000-0000-0000679E0000}"/>
    <cellStyle name="Positive 4 2 37 2" xfId="40539" xr:uid="{00000000-0005-0000-0000-0000689E0000}"/>
    <cellStyle name="Positive 4 2 38" xfId="40540" xr:uid="{00000000-0005-0000-0000-0000699E0000}"/>
    <cellStyle name="Positive 4 2 4" xfId="40541" xr:uid="{00000000-0005-0000-0000-00006A9E0000}"/>
    <cellStyle name="Positive 4 2 4 10" xfId="40542" xr:uid="{00000000-0005-0000-0000-00006B9E0000}"/>
    <cellStyle name="Positive 4 2 4 10 2" xfId="40543" xr:uid="{00000000-0005-0000-0000-00006C9E0000}"/>
    <cellStyle name="Positive 4 2 4 11" xfId="40544" xr:uid="{00000000-0005-0000-0000-00006D9E0000}"/>
    <cellStyle name="Positive 4 2 4 11 2" xfId="40545" xr:uid="{00000000-0005-0000-0000-00006E9E0000}"/>
    <cellStyle name="Positive 4 2 4 12" xfId="40546" xr:uid="{00000000-0005-0000-0000-00006F9E0000}"/>
    <cellStyle name="Positive 4 2 4 12 2" xfId="40547" xr:uid="{00000000-0005-0000-0000-0000709E0000}"/>
    <cellStyle name="Positive 4 2 4 13" xfId="40548" xr:uid="{00000000-0005-0000-0000-0000719E0000}"/>
    <cellStyle name="Positive 4 2 4 13 2" xfId="40549" xr:uid="{00000000-0005-0000-0000-0000729E0000}"/>
    <cellStyle name="Positive 4 2 4 14" xfId="40550" xr:uid="{00000000-0005-0000-0000-0000739E0000}"/>
    <cellStyle name="Positive 4 2 4 14 2" xfId="40551" xr:uid="{00000000-0005-0000-0000-0000749E0000}"/>
    <cellStyle name="Positive 4 2 4 15" xfId="40552" xr:uid="{00000000-0005-0000-0000-0000759E0000}"/>
    <cellStyle name="Positive 4 2 4 15 2" xfId="40553" xr:uid="{00000000-0005-0000-0000-0000769E0000}"/>
    <cellStyle name="Positive 4 2 4 16" xfId="40554" xr:uid="{00000000-0005-0000-0000-0000779E0000}"/>
    <cellStyle name="Positive 4 2 4 16 2" xfId="40555" xr:uid="{00000000-0005-0000-0000-0000789E0000}"/>
    <cellStyle name="Positive 4 2 4 17" xfId="40556" xr:uid="{00000000-0005-0000-0000-0000799E0000}"/>
    <cellStyle name="Positive 4 2 4 17 2" xfId="40557" xr:uid="{00000000-0005-0000-0000-00007A9E0000}"/>
    <cellStyle name="Positive 4 2 4 18" xfId="40558" xr:uid="{00000000-0005-0000-0000-00007B9E0000}"/>
    <cellStyle name="Positive 4 2 4 18 2" xfId="40559" xr:uid="{00000000-0005-0000-0000-00007C9E0000}"/>
    <cellStyle name="Positive 4 2 4 19" xfId="40560" xr:uid="{00000000-0005-0000-0000-00007D9E0000}"/>
    <cellStyle name="Positive 4 2 4 19 2" xfId="40561" xr:uid="{00000000-0005-0000-0000-00007E9E0000}"/>
    <cellStyle name="Positive 4 2 4 2" xfId="40562" xr:uid="{00000000-0005-0000-0000-00007F9E0000}"/>
    <cellStyle name="Positive 4 2 4 2 10" xfId="40563" xr:uid="{00000000-0005-0000-0000-0000809E0000}"/>
    <cellStyle name="Positive 4 2 4 2 10 2" xfId="40564" xr:uid="{00000000-0005-0000-0000-0000819E0000}"/>
    <cellStyle name="Positive 4 2 4 2 11" xfId="40565" xr:uid="{00000000-0005-0000-0000-0000829E0000}"/>
    <cellStyle name="Positive 4 2 4 2 11 2" xfId="40566" xr:uid="{00000000-0005-0000-0000-0000839E0000}"/>
    <cellStyle name="Positive 4 2 4 2 12" xfId="40567" xr:uid="{00000000-0005-0000-0000-0000849E0000}"/>
    <cellStyle name="Positive 4 2 4 2 12 2" xfId="40568" xr:uid="{00000000-0005-0000-0000-0000859E0000}"/>
    <cellStyle name="Positive 4 2 4 2 13" xfId="40569" xr:uid="{00000000-0005-0000-0000-0000869E0000}"/>
    <cellStyle name="Positive 4 2 4 2 13 2" xfId="40570" xr:uid="{00000000-0005-0000-0000-0000879E0000}"/>
    <cellStyle name="Positive 4 2 4 2 14" xfId="40571" xr:uid="{00000000-0005-0000-0000-0000889E0000}"/>
    <cellStyle name="Positive 4 2 4 2 14 2" xfId="40572" xr:uid="{00000000-0005-0000-0000-0000899E0000}"/>
    <cellStyle name="Positive 4 2 4 2 15" xfId="40573" xr:uid="{00000000-0005-0000-0000-00008A9E0000}"/>
    <cellStyle name="Positive 4 2 4 2 15 2" xfId="40574" xr:uid="{00000000-0005-0000-0000-00008B9E0000}"/>
    <cellStyle name="Positive 4 2 4 2 16" xfId="40575" xr:uid="{00000000-0005-0000-0000-00008C9E0000}"/>
    <cellStyle name="Positive 4 2 4 2 16 2" xfId="40576" xr:uid="{00000000-0005-0000-0000-00008D9E0000}"/>
    <cellStyle name="Positive 4 2 4 2 17" xfId="40577" xr:uid="{00000000-0005-0000-0000-00008E9E0000}"/>
    <cellStyle name="Positive 4 2 4 2 17 2" xfId="40578" xr:uid="{00000000-0005-0000-0000-00008F9E0000}"/>
    <cellStyle name="Positive 4 2 4 2 18" xfId="40579" xr:uid="{00000000-0005-0000-0000-0000909E0000}"/>
    <cellStyle name="Positive 4 2 4 2 18 2" xfId="40580" xr:uid="{00000000-0005-0000-0000-0000919E0000}"/>
    <cellStyle name="Positive 4 2 4 2 19" xfId="40581" xr:uid="{00000000-0005-0000-0000-0000929E0000}"/>
    <cellStyle name="Positive 4 2 4 2 19 2" xfId="40582" xr:uid="{00000000-0005-0000-0000-0000939E0000}"/>
    <cellStyle name="Positive 4 2 4 2 2" xfId="40583" xr:uid="{00000000-0005-0000-0000-0000949E0000}"/>
    <cellStyle name="Positive 4 2 4 2 2 10" xfId="40584" xr:uid="{00000000-0005-0000-0000-0000959E0000}"/>
    <cellStyle name="Positive 4 2 4 2 2 10 2" xfId="40585" xr:uid="{00000000-0005-0000-0000-0000969E0000}"/>
    <cellStyle name="Positive 4 2 4 2 2 11" xfId="40586" xr:uid="{00000000-0005-0000-0000-0000979E0000}"/>
    <cellStyle name="Positive 4 2 4 2 2 11 2" xfId="40587" xr:uid="{00000000-0005-0000-0000-0000989E0000}"/>
    <cellStyle name="Positive 4 2 4 2 2 12" xfId="40588" xr:uid="{00000000-0005-0000-0000-0000999E0000}"/>
    <cellStyle name="Positive 4 2 4 2 2 12 2" xfId="40589" xr:uid="{00000000-0005-0000-0000-00009A9E0000}"/>
    <cellStyle name="Positive 4 2 4 2 2 13" xfId="40590" xr:uid="{00000000-0005-0000-0000-00009B9E0000}"/>
    <cellStyle name="Positive 4 2 4 2 2 13 2" xfId="40591" xr:uid="{00000000-0005-0000-0000-00009C9E0000}"/>
    <cellStyle name="Positive 4 2 4 2 2 14" xfId="40592" xr:uid="{00000000-0005-0000-0000-00009D9E0000}"/>
    <cellStyle name="Positive 4 2 4 2 2 14 2" xfId="40593" xr:uid="{00000000-0005-0000-0000-00009E9E0000}"/>
    <cellStyle name="Positive 4 2 4 2 2 15" xfId="40594" xr:uid="{00000000-0005-0000-0000-00009F9E0000}"/>
    <cellStyle name="Positive 4 2 4 2 2 15 2" xfId="40595" xr:uid="{00000000-0005-0000-0000-0000A09E0000}"/>
    <cellStyle name="Positive 4 2 4 2 2 16" xfId="40596" xr:uid="{00000000-0005-0000-0000-0000A19E0000}"/>
    <cellStyle name="Positive 4 2 4 2 2 16 2" xfId="40597" xr:uid="{00000000-0005-0000-0000-0000A29E0000}"/>
    <cellStyle name="Positive 4 2 4 2 2 17" xfId="40598" xr:uid="{00000000-0005-0000-0000-0000A39E0000}"/>
    <cellStyle name="Positive 4 2 4 2 2 2" xfId="40599" xr:uid="{00000000-0005-0000-0000-0000A49E0000}"/>
    <cellStyle name="Positive 4 2 4 2 2 2 2" xfId="40600" xr:uid="{00000000-0005-0000-0000-0000A59E0000}"/>
    <cellStyle name="Positive 4 2 4 2 2 3" xfId="40601" xr:uid="{00000000-0005-0000-0000-0000A69E0000}"/>
    <cellStyle name="Positive 4 2 4 2 2 3 2" xfId="40602" xr:uid="{00000000-0005-0000-0000-0000A79E0000}"/>
    <cellStyle name="Positive 4 2 4 2 2 4" xfId="40603" xr:uid="{00000000-0005-0000-0000-0000A89E0000}"/>
    <cellStyle name="Positive 4 2 4 2 2 4 2" xfId="40604" xr:uid="{00000000-0005-0000-0000-0000A99E0000}"/>
    <cellStyle name="Positive 4 2 4 2 2 5" xfId="40605" xr:uid="{00000000-0005-0000-0000-0000AA9E0000}"/>
    <cellStyle name="Positive 4 2 4 2 2 5 2" xfId="40606" xr:uid="{00000000-0005-0000-0000-0000AB9E0000}"/>
    <cellStyle name="Positive 4 2 4 2 2 6" xfId="40607" xr:uid="{00000000-0005-0000-0000-0000AC9E0000}"/>
    <cellStyle name="Positive 4 2 4 2 2 6 2" xfId="40608" xr:uid="{00000000-0005-0000-0000-0000AD9E0000}"/>
    <cellStyle name="Positive 4 2 4 2 2 7" xfId="40609" xr:uid="{00000000-0005-0000-0000-0000AE9E0000}"/>
    <cellStyle name="Positive 4 2 4 2 2 7 2" xfId="40610" xr:uid="{00000000-0005-0000-0000-0000AF9E0000}"/>
    <cellStyle name="Positive 4 2 4 2 2 8" xfId="40611" xr:uid="{00000000-0005-0000-0000-0000B09E0000}"/>
    <cellStyle name="Positive 4 2 4 2 2 8 2" xfId="40612" xr:uid="{00000000-0005-0000-0000-0000B19E0000}"/>
    <cellStyle name="Positive 4 2 4 2 2 9" xfId="40613" xr:uid="{00000000-0005-0000-0000-0000B29E0000}"/>
    <cellStyle name="Positive 4 2 4 2 2 9 2" xfId="40614" xr:uid="{00000000-0005-0000-0000-0000B39E0000}"/>
    <cellStyle name="Positive 4 2 4 2 20" xfId="40615" xr:uid="{00000000-0005-0000-0000-0000B49E0000}"/>
    <cellStyle name="Positive 4 2 4 2 3" xfId="40616" xr:uid="{00000000-0005-0000-0000-0000B59E0000}"/>
    <cellStyle name="Positive 4 2 4 2 3 2" xfId="40617" xr:uid="{00000000-0005-0000-0000-0000B69E0000}"/>
    <cellStyle name="Positive 4 2 4 2 3 2 2" xfId="40618" xr:uid="{00000000-0005-0000-0000-0000B79E0000}"/>
    <cellStyle name="Positive 4 2 4 2 3 3" xfId="40619" xr:uid="{00000000-0005-0000-0000-0000B89E0000}"/>
    <cellStyle name="Positive 4 2 4 2 4" xfId="40620" xr:uid="{00000000-0005-0000-0000-0000B99E0000}"/>
    <cellStyle name="Positive 4 2 4 2 4 2" xfId="40621" xr:uid="{00000000-0005-0000-0000-0000BA9E0000}"/>
    <cellStyle name="Positive 4 2 4 2 4 2 2" xfId="40622" xr:uid="{00000000-0005-0000-0000-0000BB9E0000}"/>
    <cellStyle name="Positive 4 2 4 2 4 3" xfId="40623" xr:uid="{00000000-0005-0000-0000-0000BC9E0000}"/>
    <cellStyle name="Positive 4 2 4 2 5" xfId="40624" xr:uid="{00000000-0005-0000-0000-0000BD9E0000}"/>
    <cellStyle name="Positive 4 2 4 2 5 2" xfId="40625" xr:uid="{00000000-0005-0000-0000-0000BE9E0000}"/>
    <cellStyle name="Positive 4 2 4 2 6" xfId="40626" xr:uid="{00000000-0005-0000-0000-0000BF9E0000}"/>
    <cellStyle name="Positive 4 2 4 2 6 2" xfId="40627" xr:uid="{00000000-0005-0000-0000-0000C09E0000}"/>
    <cellStyle name="Positive 4 2 4 2 7" xfId="40628" xr:uid="{00000000-0005-0000-0000-0000C19E0000}"/>
    <cellStyle name="Positive 4 2 4 2 7 2" xfId="40629" xr:uid="{00000000-0005-0000-0000-0000C29E0000}"/>
    <cellStyle name="Positive 4 2 4 2 8" xfId="40630" xr:uid="{00000000-0005-0000-0000-0000C39E0000}"/>
    <cellStyle name="Positive 4 2 4 2 8 2" xfId="40631" xr:uid="{00000000-0005-0000-0000-0000C49E0000}"/>
    <cellStyle name="Positive 4 2 4 2 9" xfId="40632" xr:uid="{00000000-0005-0000-0000-0000C59E0000}"/>
    <cellStyle name="Positive 4 2 4 2 9 2" xfId="40633" xr:uid="{00000000-0005-0000-0000-0000C69E0000}"/>
    <cellStyle name="Positive 4 2 4 20" xfId="40634" xr:uid="{00000000-0005-0000-0000-0000C79E0000}"/>
    <cellStyle name="Positive 4 2 4 20 2" xfId="40635" xr:uid="{00000000-0005-0000-0000-0000C89E0000}"/>
    <cellStyle name="Positive 4 2 4 21" xfId="40636" xr:uid="{00000000-0005-0000-0000-0000C99E0000}"/>
    <cellStyle name="Positive 4 2 4 21 2" xfId="40637" xr:uid="{00000000-0005-0000-0000-0000CA9E0000}"/>
    <cellStyle name="Positive 4 2 4 22" xfId="40638" xr:uid="{00000000-0005-0000-0000-0000CB9E0000}"/>
    <cellStyle name="Positive 4 2 4 22 2" xfId="40639" xr:uid="{00000000-0005-0000-0000-0000CC9E0000}"/>
    <cellStyle name="Positive 4 2 4 23" xfId="40640" xr:uid="{00000000-0005-0000-0000-0000CD9E0000}"/>
    <cellStyle name="Positive 4 2 4 3" xfId="40641" xr:uid="{00000000-0005-0000-0000-0000CE9E0000}"/>
    <cellStyle name="Positive 4 2 4 3 10" xfId="40642" xr:uid="{00000000-0005-0000-0000-0000CF9E0000}"/>
    <cellStyle name="Positive 4 2 4 3 10 2" xfId="40643" xr:uid="{00000000-0005-0000-0000-0000D09E0000}"/>
    <cellStyle name="Positive 4 2 4 3 11" xfId="40644" xr:uid="{00000000-0005-0000-0000-0000D19E0000}"/>
    <cellStyle name="Positive 4 2 4 3 11 2" xfId="40645" xr:uid="{00000000-0005-0000-0000-0000D29E0000}"/>
    <cellStyle name="Positive 4 2 4 3 12" xfId="40646" xr:uid="{00000000-0005-0000-0000-0000D39E0000}"/>
    <cellStyle name="Positive 4 2 4 3 12 2" xfId="40647" xr:uid="{00000000-0005-0000-0000-0000D49E0000}"/>
    <cellStyle name="Positive 4 2 4 3 13" xfId="40648" xr:uid="{00000000-0005-0000-0000-0000D59E0000}"/>
    <cellStyle name="Positive 4 2 4 3 13 2" xfId="40649" xr:uid="{00000000-0005-0000-0000-0000D69E0000}"/>
    <cellStyle name="Positive 4 2 4 3 14" xfId="40650" xr:uid="{00000000-0005-0000-0000-0000D79E0000}"/>
    <cellStyle name="Positive 4 2 4 3 14 2" xfId="40651" xr:uid="{00000000-0005-0000-0000-0000D89E0000}"/>
    <cellStyle name="Positive 4 2 4 3 15" xfId="40652" xr:uid="{00000000-0005-0000-0000-0000D99E0000}"/>
    <cellStyle name="Positive 4 2 4 3 15 2" xfId="40653" xr:uid="{00000000-0005-0000-0000-0000DA9E0000}"/>
    <cellStyle name="Positive 4 2 4 3 16" xfId="40654" xr:uid="{00000000-0005-0000-0000-0000DB9E0000}"/>
    <cellStyle name="Positive 4 2 4 3 16 2" xfId="40655" xr:uid="{00000000-0005-0000-0000-0000DC9E0000}"/>
    <cellStyle name="Positive 4 2 4 3 17" xfId="40656" xr:uid="{00000000-0005-0000-0000-0000DD9E0000}"/>
    <cellStyle name="Positive 4 2 4 3 17 2" xfId="40657" xr:uid="{00000000-0005-0000-0000-0000DE9E0000}"/>
    <cellStyle name="Positive 4 2 4 3 18" xfId="40658" xr:uid="{00000000-0005-0000-0000-0000DF9E0000}"/>
    <cellStyle name="Positive 4 2 4 3 18 2" xfId="40659" xr:uid="{00000000-0005-0000-0000-0000E09E0000}"/>
    <cellStyle name="Positive 4 2 4 3 19" xfId="40660" xr:uid="{00000000-0005-0000-0000-0000E19E0000}"/>
    <cellStyle name="Positive 4 2 4 3 19 2" xfId="40661" xr:uid="{00000000-0005-0000-0000-0000E29E0000}"/>
    <cellStyle name="Positive 4 2 4 3 2" xfId="40662" xr:uid="{00000000-0005-0000-0000-0000E39E0000}"/>
    <cellStyle name="Positive 4 2 4 3 2 10" xfId="40663" xr:uid="{00000000-0005-0000-0000-0000E49E0000}"/>
    <cellStyle name="Positive 4 2 4 3 2 10 2" xfId="40664" xr:uid="{00000000-0005-0000-0000-0000E59E0000}"/>
    <cellStyle name="Positive 4 2 4 3 2 11" xfId="40665" xr:uid="{00000000-0005-0000-0000-0000E69E0000}"/>
    <cellStyle name="Positive 4 2 4 3 2 11 2" xfId="40666" xr:uid="{00000000-0005-0000-0000-0000E79E0000}"/>
    <cellStyle name="Positive 4 2 4 3 2 12" xfId="40667" xr:uid="{00000000-0005-0000-0000-0000E89E0000}"/>
    <cellStyle name="Positive 4 2 4 3 2 12 2" xfId="40668" xr:uid="{00000000-0005-0000-0000-0000E99E0000}"/>
    <cellStyle name="Positive 4 2 4 3 2 13" xfId="40669" xr:uid="{00000000-0005-0000-0000-0000EA9E0000}"/>
    <cellStyle name="Positive 4 2 4 3 2 13 2" xfId="40670" xr:uid="{00000000-0005-0000-0000-0000EB9E0000}"/>
    <cellStyle name="Positive 4 2 4 3 2 14" xfId="40671" xr:uid="{00000000-0005-0000-0000-0000EC9E0000}"/>
    <cellStyle name="Positive 4 2 4 3 2 14 2" xfId="40672" xr:uid="{00000000-0005-0000-0000-0000ED9E0000}"/>
    <cellStyle name="Positive 4 2 4 3 2 15" xfId="40673" xr:uid="{00000000-0005-0000-0000-0000EE9E0000}"/>
    <cellStyle name="Positive 4 2 4 3 2 15 2" xfId="40674" xr:uid="{00000000-0005-0000-0000-0000EF9E0000}"/>
    <cellStyle name="Positive 4 2 4 3 2 16" xfId="40675" xr:uid="{00000000-0005-0000-0000-0000F09E0000}"/>
    <cellStyle name="Positive 4 2 4 3 2 16 2" xfId="40676" xr:uid="{00000000-0005-0000-0000-0000F19E0000}"/>
    <cellStyle name="Positive 4 2 4 3 2 17" xfId="40677" xr:uid="{00000000-0005-0000-0000-0000F29E0000}"/>
    <cellStyle name="Positive 4 2 4 3 2 2" xfId="40678" xr:uid="{00000000-0005-0000-0000-0000F39E0000}"/>
    <cellStyle name="Positive 4 2 4 3 2 2 2" xfId="40679" xr:uid="{00000000-0005-0000-0000-0000F49E0000}"/>
    <cellStyle name="Positive 4 2 4 3 2 3" xfId="40680" xr:uid="{00000000-0005-0000-0000-0000F59E0000}"/>
    <cellStyle name="Positive 4 2 4 3 2 3 2" xfId="40681" xr:uid="{00000000-0005-0000-0000-0000F69E0000}"/>
    <cellStyle name="Positive 4 2 4 3 2 4" xfId="40682" xr:uid="{00000000-0005-0000-0000-0000F79E0000}"/>
    <cellStyle name="Positive 4 2 4 3 2 4 2" xfId="40683" xr:uid="{00000000-0005-0000-0000-0000F89E0000}"/>
    <cellStyle name="Positive 4 2 4 3 2 5" xfId="40684" xr:uid="{00000000-0005-0000-0000-0000F99E0000}"/>
    <cellStyle name="Positive 4 2 4 3 2 5 2" xfId="40685" xr:uid="{00000000-0005-0000-0000-0000FA9E0000}"/>
    <cellStyle name="Positive 4 2 4 3 2 6" xfId="40686" xr:uid="{00000000-0005-0000-0000-0000FB9E0000}"/>
    <cellStyle name="Positive 4 2 4 3 2 6 2" xfId="40687" xr:uid="{00000000-0005-0000-0000-0000FC9E0000}"/>
    <cellStyle name="Positive 4 2 4 3 2 7" xfId="40688" xr:uid="{00000000-0005-0000-0000-0000FD9E0000}"/>
    <cellStyle name="Positive 4 2 4 3 2 7 2" xfId="40689" xr:uid="{00000000-0005-0000-0000-0000FE9E0000}"/>
    <cellStyle name="Positive 4 2 4 3 2 8" xfId="40690" xr:uid="{00000000-0005-0000-0000-0000FF9E0000}"/>
    <cellStyle name="Positive 4 2 4 3 2 8 2" xfId="40691" xr:uid="{00000000-0005-0000-0000-0000009F0000}"/>
    <cellStyle name="Positive 4 2 4 3 2 9" xfId="40692" xr:uid="{00000000-0005-0000-0000-0000019F0000}"/>
    <cellStyle name="Positive 4 2 4 3 2 9 2" xfId="40693" xr:uid="{00000000-0005-0000-0000-0000029F0000}"/>
    <cellStyle name="Positive 4 2 4 3 20" xfId="40694" xr:uid="{00000000-0005-0000-0000-0000039F0000}"/>
    <cellStyle name="Positive 4 2 4 3 3" xfId="40695" xr:uid="{00000000-0005-0000-0000-0000049F0000}"/>
    <cellStyle name="Positive 4 2 4 3 3 2" xfId="40696" xr:uid="{00000000-0005-0000-0000-0000059F0000}"/>
    <cellStyle name="Positive 4 2 4 3 3 2 2" xfId="40697" xr:uid="{00000000-0005-0000-0000-0000069F0000}"/>
    <cellStyle name="Positive 4 2 4 3 3 3" xfId="40698" xr:uid="{00000000-0005-0000-0000-0000079F0000}"/>
    <cellStyle name="Positive 4 2 4 3 4" xfId="40699" xr:uid="{00000000-0005-0000-0000-0000089F0000}"/>
    <cellStyle name="Positive 4 2 4 3 4 2" xfId="40700" xr:uid="{00000000-0005-0000-0000-0000099F0000}"/>
    <cellStyle name="Positive 4 2 4 3 4 2 2" xfId="40701" xr:uid="{00000000-0005-0000-0000-00000A9F0000}"/>
    <cellStyle name="Positive 4 2 4 3 4 3" xfId="40702" xr:uid="{00000000-0005-0000-0000-00000B9F0000}"/>
    <cellStyle name="Positive 4 2 4 3 5" xfId="40703" xr:uid="{00000000-0005-0000-0000-00000C9F0000}"/>
    <cellStyle name="Positive 4 2 4 3 5 2" xfId="40704" xr:uid="{00000000-0005-0000-0000-00000D9F0000}"/>
    <cellStyle name="Positive 4 2 4 3 6" xfId="40705" xr:uid="{00000000-0005-0000-0000-00000E9F0000}"/>
    <cellStyle name="Positive 4 2 4 3 6 2" xfId="40706" xr:uid="{00000000-0005-0000-0000-00000F9F0000}"/>
    <cellStyle name="Positive 4 2 4 3 7" xfId="40707" xr:uid="{00000000-0005-0000-0000-0000109F0000}"/>
    <cellStyle name="Positive 4 2 4 3 7 2" xfId="40708" xr:uid="{00000000-0005-0000-0000-0000119F0000}"/>
    <cellStyle name="Positive 4 2 4 3 8" xfId="40709" xr:uid="{00000000-0005-0000-0000-0000129F0000}"/>
    <cellStyle name="Positive 4 2 4 3 8 2" xfId="40710" xr:uid="{00000000-0005-0000-0000-0000139F0000}"/>
    <cellStyle name="Positive 4 2 4 3 9" xfId="40711" xr:uid="{00000000-0005-0000-0000-0000149F0000}"/>
    <cellStyle name="Positive 4 2 4 3 9 2" xfId="40712" xr:uid="{00000000-0005-0000-0000-0000159F0000}"/>
    <cellStyle name="Positive 4 2 4 4" xfId="40713" xr:uid="{00000000-0005-0000-0000-0000169F0000}"/>
    <cellStyle name="Positive 4 2 4 4 10" xfId="40714" xr:uid="{00000000-0005-0000-0000-0000179F0000}"/>
    <cellStyle name="Positive 4 2 4 4 10 2" xfId="40715" xr:uid="{00000000-0005-0000-0000-0000189F0000}"/>
    <cellStyle name="Positive 4 2 4 4 11" xfId="40716" xr:uid="{00000000-0005-0000-0000-0000199F0000}"/>
    <cellStyle name="Positive 4 2 4 4 11 2" xfId="40717" xr:uid="{00000000-0005-0000-0000-00001A9F0000}"/>
    <cellStyle name="Positive 4 2 4 4 12" xfId="40718" xr:uid="{00000000-0005-0000-0000-00001B9F0000}"/>
    <cellStyle name="Positive 4 2 4 4 12 2" xfId="40719" xr:uid="{00000000-0005-0000-0000-00001C9F0000}"/>
    <cellStyle name="Positive 4 2 4 4 13" xfId="40720" xr:uid="{00000000-0005-0000-0000-00001D9F0000}"/>
    <cellStyle name="Positive 4 2 4 4 13 2" xfId="40721" xr:uid="{00000000-0005-0000-0000-00001E9F0000}"/>
    <cellStyle name="Positive 4 2 4 4 14" xfId="40722" xr:uid="{00000000-0005-0000-0000-00001F9F0000}"/>
    <cellStyle name="Positive 4 2 4 4 14 2" xfId="40723" xr:uid="{00000000-0005-0000-0000-0000209F0000}"/>
    <cellStyle name="Positive 4 2 4 4 15" xfId="40724" xr:uid="{00000000-0005-0000-0000-0000219F0000}"/>
    <cellStyle name="Positive 4 2 4 4 15 2" xfId="40725" xr:uid="{00000000-0005-0000-0000-0000229F0000}"/>
    <cellStyle name="Positive 4 2 4 4 16" xfId="40726" xr:uid="{00000000-0005-0000-0000-0000239F0000}"/>
    <cellStyle name="Positive 4 2 4 4 16 2" xfId="40727" xr:uid="{00000000-0005-0000-0000-0000249F0000}"/>
    <cellStyle name="Positive 4 2 4 4 17" xfId="40728" xr:uid="{00000000-0005-0000-0000-0000259F0000}"/>
    <cellStyle name="Positive 4 2 4 4 17 2" xfId="40729" xr:uid="{00000000-0005-0000-0000-0000269F0000}"/>
    <cellStyle name="Positive 4 2 4 4 18" xfId="40730" xr:uid="{00000000-0005-0000-0000-0000279F0000}"/>
    <cellStyle name="Positive 4 2 4 4 18 2" xfId="40731" xr:uid="{00000000-0005-0000-0000-0000289F0000}"/>
    <cellStyle name="Positive 4 2 4 4 19" xfId="40732" xr:uid="{00000000-0005-0000-0000-0000299F0000}"/>
    <cellStyle name="Positive 4 2 4 4 19 2" xfId="40733" xr:uid="{00000000-0005-0000-0000-00002A9F0000}"/>
    <cellStyle name="Positive 4 2 4 4 2" xfId="40734" xr:uid="{00000000-0005-0000-0000-00002B9F0000}"/>
    <cellStyle name="Positive 4 2 4 4 2 10" xfId="40735" xr:uid="{00000000-0005-0000-0000-00002C9F0000}"/>
    <cellStyle name="Positive 4 2 4 4 2 10 2" xfId="40736" xr:uid="{00000000-0005-0000-0000-00002D9F0000}"/>
    <cellStyle name="Positive 4 2 4 4 2 11" xfId="40737" xr:uid="{00000000-0005-0000-0000-00002E9F0000}"/>
    <cellStyle name="Positive 4 2 4 4 2 11 2" xfId="40738" xr:uid="{00000000-0005-0000-0000-00002F9F0000}"/>
    <cellStyle name="Positive 4 2 4 4 2 12" xfId="40739" xr:uid="{00000000-0005-0000-0000-0000309F0000}"/>
    <cellStyle name="Positive 4 2 4 4 2 12 2" xfId="40740" xr:uid="{00000000-0005-0000-0000-0000319F0000}"/>
    <cellStyle name="Positive 4 2 4 4 2 13" xfId="40741" xr:uid="{00000000-0005-0000-0000-0000329F0000}"/>
    <cellStyle name="Positive 4 2 4 4 2 13 2" xfId="40742" xr:uid="{00000000-0005-0000-0000-0000339F0000}"/>
    <cellStyle name="Positive 4 2 4 4 2 14" xfId="40743" xr:uid="{00000000-0005-0000-0000-0000349F0000}"/>
    <cellStyle name="Positive 4 2 4 4 2 14 2" xfId="40744" xr:uid="{00000000-0005-0000-0000-0000359F0000}"/>
    <cellStyle name="Positive 4 2 4 4 2 15" xfId="40745" xr:uid="{00000000-0005-0000-0000-0000369F0000}"/>
    <cellStyle name="Positive 4 2 4 4 2 15 2" xfId="40746" xr:uid="{00000000-0005-0000-0000-0000379F0000}"/>
    <cellStyle name="Positive 4 2 4 4 2 16" xfId="40747" xr:uid="{00000000-0005-0000-0000-0000389F0000}"/>
    <cellStyle name="Positive 4 2 4 4 2 16 2" xfId="40748" xr:uid="{00000000-0005-0000-0000-0000399F0000}"/>
    <cellStyle name="Positive 4 2 4 4 2 17" xfId="40749" xr:uid="{00000000-0005-0000-0000-00003A9F0000}"/>
    <cellStyle name="Positive 4 2 4 4 2 2" xfId="40750" xr:uid="{00000000-0005-0000-0000-00003B9F0000}"/>
    <cellStyle name="Positive 4 2 4 4 2 2 2" xfId="40751" xr:uid="{00000000-0005-0000-0000-00003C9F0000}"/>
    <cellStyle name="Positive 4 2 4 4 2 3" xfId="40752" xr:uid="{00000000-0005-0000-0000-00003D9F0000}"/>
    <cellStyle name="Positive 4 2 4 4 2 3 2" xfId="40753" xr:uid="{00000000-0005-0000-0000-00003E9F0000}"/>
    <cellStyle name="Positive 4 2 4 4 2 4" xfId="40754" xr:uid="{00000000-0005-0000-0000-00003F9F0000}"/>
    <cellStyle name="Positive 4 2 4 4 2 4 2" xfId="40755" xr:uid="{00000000-0005-0000-0000-0000409F0000}"/>
    <cellStyle name="Positive 4 2 4 4 2 5" xfId="40756" xr:uid="{00000000-0005-0000-0000-0000419F0000}"/>
    <cellStyle name="Positive 4 2 4 4 2 5 2" xfId="40757" xr:uid="{00000000-0005-0000-0000-0000429F0000}"/>
    <cellStyle name="Positive 4 2 4 4 2 6" xfId="40758" xr:uid="{00000000-0005-0000-0000-0000439F0000}"/>
    <cellStyle name="Positive 4 2 4 4 2 6 2" xfId="40759" xr:uid="{00000000-0005-0000-0000-0000449F0000}"/>
    <cellStyle name="Positive 4 2 4 4 2 7" xfId="40760" xr:uid="{00000000-0005-0000-0000-0000459F0000}"/>
    <cellStyle name="Positive 4 2 4 4 2 7 2" xfId="40761" xr:uid="{00000000-0005-0000-0000-0000469F0000}"/>
    <cellStyle name="Positive 4 2 4 4 2 8" xfId="40762" xr:uid="{00000000-0005-0000-0000-0000479F0000}"/>
    <cellStyle name="Positive 4 2 4 4 2 8 2" xfId="40763" xr:uid="{00000000-0005-0000-0000-0000489F0000}"/>
    <cellStyle name="Positive 4 2 4 4 2 9" xfId="40764" xr:uid="{00000000-0005-0000-0000-0000499F0000}"/>
    <cellStyle name="Positive 4 2 4 4 2 9 2" xfId="40765" xr:uid="{00000000-0005-0000-0000-00004A9F0000}"/>
    <cellStyle name="Positive 4 2 4 4 20" xfId="40766" xr:uid="{00000000-0005-0000-0000-00004B9F0000}"/>
    <cellStyle name="Positive 4 2 4 4 3" xfId="40767" xr:uid="{00000000-0005-0000-0000-00004C9F0000}"/>
    <cellStyle name="Positive 4 2 4 4 3 2" xfId="40768" xr:uid="{00000000-0005-0000-0000-00004D9F0000}"/>
    <cellStyle name="Positive 4 2 4 4 3 2 2" xfId="40769" xr:uid="{00000000-0005-0000-0000-00004E9F0000}"/>
    <cellStyle name="Positive 4 2 4 4 3 3" xfId="40770" xr:uid="{00000000-0005-0000-0000-00004F9F0000}"/>
    <cellStyle name="Positive 4 2 4 4 4" xfId="40771" xr:uid="{00000000-0005-0000-0000-0000509F0000}"/>
    <cellStyle name="Positive 4 2 4 4 4 2" xfId="40772" xr:uid="{00000000-0005-0000-0000-0000519F0000}"/>
    <cellStyle name="Positive 4 2 4 4 4 2 2" xfId="40773" xr:uid="{00000000-0005-0000-0000-0000529F0000}"/>
    <cellStyle name="Positive 4 2 4 4 4 3" xfId="40774" xr:uid="{00000000-0005-0000-0000-0000539F0000}"/>
    <cellStyle name="Positive 4 2 4 4 5" xfId="40775" xr:uid="{00000000-0005-0000-0000-0000549F0000}"/>
    <cellStyle name="Positive 4 2 4 4 5 2" xfId="40776" xr:uid="{00000000-0005-0000-0000-0000559F0000}"/>
    <cellStyle name="Positive 4 2 4 4 6" xfId="40777" xr:uid="{00000000-0005-0000-0000-0000569F0000}"/>
    <cellStyle name="Positive 4 2 4 4 6 2" xfId="40778" xr:uid="{00000000-0005-0000-0000-0000579F0000}"/>
    <cellStyle name="Positive 4 2 4 4 7" xfId="40779" xr:uid="{00000000-0005-0000-0000-0000589F0000}"/>
    <cellStyle name="Positive 4 2 4 4 7 2" xfId="40780" xr:uid="{00000000-0005-0000-0000-0000599F0000}"/>
    <cellStyle name="Positive 4 2 4 4 8" xfId="40781" xr:uid="{00000000-0005-0000-0000-00005A9F0000}"/>
    <cellStyle name="Positive 4 2 4 4 8 2" xfId="40782" xr:uid="{00000000-0005-0000-0000-00005B9F0000}"/>
    <cellStyle name="Positive 4 2 4 4 9" xfId="40783" xr:uid="{00000000-0005-0000-0000-00005C9F0000}"/>
    <cellStyle name="Positive 4 2 4 4 9 2" xfId="40784" xr:uid="{00000000-0005-0000-0000-00005D9F0000}"/>
    <cellStyle name="Positive 4 2 4 5" xfId="40785" xr:uid="{00000000-0005-0000-0000-00005E9F0000}"/>
    <cellStyle name="Positive 4 2 4 5 10" xfId="40786" xr:uid="{00000000-0005-0000-0000-00005F9F0000}"/>
    <cellStyle name="Positive 4 2 4 5 10 2" xfId="40787" xr:uid="{00000000-0005-0000-0000-0000609F0000}"/>
    <cellStyle name="Positive 4 2 4 5 11" xfId="40788" xr:uid="{00000000-0005-0000-0000-0000619F0000}"/>
    <cellStyle name="Positive 4 2 4 5 11 2" xfId="40789" xr:uid="{00000000-0005-0000-0000-0000629F0000}"/>
    <cellStyle name="Positive 4 2 4 5 12" xfId="40790" xr:uid="{00000000-0005-0000-0000-0000639F0000}"/>
    <cellStyle name="Positive 4 2 4 5 12 2" xfId="40791" xr:uid="{00000000-0005-0000-0000-0000649F0000}"/>
    <cellStyle name="Positive 4 2 4 5 13" xfId="40792" xr:uid="{00000000-0005-0000-0000-0000659F0000}"/>
    <cellStyle name="Positive 4 2 4 5 13 2" xfId="40793" xr:uid="{00000000-0005-0000-0000-0000669F0000}"/>
    <cellStyle name="Positive 4 2 4 5 14" xfId="40794" xr:uid="{00000000-0005-0000-0000-0000679F0000}"/>
    <cellStyle name="Positive 4 2 4 5 14 2" xfId="40795" xr:uid="{00000000-0005-0000-0000-0000689F0000}"/>
    <cellStyle name="Positive 4 2 4 5 15" xfId="40796" xr:uid="{00000000-0005-0000-0000-0000699F0000}"/>
    <cellStyle name="Positive 4 2 4 5 15 2" xfId="40797" xr:uid="{00000000-0005-0000-0000-00006A9F0000}"/>
    <cellStyle name="Positive 4 2 4 5 16" xfId="40798" xr:uid="{00000000-0005-0000-0000-00006B9F0000}"/>
    <cellStyle name="Positive 4 2 4 5 16 2" xfId="40799" xr:uid="{00000000-0005-0000-0000-00006C9F0000}"/>
    <cellStyle name="Positive 4 2 4 5 17" xfId="40800" xr:uid="{00000000-0005-0000-0000-00006D9F0000}"/>
    <cellStyle name="Positive 4 2 4 5 2" xfId="40801" xr:uid="{00000000-0005-0000-0000-00006E9F0000}"/>
    <cellStyle name="Positive 4 2 4 5 2 2" xfId="40802" xr:uid="{00000000-0005-0000-0000-00006F9F0000}"/>
    <cellStyle name="Positive 4 2 4 5 3" xfId="40803" xr:uid="{00000000-0005-0000-0000-0000709F0000}"/>
    <cellStyle name="Positive 4 2 4 5 3 2" xfId="40804" xr:uid="{00000000-0005-0000-0000-0000719F0000}"/>
    <cellStyle name="Positive 4 2 4 5 4" xfId="40805" xr:uid="{00000000-0005-0000-0000-0000729F0000}"/>
    <cellStyle name="Positive 4 2 4 5 4 2" xfId="40806" xr:uid="{00000000-0005-0000-0000-0000739F0000}"/>
    <cellStyle name="Positive 4 2 4 5 5" xfId="40807" xr:uid="{00000000-0005-0000-0000-0000749F0000}"/>
    <cellStyle name="Positive 4 2 4 5 5 2" xfId="40808" xr:uid="{00000000-0005-0000-0000-0000759F0000}"/>
    <cellStyle name="Positive 4 2 4 5 6" xfId="40809" xr:uid="{00000000-0005-0000-0000-0000769F0000}"/>
    <cellStyle name="Positive 4 2 4 5 6 2" xfId="40810" xr:uid="{00000000-0005-0000-0000-0000779F0000}"/>
    <cellStyle name="Positive 4 2 4 5 7" xfId="40811" xr:uid="{00000000-0005-0000-0000-0000789F0000}"/>
    <cellStyle name="Positive 4 2 4 5 7 2" xfId="40812" xr:uid="{00000000-0005-0000-0000-0000799F0000}"/>
    <cellStyle name="Positive 4 2 4 5 8" xfId="40813" xr:uid="{00000000-0005-0000-0000-00007A9F0000}"/>
    <cellStyle name="Positive 4 2 4 5 8 2" xfId="40814" xr:uid="{00000000-0005-0000-0000-00007B9F0000}"/>
    <cellStyle name="Positive 4 2 4 5 9" xfId="40815" xr:uid="{00000000-0005-0000-0000-00007C9F0000}"/>
    <cellStyle name="Positive 4 2 4 5 9 2" xfId="40816" xr:uid="{00000000-0005-0000-0000-00007D9F0000}"/>
    <cellStyle name="Positive 4 2 4 6" xfId="40817" xr:uid="{00000000-0005-0000-0000-00007E9F0000}"/>
    <cellStyle name="Positive 4 2 4 6 2" xfId="40818" xr:uid="{00000000-0005-0000-0000-00007F9F0000}"/>
    <cellStyle name="Positive 4 2 4 6 2 2" xfId="40819" xr:uid="{00000000-0005-0000-0000-0000809F0000}"/>
    <cellStyle name="Positive 4 2 4 6 3" xfId="40820" xr:uid="{00000000-0005-0000-0000-0000819F0000}"/>
    <cellStyle name="Positive 4 2 4 7" xfId="40821" xr:uid="{00000000-0005-0000-0000-0000829F0000}"/>
    <cellStyle name="Positive 4 2 4 7 2" xfId="40822" xr:uid="{00000000-0005-0000-0000-0000839F0000}"/>
    <cellStyle name="Positive 4 2 4 7 2 2" xfId="40823" xr:uid="{00000000-0005-0000-0000-0000849F0000}"/>
    <cellStyle name="Positive 4 2 4 7 3" xfId="40824" xr:uid="{00000000-0005-0000-0000-0000859F0000}"/>
    <cellStyle name="Positive 4 2 4 8" xfId="40825" xr:uid="{00000000-0005-0000-0000-0000869F0000}"/>
    <cellStyle name="Positive 4 2 4 8 2" xfId="40826" xr:uid="{00000000-0005-0000-0000-0000879F0000}"/>
    <cellStyle name="Positive 4 2 4 9" xfId="40827" xr:uid="{00000000-0005-0000-0000-0000889F0000}"/>
    <cellStyle name="Positive 4 2 4 9 2" xfId="40828" xr:uid="{00000000-0005-0000-0000-0000899F0000}"/>
    <cellStyle name="Positive 4 2 5" xfId="40829" xr:uid="{00000000-0005-0000-0000-00008A9F0000}"/>
    <cellStyle name="Positive 4 2 5 10" xfId="40830" xr:uid="{00000000-0005-0000-0000-00008B9F0000}"/>
    <cellStyle name="Positive 4 2 5 10 2" xfId="40831" xr:uid="{00000000-0005-0000-0000-00008C9F0000}"/>
    <cellStyle name="Positive 4 2 5 11" xfId="40832" xr:uid="{00000000-0005-0000-0000-00008D9F0000}"/>
    <cellStyle name="Positive 4 2 5 11 2" xfId="40833" xr:uid="{00000000-0005-0000-0000-00008E9F0000}"/>
    <cellStyle name="Positive 4 2 5 12" xfId="40834" xr:uid="{00000000-0005-0000-0000-00008F9F0000}"/>
    <cellStyle name="Positive 4 2 5 12 2" xfId="40835" xr:uid="{00000000-0005-0000-0000-0000909F0000}"/>
    <cellStyle name="Positive 4 2 5 13" xfId="40836" xr:uid="{00000000-0005-0000-0000-0000919F0000}"/>
    <cellStyle name="Positive 4 2 5 13 2" xfId="40837" xr:uid="{00000000-0005-0000-0000-0000929F0000}"/>
    <cellStyle name="Positive 4 2 5 14" xfId="40838" xr:uid="{00000000-0005-0000-0000-0000939F0000}"/>
    <cellStyle name="Positive 4 2 5 14 2" xfId="40839" xr:uid="{00000000-0005-0000-0000-0000949F0000}"/>
    <cellStyle name="Positive 4 2 5 15" xfId="40840" xr:uid="{00000000-0005-0000-0000-0000959F0000}"/>
    <cellStyle name="Positive 4 2 5 15 2" xfId="40841" xr:uid="{00000000-0005-0000-0000-0000969F0000}"/>
    <cellStyle name="Positive 4 2 5 16" xfId="40842" xr:uid="{00000000-0005-0000-0000-0000979F0000}"/>
    <cellStyle name="Positive 4 2 5 16 2" xfId="40843" xr:uid="{00000000-0005-0000-0000-0000989F0000}"/>
    <cellStyle name="Positive 4 2 5 17" xfId="40844" xr:uid="{00000000-0005-0000-0000-0000999F0000}"/>
    <cellStyle name="Positive 4 2 5 17 2" xfId="40845" xr:uid="{00000000-0005-0000-0000-00009A9F0000}"/>
    <cellStyle name="Positive 4 2 5 18" xfId="40846" xr:uid="{00000000-0005-0000-0000-00009B9F0000}"/>
    <cellStyle name="Positive 4 2 5 18 2" xfId="40847" xr:uid="{00000000-0005-0000-0000-00009C9F0000}"/>
    <cellStyle name="Positive 4 2 5 19" xfId="40848" xr:uid="{00000000-0005-0000-0000-00009D9F0000}"/>
    <cellStyle name="Positive 4 2 5 19 2" xfId="40849" xr:uid="{00000000-0005-0000-0000-00009E9F0000}"/>
    <cellStyle name="Positive 4 2 5 2" xfId="40850" xr:uid="{00000000-0005-0000-0000-00009F9F0000}"/>
    <cellStyle name="Positive 4 2 5 2 10" xfId="40851" xr:uid="{00000000-0005-0000-0000-0000A09F0000}"/>
    <cellStyle name="Positive 4 2 5 2 10 2" xfId="40852" xr:uid="{00000000-0005-0000-0000-0000A19F0000}"/>
    <cellStyle name="Positive 4 2 5 2 11" xfId="40853" xr:uid="{00000000-0005-0000-0000-0000A29F0000}"/>
    <cellStyle name="Positive 4 2 5 2 11 2" xfId="40854" xr:uid="{00000000-0005-0000-0000-0000A39F0000}"/>
    <cellStyle name="Positive 4 2 5 2 12" xfId="40855" xr:uid="{00000000-0005-0000-0000-0000A49F0000}"/>
    <cellStyle name="Positive 4 2 5 2 12 2" xfId="40856" xr:uid="{00000000-0005-0000-0000-0000A59F0000}"/>
    <cellStyle name="Positive 4 2 5 2 13" xfId="40857" xr:uid="{00000000-0005-0000-0000-0000A69F0000}"/>
    <cellStyle name="Positive 4 2 5 2 13 2" xfId="40858" xr:uid="{00000000-0005-0000-0000-0000A79F0000}"/>
    <cellStyle name="Positive 4 2 5 2 14" xfId="40859" xr:uid="{00000000-0005-0000-0000-0000A89F0000}"/>
    <cellStyle name="Positive 4 2 5 2 14 2" xfId="40860" xr:uid="{00000000-0005-0000-0000-0000A99F0000}"/>
    <cellStyle name="Positive 4 2 5 2 15" xfId="40861" xr:uid="{00000000-0005-0000-0000-0000AA9F0000}"/>
    <cellStyle name="Positive 4 2 5 2 15 2" xfId="40862" xr:uid="{00000000-0005-0000-0000-0000AB9F0000}"/>
    <cellStyle name="Positive 4 2 5 2 16" xfId="40863" xr:uid="{00000000-0005-0000-0000-0000AC9F0000}"/>
    <cellStyle name="Positive 4 2 5 2 16 2" xfId="40864" xr:uid="{00000000-0005-0000-0000-0000AD9F0000}"/>
    <cellStyle name="Positive 4 2 5 2 17" xfId="40865" xr:uid="{00000000-0005-0000-0000-0000AE9F0000}"/>
    <cellStyle name="Positive 4 2 5 2 17 2" xfId="40866" xr:uid="{00000000-0005-0000-0000-0000AF9F0000}"/>
    <cellStyle name="Positive 4 2 5 2 18" xfId="40867" xr:uid="{00000000-0005-0000-0000-0000B09F0000}"/>
    <cellStyle name="Positive 4 2 5 2 18 2" xfId="40868" xr:uid="{00000000-0005-0000-0000-0000B19F0000}"/>
    <cellStyle name="Positive 4 2 5 2 19" xfId="40869" xr:uid="{00000000-0005-0000-0000-0000B29F0000}"/>
    <cellStyle name="Positive 4 2 5 2 19 2" xfId="40870" xr:uid="{00000000-0005-0000-0000-0000B39F0000}"/>
    <cellStyle name="Positive 4 2 5 2 2" xfId="40871" xr:uid="{00000000-0005-0000-0000-0000B49F0000}"/>
    <cellStyle name="Positive 4 2 5 2 2 10" xfId="40872" xr:uid="{00000000-0005-0000-0000-0000B59F0000}"/>
    <cellStyle name="Positive 4 2 5 2 2 10 2" xfId="40873" xr:uid="{00000000-0005-0000-0000-0000B69F0000}"/>
    <cellStyle name="Positive 4 2 5 2 2 11" xfId="40874" xr:uid="{00000000-0005-0000-0000-0000B79F0000}"/>
    <cellStyle name="Positive 4 2 5 2 2 11 2" xfId="40875" xr:uid="{00000000-0005-0000-0000-0000B89F0000}"/>
    <cellStyle name="Positive 4 2 5 2 2 12" xfId="40876" xr:uid="{00000000-0005-0000-0000-0000B99F0000}"/>
    <cellStyle name="Positive 4 2 5 2 2 12 2" xfId="40877" xr:uid="{00000000-0005-0000-0000-0000BA9F0000}"/>
    <cellStyle name="Positive 4 2 5 2 2 13" xfId="40878" xr:uid="{00000000-0005-0000-0000-0000BB9F0000}"/>
    <cellStyle name="Positive 4 2 5 2 2 13 2" xfId="40879" xr:uid="{00000000-0005-0000-0000-0000BC9F0000}"/>
    <cellStyle name="Positive 4 2 5 2 2 14" xfId="40880" xr:uid="{00000000-0005-0000-0000-0000BD9F0000}"/>
    <cellStyle name="Positive 4 2 5 2 2 14 2" xfId="40881" xr:uid="{00000000-0005-0000-0000-0000BE9F0000}"/>
    <cellStyle name="Positive 4 2 5 2 2 15" xfId="40882" xr:uid="{00000000-0005-0000-0000-0000BF9F0000}"/>
    <cellStyle name="Positive 4 2 5 2 2 15 2" xfId="40883" xr:uid="{00000000-0005-0000-0000-0000C09F0000}"/>
    <cellStyle name="Positive 4 2 5 2 2 16" xfId="40884" xr:uid="{00000000-0005-0000-0000-0000C19F0000}"/>
    <cellStyle name="Positive 4 2 5 2 2 16 2" xfId="40885" xr:uid="{00000000-0005-0000-0000-0000C29F0000}"/>
    <cellStyle name="Positive 4 2 5 2 2 17" xfId="40886" xr:uid="{00000000-0005-0000-0000-0000C39F0000}"/>
    <cellStyle name="Positive 4 2 5 2 2 2" xfId="40887" xr:uid="{00000000-0005-0000-0000-0000C49F0000}"/>
    <cellStyle name="Positive 4 2 5 2 2 2 2" xfId="40888" xr:uid="{00000000-0005-0000-0000-0000C59F0000}"/>
    <cellStyle name="Positive 4 2 5 2 2 3" xfId="40889" xr:uid="{00000000-0005-0000-0000-0000C69F0000}"/>
    <cellStyle name="Positive 4 2 5 2 2 3 2" xfId="40890" xr:uid="{00000000-0005-0000-0000-0000C79F0000}"/>
    <cellStyle name="Positive 4 2 5 2 2 4" xfId="40891" xr:uid="{00000000-0005-0000-0000-0000C89F0000}"/>
    <cellStyle name="Positive 4 2 5 2 2 4 2" xfId="40892" xr:uid="{00000000-0005-0000-0000-0000C99F0000}"/>
    <cellStyle name="Positive 4 2 5 2 2 5" xfId="40893" xr:uid="{00000000-0005-0000-0000-0000CA9F0000}"/>
    <cellStyle name="Positive 4 2 5 2 2 5 2" xfId="40894" xr:uid="{00000000-0005-0000-0000-0000CB9F0000}"/>
    <cellStyle name="Positive 4 2 5 2 2 6" xfId="40895" xr:uid="{00000000-0005-0000-0000-0000CC9F0000}"/>
    <cellStyle name="Positive 4 2 5 2 2 6 2" xfId="40896" xr:uid="{00000000-0005-0000-0000-0000CD9F0000}"/>
    <cellStyle name="Positive 4 2 5 2 2 7" xfId="40897" xr:uid="{00000000-0005-0000-0000-0000CE9F0000}"/>
    <cellStyle name="Positive 4 2 5 2 2 7 2" xfId="40898" xr:uid="{00000000-0005-0000-0000-0000CF9F0000}"/>
    <cellStyle name="Positive 4 2 5 2 2 8" xfId="40899" xr:uid="{00000000-0005-0000-0000-0000D09F0000}"/>
    <cellStyle name="Positive 4 2 5 2 2 8 2" xfId="40900" xr:uid="{00000000-0005-0000-0000-0000D19F0000}"/>
    <cellStyle name="Positive 4 2 5 2 2 9" xfId="40901" xr:uid="{00000000-0005-0000-0000-0000D29F0000}"/>
    <cellStyle name="Positive 4 2 5 2 2 9 2" xfId="40902" xr:uid="{00000000-0005-0000-0000-0000D39F0000}"/>
    <cellStyle name="Positive 4 2 5 2 20" xfId="40903" xr:uid="{00000000-0005-0000-0000-0000D49F0000}"/>
    <cellStyle name="Positive 4 2 5 2 3" xfId="40904" xr:uid="{00000000-0005-0000-0000-0000D59F0000}"/>
    <cellStyle name="Positive 4 2 5 2 3 2" xfId="40905" xr:uid="{00000000-0005-0000-0000-0000D69F0000}"/>
    <cellStyle name="Positive 4 2 5 2 3 2 2" xfId="40906" xr:uid="{00000000-0005-0000-0000-0000D79F0000}"/>
    <cellStyle name="Positive 4 2 5 2 3 3" xfId="40907" xr:uid="{00000000-0005-0000-0000-0000D89F0000}"/>
    <cellStyle name="Positive 4 2 5 2 4" xfId="40908" xr:uid="{00000000-0005-0000-0000-0000D99F0000}"/>
    <cellStyle name="Positive 4 2 5 2 4 2" xfId="40909" xr:uid="{00000000-0005-0000-0000-0000DA9F0000}"/>
    <cellStyle name="Positive 4 2 5 2 4 2 2" xfId="40910" xr:uid="{00000000-0005-0000-0000-0000DB9F0000}"/>
    <cellStyle name="Positive 4 2 5 2 4 3" xfId="40911" xr:uid="{00000000-0005-0000-0000-0000DC9F0000}"/>
    <cellStyle name="Positive 4 2 5 2 5" xfId="40912" xr:uid="{00000000-0005-0000-0000-0000DD9F0000}"/>
    <cellStyle name="Positive 4 2 5 2 5 2" xfId="40913" xr:uid="{00000000-0005-0000-0000-0000DE9F0000}"/>
    <cellStyle name="Positive 4 2 5 2 6" xfId="40914" xr:uid="{00000000-0005-0000-0000-0000DF9F0000}"/>
    <cellStyle name="Positive 4 2 5 2 6 2" xfId="40915" xr:uid="{00000000-0005-0000-0000-0000E09F0000}"/>
    <cellStyle name="Positive 4 2 5 2 7" xfId="40916" xr:uid="{00000000-0005-0000-0000-0000E19F0000}"/>
    <cellStyle name="Positive 4 2 5 2 7 2" xfId="40917" xr:uid="{00000000-0005-0000-0000-0000E29F0000}"/>
    <cellStyle name="Positive 4 2 5 2 8" xfId="40918" xr:uid="{00000000-0005-0000-0000-0000E39F0000}"/>
    <cellStyle name="Positive 4 2 5 2 8 2" xfId="40919" xr:uid="{00000000-0005-0000-0000-0000E49F0000}"/>
    <cellStyle name="Positive 4 2 5 2 9" xfId="40920" xr:uid="{00000000-0005-0000-0000-0000E59F0000}"/>
    <cellStyle name="Positive 4 2 5 2 9 2" xfId="40921" xr:uid="{00000000-0005-0000-0000-0000E69F0000}"/>
    <cellStyle name="Positive 4 2 5 20" xfId="40922" xr:uid="{00000000-0005-0000-0000-0000E79F0000}"/>
    <cellStyle name="Positive 4 2 5 20 2" xfId="40923" xr:uid="{00000000-0005-0000-0000-0000E89F0000}"/>
    <cellStyle name="Positive 4 2 5 21" xfId="40924" xr:uid="{00000000-0005-0000-0000-0000E99F0000}"/>
    <cellStyle name="Positive 4 2 5 21 2" xfId="40925" xr:uid="{00000000-0005-0000-0000-0000EA9F0000}"/>
    <cellStyle name="Positive 4 2 5 22" xfId="40926" xr:uid="{00000000-0005-0000-0000-0000EB9F0000}"/>
    <cellStyle name="Positive 4 2 5 22 2" xfId="40927" xr:uid="{00000000-0005-0000-0000-0000EC9F0000}"/>
    <cellStyle name="Positive 4 2 5 23" xfId="40928" xr:uid="{00000000-0005-0000-0000-0000ED9F0000}"/>
    <cellStyle name="Positive 4 2 5 3" xfId="40929" xr:uid="{00000000-0005-0000-0000-0000EE9F0000}"/>
    <cellStyle name="Positive 4 2 5 3 10" xfId="40930" xr:uid="{00000000-0005-0000-0000-0000EF9F0000}"/>
    <cellStyle name="Positive 4 2 5 3 10 2" xfId="40931" xr:uid="{00000000-0005-0000-0000-0000F09F0000}"/>
    <cellStyle name="Positive 4 2 5 3 11" xfId="40932" xr:uid="{00000000-0005-0000-0000-0000F19F0000}"/>
    <cellStyle name="Positive 4 2 5 3 11 2" xfId="40933" xr:uid="{00000000-0005-0000-0000-0000F29F0000}"/>
    <cellStyle name="Positive 4 2 5 3 12" xfId="40934" xr:uid="{00000000-0005-0000-0000-0000F39F0000}"/>
    <cellStyle name="Positive 4 2 5 3 12 2" xfId="40935" xr:uid="{00000000-0005-0000-0000-0000F49F0000}"/>
    <cellStyle name="Positive 4 2 5 3 13" xfId="40936" xr:uid="{00000000-0005-0000-0000-0000F59F0000}"/>
    <cellStyle name="Positive 4 2 5 3 13 2" xfId="40937" xr:uid="{00000000-0005-0000-0000-0000F69F0000}"/>
    <cellStyle name="Positive 4 2 5 3 14" xfId="40938" xr:uid="{00000000-0005-0000-0000-0000F79F0000}"/>
    <cellStyle name="Positive 4 2 5 3 14 2" xfId="40939" xr:uid="{00000000-0005-0000-0000-0000F89F0000}"/>
    <cellStyle name="Positive 4 2 5 3 15" xfId="40940" xr:uid="{00000000-0005-0000-0000-0000F99F0000}"/>
    <cellStyle name="Positive 4 2 5 3 15 2" xfId="40941" xr:uid="{00000000-0005-0000-0000-0000FA9F0000}"/>
    <cellStyle name="Positive 4 2 5 3 16" xfId="40942" xr:uid="{00000000-0005-0000-0000-0000FB9F0000}"/>
    <cellStyle name="Positive 4 2 5 3 16 2" xfId="40943" xr:uid="{00000000-0005-0000-0000-0000FC9F0000}"/>
    <cellStyle name="Positive 4 2 5 3 17" xfId="40944" xr:uid="{00000000-0005-0000-0000-0000FD9F0000}"/>
    <cellStyle name="Positive 4 2 5 3 17 2" xfId="40945" xr:uid="{00000000-0005-0000-0000-0000FE9F0000}"/>
    <cellStyle name="Positive 4 2 5 3 18" xfId="40946" xr:uid="{00000000-0005-0000-0000-0000FF9F0000}"/>
    <cellStyle name="Positive 4 2 5 3 18 2" xfId="40947" xr:uid="{00000000-0005-0000-0000-000000A00000}"/>
    <cellStyle name="Positive 4 2 5 3 19" xfId="40948" xr:uid="{00000000-0005-0000-0000-000001A00000}"/>
    <cellStyle name="Positive 4 2 5 3 19 2" xfId="40949" xr:uid="{00000000-0005-0000-0000-000002A00000}"/>
    <cellStyle name="Positive 4 2 5 3 2" xfId="40950" xr:uid="{00000000-0005-0000-0000-000003A00000}"/>
    <cellStyle name="Positive 4 2 5 3 2 10" xfId="40951" xr:uid="{00000000-0005-0000-0000-000004A00000}"/>
    <cellStyle name="Positive 4 2 5 3 2 10 2" xfId="40952" xr:uid="{00000000-0005-0000-0000-000005A00000}"/>
    <cellStyle name="Positive 4 2 5 3 2 11" xfId="40953" xr:uid="{00000000-0005-0000-0000-000006A00000}"/>
    <cellStyle name="Positive 4 2 5 3 2 11 2" xfId="40954" xr:uid="{00000000-0005-0000-0000-000007A00000}"/>
    <cellStyle name="Positive 4 2 5 3 2 12" xfId="40955" xr:uid="{00000000-0005-0000-0000-000008A00000}"/>
    <cellStyle name="Positive 4 2 5 3 2 12 2" xfId="40956" xr:uid="{00000000-0005-0000-0000-000009A00000}"/>
    <cellStyle name="Positive 4 2 5 3 2 13" xfId="40957" xr:uid="{00000000-0005-0000-0000-00000AA00000}"/>
    <cellStyle name="Positive 4 2 5 3 2 13 2" xfId="40958" xr:uid="{00000000-0005-0000-0000-00000BA00000}"/>
    <cellStyle name="Positive 4 2 5 3 2 14" xfId="40959" xr:uid="{00000000-0005-0000-0000-00000CA00000}"/>
    <cellStyle name="Positive 4 2 5 3 2 14 2" xfId="40960" xr:uid="{00000000-0005-0000-0000-00000DA00000}"/>
    <cellStyle name="Positive 4 2 5 3 2 15" xfId="40961" xr:uid="{00000000-0005-0000-0000-00000EA00000}"/>
    <cellStyle name="Positive 4 2 5 3 2 15 2" xfId="40962" xr:uid="{00000000-0005-0000-0000-00000FA00000}"/>
    <cellStyle name="Positive 4 2 5 3 2 16" xfId="40963" xr:uid="{00000000-0005-0000-0000-000010A00000}"/>
    <cellStyle name="Positive 4 2 5 3 2 16 2" xfId="40964" xr:uid="{00000000-0005-0000-0000-000011A00000}"/>
    <cellStyle name="Positive 4 2 5 3 2 17" xfId="40965" xr:uid="{00000000-0005-0000-0000-000012A00000}"/>
    <cellStyle name="Positive 4 2 5 3 2 2" xfId="40966" xr:uid="{00000000-0005-0000-0000-000013A00000}"/>
    <cellStyle name="Positive 4 2 5 3 2 2 2" xfId="40967" xr:uid="{00000000-0005-0000-0000-000014A00000}"/>
    <cellStyle name="Positive 4 2 5 3 2 3" xfId="40968" xr:uid="{00000000-0005-0000-0000-000015A00000}"/>
    <cellStyle name="Positive 4 2 5 3 2 3 2" xfId="40969" xr:uid="{00000000-0005-0000-0000-000016A00000}"/>
    <cellStyle name="Positive 4 2 5 3 2 4" xfId="40970" xr:uid="{00000000-0005-0000-0000-000017A00000}"/>
    <cellStyle name="Positive 4 2 5 3 2 4 2" xfId="40971" xr:uid="{00000000-0005-0000-0000-000018A00000}"/>
    <cellStyle name="Positive 4 2 5 3 2 5" xfId="40972" xr:uid="{00000000-0005-0000-0000-000019A00000}"/>
    <cellStyle name="Positive 4 2 5 3 2 5 2" xfId="40973" xr:uid="{00000000-0005-0000-0000-00001AA00000}"/>
    <cellStyle name="Positive 4 2 5 3 2 6" xfId="40974" xr:uid="{00000000-0005-0000-0000-00001BA00000}"/>
    <cellStyle name="Positive 4 2 5 3 2 6 2" xfId="40975" xr:uid="{00000000-0005-0000-0000-00001CA00000}"/>
    <cellStyle name="Positive 4 2 5 3 2 7" xfId="40976" xr:uid="{00000000-0005-0000-0000-00001DA00000}"/>
    <cellStyle name="Positive 4 2 5 3 2 7 2" xfId="40977" xr:uid="{00000000-0005-0000-0000-00001EA00000}"/>
    <cellStyle name="Positive 4 2 5 3 2 8" xfId="40978" xr:uid="{00000000-0005-0000-0000-00001FA00000}"/>
    <cellStyle name="Positive 4 2 5 3 2 8 2" xfId="40979" xr:uid="{00000000-0005-0000-0000-000020A00000}"/>
    <cellStyle name="Positive 4 2 5 3 2 9" xfId="40980" xr:uid="{00000000-0005-0000-0000-000021A00000}"/>
    <cellStyle name="Positive 4 2 5 3 2 9 2" xfId="40981" xr:uid="{00000000-0005-0000-0000-000022A00000}"/>
    <cellStyle name="Positive 4 2 5 3 20" xfId="40982" xr:uid="{00000000-0005-0000-0000-000023A00000}"/>
    <cellStyle name="Positive 4 2 5 3 3" xfId="40983" xr:uid="{00000000-0005-0000-0000-000024A00000}"/>
    <cellStyle name="Positive 4 2 5 3 3 2" xfId="40984" xr:uid="{00000000-0005-0000-0000-000025A00000}"/>
    <cellStyle name="Positive 4 2 5 3 3 2 2" xfId="40985" xr:uid="{00000000-0005-0000-0000-000026A00000}"/>
    <cellStyle name="Positive 4 2 5 3 3 3" xfId="40986" xr:uid="{00000000-0005-0000-0000-000027A00000}"/>
    <cellStyle name="Positive 4 2 5 3 4" xfId="40987" xr:uid="{00000000-0005-0000-0000-000028A00000}"/>
    <cellStyle name="Positive 4 2 5 3 4 2" xfId="40988" xr:uid="{00000000-0005-0000-0000-000029A00000}"/>
    <cellStyle name="Positive 4 2 5 3 4 2 2" xfId="40989" xr:uid="{00000000-0005-0000-0000-00002AA00000}"/>
    <cellStyle name="Positive 4 2 5 3 4 3" xfId="40990" xr:uid="{00000000-0005-0000-0000-00002BA00000}"/>
    <cellStyle name="Positive 4 2 5 3 5" xfId="40991" xr:uid="{00000000-0005-0000-0000-00002CA00000}"/>
    <cellStyle name="Positive 4 2 5 3 5 2" xfId="40992" xr:uid="{00000000-0005-0000-0000-00002DA00000}"/>
    <cellStyle name="Positive 4 2 5 3 6" xfId="40993" xr:uid="{00000000-0005-0000-0000-00002EA00000}"/>
    <cellStyle name="Positive 4 2 5 3 6 2" xfId="40994" xr:uid="{00000000-0005-0000-0000-00002FA00000}"/>
    <cellStyle name="Positive 4 2 5 3 7" xfId="40995" xr:uid="{00000000-0005-0000-0000-000030A00000}"/>
    <cellStyle name="Positive 4 2 5 3 7 2" xfId="40996" xr:uid="{00000000-0005-0000-0000-000031A00000}"/>
    <cellStyle name="Positive 4 2 5 3 8" xfId="40997" xr:uid="{00000000-0005-0000-0000-000032A00000}"/>
    <cellStyle name="Positive 4 2 5 3 8 2" xfId="40998" xr:uid="{00000000-0005-0000-0000-000033A00000}"/>
    <cellStyle name="Positive 4 2 5 3 9" xfId="40999" xr:uid="{00000000-0005-0000-0000-000034A00000}"/>
    <cellStyle name="Positive 4 2 5 3 9 2" xfId="41000" xr:uid="{00000000-0005-0000-0000-000035A00000}"/>
    <cellStyle name="Positive 4 2 5 4" xfId="41001" xr:uid="{00000000-0005-0000-0000-000036A00000}"/>
    <cellStyle name="Positive 4 2 5 4 10" xfId="41002" xr:uid="{00000000-0005-0000-0000-000037A00000}"/>
    <cellStyle name="Positive 4 2 5 4 10 2" xfId="41003" xr:uid="{00000000-0005-0000-0000-000038A00000}"/>
    <cellStyle name="Positive 4 2 5 4 11" xfId="41004" xr:uid="{00000000-0005-0000-0000-000039A00000}"/>
    <cellStyle name="Positive 4 2 5 4 11 2" xfId="41005" xr:uid="{00000000-0005-0000-0000-00003AA00000}"/>
    <cellStyle name="Positive 4 2 5 4 12" xfId="41006" xr:uid="{00000000-0005-0000-0000-00003BA00000}"/>
    <cellStyle name="Positive 4 2 5 4 12 2" xfId="41007" xr:uid="{00000000-0005-0000-0000-00003CA00000}"/>
    <cellStyle name="Positive 4 2 5 4 13" xfId="41008" xr:uid="{00000000-0005-0000-0000-00003DA00000}"/>
    <cellStyle name="Positive 4 2 5 4 13 2" xfId="41009" xr:uid="{00000000-0005-0000-0000-00003EA00000}"/>
    <cellStyle name="Positive 4 2 5 4 14" xfId="41010" xr:uid="{00000000-0005-0000-0000-00003FA00000}"/>
    <cellStyle name="Positive 4 2 5 4 14 2" xfId="41011" xr:uid="{00000000-0005-0000-0000-000040A00000}"/>
    <cellStyle name="Positive 4 2 5 4 15" xfId="41012" xr:uid="{00000000-0005-0000-0000-000041A00000}"/>
    <cellStyle name="Positive 4 2 5 4 15 2" xfId="41013" xr:uid="{00000000-0005-0000-0000-000042A00000}"/>
    <cellStyle name="Positive 4 2 5 4 16" xfId="41014" xr:uid="{00000000-0005-0000-0000-000043A00000}"/>
    <cellStyle name="Positive 4 2 5 4 16 2" xfId="41015" xr:uid="{00000000-0005-0000-0000-000044A00000}"/>
    <cellStyle name="Positive 4 2 5 4 17" xfId="41016" xr:uid="{00000000-0005-0000-0000-000045A00000}"/>
    <cellStyle name="Positive 4 2 5 4 17 2" xfId="41017" xr:uid="{00000000-0005-0000-0000-000046A00000}"/>
    <cellStyle name="Positive 4 2 5 4 18" xfId="41018" xr:uid="{00000000-0005-0000-0000-000047A00000}"/>
    <cellStyle name="Positive 4 2 5 4 18 2" xfId="41019" xr:uid="{00000000-0005-0000-0000-000048A00000}"/>
    <cellStyle name="Positive 4 2 5 4 19" xfId="41020" xr:uid="{00000000-0005-0000-0000-000049A00000}"/>
    <cellStyle name="Positive 4 2 5 4 19 2" xfId="41021" xr:uid="{00000000-0005-0000-0000-00004AA00000}"/>
    <cellStyle name="Positive 4 2 5 4 2" xfId="41022" xr:uid="{00000000-0005-0000-0000-00004BA00000}"/>
    <cellStyle name="Positive 4 2 5 4 2 10" xfId="41023" xr:uid="{00000000-0005-0000-0000-00004CA00000}"/>
    <cellStyle name="Positive 4 2 5 4 2 10 2" xfId="41024" xr:uid="{00000000-0005-0000-0000-00004DA00000}"/>
    <cellStyle name="Positive 4 2 5 4 2 11" xfId="41025" xr:uid="{00000000-0005-0000-0000-00004EA00000}"/>
    <cellStyle name="Positive 4 2 5 4 2 11 2" xfId="41026" xr:uid="{00000000-0005-0000-0000-00004FA00000}"/>
    <cellStyle name="Positive 4 2 5 4 2 12" xfId="41027" xr:uid="{00000000-0005-0000-0000-000050A00000}"/>
    <cellStyle name="Positive 4 2 5 4 2 12 2" xfId="41028" xr:uid="{00000000-0005-0000-0000-000051A00000}"/>
    <cellStyle name="Positive 4 2 5 4 2 13" xfId="41029" xr:uid="{00000000-0005-0000-0000-000052A00000}"/>
    <cellStyle name="Positive 4 2 5 4 2 13 2" xfId="41030" xr:uid="{00000000-0005-0000-0000-000053A00000}"/>
    <cellStyle name="Positive 4 2 5 4 2 14" xfId="41031" xr:uid="{00000000-0005-0000-0000-000054A00000}"/>
    <cellStyle name="Positive 4 2 5 4 2 14 2" xfId="41032" xr:uid="{00000000-0005-0000-0000-000055A00000}"/>
    <cellStyle name="Positive 4 2 5 4 2 15" xfId="41033" xr:uid="{00000000-0005-0000-0000-000056A00000}"/>
    <cellStyle name="Positive 4 2 5 4 2 15 2" xfId="41034" xr:uid="{00000000-0005-0000-0000-000057A00000}"/>
    <cellStyle name="Positive 4 2 5 4 2 16" xfId="41035" xr:uid="{00000000-0005-0000-0000-000058A00000}"/>
    <cellStyle name="Positive 4 2 5 4 2 16 2" xfId="41036" xr:uid="{00000000-0005-0000-0000-000059A00000}"/>
    <cellStyle name="Positive 4 2 5 4 2 17" xfId="41037" xr:uid="{00000000-0005-0000-0000-00005AA00000}"/>
    <cellStyle name="Positive 4 2 5 4 2 2" xfId="41038" xr:uid="{00000000-0005-0000-0000-00005BA00000}"/>
    <cellStyle name="Positive 4 2 5 4 2 2 2" xfId="41039" xr:uid="{00000000-0005-0000-0000-00005CA00000}"/>
    <cellStyle name="Positive 4 2 5 4 2 3" xfId="41040" xr:uid="{00000000-0005-0000-0000-00005DA00000}"/>
    <cellStyle name="Positive 4 2 5 4 2 3 2" xfId="41041" xr:uid="{00000000-0005-0000-0000-00005EA00000}"/>
    <cellStyle name="Positive 4 2 5 4 2 4" xfId="41042" xr:uid="{00000000-0005-0000-0000-00005FA00000}"/>
    <cellStyle name="Positive 4 2 5 4 2 4 2" xfId="41043" xr:uid="{00000000-0005-0000-0000-000060A00000}"/>
    <cellStyle name="Positive 4 2 5 4 2 5" xfId="41044" xr:uid="{00000000-0005-0000-0000-000061A00000}"/>
    <cellStyle name="Positive 4 2 5 4 2 5 2" xfId="41045" xr:uid="{00000000-0005-0000-0000-000062A00000}"/>
    <cellStyle name="Positive 4 2 5 4 2 6" xfId="41046" xr:uid="{00000000-0005-0000-0000-000063A00000}"/>
    <cellStyle name="Positive 4 2 5 4 2 6 2" xfId="41047" xr:uid="{00000000-0005-0000-0000-000064A00000}"/>
    <cellStyle name="Positive 4 2 5 4 2 7" xfId="41048" xr:uid="{00000000-0005-0000-0000-000065A00000}"/>
    <cellStyle name="Positive 4 2 5 4 2 7 2" xfId="41049" xr:uid="{00000000-0005-0000-0000-000066A00000}"/>
    <cellStyle name="Positive 4 2 5 4 2 8" xfId="41050" xr:uid="{00000000-0005-0000-0000-000067A00000}"/>
    <cellStyle name="Positive 4 2 5 4 2 8 2" xfId="41051" xr:uid="{00000000-0005-0000-0000-000068A00000}"/>
    <cellStyle name="Positive 4 2 5 4 2 9" xfId="41052" xr:uid="{00000000-0005-0000-0000-000069A00000}"/>
    <cellStyle name="Positive 4 2 5 4 2 9 2" xfId="41053" xr:uid="{00000000-0005-0000-0000-00006AA00000}"/>
    <cellStyle name="Positive 4 2 5 4 20" xfId="41054" xr:uid="{00000000-0005-0000-0000-00006BA00000}"/>
    <cellStyle name="Positive 4 2 5 4 3" xfId="41055" xr:uid="{00000000-0005-0000-0000-00006CA00000}"/>
    <cellStyle name="Positive 4 2 5 4 3 2" xfId="41056" xr:uid="{00000000-0005-0000-0000-00006DA00000}"/>
    <cellStyle name="Positive 4 2 5 4 3 2 2" xfId="41057" xr:uid="{00000000-0005-0000-0000-00006EA00000}"/>
    <cellStyle name="Positive 4 2 5 4 3 3" xfId="41058" xr:uid="{00000000-0005-0000-0000-00006FA00000}"/>
    <cellStyle name="Positive 4 2 5 4 4" xfId="41059" xr:uid="{00000000-0005-0000-0000-000070A00000}"/>
    <cellStyle name="Positive 4 2 5 4 4 2" xfId="41060" xr:uid="{00000000-0005-0000-0000-000071A00000}"/>
    <cellStyle name="Positive 4 2 5 4 4 2 2" xfId="41061" xr:uid="{00000000-0005-0000-0000-000072A00000}"/>
    <cellStyle name="Positive 4 2 5 4 4 3" xfId="41062" xr:uid="{00000000-0005-0000-0000-000073A00000}"/>
    <cellStyle name="Positive 4 2 5 4 5" xfId="41063" xr:uid="{00000000-0005-0000-0000-000074A00000}"/>
    <cellStyle name="Positive 4 2 5 4 5 2" xfId="41064" xr:uid="{00000000-0005-0000-0000-000075A00000}"/>
    <cellStyle name="Positive 4 2 5 4 6" xfId="41065" xr:uid="{00000000-0005-0000-0000-000076A00000}"/>
    <cellStyle name="Positive 4 2 5 4 6 2" xfId="41066" xr:uid="{00000000-0005-0000-0000-000077A00000}"/>
    <cellStyle name="Positive 4 2 5 4 7" xfId="41067" xr:uid="{00000000-0005-0000-0000-000078A00000}"/>
    <cellStyle name="Positive 4 2 5 4 7 2" xfId="41068" xr:uid="{00000000-0005-0000-0000-000079A00000}"/>
    <cellStyle name="Positive 4 2 5 4 8" xfId="41069" xr:uid="{00000000-0005-0000-0000-00007AA00000}"/>
    <cellStyle name="Positive 4 2 5 4 8 2" xfId="41070" xr:uid="{00000000-0005-0000-0000-00007BA00000}"/>
    <cellStyle name="Positive 4 2 5 4 9" xfId="41071" xr:uid="{00000000-0005-0000-0000-00007CA00000}"/>
    <cellStyle name="Positive 4 2 5 4 9 2" xfId="41072" xr:uid="{00000000-0005-0000-0000-00007DA00000}"/>
    <cellStyle name="Positive 4 2 5 5" xfId="41073" xr:uid="{00000000-0005-0000-0000-00007EA00000}"/>
    <cellStyle name="Positive 4 2 5 5 10" xfId="41074" xr:uid="{00000000-0005-0000-0000-00007FA00000}"/>
    <cellStyle name="Positive 4 2 5 5 10 2" xfId="41075" xr:uid="{00000000-0005-0000-0000-000080A00000}"/>
    <cellStyle name="Positive 4 2 5 5 11" xfId="41076" xr:uid="{00000000-0005-0000-0000-000081A00000}"/>
    <cellStyle name="Positive 4 2 5 5 11 2" xfId="41077" xr:uid="{00000000-0005-0000-0000-000082A00000}"/>
    <cellStyle name="Positive 4 2 5 5 12" xfId="41078" xr:uid="{00000000-0005-0000-0000-000083A00000}"/>
    <cellStyle name="Positive 4 2 5 5 12 2" xfId="41079" xr:uid="{00000000-0005-0000-0000-000084A00000}"/>
    <cellStyle name="Positive 4 2 5 5 13" xfId="41080" xr:uid="{00000000-0005-0000-0000-000085A00000}"/>
    <cellStyle name="Positive 4 2 5 5 13 2" xfId="41081" xr:uid="{00000000-0005-0000-0000-000086A00000}"/>
    <cellStyle name="Positive 4 2 5 5 14" xfId="41082" xr:uid="{00000000-0005-0000-0000-000087A00000}"/>
    <cellStyle name="Positive 4 2 5 5 14 2" xfId="41083" xr:uid="{00000000-0005-0000-0000-000088A00000}"/>
    <cellStyle name="Positive 4 2 5 5 15" xfId="41084" xr:uid="{00000000-0005-0000-0000-000089A00000}"/>
    <cellStyle name="Positive 4 2 5 5 15 2" xfId="41085" xr:uid="{00000000-0005-0000-0000-00008AA00000}"/>
    <cellStyle name="Positive 4 2 5 5 16" xfId="41086" xr:uid="{00000000-0005-0000-0000-00008BA00000}"/>
    <cellStyle name="Positive 4 2 5 5 16 2" xfId="41087" xr:uid="{00000000-0005-0000-0000-00008CA00000}"/>
    <cellStyle name="Positive 4 2 5 5 17" xfId="41088" xr:uid="{00000000-0005-0000-0000-00008DA00000}"/>
    <cellStyle name="Positive 4 2 5 5 2" xfId="41089" xr:uid="{00000000-0005-0000-0000-00008EA00000}"/>
    <cellStyle name="Positive 4 2 5 5 2 2" xfId="41090" xr:uid="{00000000-0005-0000-0000-00008FA00000}"/>
    <cellStyle name="Positive 4 2 5 5 3" xfId="41091" xr:uid="{00000000-0005-0000-0000-000090A00000}"/>
    <cellStyle name="Positive 4 2 5 5 3 2" xfId="41092" xr:uid="{00000000-0005-0000-0000-000091A00000}"/>
    <cellStyle name="Positive 4 2 5 5 4" xfId="41093" xr:uid="{00000000-0005-0000-0000-000092A00000}"/>
    <cellStyle name="Positive 4 2 5 5 4 2" xfId="41094" xr:uid="{00000000-0005-0000-0000-000093A00000}"/>
    <cellStyle name="Positive 4 2 5 5 5" xfId="41095" xr:uid="{00000000-0005-0000-0000-000094A00000}"/>
    <cellStyle name="Positive 4 2 5 5 5 2" xfId="41096" xr:uid="{00000000-0005-0000-0000-000095A00000}"/>
    <cellStyle name="Positive 4 2 5 5 6" xfId="41097" xr:uid="{00000000-0005-0000-0000-000096A00000}"/>
    <cellStyle name="Positive 4 2 5 5 6 2" xfId="41098" xr:uid="{00000000-0005-0000-0000-000097A00000}"/>
    <cellStyle name="Positive 4 2 5 5 7" xfId="41099" xr:uid="{00000000-0005-0000-0000-000098A00000}"/>
    <cellStyle name="Positive 4 2 5 5 7 2" xfId="41100" xr:uid="{00000000-0005-0000-0000-000099A00000}"/>
    <cellStyle name="Positive 4 2 5 5 8" xfId="41101" xr:uid="{00000000-0005-0000-0000-00009AA00000}"/>
    <cellStyle name="Positive 4 2 5 5 8 2" xfId="41102" xr:uid="{00000000-0005-0000-0000-00009BA00000}"/>
    <cellStyle name="Positive 4 2 5 5 9" xfId="41103" xr:uid="{00000000-0005-0000-0000-00009CA00000}"/>
    <cellStyle name="Positive 4 2 5 5 9 2" xfId="41104" xr:uid="{00000000-0005-0000-0000-00009DA00000}"/>
    <cellStyle name="Positive 4 2 5 6" xfId="41105" xr:uid="{00000000-0005-0000-0000-00009EA00000}"/>
    <cellStyle name="Positive 4 2 5 6 2" xfId="41106" xr:uid="{00000000-0005-0000-0000-00009FA00000}"/>
    <cellStyle name="Positive 4 2 5 6 2 2" xfId="41107" xr:uid="{00000000-0005-0000-0000-0000A0A00000}"/>
    <cellStyle name="Positive 4 2 5 6 3" xfId="41108" xr:uid="{00000000-0005-0000-0000-0000A1A00000}"/>
    <cellStyle name="Positive 4 2 5 7" xfId="41109" xr:uid="{00000000-0005-0000-0000-0000A2A00000}"/>
    <cellStyle name="Positive 4 2 5 7 2" xfId="41110" xr:uid="{00000000-0005-0000-0000-0000A3A00000}"/>
    <cellStyle name="Positive 4 2 5 7 2 2" xfId="41111" xr:uid="{00000000-0005-0000-0000-0000A4A00000}"/>
    <cellStyle name="Positive 4 2 5 7 3" xfId="41112" xr:uid="{00000000-0005-0000-0000-0000A5A00000}"/>
    <cellStyle name="Positive 4 2 5 8" xfId="41113" xr:uid="{00000000-0005-0000-0000-0000A6A00000}"/>
    <cellStyle name="Positive 4 2 5 8 2" xfId="41114" xr:uid="{00000000-0005-0000-0000-0000A7A00000}"/>
    <cellStyle name="Positive 4 2 5 9" xfId="41115" xr:uid="{00000000-0005-0000-0000-0000A8A00000}"/>
    <cellStyle name="Positive 4 2 5 9 2" xfId="41116" xr:uid="{00000000-0005-0000-0000-0000A9A00000}"/>
    <cellStyle name="Positive 4 2 6" xfId="41117" xr:uid="{00000000-0005-0000-0000-0000AAA00000}"/>
    <cellStyle name="Positive 4 2 6 10" xfId="41118" xr:uid="{00000000-0005-0000-0000-0000ABA00000}"/>
    <cellStyle name="Positive 4 2 6 10 2" xfId="41119" xr:uid="{00000000-0005-0000-0000-0000ACA00000}"/>
    <cellStyle name="Positive 4 2 6 11" xfId="41120" xr:uid="{00000000-0005-0000-0000-0000ADA00000}"/>
    <cellStyle name="Positive 4 2 6 11 2" xfId="41121" xr:uid="{00000000-0005-0000-0000-0000AEA00000}"/>
    <cellStyle name="Positive 4 2 6 12" xfId="41122" xr:uid="{00000000-0005-0000-0000-0000AFA00000}"/>
    <cellStyle name="Positive 4 2 6 12 2" xfId="41123" xr:uid="{00000000-0005-0000-0000-0000B0A00000}"/>
    <cellStyle name="Positive 4 2 6 13" xfId="41124" xr:uid="{00000000-0005-0000-0000-0000B1A00000}"/>
    <cellStyle name="Positive 4 2 6 13 2" xfId="41125" xr:uid="{00000000-0005-0000-0000-0000B2A00000}"/>
    <cellStyle name="Positive 4 2 6 14" xfId="41126" xr:uid="{00000000-0005-0000-0000-0000B3A00000}"/>
    <cellStyle name="Positive 4 2 6 14 2" xfId="41127" xr:uid="{00000000-0005-0000-0000-0000B4A00000}"/>
    <cellStyle name="Positive 4 2 6 15" xfId="41128" xr:uid="{00000000-0005-0000-0000-0000B5A00000}"/>
    <cellStyle name="Positive 4 2 6 15 2" xfId="41129" xr:uid="{00000000-0005-0000-0000-0000B6A00000}"/>
    <cellStyle name="Positive 4 2 6 16" xfId="41130" xr:uid="{00000000-0005-0000-0000-0000B7A00000}"/>
    <cellStyle name="Positive 4 2 6 16 2" xfId="41131" xr:uid="{00000000-0005-0000-0000-0000B8A00000}"/>
    <cellStyle name="Positive 4 2 6 17" xfId="41132" xr:uid="{00000000-0005-0000-0000-0000B9A00000}"/>
    <cellStyle name="Positive 4 2 6 17 2" xfId="41133" xr:uid="{00000000-0005-0000-0000-0000BAA00000}"/>
    <cellStyle name="Positive 4 2 6 18" xfId="41134" xr:uid="{00000000-0005-0000-0000-0000BBA00000}"/>
    <cellStyle name="Positive 4 2 6 18 2" xfId="41135" xr:uid="{00000000-0005-0000-0000-0000BCA00000}"/>
    <cellStyle name="Positive 4 2 6 19" xfId="41136" xr:uid="{00000000-0005-0000-0000-0000BDA00000}"/>
    <cellStyle name="Positive 4 2 6 19 2" xfId="41137" xr:uid="{00000000-0005-0000-0000-0000BEA00000}"/>
    <cellStyle name="Positive 4 2 6 2" xfId="41138" xr:uid="{00000000-0005-0000-0000-0000BFA00000}"/>
    <cellStyle name="Positive 4 2 6 2 10" xfId="41139" xr:uid="{00000000-0005-0000-0000-0000C0A00000}"/>
    <cellStyle name="Positive 4 2 6 2 10 2" xfId="41140" xr:uid="{00000000-0005-0000-0000-0000C1A00000}"/>
    <cellStyle name="Positive 4 2 6 2 11" xfId="41141" xr:uid="{00000000-0005-0000-0000-0000C2A00000}"/>
    <cellStyle name="Positive 4 2 6 2 11 2" xfId="41142" xr:uid="{00000000-0005-0000-0000-0000C3A00000}"/>
    <cellStyle name="Positive 4 2 6 2 12" xfId="41143" xr:uid="{00000000-0005-0000-0000-0000C4A00000}"/>
    <cellStyle name="Positive 4 2 6 2 12 2" xfId="41144" xr:uid="{00000000-0005-0000-0000-0000C5A00000}"/>
    <cellStyle name="Positive 4 2 6 2 13" xfId="41145" xr:uid="{00000000-0005-0000-0000-0000C6A00000}"/>
    <cellStyle name="Positive 4 2 6 2 13 2" xfId="41146" xr:uid="{00000000-0005-0000-0000-0000C7A00000}"/>
    <cellStyle name="Positive 4 2 6 2 14" xfId="41147" xr:uid="{00000000-0005-0000-0000-0000C8A00000}"/>
    <cellStyle name="Positive 4 2 6 2 14 2" xfId="41148" xr:uid="{00000000-0005-0000-0000-0000C9A00000}"/>
    <cellStyle name="Positive 4 2 6 2 15" xfId="41149" xr:uid="{00000000-0005-0000-0000-0000CAA00000}"/>
    <cellStyle name="Positive 4 2 6 2 15 2" xfId="41150" xr:uid="{00000000-0005-0000-0000-0000CBA00000}"/>
    <cellStyle name="Positive 4 2 6 2 16" xfId="41151" xr:uid="{00000000-0005-0000-0000-0000CCA00000}"/>
    <cellStyle name="Positive 4 2 6 2 16 2" xfId="41152" xr:uid="{00000000-0005-0000-0000-0000CDA00000}"/>
    <cellStyle name="Positive 4 2 6 2 17" xfId="41153" xr:uid="{00000000-0005-0000-0000-0000CEA00000}"/>
    <cellStyle name="Positive 4 2 6 2 17 2" xfId="41154" xr:uid="{00000000-0005-0000-0000-0000CFA00000}"/>
    <cellStyle name="Positive 4 2 6 2 18" xfId="41155" xr:uid="{00000000-0005-0000-0000-0000D0A00000}"/>
    <cellStyle name="Positive 4 2 6 2 18 2" xfId="41156" xr:uid="{00000000-0005-0000-0000-0000D1A00000}"/>
    <cellStyle name="Positive 4 2 6 2 19" xfId="41157" xr:uid="{00000000-0005-0000-0000-0000D2A00000}"/>
    <cellStyle name="Positive 4 2 6 2 19 2" xfId="41158" xr:uid="{00000000-0005-0000-0000-0000D3A00000}"/>
    <cellStyle name="Positive 4 2 6 2 2" xfId="41159" xr:uid="{00000000-0005-0000-0000-0000D4A00000}"/>
    <cellStyle name="Positive 4 2 6 2 2 10" xfId="41160" xr:uid="{00000000-0005-0000-0000-0000D5A00000}"/>
    <cellStyle name="Positive 4 2 6 2 2 10 2" xfId="41161" xr:uid="{00000000-0005-0000-0000-0000D6A00000}"/>
    <cellStyle name="Positive 4 2 6 2 2 11" xfId="41162" xr:uid="{00000000-0005-0000-0000-0000D7A00000}"/>
    <cellStyle name="Positive 4 2 6 2 2 11 2" xfId="41163" xr:uid="{00000000-0005-0000-0000-0000D8A00000}"/>
    <cellStyle name="Positive 4 2 6 2 2 12" xfId="41164" xr:uid="{00000000-0005-0000-0000-0000D9A00000}"/>
    <cellStyle name="Positive 4 2 6 2 2 12 2" xfId="41165" xr:uid="{00000000-0005-0000-0000-0000DAA00000}"/>
    <cellStyle name="Positive 4 2 6 2 2 13" xfId="41166" xr:uid="{00000000-0005-0000-0000-0000DBA00000}"/>
    <cellStyle name="Positive 4 2 6 2 2 13 2" xfId="41167" xr:uid="{00000000-0005-0000-0000-0000DCA00000}"/>
    <cellStyle name="Positive 4 2 6 2 2 14" xfId="41168" xr:uid="{00000000-0005-0000-0000-0000DDA00000}"/>
    <cellStyle name="Positive 4 2 6 2 2 14 2" xfId="41169" xr:uid="{00000000-0005-0000-0000-0000DEA00000}"/>
    <cellStyle name="Positive 4 2 6 2 2 15" xfId="41170" xr:uid="{00000000-0005-0000-0000-0000DFA00000}"/>
    <cellStyle name="Positive 4 2 6 2 2 15 2" xfId="41171" xr:uid="{00000000-0005-0000-0000-0000E0A00000}"/>
    <cellStyle name="Positive 4 2 6 2 2 16" xfId="41172" xr:uid="{00000000-0005-0000-0000-0000E1A00000}"/>
    <cellStyle name="Positive 4 2 6 2 2 16 2" xfId="41173" xr:uid="{00000000-0005-0000-0000-0000E2A00000}"/>
    <cellStyle name="Positive 4 2 6 2 2 17" xfId="41174" xr:uid="{00000000-0005-0000-0000-0000E3A00000}"/>
    <cellStyle name="Positive 4 2 6 2 2 2" xfId="41175" xr:uid="{00000000-0005-0000-0000-0000E4A00000}"/>
    <cellStyle name="Positive 4 2 6 2 2 2 2" xfId="41176" xr:uid="{00000000-0005-0000-0000-0000E5A00000}"/>
    <cellStyle name="Positive 4 2 6 2 2 3" xfId="41177" xr:uid="{00000000-0005-0000-0000-0000E6A00000}"/>
    <cellStyle name="Positive 4 2 6 2 2 3 2" xfId="41178" xr:uid="{00000000-0005-0000-0000-0000E7A00000}"/>
    <cellStyle name="Positive 4 2 6 2 2 4" xfId="41179" xr:uid="{00000000-0005-0000-0000-0000E8A00000}"/>
    <cellStyle name="Positive 4 2 6 2 2 4 2" xfId="41180" xr:uid="{00000000-0005-0000-0000-0000E9A00000}"/>
    <cellStyle name="Positive 4 2 6 2 2 5" xfId="41181" xr:uid="{00000000-0005-0000-0000-0000EAA00000}"/>
    <cellStyle name="Positive 4 2 6 2 2 5 2" xfId="41182" xr:uid="{00000000-0005-0000-0000-0000EBA00000}"/>
    <cellStyle name="Positive 4 2 6 2 2 6" xfId="41183" xr:uid="{00000000-0005-0000-0000-0000ECA00000}"/>
    <cellStyle name="Positive 4 2 6 2 2 6 2" xfId="41184" xr:uid="{00000000-0005-0000-0000-0000EDA00000}"/>
    <cellStyle name="Positive 4 2 6 2 2 7" xfId="41185" xr:uid="{00000000-0005-0000-0000-0000EEA00000}"/>
    <cellStyle name="Positive 4 2 6 2 2 7 2" xfId="41186" xr:uid="{00000000-0005-0000-0000-0000EFA00000}"/>
    <cellStyle name="Positive 4 2 6 2 2 8" xfId="41187" xr:uid="{00000000-0005-0000-0000-0000F0A00000}"/>
    <cellStyle name="Positive 4 2 6 2 2 8 2" xfId="41188" xr:uid="{00000000-0005-0000-0000-0000F1A00000}"/>
    <cellStyle name="Positive 4 2 6 2 2 9" xfId="41189" xr:uid="{00000000-0005-0000-0000-0000F2A00000}"/>
    <cellStyle name="Positive 4 2 6 2 2 9 2" xfId="41190" xr:uid="{00000000-0005-0000-0000-0000F3A00000}"/>
    <cellStyle name="Positive 4 2 6 2 20" xfId="41191" xr:uid="{00000000-0005-0000-0000-0000F4A00000}"/>
    <cellStyle name="Positive 4 2 6 2 3" xfId="41192" xr:uid="{00000000-0005-0000-0000-0000F5A00000}"/>
    <cellStyle name="Positive 4 2 6 2 3 2" xfId="41193" xr:uid="{00000000-0005-0000-0000-0000F6A00000}"/>
    <cellStyle name="Positive 4 2 6 2 3 2 2" xfId="41194" xr:uid="{00000000-0005-0000-0000-0000F7A00000}"/>
    <cellStyle name="Positive 4 2 6 2 3 3" xfId="41195" xr:uid="{00000000-0005-0000-0000-0000F8A00000}"/>
    <cellStyle name="Positive 4 2 6 2 4" xfId="41196" xr:uid="{00000000-0005-0000-0000-0000F9A00000}"/>
    <cellStyle name="Positive 4 2 6 2 4 2" xfId="41197" xr:uid="{00000000-0005-0000-0000-0000FAA00000}"/>
    <cellStyle name="Positive 4 2 6 2 4 2 2" xfId="41198" xr:uid="{00000000-0005-0000-0000-0000FBA00000}"/>
    <cellStyle name="Positive 4 2 6 2 4 3" xfId="41199" xr:uid="{00000000-0005-0000-0000-0000FCA00000}"/>
    <cellStyle name="Positive 4 2 6 2 5" xfId="41200" xr:uid="{00000000-0005-0000-0000-0000FDA00000}"/>
    <cellStyle name="Positive 4 2 6 2 5 2" xfId="41201" xr:uid="{00000000-0005-0000-0000-0000FEA00000}"/>
    <cellStyle name="Positive 4 2 6 2 6" xfId="41202" xr:uid="{00000000-0005-0000-0000-0000FFA00000}"/>
    <cellStyle name="Positive 4 2 6 2 6 2" xfId="41203" xr:uid="{00000000-0005-0000-0000-000000A10000}"/>
    <cellStyle name="Positive 4 2 6 2 7" xfId="41204" xr:uid="{00000000-0005-0000-0000-000001A10000}"/>
    <cellStyle name="Positive 4 2 6 2 7 2" xfId="41205" xr:uid="{00000000-0005-0000-0000-000002A10000}"/>
    <cellStyle name="Positive 4 2 6 2 8" xfId="41206" xr:uid="{00000000-0005-0000-0000-000003A10000}"/>
    <cellStyle name="Positive 4 2 6 2 8 2" xfId="41207" xr:uid="{00000000-0005-0000-0000-000004A10000}"/>
    <cellStyle name="Positive 4 2 6 2 9" xfId="41208" xr:uid="{00000000-0005-0000-0000-000005A10000}"/>
    <cellStyle name="Positive 4 2 6 2 9 2" xfId="41209" xr:uid="{00000000-0005-0000-0000-000006A10000}"/>
    <cellStyle name="Positive 4 2 6 20" xfId="41210" xr:uid="{00000000-0005-0000-0000-000007A10000}"/>
    <cellStyle name="Positive 4 2 6 20 2" xfId="41211" xr:uid="{00000000-0005-0000-0000-000008A10000}"/>
    <cellStyle name="Positive 4 2 6 21" xfId="41212" xr:uid="{00000000-0005-0000-0000-000009A10000}"/>
    <cellStyle name="Positive 4 2 6 21 2" xfId="41213" xr:uid="{00000000-0005-0000-0000-00000AA10000}"/>
    <cellStyle name="Positive 4 2 6 22" xfId="41214" xr:uid="{00000000-0005-0000-0000-00000BA10000}"/>
    <cellStyle name="Positive 4 2 6 22 2" xfId="41215" xr:uid="{00000000-0005-0000-0000-00000CA10000}"/>
    <cellStyle name="Positive 4 2 6 23" xfId="41216" xr:uid="{00000000-0005-0000-0000-00000DA10000}"/>
    <cellStyle name="Positive 4 2 6 3" xfId="41217" xr:uid="{00000000-0005-0000-0000-00000EA10000}"/>
    <cellStyle name="Positive 4 2 6 3 10" xfId="41218" xr:uid="{00000000-0005-0000-0000-00000FA10000}"/>
    <cellStyle name="Positive 4 2 6 3 10 2" xfId="41219" xr:uid="{00000000-0005-0000-0000-000010A10000}"/>
    <cellStyle name="Positive 4 2 6 3 11" xfId="41220" xr:uid="{00000000-0005-0000-0000-000011A10000}"/>
    <cellStyle name="Positive 4 2 6 3 11 2" xfId="41221" xr:uid="{00000000-0005-0000-0000-000012A10000}"/>
    <cellStyle name="Positive 4 2 6 3 12" xfId="41222" xr:uid="{00000000-0005-0000-0000-000013A10000}"/>
    <cellStyle name="Positive 4 2 6 3 12 2" xfId="41223" xr:uid="{00000000-0005-0000-0000-000014A10000}"/>
    <cellStyle name="Positive 4 2 6 3 13" xfId="41224" xr:uid="{00000000-0005-0000-0000-000015A10000}"/>
    <cellStyle name="Positive 4 2 6 3 13 2" xfId="41225" xr:uid="{00000000-0005-0000-0000-000016A10000}"/>
    <cellStyle name="Positive 4 2 6 3 14" xfId="41226" xr:uid="{00000000-0005-0000-0000-000017A10000}"/>
    <cellStyle name="Positive 4 2 6 3 14 2" xfId="41227" xr:uid="{00000000-0005-0000-0000-000018A10000}"/>
    <cellStyle name="Positive 4 2 6 3 15" xfId="41228" xr:uid="{00000000-0005-0000-0000-000019A10000}"/>
    <cellStyle name="Positive 4 2 6 3 15 2" xfId="41229" xr:uid="{00000000-0005-0000-0000-00001AA10000}"/>
    <cellStyle name="Positive 4 2 6 3 16" xfId="41230" xr:uid="{00000000-0005-0000-0000-00001BA10000}"/>
    <cellStyle name="Positive 4 2 6 3 16 2" xfId="41231" xr:uid="{00000000-0005-0000-0000-00001CA10000}"/>
    <cellStyle name="Positive 4 2 6 3 17" xfId="41232" xr:uid="{00000000-0005-0000-0000-00001DA10000}"/>
    <cellStyle name="Positive 4 2 6 3 17 2" xfId="41233" xr:uid="{00000000-0005-0000-0000-00001EA10000}"/>
    <cellStyle name="Positive 4 2 6 3 18" xfId="41234" xr:uid="{00000000-0005-0000-0000-00001FA10000}"/>
    <cellStyle name="Positive 4 2 6 3 18 2" xfId="41235" xr:uid="{00000000-0005-0000-0000-000020A10000}"/>
    <cellStyle name="Positive 4 2 6 3 19" xfId="41236" xr:uid="{00000000-0005-0000-0000-000021A10000}"/>
    <cellStyle name="Positive 4 2 6 3 19 2" xfId="41237" xr:uid="{00000000-0005-0000-0000-000022A10000}"/>
    <cellStyle name="Positive 4 2 6 3 2" xfId="41238" xr:uid="{00000000-0005-0000-0000-000023A10000}"/>
    <cellStyle name="Positive 4 2 6 3 2 10" xfId="41239" xr:uid="{00000000-0005-0000-0000-000024A10000}"/>
    <cellStyle name="Positive 4 2 6 3 2 10 2" xfId="41240" xr:uid="{00000000-0005-0000-0000-000025A10000}"/>
    <cellStyle name="Positive 4 2 6 3 2 11" xfId="41241" xr:uid="{00000000-0005-0000-0000-000026A10000}"/>
    <cellStyle name="Positive 4 2 6 3 2 11 2" xfId="41242" xr:uid="{00000000-0005-0000-0000-000027A10000}"/>
    <cellStyle name="Positive 4 2 6 3 2 12" xfId="41243" xr:uid="{00000000-0005-0000-0000-000028A10000}"/>
    <cellStyle name="Positive 4 2 6 3 2 12 2" xfId="41244" xr:uid="{00000000-0005-0000-0000-000029A10000}"/>
    <cellStyle name="Positive 4 2 6 3 2 13" xfId="41245" xr:uid="{00000000-0005-0000-0000-00002AA10000}"/>
    <cellStyle name="Positive 4 2 6 3 2 13 2" xfId="41246" xr:uid="{00000000-0005-0000-0000-00002BA10000}"/>
    <cellStyle name="Positive 4 2 6 3 2 14" xfId="41247" xr:uid="{00000000-0005-0000-0000-00002CA10000}"/>
    <cellStyle name="Positive 4 2 6 3 2 14 2" xfId="41248" xr:uid="{00000000-0005-0000-0000-00002DA10000}"/>
    <cellStyle name="Positive 4 2 6 3 2 15" xfId="41249" xr:uid="{00000000-0005-0000-0000-00002EA10000}"/>
    <cellStyle name="Positive 4 2 6 3 2 15 2" xfId="41250" xr:uid="{00000000-0005-0000-0000-00002FA10000}"/>
    <cellStyle name="Positive 4 2 6 3 2 16" xfId="41251" xr:uid="{00000000-0005-0000-0000-000030A10000}"/>
    <cellStyle name="Positive 4 2 6 3 2 16 2" xfId="41252" xr:uid="{00000000-0005-0000-0000-000031A10000}"/>
    <cellStyle name="Positive 4 2 6 3 2 17" xfId="41253" xr:uid="{00000000-0005-0000-0000-000032A10000}"/>
    <cellStyle name="Positive 4 2 6 3 2 2" xfId="41254" xr:uid="{00000000-0005-0000-0000-000033A10000}"/>
    <cellStyle name="Positive 4 2 6 3 2 2 2" xfId="41255" xr:uid="{00000000-0005-0000-0000-000034A10000}"/>
    <cellStyle name="Positive 4 2 6 3 2 3" xfId="41256" xr:uid="{00000000-0005-0000-0000-000035A10000}"/>
    <cellStyle name="Positive 4 2 6 3 2 3 2" xfId="41257" xr:uid="{00000000-0005-0000-0000-000036A10000}"/>
    <cellStyle name="Positive 4 2 6 3 2 4" xfId="41258" xr:uid="{00000000-0005-0000-0000-000037A10000}"/>
    <cellStyle name="Positive 4 2 6 3 2 4 2" xfId="41259" xr:uid="{00000000-0005-0000-0000-000038A10000}"/>
    <cellStyle name="Positive 4 2 6 3 2 5" xfId="41260" xr:uid="{00000000-0005-0000-0000-000039A10000}"/>
    <cellStyle name="Positive 4 2 6 3 2 5 2" xfId="41261" xr:uid="{00000000-0005-0000-0000-00003AA10000}"/>
    <cellStyle name="Positive 4 2 6 3 2 6" xfId="41262" xr:uid="{00000000-0005-0000-0000-00003BA10000}"/>
    <cellStyle name="Positive 4 2 6 3 2 6 2" xfId="41263" xr:uid="{00000000-0005-0000-0000-00003CA10000}"/>
    <cellStyle name="Positive 4 2 6 3 2 7" xfId="41264" xr:uid="{00000000-0005-0000-0000-00003DA10000}"/>
    <cellStyle name="Positive 4 2 6 3 2 7 2" xfId="41265" xr:uid="{00000000-0005-0000-0000-00003EA10000}"/>
    <cellStyle name="Positive 4 2 6 3 2 8" xfId="41266" xr:uid="{00000000-0005-0000-0000-00003FA10000}"/>
    <cellStyle name="Positive 4 2 6 3 2 8 2" xfId="41267" xr:uid="{00000000-0005-0000-0000-000040A10000}"/>
    <cellStyle name="Positive 4 2 6 3 2 9" xfId="41268" xr:uid="{00000000-0005-0000-0000-000041A10000}"/>
    <cellStyle name="Positive 4 2 6 3 2 9 2" xfId="41269" xr:uid="{00000000-0005-0000-0000-000042A10000}"/>
    <cellStyle name="Positive 4 2 6 3 20" xfId="41270" xr:uid="{00000000-0005-0000-0000-000043A10000}"/>
    <cellStyle name="Positive 4 2 6 3 3" xfId="41271" xr:uid="{00000000-0005-0000-0000-000044A10000}"/>
    <cellStyle name="Positive 4 2 6 3 3 2" xfId="41272" xr:uid="{00000000-0005-0000-0000-000045A10000}"/>
    <cellStyle name="Positive 4 2 6 3 3 2 2" xfId="41273" xr:uid="{00000000-0005-0000-0000-000046A10000}"/>
    <cellStyle name="Positive 4 2 6 3 3 3" xfId="41274" xr:uid="{00000000-0005-0000-0000-000047A10000}"/>
    <cellStyle name="Positive 4 2 6 3 4" xfId="41275" xr:uid="{00000000-0005-0000-0000-000048A10000}"/>
    <cellStyle name="Positive 4 2 6 3 4 2" xfId="41276" xr:uid="{00000000-0005-0000-0000-000049A10000}"/>
    <cellStyle name="Positive 4 2 6 3 4 2 2" xfId="41277" xr:uid="{00000000-0005-0000-0000-00004AA10000}"/>
    <cellStyle name="Positive 4 2 6 3 4 3" xfId="41278" xr:uid="{00000000-0005-0000-0000-00004BA10000}"/>
    <cellStyle name="Positive 4 2 6 3 5" xfId="41279" xr:uid="{00000000-0005-0000-0000-00004CA10000}"/>
    <cellStyle name="Positive 4 2 6 3 5 2" xfId="41280" xr:uid="{00000000-0005-0000-0000-00004DA10000}"/>
    <cellStyle name="Positive 4 2 6 3 6" xfId="41281" xr:uid="{00000000-0005-0000-0000-00004EA10000}"/>
    <cellStyle name="Positive 4 2 6 3 6 2" xfId="41282" xr:uid="{00000000-0005-0000-0000-00004FA10000}"/>
    <cellStyle name="Positive 4 2 6 3 7" xfId="41283" xr:uid="{00000000-0005-0000-0000-000050A10000}"/>
    <cellStyle name="Positive 4 2 6 3 7 2" xfId="41284" xr:uid="{00000000-0005-0000-0000-000051A10000}"/>
    <cellStyle name="Positive 4 2 6 3 8" xfId="41285" xr:uid="{00000000-0005-0000-0000-000052A10000}"/>
    <cellStyle name="Positive 4 2 6 3 8 2" xfId="41286" xr:uid="{00000000-0005-0000-0000-000053A10000}"/>
    <cellStyle name="Positive 4 2 6 3 9" xfId="41287" xr:uid="{00000000-0005-0000-0000-000054A10000}"/>
    <cellStyle name="Positive 4 2 6 3 9 2" xfId="41288" xr:uid="{00000000-0005-0000-0000-000055A10000}"/>
    <cellStyle name="Positive 4 2 6 4" xfId="41289" xr:uid="{00000000-0005-0000-0000-000056A10000}"/>
    <cellStyle name="Positive 4 2 6 4 10" xfId="41290" xr:uid="{00000000-0005-0000-0000-000057A10000}"/>
    <cellStyle name="Positive 4 2 6 4 10 2" xfId="41291" xr:uid="{00000000-0005-0000-0000-000058A10000}"/>
    <cellStyle name="Positive 4 2 6 4 11" xfId="41292" xr:uid="{00000000-0005-0000-0000-000059A10000}"/>
    <cellStyle name="Positive 4 2 6 4 11 2" xfId="41293" xr:uid="{00000000-0005-0000-0000-00005AA10000}"/>
    <cellStyle name="Positive 4 2 6 4 12" xfId="41294" xr:uid="{00000000-0005-0000-0000-00005BA10000}"/>
    <cellStyle name="Positive 4 2 6 4 12 2" xfId="41295" xr:uid="{00000000-0005-0000-0000-00005CA10000}"/>
    <cellStyle name="Positive 4 2 6 4 13" xfId="41296" xr:uid="{00000000-0005-0000-0000-00005DA10000}"/>
    <cellStyle name="Positive 4 2 6 4 13 2" xfId="41297" xr:uid="{00000000-0005-0000-0000-00005EA10000}"/>
    <cellStyle name="Positive 4 2 6 4 14" xfId="41298" xr:uid="{00000000-0005-0000-0000-00005FA10000}"/>
    <cellStyle name="Positive 4 2 6 4 14 2" xfId="41299" xr:uid="{00000000-0005-0000-0000-000060A10000}"/>
    <cellStyle name="Positive 4 2 6 4 15" xfId="41300" xr:uid="{00000000-0005-0000-0000-000061A10000}"/>
    <cellStyle name="Positive 4 2 6 4 15 2" xfId="41301" xr:uid="{00000000-0005-0000-0000-000062A10000}"/>
    <cellStyle name="Positive 4 2 6 4 16" xfId="41302" xr:uid="{00000000-0005-0000-0000-000063A10000}"/>
    <cellStyle name="Positive 4 2 6 4 16 2" xfId="41303" xr:uid="{00000000-0005-0000-0000-000064A10000}"/>
    <cellStyle name="Positive 4 2 6 4 17" xfId="41304" xr:uid="{00000000-0005-0000-0000-000065A10000}"/>
    <cellStyle name="Positive 4 2 6 4 17 2" xfId="41305" xr:uid="{00000000-0005-0000-0000-000066A10000}"/>
    <cellStyle name="Positive 4 2 6 4 18" xfId="41306" xr:uid="{00000000-0005-0000-0000-000067A10000}"/>
    <cellStyle name="Positive 4 2 6 4 18 2" xfId="41307" xr:uid="{00000000-0005-0000-0000-000068A10000}"/>
    <cellStyle name="Positive 4 2 6 4 19" xfId="41308" xr:uid="{00000000-0005-0000-0000-000069A10000}"/>
    <cellStyle name="Positive 4 2 6 4 19 2" xfId="41309" xr:uid="{00000000-0005-0000-0000-00006AA10000}"/>
    <cellStyle name="Positive 4 2 6 4 2" xfId="41310" xr:uid="{00000000-0005-0000-0000-00006BA10000}"/>
    <cellStyle name="Positive 4 2 6 4 2 10" xfId="41311" xr:uid="{00000000-0005-0000-0000-00006CA10000}"/>
    <cellStyle name="Positive 4 2 6 4 2 10 2" xfId="41312" xr:uid="{00000000-0005-0000-0000-00006DA10000}"/>
    <cellStyle name="Positive 4 2 6 4 2 11" xfId="41313" xr:uid="{00000000-0005-0000-0000-00006EA10000}"/>
    <cellStyle name="Positive 4 2 6 4 2 11 2" xfId="41314" xr:uid="{00000000-0005-0000-0000-00006FA10000}"/>
    <cellStyle name="Positive 4 2 6 4 2 12" xfId="41315" xr:uid="{00000000-0005-0000-0000-000070A10000}"/>
    <cellStyle name="Positive 4 2 6 4 2 12 2" xfId="41316" xr:uid="{00000000-0005-0000-0000-000071A10000}"/>
    <cellStyle name="Positive 4 2 6 4 2 13" xfId="41317" xr:uid="{00000000-0005-0000-0000-000072A10000}"/>
    <cellStyle name="Positive 4 2 6 4 2 13 2" xfId="41318" xr:uid="{00000000-0005-0000-0000-000073A10000}"/>
    <cellStyle name="Positive 4 2 6 4 2 14" xfId="41319" xr:uid="{00000000-0005-0000-0000-000074A10000}"/>
    <cellStyle name="Positive 4 2 6 4 2 14 2" xfId="41320" xr:uid="{00000000-0005-0000-0000-000075A10000}"/>
    <cellStyle name="Positive 4 2 6 4 2 15" xfId="41321" xr:uid="{00000000-0005-0000-0000-000076A10000}"/>
    <cellStyle name="Positive 4 2 6 4 2 15 2" xfId="41322" xr:uid="{00000000-0005-0000-0000-000077A10000}"/>
    <cellStyle name="Positive 4 2 6 4 2 16" xfId="41323" xr:uid="{00000000-0005-0000-0000-000078A10000}"/>
    <cellStyle name="Positive 4 2 6 4 2 16 2" xfId="41324" xr:uid="{00000000-0005-0000-0000-000079A10000}"/>
    <cellStyle name="Positive 4 2 6 4 2 17" xfId="41325" xr:uid="{00000000-0005-0000-0000-00007AA10000}"/>
    <cellStyle name="Positive 4 2 6 4 2 2" xfId="41326" xr:uid="{00000000-0005-0000-0000-00007BA10000}"/>
    <cellStyle name="Positive 4 2 6 4 2 2 2" xfId="41327" xr:uid="{00000000-0005-0000-0000-00007CA10000}"/>
    <cellStyle name="Positive 4 2 6 4 2 3" xfId="41328" xr:uid="{00000000-0005-0000-0000-00007DA10000}"/>
    <cellStyle name="Positive 4 2 6 4 2 3 2" xfId="41329" xr:uid="{00000000-0005-0000-0000-00007EA10000}"/>
    <cellStyle name="Positive 4 2 6 4 2 4" xfId="41330" xr:uid="{00000000-0005-0000-0000-00007FA10000}"/>
    <cellStyle name="Positive 4 2 6 4 2 4 2" xfId="41331" xr:uid="{00000000-0005-0000-0000-000080A10000}"/>
    <cellStyle name="Positive 4 2 6 4 2 5" xfId="41332" xr:uid="{00000000-0005-0000-0000-000081A10000}"/>
    <cellStyle name="Positive 4 2 6 4 2 5 2" xfId="41333" xr:uid="{00000000-0005-0000-0000-000082A10000}"/>
    <cellStyle name="Positive 4 2 6 4 2 6" xfId="41334" xr:uid="{00000000-0005-0000-0000-000083A10000}"/>
    <cellStyle name="Positive 4 2 6 4 2 6 2" xfId="41335" xr:uid="{00000000-0005-0000-0000-000084A10000}"/>
    <cellStyle name="Positive 4 2 6 4 2 7" xfId="41336" xr:uid="{00000000-0005-0000-0000-000085A10000}"/>
    <cellStyle name="Positive 4 2 6 4 2 7 2" xfId="41337" xr:uid="{00000000-0005-0000-0000-000086A10000}"/>
    <cellStyle name="Positive 4 2 6 4 2 8" xfId="41338" xr:uid="{00000000-0005-0000-0000-000087A10000}"/>
    <cellStyle name="Positive 4 2 6 4 2 8 2" xfId="41339" xr:uid="{00000000-0005-0000-0000-000088A10000}"/>
    <cellStyle name="Positive 4 2 6 4 2 9" xfId="41340" xr:uid="{00000000-0005-0000-0000-000089A10000}"/>
    <cellStyle name="Positive 4 2 6 4 2 9 2" xfId="41341" xr:uid="{00000000-0005-0000-0000-00008AA10000}"/>
    <cellStyle name="Positive 4 2 6 4 20" xfId="41342" xr:uid="{00000000-0005-0000-0000-00008BA10000}"/>
    <cellStyle name="Positive 4 2 6 4 3" xfId="41343" xr:uid="{00000000-0005-0000-0000-00008CA10000}"/>
    <cellStyle name="Positive 4 2 6 4 3 2" xfId="41344" xr:uid="{00000000-0005-0000-0000-00008DA10000}"/>
    <cellStyle name="Positive 4 2 6 4 3 2 2" xfId="41345" xr:uid="{00000000-0005-0000-0000-00008EA10000}"/>
    <cellStyle name="Positive 4 2 6 4 3 3" xfId="41346" xr:uid="{00000000-0005-0000-0000-00008FA10000}"/>
    <cellStyle name="Positive 4 2 6 4 4" xfId="41347" xr:uid="{00000000-0005-0000-0000-000090A10000}"/>
    <cellStyle name="Positive 4 2 6 4 4 2" xfId="41348" xr:uid="{00000000-0005-0000-0000-000091A10000}"/>
    <cellStyle name="Positive 4 2 6 4 4 2 2" xfId="41349" xr:uid="{00000000-0005-0000-0000-000092A10000}"/>
    <cellStyle name="Positive 4 2 6 4 4 3" xfId="41350" xr:uid="{00000000-0005-0000-0000-000093A10000}"/>
    <cellStyle name="Positive 4 2 6 4 5" xfId="41351" xr:uid="{00000000-0005-0000-0000-000094A10000}"/>
    <cellStyle name="Positive 4 2 6 4 5 2" xfId="41352" xr:uid="{00000000-0005-0000-0000-000095A10000}"/>
    <cellStyle name="Positive 4 2 6 4 6" xfId="41353" xr:uid="{00000000-0005-0000-0000-000096A10000}"/>
    <cellStyle name="Positive 4 2 6 4 6 2" xfId="41354" xr:uid="{00000000-0005-0000-0000-000097A10000}"/>
    <cellStyle name="Positive 4 2 6 4 7" xfId="41355" xr:uid="{00000000-0005-0000-0000-000098A10000}"/>
    <cellStyle name="Positive 4 2 6 4 7 2" xfId="41356" xr:uid="{00000000-0005-0000-0000-000099A10000}"/>
    <cellStyle name="Positive 4 2 6 4 8" xfId="41357" xr:uid="{00000000-0005-0000-0000-00009AA10000}"/>
    <cellStyle name="Positive 4 2 6 4 8 2" xfId="41358" xr:uid="{00000000-0005-0000-0000-00009BA10000}"/>
    <cellStyle name="Positive 4 2 6 4 9" xfId="41359" xr:uid="{00000000-0005-0000-0000-00009CA10000}"/>
    <cellStyle name="Positive 4 2 6 4 9 2" xfId="41360" xr:uid="{00000000-0005-0000-0000-00009DA10000}"/>
    <cellStyle name="Positive 4 2 6 5" xfId="41361" xr:uid="{00000000-0005-0000-0000-00009EA10000}"/>
    <cellStyle name="Positive 4 2 6 5 10" xfId="41362" xr:uid="{00000000-0005-0000-0000-00009FA10000}"/>
    <cellStyle name="Positive 4 2 6 5 10 2" xfId="41363" xr:uid="{00000000-0005-0000-0000-0000A0A10000}"/>
    <cellStyle name="Positive 4 2 6 5 11" xfId="41364" xr:uid="{00000000-0005-0000-0000-0000A1A10000}"/>
    <cellStyle name="Positive 4 2 6 5 11 2" xfId="41365" xr:uid="{00000000-0005-0000-0000-0000A2A10000}"/>
    <cellStyle name="Positive 4 2 6 5 12" xfId="41366" xr:uid="{00000000-0005-0000-0000-0000A3A10000}"/>
    <cellStyle name="Positive 4 2 6 5 12 2" xfId="41367" xr:uid="{00000000-0005-0000-0000-0000A4A10000}"/>
    <cellStyle name="Positive 4 2 6 5 13" xfId="41368" xr:uid="{00000000-0005-0000-0000-0000A5A10000}"/>
    <cellStyle name="Positive 4 2 6 5 13 2" xfId="41369" xr:uid="{00000000-0005-0000-0000-0000A6A10000}"/>
    <cellStyle name="Positive 4 2 6 5 14" xfId="41370" xr:uid="{00000000-0005-0000-0000-0000A7A10000}"/>
    <cellStyle name="Positive 4 2 6 5 14 2" xfId="41371" xr:uid="{00000000-0005-0000-0000-0000A8A10000}"/>
    <cellStyle name="Positive 4 2 6 5 15" xfId="41372" xr:uid="{00000000-0005-0000-0000-0000A9A10000}"/>
    <cellStyle name="Positive 4 2 6 5 15 2" xfId="41373" xr:uid="{00000000-0005-0000-0000-0000AAA10000}"/>
    <cellStyle name="Positive 4 2 6 5 16" xfId="41374" xr:uid="{00000000-0005-0000-0000-0000ABA10000}"/>
    <cellStyle name="Positive 4 2 6 5 16 2" xfId="41375" xr:uid="{00000000-0005-0000-0000-0000ACA10000}"/>
    <cellStyle name="Positive 4 2 6 5 17" xfId="41376" xr:uid="{00000000-0005-0000-0000-0000ADA10000}"/>
    <cellStyle name="Positive 4 2 6 5 2" xfId="41377" xr:uid="{00000000-0005-0000-0000-0000AEA10000}"/>
    <cellStyle name="Positive 4 2 6 5 2 2" xfId="41378" xr:uid="{00000000-0005-0000-0000-0000AFA10000}"/>
    <cellStyle name="Positive 4 2 6 5 3" xfId="41379" xr:uid="{00000000-0005-0000-0000-0000B0A10000}"/>
    <cellStyle name="Positive 4 2 6 5 3 2" xfId="41380" xr:uid="{00000000-0005-0000-0000-0000B1A10000}"/>
    <cellStyle name="Positive 4 2 6 5 4" xfId="41381" xr:uid="{00000000-0005-0000-0000-0000B2A10000}"/>
    <cellStyle name="Positive 4 2 6 5 4 2" xfId="41382" xr:uid="{00000000-0005-0000-0000-0000B3A10000}"/>
    <cellStyle name="Positive 4 2 6 5 5" xfId="41383" xr:uid="{00000000-0005-0000-0000-0000B4A10000}"/>
    <cellStyle name="Positive 4 2 6 5 5 2" xfId="41384" xr:uid="{00000000-0005-0000-0000-0000B5A10000}"/>
    <cellStyle name="Positive 4 2 6 5 6" xfId="41385" xr:uid="{00000000-0005-0000-0000-0000B6A10000}"/>
    <cellStyle name="Positive 4 2 6 5 6 2" xfId="41386" xr:uid="{00000000-0005-0000-0000-0000B7A10000}"/>
    <cellStyle name="Positive 4 2 6 5 7" xfId="41387" xr:uid="{00000000-0005-0000-0000-0000B8A10000}"/>
    <cellStyle name="Positive 4 2 6 5 7 2" xfId="41388" xr:uid="{00000000-0005-0000-0000-0000B9A10000}"/>
    <cellStyle name="Positive 4 2 6 5 8" xfId="41389" xr:uid="{00000000-0005-0000-0000-0000BAA10000}"/>
    <cellStyle name="Positive 4 2 6 5 8 2" xfId="41390" xr:uid="{00000000-0005-0000-0000-0000BBA10000}"/>
    <cellStyle name="Positive 4 2 6 5 9" xfId="41391" xr:uid="{00000000-0005-0000-0000-0000BCA10000}"/>
    <cellStyle name="Positive 4 2 6 5 9 2" xfId="41392" xr:uid="{00000000-0005-0000-0000-0000BDA10000}"/>
    <cellStyle name="Positive 4 2 6 6" xfId="41393" xr:uid="{00000000-0005-0000-0000-0000BEA10000}"/>
    <cellStyle name="Positive 4 2 6 6 2" xfId="41394" xr:uid="{00000000-0005-0000-0000-0000BFA10000}"/>
    <cellStyle name="Positive 4 2 6 6 2 2" xfId="41395" xr:uid="{00000000-0005-0000-0000-0000C0A10000}"/>
    <cellStyle name="Positive 4 2 6 6 3" xfId="41396" xr:uid="{00000000-0005-0000-0000-0000C1A10000}"/>
    <cellStyle name="Positive 4 2 6 7" xfId="41397" xr:uid="{00000000-0005-0000-0000-0000C2A10000}"/>
    <cellStyle name="Positive 4 2 6 7 2" xfId="41398" xr:uid="{00000000-0005-0000-0000-0000C3A10000}"/>
    <cellStyle name="Positive 4 2 6 7 2 2" xfId="41399" xr:uid="{00000000-0005-0000-0000-0000C4A10000}"/>
    <cellStyle name="Positive 4 2 6 7 3" xfId="41400" xr:uid="{00000000-0005-0000-0000-0000C5A10000}"/>
    <cellStyle name="Positive 4 2 6 8" xfId="41401" xr:uid="{00000000-0005-0000-0000-0000C6A10000}"/>
    <cellStyle name="Positive 4 2 6 8 2" xfId="41402" xr:uid="{00000000-0005-0000-0000-0000C7A10000}"/>
    <cellStyle name="Positive 4 2 6 9" xfId="41403" xr:uid="{00000000-0005-0000-0000-0000C8A10000}"/>
    <cellStyle name="Positive 4 2 6 9 2" xfId="41404" xr:uid="{00000000-0005-0000-0000-0000C9A10000}"/>
    <cellStyle name="Positive 4 2 7" xfId="41405" xr:uid="{00000000-0005-0000-0000-0000CAA10000}"/>
    <cellStyle name="Positive 4 2 7 10" xfId="41406" xr:uid="{00000000-0005-0000-0000-0000CBA10000}"/>
    <cellStyle name="Positive 4 2 7 10 2" xfId="41407" xr:uid="{00000000-0005-0000-0000-0000CCA10000}"/>
    <cellStyle name="Positive 4 2 7 11" xfId="41408" xr:uid="{00000000-0005-0000-0000-0000CDA10000}"/>
    <cellStyle name="Positive 4 2 7 11 2" xfId="41409" xr:uid="{00000000-0005-0000-0000-0000CEA10000}"/>
    <cellStyle name="Positive 4 2 7 12" xfId="41410" xr:uid="{00000000-0005-0000-0000-0000CFA10000}"/>
    <cellStyle name="Positive 4 2 7 12 2" xfId="41411" xr:uid="{00000000-0005-0000-0000-0000D0A10000}"/>
    <cellStyle name="Positive 4 2 7 13" xfId="41412" xr:uid="{00000000-0005-0000-0000-0000D1A10000}"/>
    <cellStyle name="Positive 4 2 7 13 2" xfId="41413" xr:uid="{00000000-0005-0000-0000-0000D2A10000}"/>
    <cellStyle name="Positive 4 2 7 14" xfId="41414" xr:uid="{00000000-0005-0000-0000-0000D3A10000}"/>
    <cellStyle name="Positive 4 2 7 14 2" xfId="41415" xr:uid="{00000000-0005-0000-0000-0000D4A10000}"/>
    <cellStyle name="Positive 4 2 7 15" xfId="41416" xr:uid="{00000000-0005-0000-0000-0000D5A10000}"/>
    <cellStyle name="Positive 4 2 7 15 2" xfId="41417" xr:uid="{00000000-0005-0000-0000-0000D6A10000}"/>
    <cellStyle name="Positive 4 2 7 16" xfId="41418" xr:uid="{00000000-0005-0000-0000-0000D7A10000}"/>
    <cellStyle name="Positive 4 2 7 16 2" xfId="41419" xr:uid="{00000000-0005-0000-0000-0000D8A10000}"/>
    <cellStyle name="Positive 4 2 7 17" xfId="41420" xr:uid="{00000000-0005-0000-0000-0000D9A10000}"/>
    <cellStyle name="Positive 4 2 7 17 2" xfId="41421" xr:uid="{00000000-0005-0000-0000-0000DAA10000}"/>
    <cellStyle name="Positive 4 2 7 18" xfId="41422" xr:uid="{00000000-0005-0000-0000-0000DBA10000}"/>
    <cellStyle name="Positive 4 2 7 18 2" xfId="41423" xr:uid="{00000000-0005-0000-0000-0000DCA10000}"/>
    <cellStyle name="Positive 4 2 7 19" xfId="41424" xr:uid="{00000000-0005-0000-0000-0000DDA10000}"/>
    <cellStyle name="Positive 4 2 7 19 2" xfId="41425" xr:uid="{00000000-0005-0000-0000-0000DEA10000}"/>
    <cellStyle name="Positive 4 2 7 2" xfId="41426" xr:uid="{00000000-0005-0000-0000-0000DFA10000}"/>
    <cellStyle name="Positive 4 2 7 2 10" xfId="41427" xr:uid="{00000000-0005-0000-0000-0000E0A10000}"/>
    <cellStyle name="Positive 4 2 7 2 10 2" xfId="41428" xr:uid="{00000000-0005-0000-0000-0000E1A10000}"/>
    <cellStyle name="Positive 4 2 7 2 11" xfId="41429" xr:uid="{00000000-0005-0000-0000-0000E2A10000}"/>
    <cellStyle name="Positive 4 2 7 2 11 2" xfId="41430" xr:uid="{00000000-0005-0000-0000-0000E3A10000}"/>
    <cellStyle name="Positive 4 2 7 2 12" xfId="41431" xr:uid="{00000000-0005-0000-0000-0000E4A10000}"/>
    <cellStyle name="Positive 4 2 7 2 12 2" xfId="41432" xr:uid="{00000000-0005-0000-0000-0000E5A10000}"/>
    <cellStyle name="Positive 4 2 7 2 13" xfId="41433" xr:uid="{00000000-0005-0000-0000-0000E6A10000}"/>
    <cellStyle name="Positive 4 2 7 2 13 2" xfId="41434" xr:uid="{00000000-0005-0000-0000-0000E7A10000}"/>
    <cellStyle name="Positive 4 2 7 2 14" xfId="41435" xr:uid="{00000000-0005-0000-0000-0000E8A10000}"/>
    <cellStyle name="Positive 4 2 7 2 14 2" xfId="41436" xr:uid="{00000000-0005-0000-0000-0000E9A10000}"/>
    <cellStyle name="Positive 4 2 7 2 15" xfId="41437" xr:uid="{00000000-0005-0000-0000-0000EAA10000}"/>
    <cellStyle name="Positive 4 2 7 2 15 2" xfId="41438" xr:uid="{00000000-0005-0000-0000-0000EBA10000}"/>
    <cellStyle name="Positive 4 2 7 2 16" xfId="41439" xr:uid="{00000000-0005-0000-0000-0000ECA10000}"/>
    <cellStyle name="Positive 4 2 7 2 16 2" xfId="41440" xr:uid="{00000000-0005-0000-0000-0000EDA10000}"/>
    <cellStyle name="Positive 4 2 7 2 17" xfId="41441" xr:uid="{00000000-0005-0000-0000-0000EEA10000}"/>
    <cellStyle name="Positive 4 2 7 2 17 2" xfId="41442" xr:uid="{00000000-0005-0000-0000-0000EFA10000}"/>
    <cellStyle name="Positive 4 2 7 2 18" xfId="41443" xr:uid="{00000000-0005-0000-0000-0000F0A10000}"/>
    <cellStyle name="Positive 4 2 7 2 18 2" xfId="41444" xr:uid="{00000000-0005-0000-0000-0000F1A10000}"/>
    <cellStyle name="Positive 4 2 7 2 19" xfId="41445" xr:uid="{00000000-0005-0000-0000-0000F2A10000}"/>
    <cellStyle name="Positive 4 2 7 2 19 2" xfId="41446" xr:uid="{00000000-0005-0000-0000-0000F3A10000}"/>
    <cellStyle name="Positive 4 2 7 2 2" xfId="41447" xr:uid="{00000000-0005-0000-0000-0000F4A10000}"/>
    <cellStyle name="Positive 4 2 7 2 2 10" xfId="41448" xr:uid="{00000000-0005-0000-0000-0000F5A10000}"/>
    <cellStyle name="Positive 4 2 7 2 2 10 2" xfId="41449" xr:uid="{00000000-0005-0000-0000-0000F6A10000}"/>
    <cellStyle name="Positive 4 2 7 2 2 11" xfId="41450" xr:uid="{00000000-0005-0000-0000-0000F7A10000}"/>
    <cellStyle name="Positive 4 2 7 2 2 11 2" xfId="41451" xr:uid="{00000000-0005-0000-0000-0000F8A10000}"/>
    <cellStyle name="Positive 4 2 7 2 2 12" xfId="41452" xr:uid="{00000000-0005-0000-0000-0000F9A10000}"/>
    <cellStyle name="Positive 4 2 7 2 2 12 2" xfId="41453" xr:uid="{00000000-0005-0000-0000-0000FAA10000}"/>
    <cellStyle name="Positive 4 2 7 2 2 13" xfId="41454" xr:uid="{00000000-0005-0000-0000-0000FBA10000}"/>
    <cellStyle name="Positive 4 2 7 2 2 13 2" xfId="41455" xr:uid="{00000000-0005-0000-0000-0000FCA10000}"/>
    <cellStyle name="Positive 4 2 7 2 2 14" xfId="41456" xr:uid="{00000000-0005-0000-0000-0000FDA10000}"/>
    <cellStyle name="Positive 4 2 7 2 2 14 2" xfId="41457" xr:uid="{00000000-0005-0000-0000-0000FEA10000}"/>
    <cellStyle name="Positive 4 2 7 2 2 15" xfId="41458" xr:uid="{00000000-0005-0000-0000-0000FFA10000}"/>
    <cellStyle name="Positive 4 2 7 2 2 15 2" xfId="41459" xr:uid="{00000000-0005-0000-0000-000000A20000}"/>
    <cellStyle name="Positive 4 2 7 2 2 16" xfId="41460" xr:uid="{00000000-0005-0000-0000-000001A20000}"/>
    <cellStyle name="Positive 4 2 7 2 2 16 2" xfId="41461" xr:uid="{00000000-0005-0000-0000-000002A20000}"/>
    <cellStyle name="Positive 4 2 7 2 2 17" xfId="41462" xr:uid="{00000000-0005-0000-0000-000003A20000}"/>
    <cellStyle name="Positive 4 2 7 2 2 2" xfId="41463" xr:uid="{00000000-0005-0000-0000-000004A20000}"/>
    <cellStyle name="Positive 4 2 7 2 2 2 2" xfId="41464" xr:uid="{00000000-0005-0000-0000-000005A20000}"/>
    <cellStyle name="Positive 4 2 7 2 2 3" xfId="41465" xr:uid="{00000000-0005-0000-0000-000006A20000}"/>
    <cellStyle name="Positive 4 2 7 2 2 3 2" xfId="41466" xr:uid="{00000000-0005-0000-0000-000007A20000}"/>
    <cellStyle name="Positive 4 2 7 2 2 4" xfId="41467" xr:uid="{00000000-0005-0000-0000-000008A20000}"/>
    <cellStyle name="Positive 4 2 7 2 2 4 2" xfId="41468" xr:uid="{00000000-0005-0000-0000-000009A20000}"/>
    <cellStyle name="Positive 4 2 7 2 2 5" xfId="41469" xr:uid="{00000000-0005-0000-0000-00000AA20000}"/>
    <cellStyle name="Positive 4 2 7 2 2 5 2" xfId="41470" xr:uid="{00000000-0005-0000-0000-00000BA20000}"/>
    <cellStyle name="Positive 4 2 7 2 2 6" xfId="41471" xr:uid="{00000000-0005-0000-0000-00000CA20000}"/>
    <cellStyle name="Positive 4 2 7 2 2 6 2" xfId="41472" xr:uid="{00000000-0005-0000-0000-00000DA20000}"/>
    <cellStyle name="Positive 4 2 7 2 2 7" xfId="41473" xr:uid="{00000000-0005-0000-0000-00000EA20000}"/>
    <cellStyle name="Positive 4 2 7 2 2 7 2" xfId="41474" xr:uid="{00000000-0005-0000-0000-00000FA20000}"/>
    <cellStyle name="Positive 4 2 7 2 2 8" xfId="41475" xr:uid="{00000000-0005-0000-0000-000010A20000}"/>
    <cellStyle name="Positive 4 2 7 2 2 8 2" xfId="41476" xr:uid="{00000000-0005-0000-0000-000011A20000}"/>
    <cellStyle name="Positive 4 2 7 2 2 9" xfId="41477" xr:uid="{00000000-0005-0000-0000-000012A20000}"/>
    <cellStyle name="Positive 4 2 7 2 2 9 2" xfId="41478" xr:uid="{00000000-0005-0000-0000-000013A20000}"/>
    <cellStyle name="Positive 4 2 7 2 20" xfId="41479" xr:uid="{00000000-0005-0000-0000-000014A20000}"/>
    <cellStyle name="Positive 4 2 7 2 3" xfId="41480" xr:uid="{00000000-0005-0000-0000-000015A20000}"/>
    <cellStyle name="Positive 4 2 7 2 3 2" xfId="41481" xr:uid="{00000000-0005-0000-0000-000016A20000}"/>
    <cellStyle name="Positive 4 2 7 2 3 2 2" xfId="41482" xr:uid="{00000000-0005-0000-0000-000017A20000}"/>
    <cellStyle name="Positive 4 2 7 2 3 3" xfId="41483" xr:uid="{00000000-0005-0000-0000-000018A20000}"/>
    <cellStyle name="Positive 4 2 7 2 4" xfId="41484" xr:uid="{00000000-0005-0000-0000-000019A20000}"/>
    <cellStyle name="Positive 4 2 7 2 4 2" xfId="41485" xr:uid="{00000000-0005-0000-0000-00001AA20000}"/>
    <cellStyle name="Positive 4 2 7 2 4 2 2" xfId="41486" xr:uid="{00000000-0005-0000-0000-00001BA20000}"/>
    <cellStyle name="Positive 4 2 7 2 4 3" xfId="41487" xr:uid="{00000000-0005-0000-0000-00001CA20000}"/>
    <cellStyle name="Positive 4 2 7 2 5" xfId="41488" xr:uid="{00000000-0005-0000-0000-00001DA20000}"/>
    <cellStyle name="Positive 4 2 7 2 5 2" xfId="41489" xr:uid="{00000000-0005-0000-0000-00001EA20000}"/>
    <cellStyle name="Positive 4 2 7 2 6" xfId="41490" xr:uid="{00000000-0005-0000-0000-00001FA20000}"/>
    <cellStyle name="Positive 4 2 7 2 6 2" xfId="41491" xr:uid="{00000000-0005-0000-0000-000020A20000}"/>
    <cellStyle name="Positive 4 2 7 2 7" xfId="41492" xr:uid="{00000000-0005-0000-0000-000021A20000}"/>
    <cellStyle name="Positive 4 2 7 2 7 2" xfId="41493" xr:uid="{00000000-0005-0000-0000-000022A20000}"/>
    <cellStyle name="Positive 4 2 7 2 8" xfId="41494" xr:uid="{00000000-0005-0000-0000-000023A20000}"/>
    <cellStyle name="Positive 4 2 7 2 8 2" xfId="41495" xr:uid="{00000000-0005-0000-0000-000024A20000}"/>
    <cellStyle name="Positive 4 2 7 2 9" xfId="41496" xr:uid="{00000000-0005-0000-0000-000025A20000}"/>
    <cellStyle name="Positive 4 2 7 2 9 2" xfId="41497" xr:uid="{00000000-0005-0000-0000-000026A20000}"/>
    <cellStyle name="Positive 4 2 7 20" xfId="41498" xr:uid="{00000000-0005-0000-0000-000027A20000}"/>
    <cellStyle name="Positive 4 2 7 20 2" xfId="41499" xr:uid="{00000000-0005-0000-0000-000028A20000}"/>
    <cellStyle name="Positive 4 2 7 21" xfId="41500" xr:uid="{00000000-0005-0000-0000-000029A20000}"/>
    <cellStyle name="Positive 4 2 7 21 2" xfId="41501" xr:uid="{00000000-0005-0000-0000-00002AA20000}"/>
    <cellStyle name="Positive 4 2 7 22" xfId="41502" xr:uid="{00000000-0005-0000-0000-00002BA20000}"/>
    <cellStyle name="Positive 4 2 7 22 2" xfId="41503" xr:uid="{00000000-0005-0000-0000-00002CA20000}"/>
    <cellStyle name="Positive 4 2 7 23" xfId="41504" xr:uid="{00000000-0005-0000-0000-00002DA20000}"/>
    <cellStyle name="Positive 4 2 7 3" xfId="41505" xr:uid="{00000000-0005-0000-0000-00002EA20000}"/>
    <cellStyle name="Positive 4 2 7 3 10" xfId="41506" xr:uid="{00000000-0005-0000-0000-00002FA20000}"/>
    <cellStyle name="Positive 4 2 7 3 10 2" xfId="41507" xr:uid="{00000000-0005-0000-0000-000030A20000}"/>
    <cellStyle name="Positive 4 2 7 3 11" xfId="41508" xr:uid="{00000000-0005-0000-0000-000031A20000}"/>
    <cellStyle name="Positive 4 2 7 3 11 2" xfId="41509" xr:uid="{00000000-0005-0000-0000-000032A20000}"/>
    <cellStyle name="Positive 4 2 7 3 12" xfId="41510" xr:uid="{00000000-0005-0000-0000-000033A20000}"/>
    <cellStyle name="Positive 4 2 7 3 12 2" xfId="41511" xr:uid="{00000000-0005-0000-0000-000034A20000}"/>
    <cellStyle name="Positive 4 2 7 3 13" xfId="41512" xr:uid="{00000000-0005-0000-0000-000035A20000}"/>
    <cellStyle name="Positive 4 2 7 3 13 2" xfId="41513" xr:uid="{00000000-0005-0000-0000-000036A20000}"/>
    <cellStyle name="Positive 4 2 7 3 14" xfId="41514" xr:uid="{00000000-0005-0000-0000-000037A20000}"/>
    <cellStyle name="Positive 4 2 7 3 14 2" xfId="41515" xr:uid="{00000000-0005-0000-0000-000038A20000}"/>
    <cellStyle name="Positive 4 2 7 3 15" xfId="41516" xr:uid="{00000000-0005-0000-0000-000039A20000}"/>
    <cellStyle name="Positive 4 2 7 3 15 2" xfId="41517" xr:uid="{00000000-0005-0000-0000-00003AA20000}"/>
    <cellStyle name="Positive 4 2 7 3 16" xfId="41518" xr:uid="{00000000-0005-0000-0000-00003BA20000}"/>
    <cellStyle name="Positive 4 2 7 3 16 2" xfId="41519" xr:uid="{00000000-0005-0000-0000-00003CA20000}"/>
    <cellStyle name="Positive 4 2 7 3 17" xfId="41520" xr:uid="{00000000-0005-0000-0000-00003DA20000}"/>
    <cellStyle name="Positive 4 2 7 3 17 2" xfId="41521" xr:uid="{00000000-0005-0000-0000-00003EA20000}"/>
    <cellStyle name="Positive 4 2 7 3 18" xfId="41522" xr:uid="{00000000-0005-0000-0000-00003FA20000}"/>
    <cellStyle name="Positive 4 2 7 3 18 2" xfId="41523" xr:uid="{00000000-0005-0000-0000-000040A20000}"/>
    <cellStyle name="Positive 4 2 7 3 19" xfId="41524" xr:uid="{00000000-0005-0000-0000-000041A20000}"/>
    <cellStyle name="Positive 4 2 7 3 19 2" xfId="41525" xr:uid="{00000000-0005-0000-0000-000042A20000}"/>
    <cellStyle name="Positive 4 2 7 3 2" xfId="41526" xr:uid="{00000000-0005-0000-0000-000043A20000}"/>
    <cellStyle name="Positive 4 2 7 3 2 10" xfId="41527" xr:uid="{00000000-0005-0000-0000-000044A20000}"/>
    <cellStyle name="Positive 4 2 7 3 2 10 2" xfId="41528" xr:uid="{00000000-0005-0000-0000-000045A20000}"/>
    <cellStyle name="Positive 4 2 7 3 2 11" xfId="41529" xr:uid="{00000000-0005-0000-0000-000046A20000}"/>
    <cellStyle name="Positive 4 2 7 3 2 11 2" xfId="41530" xr:uid="{00000000-0005-0000-0000-000047A20000}"/>
    <cellStyle name="Positive 4 2 7 3 2 12" xfId="41531" xr:uid="{00000000-0005-0000-0000-000048A20000}"/>
    <cellStyle name="Positive 4 2 7 3 2 12 2" xfId="41532" xr:uid="{00000000-0005-0000-0000-000049A20000}"/>
    <cellStyle name="Positive 4 2 7 3 2 13" xfId="41533" xr:uid="{00000000-0005-0000-0000-00004AA20000}"/>
    <cellStyle name="Positive 4 2 7 3 2 13 2" xfId="41534" xr:uid="{00000000-0005-0000-0000-00004BA20000}"/>
    <cellStyle name="Positive 4 2 7 3 2 14" xfId="41535" xr:uid="{00000000-0005-0000-0000-00004CA20000}"/>
    <cellStyle name="Positive 4 2 7 3 2 14 2" xfId="41536" xr:uid="{00000000-0005-0000-0000-00004DA20000}"/>
    <cellStyle name="Positive 4 2 7 3 2 15" xfId="41537" xr:uid="{00000000-0005-0000-0000-00004EA20000}"/>
    <cellStyle name="Positive 4 2 7 3 2 15 2" xfId="41538" xr:uid="{00000000-0005-0000-0000-00004FA20000}"/>
    <cellStyle name="Positive 4 2 7 3 2 16" xfId="41539" xr:uid="{00000000-0005-0000-0000-000050A20000}"/>
    <cellStyle name="Positive 4 2 7 3 2 16 2" xfId="41540" xr:uid="{00000000-0005-0000-0000-000051A20000}"/>
    <cellStyle name="Positive 4 2 7 3 2 17" xfId="41541" xr:uid="{00000000-0005-0000-0000-000052A20000}"/>
    <cellStyle name="Positive 4 2 7 3 2 2" xfId="41542" xr:uid="{00000000-0005-0000-0000-000053A20000}"/>
    <cellStyle name="Positive 4 2 7 3 2 2 2" xfId="41543" xr:uid="{00000000-0005-0000-0000-000054A20000}"/>
    <cellStyle name="Positive 4 2 7 3 2 3" xfId="41544" xr:uid="{00000000-0005-0000-0000-000055A20000}"/>
    <cellStyle name="Positive 4 2 7 3 2 3 2" xfId="41545" xr:uid="{00000000-0005-0000-0000-000056A20000}"/>
    <cellStyle name="Positive 4 2 7 3 2 4" xfId="41546" xr:uid="{00000000-0005-0000-0000-000057A20000}"/>
    <cellStyle name="Positive 4 2 7 3 2 4 2" xfId="41547" xr:uid="{00000000-0005-0000-0000-000058A20000}"/>
    <cellStyle name="Positive 4 2 7 3 2 5" xfId="41548" xr:uid="{00000000-0005-0000-0000-000059A20000}"/>
    <cellStyle name="Positive 4 2 7 3 2 5 2" xfId="41549" xr:uid="{00000000-0005-0000-0000-00005AA20000}"/>
    <cellStyle name="Positive 4 2 7 3 2 6" xfId="41550" xr:uid="{00000000-0005-0000-0000-00005BA20000}"/>
    <cellStyle name="Positive 4 2 7 3 2 6 2" xfId="41551" xr:uid="{00000000-0005-0000-0000-00005CA20000}"/>
    <cellStyle name="Positive 4 2 7 3 2 7" xfId="41552" xr:uid="{00000000-0005-0000-0000-00005DA20000}"/>
    <cellStyle name="Positive 4 2 7 3 2 7 2" xfId="41553" xr:uid="{00000000-0005-0000-0000-00005EA20000}"/>
    <cellStyle name="Positive 4 2 7 3 2 8" xfId="41554" xr:uid="{00000000-0005-0000-0000-00005FA20000}"/>
    <cellStyle name="Positive 4 2 7 3 2 8 2" xfId="41555" xr:uid="{00000000-0005-0000-0000-000060A20000}"/>
    <cellStyle name="Positive 4 2 7 3 2 9" xfId="41556" xr:uid="{00000000-0005-0000-0000-000061A20000}"/>
    <cellStyle name="Positive 4 2 7 3 2 9 2" xfId="41557" xr:uid="{00000000-0005-0000-0000-000062A20000}"/>
    <cellStyle name="Positive 4 2 7 3 20" xfId="41558" xr:uid="{00000000-0005-0000-0000-000063A20000}"/>
    <cellStyle name="Positive 4 2 7 3 3" xfId="41559" xr:uid="{00000000-0005-0000-0000-000064A20000}"/>
    <cellStyle name="Positive 4 2 7 3 3 2" xfId="41560" xr:uid="{00000000-0005-0000-0000-000065A20000}"/>
    <cellStyle name="Positive 4 2 7 3 3 2 2" xfId="41561" xr:uid="{00000000-0005-0000-0000-000066A20000}"/>
    <cellStyle name="Positive 4 2 7 3 3 3" xfId="41562" xr:uid="{00000000-0005-0000-0000-000067A20000}"/>
    <cellStyle name="Positive 4 2 7 3 4" xfId="41563" xr:uid="{00000000-0005-0000-0000-000068A20000}"/>
    <cellStyle name="Positive 4 2 7 3 4 2" xfId="41564" xr:uid="{00000000-0005-0000-0000-000069A20000}"/>
    <cellStyle name="Positive 4 2 7 3 4 2 2" xfId="41565" xr:uid="{00000000-0005-0000-0000-00006AA20000}"/>
    <cellStyle name="Positive 4 2 7 3 4 3" xfId="41566" xr:uid="{00000000-0005-0000-0000-00006BA20000}"/>
    <cellStyle name="Positive 4 2 7 3 5" xfId="41567" xr:uid="{00000000-0005-0000-0000-00006CA20000}"/>
    <cellStyle name="Positive 4 2 7 3 5 2" xfId="41568" xr:uid="{00000000-0005-0000-0000-00006DA20000}"/>
    <cellStyle name="Positive 4 2 7 3 6" xfId="41569" xr:uid="{00000000-0005-0000-0000-00006EA20000}"/>
    <cellStyle name="Positive 4 2 7 3 6 2" xfId="41570" xr:uid="{00000000-0005-0000-0000-00006FA20000}"/>
    <cellStyle name="Positive 4 2 7 3 7" xfId="41571" xr:uid="{00000000-0005-0000-0000-000070A20000}"/>
    <cellStyle name="Positive 4 2 7 3 7 2" xfId="41572" xr:uid="{00000000-0005-0000-0000-000071A20000}"/>
    <cellStyle name="Positive 4 2 7 3 8" xfId="41573" xr:uid="{00000000-0005-0000-0000-000072A20000}"/>
    <cellStyle name="Positive 4 2 7 3 8 2" xfId="41574" xr:uid="{00000000-0005-0000-0000-000073A20000}"/>
    <cellStyle name="Positive 4 2 7 3 9" xfId="41575" xr:uid="{00000000-0005-0000-0000-000074A20000}"/>
    <cellStyle name="Positive 4 2 7 3 9 2" xfId="41576" xr:uid="{00000000-0005-0000-0000-000075A20000}"/>
    <cellStyle name="Positive 4 2 7 4" xfId="41577" xr:uid="{00000000-0005-0000-0000-000076A20000}"/>
    <cellStyle name="Positive 4 2 7 4 10" xfId="41578" xr:uid="{00000000-0005-0000-0000-000077A20000}"/>
    <cellStyle name="Positive 4 2 7 4 10 2" xfId="41579" xr:uid="{00000000-0005-0000-0000-000078A20000}"/>
    <cellStyle name="Positive 4 2 7 4 11" xfId="41580" xr:uid="{00000000-0005-0000-0000-000079A20000}"/>
    <cellStyle name="Positive 4 2 7 4 11 2" xfId="41581" xr:uid="{00000000-0005-0000-0000-00007AA20000}"/>
    <cellStyle name="Positive 4 2 7 4 12" xfId="41582" xr:uid="{00000000-0005-0000-0000-00007BA20000}"/>
    <cellStyle name="Positive 4 2 7 4 12 2" xfId="41583" xr:uid="{00000000-0005-0000-0000-00007CA20000}"/>
    <cellStyle name="Positive 4 2 7 4 13" xfId="41584" xr:uid="{00000000-0005-0000-0000-00007DA20000}"/>
    <cellStyle name="Positive 4 2 7 4 13 2" xfId="41585" xr:uid="{00000000-0005-0000-0000-00007EA20000}"/>
    <cellStyle name="Positive 4 2 7 4 14" xfId="41586" xr:uid="{00000000-0005-0000-0000-00007FA20000}"/>
    <cellStyle name="Positive 4 2 7 4 14 2" xfId="41587" xr:uid="{00000000-0005-0000-0000-000080A20000}"/>
    <cellStyle name="Positive 4 2 7 4 15" xfId="41588" xr:uid="{00000000-0005-0000-0000-000081A20000}"/>
    <cellStyle name="Positive 4 2 7 4 15 2" xfId="41589" xr:uid="{00000000-0005-0000-0000-000082A20000}"/>
    <cellStyle name="Positive 4 2 7 4 16" xfId="41590" xr:uid="{00000000-0005-0000-0000-000083A20000}"/>
    <cellStyle name="Positive 4 2 7 4 16 2" xfId="41591" xr:uid="{00000000-0005-0000-0000-000084A20000}"/>
    <cellStyle name="Positive 4 2 7 4 17" xfId="41592" xr:uid="{00000000-0005-0000-0000-000085A20000}"/>
    <cellStyle name="Positive 4 2 7 4 17 2" xfId="41593" xr:uid="{00000000-0005-0000-0000-000086A20000}"/>
    <cellStyle name="Positive 4 2 7 4 18" xfId="41594" xr:uid="{00000000-0005-0000-0000-000087A20000}"/>
    <cellStyle name="Positive 4 2 7 4 18 2" xfId="41595" xr:uid="{00000000-0005-0000-0000-000088A20000}"/>
    <cellStyle name="Positive 4 2 7 4 19" xfId="41596" xr:uid="{00000000-0005-0000-0000-000089A20000}"/>
    <cellStyle name="Positive 4 2 7 4 19 2" xfId="41597" xr:uid="{00000000-0005-0000-0000-00008AA20000}"/>
    <cellStyle name="Positive 4 2 7 4 2" xfId="41598" xr:uid="{00000000-0005-0000-0000-00008BA20000}"/>
    <cellStyle name="Positive 4 2 7 4 2 10" xfId="41599" xr:uid="{00000000-0005-0000-0000-00008CA20000}"/>
    <cellStyle name="Positive 4 2 7 4 2 10 2" xfId="41600" xr:uid="{00000000-0005-0000-0000-00008DA20000}"/>
    <cellStyle name="Positive 4 2 7 4 2 11" xfId="41601" xr:uid="{00000000-0005-0000-0000-00008EA20000}"/>
    <cellStyle name="Positive 4 2 7 4 2 11 2" xfId="41602" xr:uid="{00000000-0005-0000-0000-00008FA20000}"/>
    <cellStyle name="Positive 4 2 7 4 2 12" xfId="41603" xr:uid="{00000000-0005-0000-0000-000090A20000}"/>
    <cellStyle name="Positive 4 2 7 4 2 12 2" xfId="41604" xr:uid="{00000000-0005-0000-0000-000091A20000}"/>
    <cellStyle name="Positive 4 2 7 4 2 13" xfId="41605" xr:uid="{00000000-0005-0000-0000-000092A20000}"/>
    <cellStyle name="Positive 4 2 7 4 2 13 2" xfId="41606" xr:uid="{00000000-0005-0000-0000-000093A20000}"/>
    <cellStyle name="Positive 4 2 7 4 2 14" xfId="41607" xr:uid="{00000000-0005-0000-0000-000094A20000}"/>
    <cellStyle name="Positive 4 2 7 4 2 14 2" xfId="41608" xr:uid="{00000000-0005-0000-0000-000095A20000}"/>
    <cellStyle name="Positive 4 2 7 4 2 15" xfId="41609" xr:uid="{00000000-0005-0000-0000-000096A20000}"/>
    <cellStyle name="Positive 4 2 7 4 2 15 2" xfId="41610" xr:uid="{00000000-0005-0000-0000-000097A20000}"/>
    <cellStyle name="Positive 4 2 7 4 2 16" xfId="41611" xr:uid="{00000000-0005-0000-0000-000098A20000}"/>
    <cellStyle name="Positive 4 2 7 4 2 16 2" xfId="41612" xr:uid="{00000000-0005-0000-0000-000099A20000}"/>
    <cellStyle name="Positive 4 2 7 4 2 17" xfId="41613" xr:uid="{00000000-0005-0000-0000-00009AA20000}"/>
    <cellStyle name="Positive 4 2 7 4 2 2" xfId="41614" xr:uid="{00000000-0005-0000-0000-00009BA20000}"/>
    <cellStyle name="Positive 4 2 7 4 2 2 2" xfId="41615" xr:uid="{00000000-0005-0000-0000-00009CA20000}"/>
    <cellStyle name="Positive 4 2 7 4 2 3" xfId="41616" xr:uid="{00000000-0005-0000-0000-00009DA20000}"/>
    <cellStyle name="Positive 4 2 7 4 2 3 2" xfId="41617" xr:uid="{00000000-0005-0000-0000-00009EA20000}"/>
    <cellStyle name="Positive 4 2 7 4 2 4" xfId="41618" xr:uid="{00000000-0005-0000-0000-00009FA20000}"/>
    <cellStyle name="Positive 4 2 7 4 2 4 2" xfId="41619" xr:uid="{00000000-0005-0000-0000-0000A0A20000}"/>
    <cellStyle name="Positive 4 2 7 4 2 5" xfId="41620" xr:uid="{00000000-0005-0000-0000-0000A1A20000}"/>
    <cellStyle name="Positive 4 2 7 4 2 5 2" xfId="41621" xr:uid="{00000000-0005-0000-0000-0000A2A20000}"/>
    <cellStyle name="Positive 4 2 7 4 2 6" xfId="41622" xr:uid="{00000000-0005-0000-0000-0000A3A20000}"/>
    <cellStyle name="Positive 4 2 7 4 2 6 2" xfId="41623" xr:uid="{00000000-0005-0000-0000-0000A4A20000}"/>
    <cellStyle name="Positive 4 2 7 4 2 7" xfId="41624" xr:uid="{00000000-0005-0000-0000-0000A5A20000}"/>
    <cellStyle name="Positive 4 2 7 4 2 7 2" xfId="41625" xr:uid="{00000000-0005-0000-0000-0000A6A20000}"/>
    <cellStyle name="Positive 4 2 7 4 2 8" xfId="41626" xr:uid="{00000000-0005-0000-0000-0000A7A20000}"/>
    <cellStyle name="Positive 4 2 7 4 2 8 2" xfId="41627" xr:uid="{00000000-0005-0000-0000-0000A8A20000}"/>
    <cellStyle name="Positive 4 2 7 4 2 9" xfId="41628" xr:uid="{00000000-0005-0000-0000-0000A9A20000}"/>
    <cellStyle name="Positive 4 2 7 4 2 9 2" xfId="41629" xr:uid="{00000000-0005-0000-0000-0000AAA20000}"/>
    <cellStyle name="Positive 4 2 7 4 20" xfId="41630" xr:uid="{00000000-0005-0000-0000-0000ABA20000}"/>
    <cellStyle name="Positive 4 2 7 4 3" xfId="41631" xr:uid="{00000000-0005-0000-0000-0000ACA20000}"/>
    <cellStyle name="Positive 4 2 7 4 3 2" xfId="41632" xr:uid="{00000000-0005-0000-0000-0000ADA20000}"/>
    <cellStyle name="Positive 4 2 7 4 3 2 2" xfId="41633" xr:uid="{00000000-0005-0000-0000-0000AEA20000}"/>
    <cellStyle name="Positive 4 2 7 4 3 3" xfId="41634" xr:uid="{00000000-0005-0000-0000-0000AFA20000}"/>
    <cellStyle name="Positive 4 2 7 4 4" xfId="41635" xr:uid="{00000000-0005-0000-0000-0000B0A20000}"/>
    <cellStyle name="Positive 4 2 7 4 4 2" xfId="41636" xr:uid="{00000000-0005-0000-0000-0000B1A20000}"/>
    <cellStyle name="Positive 4 2 7 4 4 2 2" xfId="41637" xr:uid="{00000000-0005-0000-0000-0000B2A20000}"/>
    <cellStyle name="Positive 4 2 7 4 4 3" xfId="41638" xr:uid="{00000000-0005-0000-0000-0000B3A20000}"/>
    <cellStyle name="Positive 4 2 7 4 5" xfId="41639" xr:uid="{00000000-0005-0000-0000-0000B4A20000}"/>
    <cellStyle name="Positive 4 2 7 4 5 2" xfId="41640" xr:uid="{00000000-0005-0000-0000-0000B5A20000}"/>
    <cellStyle name="Positive 4 2 7 4 6" xfId="41641" xr:uid="{00000000-0005-0000-0000-0000B6A20000}"/>
    <cellStyle name="Positive 4 2 7 4 6 2" xfId="41642" xr:uid="{00000000-0005-0000-0000-0000B7A20000}"/>
    <cellStyle name="Positive 4 2 7 4 7" xfId="41643" xr:uid="{00000000-0005-0000-0000-0000B8A20000}"/>
    <cellStyle name="Positive 4 2 7 4 7 2" xfId="41644" xr:uid="{00000000-0005-0000-0000-0000B9A20000}"/>
    <cellStyle name="Positive 4 2 7 4 8" xfId="41645" xr:uid="{00000000-0005-0000-0000-0000BAA20000}"/>
    <cellStyle name="Positive 4 2 7 4 8 2" xfId="41646" xr:uid="{00000000-0005-0000-0000-0000BBA20000}"/>
    <cellStyle name="Positive 4 2 7 4 9" xfId="41647" xr:uid="{00000000-0005-0000-0000-0000BCA20000}"/>
    <cellStyle name="Positive 4 2 7 4 9 2" xfId="41648" xr:uid="{00000000-0005-0000-0000-0000BDA20000}"/>
    <cellStyle name="Positive 4 2 7 5" xfId="41649" xr:uid="{00000000-0005-0000-0000-0000BEA20000}"/>
    <cellStyle name="Positive 4 2 7 5 10" xfId="41650" xr:uid="{00000000-0005-0000-0000-0000BFA20000}"/>
    <cellStyle name="Positive 4 2 7 5 10 2" xfId="41651" xr:uid="{00000000-0005-0000-0000-0000C0A20000}"/>
    <cellStyle name="Positive 4 2 7 5 11" xfId="41652" xr:uid="{00000000-0005-0000-0000-0000C1A20000}"/>
    <cellStyle name="Positive 4 2 7 5 11 2" xfId="41653" xr:uid="{00000000-0005-0000-0000-0000C2A20000}"/>
    <cellStyle name="Positive 4 2 7 5 12" xfId="41654" xr:uid="{00000000-0005-0000-0000-0000C3A20000}"/>
    <cellStyle name="Positive 4 2 7 5 12 2" xfId="41655" xr:uid="{00000000-0005-0000-0000-0000C4A20000}"/>
    <cellStyle name="Positive 4 2 7 5 13" xfId="41656" xr:uid="{00000000-0005-0000-0000-0000C5A20000}"/>
    <cellStyle name="Positive 4 2 7 5 13 2" xfId="41657" xr:uid="{00000000-0005-0000-0000-0000C6A20000}"/>
    <cellStyle name="Positive 4 2 7 5 14" xfId="41658" xr:uid="{00000000-0005-0000-0000-0000C7A20000}"/>
    <cellStyle name="Positive 4 2 7 5 14 2" xfId="41659" xr:uid="{00000000-0005-0000-0000-0000C8A20000}"/>
    <cellStyle name="Positive 4 2 7 5 15" xfId="41660" xr:uid="{00000000-0005-0000-0000-0000C9A20000}"/>
    <cellStyle name="Positive 4 2 7 5 15 2" xfId="41661" xr:uid="{00000000-0005-0000-0000-0000CAA20000}"/>
    <cellStyle name="Positive 4 2 7 5 16" xfId="41662" xr:uid="{00000000-0005-0000-0000-0000CBA20000}"/>
    <cellStyle name="Positive 4 2 7 5 16 2" xfId="41663" xr:uid="{00000000-0005-0000-0000-0000CCA20000}"/>
    <cellStyle name="Positive 4 2 7 5 17" xfId="41664" xr:uid="{00000000-0005-0000-0000-0000CDA20000}"/>
    <cellStyle name="Positive 4 2 7 5 2" xfId="41665" xr:uid="{00000000-0005-0000-0000-0000CEA20000}"/>
    <cellStyle name="Positive 4 2 7 5 2 2" xfId="41666" xr:uid="{00000000-0005-0000-0000-0000CFA20000}"/>
    <cellStyle name="Positive 4 2 7 5 3" xfId="41667" xr:uid="{00000000-0005-0000-0000-0000D0A20000}"/>
    <cellStyle name="Positive 4 2 7 5 3 2" xfId="41668" xr:uid="{00000000-0005-0000-0000-0000D1A20000}"/>
    <cellStyle name="Positive 4 2 7 5 4" xfId="41669" xr:uid="{00000000-0005-0000-0000-0000D2A20000}"/>
    <cellStyle name="Positive 4 2 7 5 4 2" xfId="41670" xr:uid="{00000000-0005-0000-0000-0000D3A20000}"/>
    <cellStyle name="Positive 4 2 7 5 5" xfId="41671" xr:uid="{00000000-0005-0000-0000-0000D4A20000}"/>
    <cellStyle name="Positive 4 2 7 5 5 2" xfId="41672" xr:uid="{00000000-0005-0000-0000-0000D5A20000}"/>
    <cellStyle name="Positive 4 2 7 5 6" xfId="41673" xr:uid="{00000000-0005-0000-0000-0000D6A20000}"/>
    <cellStyle name="Positive 4 2 7 5 6 2" xfId="41674" xr:uid="{00000000-0005-0000-0000-0000D7A20000}"/>
    <cellStyle name="Positive 4 2 7 5 7" xfId="41675" xr:uid="{00000000-0005-0000-0000-0000D8A20000}"/>
    <cellStyle name="Positive 4 2 7 5 7 2" xfId="41676" xr:uid="{00000000-0005-0000-0000-0000D9A20000}"/>
    <cellStyle name="Positive 4 2 7 5 8" xfId="41677" xr:uid="{00000000-0005-0000-0000-0000DAA20000}"/>
    <cellStyle name="Positive 4 2 7 5 8 2" xfId="41678" xr:uid="{00000000-0005-0000-0000-0000DBA20000}"/>
    <cellStyle name="Positive 4 2 7 5 9" xfId="41679" xr:uid="{00000000-0005-0000-0000-0000DCA20000}"/>
    <cellStyle name="Positive 4 2 7 5 9 2" xfId="41680" xr:uid="{00000000-0005-0000-0000-0000DDA20000}"/>
    <cellStyle name="Positive 4 2 7 6" xfId="41681" xr:uid="{00000000-0005-0000-0000-0000DEA20000}"/>
    <cellStyle name="Positive 4 2 7 6 2" xfId="41682" xr:uid="{00000000-0005-0000-0000-0000DFA20000}"/>
    <cellStyle name="Positive 4 2 7 6 2 2" xfId="41683" xr:uid="{00000000-0005-0000-0000-0000E0A20000}"/>
    <cellStyle name="Positive 4 2 7 6 3" xfId="41684" xr:uid="{00000000-0005-0000-0000-0000E1A20000}"/>
    <cellStyle name="Positive 4 2 7 7" xfId="41685" xr:uid="{00000000-0005-0000-0000-0000E2A20000}"/>
    <cellStyle name="Positive 4 2 7 7 2" xfId="41686" xr:uid="{00000000-0005-0000-0000-0000E3A20000}"/>
    <cellStyle name="Positive 4 2 7 7 2 2" xfId="41687" xr:uid="{00000000-0005-0000-0000-0000E4A20000}"/>
    <cellStyle name="Positive 4 2 7 7 3" xfId="41688" xr:uid="{00000000-0005-0000-0000-0000E5A20000}"/>
    <cellStyle name="Positive 4 2 7 8" xfId="41689" xr:uid="{00000000-0005-0000-0000-0000E6A20000}"/>
    <cellStyle name="Positive 4 2 7 8 2" xfId="41690" xr:uid="{00000000-0005-0000-0000-0000E7A20000}"/>
    <cellStyle name="Positive 4 2 7 9" xfId="41691" xr:uid="{00000000-0005-0000-0000-0000E8A20000}"/>
    <cellStyle name="Positive 4 2 7 9 2" xfId="41692" xr:uid="{00000000-0005-0000-0000-0000E9A20000}"/>
    <cellStyle name="Positive 4 2 8" xfId="41693" xr:uid="{00000000-0005-0000-0000-0000EAA20000}"/>
    <cellStyle name="Positive 4 2 8 10" xfId="41694" xr:uid="{00000000-0005-0000-0000-0000EBA20000}"/>
    <cellStyle name="Positive 4 2 8 10 2" xfId="41695" xr:uid="{00000000-0005-0000-0000-0000ECA20000}"/>
    <cellStyle name="Positive 4 2 8 11" xfId="41696" xr:uid="{00000000-0005-0000-0000-0000EDA20000}"/>
    <cellStyle name="Positive 4 2 8 11 2" xfId="41697" xr:uid="{00000000-0005-0000-0000-0000EEA20000}"/>
    <cellStyle name="Positive 4 2 8 12" xfId="41698" xr:uid="{00000000-0005-0000-0000-0000EFA20000}"/>
    <cellStyle name="Positive 4 2 8 12 2" xfId="41699" xr:uid="{00000000-0005-0000-0000-0000F0A20000}"/>
    <cellStyle name="Positive 4 2 8 13" xfId="41700" xr:uid="{00000000-0005-0000-0000-0000F1A20000}"/>
    <cellStyle name="Positive 4 2 8 13 2" xfId="41701" xr:uid="{00000000-0005-0000-0000-0000F2A20000}"/>
    <cellStyle name="Positive 4 2 8 14" xfId="41702" xr:uid="{00000000-0005-0000-0000-0000F3A20000}"/>
    <cellStyle name="Positive 4 2 8 14 2" xfId="41703" xr:uid="{00000000-0005-0000-0000-0000F4A20000}"/>
    <cellStyle name="Positive 4 2 8 15" xfId="41704" xr:uid="{00000000-0005-0000-0000-0000F5A20000}"/>
    <cellStyle name="Positive 4 2 8 15 2" xfId="41705" xr:uid="{00000000-0005-0000-0000-0000F6A20000}"/>
    <cellStyle name="Positive 4 2 8 16" xfId="41706" xr:uid="{00000000-0005-0000-0000-0000F7A20000}"/>
    <cellStyle name="Positive 4 2 8 16 2" xfId="41707" xr:uid="{00000000-0005-0000-0000-0000F8A20000}"/>
    <cellStyle name="Positive 4 2 8 17" xfId="41708" xr:uid="{00000000-0005-0000-0000-0000F9A20000}"/>
    <cellStyle name="Positive 4 2 8 17 2" xfId="41709" xr:uid="{00000000-0005-0000-0000-0000FAA20000}"/>
    <cellStyle name="Positive 4 2 8 18" xfId="41710" xr:uid="{00000000-0005-0000-0000-0000FBA20000}"/>
    <cellStyle name="Positive 4 2 8 18 2" xfId="41711" xr:uid="{00000000-0005-0000-0000-0000FCA20000}"/>
    <cellStyle name="Positive 4 2 8 19" xfId="41712" xr:uid="{00000000-0005-0000-0000-0000FDA20000}"/>
    <cellStyle name="Positive 4 2 8 19 2" xfId="41713" xr:uid="{00000000-0005-0000-0000-0000FEA20000}"/>
    <cellStyle name="Positive 4 2 8 2" xfId="41714" xr:uid="{00000000-0005-0000-0000-0000FFA20000}"/>
    <cellStyle name="Positive 4 2 8 2 10" xfId="41715" xr:uid="{00000000-0005-0000-0000-000000A30000}"/>
    <cellStyle name="Positive 4 2 8 2 10 2" xfId="41716" xr:uid="{00000000-0005-0000-0000-000001A30000}"/>
    <cellStyle name="Positive 4 2 8 2 11" xfId="41717" xr:uid="{00000000-0005-0000-0000-000002A30000}"/>
    <cellStyle name="Positive 4 2 8 2 11 2" xfId="41718" xr:uid="{00000000-0005-0000-0000-000003A30000}"/>
    <cellStyle name="Positive 4 2 8 2 12" xfId="41719" xr:uid="{00000000-0005-0000-0000-000004A30000}"/>
    <cellStyle name="Positive 4 2 8 2 12 2" xfId="41720" xr:uid="{00000000-0005-0000-0000-000005A30000}"/>
    <cellStyle name="Positive 4 2 8 2 13" xfId="41721" xr:uid="{00000000-0005-0000-0000-000006A30000}"/>
    <cellStyle name="Positive 4 2 8 2 13 2" xfId="41722" xr:uid="{00000000-0005-0000-0000-000007A30000}"/>
    <cellStyle name="Positive 4 2 8 2 14" xfId="41723" xr:uid="{00000000-0005-0000-0000-000008A30000}"/>
    <cellStyle name="Positive 4 2 8 2 14 2" xfId="41724" xr:uid="{00000000-0005-0000-0000-000009A30000}"/>
    <cellStyle name="Positive 4 2 8 2 15" xfId="41725" xr:uid="{00000000-0005-0000-0000-00000AA30000}"/>
    <cellStyle name="Positive 4 2 8 2 15 2" xfId="41726" xr:uid="{00000000-0005-0000-0000-00000BA30000}"/>
    <cellStyle name="Positive 4 2 8 2 16" xfId="41727" xr:uid="{00000000-0005-0000-0000-00000CA30000}"/>
    <cellStyle name="Positive 4 2 8 2 16 2" xfId="41728" xr:uid="{00000000-0005-0000-0000-00000DA30000}"/>
    <cellStyle name="Positive 4 2 8 2 17" xfId="41729" xr:uid="{00000000-0005-0000-0000-00000EA30000}"/>
    <cellStyle name="Positive 4 2 8 2 17 2" xfId="41730" xr:uid="{00000000-0005-0000-0000-00000FA30000}"/>
    <cellStyle name="Positive 4 2 8 2 18" xfId="41731" xr:uid="{00000000-0005-0000-0000-000010A30000}"/>
    <cellStyle name="Positive 4 2 8 2 18 2" xfId="41732" xr:uid="{00000000-0005-0000-0000-000011A30000}"/>
    <cellStyle name="Positive 4 2 8 2 19" xfId="41733" xr:uid="{00000000-0005-0000-0000-000012A30000}"/>
    <cellStyle name="Positive 4 2 8 2 19 2" xfId="41734" xr:uid="{00000000-0005-0000-0000-000013A30000}"/>
    <cellStyle name="Positive 4 2 8 2 2" xfId="41735" xr:uid="{00000000-0005-0000-0000-000014A30000}"/>
    <cellStyle name="Positive 4 2 8 2 2 10" xfId="41736" xr:uid="{00000000-0005-0000-0000-000015A30000}"/>
    <cellStyle name="Positive 4 2 8 2 2 10 2" xfId="41737" xr:uid="{00000000-0005-0000-0000-000016A30000}"/>
    <cellStyle name="Positive 4 2 8 2 2 11" xfId="41738" xr:uid="{00000000-0005-0000-0000-000017A30000}"/>
    <cellStyle name="Positive 4 2 8 2 2 11 2" xfId="41739" xr:uid="{00000000-0005-0000-0000-000018A30000}"/>
    <cellStyle name="Positive 4 2 8 2 2 12" xfId="41740" xr:uid="{00000000-0005-0000-0000-000019A30000}"/>
    <cellStyle name="Positive 4 2 8 2 2 12 2" xfId="41741" xr:uid="{00000000-0005-0000-0000-00001AA30000}"/>
    <cellStyle name="Positive 4 2 8 2 2 13" xfId="41742" xr:uid="{00000000-0005-0000-0000-00001BA30000}"/>
    <cellStyle name="Positive 4 2 8 2 2 13 2" xfId="41743" xr:uid="{00000000-0005-0000-0000-00001CA30000}"/>
    <cellStyle name="Positive 4 2 8 2 2 14" xfId="41744" xr:uid="{00000000-0005-0000-0000-00001DA30000}"/>
    <cellStyle name="Positive 4 2 8 2 2 14 2" xfId="41745" xr:uid="{00000000-0005-0000-0000-00001EA30000}"/>
    <cellStyle name="Positive 4 2 8 2 2 15" xfId="41746" xr:uid="{00000000-0005-0000-0000-00001FA30000}"/>
    <cellStyle name="Positive 4 2 8 2 2 15 2" xfId="41747" xr:uid="{00000000-0005-0000-0000-000020A30000}"/>
    <cellStyle name="Positive 4 2 8 2 2 16" xfId="41748" xr:uid="{00000000-0005-0000-0000-000021A30000}"/>
    <cellStyle name="Positive 4 2 8 2 2 16 2" xfId="41749" xr:uid="{00000000-0005-0000-0000-000022A30000}"/>
    <cellStyle name="Positive 4 2 8 2 2 17" xfId="41750" xr:uid="{00000000-0005-0000-0000-000023A30000}"/>
    <cellStyle name="Positive 4 2 8 2 2 2" xfId="41751" xr:uid="{00000000-0005-0000-0000-000024A30000}"/>
    <cellStyle name="Positive 4 2 8 2 2 2 2" xfId="41752" xr:uid="{00000000-0005-0000-0000-000025A30000}"/>
    <cellStyle name="Positive 4 2 8 2 2 3" xfId="41753" xr:uid="{00000000-0005-0000-0000-000026A30000}"/>
    <cellStyle name="Positive 4 2 8 2 2 3 2" xfId="41754" xr:uid="{00000000-0005-0000-0000-000027A30000}"/>
    <cellStyle name="Positive 4 2 8 2 2 4" xfId="41755" xr:uid="{00000000-0005-0000-0000-000028A30000}"/>
    <cellStyle name="Positive 4 2 8 2 2 4 2" xfId="41756" xr:uid="{00000000-0005-0000-0000-000029A30000}"/>
    <cellStyle name="Positive 4 2 8 2 2 5" xfId="41757" xr:uid="{00000000-0005-0000-0000-00002AA30000}"/>
    <cellStyle name="Positive 4 2 8 2 2 5 2" xfId="41758" xr:uid="{00000000-0005-0000-0000-00002BA30000}"/>
    <cellStyle name="Positive 4 2 8 2 2 6" xfId="41759" xr:uid="{00000000-0005-0000-0000-00002CA30000}"/>
    <cellStyle name="Positive 4 2 8 2 2 6 2" xfId="41760" xr:uid="{00000000-0005-0000-0000-00002DA30000}"/>
    <cellStyle name="Positive 4 2 8 2 2 7" xfId="41761" xr:uid="{00000000-0005-0000-0000-00002EA30000}"/>
    <cellStyle name="Positive 4 2 8 2 2 7 2" xfId="41762" xr:uid="{00000000-0005-0000-0000-00002FA30000}"/>
    <cellStyle name="Positive 4 2 8 2 2 8" xfId="41763" xr:uid="{00000000-0005-0000-0000-000030A30000}"/>
    <cellStyle name="Positive 4 2 8 2 2 8 2" xfId="41764" xr:uid="{00000000-0005-0000-0000-000031A30000}"/>
    <cellStyle name="Positive 4 2 8 2 2 9" xfId="41765" xr:uid="{00000000-0005-0000-0000-000032A30000}"/>
    <cellStyle name="Positive 4 2 8 2 2 9 2" xfId="41766" xr:uid="{00000000-0005-0000-0000-000033A30000}"/>
    <cellStyle name="Positive 4 2 8 2 20" xfId="41767" xr:uid="{00000000-0005-0000-0000-000034A30000}"/>
    <cellStyle name="Positive 4 2 8 2 3" xfId="41768" xr:uid="{00000000-0005-0000-0000-000035A30000}"/>
    <cellStyle name="Positive 4 2 8 2 3 2" xfId="41769" xr:uid="{00000000-0005-0000-0000-000036A30000}"/>
    <cellStyle name="Positive 4 2 8 2 3 2 2" xfId="41770" xr:uid="{00000000-0005-0000-0000-000037A30000}"/>
    <cellStyle name="Positive 4 2 8 2 3 3" xfId="41771" xr:uid="{00000000-0005-0000-0000-000038A30000}"/>
    <cellStyle name="Positive 4 2 8 2 4" xfId="41772" xr:uid="{00000000-0005-0000-0000-000039A30000}"/>
    <cellStyle name="Positive 4 2 8 2 4 2" xfId="41773" xr:uid="{00000000-0005-0000-0000-00003AA30000}"/>
    <cellStyle name="Positive 4 2 8 2 4 2 2" xfId="41774" xr:uid="{00000000-0005-0000-0000-00003BA30000}"/>
    <cellStyle name="Positive 4 2 8 2 4 3" xfId="41775" xr:uid="{00000000-0005-0000-0000-00003CA30000}"/>
    <cellStyle name="Positive 4 2 8 2 5" xfId="41776" xr:uid="{00000000-0005-0000-0000-00003DA30000}"/>
    <cellStyle name="Positive 4 2 8 2 5 2" xfId="41777" xr:uid="{00000000-0005-0000-0000-00003EA30000}"/>
    <cellStyle name="Positive 4 2 8 2 6" xfId="41778" xr:uid="{00000000-0005-0000-0000-00003FA30000}"/>
    <cellStyle name="Positive 4 2 8 2 6 2" xfId="41779" xr:uid="{00000000-0005-0000-0000-000040A30000}"/>
    <cellStyle name="Positive 4 2 8 2 7" xfId="41780" xr:uid="{00000000-0005-0000-0000-000041A30000}"/>
    <cellStyle name="Positive 4 2 8 2 7 2" xfId="41781" xr:uid="{00000000-0005-0000-0000-000042A30000}"/>
    <cellStyle name="Positive 4 2 8 2 8" xfId="41782" xr:uid="{00000000-0005-0000-0000-000043A30000}"/>
    <cellStyle name="Positive 4 2 8 2 8 2" xfId="41783" xr:uid="{00000000-0005-0000-0000-000044A30000}"/>
    <cellStyle name="Positive 4 2 8 2 9" xfId="41784" xr:uid="{00000000-0005-0000-0000-000045A30000}"/>
    <cellStyle name="Positive 4 2 8 2 9 2" xfId="41785" xr:uid="{00000000-0005-0000-0000-000046A30000}"/>
    <cellStyle name="Positive 4 2 8 20" xfId="41786" xr:uid="{00000000-0005-0000-0000-000047A30000}"/>
    <cellStyle name="Positive 4 2 8 20 2" xfId="41787" xr:uid="{00000000-0005-0000-0000-000048A30000}"/>
    <cellStyle name="Positive 4 2 8 21" xfId="41788" xr:uid="{00000000-0005-0000-0000-000049A30000}"/>
    <cellStyle name="Positive 4 2 8 21 2" xfId="41789" xr:uid="{00000000-0005-0000-0000-00004AA30000}"/>
    <cellStyle name="Positive 4 2 8 22" xfId="41790" xr:uid="{00000000-0005-0000-0000-00004BA30000}"/>
    <cellStyle name="Positive 4 2 8 22 2" xfId="41791" xr:uid="{00000000-0005-0000-0000-00004CA30000}"/>
    <cellStyle name="Positive 4 2 8 23" xfId="41792" xr:uid="{00000000-0005-0000-0000-00004DA30000}"/>
    <cellStyle name="Positive 4 2 8 3" xfId="41793" xr:uid="{00000000-0005-0000-0000-00004EA30000}"/>
    <cellStyle name="Positive 4 2 8 3 10" xfId="41794" xr:uid="{00000000-0005-0000-0000-00004FA30000}"/>
    <cellStyle name="Positive 4 2 8 3 10 2" xfId="41795" xr:uid="{00000000-0005-0000-0000-000050A30000}"/>
    <cellStyle name="Positive 4 2 8 3 11" xfId="41796" xr:uid="{00000000-0005-0000-0000-000051A30000}"/>
    <cellStyle name="Positive 4 2 8 3 11 2" xfId="41797" xr:uid="{00000000-0005-0000-0000-000052A30000}"/>
    <cellStyle name="Positive 4 2 8 3 12" xfId="41798" xr:uid="{00000000-0005-0000-0000-000053A30000}"/>
    <cellStyle name="Positive 4 2 8 3 12 2" xfId="41799" xr:uid="{00000000-0005-0000-0000-000054A30000}"/>
    <cellStyle name="Positive 4 2 8 3 13" xfId="41800" xr:uid="{00000000-0005-0000-0000-000055A30000}"/>
    <cellStyle name="Positive 4 2 8 3 13 2" xfId="41801" xr:uid="{00000000-0005-0000-0000-000056A30000}"/>
    <cellStyle name="Positive 4 2 8 3 14" xfId="41802" xr:uid="{00000000-0005-0000-0000-000057A30000}"/>
    <cellStyle name="Positive 4 2 8 3 14 2" xfId="41803" xr:uid="{00000000-0005-0000-0000-000058A30000}"/>
    <cellStyle name="Positive 4 2 8 3 15" xfId="41804" xr:uid="{00000000-0005-0000-0000-000059A30000}"/>
    <cellStyle name="Positive 4 2 8 3 15 2" xfId="41805" xr:uid="{00000000-0005-0000-0000-00005AA30000}"/>
    <cellStyle name="Positive 4 2 8 3 16" xfId="41806" xr:uid="{00000000-0005-0000-0000-00005BA30000}"/>
    <cellStyle name="Positive 4 2 8 3 16 2" xfId="41807" xr:uid="{00000000-0005-0000-0000-00005CA30000}"/>
    <cellStyle name="Positive 4 2 8 3 17" xfId="41808" xr:uid="{00000000-0005-0000-0000-00005DA30000}"/>
    <cellStyle name="Positive 4 2 8 3 17 2" xfId="41809" xr:uid="{00000000-0005-0000-0000-00005EA30000}"/>
    <cellStyle name="Positive 4 2 8 3 18" xfId="41810" xr:uid="{00000000-0005-0000-0000-00005FA30000}"/>
    <cellStyle name="Positive 4 2 8 3 18 2" xfId="41811" xr:uid="{00000000-0005-0000-0000-000060A30000}"/>
    <cellStyle name="Positive 4 2 8 3 19" xfId="41812" xr:uid="{00000000-0005-0000-0000-000061A30000}"/>
    <cellStyle name="Positive 4 2 8 3 19 2" xfId="41813" xr:uid="{00000000-0005-0000-0000-000062A30000}"/>
    <cellStyle name="Positive 4 2 8 3 2" xfId="41814" xr:uid="{00000000-0005-0000-0000-000063A30000}"/>
    <cellStyle name="Positive 4 2 8 3 2 10" xfId="41815" xr:uid="{00000000-0005-0000-0000-000064A30000}"/>
    <cellStyle name="Positive 4 2 8 3 2 10 2" xfId="41816" xr:uid="{00000000-0005-0000-0000-000065A30000}"/>
    <cellStyle name="Positive 4 2 8 3 2 11" xfId="41817" xr:uid="{00000000-0005-0000-0000-000066A30000}"/>
    <cellStyle name="Positive 4 2 8 3 2 11 2" xfId="41818" xr:uid="{00000000-0005-0000-0000-000067A30000}"/>
    <cellStyle name="Positive 4 2 8 3 2 12" xfId="41819" xr:uid="{00000000-0005-0000-0000-000068A30000}"/>
    <cellStyle name="Positive 4 2 8 3 2 12 2" xfId="41820" xr:uid="{00000000-0005-0000-0000-000069A30000}"/>
    <cellStyle name="Positive 4 2 8 3 2 13" xfId="41821" xr:uid="{00000000-0005-0000-0000-00006AA30000}"/>
    <cellStyle name="Positive 4 2 8 3 2 13 2" xfId="41822" xr:uid="{00000000-0005-0000-0000-00006BA30000}"/>
    <cellStyle name="Positive 4 2 8 3 2 14" xfId="41823" xr:uid="{00000000-0005-0000-0000-00006CA30000}"/>
    <cellStyle name="Positive 4 2 8 3 2 14 2" xfId="41824" xr:uid="{00000000-0005-0000-0000-00006DA30000}"/>
    <cellStyle name="Positive 4 2 8 3 2 15" xfId="41825" xr:uid="{00000000-0005-0000-0000-00006EA30000}"/>
    <cellStyle name="Positive 4 2 8 3 2 15 2" xfId="41826" xr:uid="{00000000-0005-0000-0000-00006FA30000}"/>
    <cellStyle name="Positive 4 2 8 3 2 16" xfId="41827" xr:uid="{00000000-0005-0000-0000-000070A30000}"/>
    <cellStyle name="Positive 4 2 8 3 2 16 2" xfId="41828" xr:uid="{00000000-0005-0000-0000-000071A30000}"/>
    <cellStyle name="Positive 4 2 8 3 2 17" xfId="41829" xr:uid="{00000000-0005-0000-0000-000072A30000}"/>
    <cellStyle name="Positive 4 2 8 3 2 2" xfId="41830" xr:uid="{00000000-0005-0000-0000-000073A30000}"/>
    <cellStyle name="Positive 4 2 8 3 2 2 2" xfId="41831" xr:uid="{00000000-0005-0000-0000-000074A30000}"/>
    <cellStyle name="Positive 4 2 8 3 2 3" xfId="41832" xr:uid="{00000000-0005-0000-0000-000075A30000}"/>
    <cellStyle name="Positive 4 2 8 3 2 3 2" xfId="41833" xr:uid="{00000000-0005-0000-0000-000076A30000}"/>
    <cellStyle name="Positive 4 2 8 3 2 4" xfId="41834" xr:uid="{00000000-0005-0000-0000-000077A30000}"/>
    <cellStyle name="Positive 4 2 8 3 2 4 2" xfId="41835" xr:uid="{00000000-0005-0000-0000-000078A30000}"/>
    <cellStyle name="Positive 4 2 8 3 2 5" xfId="41836" xr:uid="{00000000-0005-0000-0000-000079A30000}"/>
    <cellStyle name="Positive 4 2 8 3 2 5 2" xfId="41837" xr:uid="{00000000-0005-0000-0000-00007AA30000}"/>
    <cellStyle name="Positive 4 2 8 3 2 6" xfId="41838" xr:uid="{00000000-0005-0000-0000-00007BA30000}"/>
    <cellStyle name="Positive 4 2 8 3 2 6 2" xfId="41839" xr:uid="{00000000-0005-0000-0000-00007CA30000}"/>
    <cellStyle name="Positive 4 2 8 3 2 7" xfId="41840" xr:uid="{00000000-0005-0000-0000-00007DA30000}"/>
    <cellStyle name="Positive 4 2 8 3 2 7 2" xfId="41841" xr:uid="{00000000-0005-0000-0000-00007EA30000}"/>
    <cellStyle name="Positive 4 2 8 3 2 8" xfId="41842" xr:uid="{00000000-0005-0000-0000-00007FA30000}"/>
    <cellStyle name="Positive 4 2 8 3 2 8 2" xfId="41843" xr:uid="{00000000-0005-0000-0000-000080A30000}"/>
    <cellStyle name="Positive 4 2 8 3 2 9" xfId="41844" xr:uid="{00000000-0005-0000-0000-000081A30000}"/>
    <cellStyle name="Positive 4 2 8 3 2 9 2" xfId="41845" xr:uid="{00000000-0005-0000-0000-000082A30000}"/>
    <cellStyle name="Positive 4 2 8 3 20" xfId="41846" xr:uid="{00000000-0005-0000-0000-000083A30000}"/>
    <cellStyle name="Positive 4 2 8 3 3" xfId="41847" xr:uid="{00000000-0005-0000-0000-000084A30000}"/>
    <cellStyle name="Positive 4 2 8 3 3 2" xfId="41848" xr:uid="{00000000-0005-0000-0000-000085A30000}"/>
    <cellStyle name="Positive 4 2 8 3 3 2 2" xfId="41849" xr:uid="{00000000-0005-0000-0000-000086A30000}"/>
    <cellStyle name="Positive 4 2 8 3 3 3" xfId="41850" xr:uid="{00000000-0005-0000-0000-000087A30000}"/>
    <cellStyle name="Positive 4 2 8 3 4" xfId="41851" xr:uid="{00000000-0005-0000-0000-000088A30000}"/>
    <cellStyle name="Positive 4 2 8 3 4 2" xfId="41852" xr:uid="{00000000-0005-0000-0000-000089A30000}"/>
    <cellStyle name="Positive 4 2 8 3 4 2 2" xfId="41853" xr:uid="{00000000-0005-0000-0000-00008AA30000}"/>
    <cellStyle name="Positive 4 2 8 3 4 3" xfId="41854" xr:uid="{00000000-0005-0000-0000-00008BA30000}"/>
    <cellStyle name="Positive 4 2 8 3 5" xfId="41855" xr:uid="{00000000-0005-0000-0000-00008CA30000}"/>
    <cellStyle name="Positive 4 2 8 3 5 2" xfId="41856" xr:uid="{00000000-0005-0000-0000-00008DA30000}"/>
    <cellStyle name="Positive 4 2 8 3 6" xfId="41857" xr:uid="{00000000-0005-0000-0000-00008EA30000}"/>
    <cellStyle name="Positive 4 2 8 3 6 2" xfId="41858" xr:uid="{00000000-0005-0000-0000-00008FA30000}"/>
    <cellStyle name="Positive 4 2 8 3 7" xfId="41859" xr:uid="{00000000-0005-0000-0000-000090A30000}"/>
    <cellStyle name="Positive 4 2 8 3 7 2" xfId="41860" xr:uid="{00000000-0005-0000-0000-000091A30000}"/>
    <cellStyle name="Positive 4 2 8 3 8" xfId="41861" xr:uid="{00000000-0005-0000-0000-000092A30000}"/>
    <cellStyle name="Positive 4 2 8 3 8 2" xfId="41862" xr:uid="{00000000-0005-0000-0000-000093A30000}"/>
    <cellStyle name="Positive 4 2 8 3 9" xfId="41863" xr:uid="{00000000-0005-0000-0000-000094A30000}"/>
    <cellStyle name="Positive 4 2 8 3 9 2" xfId="41864" xr:uid="{00000000-0005-0000-0000-000095A30000}"/>
    <cellStyle name="Positive 4 2 8 4" xfId="41865" xr:uid="{00000000-0005-0000-0000-000096A30000}"/>
    <cellStyle name="Positive 4 2 8 4 10" xfId="41866" xr:uid="{00000000-0005-0000-0000-000097A30000}"/>
    <cellStyle name="Positive 4 2 8 4 10 2" xfId="41867" xr:uid="{00000000-0005-0000-0000-000098A30000}"/>
    <cellStyle name="Positive 4 2 8 4 11" xfId="41868" xr:uid="{00000000-0005-0000-0000-000099A30000}"/>
    <cellStyle name="Positive 4 2 8 4 11 2" xfId="41869" xr:uid="{00000000-0005-0000-0000-00009AA30000}"/>
    <cellStyle name="Positive 4 2 8 4 12" xfId="41870" xr:uid="{00000000-0005-0000-0000-00009BA30000}"/>
    <cellStyle name="Positive 4 2 8 4 12 2" xfId="41871" xr:uid="{00000000-0005-0000-0000-00009CA30000}"/>
    <cellStyle name="Positive 4 2 8 4 13" xfId="41872" xr:uid="{00000000-0005-0000-0000-00009DA30000}"/>
    <cellStyle name="Positive 4 2 8 4 13 2" xfId="41873" xr:uid="{00000000-0005-0000-0000-00009EA30000}"/>
    <cellStyle name="Positive 4 2 8 4 14" xfId="41874" xr:uid="{00000000-0005-0000-0000-00009FA30000}"/>
    <cellStyle name="Positive 4 2 8 4 14 2" xfId="41875" xr:uid="{00000000-0005-0000-0000-0000A0A30000}"/>
    <cellStyle name="Positive 4 2 8 4 15" xfId="41876" xr:uid="{00000000-0005-0000-0000-0000A1A30000}"/>
    <cellStyle name="Positive 4 2 8 4 15 2" xfId="41877" xr:uid="{00000000-0005-0000-0000-0000A2A30000}"/>
    <cellStyle name="Positive 4 2 8 4 16" xfId="41878" xr:uid="{00000000-0005-0000-0000-0000A3A30000}"/>
    <cellStyle name="Positive 4 2 8 4 16 2" xfId="41879" xr:uid="{00000000-0005-0000-0000-0000A4A30000}"/>
    <cellStyle name="Positive 4 2 8 4 17" xfId="41880" xr:uid="{00000000-0005-0000-0000-0000A5A30000}"/>
    <cellStyle name="Positive 4 2 8 4 17 2" xfId="41881" xr:uid="{00000000-0005-0000-0000-0000A6A30000}"/>
    <cellStyle name="Positive 4 2 8 4 18" xfId="41882" xr:uid="{00000000-0005-0000-0000-0000A7A30000}"/>
    <cellStyle name="Positive 4 2 8 4 18 2" xfId="41883" xr:uid="{00000000-0005-0000-0000-0000A8A30000}"/>
    <cellStyle name="Positive 4 2 8 4 19" xfId="41884" xr:uid="{00000000-0005-0000-0000-0000A9A30000}"/>
    <cellStyle name="Positive 4 2 8 4 19 2" xfId="41885" xr:uid="{00000000-0005-0000-0000-0000AAA30000}"/>
    <cellStyle name="Positive 4 2 8 4 2" xfId="41886" xr:uid="{00000000-0005-0000-0000-0000ABA30000}"/>
    <cellStyle name="Positive 4 2 8 4 2 10" xfId="41887" xr:uid="{00000000-0005-0000-0000-0000ACA30000}"/>
    <cellStyle name="Positive 4 2 8 4 2 10 2" xfId="41888" xr:uid="{00000000-0005-0000-0000-0000ADA30000}"/>
    <cellStyle name="Positive 4 2 8 4 2 11" xfId="41889" xr:uid="{00000000-0005-0000-0000-0000AEA30000}"/>
    <cellStyle name="Positive 4 2 8 4 2 11 2" xfId="41890" xr:uid="{00000000-0005-0000-0000-0000AFA30000}"/>
    <cellStyle name="Positive 4 2 8 4 2 12" xfId="41891" xr:uid="{00000000-0005-0000-0000-0000B0A30000}"/>
    <cellStyle name="Positive 4 2 8 4 2 12 2" xfId="41892" xr:uid="{00000000-0005-0000-0000-0000B1A30000}"/>
    <cellStyle name="Positive 4 2 8 4 2 13" xfId="41893" xr:uid="{00000000-0005-0000-0000-0000B2A30000}"/>
    <cellStyle name="Positive 4 2 8 4 2 13 2" xfId="41894" xr:uid="{00000000-0005-0000-0000-0000B3A30000}"/>
    <cellStyle name="Positive 4 2 8 4 2 14" xfId="41895" xr:uid="{00000000-0005-0000-0000-0000B4A30000}"/>
    <cellStyle name="Positive 4 2 8 4 2 14 2" xfId="41896" xr:uid="{00000000-0005-0000-0000-0000B5A30000}"/>
    <cellStyle name="Positive 4 2 8 4 2 15" xfId="41897" xr:uid="{00000000-0005-0000-0000-0000B6A30000}"/>
    <cellStyle name="Positive 4 2 8 4 2 15 2" xfId="41898" xr:uid="{00000000-0005-0000-0000-0000B7A30000}"/>
    <cellStyle name="Positive 4 2 8 4 2 16" xfId="41899" xr:uid="{00000000-0005-0000-0000-0000B8A30000}"/>
    <cellStyle name="Positive 4 2 8 4 2 16 2" xfId="41900" xr:uid="{00000000-0005-0000-0000-0000B9A30000}"/>
    <cellStyle name="Positive 4 2 8 4 2 17" xfId="41901" xr:uid="{00000000-0005-0000-0000-0000BAA30000}"/>
    <cellStyle name="Positive 4 2 8 4 2 2" xfId="41902" xr:uid="{00000000-0005-0000-0000-0000BBA30000}"/>
    <cellStyle name="Positive 4 2 8 4 2 2 2" xfId="41903" xr:uid="{00000000-0005-0000-0000-0000BCA30000}"/>
    <cellStyle name="Positive 4 2 8 4 2 3" xfId="41904" xr:uid="{00000000-0005-0000-0000-0000BDA30000}"/>
    <cellStyle name="Positive 4 2 8 4 2 3 2" xfId="41905" xr:uid="{00000000-0005-0000-0000-0000BEA30000}"/>
    <cellStyle name="Positive 4 2 8 4 2 4" xfId="41906" xr:uid="{00000000-0005-0000-0000-0000BFA30000}"/>
    <cellStyle name="Positive 4 2 8 4 2 4 2" xfId="41907" xr:uid="{00000000-0005-0000-0000-0000C0A30000}"/>
    <cellStyle name="Positive 4 2 8 4 2 5" xfId="41908" xr:uid="{00000000-0005-0000-0000-0000C1A30000}"/>
    <cellStyle name="Positive 4 2 8 4 2 5 2" xfId="41909" xr:uid="{00000000-0005-0000-0000-0000C2A30000}"/>
    <cellStyle name="Positive 4 2 8 4 2 6" xfId="41910" xr:uid="{00000000-0005-0000-0000-0000C3A30000}"/>
    <cellStyle name="Positive 4 2 8 4 2 6 2" xfId="41911" xr:uid="{00000000-0005-0000-0000-0000C4A30000}"/>
    <cellStyle name="Positive 4 2 8 4 2 7" xfId="41912" xr:uid="{00000000-0005-0000-0000-0000C5A30000}"/>
    <cellStyle name="Positive 4 2 8 4 2 7 2" xfId="41913" xr:uid="{00000000-0005-0000-0000-0000C6A30000}"/>
    <cellStyle name="Positive 4 2 8 4 2 8" xfId="41914" xr:uid="{00000000-0005-0000-0000-0000C7A30000}"/>
    <cellStyle name="Positive 4 2 8 4 2 8 2" xfId="41915" xr:uid="{00000000-0005-0000-0000-0000C8A30000}"/>
    <cellStyle name="Positive 4 2 8 4 2 9" xfId="41916" xr:uid="{00000000-0005-0000-0000-0000C9A30000}"/>
    <cellStyle name="Positive 4 2 8 4 2 9 2" xfId="41917" xr:uid="{00000000-0005-0000-0000-0000CAA30000}"/>
    <cellStyle name="Positive 4 2 8 4 20" xfId="41918" xr:uid="{00000000-0005-0000-0000-0000CBA30000}"/>
    <cellStyle name="Positive 4 2 8 4 3" xfId="41919" xr:uid="{00000000-0005-0000-0000-0000CCA30000}"/>
    <cellStyle name="Positive 4 2 8 4 3 2" xfId="41920" xr:uid="{00000000-0005-0000-0000-0000CDA30000}"/>
    <cellStyle name="Positive 4 2 8 4 3 2 2" xfId="41921" xr:uid="{00000000-0005-0000-0000-0000CEA30000}"/>
    <cellStyle name="Positive 4 2 8 4 3 3" xfId="41922" xr:uid="{00000000-0005-0000-0000-0000CFA30000}"/>
    <cellStyle name="Positive 4 2 8 4 4" xfId="41923" xr:uid="{00000000-0005-0000-0000-0000D0A30000}"/>
    <cellStyle name="Positive 4 2 8 4 4 2" xfId="41924" xr:uid="{00000000-0005-0000-0000-0000D1A30000}"/>
    <cellStyle name="Positive 4 2 8 4 4 2 2" xfId="41925" xr:uid="{00000000-0005-0000-0000-0000D2A30000}"/>
    <cellStyle name="Positive 4 2 8 4 4 3" xfId="41926" xr:uid="{00000000-0005-0000-0000-0000D3A30000}"/>
    <cellStyle name="Positive 4 2 8 4 5" xfId="41927" xr:uid="{00000000-0005-0000-0000-0000D4A30000}"/>
    <cellStyle name="Positive 4 2 8 4 5 2" xfId="41928" xr:uid="{00000000-0005-0000-0000-0000D5A30000}"/>
    <cellStyle name="Positive 4 2 8 4 6" xfId="41929" xr:uid="{00000000-0005-0000-0000-0000D6A30000}"/>
    <cellStyle name="Positive 4 2 8 4 6 2" xfId="41930" xr:uid="{00000000-0005-0000-0000-0000D7A30000}"/>
    <cellStyle name="Positive 4 2 8 4 7" xfId="41931" xr:uid="{00000000-0005-0000-0000-0000D8A30000}"/>
    <cellStyle name="Positive 4 2 8 4 7 2" xfId="41932" xr:uid="{00000000-0005-0000-0000-0000D9A30000}"/>
    <cellStyle name="Positive 4 2 8 4 8" xfId="41933" xr:uid="{00000000-0005-0000-0000-0000DAA30000}"/>
    <cellStyle name="Positive 4 2 8 4 8 2" xfId="41934" xr:uid="{00000000-0005-0000-0000-0000DBA30000}"/>
    <cellStyle name="Positive 4 2 8 4 9" xfId="41935" xr:uid="{00000000-0005-0000-0000-0000DCA30000}"/>
    <cellStyle name="Positive 4 2 8 4 9 2" xfId="41936" xr:uid="{00000000-0005-0000-0000-0000DDA30000}"/>
    <cellStyle name="Positive 4 2 8 5" xfId="41937" xr:uid="{00000000-0005-0000-0000-0000DEA30000}"/>
    <cellStyle name="Positive 4 2 8 5 10" xfId="41938" xr:uid="{00000000-0005-0000-0000-0000DFA30000}"/>
    <cellStyle name="Positive 4 2 8 5 10 2" xfId="41939" xr:uid="{00000000-0005-0000-0000-0000E0A30000}"/>
    <cellStyle name="Positive 4 2 8 5 11" xfId="41940" xr:uid="{00000000-0005-0000-0000-0000E1A30000}"/>
    <cellStyle name="Positive 4 2 8 5 11 2" xfId="41941" xr:uid="{00000000-0005-0000-0000-0000E2A30000}"/>
    <cellStyle name="Positive 4 2 8 5 12" xfId="41942" xr:uid="{00000000-0005-0000-0000-0000E3A30000}"/>
    <cellStyle name="Positive 4 2 8 5 12 2" xfId="41943" xr:uid="{00000000-0005-0000-0000-0000E4A30000}"/>
    <cellStyle name="Positive 4 2 8 5 13" xfId="41944" xr:uid="{00000000-0005-0000-0000-0000E5A30000}"/>
    <cellStyle name="Positive 4 2 8 5 13 2" xfId="41945" xr:uid="{00000000-0005-0000-0000-0000E6A30000}"/>
    <cellStyle name="Positive 4 2 8 5 14" xfId="41946" xr:uid="{00000000-0005-0000-0000-0000E7A30000}"/>
    <cellStyle name="Positive 4 2 8 5 14 2" xfId="41947" xr:uid="{00000000-0005-0000-0000-0000E8A30000}"/>
    <cellStyle name="Positive 4 2 8 5 15" xfId="41948" xr:uid="{00000000-0005-0000-0000-0000E9A30000}"/>
    <cellStyle name="Positive 4 2 8 5 15 2" xfId="41949" xr:uid="{00000000-0005-0000-0000-0000EAA30000}"/>
    <cellStyle name="Positive 4 2 8 5 16" xfId="41950" xr:uid="{00000000-0005-0000-0000-0000EBA30000}"/>
    <cellStyle name="Positive 4 2 8 5 16 2" xfId="41951" xr:uid="{00000000-0005-0000-0000-0000ECA30000}"/>
    <cellStyle name="Positive 4 2 8 5 17" xfId="41952" xr:uid="{00000000-0005-0000-0000-0000EDA30000}"/>
    <cellStyle name="Positive 4 2 8 5 2" xfId="41953" xr:uid="{00000000-0005-0000-0000-0000EEA30000}"/>
    <cellStyle name="Positive 4 2 8 5 2 2" xfId="41954" xr:uid="{00000000-0005-0000-0000-0000EFA30000}"/>
    <cellStyle name="Positive 4 2 8 5 3" xfId="41955" xr:uid="{00000000-0005-0000-0000-0000F0A30000}"/>
    <cellStyle name="Positive 4 2 8 5 3 2" xfId="41956" xr:uid="{00000000-0005-0000-0000-0000F1A30000}"/>
    <cellStyle name="Positive 4 2 8 5 4" xfId="41957" xr:uid="{00000000-0005-0000-0000-0000F2A30000}"/>
    <cellStyle name="Positive 4 2 8 5 4 2" xfId="41958" xr:uid="{00000000-0005-0000-0000-0000F3A30000}"/>
    <cellStyle name="Positive 4 2 8 5 5" xfId="41959" xr:uid="{00000000-0005-0000-0000-0000F4A30000}"/>
    <cellStyle name="Positive 4 2 8 5 5 2" xfId="41960" xr:uid="{00000000-0005-0000-0000-0000F5A30000}"/>
    <cellStyle name="Positive 4 2 8 5 6" xfId="41961" xr:uid="{00000000-0005-0000-0000-0000F6A30000}"/>
    <cellStyle name="Positive 4 2 8 5 6 2" xfId="41962" xr:uid="{00000000-0005-0000-0000-0000F7A30000}"/>
    <cellStyle name="Positive 4 2 8 5 7" xfId="41963" xr:uid="{00000000-0005-0000-0000-0000F8A30000}"/>
    <cellStyle name="Positive 4 2 8 5 7 2" xfId="41964" xr:uid="{00000000-0005-0000-0000-0000F9A30000}"/>
    <cellStyle name="Positive 4 2 8 5 8" xfId="41965" xr:uid="{00000000-0005-0000-0000-0000FAA30000}"/>
    <cellStyle name="Positive 4 2 8 5 8 2" xfId="41966" xr:uid="{00000000-0005-0000-0000-0000FBA30000}"/>
    <cellStyle name="Positive 4 2 8 5 9" xfId="41967" xr:uid="{00000000-0005-0000-0000-0000FCA30000}"/>
    <cellStyle name="Positive 4 2 8 5 9 2" xfId="41968" xr:uid="{00000000-0005-0000-0000-0000FDA30000}"/>
    <cellStyle name="Positive 4 2 8 6" xfId="41969" xr:uid="{00000000-0005-0000-0000-0000FEA30000}"/>
    <cellStyle name="Positive 4 2 8 6 2" xfId="41970" xr:uid="{00000000-0005-0000-0000-0000FFA30000}"/>
    <cellStyle name="Positive 4 2 8 6 2 2" xfId="41971" xr:uid="{00000000-0005-0000-0000-000000A40000}"/>
    <cellStyle name="Positive 4 2 8 6 3" xfId="41972" xr:uid="{00000000-0005-0000-0000-000001A40000}"/>
    <cellStyle name="Positive 4 2 8 7" xfId="41973" xr:uid="{00000000-0005-0000-0000-000002A40000}"/>
    <cellStyle name="Positive 4 2 8 7 2" xfId="41974" xr:uid="{00000000-0005-0000-0000-000003A40000}"/>
    <cellStyle name="Positive 4 2 8 7 2 2" xfId="41975" xr:uid="{00000000-0005-0000-0000-000004A40000}"/>
    <cellStyle name="Positive 4 2 8 7 3" xfId="41976" xr:uid="{00000000-0005-0000-0000-000005A40000}"/>
    <cellStyle name="Positive 4 2 8 8" xfId="41977" xr:uid="{00000000-0005-0000-0000-000006A40000}"/>
    <cellStyle name="Positive 4 2 8 8 2" xfId="41978" xr:uid="{00000000-0005-0000-0000-000007A40000}"/>
    <cellStyle name="Positive 4 2 8 9" xfId="41979" xr:uid="{00000000-0005-0000-0000-000008A40000}"/>
    <cellStyle name="Positive 4 2 8 9 2" xfId="41980" xr:uid="{00000000-0005-0000-0000-000009A40000}"/>
    <cellStyle name="Positive 4 2 9" xfId="41981" xr:uid="{00000000-0005-0000-0000-00000AA40000}"/>
    <cellStyle name="Positive 4 2 9 10" xfId="41982" xr:uid="{00000000-0005-0000-0000-00000BA40000}"/>
    <cellStyle name="Positive 4 2 9 10 2" xfId="41983" xr:uid="{00000000-0005-0000-0000-00000CA40000}"/>
    <cellStyle name="Positive 4 2 9 11" xfId="41984" xr:uid="{00000000-0005-0000-0000-00000DA40000}"/>
    <cellStyle name="Positive 4 2 9 11 2" xfId="41985" xr:uid="{00000000-0005-0000-0000-00000EA40000}"/>
    <cellStyle name="Positive 4 2 9 12" xfId="41986" xr:uid="{00000000-0005-0000-0000-00000FA40000}"/>
    <cellStyle name="Positive 4 2 9 12 2" xfId="41987" xr:uid="{00000000-0005-0000-0000-000010A40000}"/>
    <cellStyle name="Positive 4 2 9 13" xfId="41988" xr:uid="{00000000-0005-0000-0000-000011A40000}"/>
    <cellStyle name="Positive 4 2 9 13 2" xfId="41989" xr:uid="{00000000-0005-0000-0000-000012A40000}"/>
    <cellStyle name="Positive 4 2 9 14" xfId="41990" xr:uid="{00000000-0005-0000-0000-000013A40000}"/>
    <cellStyle name="Positive 4 2 9 14 2" xfId="41991" xr:uid="{00000000-0005-0000-0000-000014A40000}"/>
    <cellStyle name="Positive 4 2 9 15" xfId="41992" xr:uid="{00000000-0005-0000-0000-000015A40000}"/>
    <cellStyle name="Positive 4 2 9 15 2" xfId="41993" xr:uid="{00000000-0005-0000-0000-000016A40000}"/>
    <cellStyle name="Positive 4 2 9 16" xfId="41994" xr:uid="{00000000-0005-0000-0000-000017A40000}"/>
    <cellStyle name="Positive 4 2 9 16 2" xfId="41995" xr:uid="{00000000-0005-0000-0000-000018A40000}"/>
    <cellStyle name="Positive 4 2 9 17" xfId="41996" xr:uid="{00000000-0005-0000-0000-000019A40000}"/>
    <cellStyle name="Positive 4 2 9 17 2" xfId="41997" xr:uid="{00000000-0005-0000-0000-00001AA40000}"/>
    <cellStyle name="Positive 4 2 9 18" xfId="41998" xr:uid="{00000000-0005-0000-0000-00001BA40000}"/>
    <cellStyle name="Positive 4 2 9 18 2" xfId="41999" xr:uid="{00000000-0005-0000-0000-00001CA40000}"/>
    <cellStyle name="Positive 4 2 9 19" xfId="42000" xr:uid="{00000000-0005-0000-0000-00001DA40000}"/>
    <cellStyle name="Positive 4 2 9 19 2" xfId="42001" xr:uid="{00000000-0005-0000-0000-00001EA40000}"/>
    <cellStyle name="Positive 4 2 9 2" xfId="42002" xr:uid="{00000000-0005-0000-0000-00001FA40000}"/>
    <cellStyle name="Positive 4 2 9 2 10" xfId="42003" xr:uid="{00000000-0005-0000-0000-000020A40000}"/>
    <cellStyle name="Positive 4 2 9 2 10 2" xfId="42004" xr:uid="{00000000-0005-0000-0000-000021A40000}"/>
    <cellStyle name="Positive 4 2 9 2 11" xfId="42005" xr:uid="{00000000-0005-0000-0000-000022A40000}"/>
    <cellStyle name="Positive 4 2 9 2 11 2" xfId="42006" xr:uid="{00000000-0005-0000-0000-000023A40000}"/>
    <cellStyle name="Positive 4 2 9 2 12" xfId="42007" xr:uid="{00000000-0005-0000-0000-000024A40000}"/>
    <cellStyle name="Positive 4 2 9 2 12 2" xfId="42008" xr:uid="{00000000-0005-0000-0000-000025A40000}"/>
    <cellStyle name="Positive 4 2 9 2 13" xfId="42009" xr:uid="{00000000-0005-0000-0000-000026A40000}"/>
    <cellStyle name="Positive 4 2 9 2 13 2" xfId="42010" xr:uid="{00000000-0005-0000-0000-000027A40000}"/>
    <cellStyle name="Positive 4 2 9 2 14" xfId="42011" xr:uid="{00000000-0005-0000-0000-000028A40000}"/>
    <cellStyle name="Positive 4 2 9 2 14 2" xfId="42012" xr:uid="{00000000-0005-0000-0000-000029A40000}"/>
    <cellStyle name="Positive 4 2 9 2 15" xfId="42013" xr:uid="{00000000-0005-0000-0000-00002AA40000}"/>
    <cellStyle name="Positive 4 2 9 2 15 2" xfId="42014" xr:uid="{00000000-0005-0000-0000-00002BA40000}"/>
    <cellStyle name="Positive 4 2 9 2 16" xfId="42015" xr:uid="{00000000-0005-0000-0000-00002CA40000}"/>
    <cellStyle name="Positive 4 2 9 2 16 2" xfId="42016" xr:uid="{00000000-0005-0000-0000-00002DA40000}"/>
    <cellStyle name="Positive 4 2 9 2 17" xfId="42017" xr:uid="{00000000-0005-0000-0000-00002EA40000}"/>
    <cellStyle name="Positive 4 2 9 2 17 2" xfId="42018" xr:uid="{00000000-0005-0000-0000-00002FA40000}"/>
    <cellStyle name="Positive 4 2 9 2 18" xfId="42019" xr:uid="{00000000-0005-0000-0000-000030A40000}"/>
    <cellStyle name="Positive 4 2 9 2 18 2" xfId="42020" xr:uid="{00000000-0005-0000-0000-000031A40000}"/>
    <cellStyle name="Positive 4 2 9 2 19" xfId="42021" xr:uid="{00000000-0005-0000-0000-000032A40000}"/>
    <cellStyle name="Positive 4 2 9 2 19 2" xfId="42022" xr:uid="{00000000-0005-0000-0000-000033A40000}"/>
    <cellStyle name="Positive 4 2 9 2 2" xfId="42023" xr:uid="{00000000-0005-0000-0000-000034A40000}"/>
    <cellStyle name="Positive 4 2 9 2 2 10" xfId="42024" xr:uid="{00000000-0005-0000-0000-000035A40000}"/>
    <cellStyle name="Positive 4 2 9 2 2 10 2" xfId="42025" xr:uid="{00000000-0005-0000-0000-000036A40000}"/>
    <cellStyle name="Positive 4 2 9 2 2 11" xfId="42026" xr:uid="{00000000-0005-0000-0000-000037A40000}"/>
    <cellStyle name="Positive 4 2 9 2 2 11 2" xfId="42027" xr:uid="{00000000-0005-0000-0000-000038A40000}"/>
    <cellStyle name="Positive 4 2 9 2 2 12" xfId="42028" xr:uid="{00000000-0005-0000-0000-000039A40000}"/>
    <cellStyle name="Positive 4 2 9 2 2 12 2" xfId="42029" xr:uid="{00000000-0005-0000-0000-00003AA40000}"/>
    <cellStyle name="Positive 4 2 9 2 2 13" xfId="42030" xr:uid="{00000000-0005-0000-0000-00003BA40000}"/>
    <cellStyle name="Positive 4 2 9 2 2 13 2" xfId="42031" xr:uid="{00000000-0005-0000-0000-00003CA40000}"/>
    <cellStyle name="Positive 4 2 9 2 2 14" xfId="42032" xr:uid="{00000000-0005-0000-0000-00003DA40000}"/>
    <cellStyle name="Positive 4 2 9 2 2 14 2" xfId="42033" xr:uid="{00000000-0005-0000-0000-00003EA40000}"/>
    <cellStyle name="Positive 4 2 9 2 2 15" xfId="42034" xr:uid="{00000000-0005-0000-0000-00003FA40000}"/>
    <cellStyle name="Positive 4 2 9 2 2 15 2" xfId="42035" xr:uid="{00000000-0005-0000-0000-000040A40000}"/>
    <cellStyle name="Positive 4 2 9 2 2 16" xfId="42036" xr:uid="{00000000-0005-0000-0000-000041A40000}"/>
    <cellStyle name="Positive 4 2 9 2 2 16 2" xfId="42037" xr:uid="{00000000-0005-0000-0000-000042A40000}"/>
    <cellStyle name="Positive 4 2 9 2 2 17" xfId="42038" xr:uid="{00000000-0005-0000-0000-000043A40000}"/>
    <cellStyle name="Positive 4 2 9 2 2 2" xfId="42039" xr:uid="{00000000-0005-0000-0000-000044A40000}"/>
    <cellStyle name="Positive 4 2 9 2 2 2 2" xfId="42040" xr:uid="{00000000-0005-0000-0000-000045A40000}"/>
    <cellStyle name="Positive 4 2 9 2 2 3" xfId="42041" xr:uid="{00000000-0005-0000-0000-000046A40000}"/>
    <cellStyle name="Positive 4 2 9 2 2 3 2" xfId="42042" xr:uid="{00000000-0005-0000-0000-000047A40000}"/>
    <cellStyle name="Positive 4 2 9 2 2 4" xfId="42043" xr:uid="{00000000-0005-0000-0000-000048A40000}"/>
    <cellStyle name="Positive 4 2 9 2 2 4 2" xfId="42044" xr:uid="{00000000-0005-0000-0000-000049A40000}"/>
    <cellStyle name="Positive 4 2 9 2 2 5" xfId="42045" xr:uid="{00000000-0005-0000-0000-00004AA40000}"/>
    <cellStyle name="Positive 4 2 9 2 2 5 2" xfId="42046" xr:uid="{00000000-0005-0000-0000-00004BA40000}"/>
    <cellStyle name="Positive 4 2 9 2 2 6" xfId="42047" xr:uid="{00000000-0005-0000-0000-00004CA40000}"/>
    <cellStyle name="Positive 4 2 9 2 2 6 2" xfId="42048" xr:uid="{00000000-0005-0000-0000-00004DA40000}"/>
    <cellStyle name="Positive 4 2 9 2 2 7" xfId="42049" xr:uid="{00000000-0005-0000-0000-00004EA40000}"/>
    <cellStyle name="Positive 4 2 9 2 2 7 2" xfId="42050" xr:uid="{00000000-0005-0000-0000-00004FA40000}"/>
    <cellStyle name="Positive 4 2 9 2 2 8" xfId="42051" xr:uid="{00000000-0005-0000-0000-000050A40000}"/>
    <cellStyle name="Positive 4 2 9 2 2 8 2" xfId="42052" xr:uid="{00000000-0005-0000-0000-000051A40000}"/>
    <cellStyle name="Positive 4 2 9 2 2 9" xfId="42053" xr:uid="{00000000-0005-0000-0000-000052A40000}"/>
    <cellStyle name="Positive 4 2 9 2 2 9 2" xfId="42054" xr:uid="{00000000-0005-0000-0000-000053A40000}"/>
    <cellStyle name="Positive 4 2 9 2 20" xfId="42055" xr:uid="{00000000-0005-0000-0000-000054A40000}"/>
    <cellStyle name="Positive 4 2 9 2 3" xfId="42056" xr:uid="{00000000-0005-0000-0000-000055A40000}"/>
    <cellStyle name="Positive 4 2 9 2 3 2" xfId="42057" xr:uid="{00000000-0005-0000-0000-000056A40000}"/>
    <cellStyle name="Positive 4 2 9 2 3 2 2" xfId="42058" xr:uid="{00000000-0005-0000-0000-000057A40000}"/>
    <cellStyle name="Positive 4 2 9 2 3 3" xfId="42059" xr:uid="{00000000-0005-0000-0000-000058A40000}"/>
    <cellStyle name="Positive 4 2 9 2 4" xfId="42060" xr:uid="{00000000-0005-0000-0000-000059A40000}"/>
    <cellStyle name="Positive 4 2 9 2 4 2" xfId="42061" xr:uid="{00000000-0005-0000-0000-00005AA40000}"/>
    <cellStyle name="Positive 4 2 9 2 4 2 2" xfId="42062" xr:uid="{00000000-0005-0000-0000-00005BA40000}"/>
    <cellStyle name="Positive 4 2 9 2 4 3" xfId="42063" xr:uid="{00000000-0005-0000-0000-00005CA40000}"/>
    <cellStyle name="Positive 4 2 9 2 5" xfId="42064" xr:uid="{00000000-0005-0000-0000-00005DA40000}"/>
    <cellStyle name="Positive 4 2 9 2 5 2" xfId="42065" xr:uid="{00000000-0005-0000-0000-00005EA40000}"/>
    <cellStyle name="Positive 4 2 9 2 6" xfId="42066" xr:uid="{00000000-0005-0000-0000-00005FA40000}"/>
    <cellStyle name="Positive 4 2 9 2 6 2" xfId="42067" xr:uid="{00000000-0005-0000-0000-000060A40000}"/>
    <cellStyle name="Positive 4 2 9 2 7" xfId="42068" xr:uid="{00000000-0005-0000-0000-000061A40000}"/>
    <cellStyle name="Positive 4 2 9 2 7 2" xfId="42069" xr:uid="{00000000-0005-0000-0000-000062A40000}"/>
    <cellStyle name="Positive 4 2 9 2 8" xfId="42070" xr:uid="{00000000-0005-0000-0000-000063A40000}"/>
    <cellStyle name="Positive 4 2 9 2 8 2" xfId="42071" xr:uid="{00000000-0005-0000-0000-000064A40000}"/>
    <cellStyle name="Positive 4 2 9 2 9" xfId="42072" xr:uid="{00000000-0005-0000-0000-000065A40000}"/>
    <cellStyle name="Positive 4 2 9 2 9 2" xfId="42073" xr:uid="{00000000-0005-0000-0000-000066A40000}"/>
    <cellStyle name="Positive 4 2 9 20" xfId="42074" xr:uid="{00000000-0005-0000-0000-000067A40000}"/>
    <cellStyle name="Positive 4 2 9 20 2" xfId="42075" xr:uid="{00000000-0005-0000-0000-000068A40000}"/>
    <cellStyle name="Positive 4 2 9 21" xfId="42076" xr:uid="{00000000-0005-0000-0000-000069A40000}"/>
    <cellStyle name="Positive 4 2 9 21 2" xfId="42077" xr:uid="{00000000-0005-0000-0000-00006AA40000}"/>
    <cellStyle name="Positive 4 2 9 22" xfId="42078" xr:uid="{00000000-0005-0000-0000-00006BA40000}"/>
    <cellStyle name="Positive 4 2 9 22 2" xfId="42079" xr:uid="{00000000-0005-0000-0000-00006CA40000}"/>
    <cellStyle name="Positive 4 2 9 23" xfId="42080" xr:uid="{00000000-0005-0000-0000-00006DA40000}"/>
    <cellStyle name="Positive 4 2 9 3" xfId="42081" xr:uid="{00000000-0005-0000-0000-00006EA40000}"/>
    <cellStyle name="Positive 4 2 9 3 10" xfId="42082" xr:uid="{00000000-0005-0000-0000-00006FA40000}"/>
    <cellStyle name="Positive 4 2 9 3 10 2" xfId="42083" xr:uid="{00000000-0005-0000-0000-000070A40000}"/>
    <cellStyle name="Positive 4 2 9 3 11" xfId="42084" xr:uid="{00000000-0005-0000-0000-000071A40000}"/>
    <cellStyle name="Positive 4 2 9 3 11 2" xfId="42085" xr:uid="{00000000-0005-0000-0000-000072A40000}"/>
    <cellStyle name="Positive 4 2 9 3 12" xfId="42086" xr:uid="{00000000-0005-0000-0000-000073A40000}"/>
    <cellStyle name="Positive 4 2 9 3 12 2" xfId="42087" xr:uid="{00000000-0005-0000-0000-000074A40000}"/>
    <cellStyle name="Positive 4 2 9 3 13" xfId="42088" xr:uid="{00000000-0005-0000-0000-000075A40000}"/>
    <cellStyle name="Positive 4 2 9 3 13 2" xfId="42089" xr:uid="{00000000-0005-0000-0000-000076A40000}"/>
    <cellStyle name="Positive 4 2 9 3 14" xfId="42090" xr:uid="{00000000-0005-0000-0000-000077A40000}"/>
    <cellStyle name="Positive 4 2 9 3 14 2" xfId="42091" xr:uid="{00000000-0005-0000-0000-000078A40000}"/>
    <cellStyle name="Positive 4 2 9 3 15" xfId="42092" xr:uid="{00000000-0005-0000-0000-000079A40000}"/>
    <cellStyle name="Positive 4 2 9 3 15 2" xfId="42093" xr:uid="{00000000-0005-0000-0000-00007AA40000}"/>
    <cellStyle name="Positive 4 2 9 3 16" xfId="42094" xr:uid="{00000000-0005-0000-0000-00007BA40000}"/>
    <cellStyle name="Positive 4 2 9 3 16 2" xfId="42095" xr:uid="{00000000-0005-0000-0000-00007CA40000}"/>
    <cellStyle name="Positive 4 2 9 3 17" xfId="42096" xr:uid="{00000000-0005-0000-0000-00007DA40000}"/>
    <cellStyle name="Positive 4 2 9 3 17 2" xfId="42097" xr:uid="{00000000-0005-0000-0000-00007EA40000}"/>
    <cellStyle name="Positive 4 2 9 3 18" xfId="42098" xr:uid="{00000000-0005-0000-0000-00007FA40000}"/>
    <cellStyle name="Positive 4 2 9 3 18 2" xfId="42099" xr:uid="{00000000-0005-0000-0000-000080A40000}"/>
    <cellStyle name="Positive 4 2 9 3 19" xfId="42100" xr:uid="{00000000-0005-0000-0000-000081A40000}"/>
    <cellStyle name="Positive 4 2 9 3 19 2" xfId="42101" xr:uid="{00000000-0005-0000-0000-000082A40000}"/>
    <cellStyle name="Positive 4 2 9 3 2" xfId="42102" xr:uid="{00000000-0005-0000-0000-000083A40000}"/>
    <cellStyle name="Positive 4 2 9 3 2 10" xfId="42103" xr:uid="{00000000-0005-0000-0000-000084A40000}"/>
    <cellStyle name="Positive 4 2 9 3 2 10 2" xfId="42104" xr:uid="{00000000-0005-0000-0000-000085A40000}"/>
    <cellStyle name="Positive 4 2 9 3 2 11" xfId="42105" xr:uid="{00000000-0005-0000-0000-000086A40000}"/>
    <cellStyle name="Positive 4 2 9 3 2 11 2" xfId="42106" xr:uid="{00000000-0005-0000-0000-000087A40000}"/>
    <cellStyle name="Positive 4 2 9 3 2 12" xfId="42107" xr:uid="{00000000-0005-0000-0000-000088A40000}"/>
    <cellStyle name="Positive 4 2 9 3 2 12 2" xfId="42108" xr:uid="{00000000-0005-0000-0000-000089A40000}"/>
    <cellStyle name="Positive 4 2 9 3 2 13" xfId="42109" xr:uid="{00000000-0005-0000-0000-00008AA40000}"/>
    <cellStyle name="Positive 4 2 9 3 2 13 2" xfId="42110" xr:uid="{00000000-0005-0000-0000-00008BA40000}"/>
    <cellStyle name="Positive 4 2 9 3 2 14" xfId="42111" xr:uid="{00000000-0005-0000-0000-00008CA40000}"/>
    <cellStyle name="Positive 4 2 9 3 2 14 2" xfId="42112" xr:uid="{00000000-0005-0000-0000-00008DA40000}"/>
    <cellStyle name="Positive 4 2 9 3 2 15" xfId="42113" xr:uid="{00000000-0005-0000-0000-00008EA40000}"/>
    <cellStyle name="Positive 4 2 9 3 2 15 2" xfId="42114" xr:uid="{00000000-0005-0000-0000-00008FA40000}"/>
    <cellStyle name="Positive 4 2 9 3 2 16" xfId="42115" xr:uid="{00000000-0005-0000-0000-000090A40000}"/>
    <cellStyle name="Positive 4 2 9 3 2 16 2" xfId="42116" xr:uid="{00000000-0005-0000-0000-000091A40000}"/>
    <cellStyle name="Positive 4 2 9 3 2 17" xfId="42117" xr:uid="{00000000-0005-0000-0000-000092A40000}"/>
    <cellStyle name="Positive 4 2 9 3 2 2" xfId="42118" xr:uid="{00000000-0005-0000-0000-000093A40000}"/>
    <cellStyle name="Positive 4 2 9 3 2 2 2" xfId="42119" xr:uid="{00000000-0005-0000-0000-000094A40000}"/>
    <cellStyle name="Positive 4 2 9 3 2 3" xfId="42120" xr:uid="{00000000-0005-0000-0000-000095A40000}"/>
    <cellStyle name="Positive 4 2 9 3 2 3 2" xfId="42121" xr:uid="{00000000-0005-0000-0000-000096A40000}"/>
    <cellStyle name="Positive 4 2 9 3 2 4" xfId="42122" xr:uid="{00000000-0005-0000-0000-000097A40000}"/>
    <cellStyle name="Positive 4 2 9 3 2 4 2" xfId="42123" xr:uid="{00000000-0005-0000-0000-000098A40000}"/>
    <cellStyle name="Positive 4 2 9 3 2 5" xfId="42124" xr:uid="{00000000-0005-0000-0000-000099A40000}"/>
    <cellStyle name="Positive 4 2 9 3 2 5 2" xfId="42125" xr:uid="{00000000-0005-0000-0000-00009AA40000}"/>
    <cellStyle name="Positive 4 2 9 3 2 6" xfId="42126" xr:uid="{00000000-0005-0000-0000-00009BA40000}"/>
    <cellStyle name="Positive 4 2 9 3 2 6 2" xfId="42127" xr:uid="{00000000-0005-0000-0000-00009CA40000}"/>
    <cellStyle name="Positive 4 2 9 3 2 7" xfId="42128" xr:uid="{00000000-0005-0000-0000-00009DA40000}"/>
    <cellStyle name="Positive 4 2 9 3 2 7 2" xfId="42129" xr:uid="{00000000-0005-0000-0000-00009EA40000}"/>
    <cellStyle name="Positive 4 2 9 3 2 8" xfId="42130" xr:uid="{00000000-0005-0000-0000-00009FA40000}"/>
    <cellStyle name="Positive 4 2 9 3 2 8 2" xfId="42131" xr:uid="{00000000-0005-0000-0000-0000A0A40000}"/>
    <cellStyle name="Positive 4 2 9 3 2 9" xfId="42132" xr:uid="{00000000-0005-0000-0000-0000A1A40000}"/>
    <cellStyle name="Positive 4 2 9 3 2 9 2" xfId="42133" xr:uid="{00000000-0005-0000-0000-0000A2A40000}"/>
    <cellStyle name="Positive 4 2 9 3 20" xfId="42134" xr:uid="{00000000-0005-0000-0000-0000A3A40000}"/>
    <cellStyle name="Positive 4 2 9 3 3" xfId="42135" xr:uid="{00000000-0005-0000-0000-0000A4A40000}"/>
    <cellStyle name="Positive 4 2 9 3 3 2" xfId="42136" xr:uid="{00000000-0005-0000-0000-0000A5A40000}"/>
    <cellStyle name="Positive 4 2 9 3 3 2 2" xfId="42137" xr:uid="{00000000-0005-0000-0000-0000A6A40000}"/>
    <cellStyle name="Positive 4 2 9 3 3 3" xfId="42138" xr:uid="{00000000-0005-0000-0000-0000A7A40000}"/>
    <cellStyle name="Positive 4 2 9 3 4" xfId="42139" xr:uid="{00000000-0005-0000-0000-0000A8A40000}"/>
    <cellStyle name="Positive 4 2 9 3 4 2" xfId="42140" xr:uid="{00000000-0005-0000-0000-0000A9A40000}"/>
    <cellStyle name="Positive 4 2 9 3 4 2 2" xfId="42141" xr:uid="{00000000-0005-0000-0000-0000AAA40000}"/>
    <cellStyle name="Positive 4 2 9 3 4 3" xfId="42142" xr:uid="{00000000-0005-0000-0000-0000ABA40000}"/>
    <cellStyle name="Positive 4 2 9 3 5" xfId="42143" xr:uid="{00000000-0005-0000-0000-0000ACA40000}"/>
    <cellStyle name="Positive 4 2 9 3 5 2" xfId="42144" xr:uid="{00000000-0005-0000-0000-0000ADA40000}"/>
    <cellStyle name="Positive 4 2 9 3 6" xfId="42145" xr:uid="{00000000-0005-0000-0000-0000AEA40000}"/>
    <cellStyle name="Positive 4 2 9 3 6 2" xfId="42146" xr:uid="{00000000-0005-0000-0000-0000AFA40000}"/>
    <cellStyle name="Positive 4 2 9 3 7" xfId="42147" xr:uid="{00000000-0005-0000-0000-0000B0A40000}"/>
    <cellStyle name="Positive 4 2 9 3 7 2" xfId="42148" xr:uid="{00000000-0005-0000-0000-0000B1A40000}"/>
    <cellStyle name="Positive 4 2 9 3 8" xfId="42149" xr:uid="{00000000-0005-0000-0000-0000B2A40000}"/>
    <cellStyle name="Positive 4 2 9 3 8 2" xfId="42150" xr:uid="{00000000-0005-0000-0000-0000B3A40000}"/>
    <cellStyle name="Positive 4 2 9 3 9" xfId="42151" xr:uid="{00000000-0005-0000-0000-0000B4A40000}"/>
    <cellStyle name="Positive 4 2 9 3 9 2" xfId="42152" xr:uid="{00000000-0005-0000-0000-0000B5A40000}"/>
    <cellStyle name="Positive 4 2 9 4" xfId="42153" xr:uid="{00000000-0005-0000-0000-0000B6A40000}"/>
    <cellStyle name="Positive 4 2 9 4 10" xfId="42154" xr:uid="{00000000-0005-0000-0000-0000B7A40000}"/>
    <cellStyle name="Positive 4 2 9 4 10 2" xfId="42155" xr:uid="{00000000-0005-0000-0000-0000B8A40000}"/>
    <cellStyle name="Positive 4 2 9 4 11" xfId="42156" xr:uid="{00000000-0005-0000-0000-0000B9A40000}"/>
    <cellStyle name="Positive 4 2 9 4 11 2" xfId="42157" xr:uid="{00000000-0005-0000-0000-0000BAA40000}"/>
    <cellStyle name="Positive 4 2 9 4 12" xfId="42158" xr:uid="{00000000-0005-0000-0000-0000BBA40000}"/>
    <cellStyle name="Positive 4 2 9 4 12 2" xfId="42159" xr:uid="{00000000-0005-0000-0000-0000BCA40000}"/>
    <cellStyle name="Positive 4 2 9 4 13" xfId="42160" xr:uid="{00000000-0005-0000-0000-0000BDA40000}"/>
    <cellStyle name="Positive 4 2 9 4 13 2" xfId="42161" xr:uid="{00000000-0005-0000-0000-0000BEA40000}"/>
    <cellStyle name="Positive 4 2 9 4 14" xfId="42162" xr:uid="{00000000-0005-0000-0000-0000BFA40000}"/>
    <cellStyle name="Positive 4 2 9 4 14 2" xfId="42163" xr:uid="{00000000-0005-0000-0000-0000C0A40000}"/>
    <cellStyle name="Positive 4 2 9 4 15" xfId="42164" xr:uid="{00000000-0005-0000-0000-0000C1A40000}"/>
    <cellStyle name="Positive 4 2 9 4 15 2" xfId="42165" xr:uid="{00000000-0005-0000-0000-0000C2A40000}"/>
    <cellStyle name="Positive 4 2 9 4 16" xfId="42166" xr:uid="{00000000-0005-0000-0000-0000C3A40000}"/>
    <cellStyle name="Positive 4 2 9 4 16 2" xfId="42167" xr:uid="{00000000-0005-0000-0000-0000C4A40000}"/>
    <cellStyle name="Positive 4 2 9 4 17" xfId="42168" xr:uid="{00000000-0005-0000-0000-0000C5A40000}"/>
    <cellStyle name="Positive 4 2 9 4 17 2" xfId="42169" xr:uid="{00000000-0005-0000-0000-0000C6A40000}"/>
    <cellStyle name="Positive 4 2 9 4 18" xfId="42170" xr:uid="{00000000-0005-0000-0000-0000C7A40000}"/>
    <cellStyle name="Positive 4 2 9 4 18 2" xfId="42171" xr:uid="{00000000-0005-0000-0000-0000C8A40000}"/>
    <cellStyle name="Positive 4 2 9 4 19" xfId="42172" xr:uid="{00000000-0005-0000-0000-0000C9A40000}"/>
    <cellStyle name="Positive 4 2 9 4 19 2" xfId="42173" xr:uid="{00000000-0005-0000-0000-0000CAA40000}"/>
    <cellStyle name="Positive 4 2 9 4 2" xfId="42174" xr:uid="{00000000-0005-0000-0000-0000CBA40000}"/>
    <cellStyle name="Positive 4 2 9 4 2 10" xfId="42175" xr:uid="{00000000-0005-0000-0000-0000CCA40000}"/>
    <cellStyle name="Positive 4 2 9 4 2 10 2" xfId="42176" xr:uid="{00000000-0005-0000-0000-0000CDA40000}"/>
    <cellStyle name="Positive 4 2 9 4 2 11" xfId="42177" xr:uid="{00000000-0005-0000-0000-0000CEA40000}"/>
    <cellStyle name="Positive 4 2 9 4 2 11 2" xfId="42178" xr:uid="{00000000-0005-0000-0000-0000CFA40000}"/>
    <cellStyle name="Positive 4 2 9 4 2 12" xfId="42179" xr:uid="{00000000-0005-0000-0000-0000D0A40000}"/>
    <cellStyle name="Positive 4 2 9 4 2 12 2" xfId="42180" xr:uid="{00000000-0005-0000-0000-0000D1A40000}"/>
    <cellStyle name="Positive 4 2 9 4 2 13" xfId="42181" xr:uid="{00000000-0005-0000-0000-0000D2A40000}"/>
    <cellStyle name="Positive 4 2 9 4 2 13 2" xfId="42182" xr:uid="{00000000-0005-0000-0000-0000D3A40000}"/>
    <cellStyle name="Positive 4 2 9 4 2 14" xfId="42183" xr:uid="{00000000-0005-0000-0000-0000D4A40000}"/>
    <cellStyle name="Positive 4 2 9 4 2 14 2" xfId="42184" xr:uid="{00000000-0005-0000-0000-0000D5A40000}"/>
    <cellStyle name="Positive 4 2 9 4 2 15" xfId="42185" xr:uid="{00000000-0005-0000-0000-0000D6A40000}"/>
    <cellStyle name="Positive 4 2 9 4 2 15 2" xfId="42186" xr:uid="{00000000-0005-0000-0000-0000D7A40000}"/>
    <cellStyle name="Positive 4 2 9 4 2 16" xfId="42187" xr:uid="{00000000-0005-0000-0000-0000D8A40000}"/>
    <cellStyle name="Positive 4 2 9 4 2 16 2" xfId="42188" xr:uid="{00000000-0005-0000-0000-0000D9A40000}"/>
    <cellStyle name="Positive 4 2 9 4 2 17" xfId="42189" xr:uid="{00000000-0005-0000-0000-0000DAA40000}"/>
    <cellStyle name="Positive 4 2 9 4 2 2" xfId="42190" xr:uid="{00000000-0005-0000-0000-0000DBA40000}"/>
    <cellStyle name="Positive 4 2 9 4 2 2 2" xfId="42191" xr:uid="{00000000-0005-0000-0000-0000DCA40000}"/>
    <cellStyle name="Positive 4 2 9 4 2 3" xfId="42192" xr:uid="{00000000-0005-0000-0000-0000DDA40000}"/>
    <cellStyle name="Positive 4 2 9 4 2 3 2" xfId="42193" xr:uid="{00000000-0005-0000-0000-0000DEA40000}"/>
    <cellStyle name="Positive 4 2 9 4 2 4" xfId="42194" xr:uid="{00000000-0005-0000-0000-0000DFA40000}"/>
    <cellStyle name="Positive 4 2 9 4 2 4 2" xfId="42195" xr:uid="{00000000-0005-0000-0000-0000E0A40000}"/>
    <cellStyle name="Positive 4 2 9 4 2 5" xfId="42196" xr:uid="{00000000-0005-0000-0000-0000E1A40000}"/>
    <cellStyle name="Positive 4 2 9 4 2 5 2" xfId="42197" xr:uid="{00000000-0005-0000-0000-0000E2A40000}"/>
    <cellStyle name="Positive 4 2 9 4 2 6" xfId="42198" xr:uid="{00000000-0005-0000-0000-0000E3A40000}"/>
    <cellStyle name="Positive 4 2 9 4 2 6 2" xfId="42199" xr:uid="{00000000-0005-0000-0000-0000E4A40000}"/>
    <cellStyle name="Positive 4 2 9 4 2 7" xfId="42200" xr:uid="{00000000-0005-0000-0000-0000E5A40000}"/>
    <cellStyle name="Positive 4 2 9 4 2 7 2" xfId="42201" xr:uid="{00000000-0005-0000-0000-0000E6A40000}"/>
    <cellStyle name="Positive 4 2 9 4 2 8" xfId="42202" xr:uid="{00000000-0005-0000-0000-0000E7A40000}"/>
    <cellStyle name="Positive 4 2 9 4 2 8 2" xfId="42203" xr:uid="{00000000-0005-0000-0000-0000E8A40000}"/>
    <cellStyle name="Positive 4 2 9 4 2 9" xfId="42204" xr:uid="{00000000-0005-0000-0000-0000E9A40000}"/>
    <cellStyle name="Positive 4 2 9 4 2 9 2" xfId="42205" xr:uid="{00000000-0005-0000-0000-0000EAA40000}"/>
    <cellStyle name="Positive 4 2 9 4 20" xfId="42206" xr:uid="{00000000-0005-0000-0000-0000EBA40000}"/>
    <cellStyle name="Positive 4 2 9 4 3" xfId="42207" xr:uid="{00000000-0005-0000-0000-0000ECA40000}"/>
    <cellStyle name="Positive 4 2 9 4 3 2" xfId="42208" xr:uid="{00000000-0005-0000-0000-0000EDA40000}"/>
    <cellStyle name="Positive 4 2 9 4 3 2 2" xfId="42209" xr:uid="{00000000-0005-0000-0000-0000EEA40000}"/>
    <cellStyle name="Positive 4 2 9 4 3 3" xfId="42210" xr:uid="{00000000-0005-0000-0000-0000EFA40000}"/>
    <cellStyle name="Positive 4 2 9 4 4" xfId="42211" xr:uid="{00000000-0005-0000-0000-0000F0A40000}"/>
    <cellStyle name="Positive 4 2 9 4 4 2" xfId="42212" xr:uid="{00000000-0005-0000-0000-0000F1A40000}"/>
    <cellStyle name="Positive 4 2 9 4 4 2 2" xfId="42213" xr:uid="{00000000-0005-0000-0000-0000F2A40000}"/>
    <cellStyle name="Positive 4 2 9 4 4 3" xfId="42214" xr:uid="{00000000-0005-0000-0000-0000F3A40000}"/>
    <cellStyle name="Positive 4 2 9 4 5" xfId="42215" xr:uid="{00000000-0005-0000-0000-0000F4A40000}"/>
    <cellStyle name="Positive 4 2 9 4 5 2" xfId="42216" xr:uid="{00000000-0005-0000-0000-0000F5A40000}"/>
    <cellStyle name="Positive 4 2 9 4 6" xfId="42217" xr:uid="{00000000-0005-0000-0000-0000F6A40000}"/>
    <cellStyle name="Positive 4 2 9 4 6 2" xfId="42218" xr:uid="{00000000-0005-0000-0000-0000F7A40000}"/>
    <cellStyle name="Positive 4 2 9 4 7" xfId="42219" xr:uid="{00000000-0005-0000-0000-0000F8A40000}"/>
    <cellStyle name="Positive 4 2 9 4 7 2" xfId="42220" xr:uid="{00000000-0005-0000-0000-0000F9A40000}"/>
    <cellStyle name="Positive 4 2 9 4 8" xfId="42221" xr:uid="{00000000-0005-0000-0000-0000FAA40000}"/>
    <cellStyle name="Positive 4 2 9 4 8 2" xfId="42222" xr:uid="{00000000-0005-0000-0000-0000FBA40000}"/>
    <cellStyle name="Positive 4 2 9 4 9" xfId="42223" xr:uid="{00000000-0005-0000-0000-0000FCA40000}"/>
    <cellStyle name="Positive 4 2 9 4 9 2" xfId="42224" xr:uid="{00000000-0005-0000-0000-0000FDA40000}"/>
    <cellStyle name="Positive 4 2 9 5" xfId="42225" xr:uid="{00000000-0005-0000-0000-0000FEA40000}"/>
    <cellStyle name="Positive 4 2 9 5 10" xfId="42226" xr:uid="{00000000-0005-0000-0000-0000FFA40000}"/>
    <cellStyle name="Positive 4 2 9 5 10 2" xfId="42227" xr:uid="{00000000-0005-0000-0000-000000A50000}"/>
    <cellStyle name="Positive 4 2 9 5 11" xfId="42228" xr:uid="{00000000-0005-0000-0000-000001A50000}"/>
    <cellStyle name="Positive 4 2 9 5 11 2" xfId="42229" xr:uid="{00000000-0005-0000-0000-000002A50000}"/>
    <cellStyle name="Positive 4 2 9 5 12" xfId="42230" xr:uid="{00000000-0005-0000-0000-000003A50000}"/>
    <cellStyle name="Positive 4 2 9 5 12 2" xfId="42231" xr:uid="{00000000-0005-0000-0000-000004A50000}"/>
    <cellStyle name="Positive 4 2 9 5 13" xfId="42232" xr:uid="{00000000-0005-0000-0000-000005A50000}"/>
    <cellStyle name="Positive 4 2 9 5 13 2" xfId="42233" xr:uid="{00000000-0005-0000-0000-000006A50000}"/>
    <cellStyle name="Positive 4 2 9 5 14" xfId="42234" xr:uid="{00000000-0005-0000-0000-000007A50000}"/>
    <cellStyle name="Positive 4 2 9 5 14 2" xfId="42235" xr:uid="{00000000-0005-0000-0000-000008A50000}"/>
    <cellStyle name="Positive 4 2 9 5 15" xfId="42236" xr:uid="{00000000-0005-0000-0000-000009A50000}"/>
    <cellStyle name="Positive 4 2 9 5 15 2" xfId="42237" xr:uid="{00000000-0005-0000-0000-00000AA50000}"/>
    <cellStyle name="Positive 4 2 9 5 16" xfId="42238" xr:uid="{00000000-0005-0000-0000-00000BA50000}"/>
    <cellStyle name="Positive 4 2 9 5 16 2" xfId="42239" xr:uid="{00000000-0005-0000-0000-00000CA50000}"/>
    <cellStyle name="Positive 4 2 9 5 17" xfId="42240" xr:uid="{00000000-0005-0000-0000-00000DA50000}"/>
    <cellStyle name="Positive 4 2 9 5 2" xfId="42241" xr:uid="{00000000-0005-0000-0000-00000EA50000}"/>
    <cellStyle name="Positive 4 2 9 5 2 2" xfId="42242" xr:uid="{00000000-0005-0000-0000-00000FA50000}"/>
    <cellStyle name="Positive 4 2 9 5 3" xfId="42243" xr:uid="{00000000-0005-0000-0000-000010A50000}"/>
    <cellStyle name="Positive 4 2 9 5 3 2" xfId="42244" xr:uid="{00000000-0005-0000-0000-000011A50000}"/>
    <cellStyle name="Positive 4 2 9 5 4" xfId="42245" xr:uid="{00000000-0005-0000-0000-000012A50000}"/>
    <cellStyle name="Positive 4 2 9 5 4 2" xfId="42246" xr:uid="{00000000-0005-0000-0000-000013A50000}"/>
    <cellStyle name="Positive 4 2 9 5 5" xfId="42247" xr:uid="{00000000-0005-0000-0000-000014A50000}"/>
    <cellStyle name="Positive 4 2 9 5 5 2" xfId="42248" xr:uid="{00000000-0005-0000-0000-000015A50000}"/>
    <cellStyle name="Positive 4 2 9 5 6" xfId="42249" xr:uid="{00000000-0005-0000-0000-000016A50000}"/>
    <cellStyle name="Positive 4 2 9 5 6 2" xfId="42250" xr:uid="{00000000-0005-0000-0000-000017A50000}"/>
    <cellStyle name="Positive 4 2 9 5 7" xfId="42251" xr:uid="{00000000-0005-0000-0000-000018A50000}"/>
    <cellStyle name="Positive 4 2 9 5 7 2" xfId="42252" xr:uid="{00000000-0005-0000-0000-000019A50000}"/>
    <cellStyle name="Positive 4 2 9 5 8" xfId="42253" xr:uid="{00000000-0005-0000-0000-00001AA50000}"/>
    <cellStyle name="Positive 4 2 9 5 8 2" xfId="42254" xr:uid="{00000000-0005-0000-0000-00001BA50000}"/>
    <cellStyle name="Positive 4 2 9 5 9" xfId="42255" xr:uid="{00000000-0005-0000-0000-00001CA50000}"/>
    <cellStyle name="Positive 4 2 9 5 9 2" xfId="42256" xr:uid="{00000000-0005-0000-0000-00001DA50000}"/>
    <cellStyle name="Positive 4 2 9 6" xfId="42257" xr:uid="{00000000-0005-0000-0000-00001EA50000}"/>
    <cellStyle name="Positive 4 2 9 6 2" xfId="42258" xr:uid="{00000000-0005-0000-0000-00001FA50000}"/>
    <cellStyle name="Positive 4 2 9 6 2 2" xfId="42259" xr:uid="{00000000-0005-0000-0000-000020A50000}"/>
    <cellStyle name="Positive 4 2 9 6 3" xfId="42260" xr:uid="{00000000-0005-0000-0000-000021A50000}"/>
    <cellStyle name="Positive 4 2 9 7" xfId="42261" xr:uid="{00000000-0005-0000-0000-000022A50000}"/>
    <cellStyle name="Positive 4 2 9 7 2" xfId="42262" xr:uid="{00000000-0005-0000-0000-000023A50000}"/>
    <cellStyle name="Positive 4 2 9 7 2 2" xfId="42263" xr:uid="{00000000-0005-0000-0000-000024A50000}"/>
    <cellStyle name="Positive 4 2 9 7 3" xfId="42264" xr:uid="{00000000-0005-0000-0000-000025A50000}"/>
    <cellStyle name="Positive 4 2 9 8" xfId="42265" xr:uid="{00000000-0005-0000-0000-000026A50000}"/>
    <cellStyle name="Positive 4 2 9 8 2" xfId="42266" xr:uid="{00000000-0005-0000-0000-000027A50000}"/>
    <cellStyle name="Positive 4 2 9 9" xfId="42267" xr:uid="{00000000-0005-0000-0000-000028A50000}"/>
    <cellStyle name="Positive 4 2 9 9 2" xfId="42268" xr:uid="{00000000-0005-0000-0000-000029A50000}"/>
    <cellStyle name="Positive 4 20" xfId="42269" xr:uid="{00000000-0005-0000-0000-00002AA50000}"/>
    <cellStyle name="Positive 4 20 10" xfId="42270" xr:uid="{00000000-0005-0000-0000-00002BA50000}"/>
    <cellStyle name="Positive 4 20 10 2" xfId="42271" xr:uid="{00000000-0005-0000-0000-00002CA50000}"/>
    <cellStyle name="Positive 4 20 11" xfId="42272" xr:uid="{00000000-0005-0000-0000-00002DA50000}"/>
    <cellStyle name="Positive 4 20 11 2" xfId="42273" xr:uid="{00000000-0005-0000-0000-00002EA50000}"/>
    <cellStyle name="Positive 4 20 12" xfId="42274" xr:uid="{00000000-0005-0000-0000-00002FA50000}"/>
    <cellStyle name="Positive 4 20 12 2" xfId="42275" xr:uid="{00000000-0005-0000-0000-000030A50000}"/>
    <cellStyle name="Positive 4 20 13" xfId="42276" xr:uid="{00000000-0005-0000-0000-000031A50000}"/>
    <cellStyle name="Positive 4 20 13 2" xfId="42277" xr:uid="{00000000-0005-0000-0000-000032A50000}"/>
    <cellStyle name="Positive 4 20 14" xfId="42278" xr:uid="{00000000-0005-0000-0000-000033A50000}"/>
    <cellStyle name="Positive 4 20 14 2" xfId="42279" xr:uid="{00000000-0005-0000-0000-000034A50000}"/>
    <cellStyle name="Positive 4 20 15" xfId="42280" xr:uid="{00000000-0005-0000-0000-000035A50000}"/>
    <cellStyle name="Positive 4 20 15 2" xfId="42281" xr:uid="{00000000-0005-0000-0000-000036A50000}"/>
    <cellStyle name="Positive 4 20 16" xfId="42282" xr:uid="{00000000-0005-0000-0000-000037A50000}"/>
    <cellStyle name="Positive 4 20 16 2" xfId="42283" xr:uid="{00000000-0005-0000-0000-000038A50000}"/>
    <cellStyle name="Positive 4 20 17" xfId="42284" xr:uid="{00000000-0005-0000-0000-000039A50000}"/>
    <cellStyle name="Positive 4 20 17 2" xfId="42285" xr:uid="{00000000-0005-0000-0000-00003AA50000}"/>
    <cellStyle name="Positive 4 20 18" xfId="42286" xr:uid="{00000000-0005-0000-0000-00003BA50000}"/>
    <cellStyle name="Positive 4 20 18 2" xfId="42287" xr:uid="{00000000-0005-0000-0000-00003CA50000}"/>
    <cellStyle name="Positive 4 20 19" xfId="42288" xr:uid="{00000000-0005-0000-0000-00003DA50000}"/>
    <cellStyle name="Positive 4 20 19 2" xfId="42289" xr:uid="{00000000-0005-0000-0000-00003EA50000}"/>
    <cellStyle name="Positive 4 20 2" xfId="42290" xr:uid="{00000000-0005-0000-0000-00003FA50000}"/>
    <cellStyle name="Positive 4 20 2 10" xfId="42291" xr:uid="{00000000-0005-0000-0000-000040A50000}"/>
    <cellStyle name="Positive 4 20 2 10 2" xfId="42292" xr:uid="{00000000-0005-0000-0000-000041A50000}"/>
    <cellStyle name="Positive 4 20 2 11" xfId="42293" xr:uid="{00000000-0005-0000-0000-000042A50000}"/>
    <cellStyle name="Positive 4 20 2 11 2" xfId="42294" xr:uid="{00000000-0005-0000-0000-000043A50000}"/>
    <cellStyle name="Positive 4 20 2 12" xfId="42295" xr:uid="{00000000-0005-0000-0000-000044A50000}"/>
    <cellStyle name="Positive 4 20 2 12 2" xfId="42296" xr:uid="{00000000-0005-0000-0000-000045A50000}"/>
    <cellStyle name="Positive 4 20 2 13" xfId="42297" xr:uid="{00000000-0005-0000-0000-000046A50000}"/>
    <cellStyle name="Positive 4 20 2 13 2" xfId="42298" xr:uid="{00000000-0005-0000-0000-000047A50000}"/>
    <cellStyle name="Positive 4 20 2 14" xfId="42299" xr:uid="{00000000-0005-0000-0000-000048A50000}"/>
    <cellStyle name="Positive 4 20 2 14 2" xfId="42300" xr:uid="{00000000-0005-0000-0000-000049A50000}"/>
    <cellStyle name="Positive 4 20 2 15" xfId="42301" xr:uid="{00000000-0005-0000-0000-00004AA50000}"/>
    <cellStyle name="Positive 4 20 2 15 2" xfId="42302" xr:uid="{00000000-0005-0000-0000-00004BA50000}"/>
    <cellStyle name="Positive 4 20 2 16" xfId="42303" xr:uid="{00000000-0005-0000-0000-00004CA50000}"/>
    <cellStyle name="Positive 4 20 2 16 2" xfId="42304" xr:uid="{00000000-0005-0000-0000-00004DA50000}"/>
    <cellStyle name="Positive 4 20 2 17" xfId="42305" xr:uid="{00000000-0005-0000-0000-00004EA50000}"/>
    <cellStyle name="Positive 4 20 2 2" xfId="42306" xr:uid="{00000000-0005-0000-0000-00004FA50000}"/>
    <cellStyle name="Positive 4 20 2 2 2" xfId="42307" xr:uid="{00000000-0005-0000-0000-000050A50000}"/>
    <cellStyle name="Positive 4 20 2 3" xfId="42308" xr:uid="{00000000-0005-0000-0000-000051A50000}"/>
    <cellStyle name="Positive 4 20 2 3 2" xfId="42309" xr:uid="{00000000-0005-0000-0000-000052A50000}"/>
    <cellStyle name="Positive 4 20 2 4" xfId="42310" xr:uid="{00000000-0005-0000-0000-000053A50000}"/>
    <cellStyle name="Positive 4 20 2 4 2" xfId="42311" xr:uid="{00000000-0005-0000-0000-000054A50000}"/>
    <cellStyle name="Positive 4 20 2 5" xfId="42312" xr:uid="{00000000-0005-0000-0000-000055A50000}"/>
    <cellStyle name="Positive 4 20 2 5 2" xfId="42313" xr:uid="{00000000-0005-0000-0000-000056A50000}"/>
    <cellStyle name="Positive 4 20 2 6" xfId="42314" xr:uid="{00000000-0005-0000-0000-000057A50000}"/>
    <cellStyle name="Positive 4 20 2 6 2" xfId="42315" xr:uid="{00000000-0005-0000-0000-000058A50000}"/>
    <cellStyle name="Positive 4 20 2 7" xfId="42316" xr:uid="{00000000-0005-0000-0000-000059A50000}"/>
    <cellStyle name="Positive 4 20 2 7 2" xfId="42317" xr:uid="{00000000-0005-0000-0000-00005AA50000}"/>
    <cellStyle name="Positive 4 20 2 8" xfId="42318" xr:uid="{00000000-0005-0000-0000-00005BA50000}"/>
    <cellStyle name="Positive 4 20 2 8 2" xfId="42319" xr:uid="{00000000-0005-0000-0000-00005CA50000}"/>
    <cellStyle name="Positive 4 20 2 9" xfId="42320" xr:uid="{00000000-0005-0000-0000-00005DA50000}"/>
    <cellStyle name="Positive 4 20 2 9 2" xfId="42321" xr:uid="{00000000-0005-0000-0000-00005EA50000}"/>
    <cellStyle name="Positive 4 20 20" xfId="42322" xr:uid="{00000000-0005-0000-0000-00005FA50000}"/>
    <cellStyle name="Positive 4 20 3" xfId="42323" xr:uid="{00000000-0005-0000-0000-000060A50000}"/>
    <cellStyle name="Positive 4 20 3 2" xfId="42324" xr:uid="{00000000-0005-0000-0000-000061A50000}"/>
    <cellStyle name="Positive 4 20 3 2 2" xfId="42325" xr:uid="{00000000-0005-0000-0000-000062A50000}"/>
    <cellStyle name="Positive 4 20 3 3" xfId="42326" xr:uid="{00000000-0005-0000-0000-000063A50000}"/>
    <cellStyle name="Positive 4 20 4" xfId="42327" xr:uid="{00000000-0005-0000-0000-000064A50000}"/>
    <cellStyle name="Positive 4 20 4 2" xfId="42328" xr:uid="{00000000-0005-0000-0000-000065A50000}"/>
    <cellStyle name="Positive 4 20 4 2 2" xfId="42329" xr:uid="{00000000-0005-0000-0000-000066A50000}"/>
    <cellStyle name="Positive 4 20 4 3" xfId="42330" xr:uid="{00000000-0005-0000-0000-000067A50000}"/>
    <cellStyle name="Positive 4 20 5" xfId="42331" xr:uid="{00000000-0005-0000-0000-000068A50000}"/>
    <cellStyle name="Positive 4 20 5 2" xfId="42332" xr:uid="{00000000-0005-0000-0000-000069A50000}"/>
    <cellStyle name="Positive 4 20 6" xfId="42333" xr:uid="{00000000-0005-0000-0000-00006AA50000}"/>
    <cellStyle name="Positive 4 20 6 2" xfId="42334" xr:uid="{00000000-0005-0000-0000-00006BA50000}"/>
    <cellStyle name="Positive 4 20 7" xfId="42335" xr:uid="{00000000-0005-0000-0000-00006CA50000}"/>
    <cellStyle name="Positive 4 20 7 2" xfId="42336" xr:uid="{00000000-0005-0000-0000-00006DA50000}"/>
    <cellStyle name="Positive 4 20 8" xfId="42337" xr:uid="{00000000-0005-0000-0000-00006EA50000}"/>
    <cellStyle name="Positive 4 20 8 2" xfId="42338" xr:uid="{00000000-0005-0000-0000-00006FA50000}"/>
    <cellStyle name="Positive 4 20 9" xfId="42339" xr:uid="{00000000-0005-0000-0000-000070A50000}"/>
    <cellStyle name="Positive 4 20 9 2" xfId="42340" xr:uid="{00000000-0005-0000-0000-000071A50000}"/>
    <cellStyle name="Positive 4 21" xfId="42341" xr:uid="{00000000-0005-0000-0000-000072A50000}"/>
    <cellStyle name="Positive 4 21 10" xfId="42342" xr:uid="{00000000-0005-0000-0000-000073A50000}"/>
    <cellStyle name="Positive 4 21 10 2" xfId="42343" xr:uid="{00000000-0005-0000-0000-000074A50000}"/>
    <cellStyle name="Positive 4 21 11" xfId="42344" xr:uid="{00000000-0005-0000-0000-000075A50000}"/>
    <cellStyle name="Positive 4 21 11 2" xfId="42345" xr:uid="{00000000-0005-0000-0000-000076A50000}"/>
    <cellStyle name="Positive 4 21 12" xfId="42346" xr:uid="{00000000-0005-0000-0000-000077A50000}"/>
    <cellStyle name="Positive 4 21 12 2" xfId="42347" xr:uid="{00000000-0005-0000-0000-000078A50000}"/>
    <cellStyle name="Positive 4 21 13" xfId="42348" xr:uid="{00000000-0005-0000-0000-000079A50000}"/>
    <cellStyle name="Positive 4 21 13 2" xfId="42349" xr:uid="{00000000-0005-0000-0000-00007AA50000}"/>
    <cellStyle name="Positive 4 21 14" xfId="42350" xr:uid="{00000000-0005-0000-0000-00007BA50000}"/>
    <cellStyle name="Positive 4 21 14 2" xfId="42351" xr:uid="{00000000-0005-0000-0000-00007CA50000}"/>
    <cellStyle name="Positive 4 21 15" xfId="42352" xr:uid="{00000000-0005-0000-0000-00007DA50000}"/>
    <cellStyle name="Positive 4 21 15 2" xfId="42353" xr:uid="{00000000-0005-0000-0000-00007EA50000}"/>
    <cellStyle name="Positive 4 21 16" xfId="42354" xr:uid="{00000000-0005-0000-0000-00007FA50000}"/>
    <cellStyle name="Positive 4 21 16 2" xfId="42355" xr:uid="{00000000-0005-0000-0000-000080A50000}"/>
    <cellStyle name="Positive 4 21 17" xfId="42356" xr:uid="{00000000-0005-0000-0000-000081A50000}"/>
    <cellStyle name="Positive 4 21 2" xfId="42357" xr:uid="{00000000-0005-0000-0000-000082A50000}"/>
    <cellStyle name="Positive 4 21 2 2" xfId="42358" xr:uid="{00000000-0005-0000-0000-000083A50000}"/>
    <cellStyle name="Positive 4 21 3" xfId="42359" xr:uid="{00000000-0005-0000-0000-000084A50000}"/>
    <cellStyle name="Positive 4 21 3 2" xfId="42360" xr:uid="{00000000-0005-0000-0000-000085A50000}"/>
    <cellStyle name="Positive 4 21 4" xfId="42361" xr:uid="{00000000-0005-0000-0000-000086A50000}"/>
    <cellStyle name="Positive 4 21 4 2" xfId="42362" xr:uid="{00000000-0005-0000-0000-000087A50000}"/>
    <cellStyle name="Positive 4 21 5" xfId="42363" xr:uid="{00000000-0005-0000-0000-000088A50000}"/>
    <cellStyle name="Positive 4 21 5 2" xfId="42364" xr:uid="{00000000-0005-0000-0000-000089A50000}"/>
    <cellStyle name="Positive 4 21 6" xfId="42365" xr:uid="{00000000-0005-0000-0000-00008AA50000}"/>
    <cellStyle name="Positive 4 21 6 2" xfId="42366" xr:uid="{00000000-0005-0000-0000-00008BA50000}"/>
    <cellStyle name="Positive 4 21 7" xfId="42367" xr:uid="{00000000-0005-0000-0000-00008CA50000}"/>
    <cellStyle name="Positive 4 21 7 2" xfId="42368" xr:uid="{00000000-0005-0000-0000-00008DA50000}"/>
    <cellStyle name="Positive 4 21 8" xfId="42369" xr:uid="{00000000-0005-0000-0000-00008EA50000}"/>
    <cellStyle name="Positive 4 21 8 2" xfId="42370" xr:uid="{00000000-0005-0000-0000-00008FA50000}"/>
    <cellStyle name="Positive 4 21 9" xfId="42371" xr:uid="{00000000-0005-0000-0000-000090A50000}"/>
    <cellStyle name="Positive 4 21 9 2" xfId="42372" xr:uid="{00000000-0005-0000-0000-000091A50000}"/>
    <cellStyle name="Positive 4 22" xfId="42373" xr:uid="{00000000-0005-0000-0000-000092A50000}"/>
    <cellStyle name="Positive 4 22 2" xfId="42374" xr:uid="{00000000-0005-0000-0000-000093A50000}"/>
    <cellStyle name="Positive 4 22 2 2" xfId="42375" xr:uid="{00000000-0005-0000-0000-000094A50000}"/>
    <cellStyle name="Positive 4 22 3" xfId="42376" xr:uid="{00000000-0005-0000-0000-000095A50000}"/>
    <cellStyle name="Positive 4 23" xfId="42377" xr:uid="{00000000-0005-0000-0000-000096A50000}"/>
    <cellStyle name="Positive 4 23 2" xfId="42378" xr:uid="{00000000-0005-0000-0000-000097A50000}"/>
    <cellStyle name="Positive 4 23 2 2" xfId="42379" xr:uid="{00000000-0005-0000-0000-000098A50000}"/>
    <cellStyle name="Positive 4 23 3" xfId="42380" xr:uid="{00000000-0005-0000-0000-000099A50000}"/>
    <cellStyle name="Positive 4 24" xfId="42381" xr:uid="{00000000-0005-0000-0000-00009AA50000}"/>
    <cellStyle name="Positive 4 24 2" xfId="42382" xr:uid="{00000000-0005-0000-0000-00009BA50000}"/>
    <cellStyle name="Positive 4 25" xfId="42383" xr:uid="{00000000-0005-0000-0000-00009CA50000}"/>
    <cellStyle name="Positive 4 25 2" xfId="42384" xr:uid="{00000000-0005-0000-0000-00009DA50000}"/>
    <cellStyle name="Positive 4 26" xfId="42385" xr:uid="{00000000-0005-0000-0000-00009EA50000}"/>
    <cellStyle name="Positive 4 26 2" xfId="42386" xr:uid="{00000000-0005-0000-0000-00009FA50000}"/>
    <cellStyle name="Positive 4 27" xfId="42387" xr:uid="{00000000-0005-0000-0000-0000A0A50000}"/>
    <cellStyle name="Positive 4 27 2" xfId="42388" xr:uid="{00000000-0005-0000-0000-0000A1A50000}"/>
    <cellStyle name="Positive 4 28" xfId="42389" xr:uid="{00000000-0005-0000-0000-0000A2A50000}"/>
    <cellStyle name="Positive 4 28 2" xfId="42390" xr:uid="{00000000-0005-0000-0000-0000A3A50000}"/>
    <cellStyle name="Positive 4 29" xfId="42391" xr:uid="{00000000-0005-0000-0000-0000A4A50000}"/>
    <cellStyle name="Positive 4 29 2" xfId="42392" xr:uid="{00000000-0005-0000-0000-0000A5A50000}"/>
    <cellStyle name="Positive 4 3" xfId="42393" xr:uid="{00000000-0005-0000-0000-0000A6A50000}"/>
    <cellStyle name="Positive 4 3 10" xfId="42394" xr:uid="{00000000-0005-0000-0000-0000A7A50000}"/>
    <cellStyle name="Positive 4 3 10 2" xfId="42395" xr:uid="{00000000-0005-0000-0000-0000A8A50000}"/>
    <cellStyle name="Positive 4 3 11" xfId="42396" xr:uid="{00000000-0005-0000-0000-0000A9A50000}"/>
    <cellStyle name="Positive 4 3 11 2" xfId="42397" xr:uid="{00000000-0005-0000-0000-0000AAA50000}"/>
    <cellStyle name="Positive 4 3 12" xfId="42398" xr:uid="{00000000-0005-0000-0000-0000ABA50000}"/>
    <cellStyle name="Positive 4 3 12 2" xfId="42399" xr:uid="{00000000-0005-0000-0000-0000ACA50000}"/>
    <cellStyle name="Positive 4 3 13" xfId="42400" xr:uid="{00000000-0005-0000-0000-0000ADA50000}"/>
    <cellStyle name="Positive 4 3 13 2" xfId="42401" xr:uid="{00000000-0005-0000-0000-0000AEA50000}"/>
    <cellStyle name="Positive 4 3 14" xfId="42402" xr:uid="{00000000-0005-0000-0000-0000AFA50000}"/>
    <cellStyle name="Positive 4 3 14 2" xfId="42403" xr:uid="{00000000-0005-0000-0000-0000B0A50000}"/>
    <cellStyle name="Positive 4 3 15" xfId="42404" xr:uid="{00000000-0005-0000-0000-0000B1A50000}"/>
    <cellStyle name="Positive 4 3 15 2" xfId="42405" xr:uid="{00000000-0005-0000-0000-0000B2A50000}"/>
    <cellStyle name="Positive 4 3 16" xfId="42406" xr:uid="{00000000-0005-0000-0000-0000B3A50000}"/>
    <cellStyle name="Positive 4 3 16 2" xfId="42407" xr:uid="{00000000-0005-0000-0000-0000B4A50000}"/>
    <cellStyle name="Positive 4 3 17" xfId="42408" xr:uid="{00000000-0005-0000-0000-0000B5A50000}"/>
    <cellStyle name="Positive 4 3 17 2" xfId="42409" xr:uid="{00000000-0005-0000-0000-0000B6A50000}"/>
    <cellStyle name="Positive 4 3 18" xfId="42410" xr:uid="{00000000-0005-0000-0000-0000B7A50000}"/>
    <cellStyle name="Positive 4 3 18 2" xfId="42411" xr:uid="{00000000-0005-0000-0000-0000B8A50000}"/>
    <cellStyle name="Positive 4 3 19" xfId="42412" xr:uid="{00000000-0005-0000-0000-0000B9A50000}"/>
    <cellStyle name="Positive 4 3 19 2" xfId="42413" xr:uid="{00000000-0005-0000-0000-0000BAA50000}"/>
    <cellStyle name="Positive 4 3 2" xfId="42414" xr:uid="{00000000-0005-0000-0000-0000BBA50000}"/>
    <cellStyle name="Positive 4 3 2 10" xfId="42415" xr:uid="{00000000-0005-0000-0000-0000BCA50000}"/>
    <cellStyle name="Positive 4 3 2 10 2" xfId="42416" xr:uid="{00000000-0005-0000-0000-0000BDA50000}"/>
    <cellStyle name="Positive 4 3 2 11" xfId="42417" xr:uid="{00000000-0005-0000-0000-0000BEA50000}"/>
    <cellStyle name="Positive 4 3 2 11 2" xfId="42418" xr:uid="{00000000-0005-0000-0000-0000BFA50000}"/>
    <cellStyle name="Positive 4 3 2 12" xfId="42419" xr:uid="{00000000-0005-0000-0000-0000C0A50000}"/>
    <cellStyle name="Positive 4 3 2 12 2" xfId="42420" xr:uid="{00000000-0005-0000-0000-0000C1A50000}"/>
    <cellStyle name="Positive 4 3 2 13" xfId="42421" xr:uid="{00000000-0005-0000-0000-0000C2A50000}"/>
    <cellStyle name="Positive 4 3 2 13 2" xfId="42422" xr:uid="{00000000-0005-0000-0000-0000C3A50000}"/>
    <cellStyle name="Positive 4 3 2 14" xfId="42423" xr:uid="{00000000-0005-0000-0000-0000C4A50000}"/>
    <cellStyle name="Positive 4 3 2 14 2" xfId="42424" xr:uid="{00000000-0005-0000-0000-0000C5A50000}"/>
    <cellStyle name="Positive 4 3 2 15" xfId="42425" xr:uid="{00000000-0005-0000-0000-0000C6A50000}"/>
    <cellStyle name="Positive 4 3 2 15 2" xfId="42426" xr:uid="{00000000-0005-0000-0000-0000C7A50000}"/>
    <cellStyle name="Positive 4 3 2 16" xfId="42427" xr:uid="{00000000-0005-0000-0000-0000C8A50000}"/>
    <cellStyle name="Positive 4 3 2 16 2" xfId="42428" xr:uid="{00000000-0005-0000-0000-0000C9A50000}"/>
    <cellStyle name="Positive 4 3 2 17" xfId="42429" xr:uid="{00000000-0005-0000-0000-0000CAA50000}"/>
    <cellStyle name="Positive 4 3 2 17 2" xfId="42430" xr:uid="{00000000-0005-0000-0000-0000CBA50000}"/>
    <cellStyle name="Positive 4 3 2 18" xfId="42431" xr:uid="{00000000-0005-0000-0000-0000CCA50000}"/>
    <cellStyle name="Positive 4 3 2 18 2" xfId="42432" xr:uid="{00000000-0005-0000-0000-0000CDA50000}"/>
    <cellStyle name="Positive 4 3 2 19" xfId="42433" xr:uid="{00000000-0005-0000-0000-0000CEA50000}"/>
    <cellStyle name="Positive 4 3 2 19 2" xfId="42434" xr:uid="{00000000-0005-0000-0000-0000CFA50000}"/>
    <cellStyle name="Positive 4 3 2 2" xfId="42435" xr:uid="{00000000-0005-0000-0000-0000D0A50000}"/>
    <cellStyle name="Positive 4 3 2 2 10" xfId="42436" xr:uid="{00000000-0005-0000-0000-0000D1A50000}"/>
    <cellStyle name="Positive 4 3 2 2 10 2" xfId="42437" xr:uid="{00000000-0005-0000-0000-0000D2A50000}"/>
    <cellStyle name="Positive 4 3 2 2 11" xfId="42438" xr:uid="{00000000-0005-0000-0000-0000D3A50000}"/>
    <cellStyle name="Positive 4 3 2 2 11 2" xfId="42439" xr:uid="{00000000-0005-0000-0000-0000D4A50000}"/>
    <cellStyle name="Positive 4 3 2 2 12" xfId="42440" xr:uid="{00000000-0005-0000-0000-0000D5A50000}"/>
    <cellStyle name="Positive 4 3 2 2 12 2" xfId="42441" xr:uid="{00000000-0005-0000-0000-0000D6A50000}"/>
    <cellStyle name="Positive 4 3 2 2 13" xfId="42442" xr:uid="{00000000-0005-0000-0000-0000D7A50000}"/>
    <cellStyle name="Positive 4 3 2 2 13 2" xfId="42443" xr:uid="{00000000-0005-0000-0000-0000D8A50000}"/>
    <cellStyle name="Positive 4 3 2 2 14" xfId="42444" xr:uid="{00000000-0005-0000-0000-0000D9A50000}"/>
    <cellStyle name="Positive 4 3 2 2 14 2" xfId="42445" xr:uid="{00000000-0005-0000-0000-0000DAA50000}"/>
    <cellStyle name="Positive 4 3 2 2 15" xfId="42446" xr:uid="{00000000-0005-0000-0000-0000DBA50000}"/>
    <cellStyle name="Positive 4 3 2 2 15 2" xfId="42447" xr:uid="{00000000-0005-0000-0000-0000DCA50000}"/>
    <cellStyle name="Positive 4 3 2 2 16" xfId="42448" xr:uid="{00000000-0005-0000-0000-0000DDA50000}"/>
    <cellStyle name="Positive 4 3 2 2 16 2" xfId="42449" xr:uid="{00000000-0005-0000-0000-0000DEA50000}"/>
    <cellStyle name="Positive 4 3 2 2 17" xfId="42450" xr:uid="{00000000-0005-0000-0000-0000DFA50000}"/>
    <cellStyle name="Positive 4 3 2 2 2" xfId="42451" xr:uid="{00000000-0005-0000-0000-0000E0A50000}"/>
    <cellStyle name="Positive 4 3 2 2 2 2" xfId="42452" xr:uid="{00000000-0005-0000-0000-0000E1A50000}"/>
    <cellStyle name="Positive 4 3 2 2 3" xfId="42453" xr:uid="{00000000-0005-0000-0000-0000E2A50000}"/>
    <cellStyle name="Positive 4 3 2 2 3 2" xfId="42454" xr:uid="{00000000-0005-0000-0000-0000E3A50000}"/>
    <cellStyle name="Positive 4 3 2 2 4" xfId="42455" xr:uid="{00000000-0005-0000-0000-0000E4A50000}"/>
    <cellStyle name="Positive 4 3 2 2 4 2" xfId="42456" xr:uid="{00000000-0005-0000-0000-0000E5A50000}"/>
    <cellStyle name="Positive 4 3 2 2 5" xfId="42457" xr:uid="{00000000-0005-0000-0000-0000E6A50000}"/>
    <cellStyle name="Positive 4 3 2 2 5 2" xfId="42458" xr:uid="{00000000-0005-0000-0000-0000E7A50000}"/>
    <cellStyle name="Positive 4 3 2 2 6" xfId="42459" xr:uid="{00000000-0005-0000-0000-0000E8A50000}"/>
    <cellStyle name="Positive 4 3 2 2 6 2" xfId="42460" xr:uid="{00000000-0005-0000-0000-0000E9A50000}"/>
    <cellStyle name="Positive 4 3 2 2 7" xfId="42461" xr:uid="{00000000-0005-0000-0000-0000EAA50000}"/>
    <cellStyle name="Positive 4 3 2 2 7 2" xfId="42462" xr:uid="{00000000-0005-0000-0000-0000EBA50000}"/>
    <cellStyle name="Positive 4 3 2 2 8" xfId="42463" xr:uid="{00000000-0005-0000-0000-0000ECA50000}"/>
    <cellStyle name="Positive 4 3 2 2 8 2" xfId="42464" xr:uid="{00000000-0005-0000-0000-0000EDA50000}"/>
    <cellStyle name="Positive 4 3 2 2 9" xfId="42465" xr:uid="{00000000-0005-0000-0000-0000EEA50000}"/>
    <cellStyle name="Positive 4 3 2 2 9 2" xfId="42466" xr:uid="{00000000-0005-0000-0000-0000EFA50000}"/>
    <cellStyle name="Positive 4 3 2 20" xfId="42467" xr:uid="{00000000-0005-0000-0000-0000F0A50000}"/>
    <cellStyle name="Positive 4 3 2 3" xfId="42468" xr:uid="{00000000-0005-0000-0000-0000F1A50000}"/>
    <cellStyle name="Positive 4 3 2 3 2" xfId="42469" xr:uid="{00000000-0005-0000-0000-0000F2A50000}"/>
    <cellStyle name="Positive 4 3 2 3 2 2" xfId="42470" xr:uid="{00000000-0005-0000-0000-0000F3A50000}"/>
    <cellStyle name="Positive 4 3 2 3 3" xfId="42471" xr:uid="{00000000-0005-0000-0000-0000F4A50000}"/>
    <cellStyle name="Positive 4 3 2 4" xfId="42472" xr:uid="{00000000-0005-0000-0000-0000F5A50000}"/>
    <cellStyle name="Positive 4 3 2 4 2" xfId="42473" xr:uid="{00000000-0005-0000-0000-0000F6A50000}"/>
    <cellStyle name="Positive 4 3 2 4 2 2" xfId="42474" xr:uid="{00000000-0005-0000-0000-0000F7A50000}"/>
    <cellStyle name="Positive 4 3 2 4 3" xfId="42475" xr:uid="{00000000-0005-0000-0000-0000F8A50000}"/>
    <cellStyle name="Positive 4 3 2 5" xfId="42476" xr:uid="{00000000-0005-0000-0000-0000F9A50000}"/>
    <cellStyle name="Positive 4 3 2 5 2" xfId="42477" xr:uid="{00000000-0005-0000-0000-0000FAA50000}"/>
    <cellStyle name="Positive 4 3 2 6" xfId="42478" xr:uid="{00000000-0005-0000-0000-0000FBA50000}"/>
    <cellStyle name="Positive 4 3 2 6 2" xfId="42479" xr:uid="{00000000-0005-0000-0000-0000FCA50000}"/>
    <cellStyle name="Positive 4 3 2 7" xfId="42480" xr:uid="{00000000-0005-0000-0000-0000FDA50000}"/>
    <cellStyle name="Positive 4 3 2 7 2" xfId="42481" xr:uid="{00000000-0005-0000-0000-0000FEA50000}"/>
    <cellStyle name="Positive 4 3 2 8" xfId="42482" xr:uid="{00000000-0005-0000-0000-0000FFA50000}"/>
    <cellStyle name="Positive 4 3 2 8 2" xfId="42483" xr:uid="{00000000-0005-0000-0000-000000A60000}"/>
    <cellStyle name="Positive 4 3 2 9" xfId="42484" xr:uid="{00000000-0005-0000-0000-000001A60000}"/>
    <cellStyle name="Positive 4 3 2 9 2" xfId="42485" xr:uid="{00000000-0005-0000-0000-000002A60000}"/>
    <cellStyle name="Positive 4 3 20" xfId="42486" xr:uid="{00000000-0005-0000-0000-000003A60000}"/>
    <cellStyle name="Positive 4 3 20 2" xfId="42487" xr:uid="{00000000-0005-0000-0000-000004A60000}"/>
    <cellStyle name="Positive 4 3 21" xfId="42488" xr:uid="{00000000-0005-0000-0000-000005A60000}"/>
    <cellStyle name="Positive 4 3 21 2" xfId="42489" xr:uid="{00000000-0005-0000-0000-000006A60000}"/>
    <cellStyle name="Positive 4 3 22" xfId="42490" xr:uid="{00000000-0005-0000-0000-000007A60000}"/>
    <cellStyle name="Positive 4 3 22 2" xfId="42491" xr:uid="{00000000-0005-0000-0000-000008A60000}"/>
    <cellStyle name="Positive 4 3 23" xfId="42492" xr:uid="{00000000-0005-0000-0000-000009A60000}"/>
    <cellStyle name="Positive 4 3 3" xfId="42493" xr:uid="{00000000-0005-0000-0000-00000AA60000}"/>
    <cellStyle name="Positive 4 3 3 10" xfId="42494" xr:uid="{00000000-0005-0000-0000-00000BA60000}"/>
    <cellStyle name="Positive 4 3 3 10 2" xfId="42495" xr:uid="{00000000-0005-0000-0000-00000CA60000}"/>
    <cellStyle name="Positive 4 3 3 11" xfId="42496" xr:uid="{00000000-0005-0000-0000-00000DA60000}"/>
    <cellStyle name="Positive 4 3 3 11 2" xfId="42497" xr:uid="{00000000-0005-0000-0000-00000EA60000}"/>
    <cellStyle name="Positive 4 3 3 12" xfId="42498" xr:uid="{00000000-0005-0000-0000-00000FA60000}"/>
    <cellStyle name="Positive 4 3 3 12 2" xfId="42499" xr:uid="{00000000-0005-0000-0000-000010A60000}"/>
    <cellStyle name="Positive 4 3 3 13" xfId="42500" xr:uid="{00000000-0005-0000-0000-000011A60000}"/>
    <cellStyle name="Positive 4 3 3 13 2" xfId="42501" xr:uid="{00000000-0005-0000-0000-000012A60000}"/>
    <cellStyle name="Positive 4 3 3 14" xfId="42502" xr:uid="{00000000-0005-0000-0000-000013A60000}"/>
    <cellStyle name="Positive 4 3 3 14 2" xfId="42503" xr:uid="{00000000-0005-0000-0000-000014A60000}"/>
    <cellStyle name="Positive 4 3 3 15" xfId="42504" xr:uid="{00000000-0005-0000-0000-000015A60000}"/>
    <cellStyle name="Positive 4 3 3 15 2" xfId="42505" xr:uid="{00000000-0005-0000-0000-000016A60000}"/>
    <cellStyle name="Positive 4 3 3 16" xfId="42506" xr:uid="{00000000-0005-0000-0000-000017A60000}"/>
    <cellStyle name="Positive 4 3 3 16 2" xfId="42507" xr:uid="{00000000-0005-0000-0000-000018A60000}"/>
    <cellStyle name="Positive 4 3 3 17" xfId="42508" xr:uid="{00000000-0005-0000-0000-000019A60000}"/>
    <cellStyle name="Positive 4 3 3 17 2" xfId="42509" xr:uid="{00000000-0005-0000-0000-00001AA60000}"/>
    <cellStyle name="Positive 4 3 3 18" xfId="42510" xr:uid="{00000000-0005-0000-0000-00001BA60000}"/>
    <cellStyle name="Positive 4 3 3 18 2" xfId="42511" xr:uid="{00000000-0005-0000-0000-00001CA60000}"/>
    <cellStyle name="Positive 4 3 3 19" xfId="42512" xr:uid="{00000000-0005-0000-0000-00001DA60000}"/>
    <cellStyle name="Positive 4 3 3 19 2" xfId="42513" xr:uid="{00000000-0005-0000-0000-00001EA60000}"/>
    <cellStyle name="Positive 4 3 3 2" xfId="42514" xr:uid="{00000000-0005-0000-0000-00001FA60000}"/>
    <cellStyle name="Positive 4 3 3 2 10" xfId="42515" xr:uid="{00000000-0005-0000-0000-000020A60000}"/>
    <cellStyle name="Positive 4 3 3 2 10 2" xfId="42516" xr:uid="{00000000-0005-0000-0000-000021A60000}"/>
    <cellStyle name="Positive 4 3 3 2 11" xfId="42517" xr:uid="{00000000-0005-0000-0000-000022A60000}"/>
    <cellStyle name="Positive 4 3 3 2 11 2" xfId="42518" xr:uid="{00000000-0005-0000-0000-000023A60000}"/>
    <cellStyle name="Positive 4 3 3 2 12" xfId="42519" xr:uid="{00000000-0005-0000-0000-000024A60000}"/>
    <cellStyle name="Positive 4 3 3 2 12 2" xfId="42520" xr:uid="{00000000-0005-0000-0000-000025A60000}"/>
    <cellStyle name="Positive 4 3 3 2 13" xfId="42521" xr:uid="{00000000-0005-0000-0000-000026A60000}"/>
    <cellStyle name="Positive 4 3 3 2 13 2" xfId="42522" xr:uid="{00000000-0005-0000-0000-000027A60000}"/>
    <cellStyle name="Positive 4 3 3 2 14" xfId="42523" xr:uid="{00000000-0005-0000-0000-000028A60000}"/>
    <cellStyle name="Positive 4 3 3 2 14 2" xfId="42524" xr:uid="{00000000-0005-0000-0000-000029A60000}"/>
    <cellStyle name="Positive 4 3 3 2 15" xfId="42525" xr:uid="{00000000-0005-0000-0000-00002AA60000}"/>
    <cellStyle name="Positive 4 3 3 2 15 2" xfId="42526" xr:uid="{00000000-0005-0000-0000-00002BA60000}"/>
    <cellStyle name="Positive 4 3 3 2 16" xfId="42527" xr:uid="{00000000-0005-0000-0000-00002CA60000}"/>
    <cellStyle name="Positive 4 3 3 2 16 2" xfId="42528" xr:uid="{00000000-0005-0000-0000-00002DA60000}"/>
    <cellStyle name="Positive 4 3 3 2 17" xfId="42529" xr:uid="{00000000-0005-0000-0000-00002EA60000}"/>
    <cellStyle name="Positive 4 3 3 2 2" xfId="42530" xr:uid="{00000000-0005-0000-0000-00002FA60000}"/>
    <cellStyle name="Positive 4 3 3 2 2 2" xfId="42531" xr:uid="{00000000-0005-0000-0000-000030A60000}"/>
    <cellStyle name="Positive 4 3 3 2 3" xfId="42532" xr:uid="{00000000-0005-0000-0000-000031A60000}"/>
    <cellStyle name="Positive 4 3 3 2 3 2" xfId="42533" xr:uid="{00000000-0005-0000-0000-000032A60000}"/>
    <cellStyle name="Positive 4 3 3 2 4" xfId="42534" xr:uid="{00000000-0005-0000-0000-000033A60000}"/>
    <cellStyle name="Positive 4 3 3 2 4 2" xfId="42535" xr:uid="{00000000-0005-0000-0000-000034A60000}"/>
    <cellStyle name="Positive 4 3 3 2 5" xfId="42536" xr:uid="{00000000-0005-0000-0000-000035A60000}"/>
    <cellStyle name="Positive 4 3 3 2 5 2" xfId="42537" xr:uid="{00000000-0005-0000-0000-000036A60000}"/>
    <cellStyle name="Positive 4 3 3 2 6" xfId="42538" xr:uid="{00000000-0005-0000-0000-000037A60000}"/>
    <cellStyle name="Positive 4 3 3 2 6 2" xfId="42539" xr:uid="{00000000-0005-0000-0000-000038A60000}"/>
    <cellStyle name="Positive 4 3 3 2 7" xfId="42540" xr:uid="{00000000-0005-0000-0000-000039A60000}"/>
    <cellStyle name="Positive 4 3 3 2 7 2" xfId="42541" xr:uid="{00000000-0005-0000-0000-00003AA60000}"/>
    <cellStyle name="Positive 4 3 3 2 8" xfId="42542" xr:uid="{00000000-0005-0000-0000-00003BA60000}"/>
    <cellStyle name="Positive 4 3 3 2 8 2" xfId="42543" xr:uid="{00000000-0005-0000-0000-00003CA60000}"/>
    <cellStyle name="Positive 4 3 3 2 9" xfId="42544" xr:uid="{00000000-0005-0000-0000-00003DA60000}"/>
    <cellStyle name="Positive 4 3 3 2 9 2" xfId="42545" xr:uid="{00000000-0005-0000-0000-00003EA60000}"/>
    <cellStyle name="Positive 4 3 3 20" xfId="42546" xr:uid="{00000000-0005-0000-0000-00003FA60000}"/>
    <cellStyle name="Positive 4 3 3 3" xfId="42547" xr:uid="{00000000-0005-0000-0000-000040A60000}"/>
    <cellStyle name="Positive 4 3 3 3 2" xfId="42548" xr:uid="{00000000-0005-0000-0000-000041A60000}"/>
    <cellStyle name="Positive 4 3 3 3 2 2" xfId="42549" xr:uid="{00000000-0005-0000-0000-000042A60000}"/>
    <cellStyle name="Positive 4 3 3 3 3" xfId="42550" xr:uid="{00000000-0005-0000-0000-000043A60000}"/>
    <cellStyle name="Positive 4 3 3 4" xfId="42551" xr:uid="{00000000-0005-0000-0000-000044A60000}"/>
    <cellStyle name="Positive 4 3 3 4 2" xfId="42552" xr:uid="{00000000-0005-0000-0000-000045A60000}"/>
    <cellStyle name="Positive 4 3 3 4 2 2" xfId="42553" xr:uid="{00000000-0005-0000-0000-000046A60000}"/>
    <cellStyle name="Positive 4 3 3 4 3" xfId="42554" xr:uid="{00000000-0005-0000-0000-000047A60000}"/>
    <cellStyle name="Positive 4 3 3 5" xfId="42555" xr:uid="{00000000-0005-0000-0000-000048A60000}"/>
    <cellStyle name="Positive 4 3 3 5 2" xfId="42556" xr:uid="{00000000-0005-0000-0000-000049A60000}"/>
    <cellStyle name="Positive 4 3 3 6" xfId="42557" xr:uid="{00000000-0005-0000-0000-00004AA60000}"/>
    <cellStyle name="Positive 4 3 3 6 2" xfId="42558" xr:uid="{00000000-0005-0000-0000-00004BA60000}"/>
    <cellStyle name="Positive 4 3 3 7" xfId="42559" xr:uid="{00000000-0005-0000-0000-00004CA60000}"/>
    <cellStyle name="Positive 4 3 3 7 2" xfId="42560" xr:uid="{00000000-0005-0000-0000-00004DA60000}"/>
    <cellStyle name="Positive 4 3 3 8" xfId="42561" xr:uid="{00000000-0005-0000-0000-00004EA60000}"/>
    <cellStyle name="Positive 4 3 3 8 2" xfId="42562" xr:uid="{00000000-0005-0000-0000-00004FA60000}"/>
    <cellStyle name="Positive 4 3 3 9" xfId="42563" xr:uid="{00000000-0005-0000-0000-000050A60000}"/>
    <cellStyle name="Positive 4 3 3 9 2" xfId="42564" xr:uid="{00000000-0005-0000-0000-000051A60000}"/>
    <cellStyle name="Positive 4 3 4" xfId="42565" xr:uid="{00000000-0005-0000-0000-000052A60000}"/>
    <cellStyle name="Positive 4 3 4 10" xfId="42566" xr:uid="{00000000-0005-0000-0000-000053A60000}"/>
    <cellStyle name="Positive 4 3 4 10 2" xfId="42567" xr:uid="{00000000-0005-0000-0000-000054A60000}"/>
    <cellStyle name="Positive 4 3 4 11" xfId="42568" xr:uid="{00000000-0005-0000-0000-000055A60000}"/>
    <cellStyle name="Positive 4 3 4 11 2" xfId="42569" xr:uid="{00000000-0005-0000-0000-000056A60000}"/>
    <cellStyle name="Positive 4 3 4 12" xfId="42570" xr:uid="{00000000-0005-0000-0000-000057A60000}"/>
    <cellStyle name="Positive 4 3 4 12 2" xfId="42571" xr:uid="{00000000-0005-0000-0000-000058A60000}"/>
    <cellStyle name="Positive 4 3 4 13" xfId="42572" xr:uid="{00000000-0005-0000-0000-000059A60000}"/>
    <cellStyle name="Positive 4 3 4 13 2" xfId="42573" xr:uid="{00000000-0005-0000-0000-00005AA60000}"/>
    <cellStyle name="Positive 4 3 4 14" xfId="42574" xr:uid="{00000000-0005-0000-0000-00005BA60000}"/>
    <cellStyle name="Positive 4 3 4 14 2" xfId="42575" xr:uid="{00000000-0005-0000-0000-00005CA60000}"/>
    <cellStyle name="Positive 4 3 4 15" xfId="42576" xr:uid="{00000000-0005-0000-0000-00005DA60000}"/>
    <cellStyle name="Positive 4 3 4 15 2" xfId="42577" xr:uid="{00000000-0005-0000-0000-00005EA60000}"/>
    <cellStyle name="Positive 4 3 4 16" xfId="42578" xr:uid="{00000000-0005-0000-0000-00005FA60000}"/>
    <cellStyle name="Positive 4 3 4 16 2" xfId="42579" xr:uid="{00000000-0005-0000-0000-000060A60000}"/>
    <cellStyle name="Positive 4 3 4 17" xfId="42580" xr:uid="{00000000-0005-0000-0000-000061A60000}"/>
    <cellStyle name="Positive 4 3 4 17 2" xfId="42581" xr:uid="{00000000-0005-0000-0000-000062A60000}"/>
    <cellStyle name="Positive 4 3 4 18" xfId="42582" xr:uid="{00000000-0005-0000-0000-000063A60000}"/>
    <cellStyle name="Positive 4 3 4 18 2" xfId="42583" xr:uid="{00000000-0005-0000-0000-000064A60000}"/>
    <cellStyle name="Positive 4 3 4 19" xfId="42584" xr:uid="{00000000-0005-0000-0000-000065A60000}"/>
    <cellStyle name="Positive 4 3 4 19 2" xfId="42585" xr:uid="{00000000-0005-0000-0000-000066A60000}"/>
    <cellStyle name="Positive 4 3 4 2" xfId="42586" xr:uid="{00000000-0005-0000-0000-000067A60000}"/>
    <cellStyle name="Positive 4 3 4 2 10" xfId="42587" xr:uid="{00000000-0005-0000-0000-000068A60000}"/>
    <cellStyle name="Positive 4 3 4 2 10 2" xfId="42588" xr:uid="{00000000-0005-0000-0000-000069A60000}"/>
    <cellStyle name="Positive 4 3 4 2 11" xfId="42589" xr:uid="{00000000-0005-0000-0000-00006AA60000}"/>
    <cellStyle name="Positive 4 3 4 2 11 2" xfId="42590" xr:uid="{00000000-0005-0000-0000-00006BA60000}"/>
    <cellStyle name="Positive 4 3 4 2 12" xfId="42591" xr:uid="{00000000-0005-0000-0000-00006CA60000}"/>
    <cellStyle name="Positive 4 3 4 2 12 2" xfId="42592" xr:uid="{00000000-0005-0000-0000-00006DA60000}"/>
    <cellStyle name="Positive 4 3 4 2 13" xfId="42593" xr:uid="{00000000-0005-0000-0000-00006EA60000}"/>
    <cellStyle name="Positive 4 3 4 2 13 2" xfId="42594" xr:uid="{00000000-0005-0000-0000-00006FA60000}"/>
    <cellStyle name="Positive 4 3 4 2 14" xfId="42595" xr:uid="{00000000-0005-0000-0000-000070A60000}"/>
    <cellStyle name="Positive 4 3 4 2 14 2" xfId="42596" xr:uid="{00000000-0005-0000-0000-000071A60000}"/>
    <cellStyle name="Positive 4 3 4 2 15" xfId="42597" xr:uid="{00000000-0005-0000-0000-000072A60000}"/>
    <cellStyle name="Positive 4 3 4 2 15 2" xfId="42598" xr:uid="{00000000-0005-0000-0000-000073A60000}"/>
    <cellStyle name="Positive 4 3 4 2 16" xfId="42599" xr:uid="{00000000-0005-0000-0000-000074A60000}"/>
    <cellStyle name="Positive 4 3 4 2 16 2" xfId="42600" xr:uid="{00000000-0005-0000-0000-000075A60000}"/>
    <cellStyle name="Positive 4 3 4 2 17" xfId="42601" xr:uid="{00000000-0005-0000-0000-000076A60000}"/>
    <cellStyle name="Positive 4 3 4 2 2" xfId="42602" xr:uid="{00000000-0005-0000-0000-000077A60000}"/>
    <cellStyle name="Positive 4 3 4 2 2 2" xfId="42603" xr:uid="{00000000-0005-0000-0000-000078A60000}"/>
    <cellStyle name="Positive 4 3 4 2 3" xfId="42604" xr:uid="{00000000-0005-0000-0000-000079A60000}"/>
    <cellStyle name="Positive 4 3 4 2 3 2" xfId="42605" xr:uid="{00000000-0005-0000-0000-00007AA60000}"/>
    <cellStyle name="Positive 4 3 4 2 4" xfId="42606" xr:uid="{00000000-0005-0000-0000-00007BA60000}"/>
    <cellStyle name="Positive 4 3 4 2 4 2" xfId="42607" xr:uid="{00000000-0005-0000-0000-00007CA60000}"/>
    <cellStyle name="Positive 4 3 4 2 5" xfId="42608" xr:uid="{00000000-0005-0000-0000-00007DA60000}"/>
    <cellStyle name="Positive 4 3 4 2 5 2" xfId="42609" xr:uid="{00000000-0005-0000-0000-00007EA60000}"/>
    <cellStyle name="Positive 4 3 4 2 6" xfId="42610" xr:uid="{00000000-0005-0000-0000-00007FA60000}"/>
    <cellStyle name="Positive 4 3 4 2 6 2" xfId="42611" xr:uid="{00000000-0005-0000-0000-000080A60000}"/>
    <cellStyle name="Positive 4 3 4 2 7" xfId="42612" xr:uid="{00000000-0005-0000-0000-000081A60000}"/>
    <cellStyle name="Positive 4 3 4 2 7 2" xfId="42613" xr:uid="{00000000-0005-0000-0000-000082A60000}"/>
    <cellStyle name="Positive 4 3 4 2 8" xfId="42614" xr:uid="{00000000-0005-0000-0000-000083A60000}"/>
    <cellStyle name="Positive 4 3 4 2 8 2" xfId="42615" xr:uid="{00000000-0005-0000-0000-000084A60000}"/>
    <cellStyle name="Positive 4 3 4 2 9" xfId="42616" xr:uid="{00000000-0005-0000-0000-000085A60000}"/>
    <cellStyle name="Positive 4 3 4 2 9 2" xfId="42617" xr:uid="{00000000-0005-0000-0000-000086A60000}"/>
    <cellStyle name="Positive 4 3 4 20" xfId="42618" xr:uid="{00000000-0005-0000-0000-000087A60000}"/>
    <cellStyle name="Positive 4 3 4 3" xfId="42619" xr:uid="{00000000-0005-0000-0000-000088A60000}"/>
    <cellStyle name="Positive 4 3 4 3 2" xfId="42620" xr:uid="{00000000-0005-0000-0000-000089A60000}"/>
    <cellStyle name="Positive 4 3 4 3 2 2" xfId="42621" xr:uid="{00000000-0005-0000-0000-00008AA60000}"/>
    <cellStyle name="Positive 4 3 4 3 3" xfId="42622" xr:uid="{00000000-0005-0000-0000-00008BA60000}"/>
    <cellStyle name="Positive 4 3 4 4" xfId="42623" xr:uid="{00000000-0005-0000-0000-00008CA60000}"/>
    <cellStyle name="Positive 4 3 4 4 2" xfId="42624" xr:uid="{00000000-0005-0000-0000-00008DA60000}"/>
    <cellStyle name="Positive 4 3 4 4 2 2" xfId="42625" xr:uid="{00000000-0005-0000-0000-00008EA60000}"/>
    <cellStyle name="Positive 4 3 4 4 3" xfId="42626" xr:uid="{00000000-0005-0000-0000-00008FA60000}"/>
    <cellStyle name="Positive 4 3 4 5" xfId="42627" xr:uid="{00000000-0005-0000-0000-000090A60000}"/>
    <cellStyle name="Positive 4 3 4 5 2" xfId="42628" xr:uid="{00000000-0005-0000-0000-000091A60000}"/>
    <cellStyle name="Positive 4 3 4 6" xfId="42629" xr:uid="{00000000-0005-0000-0000-000092A60000}"/>
    <cellStyle name="Positive 4 3 4 6 2" xfId="42630" xr:uid="{00000000-0005-0000-0000-000093A60000}"/>
    <cellStyle name="Positive 4 3 4 7" xfId="42631" xr:uid="{00000000-0005-0000-0000-000094A60000}"/>
    <cellStyle name="Positive 4 3 4 7 2" xfId="42632" xr:uid="{00000000-0005-0000-0000-000095A60000}"/>
    <cellStyle name="Positive 4 3 4 8" xfId="42633" xr:uid="{00000000-0005-0000-0000-000096A60000}"/>
    <cellStyle name="Positive 4 3 4 8 2" xfId="42634" xr:uid="{00000000-0005-0000-0000-000097A60000}"/>
    <cellStyle name="Positive 4 3 4 9" xfId="42635" xr:uid="{00000000-0005-0000-0000-000098A60000}"/>
    <cellStyle name="Positive 4 3 4 9 2" xfId="42636" xr:uid="{00000000-0005-0000-0000-000099A60000}"/>
    <cellStyle name="Positive 4 3 5" xfId="42637" xr:uid="{00000000-0005-0000-0000-00009AA60000}"/>
    <cellStyle name="Positive 4 3 5 10" xfId="42638" xr:uid="{00000000-0005-0000-0000-00009BA60000}"/>
    <cellStyle name="Positive 4 3 5 10 2" xfId="42639" xr:uid="{00000000-0005-0000-0000-00009CA60000}"/>
    <cellStyle name="Positive 4 3 5 11" xfId="42640" xr:uid="{00000000-0005-0000-0000-00009DA60000}"/>
    <cellStyle name="Positive 4 3 5 11 2" xfId="42641" xr:uid="{00000000-0005-0000-0000-00009EA60000}"/>
    <cellStyle name="Positive 4 3 5 12" xfId="42642" xr:uid="{00000000-0005-0000-0000-00009FA60000}"/>
    <cellStyle name="Positive 4 3 5 12 2" xfId="42643" xr:uid="{00000000-0005-0000-0000-0000A0A60000}"/>
    <cellStyle name="Positive 4 3 5 13" xfId="42644" xr:uid="{00000000-0005-0000-0000-0000A1A60000}"/>
    <cellStyle name="Positive 4 3 5 13 2" xfId="42645" xr:uid="{00000000-0005-0000-0000-0000A2A60000}"/>
    <cellStyle name="Positive 4 3 5 14" xfId="42646" xr:uid="{00000000-0005-0000-0000-0000A3A60000}"/>
    <cellStyle name="Positive 4 3 5 14 2" xfId="42647" xr:uid="{00000000-0005-0000-0000-0000A4A60000}"/>
    <cellStyle name="Positive 4 3 5 15" xfId="42648" xr:uid="{00000000-0005-0000-0000-0000A5A60000}"/>
    <cellStyle name="Positive 4 3 5 15 2" xfId="42649" xr:uid="{00000000-0005-0000-0000-0000A6A60000}"/>
    <cellStyle name="Positive 4 3 5 16" xfId="42650" xr:uid="{00000000-0005-0000-0000-0000A7A60000}"/>
    <cellStyle name="Positive 4 3 5 16 2" xfId="42651" xr:uid="{00000000-0005-0000-0000-0000A8A60000}"/>
    <cellStyle name="Positive 4 3 5 17" xfId="42652" xr:uid="{00000000-0005-0000-0000-0000A9A60000}"/>
    <cellStyle name="Positive 4 3 5 2" xfId="42653" xr:uid="{00000000-0005-0000-0000-0000AAA60000}"/>
    <cellStyle name="Positive 4 3 5 2 2" xfId="42654" xr:uid="{00000000-0005-0000-0000-0000ABA60000}"/>
    <cellStyle name="Positive 4 3 5 3" xfId="42655" xr:uid="{00000000-0005-0000-0000-0000ACA60000}"/>
    <cellStyle name="Positive 4 3 5 3 2" xfId="42656" xr:uid="{00000000-0005-0000-0000-0000ADA60000}"/>
    <cellStyle name="Positive 4 3 5 4" xfId="42657" xr:uid="{00000000-0005-0000-0000-0000AEA60000}"/>
    <cellStyle name="Positive 4 3 5 4 2" xfId="42658" xr:uid="{00000000-0005-0000-0000-0000AFA60000}"/>
    <cellStyle name="Positive 4 3 5 5" xfId="42659" xr:uid="{00000000-0005-0000-0000-0000B0A60000}"/>
    <cellStyle name="Positive 4 3 5 5 2" xfId="42660" xr:uid="{00000000-0005-0000-0000-0000B1A60000}"/>
    <cellStyle name="Positive 4 3 5 6" xfId="42661" xr:uid="{00000000-0005-0000-0000-0000B2A60000}"/>
    <cellStyle name="Positive 4 3 5 6 2" xfId="42662" xr:uid="{00000000-0005-0000-0000-0000B3A60000}"/>
    <cellStyle name="Positive 4 3 5 7" xfId="42663" xr:uid="{00000000-0005-0000-0000-0000B4A60000}"/>
    <cellStyle name="Positive 4 3 5 7 2" xfId="42664" xr:uid="{00000000-0005-0000-0000-0000B5A60000}"/>
    <cellStyle name="Positive 4 3 5 8" xfId="42665" xr:uid="{00000000-0005-0000-0000-0000B6A60000}"/>
    <cellStyle name="Positive 4 3 5 8 2" xfId="42666" xr:uid="{00000000-0005-0000-0000-0000B7A60000}"/>
    <cellStyle name="Positive 4 3 5 9" xfId="42667" xr:uid="{00000000-0005-0000-0000-0000B8A60000}"/>
    <cellStyle name="Positive 4 3 5 9 2" xfId="42668" xr:uid="{00000000-0005-0000-0000-0000B9A60000}"/>
    <cellStyle name="Positive 4 3 6" xfId="42669" xr:uid="{00000000-0005-0000-0000-0000BAA60000}"/>
    <cellStyle name="Positive 4 3 6 2" xfId="42670" xr:uid="{00000000-0005-0000-0000-0000BBA60000}"/>
    <cellStyle name="Positive 4 3 6 2 2" xfId="42671" xr:uid="{00000000-0005-0000-0000-0000BCA60000}"/>
    <cellStyle name="Positive 4 3 6 3" xfId="42672" xr:uid="{00000000-0005-0000-0000-0000BDA60000}"/>
    <cellStyle name="Positive 4 3 7" xfId="42673" xr:uid="{00000000-0005-0000-0000-0000BEA60000}"/>
    <cellStyle name="Positive 4 3 7 2" xfId="42674" xr:uid="{00000000-0005-0000-0000-0000BFA60000}"/>
    <cellStyle name="Positive 4 3 7 2 2" xfId="42675" xr:uid="{00000000-0005-0000-0000-0000C0A60000}"/>
    <cellStyle name="Positive 4 3 7 3" xfId="42676" xr:uid="{00000000-0005-0000-0000-0000C1A60000}"/>
    <cellStyle name="Positive 4 3 8" xfId="42677" xr:uid="{00000000-0005-0000-0000-0000C2A60000}"/>
    <cellStyle name="Positive 4 3 8 2" xfId="42678" xr:uid="{00000000-0005-0000-0000-0000C3A60000}"/>
    <cellStyle name="Positive 4 3 9" xfId="42679" xr:uid="{00000000-0005-0000-0000-0000C4A60000}"/>
    <cellStyle name="Positive 4 3 9 2" xfId="42680" xr:uid="{00000000-0005-0000-0000-0000C5A60000}"/>
    <cellStyle name="Positive 4 30" xfId="42681" xr:uid="{00000000-0005-0000-0000-0000C6A60000}"/>
    <cellStyle name="Positive 4 30 2" xfId="42682" xr:uid="{00000000-0005-0000-0000-0000C7A60000}"/>
    <cellStyle name="Positive 4 31" xfId="42683" xr:uid="{00000000-0005-0000-0000-0000C8A60000}"/>
    <cellStyle name="Positive 4 31 2" xfId="42684" xr:uid="{00000000-0005-0000-0000-0000C9A60000}"/>
    <cellStyle name="Positive 4 32" xfId="42685" xr:uid="{00000000-0005-0000-0000-0000CAA60000}"/>
    <cellStyle name="Positive 4 32 2" xfId="42686" xr:uid="{00000000-0005-0000-0000-0000CBA60000}"/>
    <cellStyle name="Positive 4 33" xfId="42687" xr:uid="{00000000-0005-0000-0000-0000CCA60000}"/>
    <cellStyle name="Positive 4 33 2" xfId="42688" xr:uid="{00000000-0005-0000-0000-0000CDA60000}"/>
    <cellStyle name="Positive 4 34" xfId="42689" xr:uid="{00000000-0005-0000-0000-0000CEA60000}"/>
    <cellStyle name="Positive 4 34 2" xfId="42690" xr:uid="{00000000-0005-0000-0000-0000CFA60000}"/>
    <cellStyle name="Positive 4 35" xfId="42691" xr:uid="{00000000-0005-0000-0000-0000D0A60000}"/>
    <cellStyle name="Positive 4 35 2" xfId="42692" xr:uid="{00000000-0005-0000-0000-0000D1A60000}"/>
    <cellStyle name="Positive 4 36" xfId="42693" xr:uid="{00000000-0005-0000-0000-0000D2A60000}"/>
    <cellStyle name="Positive 4 36 2" xfId="42694" xr:uid="{00000000-0005-0000-0000-0000D3A60000}"/>
    <cellStyle name="Positive 4 37" xfId="42695" xr:uid="{00000000-0005-0000-0000-0000D4A60000}"/>
    <cellStyle name="Positive 4 37 2" xfId="42696" xr:uid="{00000000-0005-0000-0000-0000D5A60000}"/>
    <cellStyle name="Positive 4 38" xfId="42697" xr:uid="{00000000-0005-0000-0000-0000D6A60000}"/>
    <cellStyle name="Positive 4 38 2" xfId="42698" xr:uid="{00000000-0005-0000-0000-0000D7A60000}"/>
    <cellStyle name="Positive 4 39" xfId="42699" xr:uid="{00000000-0005-0000-0000-0000D8A60000}"/>
    <cellStyle name="Positive 4 4" xfId="42700" xr:uid="{00000000-0005-0000-0000-0000D9A60000}"/>
    <cellStyle name="Positive 4 4 10" xfId="42701" xr:uid="{00000000-0005-0000-0000-0000DAA60000}"/>
    <cellStyle name="Positive 4 4 10 2" xfId="42702" xr:uid="{00000000-0005-0000-0000-0000DBA60000}"/>
    <cellStyle name="Positive 4 4 11" xfId="42703" xr:uid="{00000000-0005-0000-0000-0000DCA60000}"/>
    <cellStyle name="Positive 4 4 11 2" xfId="42704" xr:uid="{00000000-0005-0000-0000-0000DDA60000}"/>
    <cellStyle name="Positive 4 4 12" xfId="42705" xr:uid="{00000000-0005-0000-0000-0000DEA60000}"/>
    <cellStyle name="Positive 4 4 12 2" xfId="42706" xr:uid="{00000000-0005-0000-0000-0000DFA60000}"/>
    <cellStyle name="Positive 4 4 13" xfId="42707" xr:uid="{00000000-0005-0000-0000-0000E0A60000}"/>
    <cellStyle name="Positive 4 4 13 2" xfId="42708" xr:uid="{00000000-0005-0000-0000-0000E1A60000}"/>
    <cellStyle name="Positive 4 4 14" xfId="42709" xr:uid="{00000000-0005-0000-0000-0000E2A60000}"/>
    <cellStyle name="Positive 4 4 14 2" xfId="42710" xr:uid="{00000000-0005-0000-0000-0000E3A60000}"/>
    <cellStyle name="Positive 4 4 15" xfId="42711" xr:uid="{00000000-0005-0000-0000-0000E4A60000}"/>
    <cellStyle name="Positive 4 4 15 2" xfId="42712" xr:uid="{00000000-0005-0000-0000-0000E5A60000}"/>
    <cellStyle name="Positive 4 4 16" xfId="42713" xr:uid="{00000000-0005-0000-0000-0000E6A60000}"/>
    <cellStyle name="Positive 4 4 16 2" xfId="42714" xr:uid="{00000000-0005-0000-0000-0000E7A60000}"/>
    <cellStyle name="Positive 4 4 17" xfId="42715" xr:uid="{00000000-0005-0000-0000-0000E8A60000}"/>
    <cellStyle name="Positive 4 4 17 2" xfId="42716" xr:uid="{00000000-0005-0000-0000-0000E9A60000}"/>
    <cellStyle name="Positive 4 4 18" xfId="42717" xr:uid="{00000000-0005-0000-0000-0000EAA60000}"/>
    <cellStyle name="Positive 4 4 18 2" xfId="42718" xr:uid="{00000000-0005-0000-0000-0000EBA60000}"/>
    <cellStyle name="Positive 4 4 19" xfId="42719" xr:uid="{00000000-0005-0000-0000-0000ECA60000}"/>
    <cellStyle name="Positive 4 4 19 2" xfId="42720" xr:uid="{00000000-0005-0000-0000-0000EDA60000}"/>
    <cellStyle name="Positive 4 4 2" xfId="42721" xr:uid="{00000000-0005-0000-0000-0000EEA60000}"/>
    <cellStyle name="Positive 4 4 2 10" xfId="42722" xr:uid="{00000000-0005-0000-0000-0000EFA60000}"/>
    <cellStyle name="Positive 4 4 2 10 2" xfId="42723" xr:uid="{00000000-0005-0000-0000-0000F0A60000}"/>
    <cellStyle name="Positive 4 4 2 11" xfId="42724" xr:uid="{00000000-0005-0000-0000-0000F1A60000}"/>
    <cellStyle name="Positive 4 4 2 11 2" xfId="42725" xr:uid="{00000000-0005-0000-0000-0000F2A60000}"/>
    <cellStyle name="Positive 4 4 2 12" xfId="42726" xr:uid="{00000000-0005-0000-0000-0000F3A60000}"/>
    <cellStyle name="Positive 4 4 2 12 2" xfId="42727" xr:uid="{00000000-0005-0000-0000-0000F4A60000}"/>
    <cellStyle name="Positive 4 4 2 13" xfId="42728" xr:uid="{00000000-0005-0000-0000-0000F5A60000}"/>
    <cellStyle name="Positive 4 4 2 13 2" xfId="42729" xr:uid="{00000000-0005-0000-0000-0000F6A60000}"/>
    <cellStyle name="Positive 4 4 2 14" xfId="42730" xr:uid="{00000000-0005-0000-0000-0000F7A60000}"/>
    <cellStyle name="Positive 4 4 2 14 2" xfId="42731" xr:uid="{00000000-0005-0000-0000-0000F8A60000}"/>
    <cellStyle name="Positive 4 4 2 15" xfId="42732" xr:uid="{00000000-0005-0000-0000-0000F9A60000}"/>
    <cellStyle name="Positive 4 4 2 15 2" xfId="42733" xr:uid="{00000000-0005-0000-0000-0000FAA60000}"/>
    <cellStyle name="Positive 4 4 2 16" xfId="42734" xr:uid="{00000000-0005-0000-0000-0000FBA60000}"/>
    <cellStyle name="Positive 4 4 2 16 2" xfId="42735" xr:uid="{00000000-0005-0000-0000-0000FCA60000}"/>
    <cellStyle name="Positive 4 4 2 17" xfId="42736" xr:uid="{00000000-0005-0000-0000-0000FDA60000}"/>
    <cellStyle name="Positive 4 4 2 17 2" xfId="42737" xr:uid="{00000000-0005-0000-0000-0000FEA60000}"/>
    <cellStyle name="Positive 4 4 2 18" xfId="42738" xr:uid="{00000000-0005-0000-0000-0000FFA60000}"/>
    <cellStyle name="Positive 4 4 2 18 2" xfId="42739" xr:uid="{00000000-0005-0000-0000-000000A70000}"/>
    <cellStyle name="Positive 4 4 2 19" xfId="42740" xr:uid="{00000000-0005-0000-0000-000001A70000}"/>
    <cellStyle name="Positive 4 4 2 19 2" xfId="42741" xr:uid="{00000000-0005-0000-0000-000002A70000}"/>
    <cellStyle name="Positive 4 4 2 2" xfId="42742" xr:uid="{00000000-0005-0000-0000-000003A70000}"/>
    <cellStyle name="Positive 4 4 2 2 10" xfId="42743" xr:uid="{00000000-0005-0000-0000-000004A70000}"/>
    <cellStyle name="Positive 4 4 2 2 10 2" xfId="42744" xr:uid="{00000000-0005-0000-0000-000005A70000}"/>
    <cellStyle name="Positive 4 4 2 2 11" xfId="42745" xr:uid="{00000000-0005-0000-0000-000006A70000}"/>
    <cellStyle name="Positive 4 4 2 2 11 2" xfId="42746" xr:uid="{00000000-0005-0000-0000-000007A70000}"/>
    <cellStyle name="Positive 4 4 2 2 12" xfId="42747" xr:uid="{00000000-0005-0000-0000-000008A70000}"/>
    <cellStyle name="Positive 4 4 2 2 12 2" xfId="42748" xr:uid="{00000000-0005-0000-0000-000009A70000}"/>
    <cellStyle name="Positive 4 4 2 2 13" xfId="42749" xr:uid="{00000000-0005-0000-0000-00000AA70000}"/>
    <cellStyle name="Positive 4 4 2 2 13 2" xfId="42750" xr:uid="{00000000-0005-0000-0000-00000BA70000}"/>
    <cellStyle name="Positive 4 4 2 2 14" xfId="42751" xr:uid="{00000000-0005-0000-0000-00000CA70000}"/>
    <cellStyle name="Positive 4 4 2 2 14 2" xfId="42752" xr:uid="{00000000-0005-0000-0000-00000DA70000}"/>
    <cellStyle name="Positive 4 4 2 2 15" xfId="42753" xr:uid="{00000000-0005-0000-0000-00000EA70000}"/>
    <cellStyle name="Positive 4 4 2 2 15 2" xfId="42754" xr:uid="{00000000-0005-0000-0000-00000FA70000}"/>
    <cellStyle name="Positive 4 4 2 2 16" xfId="42755" xr:uid="{00000000-0005-0000-0000-000010A70000}"/>
    <cellStyle name="Positive 4 4 2 2 16 2" xfId="42756" xr:uid="{00000000-0005-0000-0000-000011A70000}"/>
    <cellStyle name="Positive 4 4 2 2 17" xfId="42757" xr:uid="{00000000-0005-0000-0000-000012A70000}"/>
    <cellStyle name="Positive 4 4 2 2 2" xfId="42758" xr:uid="{00000000-0005-0000-0000-000013A70000}"/>
    <cellStyle name="Positive 4 4 2 2 2 2" xfId="42759" xr:uid="{00000000-0005-0000-0000-000014A70000}"/>
    <cellStyle name="Positive 4 4 2 2 3" xfId="42760" xr:uid="{00000000-0005-0000-0000-000015A70000}"/>
    <cellStyle name="Positive 4 4 2 2 3 2" xfId="42761" xr:uid="{00000000-0005-0000-0000-000016A70000}"/>
    <cellStyle name="Positive 4 4 2 2 4" xfId="42762" xr:uid="{00000000-0005-0000-0000-000017A70000}"/>
    <cellStyle name="Positive 4 4 2 2 4 2" xfId="42763" xr:uid="{00000000-0005-0000-0000-000018A70000}"/>
    <cellStyle name="Positive 4 4 2 2 5" xfId="42764" xr:uid="{00000000-0005-0000-0000-000019A70000}"/>
    <cellStyle name="Positive 4 4 2 2 5 2" xfId="42765" xr:uid="{00000000-0005-0000-0000-00001AA70000}"/>
    <cellStyle name="Positive 4 4 2 2 6" xfId="42766" xr:uid="{00000000-0005-0000-0000-00001BA70000}"/>
    <cellStyle name="Positive 4 4 2 2 6 2" xfId="42767" xr:uid="{00000000-0005-0000-0000-00001CA70000}"/>
    <cellStyle name="Positive 4 4 2 2 7" xfId="42768" xr:uid="{00000000-0005-0000-0000-00001DA70000}"/>
    <cellStyle name="Positive 4 4 2 2 7 2" xfId="42769" xr:uid="{00000000-0005-0000-0000-00001EA70000}"/>
    <cellStyle name="Positive 4 4 2 2 8" xfId="42770" xr:uid="{00000000-0005-0000-0000-00001FA70000}"/>
    <cellStyle name="Positive 4 4 2 2 8 2" xfId="42771" xr:uid="{00000000-0005-0000-0000-000020A70000}"/>
    <cellStyle name="Positive 4 4 2 2 9" xfId="42772" xr:uid="{00000000-0005-0000-0000-000021A70000}"/>
    <cellStyle name="Positive 4 4 2 2 9 2" xfId="42773" xr:uid="{00000000-0005-0000-0000-000022A70000}"/>
    <cellStyle name="Positive 4 4 2 20" xfId="42774" xr:uid="{00000000-0005-0000-0000-000023A70000}"/>
    <cellStyle name="Positive 4 4 2 3" xfId="42775" xr:uid="{00000000-0005-0000-0000-000024A70000}"/>
    <cellStyle name="Positive 4 4 2 3 2" xfId="42776" xr:uid="{00000000-0005-0000-0000-000025A70000}"/>
    <cellStyle name="Positive 4 4 2 3 2 2" xfId="42777" xr:uid="{00000000-0005-0000-0000-000026A70000}"/>
    <cellStyle name="Positive 4 4 2 3 3" xfId="42778" xr:uid="{00000000-0005-0000-0000-000027A70000}"/>
    <cellStyle name="Positive 4 4 2 4" xfId="42779" xr:uid="{00000000-0005-0000-0000-000028A70000}"/>
    <cellStyle name="Positive 4 4 2 4 2" xfId="42780" xr:uid="{00000000-0005-0000-0000-000029A70000}"/>
    <cellStyle name="Positive 4 4 2 4 2 2" xfId="42781" xr:uid="{00000000-0005-0000-0000-00002AA70000}"/>
    <cellStyle name="Positive 4 4 2 4 3" xfId="42782" xr:uid="{00000000-0005-0000-0000-00002BA70000}"/>
    <cellStyle name="Positive 4 4 2 5" xfId="42783" xr:uid="{00000000-0005-0000-0000-00002CA70000}"/>
    <cellStyle name="Positive 4 4 2 5 2" xfId="42784" xr:uid="{00000000-0005-0000-0000-00002DA70000}"/>
    <cellStyle name="Positive 4 4 2 6" xfId="42785" xr:uid="{00000000-0005-0000-0000-00002EA70000}"/>
    <cellStyle name="Positive 4 4 2 6 2" xfId="42786" xr:uid="{00000000-0005-0000-0000-00002FA70000}"/>
    <cellStyle name="Positive 4 4 2 7" xfId="42787" xr:uid="{00000000-0005-0000-0000-000030A70000}"/>
    <cellStyle name="Positive 4 4 2 7 2" xfId="42788" xr:uid="{00000000-0005-0000-0000-000031A70000}"/>
    <cellStyle name="Positive 4 4 2 8" xfId="42789" xr:uid="{00000000-0005-0000-0000-000032A70000}"/>
    <cellStyle name="Positive 4 4 2 8 2" xfId="42790" xr:uid="{00000000-0005-0000-0000-000033A70000}"/>
    <cellStyle name="Positive 4 4 2 9" xfId="42791" xr:uid="{00000000-0005-0000-0000-000034A70000}"/>
    <cellStyle name="Positive 4 4 2 9 2" xfId="42792" xr:uid="{00000000-0005-0000-0000-000035A70000}"/>
    <cellStyle name="Positive 4 4 20" xfId="42793" xr:uid="{00000000-0005-0000-0000-000036A70000}"/>
    <cellStyle name="Positive 4 4 20 2" xfId="42794" xr:uid="{00000000-0005-0000-0000-000037A70000}"/>
    <cellStyle name="Positive 4 4 21" xfId="42795" xr:uid="{00000000-0005-0000-0000-000038A70000}"/>
    <cellStyle name="Positive 4 4 21 2" xfId="42796" xr:uid="{00000000-0005-0000-0000-000039A70000}"/>
    <cellStyle name="Positive 4 4 22" xfId="42797" xr:uid="{00000000-0005-0000-0000-00003AA70000}"/>
    <cellStyle name="Positive 4 4 22 2" xfId="42798" xr:uid="{00000000-0005-0000-0000-00003BA70000}"/>
    <cellStyle name="Positive 4 4 23" xfId="42799" xr:uid="{00000000-0005-0000-0000-00003CA70000}"/>
    <cellStyle name="Positive 4 4 3" xfId="42800" xr:uid="{00000000-0005-0000-0000-00003DA70000}"/>
    <cellStyle name="Positive 4 4 3 10" xfId="42801" xr:uid="{00000000-0005-0000-0000-00003EA70000}"/>
    <cellStyle name="Positive 4 4 3 10 2" xfId="42802" xr:uid="{00000000-0005-0000-0000-00003FA70000}"/>
    <cellStyle name="Positive 4 4 3 11" xfId="42803" xr:uid="{00000000-0005-0000-0000-000040A70000}"/>
    <cellStyle name="Positive 4 4 3 11 2" xfId="42804" xr:uid="{00000000-0005-0000-0000-000041A70000}"/>
    <cellStyle name="Positive 4 4 3 12" xfId="42805" xr:uid="{00000000-0005-0000-0000-000042A70000}"/>
    <cellStyle name="Positive 4 4 3 12 2" xfId="42806" xr:uid="{00000000-0005-0000-0000-000043A70000}"/>
    <cellStyle name="Positive 4 4 3 13" xfId="42807" xr:uid="{00000000-0005-0000-0000-000044A70000}"/>
    <cellStyle name="Positive 4 4 3 13 2" xfId="42808" xr:uid="{00000000-0005-0000-0000-000045A70000}"/>
    <cellStyle name="Positive 4 4 3 14" xfId="42809" xr:uid="{00000000-0005-0000-0000-000046A70000}"/>
    <cellStyle name="Positive 4 4 3 14 2" xfId="42810" xr:uid="{00000000-0005-0000-0000-000047A70000}"/>
    <cellStyle name="Positive 4 4 3 15" xfId="42811" xr:uid="{00000000-0005-0000-0000-000048A70000}"/>
    <cellStyle name="Positive 4 4 3 15 2" xfId="42812" xr:uid="{00000000-0005-0000-0000-000049A70000}"/>
    <cellStyle name="Positive 4 4 3 16" xfId="42813" xr:uid="{00000000-0005-0000-0000-00004AA70000}"/>
    <cellStyle name="Positive 4 4 3 16 2" xfId="42814" xr:uid="{00000000-0005-0000-0000-00004BA70000}"/>
    <cellStyle name="Positive 4 4 3 17" xfId="42815" xr:uid="{00000000-0005-0000-0000-00004CA70000}"/>
    <cellStyle name="Positive 4 4 3 17 2" xfId="42816" xr:uid="{00000000-0005-0000-0000-00004DA70000}"/>
    <cellStyle name="Positive 4 4 3 18" xfId="42817" xr:uid="{00000000-0005-0000-0000-00004EA70000}"/>
    <cellStyle name="Positive 4 4 3 18 2" xfId="42818" xr:uid="{00000000-0005-0000-0000-00004FA70000}"/>
    <cellStyle name="Positive 4 4 3 19" xfId="42819" xr:uid="{00000000-0005-0000-0000-000050A70000}"/>
    <cellStyle name="Positive 4 4 3 19 2" xfId="42820" xr:uid="{00000000-0005-0000-0000-000051A70000}"/>
    <cellStyle name="Positive 4 4 3 2" xfId="42821" xr:uid="{00000000-0005-0000-0000-000052A70000}"/>
    <cellStyle name="Positive 4 4 3 2 10" xfId="42822" xr:uid="{00000000-0005-0000-0000-000053A70000}"/>
    <cellStyle name="Positive 4 4 3 2 10 2" xfId="42823" xr:uid="{00000000-0005-0000-0000-000054A70000}"/>
    <cellStyle name="Positive 4 4 3 2 11" xfId="42824" xr:uid="{00000000-0005-0000-0000-000055A70000}"/>
    <cellStyle name="Positive 4 4 3 2 11 2" xfId="42825" xr:uid="{00000000-0005-0000-0000-000056A70000}"/>
    <cellStyle name="Positive 4 4 3 2 12" xfId="42826" xr:uid="{00000000-0005-0000-0000-000057A70000}"/>
    <cellStyle name="Positive 4 4 3 2 12 2" xfId="42827" xr:uid="{00000000-0005-0000-0000-000058A70000}"/>
    <cellStyle name="Positive 4 4 3 2 13" xfId="42828" xr:uid="{00000000-0005-0000-0000-000059A70000}"/>
    <cellStyle name="Positive 4 4 3 2 13 2" xfId="42829" xr:uid="{00000000-0005-0000-0000-00005AA70000}"/>
    <cellStyle name="Positive 4 4 3 2 14" xfId="42830" xr:uid="{00000000-0005-0000-0000-00005BA70000}"/>
    <cellStyle name="Positive 4 4 3 2 14 2" xfId="42831" xr:uid="{00000000-0005-0000-0000-00005CA70000}"/>
    <cellStyle name="Positive 4 4 3 2 15" xfId="42832" xr:uid="{00000000-0005-0000-0000-00005DA70000}"/>
    <cellStyle name="Positive 4 4 3 2 15 2" xfId="42833" xr:uid="{00000000-0005-0000-0000-00005EA70000}"/>
    <cellStyle name="Positive 4 4 3 2 16" xfId="42834" xr:uid="{00000000-0005-0000-0000-00005FA70000}"/>
    <cellStyle name="Positive 4 4 3 2 16 2" xfId="42835" xr:uid="{00000000-0005-0000-0000-000060A70000}"/>
    <cellStyle name="Positive 4 4 3 2 17" xfId="42836" xr:uid="{00000000-0005-0000-0000-000061A70000}"/>
    <cellStyle name="Positive 4 4 3 2 2" xfId="42837" xr:uid="{00000000-0005-0000-0000-000062A70000}"/>
    <cellStyle name="Positive 4 4 3 2 2 2" xfId="42838" xr:uid="{00000000-0005-0000-0000-000063A70000}"/>
    <cellStyle name="Positive 4 4 3 2 3" xfId="42839" xr:uid="{00000000-0005-0000-0000-000064A70000}"/>
    <cellStyle name="Positive 4 4 3 2 3 2" xfId="42840" xr:uid="{00000000-0005-0000-0000-000065A70000}"/>
    <cellStyle name="Positive 4 4 3 2 4" xfId="42841" xr:uid="{00000000-0005-0000-0000-000066A70000}"/>
    <cellStyle name="Positive 4 4 3 2 4 2" xfId="42842" xr:uid="{00000000-0005-0000-0000-000067A70000}"/>
    <cellStyle name="Positive 4 4 3 2 5" xfId="42843" xr:uid="{00000000-0005-0000-0000-000068A70000}"/>
    <cellStyle name="Positive 4 4 3 2 5 2" xfId="42844" xr:uid="{00000000-0005-0000-0000-000069A70000}"/>
    <cellStyle name="Positive 4 4 3 2 6" xfId="42845" xr:uid="{00000000-0005-0000-0000-00006AA70000}"/>
    <cellStyle name="Positive 4 4 3 2 6 2" xfId="42846" xr:uid="{00000000-0005-0000-0000-00006BA70000}"/>
    <cellStyle name="Positive 4 4 3 2 7" xfId="42847" xr:uid="{00000000-0005-0000-0000-00006CA70000}"/>
    <cellStyle name="Positive 4 4 3 2 7 2" xfId="42848" xr:uid="{00000000-0005-0000-0000-00006DA70000}"/>
    <cellStyle name="Positive 4 4 3 2 8" xfId="42849" xr:uid="{00000000-0005-0000-0000-00006EA70000}"/>
    <cellStyle name="Positive 4 4 3 2 8 2" xfId="42850" xr:uid="{00000000-0005-0000-0000-00006FA70000}"/>
    <cellStyle name="Positive 4 4 3 2 9" xfId="42851" xr:uid="{00000000-0005-0000-0000-000070A70000}"/>
    <cellStyle name="Positive 4 4 3 2 9 2" xfId="42852" xr:uid="{00000000-0005-0000-0000-000071A70000}"/>
    <cellStyle name="Positive 4 4 3 20" xfId="42853" xr:uid="{00000000-0005-0000-0000-000072A70000}"/>
    <cellStyle name="Positive 4 4 3 3" xfId="42854" xr:uid="{00000000-0005-0000-0000-000073A70000}"/>
    <cellStyle name="Positive 4 4 3 3 2" xfId="42855" xr:uid="{00000000-0005-0000-0000-000074A70000}"/>
    <cellStyle name="Positive 4 4 3 3 2 2" xfId="42856" xr:uid="{00000000-0005-0000-0000-000075A70000}"/>
    <cellStyle name="Positive 4 4 3 3 3" xfId="42857" xr:uid="{00000000-0005-0000-0000-000076A70000}"/>
    <cellStyle name="Positive 4 4 3 4" xfId="42858" xr:uid="{00000000-0005-0000-0000-000077A70000}"/>
    <cellStyle name="Positive 4 4 3 4 2" xfId="42859" xr:uid="{00000000-0005-0000-0000-000078A70000}"/>
    <cellStyle name="Positive 4 4 3 4 2 2" xfId="42860" xr:uid="{00000000-0005-0000-0000-000079A70000}"/>
    <cellStyle name="Positive 4 4 3 4 3" xfId="42861" xr:uid="{00000000-0005-0000-0000-00007AA70000}"/>
    <cellStyle name="Positive 4 4 3 5" xfId="42862" xr:uid="{00000000-0005-0000-0000-00007BA70000}"/>
    <cellStyle name="Positive 4 4 3 5 2" xfId="42863" xr:uid="{00000000-0005-0000-0000-00007CA70000}"/>
    <cellStyle name="Positive 4 4 3 6" xfId="42864" xr:uid="{00000000-0005-0000-0000-00007DA70000}"/>
    <cellStyle name="Positive 4 4 3 6 2" xfId="42865" xr:uid="{00000000-0005-0000-0000-00007EA70000}"/>
    <cellStyle name="Positive 4 4 3 7" xfId="42866" xr:uid="{00000000-0005-0000-0000-00007FA70000}"/>
    <cellStyle name="Positive 4 4 3 7 2" xfId="42867" xr:uid="{00000000-0005-0000-0000-000080A70000}"/>
    <cellStyle name="Positive 4 4 3 8" xfId="42868" xr:uid="{00000000-0005-0000-0000-000081A70000}"/>
    <cellStyle name="Positive 4 4 3 8 2" xfId="42869" xr:uid="{00000000-0005-0000-0000-000082A70000}"/>
    <cellStyle name="Positive 4 4 3 9" xfId="42870" xr:uid="{00000000-0005-0000-0000-000083A70000}"/>
    <cellStyle name="Positive 4 4 3 9 2" xfId="42871" xr:uid="{00000000-0005-0000-0000-000084A70000}"/>
    <cellStyle name="Positive 4 4 4" xfId="42872" xr:uid="{00000000-0005-0000-0000-000085A70000}"/>
    <cellStyle name="Positive 4 4 4 10" xfId="42873" xr:uid="{00000000-0005-0000-0000-000086A70000}"/>
    <cellStyle name="Positive 4 4 4 10 2" xfId="42874" xr:uid="{00000000-0005-0000-0000-000087A70000}"/>
    <cellStyle name="Positive 4 4 4 11" xfId="42875" xr:uid="{00000000-0005-0000-0000-000088A70000}"/>
    <cellStyle name="Positive 4 4 4 11 2" xfId="42876" xr:uid="{00000000-0005-0000-0000-000089A70000}"/>
    <cellStyle name="Positive 4 4 4 12" xfId="42877" xr:uid="{00000000-0005-0000-0000-00008AA70000}"/>
    <cellStyle name="Positive 4 4 4 12 2" xfId="42878" xr:uid="{00000000-0005-0000-0000-00008BA70000}"/>
    <cellStyle name="Positive 4 4 4 13" xfId="42879" xr:uid="{00000000-0005-0000-0000-00008CA70000}"/>
    <cellStyle name="Positive 4 4 4 13 2" xfId="42880" xr:uid="{00000000-0005-0000-0000-00008DA70000}"/>
    <cellStyle name="Positive 4 4 4 14" xfId="42881" xr:uid="{00000000-0005-0000-0000-00008EA70000}"/>
    <cellStyle name="Positive 4 4 4 14 2" xfId="42882" xr:uid="{00000000-0005-0000-0000-00008FA70000}"/>
    <cellStyle name="Positive 4 4 4 15" xfId="42883" xr:uid="{00000000-0005-0000-0000-000090A70000}"/>
    <cellStyle name="Positive 4 4 4 15 2" xfId="42884" xr:uid="{00000000-0005-0000-0000-000091A70000}"/>
    <cellStyle name="Positive 4 4 4 16" xfId="42885" xr:uid="{00000000-0005-0000-0000-000092A70000}"/>
    <cellStyle name="Positive 4 4 4 16 2" xfId="42886" xr:uid="{00000000-0005-0000-0000-000093A70000}"/>
    <cellStyle name="Positive 4 4 4 17" xfId="42887" xr:uid="{00000000-0005-0000-0000-000094A70000}"/>
    <cellStyle name="Positive 4 4 4 17 2" xfId="42888" xr:uid="{00000000-0005-0000-0000-000095A70000}"/>
    <cellStyle name="Positive 4 4 4 18" xfId="42889" xr:uid="{00000000-0005-0000-0000-000096A70000}"/>
    <cellStyle name="Positive 4 4 4 18 2" xfId="42890" xr:uid="{00000000-0005-0000-0000-000097A70000}"/>
    <cellStyle name="Positive 4 4 4 19" xfId="42891" xr:uid="{00000000-0005-0000-0000-000098A70000}"/>
    <cellStyle name="Positive 4 4 4 19 2" xfId="42892" xr:uid="{00000000-0005-0000-0000-000099A70000}"/>
    <cellStyle name="Positive 4 4 4 2" xfId="42893" xr:uid="{00000000-0005-0000-0000-00009AA70000}"/>
    <cellStyle name="Positive 4 4 4 2 10" xfId="42894" xr:uid="{00000000-0005-0000-0000-00009BA70000}"/>
    <cellStyle name="Positive 4 4 4 2 10 2" xfId="42895" xr:uid="{00000000-0005-0000-0000-00009CA70000}"/>
    <cellStyle name="Positive 4 4 4 2 11" xfId="42896" xr:uid="{00000000-0005-0000-0000-00009DA70000}"/>
    <cellStyle name="Positive 4 4 4 2 11 2" xfId="42897" xr:uid="{00000000-0005-0000-0000-00009EA70000}"/>
    <cellStyle name="Positive 4 4 4 2 12" xfId="42898" xr:uid="{00000000-0005-0000-0000-00009FA70000}"/>
    <cellStyle name="Positive 4 4 4 2 12 2" xfId="42899" xr:uid="{00000000-0005-0000-0000-0000A0A70000}"/>
    <cellStyle name="Positive 4 4 4 2 13" xfId="42900" xr:uid="{00000000-0005-0000-0000-0000A1A70000}"/>
    <cellStyle name="Positive 4 4 4 2 13 2" xfId="42901" xr:uid="{00000000-0005-0000-0000-0000A2A70000}"/>
    <cellStyle name="Positive 4 4 4 2 14" xfId="42902" xr:uid="{00000000-0005-0000-0000-0000A3A70000}"/>
    <cellStyle name="Positive 4 4 4 2 14 2" xfId="42903" xr:uid="{00000000-0005-0000-0000-0000A4A70000}"/>
    <cellStyle name="Positive 4 4 4 2 15" xfId="42904" xr:uid="{00000000-0005-0000-0000-0000A5A70000}"/>
    <cellStyle name="Positive 4 4 4 2 15 2" xfId="42905" xr:uid="{00000000-0005-0000-0000-0000A6A70000}"/>
    <cellStyle name="Positive 4 4 4 2 16" xfId="42906" xr:uid="{00000000-0005-0000-0000-0000A7A70000}"/>
    <cellStyle name="Positive 4 4 4 2 16 2" xfId="42907" xr:uid="{00000000-0005-0000-0000-0000A8A70000}"/>
    <cellStyle name="Positive 4 4 4 2 17" xfId="42908" xr:uid="{00000000-0005-0000-0000-0000A9A70000}"/>
    <cellStyle name="Positive 4 4 4 2 2" xfId="42909" xr:uid="{00000000-0005-0000-0000-0000AAA70000}"/>
    <cellStyle name="Positive 4 4 4 2 2 2" xfId="42910" xr:uid="{00000000-0005-0000-0000-0000ABA70000}"/>
    <cellStyle name="Positive 4 4 4 2 3" xfId="42911" xr:uid="{00000000-0005-0000-0000-0000ACA70000}"/>
    <cellStyle name="Positive 4 4 4 2 3 2" xfId="42912" xr:uid="{00000000-0005-0000-0000-0000ADA70000}"/>
    <cellStyle name="Positive 4 4 4 2 4" xfId="42913" xr:uid="{00000000-0005-0000-0000-0000AEA70000}"/>
    <cellStyle name="Positive 4 4 4 2 4 2" xfId="42914" xr:uid="{00000000-0005-0000-0000-0000AFA70000}"/>
    <cellStyle name="Positive 4 4 4 2 5" xfId="42915" xr:uid="{00000000-0005-0000-0000-0000B0A70000}"/>
    <cellStyle name="Positive 4 4 4 2 5 2" xfId="42916" xr:uid="{00000000-0005-0000-0000-0000B1A70000}"/>
    <cellStyle name="Positive 4 4 4 2 6" xfId="42917" xr:uid="{00000000-0005-0000-0000-0000B2A70000}"/>
    <cellStyle name="Positive 4 4 4 2 6 2" xfId="42918" xr:uid="{00000000-0005-0000-0000-0000B3A70000}"/>
    <cellStyle name="Positive 4 4 4 2 7" xfId="42919" xr:uid="{00000000-0005-0000-0000-0000B4A70000}"/>
    <cellStyle name="Positive 4 4 4 2 7 2" xfId="42920" xr:uid="{00000000-0005-0000-0000-0000B5A70000}"/>
    <cellStyle name="Positive 4 4 4 2 8" xfId="42921" xr:uid="{00000000-0005-0000-0000-0000B6A70000}"/>
    <cellStyle name="Positive 4 4 4 2 8 2" xfId="42922" xr:uid="{00000000-0005-0000-0000-0000B7A70000}"/>
    <cellStyle name="Positive 4 4 4 2 9" xfId="42923" xr:uid="{00000000-0005-0000-0000-0000B8A70000}"/>
    <cellStyle name="Positive 4 4 4 2 9 2" xfId="42924" xr:uid="{00000000-0005-0000-0000-0000B9A70000}"/>
    <cellStyle name="Positive 4 4 4 20" xfId="42925" xr:uid="{00000000-0005-0000-0000-0000BAA70000}"/>
    <cellStyle name="Positive 4 4 4 3" xfId="42926" xr:uid="{00000000-0005-0000-0000-0000BBA70000}"/>
    <cellStyle name="Positive 4 4 4 3 2" xfId="42927" xr:uid="{00000000-0005-0000-0000-0000BCA70000}"/>
    <cellStyle name="Positive 4 4 4 3 2 2" xfId="42928" xr:uid="{00000000-0005-0000-0000-0000BDA70000}"/>
    <cellStyle name="Positive 4 4 4 3 3" xfId="42929" xr:uid="{00000000-0005-0000-0000-0000BEA70000}"/>
    <cellStyle name="Positive 4 4 4 4" xfId="42930" xr:uid="{00000000-0005-0000-0000-0000BFA70000}"/>
    <cellStyle name="Positive 4 4 4 4 2" xfId="42931" xr:uid="{00000000-0005-0000-0000-0000C0A70000}"/>
    <cellStyle name="Positive 4 4 4 4 2 2" xfId="42932" xr:uid="{00000000-0005-0000-0000-0000C1A70000}"/>
    <cellStyle name="Positive 4 4 4 4 3" xfId="42933" xr:uid="{00000000-0005-0000-0000-0000C2A70000}"/>
    <cellStyle name="Positive 4 4 4 5" xfId="42934" xr:uid="{00000000-0005-0000-0000-0000C3A70000}"/>
    <cellStyle name="Positive 4 4 4 5 2" xfId="42935" xr:uid="{00000000-0005-0000-0000-0000C4A70000}"/>
    <cellStyle name="Positive 4 4 4 6" xfId="42936" xr:uid="{00000000-0005-0000-0000-0000C5A70000}"/>
    <cellStyle name="Positive 4 4 4 6 2" xfId="42937" xr:uid="{00000000-0005-0000-0000-0000C6A70000}"/>
    <cellStyle name="Positive 4 4 4 7" xfId="42938" xr:uid="{00000000-0005-0000-0000-0000C7A70000}"/>
    <cellStyle name="Positive 4 4 4 7 2" xfId="42939" xr:uid="{00000000-0005-0000-0000-0000C8A70000}"/>
    <cellStyle name="Positive 4 4 4 8" xfId="42940" xr:uid="{00000000-0005-0000-0000-0000C9A70000}"/>
    <cellStyle name="Positive 4 4 4 8 2" xfId="42941" xr:uid="{00000000-0005-0000-0000-0000CAA70000}"/>
    <cellStyle name="Positive 4 4 4 9" xfId="42942" xr:uid="{00000000-0005-0000-0000-0000CBA70000}"/>
    <cellStyle name="Positive 4 4 4 9 2" xfId="42943" xr:uid="{00000000-0005-0000-0000-0000CCA70000}"/>
    <cellStyle name="Positive 4 4 5" xfId="42944" xr:uid="{00000000-0005-0000-0000-0000CDA70000}"/>
    <cellStyle name="Positive 4 4 5 10" xfId="42945" xr:uid="{00000000-0005-0000-0000-0000CEA70000}"/>
    <cellStyle name="Positive 4 4 5 10 2" xfId="42946" xr:uid="{00000000-0005-0000-0000-0000CFA70000}"/>
    <cellStyle name="Positive 4 4 5 11" xfId="42947" xr:uid="{00000000-0005-0000-0000-0000D0A70000}"/>
    <cellStyle name="Positive 4 4 5 11 2" xfId="42948" xr:uid="{00000000-0005-0000-0000-0000D1A70000}"/>
    <cellStyle name="Positive 4 4 5 12" xfId="42949" xr:uid="{00000000-0005-0000-0000-0000D2A70000}"/>
    <cellStyle name="Positive 4 4 5 12 2" xfId="42950" xr:uid="{00000000-0005-0000-0000-0000D3A70000}"/>
    <cellStyle name="Positive 4 4 5 13" xfId="42951" xr:uid="{00000000-0005-0000-0000-0000D4A70000}"/>
    <cellStyle name="Positive 4 4 5 13 2" xfId="42952" xr:uid="{00000000-0005-0000-0000-0000D5A70000}"/>
    <cellStyle name="Positive 4 4 5 14" xfId="42953" xr:uid="{00000000-0005-0000-0000-0000D6A70000}"/>
    <cellStyle name="Positive 4 4 5 14 2" xfId="42954" xr:uid="{00000000-0005-0000-0000-0000D7A70000}"/>
    <cellStyle name="Positive 4 4 5 15" xfId="42955" xr:uid="{00000000-0005-0000-0000-0000D8A70000}"/>
    <cellStyle name="Positive 4 4 5 15 2" xfId="42956" xr:uid="{00000000-0005-0000-0000-0000D9A70000}"/>
    <cellStyle name="Positive 4 4 5 16" xfId="42957" xr:uid="{00000000-0005-0000-0000-0000DAA70000}"/>
    <cellStyle name="Positive 4 4 5 16 2" xfId="42958" xr:uid="{00000000-0005-0000-0000-0000DBA70000}"/>
    <cellStyle name="Positive 4 4 5 17" xfId="42959" xr:uid="{00000000-0005-0000-0000-0000DCA70000}"/>
    <cellStyle name="Positive 4 4 5 2" xfId="42960" xr:uid="{00000000-0005-0000-0000-0000DDA70000}"/>
    <cellStyle name="Positive 4 4 5 2 2" xfId="42961" xr:uid="{00000000-0005-0000-0000-0000DEA70000}"/>
    <cellStyle name="Positive 4 4 5 3" xfId="42962" xr:uid="{00000000-0005-0000-0000-0000DFA70000}"/>
    <cellStyle name="Positive 4 4 5 3 2" xfId="42963" xr:uid="{00000000-0005-0000-0000-0000E0A70000}"/>
    <cellStyle name="Positive 4 4 5 4" xfId="42964" xr:uid="{00000000-0005-0000-0000-0000E1A70000}"/>
    <cellStyle name="Positive 4 4 5 4 2" xfId="42965" xr:uid="{00000000-0005-0000-0000-0000E2A70000}"/>
    <cellStyle name="Positive 4 4 5 5" xfId="42966" xr:uid="{00000000-0005-0000-0000-0000E3A70000}"/>
    <cellStyle name="Positive 4 4 5 5 2" xfId="42967" xr:uid="{00000000-0005-0000-0000-0000E4A70000}"/>
    <cellStyle name="Positive 4 4 5 6" xfId="42968" xr:uid="{00000000-0005-0000-0000-0000E5A70000}"/>
    <cellStyle name="Positive 4 4 5 6 2" xfId="42969" xr:uid="{00000000-0005-0000-0000-0000E6A70000}"/>
    <cellStyle name="Positive 4 4 5 7" xfId="42970" xr:uid="{00000000-0005-0000-0000-0000E7A70000}"/>
    <cellStyle name="Positive 4 4 5 7 2" xfId="42971" xr:uid="{00000000-0005-0000-0000-0000E8A70000}"/>
    <cellStyle name="Positive 4 4 5 8" xfId="42972" xr:uid="{00000000-0005-0000-0000-0000E9A70000}"/>
    <cellStyle name="Positive 4 4 5 8 2" xfId="42973" xr:uid="{00000000-0005-0000-0000-0000EAA70000}"/>
    <cellStyle name="Positive 4 4 5 9" xfId="42974" xr:uid="{00000000-0005-0000-0000-0000EBA70000}"/>
    <cellStyle name="Positive 4 4 5 9 2" xfId="42975" xr:uid="{00000000-0005-0000-0000-0000ECA70000}"/>
    <cellStyle name="Positive 4 4 6" xfId="42976" xr:uid="{00000000-0005-0000-0000-0000EDA70000}"/>
    <cellStyle name="Positive 4 4 6 2" xfId="42977" xr:uid="{00000000-0005-0000-0000-0000EEA70000}"/>
    <cellStyle name="Positive 4 4 6 2 2" xfId="42978" xr:uid="{00000000-0005-0000-0000-0000EFA70000}"/>
    <cellStyle name="Positive 4 4 6 3" xfId="42979" xr:uid="{00000000-0005-0000-0000-0000F0A70000}"/>
    <cellStyle name="Positive 4 4 7" xfId="42980" xr:uid="{00000000-0005-0000-0000-0000F1A70000}"/>
    <cellStyle name="Positive 4 4 7 2" xfId="42981" xr:uid="{00000000-0005-0000-0000-0000F2A70000}"/>
    <cellStyle name="Positive 4 4 7 2 2" xfId="42982" xr:uid="{00000000-0005-0000-0000-0000F3A70000}"/>
    <cellStyle name="Positive 4 4 7 3" xfId="42983" xr:uid="{00000000-0005-0000-0000-0000F4A70000}"/>
    <cellStyle name="Positive 4 4 8" xfId="42984" xr:uid="{00000000-0005-0000-0000-0000F5A70000}"/>
    <cellStyle name="Positive 4 4 8 2" xfId="42985" xr:uid="{00000000-0005-0000-0000-0000F6A70000}"/>
    <cellStyle name="Positive 4 4 9" xfId="42986" xr:uid="{00000000-0005-0000-0000-0000F7A70000}"/>
    <cellStyle name="Positive 4 4 9 2" xfId="42987" xr:uid="{00000000-0005-0000-0000-0000F8A70000}"/>
    <cellStyle name="Positive 4 5" xfId="42988" xr:uid="{00000000-0005-0000-0000-0000F9A70000}"/>
    <cellStyle name="Positive 4 5 10" xfId="42989" xr:uid="{00000000-0005-0000-0000-0000FAA70000}"/>
    <cellStyle name="Positive 4 5 10 2" xfId="42990" xr:uid="{00000000-0005-0000-0000-0000FBA70000}"/>
    <cellStyle name="Positive 4 5 11" xfId="42991" xr:uid="{00000000-0005-0000-0000-0000FCA70000}"/>
    <cellStyle name="Positive 4 5 11 2" xfId="42992" xr:uid="{00000000-0005-0000-0000-0000FDA70000}"/>
    <cellStyle name="Positive 4 5 12" xfId="42993" xr:uid="{00000000-0005-0000-0000-0000FEA70000}"/>
    <cellStyle name="Positive 4 5 12 2" xfId="42994" xr:uid="{00000000-0005-0000-0000-0000FFA70000}"/>
    <cellStyle name="Positive 4 5 13" xfId="42995" xr:uid="{00000000-0005-0000-0000-000000A80000}"/>
    <cellStyle name="Positive 4 5 13 2" xfId="42996" xr:uid="{00000000-0005-0000-0000-000001A80000}"/>
    <cellStyle name="Positive 4 5 14" xfId="42997" xr:uid="{00000000-0005-0000-0000-000002A80000}"/>
    <cellStyle name="Positive 4 5 14 2" xfId="42998" xr:uid="{00000000-0005-0000-0000-000003A80000}"/>
    <cellStyle name="Positive 4 5 15" xfId="42999" xr:uid="{00000000-0005-0000-0000-000004A80000}"/>
    <cellStyle name="Positive 4 5 15 2" xfId="43000" xr:uid="{00000000-0005-0000-0000-000005A80000}"/>
    <cellStyle name="Positive 4 5 16" xfId="43001" xr:uid="{00000000-0005-0000-0000-000006A80000}"/>
    <cellStyle name="Positive 4 5 16 2" xfId="43002" xr:uid="{00000000-0005-0000-0000-000007A80000}"/>
    <cellStyle name="Positive 4 5 17" xfId="43003" xr:uid="{00000000-0005-0000-0000-000008A80000}"/>
    <cellStyle name="Positive 4 5 17 2" xfId="43004" xr:uid="{00000000-0005-0000-0000-000009A80000}"/>
    <cellStyle name="Positive 4 5 18" xfId="43005" xr:uid="{00000000-0005-0000-0000-00000AA80000}"/>
    <cellStyle name="Positive 4 5 18 2" xfId="43006" xr:uid="{00000000-0005-0000-0000-00000BA80000}"/>
    <cellStyle name="Positive 4 5 19" xfId="43007" xr:uid="{00000000-0005-0000-0000-00000CA80000}"/>
    <cellStyle name="Positive 4 5 19 2" xfId="43008" xr:uid="{00000000-0005-0000-0000-00000DA80000}"/>
    <cellStyle name="Positive 4 5 2" xfId="43009" xr:uid="{00000000-0005-0000-0000-00000EA80000}"/>
    <cellStyle name="Positive 4 5 2 10" xfId="43010" xr:uid="{00000000-0005-0000-0000-00000FA80000}"/>
    <cellStyle name="Positive 4 5 2 10 2" xfId="43011" xr:uid="{00000000-0005-0000-0000-000010A80000}"/>
    <cellStyle name="Positive 4 5 2 11" xfId="43012" xr:uid="{00000000-0005-0000-0000-000011A80000}"/>
    <cellStyle name="Positive 4 5 2 11 2" xfId="43013" xr:uid="{00000000-0005-0000-0000-000012A80000}"/>
    <cellStyle name="Positive 4 5 2 12" xfId="43014" xr:uid="{00000000-0005-0000-0000-000013A80000}"/>
    <cellStyle name="Positive 4 5 2 12 2" xfId="43015" xr:uid="{00000000-0005-0000-0000-000014A80000}"/>
    <cellStyle name="Positive 4 5 2 13" xfId="43016" xr:uid="{00000000-0005-0000-0000-000015A80000}"/>
    <cellStyle name="Positive 4 5 2 13 2" xfId="43017" xr:uid="{00000000-0005-0000-0000-000016A80000}"/>
    <cellStyle name="Positive 4 5 2 14" xfId="43018" xr:uid="{00000000-0005-0000-0000-000017A80000}"/>
    <cellStyle name="Positive 4 5 2 14 2" xfId="43019" xr:uid="{00000000-0005-0000-0000-000018A80000}"/>
    <cellStyle name="Positive 4 5 2 15" xfId="43020" xr:uid="{00000000-0005-0000-0000-000019A80000}"/>
    <cellStyle name="Positive 4 5 2 15 2" xfId="43021" xr:uid="{00000000-0005-0000-0000-00001AA80000}"/>
    <cellStyle name="Positive 4 5 2 16" xfId="43022" xr:uid="{00000000-0005-0000-0000-00001BA80000}"/>
    <cellStyle name="Positive 4 5 2 16 2" xfId="43023" xr:uid="{00000000-0005-0000-0000-00001CA80000}"/>
    <cellStyle name="Positive 4 5 2 17" xfId="43024" xr:uid="{00000000-0005-0000-0000-00001DA80000}"/>
    <cellStyle name="Positive 4 5 2 17 2" xfId="43025" xr:uid="{00000000-0005-0000-0000-00001EA80000}"/>
    <cellStyle name="Positive 4 5 2 18" xfId="43026" xr:uid="{00000000-0005-0000-0000-00001FA80000}"/>
    <cellStyle name="Positive 4 5 2 18 2" xfId="43027" xr:uid="{00000000-0005-0000-0000-000020A80000}"/>
    <cellStyle name="Positive 4 5 2 19" xfId="43028" xr:uid="{00000000-0005-0000-0000-000021A80000}"/>
    <cellStyle name="Positive 4 5 2 19 2" xfId="43029" xr:uid="{00000000-0005-0000-0000-000022A80000}"/>
    <cellStyle name="Positive 4 5 2 2" xfId="43030" xr:uid="{00000000-0005-0000-0000-000023A80000}"/>
    <cellStyle name="Positive 4 5 2 2 10" xfId="43031" xr:uid="{00000000-0005-0000-0000-000024A80000}"/>
    <cellStyle name="Positive 4 5 2 2 10 2" xfId="43032" xr:uid="{00000000-0005-0000-0000-000025A80000}"/>
    <cellStyle name="Positive 4 5 2 2 11" xfId="43033" xr:uid="{00000000-0005-0000-0000-000026A80000}"/>
    <cellStyle name="Positive 4 5 2 2 11 2" xfId="43034" xr:uid="{00000000-0005-0000-0000-000027A80000}"/>
    <cellStyle name="Positive 4 5 2 2 12" xfId="43035" xr:uid="{00000000-0005-0000-0000-000028A80000}"/>
    <cellStyle name="Positive 4 5 2 2 12 2" xfId="43036" xr:uid="{00000000-0005-0000-0000-000029A80000}"/>
    <cellStyle name="Positive 4 5 2 2 13" xfId="43037" xr:uid="{00000000-0005-0000-0000-00002AA80000}"/>
    <cellStyle name="Positive 4 5 2 2 13 2" xfId="43038" xr:uid="{00000000-0005-0000-0000-00002BA80000}"/>
    <cellStyle name="Positive 4 5 2 2 14" xfId="43039" xr:uid="{00000000-0005-0000-0000-00002CA80000}"/>
    <cellStyle name="Positive 4 5 2 2 14 2" xfId="43040" xr:uid="{00000000-0005-0000-0000-00002DA80000}"/>
    <cellStyle name="Positive 4 5 2 2 15" xfId="43041" xr:uid="{00000000-0005-0000-0000-00002EA80000}"/>
    <cellStyle name="Positive 4 5 2 2 15 2" xfId="43042" xr:uid="{00000000-0005-0000-0000-00002FA80000}"/>
    <cellStyle name="Positive 4 5 2 2 16" xfId="43043" xr:uid="{00000000-0005-0000-0000-000030A80000}"/>
    <cellStyle name="Positive 4 5 2 2 16 2" xfId="43044" xr:uid="{00000000-0005-0000-0000-000031A80000}"/>
    <cellStyle name="Positive 4 5 2 2 17" xfId="43045" xr:uid="{00000000-0005-0000-0000-000032A80000}"/>
    <cellStyle name="Positive 4 5 2 2 2" xfId="43046" xr:uid="{00000000-0005-0000-0000-000033A80000}"/>
    <cellStyle name="Positive 4 5 2 2 2 2" xfId="43047" xr:uid="{00000000-0005-0000-0000-000034A80000}"/>
    <cellStyle name="Positive 4 5 2 2 3" xfId="43048" xr:uid="{00000000-0005-0000-0000-000035A80000}"/>
    <cellStyle name="Positive 4 5 2 2 3 2" xfId="43049" xr:uid="{00000000-0005-0000-0000-000036A80000}"/>
    <cellStyle name="Positive 4 5 2 2 4" xfId="43050" xr:uid="{00000000-0005-0000-0000-000037A80000}"/>
    <cellStyle name="Positive 4 5 2 2 4 2" xfId="43051" xr:uid="{00000000-0005-0000-0000-000038A80000}"/>
    <cellStyle name="Positive 4 5 2 2 5" xfId="43052" xr:uid="{00000000-0005-0000-0000-000039A80000}"/>
    <cellStyle name="Positive 4 5 2 2 5 2" xfId="43053" xr:uid="{00000000-0005-0000-0000-00003AA80000}"/>
    <cellStyle name="Positive 4 5 2 2 6" xfId="43054" xr:uid="{00000000-0005-0000-0000-00003BA80000}"/>
    <cellStyle name="Positive 4 5 2 2 6 2" xfId="43055" xr:uid="{00000000-0005-0000-0000-00003CA80000}"/>
    <cellStyle name="Positive 4 5 2 2 7" xfId="43056" xr:uid="{00000000-0005-0000-0000-00003DA80000}"/>
    <cellStyle name="Positive 4 5 2 2 7 2" xfId="43057" xr:uid="{00000000-0005-0000-0000-00003EA80000}"/>
    <cellStyle name="Positive 4 5 2 2 8" xfId="43058" xr:uid="{00000000-0005-0000-0000-00003FA80000}"/>
    <cellStyle name="Positive 4 5 2 2 8 2" xfId="43059" xr:uid="{00000000-0005-0000-0000-000040A80000}"/>
    <cellStyle name="Positive 4 5 2 2 9" xfId="43060" xr:uid="{00000000-0005-0000-0000-000041A80000}"/>
    <cellStyle name="Positive 4 5 2 2 9 2" xfId="43061" xr:uid="{00000000-0005-0000-0000-000042A80000}"/>
    <cellStyle name="Positive 4 5 2 20" xfId="43062" xr:uid="{00000000-0005-0000-0000-000043A80000}"/>
    <cellStyle name="Positive 4 5 2 3" xfId="43063" xr:uid="{00000000-0005-0000-0000-000044A80000}"/>
    <cellStyle name="Positive 4 5 2 3 2" xfId="43064" xr:uid="{00000000-0005-0000-0000-000045A80000}"/>
    <cellStyle name="Positive 4 5 2 3 2 2" xfId="43065" xr:uid="{00000000-0005-0000-0000-000046A80000}"/>
    <cellStyle name="Positive 4 5 2 3 3" xfId="43066" xr:uid="{00000000-0005-0000-0000-000047A80000}"/>
    <cellStyle name="Positive 4 5 2 4" xfId="43067" xr:uid="{00000000-0005-0000-0000-000048A80000}"/>
    <cellStyle name="Positive 4 5 2 4 2" xfId="43068" xr:uid="{00000000-0005-0000-0000-000049A80000}"/>
    <cellStyle name="Positive 4 5 2 4 2 2" xfId="43069" xr:uid="{00000000-0005-0000-0000-00004AA80000}"/>
    <cellStyle name="Positive 4 5 2 4 3" xfId="43070" xr:uid="{00000000-0005-0000-0000-00004BA80000}"/>
    <cellStyle name="Positive 4 5 2 5" xfId="43071" xr:uid="{00000000-0005-0000-0000-00004CA80000}"/>
    <cellStyle name="Positive 4 5 2 5 2" xfId="43072" xr:uid="{00000000-0005-0000-0000-00004DA80000}"/>
    <cellStyle name="Positive 4 5 2 6" xfId="43073" xr:uid="{00000000-0005-0000-0000-00004EA80000}"/>
    <cellStyle name="Positive 4 5 2 6 2" xfId="43074" xr:uid="{00000000-0005-0000-0000-00004FA80000}"/>
    <cellStyle name="Positive 4 5 2 7" xfId="43075" xr:uid="{00000000-0005-0000-0000-000050A80000}"/>
    <cellStyle name="Positive 4 5 2 7 2" xfId="43076" xr:uid="{00000000-0005-0000-0000-000051A80000}"/>
    <cellStyle name="Positive 4 5 2 8" xfId="43077" xr:uid="{00000000-0005-0000-0000-000052A80000}"/>
    <cellStyle name="Positive 4 5 2 8 2" xfId="43078" xr:uid="{00000000-0005-0000-0000-000053A80000}"/>
    <cellStyle name="Positive 4 5 2 9" xfId="43079" xr:uid="{00000000-0005-0000-0000-000054A80000}"/>
    <cellStyle name="Positive 4 5 2 9 2" xfId="43080" xr:uid="{00000000-0005-0000-0000-000055A80000}"/>
    <cellStyle name="Positive 4 5 20" xfId="43081" xr:uid="{00000000-0005-0000-0000-000056A80000}"/>
    <cellStyle name="Positive 4 5 20 2" xfId="43082" xr:uid="{00000000-0005-0000-0000-000057A80000}"/>
    <cellStyle name="Positive 4 5 21" xfId="43083" xr:uid="{00000000-0005-0000-0000-000058A80000}"/>
    <cellStyle name="Positive 4 5 21 2" xfId="43084" xr:uid="{00000000-0005-0000-0000-000059A80000}"/>
    <cellStyle name="Positive 4 5 22" xfId="43085" xr:uid="{00000000-0005-0000-0000-00005AA80000}"/>
    <cellStyle name="Positive 4 5 22 2" xfId="43086" xr:uid="{00000000-0005-0000-0000-00005BA80000}"/>
    <cellStyle name="Positive 4 5 23" xfId="43087" xr:uid="{00000000-0005-0000-0000-00005CA80000}"/>
    <cellStyle name="Positive 4 5 3" xfId="43088" xr:uid="{00000000-0005-0000-0000-00005DA80000}"/>
    <cellStyle name="Positive 4 5 3 10" xfId="43089" xr:uid="{00000000-0005-0000-0000-00005EA80000}"/>
    <cellStyle name="Positive 4 5 3 10 2" xfId="43090" xr:uid="{00000000-0005-0000-0000-00005FA80000}"/>
    <cellStyle name="Positive 4 5 3 11" xfId="43091" xr:uid="{00000000-0005-0000-0000-000060A80000}"/>
    <cellStyle name="Positive 4 5 3 11 2" xfId="43092" xr:uid="{00000000-0005-0000-0000-000061A80000}"/>
    <cellStyle name="Positive 4 5 3 12" xfId="43093" xr:uid="{00000000-0005-0000-0000-000062A80000}"/>
    <cellStyle name="Positive 4 5 3 12 2" xfId="43094" xr:uid="{00000000-0005-0000-0000-000063A80000}"/>
    <cellStyle name="Positive 4 5 3 13" xfId="43095" xr:uid="{00000000-0005-0000-0000-000064A80000}"/>
    <cellStyle name="Positive 4 5 3 13 2" xfId="43096" xr:uid="{00000000-0005-0000-0000-000065A80000}"/>
    <cellStyle name="Positive 4 5 3 14" xfId="43097" xr:uid="{00000000-0005-0000-0000-000066A80000}"/>
    <cellStyle name="Positive 4 5 3 14 2" xfId="43098" xr:uid="{00000000-0005-0000-0000-000067A80000}"/>
    <cellStyle name="Positive 4 5 3 15" xfId="43099" xr:uid="{00000000-0005-0000-0000-000068A80000}"/>
    <cellStyle name="Positive 4 5 3 15 2" xfId="43100" xr:uid="{00000000-0005-0000-0000-000069A80000}"/>
    <cellStyle name="Positive 4 5 3 16" xfId="43101" xr:uid="{00000000-0005-0000-0000-00006AA80000}"/>
    <cellStyle name="Positive 4 5 3 16 2" xfId="43102" xr:uid="{00000000-0005-0000-0000-00006BA80000}"/>
    <cellStyle name="Positive 4 5 3 17" xfId="43103" xr:uid="{00000000-0005-0000-0000-00006CA80000}"/>
    <cellStyle name="Positive 4 5 3 17 2" xfId="43104" xr:uid="{00000000-0005-0000-0000-00006DA80000}"/>
    <cellStyle name="Positive 4 5 3 18" xfId="43105" xr:uid="{00000000-0005-0000-0000-00006EA80000}"/>
    <cellStyle name="Positive 4 5 3 18 2" xfId="43106" xr:uid="{00000000-0005-0000-0000-00006FA80000}"/>
    <cellStyle name="Positive 4 5 3 19" xfId="43107" xr:uid="{00000000-0005-0000-0000-000070A80000}"/>
    <cellStyle name="Positive 4 5 3 19 2" xfId="43108" xr:uid="{00000000-0005-0000-0000-000071A80000}"/>
    <cellStyle name="Positive 4 5 3 2" xfId="43109" xr:uid="{00000000-0005-0000-0000-000072A80000}"/>
    <cellStyle name="Positive 4 5 3 2 10" xfId="43110" xr:uid="{00000000-0005-0000-0000-000073A80000}"/>
    <cellStyle name="Positive 4 5 3 2 10 2" xfId="43111" xr:uid="{00000000-0005-0000-0000-000074A80000}"/>
    <cellStyle name="Positive 4 5 3 2 11" xfId="43112" xr:uid="{00000000-0005-0000-0000-000075A80000}"/>
    <cellStyle name="Positive 4 5 3 2 11 2" xfId="43113" xr:uid="{00000000-0005-0000-0000-000076A80000}"/>
    <cellStyle name="Positive 4 5 3 2 12" xfId="43114" xr:uid="{00000000-0005-0000-0000-000077A80000}"/>
    <cellStyle name="Positive 4 5 3 2 12 2" xfId="43115" xr:uid="{00000000-0005-0000-0000-000078A80000}"/>
    <cellStyle name="Positive 4 5 3 2 13" xfId="43116" xr:uid="{00000000-0005-0000-0000-000079A80000}"/>
    <cellStyle name="Positive 4 5 3 2 13 2" xfId="43117" xr:uid="{00000000-0005-0000-0000-00007AA80000}"/>
    <cellStyle name="Positive 4 5 3 2 14" xfId="43118" xr:uid="{00000000-0005-0000-0000-00007BA80000}"/>
    <cellStyle name="Positive 4 5 3 2 14 2" xfId="43119" xr:uid="{00000000-0005-0000-0000-00007CA80000}"/>
    <cellStyle name="Positive 4 5 3 2 15" xfId="43120" xr:uid="{00000000-0005-0000-0000-00007DA80000}"/>
    <cellStyle name="Positive 4 5 3 2 15 2" xfId="43121" xr:uid="{00000000-0005-0000-0000-00007EA80000}"/>
    <cellStyle name="Positive 4 5 3 2 16" xfId="43122" xr:uid="{00000000-0005-0000-0000-00007FA80000}"/>
    <cellStyle name="Positive 4 5 3 2 16 2" xfId="43123" xr:uid="{00000000-0005-0000-0000-000080A80000}"/>
    <cellStyle name="Positive 4 5 3 2 17" xfId="43124" xr:uid="{00000000-0005-0000-0000-000081A80000}"/>
    <cellStyle name="Positive 4 5 3 2 2" xfId="43125" xr:uid="{00000000-0005-0000-0000-000082A80000}"/>
    <cellStyle name="Positive 4 5 3 2 2 2" xfId="43126" xr:uid="{00000000-0005-0000-0000-000083A80000}"/>
    <cellStyle name="Positive 4 5 3 2 3" xfId="43127" xr:uid="{00000000-0005-0000-0000-000084A80000}"/>
    <cellStyle name="Positive 4 5 3 2 3 2" xfId="43128" xr:uid="{00000000-0005-0000-0000-000085A80000}"/>
    <cellStyle name="Positive 4 5 3 2 4" xfId="43129" xr:uid="{00000000-0005-0000-0000-000086A80000}"/>
    <cellStyle name="Positive 4 5 3 2 4 2" xfId="43130" xr:uid="{00000000-0005-0000-0000-000087A80000}"/>
    <cellStyle name="Positive 4 5 3 2 5" xfId="43131" xr:uid="{00000000-0005-0000-0000-000088A80000}"/>
    <cellStyle name="Positive 4 5 3 2 5 2" xfId="43132" xr:uid="{00000000-0005-0000-0000-000089A80000}"/>
    <cellStyle name="Positive 4 5 3 2 6" xfId="43133" xr:uid="{00000000-0005-0000-0000-00008AA80000}"/>
    <cellStyle name="Positive 4 5 3 2 6 2" xfId="43134" xr:uid="{00000000-0005-0000-0000-00008BA80000}"/>
    <cellStyle name="Positive 4 5 3 2 7" xfId="43135" xr:uid="{00000000-0005-0000-0000-00008CA80000}"/>
    <cellStyle name="Positive 4 5 3 2 7 2" xfId="43136" xr:uid="{00000000-0005-0000-0000-00008DA80000}"/>
    <cellStyle name="Positive 4 5 3 2 8" xfId="43137" xr:uid="{00000000-0005-0000-0000-00008EA80000}"/>
    <cellStyle name="Positive 4 5 3 2 8 2" xfId="43138" xr:uid="{00000000-0005-0000-0000-00008FA80000}"/>
    <cellStyle name="Positive 4 5 3 2 9" xfId="43139" xr:uid="{00000000-0005-0000-0000-000090A80000}"/>
    <cellStyle name="Positive 4 5 3 2 9 2" xfId="43140" xr:uid="{00000000-0005-0000-0000-000091A80000}"/>
    <cellStyle name="Positive 4 5 3 20" xfId="43141" xr:uid="{00000000-0005-0000-0000-000092A80000}"/>
    <cellStyle name="Positive 4 5 3 3" xfId="43142" xr:uid="{00000000-0005-0000-0000-000093A80000}"/>
    <cellStyle name="Positive 4 5 3 3 2" xfId="43143" xr:uid="{00000000-0005-0000-0000-000094A80000}"/>
    <cellStyle name="Positive 4 5 3 3 2 2" xfId="43144" xr:uid="{00000000-0005-0000-0000-000095A80000}"/>
    <cellStyle name="Positive 4 5 3 3 3" xfId="43145" xr:uid="{00000000-0005-0000-0000-000096A80000}"/>
    <cellStyle name="Positive 4 5 3 4" xfId="43146" xr:uid="{00000000-0005-0000-0000-000097A80000}"/>
    <cellStyle name="Positive 4 5 3 4 2" xfId="43147" xr:uid="{00000000-0005-0000-0000-000098A80000}"/>
    <cellStyle name="Positive 4 5 3 4 2 2" xfId="43148" xr:uid="{00000000-0005-0000-0000-000099A80000}"/>
    <cellStyle name="Positive 4 5 3 4 3" xfId="43149" xr:uid="{00000000-0005-0000-0000-00009AA80000}"/>
    <cellStyle name="Positive 4 5 3 5" xfId="43150" xr:uid="{00000000-0005-0000-0000-00009BA80000}"/>
    <cellStyle name="Positive 4 5 3 5 2" xfId="43151" xr:uid="{00000000-0005-0000-0000-00009CA80000}"/>
    <cellStyle name="Positive 4 5 3 6" xfId="43152" xr:uid="{00000000-0005-0000-0000-00009DA80000}"/>
    <cellStyle name="Positive 4 5 3 6 2" xfId="43153" xr:uid="{00000000-0005-0000-0000-00009EA80000}"/>
    <cellStyle name="Positive 4 5 3 7" xfId="43154" xr:uid="{00000000-0005-0000-0000-00009FA80000}"/>
    <cellStyle name="Positive 4 5 3 7 2" xfId="43155" xr:uid="{00000000-0005-0000-0000-0000A0A80000}"/>
    <cellStyle name="Positive 4 5 3 8" xfId="43156" xr:uid="{00000000-0005-0000-0000-0000A1A80000}"/>
    <cellStyle name="Positive 4 5 3 8 2" xfId="43157" xr:uid="{00000000-0005-0000-0000-0000A2A80000}"/>
    <cellStyle name="Positive 4 5 3 9" xfId="43158" xr:uid="{00000000-0005-0000-0000-0000A3A80000}"/>
    <cellStyle name="Positive 4 5 3 9 2" xfId="43159" xr:uid="{00000000-0005-0000-0000-0000A4A80000}"/>
    <cellStyle name="Positive 4 5 4" xfId="43160" xr:uid="{00000000-0005-0000-0000-0000A5A80000}"/>
    <cellStyle name="Positive 4 5 4 10" xfId="43161" xr:uid="{00000000-0005-0000-0000-0000A6A80000}"/>
    <cellStyle name="Positive 4 5 4 10 2" xfId="43162" xr:uid="{00000000-0005-0000-0000-0000A7A80000}"/>
    <cellStyle name="Positive 4 5 4 11" xfId="43163" xr:uid="{00000000-0005-0000-0000-0000A8A80000}"/>
    <cellStyle name="Positive 4 5 4 11 2" xfId="43164" xr:uid="{00000000-0005-0000-0000-0000A9A80000}"/>
    <cellStyle name="Positive 4 5 4 12" xfId="43165" xr:uid="{00000000-0005-0000-0000-0000AAA80000}"/>
    <cellStyle name="Positive 4 5 4 12 2" xfId="43166" xr:uid="{00000000-0005-0000-0000-0000ABA80000}"/>
    <cellStyle name="Positive 4 5 4 13" xfId="43167" xr:uid="{00000000-0005-0000-0000-0000ACA80000}"/>
    <cellStyle name="Positive 4 5 4 13 2" xfId="43168" xr:uid="{00000000-0005-0000-0000-0000ADA80000}"/>
    <cellStyle name="Positive 4 5 4 14" xfId="43169" xr:uid="{00000000-0005-0000-0000-0000AEA80000}"/>
    <cellStyle name="Positive 4 5 4 14 2" xfId="43170" xr:uid="{00000000-0005-0000-0000-0000AFA80000}"/>
    <cellStyle name="Positive 4 5 4 15" xfId="43171" xr:uid="{00000000-0005-0000-0000-0000B0A80000}"/>
    <cellStyle name="Positive 4 5 4 15 2" xfId="43172" xr:uid="{00000000-0005-0000-0000-0000B1A80000}"/>
    <cellStyle name="Positive 4 5 4 16" xfId="43173" xr:uid="{00000000-0005-0000-0000-0000B2A80000}"/>
    <cellStyle name="Positive 4 5 4 16 2" xfId="43174" xr:uid="{00000000-0005-0000-0000-0000B3A80000}"/>
    <cellStyle name="Positive 4 5 4 17" xfId="43175" xr:uid="{00000000-0005-0000-0000-0000B4A80000}"/>
    <cellStyle name="Positive 4 5 4 17 2" xfId="43176" xr:uid="{00000000-0005-0000-0000-0000B5A80000}"/>
    <cellStyle name="Positive 4 5 4 18" xfId="43177" xr:uid="{00000000-0005-0000-0000-0000B6A80000}"/>
    <cellStyle name="Positive 4 5 4 18 2" xfId="43178" xr:uid="{00000000-0005-0000-0000-0000B7A80000}"/>
    <cellStyle name="Positive 4 5 4 19" xfId="43179" xr:uid="{00000000-0005-0000-0000-0000B8A80000}"/>
    <cellStyle name="Positive 4 5 4 19 2" xfId="43180" xr:uid="{00000000-0005-0000-0000-0000B9A80000}"/>
    <cellStyle name="Positive 4 5 4 2" xfId="43181" xr:uid="{00000000-0005-0000-0000-0000BAA80000}"/>
    <cellStyle name="Positive 4 5 4 2 10" xfId="43182" xr:uid="{00000000-0005-0000-0000-0000BBA80000}"/>
    <cellStyle name="Positive 4 5 4 2 10 2" xfId="43183" xr:uid="{00000000-0005-0000-0000-0000BCA80000}"/>
    <cellStyle name="Positive 4 5 4 2 11" xfId="43184" xr:uid="{00000000-0005-0000-0000-0000BDA80000}"/>
    <cellStyle name="Positive 4 5 4 2 11 2" xfId="43185" xr:uid="{00000000-0005-0000-0000-0000BEA80000}"/>
    <cellStyle name="Positive 4 5 4 2 12" xfId="43186" xr:uid="{00000000-0005-0000-0000-0000BFA80000}"/>
    <cellStyle name="Positive 4 5 4 2 12 2" xfId="43187" xr:uid="{00000000-0005-0000-0000-0000C0A80000}"/>
    <cellStyle name="Positive 4 5 4 2 13" xfId="43188" xr:uid="{00000000-0005-0000-0000-0000C1A80000}"/>
    <cellStyle name="Positive 4 5 4 2 13 2" xfId="43189" xr:uid="{00000000-0005-0000-0000-0000C2A80000}"/>
    <cellStyle name="Positive 4 5 4 2 14" xfId="43190" xr:uid="{00000000-0005-0000-0000-0000C3A80000}"/>
    <cellStyle name="Positive 4 5 4 2 14 2" xfId="43191" xr:uid="{00000000-0005-0000-0000-0000C4A80000}"/>
    <cellStyle name="Positive 4 5 4 2 15" xfId="43192" xr:uid="{00000000-0005-0000-0000-0000C5A80000}"/>
    <cellStyle name="Positive 4 5 4 2 15 2" xfId="43193" xr:uid="{00000000-0005-0000-0000-0000C6A80000}"/>
    <cellStyle name="Positive 4 5 4 2 16" xfId="43194" xr:uid="{00000000-0005-0000-0000-0000C7A80000}"/>
    <cellStyle name="Positive 4 5 4 2 16 2" xfId="43195" xr:uid="{00000000-0005-0000-0000-0000C8A80000}"/>
    <cellStyle name="Positive 4 5 4 2 17" xfId="43196" xr:uid="{00000000-0005-0000-0000-0000C9A80000}"/>
    <cellStyle name="Positive 4 5 4 2 2" xfId="43197" xr:uid="{00000000-0005-0000-0000-0000CAA80000}"/>
    <cellStyle name="Positive 4 5 4 2 2 2" xfId="43198" xr:uid="{00000000-0005-0000-0000-0000CBA80000}"/>
    <cellStyle name="Positive 4 5 4 2 3" xfId="43199" xr:uid="{00000000-0005-0000-0000-0000CCA80000}"/>
    <cellStyle name="Positive 4 5 4 2 3 2" xfId="43200" xr:uid="{00000000-0005-0000-0000-0000CDA80000}"/>
    <cellStyle name="Positive 4 5 4 2 4" xfId="43201" xr:uid="{00000000-0005-0000-0000-0000CEA80000}"/>
    <cellStyle name="Positive 4 5 4 2 4 2" xfId="43202" xr:uid="{00000000-0005-0000-0000-0000CFA80000}"/>
    <cellStyle name="Positive 4 5 4 2 5" xfId="43203" xr:uid="{00000000-0005-0000-0000-0000D0A80000}"/>
    <cellStyle name="Positive 4 5 4 2 5 2" xfId="43204" xr:uid="{00000000-0005-0000-0000-0000D1A80000}"/>
    <cellStyle name="Positive 4 5 4 2 6" xfId="43205" xr:uid="{00000000-0005-0000-0000-0000D2A80000}"/>
    <cellStyle name="Positive 4 5 4 2 6 2" xfId="43206" xr:uid="{00000000-0005-0000-0000-0000D3A80000}"/>
    <cellStyle name="Positive 4 5 4 2 7" xfId="43207" xr:uid="{00000000-0005-0000-0000-0000D4A80000}"/>
    <cellStyle name="Positive 4 5 4 2 7 2" xfId="43208" xr:uid="{00000000-0005-0000-0000-0000D5A80000}"/>
    <cellStyle name="Positive 4 5 4 2 8" xfId="43209" xr:uid="{00000000-0005-0000-0000-0000D6A80000}"/>
    <cellStyle name="Positive 4 5 4 2 8 2" xfId="43210" xr:uid="{00000000-0005-0000-0000-0000D7A80000}"/>
    <cellStyle name="Positive 4 5 4 2 9" xfId="43211" xr:uid="{00000000-0005-0000-0000-0000D8A80000}"/>
    <cellStyle name="Positive 4 5 4 2 9 2" xfId="43212" xr:uid="{00000000-0005-0000-0000-0000D9A80000}"/>
    <cellStyle name="Positive 4 5 4 20" xfId="43213" xr:uid="{00000000-0005-0000-0000-0000DAA80000}"/>
    <cellStyle name="Positive 4 5 4 3" xfId="43214" xr:uid="{00000000-0005-0000-0000-0000DBA80000}"/>
    <cellStyle name="Positive 4 5 4 3 2" xfId="43215" xr:uid="{00000000-0005-0000-0000-0000DCA80000}"/>
    <cellStyle name="Positive 4 5 4 3 2 2" xfId="43216" xr:uid="{00000000-0005-0000-0000-0000DDA80000}"/>
    <cellStyle name="Positive 4 5 4 3 3" xfId="43217" xr:uid="{00000000-0005-0000-0000-0000DEA80000}"/>
    <cellStyle name="Positive 4 5 4 4" xfId="43218" xr:uid="{00000000-0005-0000-0000-0000DFA80000}"/>
    <cellStyle name="Positive 4 5 4 4 2" xfId="43219" xr:uid="{00000000-0005-0000-0000-0000E0A80000}"/>
    <cellStyle name="Positive 4 5 4 4 2 2" xfId="43220" xr:uid="{00000000-0005-0000-0000-0000E1A80000}"/>
    <cellStyle name="Positive 4 5 4 4 3" xfId="43221" xr:uid="{00000000-0005-0000-0000-0000E2A80000}"/>
    <cellStyle name="Positive 4 5 4 5" xfId="43222" xr:uid="{00000000-0005-0000-0000-0000E3A80000}"/>
    <cellStyle name="Positive 4 5 4 5 2" xfId="43223" xr:uid="{00000000-0005-0000-0000-0000E4A80000}"/>
    <cellStyle name="Positive 4 5 4 6" xfId="43224" xr:uid="{00000000-0005-0000-0000-0000E5A80000}"/>
    <cellStyle name="Positive 4 5 4 6 2" xfId="43225" xr:uid="{00000000-0005-0000-0000-0000E6A80000}"/>
    <cellStyle name="Positive 4 5 4 7" xfId="43226" xr:uid="{00000000-0005-0000-0000-0000E7A80000}"/>
    <cellStyle name="Positive 4 5 4 7 2" xfId="43227" xr:uid="{00000000-0005-0000-0000-0000E8A80000}"/>
    <cellStyle name="Positive 4 5 4 8" xfId="43228" xr:uid="{00000000-0005-0000-0000-0000E9A80000}"/>
    <cellStyle name="Positive 4 5 4 8 2" xfId="43229" xr:uid="{00000000-0005-0000-0000-0000EAA80000}"/>
    <cellStyle name="Positive 4 5 4 9" xfId="43230" xr:uid="{00000000-0005-0000-0000-0000EBA80000}"/>
    <cellStyle name="Positive 4 5 4 9 2" xfId="43231" xr:uid="{00000000-0005-0000-0000-0000ECA80000}"/>
    <cellStyle name="Positive 4 5 5" xfId="43232" xr:uid="{00000000-0005-0000-0000-0000EDA80000}"/>
    <cellStyle name="Positive 4 5 5 10" xfId="43233" xr:uid="{00000000-0005-0000-0000-0000EEA80000}"/>
    <cellStyle name="Positive 4 5 5 10 2" xfId="43234" xr:uid="{00000000-0005-0000-0000-0000EFA80000}"/>
    <cellStyle name="Positive 4 5 5 11" xfId="43235" xr:uid="{00000000-0005-0000-0000-0000F0A80000}"/>
    <cellStyle name="Positive 4 5 5 11 2" xfId="43236" xr:uid="{00000000-0005-0000-0000-0000F1A80000}"/>
    <cellStyle name="Positive 4 5 5 12" xfId="43237" xr:uid="{00000000-0005-0000-0000-0000F2A80000}"/>
    <cellStyle name="Positive 4 5 5 12 2" xfId="43238" xr:uid="{00000000-0005-0000-0000-0000F3A80000}"/>
    <cellStyle name="Positive 4 5 5 13" xfId="43239" xr:uid="{00000000-0005-0000-0000-0000F4A80000}"/>
    <cellStyle name="Positive 4 5 5 13 2" xfId="43240" xr:uid="{00000000-0005-0000-0000-0000F5A80000}"/>
    <cellStyle name="Positive 4 5 5 14" xfId="43241" xr:uid="{00000000-0005-0000-0000-0000F6A80000}"/>
    <cellStyle name="Positive 4 5 5 14 2" xfId="43242" xr:uid="{00000000-0005-0000-0000-0000F7A80000}"/>
    <cellStyle name="Positive 4 5 5 15" xfId="43243" xr:uid="{00000000-0005-0000-0000-0000F8A80000}"/>
    <cellStyle name="Positive 4 5 5 15 2" xfId="43244" xr:uid="{00000000-0005-0000-0000-0000F9A80000}"/>
    <cellStyle name="Positive 4 5 5 16" xfId="43245" xr:uid="{00000000-0005-0000-0000-0000FAA80000}"/>
    <cellStyle name="Positive 4 5 5 16 2" xfId="43246" xr:uid="{00000000-0005-0000-0000-0000FBA80000}"/>
    <cellStyle name="Positive 4 5 5 17" xfId="43247" xr:uid="{00000000-0005-0000-0000-0000FCA80000}"/>
    <cellStyle name="Positive 4 5 5 2" xfId="43248" xr:uid="{00000000-0005-0000-0000-0000FDA80000}"/>
    <cellStyle name="Positive 4 5 5 2 2" xfId="43249" xr:uid="{00000000-0005-0000-0000-0000FEA80000}"/>
    <cellStyle name="Positive 4 5 5 3" xfId="43250" xr:uid="{00000000-0005-0000-0000-0000FFA80000}"/>
    <cellStyle name="Positive 4 5 5 3 2" xfId="43251" xr:uid="{00000000-0005-0000-0000-000000A90000}"/>
    <cellStyle name="Positive 4 5 5 4" xfId="43252" xr:uid="{00000000-0005-0000-0000-000001A90000}"/>
    <cellStyle name="Positive 4 5 5 4 2" xfId="43253" xr:uid="{00000000-0005-0000-0000-000002A90000}"/>
    <cellStyle name="Positive 4 5 5 5" xfId="43254" xr:uid="{00000000-0005-0000-0000-000003A90000}"/>
    <cellStyle name="Positive 4 5 5 5 2" xfId="43255" xr:uid="{00000000-0005-0000-0000-000004A90000}"/>
    <cellStyle name="Positive 4 5 5 6" xfId="43256" xr:uid="{00000000-0005-0000-0000-000005A90000}"/>
    <cellStyle name="Positive 4 5 5 6 2" xfId="43257" xr:uid="{00000000-0005-0000-0000-000006A90000}"/>
    <cellStyle name="Positive 4 5 5 7" xfId="43258" xr:uid="{00000000-0005-0000-0000-000007A90000}"/>
    <cellStyle name="Positive 4 5 5 7 2" xfId="43259" xr:uid="{00000000-0005-0000-0000-000008A90000}"/>
    <cellStyle name="Positive 4 5 5 8" xfId="43260" xr:uid="{00000000-0005-0000-0000-000009A90000}"/>
    <cellStyle name="Positive 4 5 5 8 2" xfId="43261" xr:uid="{00000000-0005-0000-0000-00000AA90000}"/>
    <cellStyle name="Positive 4 5 5 9" xfId="43262" xr:uid="{00000000-0005-0000-0000-00000BA90000}"/>
    <cellStyle name="Positive 4 5 5 9 2" xfId="43263" xr:uid="{00000000-0005-0000-0000-00000CA90000}"/>
    <cellStyle name="Positive 4 5 6" xfId="43264" xr:uid="{00000000-0005-0000-0000-00000DA90000}"/>
    <cellStyle name="Positive 4 5 6 2" xfId="43265" xr:uid="{00000000-0005-0000-0000-00000EA90000}"/>
    <cellStyle name="Positive 4 5 6 2 2" xfId="43266" xr:uid="{00000000-0005-0000-0000-00000FA90000}"/>
    <cellStyle name="Positive 4 5 6 3" xfId="43267" xr:uid="{00000000-0005-0000-0000-000010A90000}"/>
    <cellStyle name="Positive 4 5 7" xfId="43268" xr:uid="{00000000-0005-0000-0000-000011A90000}"/>
    <cellStyle name="Positive 4 5 7 2" xfId="43269" xr:uid="{00000000-0005-0000-0000-000012A90000}"/>
    <cellStyle name="Positive 4 5 7 2 2" xfId="43270" xr:uid="{00000000-0005-0000-0000-000013A90000}"/>
    <cellStyle name="Positive 4 5 7 3" xfId="43271" xr:uid="{00000000-0005-0000-0000-000014A90000}"/>
    <cellStyle name="Positive 4 5 8" xfId="43272" xr:uid="{00000000-0005-0000-0000-000015A90000}"/>
    <cellStyle name="Positive 4 5 8 2" xfId="43273" xr:uid="{00000000-0005-0000-0000-000016A90000}"/>
    <cellStyle name="Positive 4 5 9" xfId="43274" xr:uid="{00000000-0005-0000-0000-000017A90000}"/>
    <cellStyle name="Positive 4 5 9 2" xfId="43275" xr:uid="{00000000-0005-0000-0000-000018A90000}"/>
    <cellStyle name="Positive 4 6" xfId="43276" xr:uid="{00000000-0005-0000-0000-000019A90000}"/>
    <cellStyle name="Positive 4 6 10" xfId="43277" xr:uid="{00000000-0005-0000-0000-00001AA90000}"/>
    <cellStyle name="Positive 4 6 10 2" xfId="43278" xr:uid="{00000000-0005-0000-0000-00001BA90000}"/>
    <cellStyle name="Positive 4 6 11" xfId="43279" xr:uid="{00000000-0005-0000-0000-00001CA90000}"/>
    <cellStyle name="Positive 4 6 11 2" xfId="43280" xr:uid="{00000000-0005-0000-0000-00001DA90000}"/>
    <cellStyle name="Positive 4 6 12" xfId="43281" xr:uid="{00000000-0005-0000-0000-00001EA90000}"/>
    <cellStyle name="Positive 4 6 12 2" xfId="43282" xr:uid="{00000000-0005-0000-0000-00001FA90000}"/>
    <cellStyle name="Positive 4 6 13" xfId="43283" xr:uid="{00000000-0005-0000-0000-000020A90000}"/>
    <cellStyle name="Positive 4 6 13 2" xfId="43284" xr:uid="{00000000-0005-0000-0000-000021A90000}"/>
    <cellStyle name="Positive 4 6 14" xfId="43285" xr:uid="{00000000-0005-0000-0000-000022A90000}"/>
    <cellStyle name="Positive 4 6 14 2" xfId="43286" xr:uid="{00000000-0005-0000-0000-000023A90000}"/>
    <cellStyle name="Positive 4 6 15" xfId="43287" xr:uid="{00000000-0005-0000-0000-000024A90000}"/>
    <cellStyle name="Positive 4 6 15 2" xfId="43288" xr:uid="{00000000-0005-0000-0000-000025A90000}"/>
    <cellStyle name="Positive 4 6 16" xfId="43289" xr:uid="{00000000-0005-0000-0000-000026A90000}"/>
    <cellStyle name="Positive 4 6 16 2" xfId="43290" xr:uid="{00000000-0005-0000-0000-000027A90000}"/>
    <cellStyle name="Positive 4 6 17" xfId="43291" xr:uid="{00000000-0005-0000-0000-000028A90000}"/>
    <cellStyle name="Positive 4 6 17 2" xfId="43292" xr:uid="{00000000-0005-0000-0000-000029A90000}"/>
    <cellStyle name="Positive 4 6 18" xfId="43293" xr:uid="{00000000-0005-0000-0000-00002AA90000}"/>
    <cellStyle name="Positive 4 6 18 2" xfId="43294" xr:uid="{00000000-0005-0000-0000-00002BA90000}"/>
    <cellStyle name="Positive 4 6 19" xfId="43295" xr:uid="{00000000-0005-0000-0000-00002CA90000}"/>
    <cellStyle name="Positive 4 6 19 2" xfId="43296" xr:uid="{00000000-0005-0000-0000-00002DA90000}"/>
    <cellStyle name="Positive 4 6 2" xfId="43297" xr:uid="{00000000-0005-0000-0000-00002EA90000}"/>
    <cellStyle name="Positive 4 6 2 10" xfId="43298" xr:uid="{00000000-0005-0000-0000-00002FA90000}"/>
    <cellStyle name="Positive 4 6 2 10 2" xfId="43299" xr:uid="{00000000-0005-0000-0000-000030A90000}"/>
    <cellStyle name="Positive 4 6 2 11" xfId="43300" xr:uid="{00000000-0005-0000-0000-000031A90000}"/>
    <cellStyle name="Positive 4 6 2 11 2" xfId="43301" xr:uid="{00000000-0005-0000-0000-000032A90000}"/>
    <cellStyle name="Positive 4 6 2 12" xfId="43302" xr:uid="{00000000-0005-0000-0000-000033A90000}"/>
    <cellStyle name="Positive 4 6 2 12 2" xfId="43303" xr:uid="{00000000-0005-0000-0000-000034A90000}"/>
    <cellStyle name="Positive 4 6 2 13" xfId="43304" xr:uid="{00000000-0005-0000-0000-000035A90000}"/>
    <cellStyle name="Positive 4 6 2 13 2" xfId="43305" xr:uid="{00000000-0005-0000-0000-000036A90000}"/>
    <cellStyle name="Positive 4 6 2 14" xfId="43306" xr:uid="{00000000-0005-0000-0000-000037A90000}"/>
    <cellStyle name="Positive 4 6 2 14 2" xfId="43307" xr:uid="{00000000-0005-0000-0000-000038A90000}"/>
    <cellStyle name="Positive 4 6 2 15" xfId="43308" xr:uid="{00000000-0005-0000-0000-000039A90000}"/>
    <cellStyle name="Positive 4 6 2 15 2" xfId="43309" xr:uid="{00000000-0005-0000-0000-00003AA90000}"/>
    <cellStyle name="Positive 4 6 2 16" xfId="43310" xr:uid="{00000000-0005-0000-0000-00003BA90000}"/>
    <cellStyle name="Positive 4 6 2 16 2" xfId="43311" xr:uid="{00000000-0005-0000-0000-00003CA90000}"/>
    <cellStyle name="Positive 4 6 2 17" xfId="43312" xr:uid="{00000000-0005-0000-0000-00003DA90000}"/>
    <cellStyle name="Positive 4 6 2 17 2" xfId="43313" xr:uid="{00000000-0005-0000-0000-00003EA90000}"/>
    <cellStyle name="Positive 4 6 2 18" xfId="43314" xr:uid="{00000000-0005-0000-0000-00003FA90000}"/>
    <cellStyle name="Positive 4 6 2 18 2" xfId="43315" xr:uid="{00000000-0005-0000-0000-000040A90000}"/>
    <cellStyle name="Positive 4 6 2 19" xfId="43316" xr:uid="{00000000-0005-0000-0000-000041A90000}"/>
    <cellStyle name="Positive 4 6 2 19 2" xfId="43317" xr:uid="{00000000-0005-0000-0000-000042A90000}"/>
    <cellStyle name="Positive 4 6 2 2" xfId="43318" xr:uid="{00000000-0005-0000-0000-000043A90000}"/>
    <cellStyle name="Positive 4 6 2 2 10" xfId="43319" xr:uid="{00000000-0005-0000-0000-000044A90000}"/>
    <cellStyle name="Positive 4 6 2 2 10 2" xfId="43320" xr:uid="{00000000-0005-0000-0000-000045A90000}"/>
    <cellStyle name="Positive 4 6 2 2 11" xfId="43321" xr:uid="{00000000-0005-0000-0000-000046A90000}"/>
    <cellStyle name="Positive 4 6 2 2 11 2" xfId="43322" xr:uid="{00000000-0005-0000-0000-000047A90000}"/>
    <cellStyle name="Positive 4 6 2 2 12" xfId="43323" xr:uid="{00000000-0005-0000-0000-000048A90000}"/>
    <cellStyle name="Positive 4 6 2 2 12 2" xfId="43324" xr:uid="{00000000-0005-0000-0000-000049A90000}"/>
    <cellStyle name="Positive 4 6 2 2 13" xfId="43325" xr:uid="{00000000-0005-0000-0000-00004AA90000}"/>
    <cellStyle name="Positive 4 6 2 2 13 2" xfId="43326" xr:uid="{00000000-0005-0000-0000-00004BA90000}"/>
    <cellStyle name="Positive 4 6 2 2 14" xfId="43327" xr:uid="{00000000-0005-0000-0000-00004CA90000}"/>
    <cellStyle name="Positive 4 6 2 2 14 2" xfId="43328" xr:uid="{00000000-0005-0000-0000-00004DA90000}"/>
    <cellStyle name="Positive 4 6 2 2 15" xfId="43329" xr:uid="{00000000-0005-0000-0000-00004EA90000}"/>
    <cellStyle name="Positive 4 6 2 2 15 2" xfId="43330" xr:uid="{00000000-0005-0000-0000-00004FA90000}"/>
    <cellStyle name="Positive 4 6 2 2 16" xfId="43331" xr:uid="{00000000-0005-0000-0000-000050A90000}"/>
    <cellStyle name="Positive 4 6 2 2 16 2" xfId="43332" xr:uid="{00000000-0005-0000-0000-000051A90000}"/>
    <cellStyle name="Positive 4 6 2 2 17" xfId="43333" xr:uid="{00000000-0005-0000-0000-000052A90000}"/>
    <cellStyle name="Positive 4 6 2 2 2" xfId="43334" xr:uid="{00000000-0005-0000-0000-000053A90000}"/>
    <cellStyle name="Positive 4 6 2 2 2 2" xfId="43335" xr:uid="{00000000-0005-0000-0000-000054A90000}"/>
    <cellStyle name="Positive 4 6 2 2 3" xfId="43336" xr:uid="{00000000-0005-0000-0000-000055A90000}"/>
    <cellStyle name="Positive 4 6 2 2 3 2" xfId="43337" xr:uid="{00000000-0005-0000-0000-000056A90000}"/>
    <cellStyle name="Positive 4 6 2 2 4" xfId="43338" xr:uid="{00000000-0005-0000-0000-000057A90000}"/>
    <cellStyle name="Positive 4 6 2 2 4 2" xfId="43339" xr:uid="{00000000-0005-0000-0000-000058A90000}"/>
    <cellStyle name="Positive 4 6 2 2 5" xfId="43340" xr:uid="{00000000-0005-0000-0000-000059A90000}"/>
    <cellStyle name="Positive 4 6 2 2 5 2" xfId="43341" xr:uid="{00000000-0005-0000-0000-00005AA90000}"/>
    <cellStyle name="Positive 4 6 2 2 6" xfId="43342" xr:uid="{00000000-0005-0000-0000-00005BA90000}"/>
    <cellStyle name="Positive 4 6 2 2 6 2" xfId="43343" xr:uid="{00000000-0005-0000-0000-00005CA90000}"/>
    <cellStyle name="Positive 4 6 2 2 7" xfId="43344" xr:uid="{00000000-0005-0000-0000-00005DA90000}"/>
    <cellStyle name="Positive 4 6 2 2 7 2" xfId="43345" xr:uid="{00000000-0005-0000-0000-00005EA90000}"/>
    <cellStyle name="Positive 4 6 2 2 8" xfId="43346" xr:uid="{00000000-0005-0000-0000-00005FA90000}"/>
    <cellStyle name="Positive 4 6 2 2 8 2" xfId="43347" xr:uid="{00000000-0005-0000-0000-000060A90000}"/>
    <cellStyle name="Positive 4 6 2 2 9" xfId="43348" xr:uid="{00000000-0005-0000-0000-000061A90000}"/>
    <cellStyle name="Positive 4 6 2 2 9 2" xfId="43349" xr:uid="{00000000-0005-0000-0000-000062A90000}"/>
    <cellStyle name="Positive 4 6 2 20" xfId="43350" xr:uid="{00000000-0005-0000-0000-000063A90000}"/>
    <cellStyle name="Positive 4 6 2 3" xfId="43351" xr:uid="{00000000-0005-0000-0000-000064A90000}"/>
    <cellStyle name="Positive 4 6 2 3 2" xfId="43352" xr:uid="{00000000-0005-0000-0000-000065A90000}"/>
    <cellStyle name="Positive 4 6 2 3 2 2" xfId="43353" xr:uid="{00000000-0005-0000-0000-000066A90000}"/>
    <cellStyle name="Positive 4 6 2 3 3" xfId="43354" xr:uid="{00000000-0005-0000-0000-000067A90000}"/>
    <cellStyle name="Positive 4 6 2 4" xfId="43355" xr:uid="{00000000-0005-0000-0000-000068A90000}"/>
    <cellStyle name="Positive 4 6 2 4 2" xfId="43356" xr:uid="{00000000-0005-0000-0000-000069A90000}"/>
    <cellStyle name="Positive 4 6 2 4 2 2" xfId="43357" xr:uid="{00000000-0005-0000-0000-00006AA90000}"/>
    <cellStyle name="Positive 4 6 2 4 3" xfId="43358" xr:uid="{00000000-0005-0000-0000-00006BA90000}"/>
    <cellStyle name="Positive 4 6 2 5" xfId="43359" xr:uid="{00000000-0005-0000-0000-00006CA90000}"/>
    <cellStyle name="Positive 4 6 2 5 2" xfId="43360" xr:uid="{00000000-0005-0000-0000-00006DA90000}"/>
    <cellStyle name="Positive 4 6 2 6" xfId="43361" xr:uid="{00000000-0005-0000-0000-00006EA90000}"/>
    <cellStyle name="Positive 4 6 2 6 2" xfId="43362" xr:uid="{00000000-0005-0000-0000-00006FA90000}"/>
    <cellStyle name="Positive 4 6 2 7" xfId="43363" xr:uid="{00000000-0005-0000-0000-000070A90000}"/>
    <cellStyle name="Positive 4 6 2 7 2" xfId="43364" xr:uid="{00000000-0005-0000-0000-000071A90000}"/>
    <cellStyle name="Positive 4 6 2 8" xfId="43365" xr:uid="{00000000-0005-0000-0000-000072A90000}"/>
    <cellStyle name="Positive 4 6 2 8 2" xfId="43366" xr:uid="{00000000-0005-0000-0000-000073A90000}"/>
    <cellStyle name="Positive 4 6 2 9" xfId="43367" xr:uid="{00000000-0005-0000-0000-000074A90000}"/>
    <cellStyle name="Positive 4 6 2 9 2" xfId="43368" xr:uid="{00000000-0005-0000-0000-000075A90000}"/>
    <cellStyle name="Positive 4 6 20" xfId="43369" xr:uid="{00000000-0005-0000-0000-000076A90000}"/>
    <cellStyle name="Positive 4 6 20 2" xfId="43370" xr:uid="{00000000-0005-0000-0000-000077A90000}"/>
    <cellStyle name="Positive 4 6 21" xfId="43371" xr:uid="{00000000-0005-0000-0000-000078A90000}"/>
    <cellStyle name="Positive 4 6 21 2" xfId="43372" xr:uid="{00000000-0005-0000-0000-000079A90000}"/>
    <cellStyle name="Positive 4 6 22" xfId="43373" xr:uid="{00000000-0005-0000-0000-00007AA90000}"/>
    <cellStyle name="Positive 4 6 22 2" xfId="43374" xr:uid="{00000000-0005-0000-0000-00007BA90000}"/>
    <cellStyle name="Positive 4 6 23" xfId="43375" xr:uid="{00000000-0005-0000-0000-00007CA90000}"/>
    <cellStyle name="Positive 4 6 3" xfId="43376" xr:uid="{00000000-0005-0000-0000-00007DA90000}"/>
    <cellStyle name="Positive 4 6 3 10" xfId="43377" xr:uid="{00000000-0005-0000-0000-00007EA90000}"/>
    <cellStyle name="Positive 4 6 3 10 2" xfId="43378" xr:uid="{00000000-0005-0000-0000-00007FA90000}"/>
    <cellStyle name="Positive 4 6 3 11" xfId="43379" xr:uid="{00000000-0005-0000-0000-000080A90000}"/>
    <cellStyle name="Positive 4 6 3 11 2" xfId="43380" xr:uid="{00000000-0005-0000-0000-000081A90000}"/>
    <cellStyle name="Positive 4 6 3 12" xfId="43381" xr:uid="{00000000-0005-0000-0000-000082A90000}"/>
    <cellStyle name="Positive 4 6 3 12 2" xfId="43382" xr:uid="{00000000-0005-0000-0000-000083A90000}"/>
    <cellStyle name="Positive 4 6 3 13" xfId="43383" xr:uid="{00000000-0005-0000-0000-000084A90000}"/>
    <cellStyle name="Positive 4 6 3 13 2" xfId="43384" xr:uid="{00000000-0005-0000-0000-000085A90000}"/>
    <cellStyle name="Positive 4 6 3 14" xfId="43385" xr:uid="{00000000-0005-0000-0000-000086A90000}"/>
    <cellStyle name="Positive 4 6 3 14 2" xfId="43386" xr:uid="{00000000-0005-0000-0000-000087A90000}"/>
    <cellStyle name="Positive 4 6 3 15" xfId="43387" xr:uid="{00000000-0005-0000-0000-000088A90000}"/>
    <cellStyle name="Positive 4 6 3 15 2" xfId="43388" xr:uid="{00000000-0005-0000-0000-000089A90000}"/>
    <cellStyle name="Positive 4 6 3 16" xfId="43389" xr:uid="{00000000-0005-0000-0000-00008AA90000}"/>
    <cellStyle name="Positive 4 6 3 16 2" xfId="43390" xr:uid="{00000000-0005-0000-0000-00008BA90000}"/>
    <cellStyle name="Positive 4 6 3 17" xfId="43391" xr:uid="{00000000-0005-0000-0000-00008CA90000}"/>
    <cellStyle name="Positive 4 6 3 17 2" xfId="43392" xr:uid="{00000000-0005-0000-0000-00008DA90000}"/>
    <cellStyle name="Positive 4 6 3 18" xfId="43393" xr:uid="{00000000-0005-0000-0000-00008EA90000}"/>
    <cellStyle name="Positive 4 6 3 18 2" xfId="43394" xr:uid="{00000000-0005-0000-0000-00008FA90000}"/>
    <cellStyle name="Positive 4 6 3 19" xfId="43395" xr:uid="{00000000-0005-0000-0000-000090A90000}"/>
    <cellStyle name="Positive 4 6 3 19 2" xfId="43396" xr:uid="{00000000-0005-0000-0000-000091A90000}"/>
    <cellStyle name="Positive 4 6 3 2" xfId="43397" xr:uid="{00000000-0005-0000-0000-000092A90000}"/>
    <cellStyle name="Positive 4 6 3 2 10" xfId="43398" xr:uid="{00000000-0005-0000-0000-000093A90000}"/>
    <cellStyle name="Positive 4 6 3 2 10 2" xfId="43399" xr:uid="{00000000-0005-0000-0000-000094A90000}"/>
    <cellStyle name="Positive 4 6 3 2 11" xfId="43400" xr:uid="{00000000-0005-0000-0000-000095A90000}"/>
    <cellStyle name="Positive 4 6 3 2 11 2" xfId="43401" xr:uid="{00000000-0005-0000-0000-000096A90000}"/>
    <cellStyle name="Positive 4 6 3 2 12" xfId="43402" xr:uid="{00000000-0005-0000-0000-000097A90000}"/>
    <cellStyle name="Positive 4 6 3 2 12 2" xfId="43403" xr:uid="{00000000-0005-0000-0000-000098A90000}"/>
    <cellStyle name="Positive 4 6 3 2 13" xfId="43404" xr:uid="{00000000-0005-0000-0000-000099A90000}"/>
    <cellStyle name="Positive 4 6 3 2 13 2" xfId="43405" xr:uid="{00000000-0005-0000-0000-00009AA90000}"/>
    <cellStyle name="Positive 4 6 3 2 14" xfId="43406" xr:uid="{00000000-0005-0000-0000-00009BA90000}"/>
    <cellStyle name="Positive 4 6 3 2 14 2" xfId="43407" xr:uid="{00000000-0005-0000-0000-00009CA90000}"/>
    <cellStyle name="Positive 4 6 3 2 15" xfId="43408" xr:uid="{00000000-0005-0000-0000-00009DA90000}"/>
    <cellStyle name="Positive 4 6 3 2 15 2" xfId="43409" xr:uid="{00000000-0005-0000-0000-00009EA90000}"/>
    <cellStyle name="Positive 4 6 3 2 16" xfId="43410" xr:uid="{00000000-0005-0000-0000-00009FA90000}"/>
    <cellStyle name="Positive 4 6 3 2 16 2" xfId="43411" xr:uid="{00000000-0005-0000-0000-0000A0A90000}"/>
    <cellStyle name="Positive 4 6 3 2 17" xfId="43412" xr:uid="{00000000-0005-0000-0000-0000A1A90000}"/>
    <cellStyle name="Positive 4 6 3 2 2" xfId="43413" xr:uid="{00000000-0005-0000-0000-0000A2A90000}"/>
    <cellStyle name="Positive 4 6 3 2 2 2" xfId="43414" xr:uid="{00000000-0005-0000-0000-0000A3A90000}"/>
    <cellStyle name="Positive 4 6 3 2 3" xfId="43415" xr:uid="{00000000-0005-0000-0000-0000A4A90000}"/>
    <cellStyle name="Positive 4 6 3 2 3 2" xfId="43416" xr:uid="{00000000-0005-0000-0000-0000A5A90000}"/>
    <cellStyle name="Positive 4 6 3 2 4" xfId="43417" xr:uid="{00000000-0005-0000-0000-0000A6A90000}"/>
    <cellStyle name="Positive 4 6 3 2 4 2" xfId="43418" xr:uid="{00000000-0005-0000-0000-0000A7A90000}"/>
    <cellStyle name="Positive 4 6 3 2 5" xfId="43419" xr:uid="{00000000-0005-0000-0000-0000A8A90000}"/>
    <cellStyle name="Positive 4 6 3 2 5 2" xfId="43420" xr:uid="{00000000-0005-0000-0000-0000A9A90000}"/>
    <cellStyle name="Positive 4 6 3 2 6" xfId="43421" xr:uid="{00000000-0005-0000-0000-0000AAA90000}"/>
    <cellStyle name="Positive 4 6 3 2 6 2" xfId="43422" xr:uid="{00000000-0005-0000-0000-0000ABA90000}"/>
    <cellStyle name="Positive 4 6 3 2 7" xfId="43423" xr:uid="{00000000-0005-0000-0000-0000ACA90000}"/>
    <cellStyle name="Positive 4 6 3 2 7 2" xfId="43424" xr:uid="{00000000-0005-0000-0000-0000ADA90000}"/>
    <cellStyle name="Positive 4 6 3 2 8" xfId="43425" xr:uid="{00000000-0005-0000-0000-0000AEA90000}"/>
    <cellStyle name="Positive 4 6 3 2 8 2" xfId="43426" xr:uid="{00000000-0005-0000-0000-0000AFA90000}"/>
    <cellStyle name="Positive 4 6 3 2 9" xfId="43427" xr:uid="{00000000-0005-0000-0000-0000B0A90000}"/>
    <cellStyle name="Positive 4 6 3 2 9 2" xfId="43428" xr:uid="{00000000-0005-0000-0000-0000B1A90000}"/>
    <cellStyle name="Positive 4 6 3 20" xfId="43429" xr:uid="{00000000-0005-0000-0000-0000B2A90000}"/>
    <cellStyle name="Positive 4 6 3 3" xfId="43430" xr:uid="{00000000-0005-0000-0000-0000B3A90000}"/>
    <cellStyle name="Positive 4 6 3 3 2" xfId="43431" xr:uid="{00000000-0005-0000-0000-0000B4A90000}"/>
    <cellStyle name="Positive 4 6 3 3 2 2" xfId="43432" xr:uid="{00000000-0005-0000-0000-0000B5A90000}"/>
    <cellStyle name="Positive 4 6 3 3 3" xfId="43433" xr:uid="{00000000-0005-0000-0000-0000B6A90000}"/>
    <cellStyle name="Positive 4 6 3 4" xfId="43434" xr:uid="{00000000-0005-0000-0000-0000B7A90000}"/>
    <cellStyle name="Positive 4 6 3 4 2" xfId="43435" xr:uid="{00000000-0005-0000-0000-0000B8A90000}"/>
    <cellStyle name="Positive 4 6 3 4 2 2" xfId="43436" xr:uid="{00000000-0005-0000-0000-0000B9A90000}"/>
    <cellStyle name="Positive 4 6 3 4 3" xfId="43437" xr:uid="{00000000-0005-0000-0000-0000BAA90000}"/>
    <cellStyle name="Positive 4 6 3 5" xfId="43438" xr:uid="{00000000-0005-0000-0000-0000BBA90000}"/>
    <cellStyle name="Positive 4 6 3 5 2" xfId="43439" xr:uid="{00000000-0005-0000-0000-0000BCA90000}"/>
    <cellStyle name="Positive 4 6 3 6" xfId="43440" xr:uid="{00000000-0005-0000-0000-0000BDA90000}"/>
    <cellStyle name="Positive 4 6 3 6 2" xfId="43441" xr:uid="{00000000-0005-0000-0000-0000BEA90000}"/>
    <cellStyle name="Positive 4 6 3 7" xfId="43442" xr:uid="{00000000-0005-0000-0000-0000BFA90000}"/>
    <cellStyle name="Positive 4 6 3 7 2" xfId="43443" xr:uid="{00000000-0005-0000-0000-0000C0A90000}"/>
    <cellStyle name="Positive 4 6 3 8" xfId="43444" xr:uid="{00000000-0005-0000-0000-0000C1A90000}"/>
    <cellStyle name="Positive 4 6 3 8 2" xfId="43445" xr:uid="{00000000-0005-0000-0000-0000C2A90000}"/>
    <cellStyle name="Positive 4 6 3 9" xfId="43446" xr:uid="{00000000-0005-0000-0000-0000C3A90000}"/>
    <cellStyle name="Positive 4 6 3 9 2" xfId="43447" xr:uid="{00000000-0005-0000-0000-0000C4A90000}"/>
    <cellStyle name="Positive 4 6 4" xfId="43448" xr:uid="{00000000-0005-0000-0000-0000C5A90000}"/>
    <cellStyle name="Positive 4 6 4 10" xfId="43449" xr:uid="{00000000-0005-0000-0000-0000C6A90000}"/>
    <cellStyle name="Positive 4 6 4 10 2" xfId="43450" xr:uid="{00000000-0005-0000-0000-0000C7A90000}"/>
    <cellStyle name="Positive 4 6 4 11" xfId="43451" xr:uid="{00000000-0005-0000-0000-0000C8A90000}"/>
    <cellStyle name="Positive 4 6 4 11 2" xfId="43452" xr:uid="{00000000-0005-0000-0000-0000C9A90000}"/>
    <cellStyle name="Positive 4 6 4 12" xfId="43453" xr:uid="{00000000-0005-0000-0000-0000CAA90000}"/>
    <cellStyle name="Positive 4 6 4 12 2" xfId="43454" xr:uid="{00000000-0005-0000-0000-0000CBA90000}"/>
    <cellStyle name="Positive 4 6 4 13" xfId="43455" xr:uid="{00000000-0005-0000-0000-0000CCA90000}"/>
    <cellStyle name="Positive 4 6 4 13 2" xfId="43456" xr:uid="{00000000-0005-0000-0000-0000CDA90000}"/>
    <cellStyle name="Positive 4 6 4 14" xfId="43457" xr:uid="{00000000-0005-0000-0000-0000CEA90000}"/>
    <cellStyle name="Positive 4 6 4 14 2" xfId="43458" xr:uid="{00000000-0005-0000-0000-0000CFA90000}"/>
    <cellStyle name="Positive 4 6 4 15" xfId="43459" xr:uid="{00000000-0005-0000-0000-0000D0A90000}"/>
    <cellStyle name="Positive 4 6 4 15 2" xfId="43460" xr:uid="{00000000-0005-0000-0000-0000D1A90000}"/>
    <cellStyle name="Positive 4 6 4 16" xfId="43461" xr:uid="{00000000-0005-0000-0000-0000D2A90000}"/>
    <cellStyle name="Positive 4 6 4 16 2" xfId="43462" xr:uid="{00000000-0005-0000-0000-0000D3A90000}"/>
    <cellStyle name="Positive 4 6 4 17" xfId="43463" xr:uid="{00000000-0005-0000-0000-0000D4A90000}"/>
    <cellStyle name="Positive 4 6 4 17 2" xfId="43464" xr:uid="{00000000-0005-0000-0000-0000D5A90000}"/>
    <cellStyle name="Positive 4 6 4 18" xfId="43465" xr:uid="{00000000-0005-0000-0000-0000D6A90000}"/>
    <cellStyle name="Positive 4 6 4 18 2" xfId="43466" xr:uid="{00000000-0005-0000-0000-0000D7A90000}"/>
    <cellStyle name="Positive 4 6 4 19" xfId="43467" xr:uid="{00000000-0005-0000-0000-0000D8A90000}"/>
    <cellStyle name="Positive 4 6 4 19 2" xfId="43468" xr:uid="{00000000-0005-0000-0000-0000D9A90000}"/>
    <cellStyle name="Positive 4 6 4 2" xfId="43469" xr:uid="{00000000-0005-0000-0000-0000DAA90000}"/>
    <cellStyle name="Positive 4 6 4 2 10" xfId="43470" xr:uid="{00000000-0005-0000-0000-0000DBA90000}"/>
    <cellStyle name="Positive 4 6 4 2 10 2" xfId="43471" xr:uid="{00000000-0005-0000-0000-0000DCA90000}"/>
    <cellStyle name="Positive 4 6 4 2 11" xfId="43472" xr:uid="{00000000-0005-0000-0000-0000DDA90000}"/>
    <cellStyle name="Positive 4 6 4 2 11 2" xfId="43473" xr:uid="{00000000-0005-0000-0000-0000DEA90000}"/>
    <cellStyle name="Positive 4 6 4 2 12" xfId="43474" xr:uid="{00000000-0005-0000-0000-0000DFA90000}"/>
    <cellStyle name="Positive 4 6 4 2 12 2" xfId="43475" xr:uid="{00000000-0005-0000-0000-0000E0A90000}"/>
    <cellStyle name="Positive 4 6 4 2 13" xfId="43476" xr:uid="{00000000-0005-0000-0000-0000E1A90000}"/>
    <cellStyle name="Positive 4 6 4 2 13 2" xfId="43477" xr:uid="{00000000-0005-0000-0000-0000E2A90000}"/>
    <cellStyle name="Positive 4 6 4 2 14" xfId="43478" xr:uid="{00000000-0005-0000-0000-0000E3A90000}"/>
    <cellStyle name="Positive 4 6 4 2 14 2" xfId="43479" xr:uid="{00000000-0005-0000-0000-0000E4A90000}"/>
    <cellStyle name="Positive 4 6 4 2 15" xfId="43480" xr:uid="{00000000-0005-0000-0000-0000E5A90000}"/>
    <cellStyle name="Positive 4 6 4 2 15 2" xfId="43481" xr:uid="{00000000-0005-0000-0000-0000E6A90000}"/>
    <cellStyle name="Positive 4 6 4 2 16" xfId="43482" xr:uid="{00000000-0005-0000-0000-0000E7A90000}"/>
    <cellStyle name="Positive 4 6 4 2 16 2" xfId="43483" xr:uid="{00000000-0005-0000-0000-0000E8A90000}"/>
    <cellStyle name="Positive 4 6 4 2 17" xfId="43484" xr:uid="{00000000-0005-0000-0000-0000E9A90000}"/>
    <cellStyle name="Positive 4 6 4 2 2" xfId="43485" xr:uid="{00000000-0005-0000-0000-0000EAA90000}"/>
    <cellStyle name="Positive 4 6 4 2 2 2" xfId="43486" xr:uid="{00000000-0005-0000-0000-0000EBA90000}"/>
    <cellStyle name="Positive 4 6 4 2 3" xfId="43487" xr:uid="{00000000-0005-0000-0000-0000ECA90000}"/>
    <cellStyle name="Positive 4 6 4 2 3 2" xfId="43488" xr:uid="{00000000-0005-0000-0000-0000EDA90000}"/>
    <cellStyle name="Positive 4 6 4 2 4" xfId="43489" xr:uid="{00000000-0005-0000-0000-0000EEA90000}"/>
    <cellStyle name="Positive 4 6 4 2 4 2" xfId="43490" xr:uid="{00000000-0005-0000-0000-0000EFA90000}"/>
    <cellStyle name="Positive 4 6 4 2 5" xfId="43491" xr:uid="{00000000-0005-0000-0000-0000F0A90000}"/>
    <cellStyle name="Positive 4 6 4 2 5 2" xfId="43492" xr:uid="{00000000-0005-0000-0000-0000F1A90000}"/>
    <cellStyle name="Positive 4 6 4 2 6" xfId="43493" xr:uid="{00000000-0005-0000-0000-0000F2A90000}"/>
    <cellStyle name="Positive 4 6 4 2 6 2" xfId="43494" xr:uid="{00000000-0005-0000-0000-0000F3A90000}"/>
    <cellStyle name="Positive 4 6 4 2 7" xfId="43495" xr:uid="{00000000-0005-0000-0000-0000F4A90000}"/>
    <cellStyle name="Positive 4 6 4 2 7 2" xfId="43496" xr:uid="{00000000-0005-0000-0000-0000F5A90000}"/>
    <cellStyle name="Positive 4 6 4 2 8" xfId="43497" xr:uid="{00000000-0005-0000-0000-0000F6A90000}"/>
    <cellStyle name="Positive 4 6 4 2 8 2" xfId="43498" xr:uid="{00000000-0005-0000-0000-0000F7A90000}"/>
    <cellStyle name="Positive 4 6 4 2 9" xfId="43499" xr:uid="{00000000-0005-0000-0000-0000F8A90000}"/>
    <cellStyle name="Positive 4 6 4 2 9 2" xfId="43500" xr:uid="{00000000-0005-0000-0000-0000F9A90000}"/>
    <cellStyle name="Positive 4 6 4 20" xfId="43501" xr:uid="{00000000-0005-0000-0000-0000FAA90000}"/>
    <cellStyle name="Positive 4 6 4 3" xfId="43502" xr:uid="{00000000-0005-0000-0000-0000FBA90000}"/>
    <cellStyle name="Positive 4 6 4 3 2" xfId="43503" xr:uid="{00000000-0005-0000-0000-0000FCA90000}"/>
    <cellStyle name="Positive 4 6 4 3 2 2" xfId="43504" xr:uid="{00000000-0005-0000-0000-0000FDA90000}"/>
    <cellStyle name="Positive 4 6 4 3 3" xfId="43505" xr:uid="{00000000-0005-0000-0000-0000FEA90000}"/>
    <cellStyle name="Positive 4 6 4 4" xfId="43506" xr:uid="{00000000-0005-0000-0000-0000FFA90000}"/>
    <cellStyle name="Positive 4 6 4 4 2" xfId="43507" xr:uid="{00000000-0005-0000-0000-000000AA0000}"/>
    <cellStyle name="Positive 4 6 4 4 2 2" xfId="43508" xr:uid="{00000000-0005-0000-0000-000001AA0000}"/>
    <cellStyle name="Positive 4 6 4 4 3" xfId="43509" xr:uid="{00000000-0005-0000-0000-000002AA0000}"/>
    <cellStyle name="Positive 4 6 4 5" xfId="43510" xr:uid="{00000000-0005-0000-0000-000003AA0000}"/>
    <cellStyle name="Positive 4 6 4 5 2" xfId="43511" xr:uid="{00000000-0005-0000-0000-000004AA0000}"/>
    <cellStyle name="Positive 4 6 4 6" xfId="43512" xr:uid="{00000000-0005-0000-0000-000005AA0000}"/>
    <cellStyle name="Positive 4 6 4 6 2" xfId="43513" xr:uid="{00000000-0005-0000-0000-000006AA0000}"/>
    <cellStyle name="Positive 4 6 4 7" xfId="43514" xr:uid="{00000000-0005-0000-0000-000007AA0000}"/>
    <cellStyle name="Positive 4 6 4 7 2" xfId="43515" xr:uid="{00000000-0005-0000-0000-000008AA0000}"/>
    <cellStyle name="Positive 4 6 4 8" xfId="43516" xr:uid="{00000000-0005-0000-0000-000009AA0000}"/>
    <cellStyle name="Positive 4 6 4 8 2" xfId="43517" xr:uid="{00000000-0005-0000-0000-00000AAA0000}"/>
    <cellStyle name="Positive 4 6 4 9" xfId="43518" xr:uid="{00000000-0005-0000-0000-00000BAA0000}"/>
    <cellStyle name="Positive 4 6 4 9 2" xfId="43519" xr:uid="{00000000-0005-0000-0000-00000CAA0000}"/>
    <cellStyle name="Positive 4 6 5" xfId="43520" xr:uid="{00000000-0005-0000-0000-00000DAA0000}"/>
    <cellStyle name="Positive 4 6 5 10" xfId="43521" xr:uid="{00000000-0005-0000-0000-00000EAA0000}"/>
    <cellStyle name="Positive 4 6 5 10 2" xfId="43522" xr:uid="{00000000-0005-0000-0000-00000FAA0000}"/>
    <cellStyle name="Positive 4 6 5 11" xfId="43523" xr:uid="{00000000-0005-0000-0000-000010AA0000}"/>
    <cellStyle name="Positive 4 6 5 11 2" xfId="43524" xr:uid="{00000000-0005-0000-0000-000011AA0000}"/>
    <cellStyle name="Positive 4 6 5 12" xfId="43525" xr:uid="{00000000-0005-0000-0000-000012AA0000}"/>
    <cellStyle name="Positive 4 6 5 12 2" xfId="43526" xr:uid="{00000000-0005-0000-0000-000013AA0000}"/>
    <cellStyle name="Positive 4 6 5 13" xfId="43527" xr:uid="{00000000-0005-0000-0000-000014AA0000}"/>
    <cellStyle name="Positive 4 6 5 13 2" xfId="43528" xr:uid="{00000000-0005-0000-0000-000015AA0000}"/>
    <cellStyle name="Positive 4 6 5 14" xfId="43529" xr:uid="{00000000-0005-0000-0000-000016AA0000}"/>
    <cellStyle name="Positive 4 6 5 14 2" xfId="43530" xr:uid="{00000000-0005-0000-0000-000017AA0000}"/>
    <cellStyle name="Positive 4 6 5 15" xfId="43531" xr:uid="{00000000-0005-0000-0000-000018AA0000}"/>
    <cellStyle name="Positive 4 6 5 15 2" xfId="43532" xr:uid="{00000000-0005-0000-0000-000019AA0000}"/>
    <cellStyle name="Positive 4 6 5 16" xfId="43533" xr:uid="{00000000-0005-0000-0000-00001AAA0000}"/>
    <cellStyle name="Positive 4 6 5 16 2" xfId="43534" xr:uid="{00000000-0005-0000-0000-00001BAA0000}"/>
    <cellStyle name="Positive 4 6 5 17" xfId="43535" xr:uid="{00000000-0005-0000-0000-00001CAA0000}"/>
    <cellStyle name="Positive 4 6 5 2" xfId="43536" xr:uid="{00000000-0005-0000-0000-00001DAA0000}"/>
    <cellStyle name="Positive 4 6 5 2 2" xfId="43537" xr:uid="{00000000-0005-0000-0000-00001EAA0000}"/>
    <cellStyle name="Positive 4 6 5 3" xfId="43538" xr:uid="{00000000-0005-0000-0000-00001FAA0000}"/>
    <cellStyle name="Positive 4 6 5 3 2" xfId="43539" xr:uid="{00000000-0005-0000-0000-000020AA0000}"/>
    <cellStyle name="Positive 4 6 5 4" xfId="43540" xr:uid="{00000000-0005-0000-0000-000021AA0000}"/>
    <cellStyle name="Positive 4 6 5 4 2" xfId="43541" xr:uid="{00000000-0005-0000-0000-000022AA0000}"/>
    <cellStyle name="Positive 4 6 5 5" xfId="43542" xr:uid="{00000000-0005-0000-0000-000023AA0000}"/>
    <cellStyle name="Positive 4 6 5 5 2" xfId="43543" xr:uid="{00000000-0005-0000-0000-000024AA0000}"/>
    <cellStyle name="Positive 4 6 5 6" xfId="43544" xr:uid="{00000000-0005-0000-0000-000025AA0000}"/>
    <cellStyle name="Positive 4 6 5 6 2" xfId="43545" xr:uid="{00000000-0005-0000-0000-000026AA0000}"/>
    <cellStyle name="Positive 4 6 5 7" xfId="43546" xr:uid="{00000000-0005-0000-0000-000027AA0000}"/>
    <cellStyle name="Positive 4 6 5 7 2" xfId="43547" xr:uid="{00000000-0005-0000-0000-000028AA0000}"/>
    <cellStyle name="Positive 4 6 5 8" xfId="43548" xr:uid="{00000000-0005-0000-0000-000029AA0000}"/>
    <cellStyle name="Positive 4 6 5 8 2" xfId="43549" xr:uid="{00000000-0005-0000-0000-00002AAA0000}"/>
    <cellStyle name="Positive 4 6 5 9" xfId="43550" xr:uid="{00000000-0005-0000-0000-00002BAA0000}"/>
    <cellStyle name="Positive 4 6 5 9 2" xfId="43551" xr:uid="{00000000-0005-0000-0000-00002CAA0000}"/>
    <cellStyle name="Positive 4 6 6" xfId="43552" xr:uid="{00000000-0005-0000-0000-00002DAA0000}"/>
    <cellStyle name="Positive 4 6 6 2" xfId="43553" xr:uid="{00000000-0005-0000-0000-00002EAA0000}"/>
    <cellStyle name="Positive 4 6 6 2 2" xfId="43554" xr:uid="{00000000-0005-0000-0000-00002FAA0000}"/>
    <cellStyle name="Positive 4 6 6 3" xfId="43555" xr:uid="{00000000-0005-0000-0000-000030AA0000}"/>
    <cellStyle name="Positive 4 6 7" xfId="43556" xr:uid="{00000000-0005-0000-0000-000031AA0000}"/>
    <cellStyle name="Positive 4 6 7 2" xfId="43557" xr:uid="{00000000-0005-0000-0000-000032AA0000}"/>
    <cellStyle name="Positive 4 6 7 2 2" xfId="43558" xr:uid="{00000000-0005-0000-0000-000033AA0000}"/>
    <cellStyle name="Positive 4 6 7 3" xfId="43559" xr:uid="{00000000-0005-0000-0000-000034AA0000}"/>
    <cellStyle name="Positive 4 6 8" xfId="43560" xr:uid="{00000000-0005-0000-0000-000035AA0000}"/>
    <cellStyle name="Positive 4 6 8 2" xfId="43561" xr:uid="{00000000-0005-0000-0000-000036AA0000}"/>
    <cellStyle name="Positive 4 6 9" xfId="43562" xr:uid="{00000000-0005-0000-0000-000037AA0000}"/>
    <cellStyle name="Positive 4 6 9 2" xfId="43563" xr:uid="{00000000-0005-0000-0000-000038AA0000}"/>
    <cellStyle name="Positive 4 7" xfId="43564" xr:uid="{00000000-0005-0000-0000-000039AA0000}"/>
    <cellStyle name="Positive 4 7 10" xfId="43565" xr:uid="{00000000-0005-0000-0000-00003AAA0000}"/>
    <cellStyle name="Positive 4 7 10 2" xfId="43566" xr:uid="{00000000-0005-0000-0000-00003BAA0000}"/>
    <cellStyle name="Positive 4 7 11" xfId="43567" xr:uid="{00000000-0005-0000-0000-00003CAA0000}"/>
    <cellStyle name="Positive 4 7 11 2" xfId="43568" xr:uid="{00000000-0005-0000-0000-00003DAA0000}"/>
    <cellStyle name="Positive 4 7 12" xfId="43569" xr:uid="{00000000-0005-0000-0000-00003EAA0000}"/>
    <cellStyle name="Positive 4 7 12 2" xfId="43570" xr:uid="{00000000-0005-0000-0000-00003FAA0000}"/>
    <cellStyle name="Positive 4 7 13" xfId="43571" xr:uid="{00000000-0005-0000-0000-000040AA0000}"/>
    <cellStyle name="Positive 4 7 13 2" xfId="43572" xr:uid="{00000000-0005-0000-0000-000041AA0000}"/>
    <cellStyle name="Positive 4 7 14" xfId="43573" xr:uid="{00000000-0005-0000-0000-000042AA0000}"/>
    <cellStyle name="Positive 4 7 14 2" xfId="43574" xr:uid="{00000000-0005-0000-0000-000043AA0000}"/>
    <cellStyle name="Positive 4 7 15" xfId="43575" xr:uid="{00000000-0005-0000-0000-000044AA0000}"/>
    <cellStyle name="Positive 4 7 15 2" xfId="43576" xr:uid="{00000000-0005-0000-0000-000045AA0000}"/>
    <cellStyle name="Positive 4 7 16" xfId="43577" xr:uid="{00000000-0005-0000-0000-000046AA0000}"/>
    <cellStyle name="Positive 4 7 16 2" xfId="43578" xr:uid="{00000000-0005-0000-0000-000047AA0000}"/>
    <cellStyle name="Positive 4 7 17" xfId="43579" xr:uid="{00000000-0005-0000-0000-000048AA0000}"/>
    <cellStyle name="Positive 4 7 17 2" xfId="43580" xr:uid="{00000000-0005-0000-0000-000049AA0000}"/>
    <cellStyle name="Positive 4 7 18" xfId="43581" xr:uid="{00000000-0005-0000-0000-00004AAA0000}"/>
    <cellStyle name="Positive 4 7 18 2" xfId="43582" xr:uid="{00000000-0005-0000-0000-00004BAA0000}"/>
    <cellStyle name="Positive 4 7 19" xfId="43583" xr:uid="{00000000-0005-0000-0000-00004CAA0000}"/>
    <cellStyle name="Positive 4 7 19 2" xfId="43584" xr:uid="{00000000-0005-0000-0000-00004DAA0000}"/>
    <cellStyle name="Positive 4 7 2" xfId="43585" xr:uid="{00000000-0005-0000-0000-00004EAA0000}"/>
    <cellStyle name="Positive 4 7 2 10" xfId="43586" xr:uid="{00000000-0005-0000-0000-00004FAA0000}"/>
    <cellStyle name="Positive 4 7 2 10 2" xfId="43587" xr:uid="{00000000-0005-0000-0000-000050AA0000}"/>
    <cellStyle name="Positive 4 7 2 11" xfId="43588" xr:uid="{00000000-0005-0000-0000-000051AA0000}"/>
    <cellStyle name="Positive 4 7 2 11 2" xfId="43589" xr:uid="{00000000-0005-0000-0000-000052AA0000}"/>
    <cellStyle name="Positive 4 7 2 12" xfId="43590" xr:uid="{00000000-0005-0000-0000-000053AA0000}"/>
    <cellStyle name="Positive 4 7 2 12 2" xfId="43591" xr:uid="{00000000-0005-0000-0000-000054AA0000}"/>
    <cellStyle name="Positive 4 7 2 13" xfId="43592" xr:uid="{00000000-0005-0000-0000-000055AA0000}"/>
    <cellStyle name="Positive 4 7 2 13 2" xfId="43593" xr:uid="{00000000-0005-0000-0000-000056AA0000}"/>
    <cellStyle name="Positive 4 7 2 14" xfId="43594" xr:uid="{00000000-0005-0000-0000-000057AA0000}"/>
    <cellStyle name="Positive 4 7 2 14 2" xfId="43595" xr:uid="{00000000-0005-0000-0000-000058AA0000}"/>
    <cellStyle name="Positive 4 7 2 15" xfId="43596" xr:uid="{00000000-0005-0000-0000-000059AA0000}"/>
    <cellStyle name="Positive 4 7 2 15 2" xfId="43597" xr:uid="{00000000-0005-0000-0000-00005AAA0000}"/>
    <cellStyle name="Positive 4 7 2 16" xfId="43598" xr:uid="{00000000-0005-0000-0000-00005BAA0000}"/>
    <cellStyle name="Positive 4 7 2 16 2" xfId="43599" xr:uid="{00000000-0005-0000-0000-00005CAA0000}"/>
    <cellStyle name="Positive 4 7 2 17" xfId="43600" xr:uid="{00000000-0005-0000-0000-00005DAA0000}"/>
    <cellStyle name="Positive 4 7 2 17 2" xfId="43601" xr:uid="{00000000-0005-0000-0000-00005EAA0000}"/>
    <cellStyle name="Positive 4 7 2 18" xfId="43602" xr:uid="{00000000-0005-0000-0000-00005FAA0000}"/>
    <cellStyle name="Positive 4 7 2 18 2" xfId="43603" xr:uid="{00000000-0005-0000-0000-000060AA0000}"/>
    <cellStyle name="Positive 4 7 2 19" xfId="43604" xr:uid="{00000000-0005-0000-0000-000061AA0000}"/>
    <cellStyle name="Positive 4 7 2 19 2" xfId="43605" xr:uid="{00000000-0005-0000-0000-000062AA0000}"/>
    <cellStyle name="Positive 4 7 2 2" xfId="43606" xr:uid="{00000000-0005-0000-0000-000063AA0000}"/>
    <cellStyle name="Positive 4 7 2 2 10" xfId="43607" xr:uid="{00000000-0005-0000-0000-000064AA0000}"/>
    <cellStyle name="Positive 4 7 2 2 10 2" xfId="43608" xr:uid="{00000000-0005-0000-0000-000065AA0000}"/>
    <cellStyle name="Positive 4 7 2 2 11" xfId="43609" xr:uid="{00000000-0005-0000-0000-000066AA0000}"/>
    <cellStyle name="Positive 4 7 2 2 11 2" xfId="43610" xr:uid="{00000000-0005-0000-0000-000067AA0000}"/>
    <cellStyle name="Positive 4 7 2 2 12" xfId="43611" xr:uid="{00000000-0005-0000-0000-000068AA0000}"/>
    <cellStyle name="Positive 4 7 2 2 12 2" xfId="43612" xr:uid="{00000000-0005-0000-0000-000069AA0000}"/>
    <cellStyle name="Positive 4 7 2 2 13" xfId="43613" xr:uid="{00000000-0005-0000-0000-00006AAA0000}"/>
    <cellStyle name="Positive 4 7 2 2 13 2" xfId="43614" xr:uid="{00000000-0005-0000-0000-00006BAA0000}"/>
    <cellStyle name="Positive 4 7 2 2 14" xfId="43615" xr:uid="{00000000-0005-0000-0000-00006CAA0000}"/>
    <cellStyle name="Positive 4 7 2 2 14 2" xfId="43616" xr:uid="{00000000-0005-0000-0000-00006DAA0000}"/>
    <cellStyle name="Positive 4 7 2 2 15" xfId="43617" xr:uid="{00000000-0005-0000-0000-00006EAA0000}"/>
    <cellStyle name="Positive 4 7 2 2 15 2" xfId="43618" xr:uid="{00000000-0005-0000-0000-00006FAA0000}"/>
    <cellStyle name="Positive 4 7 2 2 16" xfId="43619" xr:uid="{00000000-0005-0000-0000-000070AA0000}"/>
    <cellStyle name="Positive 4 7 2 2 16 2" xfId="43620" xr:uid="{00000000-0005-0000-0000-000071AA0000}"/>
    <cellStyle name="Positive 4 7 2 2 17" xfId="43621" xr:uid="{00000000-0005-0000-0000-000072AA0000}"/>
    <cellStyle name="Positive 4 7 2 2 2" xfId="43622" xr:uid="{00000000-0005-0000-0000-000073AA0000}"/>
    <cellStyle name="Positive 4 7 2 2 2 2" xfId="43623" xr:uid="{00000000-0005-0000-0000-000074AA0000}"/>
    <cellStyle name="Positive 4 7 2 2 3" xfId="43624" xr:uid="{00000000-0005-0000-0000-000075AA0000}"/>
    <cellStyle name="Positive 4 7 2 2 3 2" xfId="43625" xr:uid="{00000000-0005-0000-0000-000076AA0000}"/>
    <cellStyle name="Positive 4 7 2 2 4" xfId="43626" xr:uid="{00000000-0005-0000-0000-000077AA0000}"/>
    <cellStyle name="Positive 4 7 2 2 4 2" xfId="43627" xr:uid="{00000000-0005-0000-0000-000078AA0000}"/>
    <cellStyle name="Positive 4 7 2 2 5" xfId="43628" xr:uid="{00000000-0005-0000-0000-000079AA0000}"/>
    <cellStyle name="Positive 4 7 2 2 5 2" xfId="43629" xr:uid="{00000000-0005-0000-0000-00007AAA0000}"/>
    <cellStyle name="Positive 4 7 2 2 6" xfId="43630" xr:uid="{00000000-0005-0000-0000-00007BAA0000}"/>
    <cellStyle name="Positive 4 7 2 2 6 2" xfId="43631" xr:uid="{00000000-0005-0000-0000-00007CAA0000}"/>
    <cellStyle name="Positive 4 7 2 2 7" xfId="43632" xr:uid="{00000000-0005-0000-0000-00007DAA0000}"/>
    <cellStyle name="Positive 4 7 2 2 7 2" xfId="43633" xr:uid="{00000000-0005-0000-0000-00007EAA0000}"/>
    <cellStyle name="Positive 4 7 2 2 8" xfId="43634" xr:uid="{00000000-0005-0000-0000-00007FAA0000}"/>
    <cellStyle name="Positive 4 7 2 2 8 2" xfId="43635" xr:uid="{00000000-0005-0000-0000-000080AA0000}"/>
    <cellStyle name="Positive 4 7 2 2 9" xfId="43636" xr:uid="{00000000-0005-0000-0000-000081AA0000}"/>
    <cellStyle name="Positive 4 7 2 2 9 2" xfId="43637" xr:uid="{00000000-0005-0000-0000-000082AA0000}"/>
    <cellStyle name="Positive 4 7 2 20" xfId="43638" xr:uid="{00000000-0005-0000-0000-000083AA0000}"/>
    <cellStyle name="Positive 4 7 2 3" xfId="43639" xr:uid="{00000000-0005-0000-0000-000084AA0000}"/>
    <cellStyle name="Positive 4 7 2 3 2" xfId="43640" xr:uid="{00000000-0005-0000-0000-000085AA0000}"/>
    <cellStyle name="Positive 4 7 2 3 2 2" xfId="43641" xr:uid="{00000000-0005-0000-0000-000086AA0000}"/>
    <cellStyle name="Positive 4 7 2 3 3" xfId="43642" xr:uid="{00000000-0005-0000-0000-000087AA0000}"/>
    <cellStyle name="Positive 4 7 2 4" xfId="43643" xr:uid="{00000000-0005-0000-0000-000088AA0000}"/>
    <cellStyle name="Positive 4 7 2 4 2" xfId="43644" xr:uid="{00000000-0005-0000-0000-000089AA0000}"/>
    <cellStyle name="Positive 4 7 2 4 2 2" xfId="43645" xr:uid="{00000000-0005-0000-0000-00008AAA0000}"/>
    <cellStyle name="Positive 4 7 2 4 3" xfId="43646" xr:uid="{00000000-0005-0000-0000-00008BAA0000}"/>
    <cellStyle name="Positive 4 7 2 5" xfId="43647" xr:uid="{00000000-0005-0000-0000-00008CAA0000}"/>
    <cellStyle name="Positive 4 7 2 5 2" xfId="43648" xr:uid="{00000000-0005-0000-0000-00008DAA0000}"/>
    <cellStyle name="Positive 4 7 2 6" xfId="43649" xr:uid="{00000000-0005-0000-0000-00008EAA0000}"/>
    <cellStyle name="Positive 4 7 2 6 2" xfId="43650" xr:uid="{00000000-0005-0000-0000-00008FAA0000}"/>
    <cellStyle name="Positive 4 7 2 7" xfId="43651" xr:uid="{00000000-0005-0000-0000-000090AA0000}"/>
    <cellStyle name="Positive 4 7 2 7 2" xfId="43652" xr:uid="{00000000-0005-0000-0000-000091AA0000}"/>
    <cellStyle name="Positive 4 7 2 8" xfId="43653" xr:uid="{00000000-0005-0000-0000-000092AA0000}"/>
    <cellStyle name="Positive 4 7 2 8 2" xfId="43654" xr:uid="{00000000-0005-0000-0000-000093AA0000}"/>
    <cellStyle name="Positive 4 7 2 9" xfId="43655" xr:uid="{00000000-0005-0000-0000-000094AA0000}"/>
    <cellStyle name="Positive 4 7 2 9 2" xfId="43656" xr:uid="{00000000-0005-0000-0000-000095AA0000}"/>
    <cellStyle name="Positive 4 7 20" xfId="43657" xr:uid="{00000000-0005-0000-0000-000096AA0000}"/>
    <cellStyle name="Positive 4 7 20 2" xfId="43658" xr:uid="{00000000-0005-0000-0000-000097AA0000}"/>
    <cellStyle name="Positive 4 7 21" xfId="43659" xr:uid="{00000000-0005-0000-0000-000098AA0000}"/>
    <cellStyle name="Positive 4 7 21 2" xfId="43660" xr:uid="{00000000-0005-0000-0000-000099AA0000}"/>
    <cellStyle name="Positive 4 7 22" xfId="43661" xr:uid="{00000000-0005-0000-0000-00009AAA0000}"/>
    <cellStyle name="Positive 4 7 22 2" xfId="43662" xr:uid="{00000000-0005-0000-0000-00009BAA0000}"/>
    <cellStyle name="Positive 4 7 23" xfId="43663" xr:uid="{00000000-0005-0000-0000-00009CAA0000}"/>
    <cellStyle name="Positive 4 7 3" xfId="43664" xr:uid="{00000000-0005-0000-0000-00009DAA0000}"/>
    <cellStyle name="Positive 4 7 3 10" xfId="43665" xr:uid="{00000000-0005-0000-0000-00009EAA0000}"/>
    <cellStyle name="Positive 4 7 3 10 2" xfId="43666" xr:uid="{00000000-0005-0000-0000-00009FAA0000}"/>
    <cellStyle name="Positive 4 7 3 11" xfId="43667" xr:uid="{00000000-0005-0000-0000-0000A0AA0000}"/>
    <cellStyle name="Positive 4 7 3 11 2" xfId="43668" xr:uid="{00000000-0005-0000-0000-0000A1AA0000}"/>
    <cellStyle name="Positive 4 7 3 12" xfId="43669" xr:uid="{00000000-0005-0000-0000-0000A2AA0000}"/>
    <cellStyle name="Positive 4 7 3 12 2" xfId="43670" xr:uid="{00000000-0005-0000-0000-0000A3AA0000}"/>
    <cellStyle name="Positive 4 7 3 13" xfId="43671" xr:uid="{00000000-0005-0000-0000-0000A4AA0000}"/>
    <cellStyle name="Positive 4 7 3 13 2" xfId="43672" xr:uid="{00000000-0005-0000-0000-0000A5AA0000}"/>
    <cellStyle name="Positive 4 7 3 14" xfId="43673" xr:uid="{00000000-0005-0000-0000-0000A6AA0000}"/>
    <cellStyle name="Positive 4 7 3 14 2" xfId="43674" xr:uid="{00000000-0005-0000-0000-0000A7AA0000}"/>
    <cellStyle name="Positive 4 7 3 15" xfId="43675" xr:uid="{00000000-0005-0000-0000-0000A8AA0000}"/>
    <cellStyle name="Positive 4 7 3 15 2" xfId="43676" xr:uid="{00000000-0005-0000-0000-0000A9AA0000}"/>
    <cellStyle name="Positive 4 7 3 16" xfId="43677" xr:uid="{00000000-0005-0000-0000-0000AAAA0000}"/>
    <cellStyle name="Positive 4 7 3 16 2" xfId="43678" xr:uid="{00000000-0005-0000-0000-0000ABAA0000}"/>
    <cellStyle name="Positive 4 7 3 17" xfId="43679" xr:uid="{00000000-0005-0000-0000-0000ACAA0000}"/>
    <cellStyle name="Positive 4 7 3 17 2" xfId="43680" xr:uid="{00000000-0005-0000-0000-0000ADAA0000}"/>
    <cellStyle name="Positive 4 7 3 18" xfId="43681" xr:uid="{00000000-0005-0000-0000-0000AEAA0000}"/>
    <cellStyle name="Positive 4 7 3 18 2" xfId="43682" xr:uid="{00000000-0005-0000-0000-0000AFAA0000}"/>
    <cellStyle name="Positive 4 7 3 19" xfId="43683" xr:uid="{00000000-0005-0000-0000-0000B0AA0000}"/>
    <cellStyle name="Positive 4 7 3 19 2" xfId="43684" xr:uid="{00000000-0005-0000-0000-0000B1AA0000}"/>
    <cellStyle name="Positive 4 7 3 2" xfId="43685" xr:uid="{00000000-0005-0000-0000-0000B2AA0000}"/>
    <cellStyle name="Positive 4 7 3 2 10" xfId="43686" xr:uid="{00000000-0005-0000-0000-0000B3AA0000}"/>
    <cellStyle name="Positive 4 7 3 2 10 2" xfId="43687" xr:uid="{00000000-0005-0000-0000-0000B4AA0000}"/>
    <cellStyle name="Positive 4 7 3 2 11" xfId="43688" xr:uid="{00000000-0005-0000-0000-0000B5AA0000}"/>
    <cellStyle name="Positive 4 7 3 2 11 2" xfId="43689" xr:uid="{00000000-0005-0000-0000-0000B6AA0000}"/>
    <cellStyle name="Positive 4 7 3 2 12" xfId="43690" xr:uid="{00000000-0005-0000-0000-0000B7AA0000}"/>
    <cellStyle name="Positive 4 7 3 2 12 2" xfId="43691" xr:uid="{00000000-0005-0000-0000-0000B8AA0000}"/>
    <cellStyle name="Positive 4 7 3 2 13" xfId="43692" xr:uid="{00000000-0005-0000-0000-0000B9AA0000}"/>
    <cellStyle name="Positive 4 7 3 2 13 2" xfId="43693" xr:uid="{00000000-0005-0000-0000-0000BAAA0000}"/>
    <cellStyle name="Positive 4 7 3 2 14" xfId="43694" xr:uid="{00000000-0005-0000-0000-0000BBAA0000}"/>
    <cellStyle name="Positive 4 7 3 2 14 2" xfId="43695" xr:uid="{00000000-0005-0000-0000-0000BCAA0000}"/>
    <cellStyle name="Positive 4 7 3 2 15" xfId="43696" xr:uid="{00000000-0005-0000-0000-0000BDAA0000}"/>
    <cellStyle name="Positive 4 7 3 2 15 2" xfId="43697" xr:uid="{00000000-0005-0000-0000-0000BEAA0000}"/>
    <cellStyle name="Positive 4 7 3 2 16" xfId="43698" xr:uid="{00000000-0005-0000-0000-0000BFAA0000}"/>
    <cellStyle name="Positive 4 7 3 2 16 2" xfId="43699" xr:uid="{00000000-0005-0000-0000-0000C0AA0000}"/>
    <cellStyle name="Positive 4 7 3 2 17" xfId="43700" xr:uid="{00000000-0005-0000-0000-0000C1AA0000}"/>
    <cellStyle name="Positive 4 7 3 2 2" xfId="43701" xr:uid="{00000000-0005-0000-0000-0000C2AA0000}"/>
    <cellStyle name="Positive 4 7 3 2 2 2" xfId="43702" xr:uid="{00000000-0005-0000-0000-0000C3AA0000}"/>
    <cellStyle name="Positive 4 7 3 2 3" xfId="43703" xr:uid="{00000000-0005-0000-0000-0000C4AA0000}"/>
    <cellStyle name="Positive 4 7 3 2 3 2" xfId="43704" xr:uid="{00000000-0005-0000-0000-0000C5AA0000}"/>
    <cellStyle name="Positive 4 7 3 2 4" xfId="43705" xr:uid="{00000000-0005-0000-0000-0000C6AA0000}"/>
    <cellStyle name="Positive 4 7 3 2 4 2" xfId="43706" xr:uid="{00000000-0005-0000-0000-0000C7AA0000}"/>
    <cellStyle name="Positive 4 7 3 2 5" xfId="43707" xr:uid="{00000000-0005-0000-0000-0000C8AA0000}"/>
    <cellStyle name="Positive 4 7 3 2 5 2" xfId="43708" xr:uid="{00000000-0005-0000-0000-0000C9AA0000}"/>
    <cellStyle name="Positive 4 7 3 2 6" xfId="43709" xr:uid="{00000000-0005-0000-0000-0000CAAA0000}"/>
    <cellStyle name="Positive 4 7 3 2 6 2" xfId="43710" xr:uid="{00000000-0005-0000-0000-0000CBAA0000}"/>
    <cellStyle name="Positive 4 7 3 2 7" xfId="43711" xr:uid="{00000000-0005-0000-0000-0000CCAA0000}"/>
    <cellStyle name="Positive 4 7 3 2 7 2" xfId="43712" xr:uid="{00000000-0005-0000-0000-0000CDAA0000}"/>
    <cellStyle name="Positive 4 7 3 2 8" xfId="43713" xr:uid="{00000000-0005-0000-0000-0000CEAA0000}"/>
    <cellStyle name="Positive 4 7 3 2 8 2" xfId="43714" xr:uid="{00000000-0005-0000-0000-0000CFAA0000}"/>
    <cellStyle name="Positive 4 7 3 2 9" xfId="43715" xr:uid="{00000000-0005-0000-0000-0000D0AA0000}"/>
    <cellStyle name="Positive 4 7 3 2 9 2" xfId="43716" xr:uid="{00000000-0005-0000-0000-0000D1AA0000}"/>
    <cellStyle name="Positive 4 7 3 20" xfId="43717" xr:uid="{00000000-0005-0000-0000-0000D2AA0000}"/>
    <cellStyle name="Positive 4 7 3 3" xfId="43718" xr:uid="{00000000-0005-0000-0000-0000D3AA0000}"/>
    <cellStyle name="Positive 4 7 3 3 2" xfId="43719" xr:uid="{00000000-0005-0000-0000-0000D4AA0000}"/>
    <cellStyle name="Positive 4 7 3 3 2 2" xfId="43720" xr:uid="{00000000-0005-0000-0000-0000D5AA0000}"/>
    <cellStyle name="Positive 4 7 3 3 3" xfId="43721" xr:uid="{00000000-0005-0000-0000-0000D6AA0000}"/>
    <cellStyle name="Positive 4 7 3 4" xfId="43722" xr:uid="{00000000-0005-0000-0000-0000D7AA0000}"/>
    <cellStyle name="Positive 4 7 3 4 2" xfId="43723" xr:uid="{00000000-0005-0000-0000-0000D8AA0000}"/>
    <cellStyle name="Positive 4 7 3 4 2 2" xfId="43724" xr:uid="{00000000-0005-0000-0000-0000D9AA0000}"/>
    <cellStyle name="Positive 4 7 3 4 3" xfId="43725" xr:uid="{00000000-0005-0000-0000-0000DAAA0000}"/>
    <cellStyle name="Positive 4 7 3 5" xfId="43726" xr:uid="{00000000-0005-0000-0000-0000DBAA0000}"/>
    <cellStyle name="Positive 4 7 3 5 2" xfId="43727" xr:uid="{00000000-0005-0000-0000-0000DCAA0000}"/>
    <cellStyle name="Positive 4 7 3 6" xfId="43728" xr:uid="{00000000-0005-0000-0000-0000DDAA0000}"/>
    <cellStyle name="Positive 4 7 3 6 2" xfId="43729" xr:uid="{00000000-0005-0000-0000-0000DEAA0000}"/>
    <cellStyle name="Positive 4 7 3 7" xfId="43730" xr:uid="{00000000-0005-0000-0000-0000DFAA0000}"/>
    <cellStyle name="Positive 4 7 3 7 2" xfId="43731" xr:uid="{00000000-0005-0000-0000-0000E0AA0000}"/>
    <cellStyle name="Positive 4 7 3 8" xfId="43732" xr:uid="{00000000-0005-0000-0000-0000E1AA0000}"/>
    <cellStyle name="Positive 4 7 3 8 2" xfId="43733" xr:uid="{00000000-0005-0000-0000-0000E2AA0000}"/>
    <cellStyle name="Positive 4 7 3 9" xfId="43734" xr:uid="{00000000-0005-0000-0000-0000E3AA0000}"/>
    <cellStyle name="Positive 4 7 3 9 2" xfId="43735" xr:uid="{00000000-0005-0000-0000-0000E4AA0000}"/>
    <cellStyle name="Positive 4 7 4" xfId="43736" xr:uid="{00000000-0005-0000-0000-0000E5AA0000}"/>
    <cellStyle name="Positive 4 7 4 10" xfId="43737" xr:uid="{00000000-0005-0000-0000-0000E6AA0000}"/>
    <cellStyle name="Positive 4 7 4 10 2" xfId="43738" xr:uid="{00000000-0005-0000-0000-0000E7AA0000}"/>
    <cellStyle name="Positive 4 7 4 11" xfId="43739" xr:uid="{00000000-0005-0000-0000-0000E8AA0000}"/>
    <cellStyle name="Positive 4 7 4 11 2" xfId="43740" xr:uid="{00000000-0005-0000-0000-0000E9AA0000}"/>
    <cellStyle name="Positive 4 7 4 12" xfId="43741" xr:uid="{00000000-0005-0000-0000-0000EAAA0000}"/>
    <cellStyle name="Positive 4 7 4 12 2" xfId="43742" xr:uid="{00000000-0005-0000-0000-0000EBAA0000}"/>
    <cellStyle name="Positive 4 7 4 13" xfId="43743" xr:uid="{00000000-0005-0000-0000-0000ECAA0000}"/>
    <cellStyle name="Positive 4 7 4 13 2" xfId="43744" xr:uid="{00000000-0005-0000-0000-0000EDAA0000}"/>
    <cellStyle name="Positive 4 7 4 14" xfId="43745" xr:uid="{00000000-0005-0000-0000-0000EEAA0000}"/>
    <cellStyle name="Positive 4 7 4 14 2" xfId="43746" xr:uid="{00000000-0005-0000-0000-0000EFAA0000}"/>
    <cellStyle name="Positive 4 7 4 15" xfId="43747" xr:uid="{00000000-0005-0000-0000-0000F0AA0000}"/>
    <cellStyle name="Positive 4 7 4 15 2" xfId="43748" xr:uid="{00000000-0005-0000-0000-0000F1AA0000}"/>
    <cellStyle name="Positive 4 7 4 16" xfId="43749" xr:uid="{00000000-0005-0000-0000-0000F2AA0000}"/>
    <cellStyle name="Positive 4 7 4 16 2" xfId="43750" xr:uid="{00000000-0005-0000-0000-0000F3AA0000}"/>
    <cellStyle name="Positive 4 7 4 17" xfId="43751" xr:uid="{00000000-0005-0000-0000-0000F4AA0000}"/>
    <cellStyle name="Positive 4 7 4 17 2" xfId="43752" xr:uid="{00000000-0005-0000-0000-0000F5AA0000}"/>
    <cellStyle name="Positive 4 7 4 18" xfId="43753" xr:uid="{00000000-0005-0000-0000-0000F6AA0000}"/>
    <cellStyle name="Positive 4 7 4 18 2" xfId="43754" xr:uid="{00000000-0005-0000-0000-0000F7AA0000}"/>
    <cellStyle name="Positive 4 7 4 19" xfId="43755" xr:uid="{00000000-0005-0000-0000-0000F8AA0000}"/>
    <cellStyle name="Positive 4 7 4 19 2" xfId="43756" xr:uid="{00000000-0005-0000-0000-0000F9AA0000}"/>
    <cellStyle name="Positive 4 7 4 2" xfId="43757" xr:uid="{00000000-0005-0000-0000-0000FAAA0000}"/>
    <cellStyle name="Positive 4 7 4 2 10" xfId="43758" xr:uid="{00000000-0005-0000-0000-0000FBAA0000}"/>
    <cellStyle name="Positive 4 7 4 2 10 2" xfId="43759" xr:uid="{00000000-0005-0000-0000-0000FCAA0000}"/>
    <cellStyle name="Positive 4 7 4 2 11" xfId="43760" xr:uid="{00000000-0005-0000-0000-0000FDAA0000}"/>
    <cellStyle name="Positive 4 7 4 2 11 2" xfId="43761" xr:uid="{00000000-0005-0000-0000-0000FEAA0000}"/>
    <cellStyle name="Positive 4 7 4 2 12" xfId="43762" xr:uid="{00000000-0005-0000-0000-0000FFAA0000}"/>
    <cellStyle name="Positive 4 7 4 2 12 2" xfId="43763" xr:uid="{00000000-0005-0000-0000-000000AB0000}"/>
    <cellStyle name="Positive 4 7 4 2 13" xfId="43764" xr:uid="{00000000-0005-0000-0000-000001AB0000}"/>
    <cellStyle name="Positive 4 7 4 2 13 2" xfId="43765" xr:uid="{00000000-0005-0000-0000-000002AB0000}"/>
    <cellStyle name="Positive 4 7 4 2 14" xfId="43766" xr:uid="{00000000-0005-0000-0000-000003AB0000}"/>
    <cellStyle name="Positive 4 7 4 2 14 2" xfId="43767" xr:uid="{00000000-0005-0000-0000-000004AB0000}"/>
    <cellStyle name="Positive 4 7 4 2 15" xfId="43768" xr:uid="{00000000-0005-0000-0000-000005AB0000}"/>
    <cellStyle name="Positive 4 7 4 2 15 2" xfId="43769" xr:uid="{00000000-0005-0000-0000-000006AB0000}"/>
    <cellStyle name="Positive 4 7 4 2 16" xfId="43770" xr:uid="{00000000-0005-0000-0000-000007AB0000}"/>
    <cellStyle name="Positive 4 7 4 2 16 2" xfId="43771" xr:uid="{00000000-0005-0000-0000-000008AB0000}"/>
    <cellStyle name="Positive 4 7 4 2 17" xfId="43772" xr:uid="{00000000-0005-0000-0000-000009AB0000}"/>
    <cellStyle name="Positive 4 7 4 2 2" xfId="43773" xr:uid="{00000000-0005-0000-0000-00000AAB0000}"/>
    <cellStyle name="Positive 4 7 4 2 2 2" xfId="43774" xr:uid="{00000000-0005-0000-0000-00000BAB0000}"/>
    <cellStyle name="Positive 4 7 4 2 3" xfId="43775" xr:uid="{00000000-0005-0000-0000-00000CAB0000}"/>
    <cellStyle name="Positive 4 7 4 2 3 2" xfId="43776" xr:uid="{00000000-0005-0000-0000-00000DAB0000}"/>
    <cellStyle name="Positive 4 7 4 2 4" xfId="43777" xr:uid="{00000000-0005-0000-0000-00000EAB0000}"/>
    <cellStyle name="Positive 4 7 4 2 4 2" xfId="43778" xr:uid="{00000000-0005-0000-0000-00000FAB0000}"/>
    <cellStyle name="Positive 4 7 4 2 5" xfId="43779" xr:uid="{00000000-0005-0000-0000-000010AB0000}"/>
    <cellStyle name="Positive 4 7 4 2 5 2" xfId="43780" xr:uid="{00000000-0005-0000-0000-000011AB0000}"/>
    <cellStyle name="Positive 4 7 4 2 6" xfId="43781" xr:uid="{00000000-0005-0000-0000-000012AB0000}"/>
    <cellStyle name="Positive 4 7 4 2 6 2" xfId="43782" xr:uid="{00000000-0005-0000-0000-000013AB0000}"/>
    <cellStyle name="Positive 4 7 4 2 7" xfId="43783" xr:uid="{00000000-0005-0000-0000-000014AB0000}"/>
    <cellStyle name="Positive 4 7 4 2 7 2" xfId="43784" xr:uid="{00000000-0005-0000-0000-000015AB0000}"/>
    <cellStyle name="Positive 4 7 4 2 8" xfId="43785" xr:uid="{00000000-0005-0000-0000-000016AB0000}"/>
    <cellStyle name="Positive 4 7 4 2 8 2" xfId="43786" xr:uid="{00000000-0005-0000-0000-000017AB0000}"/>
    <cellStyle name="Positive 4 7 4 2 9" xfId="43787" xr:uid="{00000000-0005-0000-0000-000018AB0000}"/>
    <cellStyle name="Positive 4 7 4 2 9 2" xfId="43788" xr:uid="{00000000-0005-0000-0000-000019AB0000}"/>
    <cellStyle name="Positive 4 7 4 20" xfId="43789" xr:uid="{00000000-0005-0000-0000-00001AAB0000}"/>
    <cellStyle name="Positive 4 7 4 3" xfId="43790" xr:uid="{00000000-0005-0000-0000-00001BAB0000}"/>
    <cellStyle name="Positive 4 7 4 3 2" xfId="43791" xr:uid="{00000000-0005-0000-0000-00001CAB0000}"/>
    <cellStyle name="Positive 4 7 4 3 2 2" xfId="43792" xr:uid="{00000000-0005-0000-0000-00001DAB0000}"/>
    <cellStyle name="Positive 4 7 4 3 3" xfId="43793" xr:uid="{00000000-0005-0000-0000-00001EAB0000}"/>
    <cellStyle name="Positive 4 7 4 4" xfId="43794" xr:uid="{00000000-0005-0000-0000-00001FAB0000}"/>
    <cellStyle name="Positive 4 7 4 4 2" xfId="43795" xr:uid="{00000000-0005-0000-0000-000020AB0000}"/>
    <cellStyle name="Positive 4 7 4 4 2 2" xfId="43796" xr:uid="{00000000-0005-0000-0000-000021AB0000}"/>
    <cellStyle name="Positive 4 7 4 4 3" xfId="43797" xr:uid="{00000000-0005-0000-0000-000022AB0000}"/>
    <cellStyle name="Positive 4 7 4 5" xfId="43798" xr:uid="{00000000-0005-0000-0000-000023AB0000}"/>
    <cellStyle name="Positive 4 7 4 5 2" xfId="43799" xr:uid="{00000000-0005-0000-0000-000024AB0000}"/>
    <cellStyle name="Positive 4 7 4 6" xfId="43800" xr:uid="{00000000-0005-0000-0000-000025AB0000}"/>
    <cellStyle name="Positive 4 7 4 6 2" xfId="43801" xr:uid="{00000000-0005-0000-0000-000026AB0000}"/>
    <cellStyle name="Positive 4 7 4 7" xfId="43802" xr:uid="{00000000-0005-0000-0000-000027AB0000}"/>
    <cellStyle name="Positive 4 7 4 7 2" xfId="43803" xr:uid="{00000000-0005-0000-0000-000028AB0000}"/>
    <cellStyle name="Positive 4 7 4 8" xfId="43804" xr:uid="{00000000-0005-0000-0000-000029AB0000}"/>
    <cellStyle name="Positive 4 7 4 8 2" xfId="43805" xr:uid="{00000000-0005-0000-0000-00002AAB0000}"/>
    <cellStyle name="Positive 4 7 4 9" xfId="43806" xr:uid="{00000000-0005-0000-0000-00002BAB0000}"/>
    <cellStyle name="Positive 4 7 4 9 2" xfId="43807" xr:uid="{00000000-0005-0000-0000-00002CAB0000}"/>
    <cellStyle name="Positive 4 7 5" xfId="43808" xr:uid="{00000000-0005-0000-0000-00002DAB0000}"/>
    <cellStyle name="Positive 4 7 5 10" xfId="43809" xr:uid="{00000000-0005-0000-0000-00002EAB0000}"/>
    <cellStyle name="Positive 4 7 5 10 2" xfId="43810" xr:uid="{00000000-0005-0000-0000-00002FAB0000}"/>
    <cellStyle name="Positive 4 7 5 11" xfId="43811" xr:uid="{00000000-0005-0000-0000-000030AB0000}"/>
    <cellStyle name="Positive 4 7 5 11 2" xfId="43812" xr:uid="{00000000-0005-0000-0000-000031AB0000}"/>
    <cellStyle name="Positive 4 7 5 12" xfId="43813" xr:uid="{00000000-0005-0000-0000-000032AB0000}"/>
    <cellStyle name="Positive 4 7 5 12 2" xfId="43814" xr:uid="{00000000-0005-0000-0000-000033AB0000}"/>
    <cellStyle name="Positive 4 7 5 13" xfId="43815" xr:uid="{00000000-0005-0000-0000-000034AB0000}"/>
    <cellStyle name="Positive 4 7 5 13 2" xfId="43816" xr:uid="{00000000-0005-0000-0000-000035AB0000}"/>
    <cellStyle name="Positive 4 7 5 14" xfId="43817" xr:uid="{00000000-0005-0000-0000-000036AB0000}"/>
    <cellStyle name="Positive 4 7 5 14 2" xfId="43818" xr:uid="{00000000-0005-0000-0000-000037AB0000}"/>
    <cellStyle name="Positive 4 7 5 15" xfId="43819" xr:uid="{00000000-0005-0000-0000-000038AB0000}"/>
    <cellStyle name="Positive 4 7 5 15 2" xfId="43820" xr:uid="{00000000-0005-0000-0000-000039AB0000}"/>
    <cellStyle name="Positive 4 7 5 16" xfId="43821" xr:uid="{00000000-0005-0000-0000-00003AAB0000}"/>
    <cellStyle name="Positive 4 7 5 16 2" xfId="43822" xr:uid="{00000000-0005-0000-0000-00003BAB0000}"/>
    <cellStyle name="Positive 4 7 5 17" xfId="43823" xr:uid="{00000000-0005-0000-0000-00003CAB0000}"/>
    <cellStyle name="Positive 4 7 5 2" xfId="43824" xr:uid="{00000000-0005-0000-0000-00003DAB0000}"/>
    <cellStyle name="Positive 4 7 5 2 2" xfId="43825" xr:uid="{00000000-0005-0000-0000-00003EAB0000}"/>
    <cellStyle name="Positive 4 7 5 3" xfId="43826" xr:uid="{00000000-0005-0000-0000-00003FAB0000}"/>
    <cellStyle name="Positive 4 7 5 3 2" xfId="43827" xr:uid="{00000000-0005-0000-0000-000040AB0000}"/>
    <cellStyle name="Positive 4 7 5 4" xfId="43828" xr:uid="{00000000-0005-0000-0000-000041AB0000}"/>
    <cellStyle name="Positive 4 7 5 4 2" xfId="43829" xr:uid="{00000000-0005-0000-0000-000042AB0000}"/>
    <cellStyle name="Positive 4 7 5 5" xfId="43830" xr:uid="{00000000-0005-0000-0000-000043AB0000}"/>
    <cellStyle name="Positive 4 7 5 5 2" xfId="43831" xr:uid="{00000000-0005-0000-0000-000044AB0000}"/>
    <cellStyle name="Positive 4 7 5 6" xfId="43832" xr:uid="{00000000-0005-0000-0000-000045AB0000}"/>
    <cellStyle name="Positive 4 7 5 6 2" xfId="43833" xr:uid="{00000000-0005-0000-0000-000046AB0000}"/>
    <cellStyle name="Positive 4 7 5 7" xfId="43834" xr:uid="{00000000-0005-0000-0000-000047AB0000}"/>
    <cellStyle name="Positive 4 7 5 7 2" xfId="43835" xr:uid="{00000000-0005-0000-0000-000048AB0000}"/>
    <cellStyle name="Positive 4 7 5 8" xfId="43836" xr:uid="{00000000-0005-0000-0000-000049AB0000}"/>
    <cellStyle name="Positive 4 7 5 8 2" xfId="43837" xr:uid="{00000000-0005-0000-0000-00004AAB0000}"/>
    <cellStyle name="Positive 4 7 5 9" xfId="43838" xr:uid="{00000000-0005-0000-0000-00004BAB0000}"/>
    <cellStyle name="Positive 4 7 5 9 2" xfId="43839" xr:uid="{00000000-0005-0000-0000-00004CAB0000}"/>
    <cellStyle name="Positive 4 7 6" xfId="43840" xr:uid="{00000000-0005-0000-0000-00004DAB0000}"/>
    <cellStyle name="Positive 4 7 6 2" xfId="43841" xr:uid="{00000000-0005-0000-0000-00004EAB0000}"/>
    <cellStyle name="Positive 4 7 6 2 2" xfId="43842" xr:uid="{00000000-0005-0000-0000-00004FAB0000}"/>
    <cellStyle name="Positive 4 7 6 3" xfId="43843" xr:uid="{00000000-0005-0000-0000-000050AB0000}"/>
    <cellStyle name="Positive 4 7 7" xfId="43844" xr:uid="{00000000-0005-0000-0000-000051AB0000}"/>
    <cellStyle name="Positive 4 7 7 2" xfId="43845" xr:uid="{00000000-0005-0000-0000-000052AB0000}"/>
    <cellStyle name="Positive 4 7 7 2 2" xfId="43846" xr:uid="{00000000-0005-0000-0000-000053AB0000}"/>
    <cellStyle name="Positive 4 7 7 3" xfId="43847" xr:uid="{00000000-0005-0000-0000-000054AB0000}"/>
    <cellStyle name="Positive 4 7 8" xfId="43848" xr:uid="{00000000-0005-0000-0000-000055AB0000}"/>
    <cellStyle name="Positive 4 7 8 2" xfId="43849" xr:uid="{00000000-0005-0000-0000-000056AB0000}"/>
    <cellStyle name="Positive 4 7 9" xfId="43850" xr:uid="{00000000-0005-0000-0000-000057AB0000}"/>
    <cellStyle name="Positive 4 7 9 2" xfId="43851" xr:uid="{00000000-0005-0000-0000-000058AB0000}"/>
    <cellStyle name="Positive 4 8" xfId="43852" xr:uid="{00000000-0005-0000-0000-000059AB0000}"/>
    <cellStyle name="Positive 4 8 10" xfId="43853" xr:uid="{00000000-0005-0000-0000-00005AAB0000}"/>
    <cellStyle name="Positive 4 8 10 2" xfId="43854" xr:uid="{00000000-0005-0000-0000-00005BAB0000}"/>
    <cellStyle name="Positive 4 8 11" xfId="43855" xr:uid="{00000000-0005-0000-0000-00005CAB0000}"/>
    <cellStyle name="Positive 4 8 11 2" xfId="43856" xr:uid="{00000000-0005-0000-0000-00005DAB0000}"/>
    <cellStyle name="Positive 4 8 12" xfId="43857" xr:uid="{00000000-0005-0000-0000-00005EAB0000}"/>
    <cellStyle name="Positive 4 8 12 2" xfId="43858" xr:uid="{00000000-0005-0000-0000-00005FAB0000}"/>
    <cellStyle name="Positive 4 8 13" xfId="43859" xr:uid="{00000000-0005-0000-0000-000060AB0000}"/>
    <cellStyle name="Positive 4 8 13 2" xfId="43860" xr:uid="{00000000-0005-0000-0000-000061AB0000}"/>
    <cellStyle name="Positive 4 8 14" xfId="43861" xr:uid="{00000000-0005-0000-0000-000062AB0000}"/>
    <cellStyle name="Positive 4 8 14 2" xfId="43862" xr:uid="{00000000-0005-0000-0000-000063AB0000}"/>
    <cellStyle name="Positive 4 8 15" xfId="43863" xr:uid="{00000000-0005-0000-0000-000064AB0000}"/>
    <cellStyle name="Positive 4 8 15 2" xfId="43864" xr:uid="{00000000-0005-0000-0000-000065AB0000}"/>
    <cellStyle name="Positive 4 8 16" xfId="43865" xr:uid="{00000000-0005-0000-0000-000066AB0000}"/>
    <cellStyle name="Positive 4 8 16 2" xfId="43866" xr:uid="{00000000-0005-0000-0000-000067AB0000}"/>
    <cellStyle name="Positive 4 8 17" xfId="43867" xr:uid="{00000000-0005-0000-0000-000068AB0000}"/>
    <cellStyle name="Positive 4 8 17 2" xfId="43868" xr:uid="{00000000-0005-0000-0000-000069AB0000}"/>
    <cellStyle name="Positive 4 8 18" xfId="43869" xr:uid="{00000000-0005-0000-0000-00006AAB0000}"/>
    <cellStyle name="Positive 4 8 18 2" xfId="43870" xr:uid="{00000000-0005-0000-0000-00006BAB0000}"/>
    <cellStyle name="Positive 4 8 19" xfId="43871" xr:uid="{00000000-0005-0000-0000-00006CAB0000}"/>
    <cellStyle name="Positive 4 8 19 2" xfId="43872" xr:uid="{00000000-0005-0000-0000-00006DAB0000}"/>
    <cellStyle name="Positive 4 8 2" xfId="43873" xr:uid="{00000000-0005-0000-0000-00006EAB0000}"/>
    <cellStyle name="Positive 4 8 2 10" xfId="43874" xr:uid="{00000000-0005-0000-0000-00006FAB0000}"/>
    <cellStyle name="Positive 4 8 2 10 2" xfId="43875" xr:uid="{00000000-0005-0000-0000-000070AB0000}"/>
    <cellStyle name="Positive 4 8 2 11" xfId="43876" xr:uid="{00000000-0005-0000-0000-000071AB0000}"/>
    <cellStyle name="Positive 4 8 2 11 2" xfId="43877" xr:uid="{00000000-0005-0000-0000-000072AB0000}"/>
    <cellStyle name="Positive 4 8 2 12" xfId="43878" xr:uid="{00000000-0005-0000-0000-000073AB0000}"/>
    <cellStyle name="Positive 4 8 2 12 2" xfId="43879" xr:uid="{00000000-0005-0000-0000-000074AB0000}"/>
    <cellStyle name="Positive 4 8 2 13" xfId="43880" xr:uid="{00000000-0005-0000-0000-000075AB0000}"/>
    <cellStyle name="Positive 4 8 2 13 2" xfId="43881" xr:uid="{00000000-0005-0000-0000-000076AB0000}"/>
    <cellStyle name="Positive 4 8 2 14" xfId="43882" xr:uid="{00000000-0005-0000-0000-000077AB0000}"/>
    <cellStyle name="Positive 4 8 2 14 2" xfId="43883" xr:uid="{00000000-0005-0000-0000-000078AB0000}"/>
    <cellStyle name="Positive 4 8 2 15" xfId="43884" xr:uid="{00000000-0005-0000-0000-000079AB0000}"/>
    <cellStyle name="Positive 4 8 2 15 2" xfId="43885" xr:uid="{00000000-0005-0000-0000-00007AAB0000}"/>
    <cellStyle name="Positive 4 8 2 16" xfId="43886" xr:uid="{00000000-0005-0000-0000-00007BAB0000}"/>
    <cellStyle name="Positive 4 8 2 16 2" xfId="43887" xr:uid="{00000000-0005-0000-0000-00007CAB0000}"/>
    <cellStyle name="Positive 4 8 2 17" xfId="43888" xr:uid="{00000000-0005-0000-0000-00007DAB0000}"/>
    <cellStyle name="Positive 4 8 2 17 2" xfId="43889" xr:uid="{00000000-0005-0000-0000-00007EAB0000}"/>
    <cellStyle name="Positive 4 8 2 18" xfId="43890" xr:uid="{00000000-0005-0000-0000-00007FAB0000}"/>
    <cellStyle name="Positive 4 8 2 18 2" xfId="43891" xr:uid="{00000000-0005-0000-0000-000080AB0000}"/>
    <cellStyle name="Positive 4 8 2 19" xfId="43892" xr:uid="{00000000-0005-0000-0000-000081AB0000}"/>
    <cellStyle name="Positive 4 8 2 19 2" xfId="43893" xr:uid="{00000000-0005-0000-0000-000082AB0000}"/>
    <cellStyle name="Positive 4 8 2 2" xfId="43894" xr:uid="{00000000-0005-0000-0000-000083AB0000}"/>
    <cellStyle name="Positive 4 8 2 2 10" xfId="43895" xr:uid="{00000000-0005-0000-0000-000084AB0000}"/>
    <cellStyle name="Positive 4 8 2 2 10 2" xfId="43896" xr:uid="{00000000-0005-0000-0000-000085AB0000}"/>
    <cellStyle name="Positive 4 8 2 2 11" xfId="43897" xr:uid="{00000000-0005-0000-0000-000086AB0000}"/>
    <cellStyle name="Positive 4 8 2 2 11 2" xfId="43898" xr:uid="{00000000-0005-0000-0000-000087AB0000}"/>
    <cellStyle name="Positive 4 8 2 2 12" xfId="43899" xr:uid="{00000000-0005-0000-0000-000088AB0000}"/>
    <cellStyle name="Positive 4 8 2 2 12 2" xfId="43900" xr:uid="{00000000-0005-0000-0000-000089AB0000}"/>
    <cellStyle name="Positive 4 8 2 2 13" xfId="43901" xr:uid="{00000000-0005-0000-0000-00008AAB0000}"/>
    <cellStyle name="Positive 4 8 2 2 13 2" xfId="43902" xr:uid="{00000000-0005-0000-0000-00008BAB0000}"/>
    <cellStyle name="Positive 4 8 2 2 14" xfId="43903" xr:uid="{00000000-0005-0000-0000-00008CAB0000}"/>
    <cellStyle name="Positive 4 8 2 2 14 2" xfId="43904" xr:uid="{00000000-0005-0000-0000-00008DAB0000}"/>
    <cellStyle name="Positive 4 8 2 2 15" xfId="43905" xr:uid="{00000000-0005-0000-0000-00008EAB0000}"/>
    <cellStyle name="Positive 4 8 2 2 15 2" xfId="43906" xr:uid="{00000000-0005-0000-0000-00008FAB0000}"/>
    <cellStyle name="Positive 4 8 2 2 16" xfId="43907" xr:uid="{00000000-0005-0000-0000-000090AB0000}"/>
    <cellStyle name="Positive 4 8 2 2 16 2" xfId="43908" xr:uid="{00000000-0005-0000-0000-000091AB0000}"/>
    <cellStyle name="Positive 4 8 2 2 17" xfId="43909" xr:uid="{00000000-0005-0000-0000-000092AB0000}"/>
    <cellStyle name="Positive 4 8 2 2 2" xfId="43910" xr:uid="{00000000-0005-0000-0000-000093AB0000}"/>
    <cellStyle name="Positive 4 8 2 2 2 2" xfId="43911" xr:uid="{00000000-0005-0000-0000-000094AB0000}"/>
    <cellStyle name="Positive 4 8 2 2 3" xfId="43912" xr:uid="{00000000-0005-0000-0000-000095AB0000}"/>
    <cellStyle name="Positive 4 8 2 2 3 2" xfId="43913" xr:uid="{00000000-0005-0000-0000-000096AB0000}"/>
    <cellStyle name="Positive 4 8 2 2 4" xfId="43914" xr:uid="{00000000-0005-0000-0000-000097AB0000}"/>
    <cellStyle name="Positive 4 8 2 2 4 2" xfId="43915" xr:uid="{00000000-0005-0000-0000-000098AB0000}"/>
    <cellStyle name="Positive 4 8 2 2 5" xfId="43916" xr:uid="{00000000-0005-0000-0000-000099AB0000}"/>
    <cellStyle name="Positive 4 8 2 2 5 2" xfId="43917" xr:uid="{00000000-0005-0000-0000-00009AAB0000}"/>
    <cellStyle name="Positive 4 8 2 2 6" xfId="43918" xr:uid="{00000000-0005-0000-0000-00009BAB0000}"/>
    <cellStyle name="Positive 4 8 2 2 6 2" xfId="43919" xr:uid="{00000000-0005-0000-0000-00009CAB0000}"/>
    <cellStyle name="Positive 4 8 2 2 7" xfId="43920" xr:uid="{00000000-0005-0000-0000-00009DAB0000}"/>
    <cellStyle name="Positive 4 8 2 2 7 2" xfId="43921" xr:uid="{00000000-0005-0000-0000-00009EAB0000}"/>
    <cellStyle name="Positive 4 8 2 2 8" xfId="43922" xr:uid="{00000000-0005-0000-0000-00009FAB0000}"/>
    <cellStyle name="Positive 4 8 2 2 8 2" xfId="43923" xr:uid="{00000000-0005-0000-0000-0000A0AB0000}"/>
    <cellStyle name="Positive 4 8 2 2 9" xfId="43924" xr:uid="{00000000-0005-0000-0000-0000A1AB0000}"/>
    <cellStyle name="Positive 4 8 2 2 9 2" xfId="43925" xr:uid="{00000000-0005-0000-0000-0000A2AB0000}"/>
    <cellStyle name="Positive 4 8 2 20" xfId="43926" xr:uid="{00000000-0005-0000-0000-0000A3AB0000}"/>
    <cellStyle name="Positive 4 8 2 3" xfId="43927" xr:uid="{00000000-0005-0000-0000-0000A4AB0000}"/>
    <cellStyle name="Positive 4 8 2 3 2" xfId="43928" xr:uid="{00000000-0005-0000-0000-0000A5AB0000}"/>
    <cellStyle name="Positive 4 8 2 3 2 2" xfId="43929" xr:uid="{00000000-0005-0000-0000-0000A6AB0000}"/>
    <cellStyle name="Positive 4 8 2 3 3" xfId="43930" xr:uid="{00000000-0005-0000-0000-0000A7AB0000}"/>
    <cellStyle name="Positive 4 8 2 4" xfId="43931" xr:uid="{00000000-0005-0000-0000-0000A8AB0000}"/>
    <cellStyle name="Positive 4 8 2 4 2" xfId="43932" xr:uid="{00000000-0005-0000-0000-0000A9AB0000}"/>
    <cellStyle name="Positive 4 8 2 4 2 2" xfId="43933" xr:uid="{00000000-0005-0000-0000-0000AAAB0000}"/>
    <cellStyle name="Positive 4 8 2 4 3" xfId="43934" xr:uid="{00000000-0005-0000-0000-0000ABAB0000}"/>
    <cellStyle name="Positive 4 8 2 5" xfId="43935" xr:uid="{00000000-0005-0000-0000-0000ACAB0000}"/>
    <cellStyle name="Positive 4 8 2 5 2" xfId="43936" xr:uid="{00000000-0005-0000-0000-0000ADAB0000}"/>
    <cellStyle name="Positive 4 8 2 6" xfId="43937" xr:uid="{00000000-0005-0000-0000-0000AEAB0000}"/>
    <cellStyle name="Positive 4 8 2 6 2" xfId="43938" xr:uid="{00000000-0005-0000-0000-0000AFAB0000}"/>
    <cellStyle name="Positive 4 8 2 7" xfId="43939" xr:uid="{00000000-0005-0000-0000-0000B0AB0000}"/>
    <cellStyle name="Positive 4 8 2 7 2" xfId="43940" xr:uid="{00000000-0005-0000-0000-0000B1AB0000}"/>
    <cellStyle name="Positive 4 8 2 8" xfId="43941" xr:uid="{00000000-0005-0000-0000-0000B2AB0000}"/>
    <cellStyle name="Positive 4 8 2 8 2" xfId="43942" xr:uid="{00000000-0005-0000-0000-0000B3AB0000}"/>
    <cellStyle name="Positive 4 8 2 9" xfId="43943" xr:uid="{00000000-0005-0000-0000-0000B4AB0000}"/>
    <cellStyle name="Positive 4 8 2 9 2" xfId="43944" xr:uid="{00000000-0005-0000-0000-0000B5AB0000}"/>
    <cellStyle name="Positive 4 8 20" xfId="43945" xr:uid="{00000000-0005-0000-0000-0000B6AB0000}"/>
    <cellStyle name="Positive 4 8 20 2" xfId="43946" xr:uid="{00000000-0005-0000-0000-0000B7AB0000}"/>
    <cellStyle name="Positive 4 8 21" xfId="43947" xr:uid="{00000000-0005-0000-0000-0000B8AB0000}"/>
    <cellStyle name="Positive 4 8 21 2" xfId="43948" xr:uid="{00000000-0005-0000-0000-0000B9AB0000}"/>
    <cellStyle name="Positive 4 8 22" xfId="43949" xr:uid="{00000000-0005-0000-0000-0000BAAB0000}"/>
    <cellStyle name="Positive 4 8 22 2" xfId="43950" xr:uid="{00000000-0005-0000-0000-0000BBAB0000}"/>
    <cellStyle name="Positive 4 8 23" xfId="43951" xr:uid="{00000000-0005-0000-0000-0000BCAB0000}"/>
    <cellStyle name="Positive 4 8 3" xfId="43952" xr:uid="{00000000-0005-0000-0000-0000BDAB0000}"/>
    <cellStyle name="Positive 4 8 3 10" xfId="43953" xr:uid="{00000000-0005-0000-0000-0000BEAB0000}"/>
    <cellStyle name="Positive 4 8 3 10 2" xfId="43954" xr:uid="{00000000-0005-0000-0000-0000BFAB0000}"/>
    <cellStyle name="Positive 4 8 3 11" xfId="43955" xr:uid="{00000000-0005-0000-0000-0000C0AB0000}"/>
    <cellStyle name="Positive 4 8 3 11 2" xfId="43956" xr:uid="{00000000-0005-0000-0000-0000C1AB0000}"/>
    <cellStyle name="Positive 4 8 3 12" xfId="43957" xr:uid="{00000000-0005-0000-0000-0000C2AB0000}"/>
    <cellStyle name="Positive 4 8 3 12 2" xfId="43958" xr:uid="{00000000-0005-0000-0000-0000C3AB0000}"/>
    <cellStyle name="Positive 4 8 3 13" xfId="43959" xr:uid="{00000000-0005-0000-0000-0000C4AB0000}"/>
    <cellStyle name="Positive 4 8 3 13 2" xfId="43960" xr:uid="{00000000-0005-0000-0000-0000C5AB0000}"/>
    <cellStyle name="Positive 4 8 3 14" xfId="43961" xr:uid="{00000000-0005-0000-0000-0000C6AB0000}"/>
    <cellStyle name="Positive 4 8 3 14 2" xfId="43962" xr:uid="{00000000-0005-0000-0000-0000C7AB0000}"/>
    <cellStyle name="Positive 4 8 3 15" xfId="43963" xr:uid="{00000000-0005-0000-0000-0000C8AB0000}"/>
    <cellStyle name="Positive 4 8 3 15 2" xfId="43964" xr:uid="{00000000-0005-0000-0000-0000C9AB0000}"/>
    <cellStyle name="Positive 4 8 3 16" xfId="43965" xr:uid="{00000000-0005-0000-0000-0000CAAB0000}"/>
    <cellStyle name="Positive 4 8 3 16 2" xfId="43966" xr:uid="{00000000-0005-0000-0000-0000CBAB0000}"/>
    <cellStyle name="Positive 4 8 3 17" xfId="43967" xr:uid="{00000000-0005-0000-0000-0000CCAB0000}"/>
    <cellStyle name="Positive 4 8 3 17 2" xfId="43968" xr:uid="{00000000-0005-0000-0000-0000CDAB0000}"/>
    <cellStyle name="Positive 4 8 3 18" xfId="43969" xr:uid="{00000000-0005-0000-0000-0000CEAB0000}"/>
    <cellStyle name="Positive 4 8 3 18 2" xfId="43970" xr:uid="{00000000-0005-0000-0000-0000CFAB0000}"/>
    <cellStyle name="Positive 4 8 3 19" xfId="43971" xr:uid="{00000000-0005-0000-0000-0000D0AB0000}"/>
    <cellStyle name="Positive 4 8 3 19 2" xfId="43972" xr:uid="{00000000-0005-0000-0000-0000D1AB0000}"/>
    <cellStyle name="Positive 4 8 3 2" xfId="43973" xr:uid="{00000000-0005-0000-0000-0000D2AB0000}"/>
    <cellStyle name="Positive 4 8 3 2 10" xfId="43974" xr:uid="{00000000-0005-0000-0000-0000D3AB0000}"/>
    <cellStyle name="Positive 4 8 3 2 10 2" xfId="43975" xr:uid="{00000000-0005-0000-0000-0000D4AB0000}"/>
    <cellStyle name="Positive 4 8 3 2 11" xfId="43976" xr:uid="{00000000-0005-0000-0000-0000D5AB0000}"/>
    <cellStyle name="Positive 4 8 3 2 11 2" xfId="43977" xr:uid="{00000000-0005-0000-0000-0000D6AB0000}"/>
    <cellStyle name="Positive 4 8 3 2 12" xfId="43978" xr:uid="{00000000-0005-0000-0000-0000D7AB0000}"/>
    <cellStyle name="Positive 4 8 3 2 12 2" xfId="43979" xr:uid="{00000000-0005-0000-0000-0000D8AB0000}"/>
    <cellStyle name="Positive 4 8 3 2 13" xfId="43980" xr:uid="{00000000-0005-0000-0000-0000D9AB0000}"/>
    <cellStyle name="Positive 4 8 3 2 13 2" xfId="43981" xr:uid="{00000000-0005-0000-0000-0000DAAB0000}"/>
    <cellStyle name="Positive 4 8 3 2 14" xfId="43982" xr:uid="{00000000-0005-0000-0000-0000DBAB0000}"/>
    <cellStyle name="Positive 4 8 3 2 14 2" xfId="43983" xr:uid="{00000000-0005-0000-0000-0000DCAB0000}"/>
    <cellStyle name="Positive 4 8 3 2 15" xfId="43984" xr:uid="{00000000-0005-0000-0000-0000DDAB0000}"/>
    <cellStyle name="Positive 4 8 3 2 15 2" xfId="43985" xr:uid="{00000000-0005-0000-0000-0000DEAB0000}"/>
    <cellStyle name="Positive 4 8 3 2 16" xfId="43986" xr:uid="{00000000-0005-0000-0000-0000DFAB0000}"/>
    <cellStyle name="Positive 4 8 3 2 16 2" xfId="43987" xr:uid="{00000000-0005-0000-0000-0000E0AB0000}"/>
    <cellStyle name="Positive 4 8 3 2 17" xfId="43988" xr:uid="{00000000-0005-0000-0000-0000E1AB0000}"/>
    <cellStyle name="Positive 4 8 3 2 2" xfId="43989" xr:uid="{00000000-0005-0000-0000-0000E2AB0000}"/>
    <cellStyle name="Positive 4 8 3 2 2 2" xfId="43990" xr:uid="{00000000-0005-0000-0000-0000E3AB0000}"/>
    <cellStyle name="Positive 4 8 3 2 3" xfId="43991" xr:uid="{00000000-0005-0000-0000-0000E4AB0000}"/>
    <cellStyle name="Positive 4 8 3 2 3 2" xfId="43992" xr:uid="{00000000-0005-0000-0000-0000E5AB0000}"/>
    <cellStyle name="Positive 4 8 3 2 4" xfId="43993" xr:uid="{00000000-0005-0000-0000-0000E6AB0000}"/>
    <cellStyle name="Positive 4 8 3 2 4 2" xfId="43994" xr:uid="{00000000-0005-0000-0000-0000E7AB0000}"/>
    <cellStyle name="Positive 4 8 3 2 5" xfId="43995" xr:uid="{00000000-0005-0000-0000-0000E8AB0000}"/>
    <cellStyle name="Positive 4 8 3 2 5 2" xfId="43996" xr:uid="{00000000-0005-0000-0000-0000E9AB0000}"/>
    <cellStyle name="Positive 4 8 3 2 6" xfId="43997" xr:uid="{00000000-0005-0000-0000-0000EAAB0000}"/>
    <cellStyle name="Positive 4 8 3 2 6 2" xfId="43998" xr:uid="{00000000-0005-0000-0000-0000EBAB0000}"/>
    <cellStyle name="Positive 4 8 3 2 7" xfId="43999" xr:uid="{00000000-0005-0000-0000-0000ECAB0000}"/>
    <cellStyle name="Positive 4 8 3 2 7 2" xfId="44000" xr:uid="{00000000-0005-0000-0000-0000EDAB0000}"/>
    <cellStyle name="Positive 4 8 3 2 8" xfId="44001" xr:uid="{00000000-0005-0000-0000-0000EEAB0000}"/>
    <cellStyle name="Positive 4 8 3 2 8 2" xfId="44002" xr:uid="{00000000-0005-0000-0000-0000EFAB0000}"/>
    <cellStyle name="Positive 4 8 3 2 9" xfId="44003" xr:uid="{00000000-0005-0000-0000-0000F0AB0000}"/>
    <cellStyle name="Positive 4 8 3 2 9 2" xfId="44004" xr:uid="{00000000-0005-0000-0000-0000F1AB0000}"/>
    <cellStyle name="Positive 4 8 3 20" xfId="44005" xr:uid="{00000000-0005-0000-0000-0000F2AB0000}"/>
    <cellStyle name="Positive 4 8 3 3" xfId="44006" xr:uid="{00000000-0005-0000-0000-0000F3AB0000}"/>
    <cellStyle name="Positive 4 8 3 3 2" xfId="44007" xr:uid="{00000000-0005-0000-0000-0000F4AB0000}"/>
    <cellStyle name="Positive 4 8 3 3 2 2" xfId="44008" xr:uid="{00000000-0005-0000-0000-0000F5AB0000}"/>
    <cellStyle name="Positive 4 8 3 3 3" xfId="44009" xr:uid="{00000000-0005-0000-0000-0000F6AB0000}"/>
    <cellStyle name="Positive 4 8 3 4" xfId="44010" xr:uid="{00000000-0005-0000-0000-0000F7AB0000}"/>
    <cellStyle name="Positive 4 8 3 4 2" xfId="44011" xr:uid="{00000000-0005-0000-0000-0000F8AB0000}"/>
    <cellStyle name="Positive 4 8 3 4 2 2" xfId="44012" xr:uid="{00000000-0005-0000-0000-0000F9AB0000}"/>
    <cellStyle name="Positive 4 8 3 4 3" xfId="44013" xr:uid="{00000000-0005-0000-0000-0000FAAB0000}"/>
    <cellStyle name="Positive 4 8 3 5" xfId="44014" xr:uid="{00000000-0005-0000-0000-0000FBAB0000}"/>
    <cellStyle name="Positive 4 8 3 5 2" xfId="44015" xr:uid="{00000000-0005-0000-0000-0000FCAB0000}"/>
    <cellStyle name="Positive 4 8 3 6" xfId="44016" xr:uid="{00000000-0005-0000-0000-0000FDAB0000}"/>
    <cellStyle name="Positive 4 8 3 6 2" xfId="44017" xr:uid="{00000000-0005-0000-0000-0000FEAB0000}"/>
    <cellStyle name="Positive 4 8 3 7" xfId="44018" xr:uid="{00000000-0005-0000-0000-0000FFAB0000}"/>
    <cellStyle name="Positive 4 8 3 7 2" xfId="44019" xr:uid="{00000000-0005-0000-0000-000000AC0000}"/>
    <cellStyle name="Positive 4 8 3 8" xfId="44020" xr:uid="{00000000-0005-0000-0000-000001AC0000}"/>
    <cellStyle name="Positive 4 8 3 8 2" xfId="44021" xr:uid="{00000000-0005-0000-0000-000002AC0000}"/>
    <cellStyle name="Positive 4 8 3 9" xfId="44022" xr:uid="{00000000-0005-0000-0000-000003AC0000}"/>
    <cellStyle name="Positive 4 8 3 9 2" xfId="44023" xr:uid="{00000000-0005-0000-0000-000004AC0000}"/>
    <cellStyle name="Positive 4 8 4" xfId="44024" xr:uid="{00000000-0005-0000-0000-000005AC0000}"/>
    <cellStyle name="Positive 4 8 4 10" xfId="44025" xr:uid="{00000000-0005-0000-0000-000006AC0000}"/>
    <cellStyle name="Positive 4 8 4 10 2" xfId="44026" xr:uid="{00000000-0005-0000-0000-000007AC0000}"/>
    <cellStyle name="Positive 4 8 4 11" xfId="44027" xr:uid="{00000000-0005-0000-0000-000008AC0000}"/>
    <cellStyle name="Positive 4 8 4 11 2" xfId="44028" xr:uid="{00000000-0005-0000-0000-000009AC0000}"/>
    <cellStyle name="Positive 4 8 4 12" xfId="44029" xr:uid="{00000000-0005-0000-0000-00000AAC0000}"/>
    <cellStyle name="Positive 4 8 4 12 2" xfId="44030" xr:uid="{00000000-0005-0000-0000-00000BAC0000}"/>
    <cellStyle name="Positive 4 8 4 13" xfId="44031" xr:uid="{00000000-0005-0000-0000-00000CAC0000}"/>
    <cellStyle name="Positive 4 8 4 13 2" xfId="44032" xr:uid="{00000000-0005-0000-0000-00000DAC0000}"/>
    <cellStyle name="Positive 4 8 4 14" xfId="44033" xr:uid="{00000000-0005-0000-0000-00000EAC0000}"/>
    <cellStyle name="Positive 4 8 4 14 2" xfId="44034" xr:uid="{00000000-0005-0000-0000-00000FAC0000}"/>
    <cellStyle name="Positive 4 8 4 15" xfId="44035" xr:uid="{00000000-0005-0000-0000-000010AC0000}"/>
    <cellStyle name="Positive 4 8 4 15 2" xfId="44036" xr:uid="{00000000-0005-0000-0000-000011AC0000}"/>
    <cellStyle name="Positive 4 8 4 16" xfId="44037" xr:uid="{00000000-0005-0000-0000-000012AC0000}"/>
    <cellStyle name="Positive 4 8 4 16 2" xfId="44038" xr:uid="{00000000-0005-0000-0000-000013AC0000}"/>
    <cellStyle name="Positive 4 8 4 17" xfId="44039" xr:uid="{00000000-0005-0000-0000-000014AC0000}"/>
    <cellStyle name="Positive 4 8 4 17 2" xfId="44040" xr:uid="{00000000-0005-0000-0000-000015AC0000}"/>
    <cellStyle name="Positive 4 8 4 18" xfId="44041" xr:uid="{00000000-0005-0000-0000-000016AC0000}"/>
    <cellStyle name="Positive 4 8 4 18 2" xfId="44042" xr:uid="{00000000-0005-0000-0000-000017AC0000}"/>
    <cellStyle name="Positive 4 8 4 19" xfId="44043" xr:uid="{00000000-0005-0000-0000-000018AC0000}"/>
    <cellStyle name="Positive 4 8 4 19 2" xfId="44044" xr:uid="{00000000-0005-0000-0000-000019AC0000}"/>
    <cellStyle name="Positive 4 8 4 2" xfId="44045" xr:uid="{00000000-0005-0000-0000-00001AAC0000}"/>
    <cellStyle name="Positive 4 8 4 2 10" xfId="44046" xr:uid="{00000000-0005-0000-0000-00001BAC0000}"/>
    <cellStyle name="Positive 4 8 4 2 10 2" xfId="44047" xr:uid="{00000000-0005-0000-0000-00001CAC0000}"/>
    <cellStyle name="Positive 4 8 4 2 11" xfId="44048" xr:uid="{00000000-0005-0000-0000-00001DAC0000}"/>
    <cellStyle name="Positive 4 8 4 2 11 2" xfId="44049" xr:uid="{00000000-0005-0000-0000-00001EAC0000}"/>
    <cellStyle name="Positive 4 8 4 2 12" xfId="44050" xr:uid="{00000000-0005-0000-0000-00001FAC0000}"/>
    <cellStyle name="Positive 4 8 4 2 12 2" xfId="44051" xr:uid="{00000000-0005-0000-0000-000020AC0000}"/>
    <cellStyle name="Positive 4 8 4 2 13" xfId="44052" xr:uid="{00000000-0005-0000-0000-000021AC0000}"/>
    <cellStyle name="Positive 4 8 4 2 13 2" xfId="44053" xr:uid="{00000000-0005-0000-0000-000022AC0000}"/>
    <cellStyle name="Positive 4 8 4 2 14" xfId="44054" xr:uid="{00000000-0005-0000-0000-000023AC0000}"/>
    <cellStyle name="Positive 4 8 4 2 14 2" xfId="44055" xr:uid="{00000000-0005-0000-0000-000024AC0000}"/>
    <cellStyle name="Positive 4 8 4 2 15" xfId="44056" xr:uid="{00000000-0005-0000-0000-000025AC0000}"/>
    <cellStyle name="Positive 4 8 4 2 15 2" xfId="44057" xr:uid="{00000000-0005-0000-0000-000026AC0000}"/>
    <cellStyle name="Positive 4 8 4 2 16" xfId="44058" xr:uid="{00000000-0005-0000-0000-000027AC0000}"/>
    <cellStyle name="Positive 4 8 4 2 16 2" xfId="44059" xr:uid="{00000000-0005-0000-0000-000028AC0000}"/>
    <cellStyle name="Positive 4 8 4 2 17" xfId="44060" xr:uid="{00000000-0005-0000-0000-000029AC0000}"/>
    <cellStyle name="Positive 4 8 4 2 2" xfId="44061" xr:uid="{00000000-0005-0000-0000-00002AAC0000}"/>
    <cellStyle name="Positive 4 8 4 2 2 2" xfId="44062" xr:uid="{00000000-0005-0000-0000-00002BAC0000}"/>
    <cellStyle name="Positive 4 8 4 2 3" xfId="44063" xr:uid="{00000000-0005-0000-0000-00002CAC0000}"/>
    <cellStyle name="Positive 4 8 4 2 3 2" xfId="44064" xr:uid="{00000000-0005-0000-0000-00002DAC0000}"/>
    <cellStyle name="Positive 4 8 4 2 4" xfId="44065" xr:uid="{00000000-0005-0000-0000-00002EAC0000}"/>
    <cellStyle name="Positive 4 8 4 2 4 2" xfId="44066" xr:uid="{00000000-0005-0000-0000-00002FAC0000}"/>
    <cellStyle name="Positive 4 8 4 2 5" xfId="44067" xr:uid="{00000000-0005-0000-0000-000030AC0000}"/>
    <cellStyle name="Positive 4 8 4 2 5 2" xfId="44068" xr:uid="{00000000-0005-0000-0000-000031AC0000}"/>
    <cellStyle name="Positive 4 8 4 2 6" xfId="44069" xr:uid="{00000000-0005-0000-0000-000032AC0000}"/>
    <cellStyle name="Positive 4 8 4 2 6 2" xfId="44070" xr:uid="{00000000-0005-0000-0000-000033AC0000}"/>
    <cellStyle name="Positive 4 8 4 2 7" xfId="44071" xr:uid="{00000000-0005-0000-0000-000034AC0000}"/>
    <cellStyle name="Positive 4 8 4 2 7 2" xfId="44072" xr:uid="{00000000-0005-0000-0000-000035AC0000}"/>
    <cellStyle name="Positive 4 8 4 2 8" xfId="44073" xr:uid="{00000000-0005-0000-0000-000036AC0000}"/>
    <cellStyle name="Positive 4 8 4 2 8 2" xfId="44074" xr:uid="{00000000-0005-0000-0000-000037AC0000}"/>
    <cellStyle name="Positive 4 8 4 2 9" xfId="44075" xr:uid="{00000000-0005-0000-0000-000038AC0000}"/>
    <cellStyle name="Positive 4 8 4 2 9 2" xfId="44076" xr:uid="{00000000-0005-0000-0000-000039AC0000}"/>
    <cellStyle name="Positive 4 8 4 20" xfId="44077" xr:uid="{00000000-0005-0000-0000-00003AAC0000}"/>
    <cellStyle name="Positive 4 8 4 3" xfId="44078" xr:uid="{00000000-0005-0000-0000-00003BAC0000}"/>
    <cellStyle name="Positive 4 8 4 3 2" xfId="44079" xr:uid="{00000000-0005-0000-0000-00003CAC0000}"/>
    <cellStyle name="Positive 4 8 4 3 2 2" xfId="44080" xr:uid="{00000000-0005-0000-0000-00003DAC0000}"/>
    <cellStyle name="Positive 4 8 4 3 3" xfId="44081" xr:uid="{00000000-0005-0000-0000-00003EAC0000}"/>
    <cellStyle name="Positive 4 8 4 4" xfId="44082" xr:uid="{00000000-0005-0000-0000-00003FAC0000}"/>
    <cellStyle name="Positive 4 8 4 4 2" xfId="44083" xr:uid="{00000000-0005-0000-0000-000040AC0000}"/>
    <cellStyle name="Positive 4 8 4 4 2 2" xfId="44084" xr:uid="{00000000-0005-0000-0000-000041AC0000}"/>
    <cellStyle name="Positive 4 8 4 4 3" xfId="44085" xr:uid="{00000000-0005-0000-0000-000042AC0000}"/>
    <cellStyle name="Positive 4 8 4 5" xfId="44086" xr:uid="{00000000-0005-0000-0000-000043AC0000}"/>
    <cellStyle name="Positive 4 8 4 5 2" xfId="44087" xr:uid="{00000000-0005-0000-0000-000044AC0000}"/>
    <cellStyle name="Positive 4 8 4 6" xfId="44088" xr:uid="{00000000-0005-0000-0000-000045AC0000}"/>
    <cellStyle name="Positive 4 8 4 6 2" xfId="44089" xr:uid="{00000000-0005-0000-0000-000046AC0000}"/>
    <cellStyle name="Positive 4 8 4 7" xfId="44090" xr:uid="{00000000-0005-0000-0000-000047AC0000}"/>
    <cellStyle name="Positive 4 8 4 7 2" xfId="44091" xr:uid="{00000000-0005-0000-0000-000048AC0000}"/>
    <cellStyle name="Positive 4 8 4 8" xfId="44092" xr:uid="{00000000-0005-0000-0000-000049AC0000}"/>
    <cellStyle name="Positive 4 8 4 8 2" xfId="44093" xr:uid="{00000000-0005-0000-0000-00004AAC0000}"/>
    <cellStyle name="Positive 4 8 4 9" xfId="44094" xr:uid="{00000000-0005-0000-0000-00004BAC0000}"/>
    <cellStyle name="Positive 4 8 4 9 2" xfId="44095" xr:uid="{00000000-0005-0000-0000-00004CAC0000}"/>
    <cellStyle name="Positive 4 8 5" xfId="44096" xr:uid="{00000000-0005-0000-0000-00004DAC0000}"/>
    <cellStyle name="Positive 4 8 5 10" xfId="44097" xr:uid="{00000000-0005-0000-0000-00004EAC0000}"/>
    <cellStyle name="Positive 4 8 5 10 2" xfId="44098" xr:uid="{00000000-0005-0000-0000-00004FAC0000}"/>
    <cellStyle name="Positive 4 8 5 11" xfId="44099" xr:uid="{00000000-0005-0000-0000-000050AC0000}"/>
    <cellStyle name="Positive 4 8 5 11 2" xfId="44100" xr:uid="{00000000-0005-0000-0000-000051AC0000}"/>
    <cellStyle name="Positive 4 8 5 12" xfId="44101" xr:uid="{00000000-0005-0000-0000-000052AC0000}"/>
    <cellStyle name="Positive 4 8 5 12 2" xfId="44102" xr:uid="{00000000-0005-0000-0000-000053AC0000}"/>
    <cellStyle name="Positive 4 8 5 13" xfId="44103" xr:uid="{00000000-0005-0000-0000-000054AC0000}"/>
    <cellStyle name="Positive 4 8 5 13 2" xfId="44104" xr:uid="{00000000-0005-0000-0000-000055AC0000}"/>
    <cellStyle name="Positive 4 8 5 14" xfId="44105" xr:uid="{00000000-0005-0000-0000-000056AC0000}"/>
    <cellStyle name="Positive 4 8 5 14 2" xfId="44106" xr:uid="{00000000-0005-0000-0000-000057AC0000}"/>
    <cellStyle name="Positive 4 8 5 15" xfId="44107" xr:uid="{00000000-0005-0000-0000-000058AC0000}"/>
    <cellStyle name="Positive 4 8 5 15 2" xfId="44108" xr:uid="{00000000-0005-0000-0000-000059AC0000}"/>
    <cellStyle name="Positive 4 8 5 16" xfId="44109" xr:uid="{00000000-0005-0000-0000-00005AAC0000}"/>
    <cellStyle name="Positive 4 8 5 16 2" xfId="44110" xr:uid="{00000000-0005-0000-0000-00005BAC0000}"/>
    <cellStyle name="Positive 4 8 5 17" xfId="44111" xr:uid="{00000000-0005-0000-0000-00005CAC0000}"/>
    <cellStyle name="Positive 4 8 5 2" xfId="44112" xr:uid="{00000000-0005-0000-0000-00005DAC0000}"/>
    <cellStyle name="Positive 4 8 5 2 2" xfId="44113" xr:uid="{00000000-0005-0000-0000-00005EAC0000}"/>
    <cellStyle name="Positive 4 8 5 3" xfId="44114" xr:uid="{00000000-0005-0000-0000-00005FAC0000}"/>
    <cellStyle name="Positive 4 8 5 3 2" xfId="44115" xr:uid="{00000000-0005-0000-0000-000060AC0000}"/>
    <cellStyle name="Positive 4 8 5 4" xfId="44116" xr:uid="{00000000-0005-0000-0000-000061AC0000}"/>
    <cellStyle name="Positive 4 8 5 4 2" xfId="44117" xr:uid="{00000000-0005-0000-0000-000062AC0000}"/>
    <cellStyle name="Positive 4 8 5 5" xfId="44118" xr:uid="{00000000-0005-0000-0000-000063AC0000}"/>
    <cellStyle name="Positive 4 8 5 5 2" xfId="44119" xr:uid="{00000000-0005-0000-0000-000064AC0000}"/>
    <cellStyle name="Positive 4 8 5 6" xfId="44120" xr:uid="{00000000-0005-0000-0000-000065AC0000}"/>
    <cellStyle name="Positive 4 8 5 6 2" xfId="44121" xr:uid="{00000000-0005-0000-0000-000066AC0000}"/>
    <cellStyle name="Positive 4 8 5 7" xfId="44122" xr:uid="{00000000-0005-0000-0000-000067AC0000}"/>
    <cellStyle name="Positive 4 8 5 7 2" xfId="44123" xr:uid="{00000000-0005-0000-0000-000068AC0000}"/>
    <cellStyle name="Positive 4 8 5 8" xfId="44124" xr:uid="{00000000-0005-0000-0000-000069AC0000}"/>
    <cellStyle name="Positive 4 8 5 8 2" xfId="44125" xr:uid="{00000000-0005-0000-0000-00006AAC0000}"/>
    <cellStyle name="Positive 4 8 5 9" xfId="44126" xr:uid="{00000000-0005-0000-0000-00006BAC0000}"/>
    <cellStyle name="Positive 4 8 5 9 2" xfId="44127" xr:uid="{00000000-0005-0000-0000-00006CAC0000}"/>
    <cellStyle name="Positive 4 8 6" xfId="44128" xr:uid="{00000000-0005-0000-0000-00006DAC0000}"/>
    <cellStyle name="Positive 4 8 6 2" xfId="44129" xr:uid="{00000000-0005-0000-0000-00006EAC0000}"/>
    <cellStyle name="Positive 4 8 6 2 2" xfId="44130" xr:uid="{00000000-0005-0000-0000-00006FAC0000}"/>
    <cellStyle name="Positive 4 8 6 3" xfId="44131" xr:uid="{00000000-0005-0000-0000-000070AC0000}"/>
    <cellStyle name="Positive 4 8 7" xfId="44132" xr:uid="{00000000-0005-0000-0000-000071AC0000}"/>
    <cellStyle name="Positive 4 8 7 2" xfId="44133" xr:uid="{00000000-0005-0000-0000-000072AC0000}"/>
    <cellStyle name="Positive 4 8 7 2 2" xfId="44134" xr:uid="{00000000-0005-0000-0000-000073AC0000}"/>
    <cellStyle name="Positive 4 8 7 3" xfId="44135" xr:uid="{00000000-0005-0000-0000-000074AC0000}"/>
    <cellStyle name="Positive 4 8 8" xfId="44136" xr:uid="{00000000-0005-0000-0000-000075AC0000}"/>
    <cellStyle name="Positive 4 8 8 2" xfId="44137" xr:uid="{00000000-0005-0000-0000-000076AC0000}"/>
    <cellStyle name="Positive 4 8 9" xfId="44138" xr:uid="{00000000-0005-0000-0000-000077AC0000}"/>
    <cellStyle name="Positive 4 8 9 2" xfId="44139" xr:uid="{00000000-0005-0000-0000-000078AC0000}"/>
    <cellStyle name="Positive 4 9" xfId="44140" xr:uid="{00000000-0005-0000-0000-000079AC0000}"/>
    <cellStyle name="Positive 4 9 10" xfId="44141" xr:uid="{00000000-0005-0000-0000-00007AAC0000}"/>
    <cellStyle name="Positive 4 9 10 2" xfId="44142" xr:uid="{00000000-0005-0000-0000-00007BAC0000}"/>
    <cellStyle name="Positive 4 9 11" xfId="44143" xr:uid="{00000000-0005-0000-0000-00007CAC0000}"/>
    <cellStyle name="Positive 4 9 11 2" xfId="44144" xr:uid="{00000000-0005-0000-0000-00007DAC0000}"/>
    <cellStyle name="Positive 4 9 12" xfId="44145" xr:uid="{00000000-0005-0000-0000-00007EAC0000}"/>
    <cellStyle name="Positive 4 9 12 2" xfId="44146" xr:uid="{00000000-0005-0000-0000-00007FAC0000}"/>
    <cellStyle name="Positive 4 9 13" xfId="44147" xr:uid="{00000000-0005-0000-0000-000080AC0000}"/>
    <cellStyle name="Positive 4 9 13 2" xfId="44148" xr:uid="{00000000-0005-0000-0000-000081AC0000}"/>
    <cellStyle name="Positive 4 9 14" xfId="44149" xr:uid="{00000000-0005-0000-0000-000082AC0000}"/>
    <cellStyle name="Positive 4 9 14 2" xfId="44150" xr:uid="{00000000-0005-0000-0000-000083AC0000}"/>
    <cellStyle name="Positive 4 9 15" xfId="44151" xr:uid="{00000000-0005-0000-0000-000084AC0000}"/>
    <cellStyle name="Positive 4 9 15 2" xfId="44152" xr:uid="{00000000-0005-0000-0000-000085AC0000}"/>
    <cellStyle name="Positive 4 9 16" xfId="44153" xr:uid="{00000000-0005-0000-0000-000086AC0000}"/>
    <cellStyle name="Positive 4 9 16 2" xfId="44154" xr:uid="{00000000-0005-0000-0000-000087AC0000}"/>
    <cellStyle name="Positive 4 9 17" xfId="44155" xr:uid="{00000000-0005-0000-0000-000088AC0000}"/>
    <cellStyle name="Positive 4 9 17 2" xfId="44156" xr:uid="{00000000-0005-0000-0000-000089AC0000}"/>
    <cellStyle name="Positive 4 9 18" xfId="44157" xr:uid="{00000000-0005-0000-0000-00008AAC0000}"/>
    <cellStyle name="Positive 4 9 18 2" xfId="44158" xr:uid="{00000000-0005-0000-0000-00008BAC0000}"/>
    <cellStyle name="Positive 4 9 19" xfId="44159" xr:uid="{00000000-0005-0000-0000-00008CAC0000}"/>
    <cellStyle name="Positive 4 9 19 2" xfId="44160" xr:uid="{00000000-0005-0000-0000-00008DAC0000}"/>
    <cellStyle name="Positive 4 9 2" xfId="44161" xr:uid="{00000000-0005-0000-0000-00008EAC0000}"/>
    <cellStyle name="Positive 4 9 2 10" xfId="44162" xr:uid="{00000000-0005-0000-0000-00008FAC0000}"/>
    <cellStyle name="Positive 4 9 2 10 2" xfId="44163" xr:uid="{00000000-0005-0000-0000-000090AC0000}"/>
    <cellStyle name="Positive 4 9 2 11" xfId="44164" xr:uid="{00000000-0005-0000-0000-000091AC0000}"/>
    <cellStyle name="Positive 4 9 2 11 2" xfId="44165" xr:uid="{00000000-0005-0000-0000-000092AC0000}"/>
    <cellStyle name="Positive 4 9 2 12" xfId="44166" xr:uid="{00000000-0005-0000-0000-000093AC0000}"/>
    <cellStyle name="Positive 4 9 2 12 2" xfId="44167" xr:uid="{00000000-0005-0000-0000-000094AC0000}"/>
    <cellStyle name="Positive 4 9 2 13" xfId="44168" xr:uid="{00000000-0005-0000-0000-000095AC0000}"/>
    <cellStyle name="Positive 4 9 2 13 2" xfId="44169" xr:uid="{00000000-0005-0000-0000-000096AC0000}"/>
    <cellStyle name="Positive 4 9 2 14" xfId="44170" xr:uid="{00000000-0005-0000-0000-000097AC0000}"/>
    <cellStyle name="Positive 4 9 2 14 2" xfId="44171" xr:uid="{00000000-0005-0000-0000-000098AC0000}"/>
    <cellStyle name="Positive 4 9 2 15" xfId="44172" xr:uid="{00000000-0005-0000-0000-000099AC0000}"/>
    <cellStyle name="Positive 4 9 2 15 2" xfId="44173" xr:uid="{00000000-0005-0000-0000-00009AAC0000}"/>
    <cellStyle name="Positive 4 9 2 16" xfId="44174" xr:uid="{00000000-0005-0000-0000-00009BAC0000}"/>
    <cellStyle name="Positive 4 9 2 16 2" xfId="44175" xr:uid="{00000000-0005-0000-0000-00009CAC0000}"/>
    <cellStyle name="Positive 4 9 2 17" xfId="44176" xr:uid="{00000000-0005-0000-0000-00009DAC0000}"/>
    <cellStyle name="Positive 4 9 2 17 2" xfId="44177" xr:uid="{00000000-0005-0000-0000-00009EAC0000}"/>
    <cellStyle name="Positive 4 9 2 18" xfId="44178" xr:uid="{00000000-0005-0000-0000-00009FAC0000}"/>
    <cellStyle name="Positive 4 9 2 18 2" xfId="44179" xr:uid="{00000000-0005-0000-0000-0000A0AC0000}"/>
    <cellStyle name="Positive 4 9 2 19" xfId="44180" xr:uid="{00000000-0005-0000-0000-0000A1AC0000}"/>
    <cellStyle name="Positive 4 9 2 19 2" xfId="44181" xr:uid="{00000000-0005-0000-0000-0000A2AC0000}"/>
    <cellStyle name="Positive 4 9 2 2" xfId="44182" xr:uid="{00000000-0005-0000-0000-0000A3AC0000}"/>
    <cellStyle name="Positive 4 9 2 2 10" xfId="44183" xr:uid="{00000000-0005-0000-0000-0000A4AC0000}"/>
    <cellStyle name="Positive 4 9 2 2 10 2" xfId="44184" xr:uid="{00000000-0005-0000-0000-0000A5AC0000}"/>
    <cellStyle name="Positive 4 9 2 2 11" xfId="44185" xr:uid="{00000000-0005-0000-0000-0000A6AC0000}"/>
    <cellStyle name="Positive 4 9 2 2 11 2" xfId="44186" xr:uid="{00000000-0005-0000-0000-0000A7AC0000}"/>
    <cellStyle name="Positive 4 9 2 2 12" xfId="44187" xr:uid="{00000000-0005-0000-0000-0000A8AC0000}"/>
    <cellStyle name="Positive 4 9 2 2 12 2" xfId="44188" xr:uid="{00000000-0005-0000-0000-0000A9AC0000}"/>
    <cellStyle name="Positive 4 9 2 2 13" xfId="44189" xr:uid="{00000000-0005-0000-0000-0000AAAC0000}"/>
    <cellStyle name="Positive 4 9 2 2 13 2" xfId="44190" xr:uid="{00000000-0005-0000-0000-0000ABAC0000}"/>
    <cellStyle name="Positive 4 9 2 2 14" xfId="44191" xr:uid="{00000000-0005-0000-0000-0000ACAC0000}"/>
    <cellStyle name="Positive 4 9 2 2 14 2" xfId="44192" xr:uid="{00000000-0005-0000-0000-0000ADAC0000}"/>
    <cellStyle name="Positive 4 9 2 2 15" xfId="44193" xr:uid="{00000000-0005-0000-0000-0000AEAC0000}"/>
    <cellStyle name="Positive 4 9 2 2 15 2" xfId="44194" xr:uid="{00000000-0005-0000-0000-0000AFAC0000}"/>
    <cellStyle name="Positive 4 9 2 2 16" xfId="44195" xr:uid="{00000000-0005-0000-0000-0000B0AC0000}"/>
    <cellStyle name="Positive 4 9 2 2 16 2" xfId="44196" xr:uid="{00000000-0005-0000-0000-0000B1AC0000}"/>
    <cellStyle name="Positive 4 9 2 2 17" xfId="44197" xr:uid="{00000000-0005-0000-0000-0000B2AC0000}"/>
    <cellStyle name="Positive 4 9 2 2 2" xfId="44198" xr:uid="{00000000-0005-0000-0000-0000B3AC0000}"/>
    <cellStyle name="Positive 4 9 2 2 2 2" xfId="44199" xr:uid="{00000000-0005-0000-0000-0000B4AC0000}"/>
    <cellStyle name="Positive 4 9 2 2 3" xfId="44200" xr:uid="{00000000-0005-0000-0000-0000B5AC0000}"/>
    <cellStyle name="Positive 4 9 2 2 3 2" xfId="44201" xr:uid="{00000000-0005-0000-0000-0000B6AC0000}"/>
    <cellStyle name="Positive 4 9 2 2 4" xfId="44202" xr:uid="{00000000-0005-0000-0000-0000B7AC0000}"/>
    <cellStyle name="Positive 4 9 2 2 4 2" xfId="44203" xr:uid="{00000000-0005-0000-0000-0000B8AC0000}"/>
    <cellStyle name="Positive 4 9 2 2 5" xfId="44204" xr:uid="{00000000-0005-0000-0000-0000B9AC0000}"/>
    <cellStyle name="Positive 4 9 2 2 5 2" xfId="44205" xr:uid="{00000000-0005-0000-0000-0000BAAC0000}"/>
    <cellStyle name="Positive 4 9 2 2 6" xfId="44206" xr:uid="{00000000-0005-0000-0000-0000BBAC0000}"/>
    <cellStyle name="Positive 4 9 2 2 6 2" xfId="44207" xr:uid="{00000000-0005-0000-0000-0000BCAC0000}"/>
    <cellStyle name="Positive 4 9 2 2 7" xfId="44208" xr:uid="{00000000-0005-0000-0000-0000BDAC0000}"/>
    <cellStyle name="Positive 4 9 2 2 7 2" xfId="44209" xr:uid="{00000000-0005-0000-0000-0000BEAC0000}"/>
    <cellStyle name="Positive 4 9 2 2 8" xfId="44210" xr:uid="{00000000-0005-0000-0000-0000BFAC0000}"/>
    <cellStyle name="Positive 4 9 2 2 8 2" xfId="44211" xr:uid="{00000000-0005-0000-0000-0000C0AC0000}"/>
    <cellStyle name="Positive 4 9 2 2 9" xfId="44212" xr:uid="{00000000-0005-0000-0000-0000C1AC0000}"/>
    <cellStyle name="Positive 4 9 2 2 9 2" xfId="44213" xr:uid="{00000000-0005-0000-0000-0000C2AC0000}"/>
    <cellStyle name="Positive 4 9 2 20" xfId="44214" xr:uid="{00000000-0005-0000-0000-0000C3AC0000}"/>
    <cellStyle name="Positive 4 9 2 3" xfId="44215" xr:uid="{00000000-0005-0000-0000-0000C4AC0000}"/>
    <cellStyle name="Positive 4 9 2 3 2" xfId="44216" xr:uid="{00000000-0005-0000-0000-0000C5AC0000}"/>
    <cellStyle name="Positive 4 9 2 3 2 2" xfId="44217" xr:uid="{00000000-0005-0000-0000-0000C6AC0000}"/>
    <cellStyle name="Positive 4 9 2 3 3" xfId="44218" xr:uid="{00000000-0005-0000-0000-0000C7AC0000}"/>
    <cellStyle name="Positive 4 9 2 4" xfId="44219" xr:uid="{00000000-0005-0000-0000-0000C8AC0000}"/>
    <cellStyle name="Positive 4 9 2 4 2" xfId="44220" xr:uid="{00000000-0005-0000-0000-0000C9AC0000}"/>
    <cellStyle name="Positive 4 9 2 4 2 2" xfId="44221" xr:uid="{00000000-0005-0000-0000-0000CAAC0000}"/>
    <cellStyle name="Positive 4 9 2 4 3" xfId="44222" xr:uid="{00000000-0005-0000-0000-0000CBAC0000}"/>
    <cellStyle name="Positive 4 9 2 5" xfId="44223" xr:uid="{00000000-0005-0000-0000-0000CCAC0000}"/>
    <cellStyle name="Positive 4 9 2 5 2" xfId="44224" xr:uid="{00000000-0005-0000-0000-0000CDAC0000}"/>
    <cellStyle name="Positive 4 9 2 6" xfId="44225" xr:uid="{00000000-0005-0000-0000-0000CEAC0000}"/>
    <cellStyle name="Positive 4 9 2 6 2" xfId="44226" xr:uid="{00000000-0005-0000-0000-0000CFAC0000}"/>
    <cellStyle name="Positive 4 9 2 7" xfId="44227" xr:uid="{00000000-0005-0000-0000-0000D0AC0000}"/>
    <cellStyle name="Positive 4 9 2 7 2" xfId="44228" xr:uid="{00000000-0005-0000-0000-0000D1AC0000}"/>
    <cellStyle name="Positive 4 9 2 8" xfId="44229" xr:uid="{00000000-0005-0000-0000-0000D2AC0000}"/>
    <cellStyle name="Positive 4 9 2 8 2" xfId="44230" xr:uid="{00000000-0005-0000-0000-0000D3AC0000}"/>
    <cellStyle name="Positive 4 9 2 9" xfId="44231" xr:uid="{00000000-0005-0000-0000-0000D4AC0000}"/>
    <cellStyle name="Positive 4 9 2 9 2" xfId="44232" xr:uid="{00000000-0005-0000-0000-0000D5AC0000}"/>
    <cellStyle name="Positive 4 9 20" xfId="44233" xr:uid="{00000000-0005-0000-0000-0000D6AC0000}"/>
    <cellStyle name="Positive 4 9 20 2" xfId="44234" xr:uid="{00000000-0005-0000-0000-0000D7AC0000}"/>
    <cellStyle name="Positive 4 9 21" xfId="44235" xr:uid="{00000000-0005-0000-0000-0000D8AC0000}"/>
    <cellStyle name="Positive 4 9 21 2" xfId="44236" xr:uid="{00000000-0005-0000-0000-0000D9AC0000}"/>
    <cellStyle name="Positive 4 9 22" xfId="44237" xr:uid="{00000000-0005-0000-0000-0000DAAC0000}"/>
    <cellStyle name="Positive 4 9 22 2" xfId="44238" xr:uid="{00000000-0005-0000-0000-0000DBAC0000}"/>
    <cellStyle name="Positive 4 9 23" xfId="44239" xr:uid="{00000000-0005-0000-0000-0000DCAC0000}"/>
    <cellStyle name="Positive 4 9 3" xfId="44240" xr:uid="{00000000-0005-0000-0000-0000DDAC0000}"/>
    <cellStyle name="Positive 4 9 3 10" xfId="44241" xr:uid="{00000000-0005-0000-0000-0000DEAC0000}"/>
    <cellStyle name="Positive 4 9 3 10 2" xfId="44242" xr:uid="{00000000-0005-0000-0000-0000DFAC0000}"/>
    <cellStyle name="Positive 4 9 3 11" xfId="44243" xr:uid="{00000000-0005-0000-0000-0000E0AC0000}"/>
    <cellStyle name="Positive 4 9 3 11 2" xfId="44244" xr:uid="{00000000-0005-0000-0000-0000E1AC0000}"/>
    <cellStyle name="Positive 4 9 3 12" xfId="44245" xr:uid="{00000000-0005-0000-0000-0000E2AC0000}"/>
    <cellStyle name="Positive 4 9 3 12 2" xfId="44246" xr:uid="{00000000-0005-0000-0000-0000E3AC0000}"/>
    <cellStyle name="Positive 4 9 3 13" xfId="44247" xr:uid="{00000000-0005-0000-0000-0000E4AC0000}"/>
    <cellStyle name="Positive 4 9 3 13 2" xfId="44248" xr:uid="{00000000-0005-0000-0000-0000E5AC0000}"/>
    <cellStyle name="Positive 4 9 3 14" xfId="44249" xr:uid="{00000000-0005-0000-0000-0000E6AC0000}"/>
    <cellStyle name="Positive 4 9 3 14 2" xfId="44250" xr:uid="{00000000-0005-0000-0000-0000E7AC0000}"/>
    <cellStyle name="Positive 4 9 3 15" xfId="44251" xr:uid="{00000000-0005-0000-0000-0000E8AC0000}"/>
    <cellStyle name="Positive 4 9 3 15 2" xfId="44252" xr:uid="{00000000-0005-0000-0000-0000E9AC0000}"/>
    <cellStyle name="Positive 4 9 3 16" xfId="44253" xr:uid="{00000000-0005-0000-0000-0000EAAC0000}"/>
    <cellStyle name="Positive 4 9 3 16 2" xfId="44254" xr:uid="{00000000-0005-0000-0000-0000EBAC0000}"/>
    <cellStyle name="Positive 4 9 3 17" xfId="44255" xr:uid="{00000000-0005-0000-0000-0000ECAC0000}"/>
    <cellStyle name="Positive 4 9 3 17 2" xfId="44256" xr:uid="{00000000-0005-0000-0000-0000EDAC0000}"/>
    <cellStyle name="Positive 4 9 3 18" xfId="44257" xr:uid="{00000000-0005-0000-0000-0000EEAC0000}"/>
    <cellStyle name="Positive 4 9 3 18 2" xfId="44258" xr:uid="{00000000-0005-0000-0000-0000EFAC0000}"/>
    <cellStyle name="Positive 4 9 3 19" xfId="44259" xr:uid="{00000000-0005-0000-0000-0000F0AC0000}"/>
    <cellStyle name="Positive 4 9 3 19 2" xfId="44260" xr:uid="{00000000-0005-0000-0000-0000F1AC0000}"/>
    <cellStyle name="Positive 4 9 3 2" xfId="44261" xr:uid="{00000000-0005-0000-0000-0000F2AC0000}"/>
    <cellStyle name="Positive 4 9 3 2 10" xfId="44262" xr:uid="{00000000-0005-0000-0000-0000F3AC0000}"/>
    <cellStyle name="Positive 4 9 3 2 10 2" xfId="44263" xr:uid="{00000000-0005-0000-0000-0000F4AC0000}"/>
    <cellStyle name="Positive 4 9 3 2 11" xfId="44264" xr:uid="{00000000-0005-0000-0000-0000F5AC0000}"/>
    <cellStyle name="Positive 4 9 3 2 11 2" xfId="44265" xr:uid="{00000000-0005-0000-0000-0000F6AC0000}"/>
    <cellStyle name="Positive 4 9 3 2 12" xfId="44266" xr:uid="{00000000-0005-0000-0000-0000F7AC0000}"/>
    <cellStyle name="Positive 4 9 3 2 12 2" xfId="44267" xr:uid="{00000000-0005-0000-0000-0000F8AC0000}"/>
    <cellStyle name="Positive 4 9 3 2 13" xfId="44268" xr:uid="{00000000-0005-0000-0000-0000F9AC0000}"/>
    <cellStyle name="Positive 4 9 3 2 13 2" xfId="44269" xr:uid="{00000000-0005-0000-0000-0000FAAC0000}"/>
    <cellStyle name="Positive 4 9 3 2 14" xfId="44270" xr:uid="{00000000-0005-0000-0000-0000FBAC0000}"/>
    <cellStyle name="Positive 4 9 3 2 14 2" xfId="44271" xr:uid="{00000000-0005-0000-0000-0000FCAC0000}"/>
    <cellStyle name="Positive 4 9 3 2 15" xfId="44272" xr:uid="{00000000-0005-0000-0000-0000FDAC0000}"/>
    <cellStyle name="Positive 4 9 3 2 15 2" xfId="44273" xr:uid="{00000000-0005-0000-0000-0000FEAC0000}"/>
    <cellStyle name="Positive 4 9 3 2 16" xfId="44274" xr:uid="{00000000-0005-0000-0000-0000FFAC0000}"/>
    <cellStyle name="Positive 4 9 3 2 16 2" xfId="44275" xr:uid="{00000000-0005-0000-0000-000000AD0000}"/>
    <cellStyle name="Positive 4 9 3 2 17" xfId="44276" xr:uid="{00000000-0005-0000-0000-000001AD0000}"/>
    <cellStyle name="Positive 4 9 3 2 2" xfId="44277" xr:uid="{00000000-0005-0000-0000-000002AD0000}"/>
    <cellStyle name="Positive 4 9 3 2 2 2" xfId="44278" xr:uid="{00000000-0005-0000-0000-000003AD0000}"/>
    <cellStyle name="Positive 4 9 3 2 3" xfId="44279" xr:uid="{00000000-0005-0000-0000-000004AD0000}"/>
    <cellStyle name="Positive 4 9 3 2 3 2" xfId="44280" xr:uid="{00000000-0005-0000-0000-000005AD0000}"/>
    <cellStyle name="Positive 4 9 3 2 4" xfId="44281" xr:uid="{00000000-0005-0000-0000-000006AD0000}"/>
    <cellStyle name="Positive 4 9 3 2 4 2" xfId="44282" xr:uid="{00000000-0005-0000-0000-000007AD0000}"/>
    <cellStyle name="Positive 4 9 3 2 5" xfId="44283" xr:uid="{00000000-0005-0000-0000-000008AD0000}"/>
    <cellStyle name="Positive 4 9 3 2 5 2" xfId="44284" xr:uid="{00000000-0005-0000-0000-000009AD0000}"/>
    <cellStyle name="Positive 4 9 3 2 6" xfId="44285" xr:uid="{00000000-0005-0000-0000-00000AAD0000}"/>
    <cellStyle name="Positive 4 9 3 2 6 2" xfId="44286" xr:uid="{00000000-0005-0000-0000-00000BAD0000}"/>
    <cellStyle name="Positive 4 9 3 2 7" xfId="44287" xr:uid="{00000000-0005-0000-0000-00000CAD0000}"/>
    <cellStyle name="Positive 4 9 3 2 7 2" xfId="44288" xr:uid="{00000000-0005-0000-0000-00000DAD0000}"/>
    <cellStyle name="Positive 4 9 3 2 8" xfId="44289" xr:uid="{00000000-0005-0000-0000-00000EAD0000}"/>
    <cellStyle name="Positive 4 9 3 2 8 2" xfId="44290" xr:uid="{00000000-0005-0000-0000-00000FAD0000}"/>
    <cellStyle name="Positive 4 9 3 2 9" xfId="44291" xr:uid="{00000000-0005-0000-0000-000010AD0000}"/>
    <cellStyle name="Positive 4 9 3 2 9 2" xfId="44292" xr:uid="{00000000-0005-0000-0000-000011AD0000}"/>
    <cellStyle name="Positive 4 9 3 20" xfId="44293" xr:uid="{00000000-0005-0000-0000-000012AD0000}"/>
    <cellStyle name="Positive 4 9 3 3" xfId="44294" xr:uid="{00000000-0005-0000-0000-000013AD0000}"/>
    <cellStyle name="Positive 4 9 3 3 2" xfId="44295" xr:uid="{00000000-0005-0000-0000-000014AD0000}"/>
    <cellStyle name="Positive 4 9 3 3 2 2" xfId="44296" xr:uid="{00000000-0005-0000-0000-000015AD0000}"/>
    <cellStyle name="Positive 4 9 3 3 3" xfId="44297" xr:uid="{00000000-0005-0000-0000-000016AD0000}"/>
    <cellStyle name="Positive 4 9 3 4" xfId="44298" xr:uid="{00000000-0005-0000-0000-000017AD0000}"/>
    <cellStyle name="Positive 4 9 3 4 2" xfId="44299" xr:uid="{00000000-0005-0000-0000-000018AD0000}"/>
    <cellStyle name="Positive 4 9 3 4 2 2" xfId="44300" xr:uid="{00000000-0005-0000-0000-000019AD0000}"/>
    <cellStyle name="Positive 4 9 3 4 3" xfId="44301" xr:uid="{00000000-0005-0000-0000-00001AAD0000}"/>
    <cellStyle name="Positive 4 9 3 5" xfId="44302" xr:uid="{00000000-0005-0000-0000-00001BAD0000}"/>
    <cellStyle name="Positive 4 9 3 5 2" xfId="44303" xr:uid="{00000000-0005-0000-0000-00001CAD0000}"/>
    <cellStyle name="Positive 4 9 3 6" xfId="44304" xr:uid="{00000000-0005-0000-0000-00001DAD0000}"/>
    <cellStyle name="Positive 4 9 3 6 2" xfId="44305" xr:uid="{00000000-0005-0000-0000-00001EAD0000}"/>
    <cellStyle name="Positive 4 9 3 7" xfId="44306" xr:uid="{00000000-0005-0000-0000-00001FAD0000}"/>
    <cellStyle name="Positive 4 9 3 7 2" xfId="44307" xr:uid="{00000000-0005-0000-0000-000020AD0000}"/>
    <cellStyle name="Positive 4 9 3 8" xfId="44308" xr:uid="{00000000-0005-0000-0000-000021AD0000}"/>
    <cellStyle name="Positive 4 9 3 8 2" xfId="44309" xr:uid="{00000000-0005-0000-0000-000022AD0000}"/>
    <cellStyle name="Positive 4 9 3 9" xfId="44310" xr:uid="{00000000-0005-0000-0000-000023AD0000}"/>
    <cellStyle name="Positive 4 9 3 9 2" xfId="44311" xr:uid="{00000000-0005-0000-0000-000024AD0000}"/>
    <cellStyle name="Positive 4 9 4" xfId="44312" xr:uid="{00000000-0005-0000-0000-000025AD0000}"/>
    <cellStyle name="Positive 4 9 4 10" xfId="44313" xr:uid="{00000000-0005-0000-0000-000026AD0000}"/>
    <cellStyle name="Positive 4 9 4 10 2" xfId="44314" xr:uid="{00000000-0005-0000-0000-000027AD0000}"/>
    <cellStyle name="Positive 4 9 4 11" xfId="44315" xr:uid="{00000000-0005-0000-0000-000028AD0000}"/>
    <cellStyle name="Positive 4 9 4 11 2" xfId="44316" xr:uid="{00000000-0005-0000-0000-000029AD0000}"/>
    <cellStyle name="Positive 4 9 4 12" xfId="44317" xr:uid="{00000000-0005-0000-0000-00002AAD0000}"/>
    <cellStyle name="Positive 4 9 4 12 2" xfId="44318" xr:uid="{00000000-0005-0000-0000-00002BAD0000}"/>
    <cellStyle name="Positive 4 9 4 13" xfId="44319" xr:uid="{00000000-0005-0000-0000-00002CAD0000}"/>
    <cellStyle name="Positive 4 9 4 13 2" xfId="44320" xr:uid="{00000000-0005-0000-0000-00002DAD0000}"/>
    <cellStyle name="Positive 4 9 4 14" xfId="44321" xr:uid="{00000000-0005-0000-0000-00002EAD0000}"/>
    <cellStyle name="Positive 4 9 4 14 2" xfId="44322" xr:uid="{00000000-0005-0000-0000-00002FAD0000}"/>
    <cellStyle name="Positive 4 9 4 15" xfId="44323" xr:uid="{00000000-0005-0000-0000-000030AD0000}"/>
    <cellStyle name="Positive 4 9 4 15 2" xfId="44324" xr:uid="{00000000-0005-0000-0000-000031AD0000}"/>
    <cellStyle name="Positive 4 9 4 16" xfId="44325" xr:uid="{00000000-0005-0000-0000-000032AD0000}"/>
    <cellStyle name="Positive 4 9 4 16 2" xfId="44326" xr:uid="{00000000-0005-0000-0000-000033AD0000}"/>
    <cellStyle name="Positive 4 9 4 17" xfId="44327" xr:uid="{00000000-0005-0000-0000-000034AD0000}"/>
    <cellStyle name="Positive 4 9 4 17 2" xfId="44328" xr:uid="{00000000-0005-0000-0000-000035AD0000}"/>
    <cellStyle name="Positive 4 9 4 18" xfId="44329" xr:uid="{00000000-0005-0000-0000-000036AD0000}"/>
    <cellStyle name="Positive 4 9 4 18 2" xfId="44330" xr:uid="{00000000-0005-0000-0000-000037AD0000}"/>
    <cellStyle name="Positive 4 9 4 19" xfId="44331" xr:uid="{00000000-0005-0000-0000-000038AD0000}"/>
    <cellStyle name="Positive 4 9 4 19 2" xfId="44332" xr:uid="{00000000-0005-0000-0000-000039AD0000}"/>
    <cellStyle name="Positive 4 9 4 2" xfId="44333" xr:uid="{00000000-0005-0000-0000-00003AAD0000}"/>
    <cellStyle name="Positive 4 9 4 2 10" xfId="44334" xr:uid="{00000000-0005-0000-0000-00003BAD0000}"/>
    <cellStyle name="Positive 4 9 4 2 10 2" xfId="44335" xr:uid="{00000000-0005-0000-0000-00003CAD0000}"/>
    <cellStyle name="Positive 4 9 4 2 11" xfId="44336" xr:uid="{00000000-0005-0000-0000-00003DAD0000}"/>
    <cellStyle name="Positive 4 9 4 2 11 2" xfId="44337" xr:uid="{00000000-0005-0000-0000-00003EAD0000}"/>
    <cellStyle name="Positive 4 9 4 2 12" xfId="44338" xr:uid="{00000000-0005-0000-0000-00003FAD0000}"/>
    <cellStyle name="Positive 4 9 4 2 12 2" xfId="44339" xr:uid="{00000000-0005-0000-0000-000040AD0000}"/>
    <cellStyle name="Positive 4 9 4 2 13" xfId="44340" xr:uid="{00000000-0005-0000-0000-000041AD0000}"/>
    <cellStyle name="Positive 4 9 4 2 13 2" xfId="44341" xr:uid="{00000000-0005-0000-0000-000042AD0000}"/>
    <cellStyle name="Positive 4 9 4 2 14" xfId="44342" xr:uid="{00000000-0005-0000-0000-000043AD0000}"/>
    <cellStyle name="Positive 4 9 4 2 14 2" xfId="44343" xr:uid="{00000000-0005-0000-0000-000044AD0000}"/>
    <cellStyle name="Positive 4 9 4 2 15" xfId="44344" xr:uid="{00000000-0005-0000-0000-000045AD0000}"/>
    <cellStyle name="Positive 4 9 4 2 15 2" xfId="44345" xr:uid="{00000000-0005-0000-0000-000046AD0000}"/>
    <cellStyle name="Positive 4 9 4 2 16" xfId="44346" xr:uid="{00000000-0005-0000-0000-000047AD0000}"/>
    <cellStyle name="Positive 4 9 4 2 16 2" xfId="44347" xr:uid="{00000000-0005-0000-0000-000048AD0000}"/>
    <cellStyle name="Positive 4 9 4 2 17" xfId="44348" xr:uid="{00000000-0005-0000-0000-000049AD0000}"/>
    <cellStyle name="Positive 4 9 4 2 2" xfId="44349" xr:uid="{00000000-0005-0000-0000-00004AAD0000}"/>
    <cellStyle name="Positive 4 9 4 2 2 2" xfId="44350" xr:uid="{00000000-0005-0000-0000-00004BAD0000}"/>
    <cellStyle name="Positive 4 9 4 2 3" xfId="44351" xr:uid="{00000000-0005-0000-0000-00004CAD0000}"/>
    <cellStyle name="Positive 4 9 4 2 3 2" xfId="44352" xr:uid="{00000000-0005-0000-0000-00004DAD0000}"/>
    <cellStyle name="Positive 4 9 4 2 4" xfId="44353" xr:uid="{00000000-0005-0000-0000-00004EAD0000}"/>
    <cellStyle name="Positive 4 9 4 2 4 2" xfId="44354" xr:uid="{00000000-0005-0000-0000-00004FAD0000}"/>
    <cellStyle name="Positive 4 9 4 2 5" xfId="44355" xr:uid="{00000000-0005-0000-0000-000050AD0000}"/>
    <cellStyle name="Positive 4 9 4 2 5 2" xfId="44356" xr:uid="{00000000-0005-0000-0000-000051AD0000}"/>
    <cellStyle name="Positive 4 9 4 2 6" xfId="44357" xr:uid="{00000000-0005-0000-0000-000052AD0000}"/>
    <cellStyle name="Positive 4 9 4 2 6 2" xfId="44358" xr:uid="{00000000-0005-0000-0000-000053AD0000}"/>
    <cellStyle name="Positive 4 9 4 2 7" xfId="44359" xr:uid="{00000000-0005-0000-0000-000054AD0000}"/>
    <cellStyle name="Positive 4 9 4 2 7 2" xfId="44360" xr:uid="{00000000-0005-0000-0000-000055AD0000}"/>
    <cellStyle name="Positive 4 9 4 2 8" xfId="44361" xr:uid="{00000000-0005-0000-0000-000056AD0000}"/>
    <cellStyle name="Positive 4 9 4 2 8 2" xfId="44362" xr:uid="{00000000-0005-0000-0000-000057AD0000}"/>
    <cellStyle name="Positive 4 9 4 2 9" xfId="44363" xr:uid="{00000000-0005-0000-0000-000058AD0000}"/>
    <cellStyle name="Positive 4 9 4 2 9 2" xfId="44364" xr:uid="{00000000-0005-0000-0000-000059AD0000}"/>
    <cellStyle name="Positive 4 9 4 20" xfId="44365" xr:uid="{00000000-0005-0000-0000-00005AAD0000}"/>
    <cellStyle name="Positive 4 9 4 3" xfId="44366" xr:uid="{00000000-0005-0000-0000-00005BAD0000}"/>
    <cellStyle name="Positive 4 9 4 3 2" xfId="44367" xr:uid="{00000000-0005-0000-0000-00005CAD0000}"/>
    <cellStyle name="Positive 4 9 4 3 2 2" xfId="44368" xr:uid="{00000000-0005-0000-0000-00005DAD0000}"/>
    <cellStyle name="Positive 4 9 4 3 3" xfId="44369" xr:uid="{00000000-0005-0000-0000-00005EAD0000}"/>
    <cellStyle name="Positive 4 9 4 4" xfId="44370" xr:uid="{00000000-0005-0000-0000-00005FAD0000}"/>
    <cellStyle name="Positive 4 9 4 4 2" xfId="44371" xr:uid="{00000000-0005-0000-0000-000060AD0000}"/>
    <cellStyle name="Positive 4 9 4 4 2 2" xfId="44372" xr:uid="{00000000-0005-0000-0000-000061AD0000}"/>
    <cellStyle name="Positive 4 9 4 4 3" xfId="44373" xr:uid="{00000000-0005-0000-0000-000062AD0000}"/>
    <cellStyle name="Positive 4 9 4 5" xfId="44374" xr:uid="{00000000-0005-0000-0000-000063AD0000}"/>
    <cellStyle name="Positive 4 9 4 5 2" xfId="44375" xr:uid="{00000000-0005-0000-0000-000064AD0000}"/>
    <cellStyle name="Positive 4 9 4 6" xfId="44376" xr:uid="{00000000-0005-0000-0000-000065AD0000}"/>
    <cellStyle name="Positive 4 9 4 6 2" xfId="44377" xr:uid="{00000000-0005-0000-0000-000066AD0000}"/>
    <cellStyle name="Positive 4 9 4 7" xfId="44378" xr:uid="{00000000-0005-0000-0000-000067AD0000}"/>
    <cellStyle name="Positive 4 9 4 7 2" xfId="44379" xr:uid="{00000000-0005-0000-0000-000068AD0000}"/>
    <cellStyle name="Positive 4 9 4 8" xfId="44380" xr:uid="{00000000-0005-0000-0000-000069AD0000}"/>
    <cellStyle name="Positive 4 9 4 8 2" xfId="44381" xr:uid="{00000000-0005-0000-0000-00006AAD0000}"/>
    <cellStyle name="Positive 4 9 4 9" xfId="44382" xr:uid="{00000000-0005-0000-0000-00006BAD0000}"/>
    <cellStyle name="Positive 4 9 4 9 2" xfId="44383" xr:uid="{00000000-0005-0000-0000-00006CAD0000}"/>
    <cellStyle name="Positive 4 9 5" xfId="44384" xr:uid="{00000000-0005-0000-0000-00006DAD0000}"/>
    <cellStyle name="Positive 4 9 5 10" xfId="44385" xr:uid="{00000000-0005-0000-0000-00006EAD0000}"/>
    <cellStyle name="Positive 4 9 5 10 2" xfId="44386" xr:uid="{00000000-0005-0000-0000-00006FAD0000}"/>
    <cellStyle name="Positive 4 9 5 11" xfId="44387" xr:uid="{00000000-0005-0000-0000-000070AD0000}"/>
    <cellStyle name="Positive 4 9 5 11 2" xfId="44388" xr:uid="{00000000-0005-0000-0000-000071AD0000}"/>
    <cellStyle name="Positive 4 9 5 12" xfId="44389" xr:uid="{00000000-0005-0000-0000-000072AD0000}"/>
    <cellStyle name="Positive 4 9 5 12 2" xfId="44390" xr:uid="{00000000-0005-0000-0000-000073AD0000}"/>
    <cellStyle name="Positive 4 9 5 13" xfId="44391" xr:uid="{00000000-0005-0000-0000-000074AD0000}"/>
    <cellStyle name="Positive 4 9 5 13 2" xfId="44392" xr:uid="{00000000-0005-0000-0000-000075AD0000}"/>
    <cellStyle name="Positive 4 9 5 14" xfId="44393" xr:uid="{00000000-0005-0000-0000-000076AD0000}"/>
    <cellStyle name="Positive 4 9 5 14 2" xfId="44394" xr:uid="{00000000-0005-0000-0000-000077AD0000}"/>
    <cellStyle name="Positive 4 9 5 15" xfId="44395" xr:uid="{00000000-0005-0000-0000-000078AD0000}"/>
    <cellStyle name="Positive 4 9 5 15 2" xfId="44396" xr:uid="{00000000-0005-0000-0000-000079AD0000}"/>
    <cellStyle name="Positive 4 9 5 16" xfId="44397" xr:uid="{00000000-0005-0000-0000-00007AAD0000}"/>
    <cellStyle name="Positive 4 9 5 16 2" xfId="44398" xr:uid="{00000000-0005-0000-0000-00007BAD0000}"/>
    <cellStyle name="Positive 4 9 5 17" xfId="44399" xr:uid="{00000000-0005-0000-0000-00007CAD0000}"/>
    <cellStyle name="Positive 4 9 5 2" xfId="44400" xr:uid="{00000000-0005-0000-0000-00007DAD0000}"/>
    <cellStyle name="Positive 4 9 5 2 2" xfId="44401" xr:uid="{00000000-0005-0000-0000-00007EAD0000}"/>
    <cellStyle name="Positive 4 9 5 3" xfId="44402" xr:uid="{00000000-0005-0000-0000-00007FAD0000}"/>
    <cellStyle name="Positive 4 9 5 3 2" xfId="44403" xr:uid="{00000000-0005-0000-0000-000080AD0000}"/>
    <cellStyle name="Positive 4 9 5 4" xfId="44404" xr:uid="{00000000-0005-0000-0000-000081AD0000}"/>
    <cellStyle name="Positive 4 9 5 4 2" xfId="44405" xr:uid="{00000000-0005-0000-0000-000082AD0000}"/>
    <cellStyle name="Positive 4 9 5 5" xfId="44406" xr:uid="{00000000-0005-0000-0000-000083AD0000}"/>
    <cellStyle name="Positive 4 9 5 5 2" xfId="44407" xr:uid="{00000000-0005-0000-0000-000084AD0000}"/>
    <cellStyle name="Positive 4 9 5 6" xfId="44408" xr:uid="{00000000-0005-0000-0000-000085AD0000}"/>
    <cellStyle name="Positive 4 9 5 6 2" xfId="44409" xr:uid="{00000000-0005-0000-0000-000086AD0000}"/>
    <cellStyle name="Positive 4 9 5 7" xfId="44410" xr:uid="{00000000-0005-0000-0000-000087AD0000}"/>
    <cellStyle name="Positive 4 9 5 7 2" xfId="44411" xr:uid="{00000000-0005-0000-0000-000088AD0000}"/>
    <cellStyle name="Positive 4 9 5 8" xfId="44412" xr:uid="{00000000-0005-0000-0000-000089AD0000}"/>
    <cellStyle name="Positive 4 9 5 8 2" xfId="44413" xr:uid="{00000000-0005-0000-0000-00008AAD0000}"/>
    <cellStyle name="Positive 4 9 5 9" xfId="44414" xr:uid="{00000000-0005-0000-0000-00008BAD0000}"/>
    <cellStyle name="Positive 4 9 5 9 2" xfId="44415" xr:uid="{00000000-0005-0000-0000-00008CAD0000}"/>
    <cellStyle name="Positive 4 9 6" xfId="44416" xr:uid="{00000000-0005-0000-0000-00008DAD0000}"/>
    <cellStyle name="Positive 4 9 6 2" xfId="44417" xr:uid="{00000000-0005-0000-0000-00008EAD0000}"/>
    <cellStyle name="Positive 4 9 6 2 2" xfId="44418" xr:uid="{00000000-0005-0000-0000-00008FAD0000}"/>
    <cellStyle name="Positive 4 9 6 3" xfId="44419" xr:uid="{00000000-0005-0000-0000-000090AD0000}"/>
    <cellStyle name="Positive 4 9 7" xfId="44420" xr:uid="{00000000-0005-0000-0000-000091AD0000}"/>
    <cellStyle name="Positive 4 9 7 2" xfId="44421" xr:uid="{00000000-0005-0000-0000-000092AD0000}"/>
    <cellStyle name="Positive 4 9 7 2 2" xfId="44422" xr:uid="{00000000-0005-0000-0000-000093AD0000}"/>
    <cellStyle name="Positive 4 9 7 3" xfId="44423" xr:uid="{00000000-0005-0000-0000-000094AD0000}"/>
    <cellStyle name="Positive 4 9 8" xfId="44424" xr:uid="{00000000-0005-0000-0000-000095AD0000}"/>
    <cellStyle name="Positive 4 9 8 2" xfId="44425" xr:uid="{00000000-0005-0000-0000-000096AD0000}"/>
    <cellStyle name="Positive 4 9 9" xfId="44426" xr:uid="{00000000-0005-0000-0000-000097AD0000}"/>
    <cellStyle name="Positive 4 9 9 2" xfId="44427" xr:uid="{00000000-0005-0000-0000-000098AD0000}"/>
    <cellStyle name="Positive 5" xfId="44428" xr:uid="{00000000-0005-0000-0000-000099AD0000}"/>
    <cellStyle name="Positive 5 10" xfId="44429" xr:uid="{00000000-0005-0000-0000-00009AAD0000}"/>
    <cellStyle name="Positive 5 10 2" xfId="44430" xr:uid="{00000000-0005-0000-0000-00009BAD0000}"/>
    <cellStyle name="Positive 5 11" xfId="44431" xr:uid="{00000000-0005-0000-0000-00009CAD0000}"/>
    <cellStyle name="Positive 5 11 2" xfId="44432" xr:uid="{00000000-0005-0000-0000-00009DAD0000}"/>
    <cellStyle name="Positive 5 12" xfId="44433" xr:uid="{00000000-0005-0000-0000-00009EAD0000}"/>
    <cellStyle name="Positive 5 12 2" xfId="44434" xr:uid="{00000000-0005-0000-0000-00009FAD0000}"/>
    <cellStyle name="Positive 5 13" xfId="44435" xr:uid="{00000000-0005-0000-0000-0000A0AD0000}"/>
    <cellStyle name="Positive 5 13 2" xfId="44436" xr:uid="{00000000-0005-0000-0000-0000A1AD0000}"/>
    <cellStyle name="Positive 5 14" xfId="44437" xr:uid="{00000000-0005-0000-0000-0000A2AD0000}"/>
    <cellStyle name="Positive 5 14 2" xfId="44438" xr:uid="{00000000-0005-0000-0000-0000A3AD0000}"/>
    <cellStyle name="Positive 5 15" xfId="44439" xr:uid="{00000000-0005-0000-0000-0000A4AD0000}"/>
    <cellStyle name="Positive 5 15 2" xfId="44440" xr:uid="{00000000-0005-0000-0000-0000A5AD0000}"/>
    <cellStyle name="Positive 5 16" xfId="44441" xr:uid="{00000000-0005-0000-0000-0000A6AD0000}"/>
    <cellStyle name="Positive 5 16 2" xfId="44442" xr:uid="{00000000-0005-0000-0000-0000A7AD0000}"/>
    <cellStyle name="Positive 5 17" xfId="44443" xr:uid="{00000000-0005-0000-0000-0000A8AD0000}"/>
    <cellStyle name="Positive 5 17 2" xfId="44444" xr:uid="{00000000-0005-0000-0000-0000A9AD0000}"/>
    <cellStyle name="Positive 5 18" xfId="44445" xr:uid="{00000000-0005-0000-0000-0000AAAD0000}"/>
    <cellStyle name="Positive 5 18 2" xfId="44446" xr:uid="{00000000-0005-0000-0000-0000ABAD0000}"/>
    <cellStyle name="Positive 5 19" xfId="44447" xr:uid="{00000000-0005-0000-0000-0000ACAD0000}"/>
    <cellStyle name="Positive 5 19 2" xfId="44448" xr:uid="{00000000-0005-0000-0000-0000ADAD0000}"/>
    <cellStyle name="Positive 5 2" xfId="44449" xr:uid="{00000000-0005-0000-0000-0000AEAD0000}"/>
    <cellStyle name="Positive 5 2 10" xfId="44450" xr:uid="{00000000-0005-0000-0000-0000AFAD0000}"/>
    <cellStyle name="Positive 5 2 10 2" xfId="44451" xr:uid="{00000000-0005-0000-0000-0000B0AD0000}"/>
    <cellStyle name="Positive 5 2 11" xfId="44452" xr:uid="{00000000-0005-0000-0000-0000B1AD0000}"/>
    <cellStyle name="Positive 5 2 11 2" xfId="44453" xr:uid="{00000000-0005-0000-0000-0000B2AD0000}"/>
    <cellStyle name="Positive 5 2 12" xfId="44454" xr:uid="{00000000-0005-0000-0000-0000B3AD0000}"/>
    <cellStyle name="Positive 5 2 12 2" xfId="44455" xr:uid="{00000000-0005-0000-0000-0000B4AD0000}"/>
    <cellStyle name="Positive 5 2 13" xfId="44456" xr:uid="{00000000-0005-0000-0000-0000B5AD0000}"/>
    <cellStyle name="Positive 5 2 13 2" xfId="44457" xr:uid="{00000000-0005-0000-0000-0000B6AD0000}"/>
    <cellStyle name="Positive 5 2 14" xfId="44458" xr:uid="{00000000-0005-0000-0000-0000B7AD0000}"/>
    <cellStyle name="Positive 5 2 14 2" xfId="44459" xr:uid="{00000000-0005-0000-0000-0000B8AD0000}"/>
    <cellStyle name="Positive 5 2 15" xfId="44460" xr:uid="{00000000-0005-0000-0000-0000B9AD0000}"/>
    <cellStyle name="Positive 5 2 15 2" xfId="44461" xr:uid="{00000000-0005-0000-0000-0000BAAD0000}"/>
    <cellStyle name="Positive 5 2 16" xfId="44462" xr:uid="{00000000-0005-0000-0000-0000BBAD0000}"/>
    <cellStyle name="Positive 5 2 16 2" xfId="44463" xr:uid="{00000000-0005-0000-0000-0000BCAD0000}"/>
    <cellStyle name="Positive 5 2 17" xfId="44464" xr:uid="{00000000-0005-0000-0000-0000BDAD0000}"/>
    <cellStyle name="Positive 5 2 17 2" xfId="44465" xr:uid="{00000000-0005-0000-0000-0000BEAD0000}"/>
    <cellStyle name="Positive 5 2 18" xfId="44466" xr:uid="{00000000-0005-0000-0000-0000BFAD0000}"/>
    <cellStyle name="Positive 5 2 18 2" xfId="44467" xr:uid="{00000000-0005-0000-0000-0000C0AD0000}"/>
    <cellStyle name="Positive 5 2 19" xfId="44468" xr:uid="{00000000-0005-0000-0000-0000C1AD0000}"/>
    <cellStyle name="Positive 5 2 19 2" xfId="44469" xr:uid="{00000000-0005-0000-0000-0000C2AD0000}"/>
    <cellStyle name="Positive 5 2 2" xfId="44470" xr:uid="{00000000-0005-0000-0000-0000C3AD0000}"/>
    <cellStyle name="Positive 5 2 2 10" xfId="44471" xr:uid="{00000000-0005-0000-0000-0000C4AD0000}"/>
    <cellStyle name="Positive 5 2 2 10 2" xfId="44472" xr:uid="{00000000-0005-0000-0000-0000C5AD0000}"/>
    <cellStyle name="Positive 5 2 2 11" xfId="44473" xr:uid="{00000000-0005-0000-0000-0000C6AD0000}"/>
    <cellStyle name="Positive 5 2 2 11 2" xfId="44474" xr:uid="{00000000-0005-0000-0000-0000C7AD0000}"/>
    <cellStyle name="Positive 5 2 2 12" xfId="44475" xr:uid="{00000000-0005-0000-0000-0000C8AD0000}"/>
    <cellStyle name="Positive 5 2 2 12 2" xfId="44476" xr:uid="{00000000-0005-0000-0000-0000C9AD0000}"/>
    <cellStyle name="Positive 5 2 2 13" xfId="44477" xr:uid="{00000000-0005-0000-0000-0000CAAD0000}"/>
    <cellStyle name="Positive 5 2 2 13 2" xfId="44478" xr:uid="{00000000-0005-0000-0000-0000CBAD0000}"/>
    <cellStyle name="Positive 5 2 2 14" xfId="44479" xr:uid="{00000000-0005-0000-0000-0000CCAD0000}"/>
    <cellStyle name="Positive 5 2 2 14 2" xfId="44480" xr:uid="{00000000-0005-0000-0000-0000CDAD0000}"/>
    <cellStyle name="Positive 5 2 2 15" xfId="44481" xr:uid="{00000000-0005-0000-0000-0000CEAD0000}"/>
    <cellStyle name="Positive 5 2 2 15 2" xfId="44482" xr:uid="{00000000-0005-0000-0000-0000CFAD0000}"/>
    <cellStyle name="Positive 5 2 2 16" xfId="44483" xr:uid="{00000000-0005-0000-0000-0000D0AD0000}"/>
    <cellStyle name="Positive 5 2 2 16 2" xfId="44484" xr:uid="{00000000-0005-0000-0000-0000D1AD0000}"/>
    <cellStyle name="Positive 5 2 2 17" xfId="44485" xr:uid="{00000000-0005-0000-0000-0000D2AD0000}"/>
    <cellStyle name="Positive 5 2 2 2" xfId="44486" xr:uid="{00000000-0005-0000-0000-0000D3AD0000}"/>
    <cellStyle name="Positive 5 2 2 2 2" xfId="44487" xr:uid="{00000000-0005-0000-0000-0000D4AD0000}"/>
    <cellStyle name="Positive 5 2 2 3" xfId="44488" xr:uid="{00000000-0005-0000-0000-0000D5AD0000}"/>
    <cellStyle name="Positive 5 2 2 3 2" xfId="44489" xr:uid="{00000000-0005-0000-0000-0000D6AD0000}"/>
    <cellStyle name="Positive 5 2 2 4" xfId="44490" xr:uid="{00000000-0005-0000-0000-0000D7AD0000}"/>
    <cellStyle name="Positive 5 2 2 4 2" xfId="44491" xr:uid="{00000000-0005-0000-0000-0000D8AD0000}"/>
    <cellStyle name="Positive 5 2 2 5" xfId="44492" xr:uid="{00000000-0005-0000-0000-0000D9AD0000}"/>
    <cellStyle name="Positive 5 2 2 5 2" xfId="44493" xr:uid="{00000000-0005-0000-0000-0000DAAD0000}"/>
    <cellStyle name="Positive 5 2 2 6" xfId="44494" xr:uid="{00000000-0005-0000-0000-0000DBAD0000}"/>
    <cellStyle name="Positive 5 2 2 6 2" xfId="44495" xr:uid="{00000000-0005-0000-0000-0000DCAD0000}"/>
    <cellStyle name="Positive 5 2 2 7" xfId="44496" xr:uid="{00000000-0005-0000-0000-0000DDAD0000}"/>
    <cellStyle name="Positive 5 2 2 7 2" xfId="44497" xr:uid="{00000000-0005-0000-0000-0000DEAD0000}"/>
    <cellStyle name="Positive 5 2 2 8" xfId="44498" xr:uid="{00000000-0005-0000-0000-0000DFAD0000}"/>
    <cellStyle name="Positive 5 2 2 8 2" xfId="44499" xr:uid="{00000000-0005-0000-0000-0000E0AD0000}"/>
    <cellStyle name="Positive 5 2 2 9" xfId="44500" xr:uid="{00000000-0005-0000-0000-0000E1AD0000}"/>
    <cellStyle name="Positive 5 2 2 9 2" xfId="44501" xr:uid="{00000000-0005-0000-0000-0000E2AD0000}"/>
    <cellStyle name="Positive 5 2 20" xfId="44502" xr:uid="{00000000-0005-0000-0000-0000E3AD0000}"/>
    <cellStyle name="Positive 5 2 3" xfId="44503" xr:uid="{00000000-0005-0000-0000-0000E4AD0000}"/>
    <cellStyle name="Positive 5 2 3 2" xfId="44504" xr:uid="{00000000-0005-0000-0000-0000E5AD0000}"/>
    <cellStyle name="Positive 5 2 3 2 2" xfId="44505" xr:uid="{00000000-0005-0000-0000-0000E6AD0000}"/>
    <cellStyle name="Positive 5 2 3 3" xfId="44506" xr:uid="{00000000-0005-0000-0000-0000E7AD0000}"/>
    <cellStyle name="Positive 5 2 4" xfId="44507" xr:uid="{00000000-0005-0000-0000-0000E8AD0000}"/>
    <cellStyle name="Positive 5 2 4 2" xfId="44508" xr:uid="{00000000-0005-0000-0000-0000E9AD0000}"/>
    <cellStyle name="Positive 5 2 4 2 2" xfId="44509" xr:uid="{00000000-0005-0000-0000-0000EAAD0000}"/>
    <cellStyle name="Positive 5 2 4 3" xfId="44510" xr:uid="{00000000-0005-0000-0000-0000EBAD0000}"/>
    <cellStyle name="Positive 5 2 5" xfId="44511" xr:uid="{00000000-0005-0000-0000-0000ECAD0000}"/>
    <cellStyle name="Positive 5 2 5 2" xfId="44512" xr:uid="{00000000-0005-0000-0000-0000EDAD0000}"/>
    <cellStyle name="Positive 5 2 6" xfId="44513" xr:uid="{00000000-0005-0000-0000-0000EEAD0000}"/>
    <cellStyle name="Positive 5 2 6 2" xfId="44514" xr:uid="{00000000-0005-0000-0000-0000EFAD0000}"/>
    <cellStyle name="Positive 5 2 7" xfId="44515" xr:uid="{00000000-0005-0000-0000-0000F0AD0000}"/>
    <cellStyle name="Positive 5 2 7 2" xfId="44516" xr:uid="{00000000-0005-0000-0000-0000F1AD0000}"/>
    <cellStyle name="Positive 5 2 8" xfId="44517" xr:uid="{00000000-0005-0000-0000-0000F2AD0000}"/>
    <cellStyle name="Positive 5 2 8 2" xfId="44518" xr:uid="{00000000-0005-0000-0000-0000F3AD0000}"/>
    <cellStyle name="Positive 5 2 9" xfId="44519" xr:uid="{00000000-0005-0000-0000-0000F4AD0000}"/>
    <cellStyle name="Positive 5 2 9 2" xfId="44520" xr:uid="{00000000-0005-0000-0000-0000F5AD0000}"/>
    <cellStyle name="Positive 5 20" xfId="44521" xr:uid="{00000000-0005-0000-0000-0000F6AD0000}"/>
    <cellStyle name="Positive 5 20 2" xfId="44522" xr:uid="{00000000-0005-0000-0000-0000F7AD0000}"/>
    <cellStyle name="Positive 5 21" xfId="44523" xr:uid="{00000000-0005-0000-0000-0000F8AD0000}"/>
    <cellStyle name="Positive 5 21 2" xfId="44524" xr:uid="{00000000-0005-0000-0000-0000F9AD0000}"/>
    <cellStyle name="Positive 5 22" xfId="44525" xr:uid="{00000000-0005-0000-0000-0000FAAD0000}"/>
    <cellStyle name="Positive 5 22 2" xfId="44526" xr:uid="{00000000-0005-0000-0000-0000FBAD0000}"/>
    <cellStyle name="Positive 5 23" xfId="44527" xr:uid="{00000000-0005-0000-0000-0000FCAD0000}"/>
    <cellStyle name="Positive 5 3" xfId="44528" xr:uid="{00000000-0005-0000-0000-0000FDAD0000}"/>
    <cellStyle name="Positive 5 3 10" xfId="44529" xr:uid="{00000000-0005-0000-0000-0000FEAD0000}"/>
    <cellStyle name="Positive 5 3 10 2" xfId="44530" xr:uid="{00000000-0005-0000-0000-0000FFAD0000}"/>
    <cellStyle name="Positive 5 3 11" xfId="44531" xr:uid="{00000000-0005-0000-0000-000000AE0000}"/>
    <cellStyle name="Positive 5 3 11 2" xfId="44532" xr:uid="{00000000-0005-0000-0000-000001AE0000}"/>
    <cellStyle name="Positive 5 3 12" xfId="44533" xr:uid="{00000000-0005-0000-0000-000002AE0000}"/>
    <cellStyle name="Positive 5 3 12 2" xfId="44534" xr:uid="{00000000-0005-0000-0000-000003AE0000}"/>
    <cellStyle name="Positive 5 3 13" xfId="44535" xr:uid="{00000000-0005-0000-0000-000004AE0000}"/>
    <cellStyle name="Positive 5 3 13 2" xfId="44536" xr:uid="{00000000-0005-0000-0000-000005AE0000}"/>
    <cellStyle name="Positive 5 3 14" xfId="44537" xr:uid="{00000000-0005-0000-0000-000006AE0000}"/>
    <cellStyle name="Positive 5 3 14 2" xfId="44538" xr:uid="{00000000-0005-0000-0000-000007AE0000}"/>
    <cellStyle name="Positive 5 3 15" xfId="44539" xr:uid="{00000000-0005-0000-0000-000008AE0000}"/>
    <cellStyle name="Positive 5 3 15 2" xfId="44540" xr:uid="{00000000-0005-0000-0000-000009AE0000}"/>
    <cellStyle name="Positive 5 3 16" xfId="44541" xr:uid="{00000000-0005-0000-0000-00000AAE0000}"/>
    <cellStyle name="Positive 5 3 16 2" xfId="44542" xr:uid="{00000000-0005-0000-0000-00000BAE0000}"/>
    <cellStyle name="Positive 5 3 17" xfId="44543" xr:uid="{00000000-0005-0000-0000-00000CAE0000}"/>
    <cellStyle name="Positive 5 3 17 2" xfId="44544" xr:uid="{00000000-0005-0000-0000-00000DAE0000}"/>
    <cellStyle name="Positive 5 3 18" xfId="44545" xr:uid="{00000000-0005-0000-0000-00000EAE0000}"/>
    <cellStyle name="Positive 5 3 18 2" xfId="44546" xr:uid="{00000000-0005-0000-0000-00000FAE0000}"/>
    <cellStyle name="Positive 5 3 19" xfId="44547" xr:uid="{00000000-0005-0000-0000-000010AE0000}"/>
    <cellStyle name="Positive 5 3 19 2" xfId="44548" xr:uid="{00000000-0005-0000-0000-000011AE0000}"/>
    <cellStyle name="Positive 5 3 2" xfId="44549" xr:uid="{00000000-0005-0000-0000-000012AE0000}"/>
    <cellStyle name="Positive 5 3 2 10" xfId="44550" xr:uid="{00000000-0005-0000-0000-000013AE0000}"/>
    <cellStyle name="Positive 5 3 2 10 2" xfId="44551" xr:uid="{00000000-0005-0000-0000-000014AE0000}"/>
    <cellStyle name="Positive 5 3 2 11" xfId="44552" xr:uid="{00000000-0005-0000-0000-000015AE0000}"/>
    <cellStyle name="Positive 5 3 2 11 2" xfId="44553" xr:uid="{00000000-0005-0000-0000-000016AE0000}"/>
    <cellStyle name="Positive 5 3 2 12" xfId="44554" xr:uid="{00000000-0005-0000-0000-000017AE0000}"/>
    <cellStyle name="Positive 5 3 2 12 2" xfId="44555" xr:uid="{00000000-0005-0000-0000-000018AE0000}"/>
    <cellStyle name="Positive 5 3 2 13" xfId="44556" xr:uid="{00000000-0005-0000-0000-000019AE0000}"/>
    <cellStyle name="Positive 5 3 2 13 2" xfId="44557" xr:uid="{00000000-0005-0000-0000-00001AAE0000}"/>
    <cellStyle name="Positive 5 3 2 14" xfId="44558" xr:uid="{00000000-0005-0000-0000-00001BAE0000}"/>
    <cellStyle name="Positive 5 3 2 14 2" xfId="44559" xr:uid="{00000000-0005-0000-0000-00001CAE0000}"/>
    <cellStyle name="Positive 5 3 2 15" xfId="44560" xr:uid="{00000000-0005-0000-0000-00001DAE0000}"/>
    <cellStyle name="Positive 5 3 2 15 2" xfId="44561" xr:uid="{00000000-0005-0000-0000-00001EAE0000}"/>
    <cellStyle name="Positive 5 3 2 16" xfId="44562" xr:uid="{00000000-0005-0000-0000-00001FAE0000}"/>
    <cellStyle name="Positive 5 3 2 16 2" xfId="44563" xr:uid="{00000000-0005-0000-0000-000020AE0000}"/>
    <cellStyle name="Positive 5 3 2 17" xfId="44564" xr:uid="{00000000-0005-0000-0000-000021AE0000}"/>
    <cellStyle name="Positive 5 3 2 2" xfId="44565" xr:uid="{00000000-0005-0000-0000-000022AE0000}"/>
    <cellStyle name="Positive 5 3 2 2 2" xfId="44566" xr:uid="{00000000-0005-0000-0000-000023AE0000}"/>
    <cellStyle name="Positive 5 3 2 3" xfId="44567" xr:uid="{00000000-0005-0000-0000-000024AE0000}"/>
    <cellStyle name="Positive 5 3 2 3 2" xfId="44568" xr:uid="{00000000-0005-0000-0000-000025AE0000}"/>
    <cellStyle name="Positive 5 3 2 4" xfId="44569" xr:uid="{00000000-0005-0000-0000-000026AE0000}"/>
    <cellStyle name="Positive 5 3 2 4 2" xfId="44570" xr:uid="{00000000-0005-0000-0000-000027AE0000}"/>
    <cellStyle name="Positive 5 3 2 5" xfId="44571" xr:uid="{00000000-0005-0000-0000-000028AE0000}"/>
    <cellStyle name="Positive 5 3 2 5 2" xfId="44572" xr:uid="{00000000-0005-0000-0000-000029AE0000}"/>
    <cellStyle name="Positive 5 3 2 6" xfId="44573" xr:uid="{00000000-0005-0000-0000-00002AAE0000}"/>
    <cellStyle name="Positive 5 3 2 6 2" xfId="44574" xr:uid="{00000000-0005-0000-0000-00002BAE0000}"/>
    <cellStyle name="Positive 5 3 2 7" xfId="44575" xr:uid="{00000000-0005-0000-0000-00002CAE0000}"/>
    <cellStyle name="Positive 5 3 2 7 2" xfId="44576" xr:uid="{00000000-0005-0000-0000-00002DAE0000}"/>
    <cellStyle name="Positive 5 3 2 8" xfId="44577" xr:uid="{00000000-0005-0000-0000-00002EAE0000}"/>
    <cellStyle name="Positive 5 3 2 8 2" xfId="44578" xr:uid="{00000000-0005-0000-0000-00002FAE0000}"/>
    <cellStyle name="Positive 5 3 2 9" xfId="44579" xr:uid="{00000000-0005-0000-0000-000030AE0000}"/>
    <cellStyle name="Positive 5 3 2 9 2" xfId="44580" xr:uid="{00000000-0005-0000-0000-000031AE0000}"/>
    <cellStyle name="Positive 5 3 20" xfId="44581" xr:uid="{00000000-0005-0000-0000-000032AE0000}"/>
    <cellStyle name="Positive 5 3 3" xfId="44582" xr:uid="{00000000-0005-0000-0000-000033AE0000}"/>
    <cellStyle name="Positive 5 3 3 2" xfId="44583" xr:uid="{00000000-0005-0000-0000-000034AE0000}"/>
    <cellStyle name="Positive 5 3 3 2 2" xfId="44584" xr:uid="{00000000-0005-0000-0000-000035AE0000}"/>
    <cellStyle name="Positive 5 3 3 3" xfId="44585" xr:uid="{00000000-0005-0000-0000-000036AE0000}"/>
    <cellStyle name="Positive 5 3 4" xfId="44586" xr:uid="{00000000-0005-0000-0000-000037AE0000}"/>
    <cellStyle name="Positive 5 3 4 2" xfId="44587" xr:uid="{00000000-0005-0000-0000-000038AE0000}"/>
    <cellStyle name="Positive 5 3 4 2 2" xfId="44588" xr:uid="{00000000-0005-0000-0000-000039AE0000}"/>
    <cellStyle name="Positive 5 3 4 3" xfId="44589" xr:uid="{00000000-0005-0000-0000-00003AAE0000}"/>
    <cellStyle name="Positive 5 3 5" xfId="44590" xr:uid="{00000000-0005-0000-0000-00003BAE0000}"/>
    <cellStyle name="Positive 5 3 5 2" xfId="44591" xr:uid="{00000000-0005-0000-0000-00003CAE0000}"/>
    <cellStyle name="Positive 5 3 6" xfId="44592" xr:uid="{00000000-0005-0000-0000-00003DAE0000}"/>
    <cellStyle name="Positive 5 3 6 2" xfId="44593" xr:uid="{00000000-0005-0000-0000-00003EAE0000}"/>
    <cellStyle name="Positive 5 3 7" xfId="44594" xr:uid="{00000000-0005-0000-0000-00003FAE0000}"/>
    <cellStyle name="Positive 5 3 7 2" xfId="44595" xr:uid="{00000000-0005-0000-0000-000040AE0000}"/>
    <cellStyle name="Positive 5 3 8" xfId="44596" xr:uid="{00000000-0005-0000-0000-000041AE0000}"/>
    <cellStyle name="Positive 5 3 8 2" xfId="44597" xr:uid="{00000000-0005-0000-0000-000042AE0000}"/>
    <cellStyle name="Positive 5 3 9" xfId="44598" xr:uid="{00000000-0005-0000-0000-000043AE0000}"/>
    <cellStyle name="Positive 5 3 9 2" xfId="44599" xr:uid="{00000000-0005-0000-0000-000044AE0000}"/>
    <cellStyle name="Positive 5 4" xfId="44600" xr:uid="{00000000-0005-0000-0000-000045AE0000}"/>
    <cellStyle name="Positive 5 4 10" xfId="44601" xr:uid="{00000000-0005-0000-0000-000046AE0000}"/>
    <cellStyle name="Positive 5 4 10 2" xfId="44602" xr:uid="{00000000-0005-0000-0000-000047AE0000}"/>
    <cellStyle name="Positive 5 4 11" xfId="44603" xr:uid="{00000000-0005-0000-0000-000048AE0000}"/>
    <cellStyle name="Positive 5 4 11 2" xfId="44604" xr:uid="{00000000-0005-0000-0000-000049AE0000}"/>
    <cellStyle name="Positive 5 4 12" xfId="44605" xr:uid="{00000000-0005-0000-0000-00004AAE0000}"/>
    <cellStyle name="Positive 5 4 12 2" xfId="44606" xr:uid="{00000000-0005-0000-0000-00004BAE0000}"/>
    <cellStyle name="Positive 5 4 13" xfId="44607" xr:uid="{00000000-0005-0000-0000-00004CAE0000}"/>
    <cellStyle name="Positive 5 4 13 2" xfId="44608" xr:uid="{00000000-0005-0000-0000-00004DAE0000}"/>
    <cellStyle name="Positive 5 4 14" xfId="44609" xr:uid="{00000000-0005-0000-0000-00004EAE0000}"/>
    <cellStyle name="Positive 5 4 14 2" xfId="44610" xr:uid="{00000000-0005-0000-0000-00004FAE0000}"/>
    <cellStyle name="Positive 5 4 15" xfId="44611" xr:uid="{00000000-0005-0000-0000-000050AE0000}"/>
    <cellStyle name="Positive 5 4 15 2" xfId="44612" xr:uid="{00000000-0005-0000-0000-000051AE0000}"/>
    <cellStyle name="Positive 5 4 16" xfId="44613" xr:uid="{00000000-0005-0000-0000-000052AE0000}"/>
    <cellStyle name="Positive 5 4 16 2" xfId="44614" xr:uid="{00000000-0005-0000-0000-000053AE0000}"/>
    <cellStyle name="Positive 5 4 17" xfId="44615" xr:uid="{00000000-0005-0000-0000-000054AE0000}"/>
    <cellStyle name="Positive 5 4 17 2" xfId="44616" xr:uid="{00000000-0005-0000-0000-000055AE0000}"/>
    <cellStyle name="Positive 5 4 18" xfId="44617" xr:uid="{00000000-0005-0000-0000-000056AE0000}"/>
    <cellStyle name="Positive 5 4 18 2" xfId="44618" xr:uid="{00000000-0005-0000-0000-000057AE0000}"/>
    <cellStyle name="Positive 5 4 19" xfId="44619" xr:uid="{00000000-0005-0000-0000-000058AE0000}"/>
    <cellStyle name="Positive 5 4 19 2" xfId="44620" xr:uid="{00000000-0005-0000-0000-000059AE0000}"/>
    <cellStyle name="Positive 5 4 2" xfId="44621" xr:uid="{00000000-0005-0000-0000-00005AAE0000}"/>
    <cellStyle name="Positive 5 4 2 10" xfId="44622" xr:uid="{00000000-0005-0000-0000-00005BAE0000}"/>
    <cellStyle name="Positive 5 4 2 10 2" xfId="44623" xr:uid="{00000000-0005-0000-0000-00005CAE0000}"/>
    <cellStyle name="Positive 5 4 2 11" xfId="44624" xr:uid="{00000000-0005-0000-0000-00005DAE0000}"/>
    <cellStyle name="Positive 5 4 2 11 2" xfId="44625" xr:uid="{00000000-0005-0000-0000-00005EAE0000}"/>
    <cellStyle name="Positive 5 4 2 12" xfId="44626" xr:uid="{00000000-0005-0000-0000-00005FAE0000}"/>
    <cellStyle name="Positive 5 4 2 12 2" xfId="44627" xr:uid="{00000000-0005-0000-0000-000060AE0000}"/>
    <cellStyle name="Positive 5 4 2 13" xfId="44628" xr:uid="{00000000-0005-0000-0000-000061AE0000}"/>
    <cellStyle name="Positive 5 4 2 13 2" xfId="44629" xr:uid="{00000000-0005-0000-0000-000062AE0000}"/>
    <cellStyle name="Positive 5 4 2 14" xfId="44630" xr:uid="{00000000-0005-0000-0000-000063AE0000}"/>
    <cellStyle name="Positive 5 4 2 14 2" xfId="44631" xr:uid="{00000000-0005-0000-0000-000064AE0000}"/>
    <cellStyle name="Positive 5 4 2 15" xfId="44632" xr:uid="{00000000-0005-0000-0000-000065AE0000}"/>
    <cellStyle name="Positive 5 4 2 15 2" xfId="44633" xr:uid="{00000000-0005-0000-0000-000066AE0000}"/>
    <cellStyle name="Positive 5 4 2 16" xfId="44634" xr:uid="{00000000-0005-0000-0000-000067AE0000}"/>
    <cellStyle name="Positive 5 4 2 16 2" xfId="44635" xr:uid="{00000000-0005-0000-0000-000068AE0000}"/>
    <cellStyle name="Positive 5 4 2 17" xfId="44636" xr:uid="{00000000-0005-0000-0000-000069AE0000}"/>
    <cellStyle name="Positive 5 4 2 2" xfId="44637" xr:uid="{00000000-0005-0000-0000-00006AAE0000}"/>
    <cellStyle name="Positive 5 4 2 2 2" xfId="44638" xr:uid="{00000000-0005-0000-0000-00006BAE0000}"/>
    <cellStyle name="Positive 5 4 2 3" xfId="44639" xr:uid="{00000000-0005-0000-0000-00006CAE0000}"/>
    <cellStyle name="Positive 5 4 2 3 2" xfId="44640" xr:uid="{00000000-0005-0000-0000-00006DAE0000}"/>
    <cellStyle name="Positive 5 4 2 4" xfId="44641" xr:uid="{00000000-0005-0000-0000-00006EAE0000}"/>
    <cellStyle name="Positive 5 4 2 4 2" xfId="44642" xr:uid="{00000000-0005-0000-0000-00006FAE0000}"/>
    <cellStyle name="Positive 5 4 2 5" xfId="44643" xr:uid="{00000000-0005-0000-0000-000070AE0000}"/>
    <cellStyle name="Positive 5 4 2 5 2" xfId="44644" xr:uid="{00000000-0005-0000-0000-000071AE0000}"/>
    <cellStyle name="Positive 5 4 2 6" xfId="44645" xr:uid="{00000000-0005-0000-0000-000072AE0000}"/>
    <cellStyle name="Positive 5 4 2 6 2" xfId="44646" xr:uid="{00000000-0005-0000-0000-000073AE0000}"/>
    <cellStyle name="Positive 5 4 2 7" xfId="44647" xr:uid="{00000000-0005-0000-0000-000074AE0000}"/>
    <cellStyle name="Positive 5 4 2 7 2" xfId="44648" xr:uid="{00000000-0005-0000-0000-000075AE0000}"/>
    <cellStyle name="Positive 5 4 2 8" xfId="44649" xr:uid="{00000000-0005-0000-0000-000076AE0000}"/>
    <cellStyle name="Positive 5 4 2 8 2" xfId="44650" xr:uid="{00000000-0005-0000-0000-000077AE0000}"/>
    <cellStyle name="Positive 5 4 2 9" xfId="44651" xr:uid="{00000000-0005-0000-0000-000078AE0000}"/>
    <cellStyle name="Positive 5 4 2 9 2" xfId="44652" xr:uid="{00000000-0005-0000-0000-000079AE0000}"/>
    <cellStyle name="Positive 5 4 20" xfId="44653" xr:uid="{00000000-0005-0000-0000-00007AAE0000}"/>
    <cellStyle name="Positive 5 4 3" xfId="44654" xr:uid="{00000000-0005-0000-0000-00007BAE0000}"/>
    <cellStyle name="Positive 5 4 3 2" xfId="44655" xr:uid="{00000000-0005-0000-0000-00007CAE0000}"/>
    <cellStyle name="Positive 5 4 3 2 2" xfId="44656" xr:uid="{00000000-0005-0000-0000-00007DAE0000}"/>
    <cellStyle name="Positive 5 4 3 3" xfId="44657" xr:uid="{00000000-0005-0000-0000-00007EAE0000}"/>
    <cellStyle name="Positive 5 4 4" xfId="44658" xr:uid="{00000000-0005-0000-0000-00007FAE0000}"/>
    <cellStyle name="Positive 5 4 4 2" xfId="44659" xr:uid="{00000000-0005-0000-0000-000080AE0000}"/>
    <cellStyle name="Positive 5 4 4 2 2" xfId="44660" xr:uid="{00000000-0005-0000-0000-000081AE0000}"/>
    <cellStyle name="Positive 5 4 4 3" xfId="44661" xr:uid="{00000000-0005-0000-0000-000082AE0000}"/>
    <cellStyle name="Positive 5 4 5" xfId="44662" xr:uid="{00000000-0005-0000-0000-000083AE0000}"/>
    <cellStyle name="Positive 5 4 5 2" xfId="44663" xr:uid="{00000000-0005-0000-0000-000084AE0000}"/>
    <cellStyle name="Positive 5 4 6" xfId="44664" xr:uid="{00000000-0005-0000-0000-000085AE0000}"/>
    <cellStyle name="Positive 5 4 6 2" xfId="44665" xr:uid="{00000000-0005-0000-0000-000086AE0000}"/>
    <cellStyle name="Positive 5 4 7" xfId="44666" xr:uid="{00000000-0005-0000-0000-000087AE0000}"/>
    <cellStyle name="Positive 5 4 7 2" xfId="44667" xr:uid="{00000000-0005-0000-0000-000088AE0000}"/>
    <cellStyle name="Positive 5 4 8" xfId="44668" xr:uid="{00000000-0005-0000-0000-000089AE0000}"/>
    <cellStyle name="Positive 5 4 8 2" xfId="44669" xr:uid="{00000000-0005-0000-0000-00008AAE0000}"/>
    <cellStyle name="Positive 5 4 9" xfId="44670" xr:uid="{00000000-0005-0000-0000-00008BAE0000}"/>
    <cellStyle name="Positive 5 4 9 2" xfId="44671" xr:uid="{00000000-0005-0000-0000-00008CAE0000}"/>
    <cellStyle name="Positive 5 5" xfId="44672" xr:uid="{00000000-0005-0000-0000-00008DAE0000}"/>
    <cellStyle name="Positive 5 5 10" xfId="44673" xr:uid="{00000000-0005-0000-0000-00008EAE0000}"/>
    <cellStyle name="Positive 5 5 10 2" xfId="44674" xr:uid="{00000000-0005-0000-0000-00008FAE0000}"/>
    <cellStyle name="Positive 5 5 11" xfId="44675" xr:uid="{00000000-0005-0000-0000-000090AE0000}"/>
    <cellStyle name="Positive 5 5 11 2" xfId="44676" xr:uid="{00000000-0005-0000-0000-000091AE0000}"/>
    <cellStyle name="Positive 5 5 12" xfId="44677" xr:uid="{00000000-0005-0000-0000-000092AE0000}"/>
    <cellStyle name="Positive 5 5 12 2" xfId="44678" xr:uid="{00000000-0005-0000-0000-000093AE0000}"/>
    <cellStyle name="Positive 5 5 13" xfId="44679" xr:uid="{00000000-0005-0000-0000-000094AE0000}"/>
    <cellStyle name="Positive 5 5 13 2" xfId="44680" xr:uid="{00000000-0005-0000-0000-000095AE0000}"/>
    <cellStyle name="Positive 5 5 14" xfId="44681" xr:uid="{00000000-0005-0000-0000-000096AE0000}"/>
    <cellStyle name="Positive 5 5 14 2" xfId="44682" xr:uid="{00000000-0005-0000-0000-000097AE0000}"/>
    <cellStyle name="Positive 5 5 15" xfId="44683" xr:uid="{00000000-0005-0000-0000-000098AE0000}"/>
    <cellStyle name="Positive 5 5 15 2" xfId="44684" xr:uid="{00000000-0005-0000-0000-000099AE0000}"/>
    <cellStyle name="Positive 5 5 16" xfId="44685" xr:uid="{00000000-0005-0000-0000-00009AAE0000}"/>
    <cellStyle name="Positive 5 5 16 2" xfId="44686" xr:uid="{00000000-0005-0000-0000-00009BAE0000}"/>
    <cellStyle name="Positive 5 5 17" xfId="44687" xr:uid="{00000000-0005-0000-0000-00009CAE0000}"/>
    <cellStyle name="Positive 5 5 2" xfId="44688" xr:uid="{00000000-0005-0000-0000-00009DAE0000}"/>
    <cellStyle name="Positive 5 5 2 2" xfId="44689" xr:uid="{00000000-0005-0000-0000-00009EAE0000}"/>
    <cellStyle name="Positive 5 5 3" xfId="44690" xr:uid="{00000000-0005-0000-0000-00009FAE0000}"/>
    <cellStyle name="Positive 5 5 3 2" xfId="44691" xr:uid="{00000000-0005-0000-0000-0000A0AE0000}"/>
    <cellStyle name="Positive 5 5 4" xfId="44692" xr:uid="{00000000-0005-0000-0000-0000A1AE0000}"/>
    <cellStyle name="Positive 5 5 4 2" xfId="44693" xr:uid="{00000000-0005-0000-0000-0000A2AE0000}"/>
    <cellStyle name="Positive 5 5 5" xfId="44694" xr:uid="{00000000-0005-0000-0000-0000A3AE0000}"/>
    <cellStyle name="Positive 5 5 5 2" xfId="44695" xr:uid="{00000000-0005-0000-0000-0000A4AE0000}"/>
    <cellStyle name="Positive 5 5 6" xfId="44696" xr:uid="{00000000-0005-0000-0000-0000A5AE0000}"/>
    <cellStyle name="Positive 5 5 6 2" xfId="44697" xr:uid="{00000000-0005-0000-0000-0000A6AE0000}"/>
    <cellStyle name="Positive 5 5 7" xfId="44698" xr:uid="{00000000-0005-0000-0000-0000A7AE0000}"/>
    <cellStyle name="Positive 5 5 7 2" xfId="44699" xr:uid="{00000000-0005-0000-0000-0000A8AE0000}"/>
    <cellStyle name="Positive 5 5 8" xfId="44700" xr:uid="{00000000-0005-0000-0000-0000A9AE0000}"/>
    <cellStyle name="Positive 5 5 8 2" xfId="44701" xr:uid="{00000000-0005-0000-0000-0000AAAE0000}"/>
    <cellStyle name="Positive 5 5 9" xfId="44702" xr:uid="{00000000-0005-0000-0000-0000ABAE0000}"/>
    <cellStyle name="Positive 5 5 9 2" xfId="44703" xr:uid="{00000000-0005-0000-0000-0000ACAE0000}"/>
    <cellStyle name="Positive 5 6" xfId="44704" xr:uid="{00000000-0005-0000-0000-0000ADAE0000}"/>
    <cellStyle name="Positive 5 6 2" xfId="44705" xr:uid="{00000000-0005-0000-0000-0000AEAE0000}"/>
    <cellStyle name="Positive 5 6 2 2" xfId="44706" xr:uid="{00000000-0005-0000-0000-0000AFAE0000}"/>
    <cellStyle name="Positive 5 6 3" xfId="44707" xr:uid="{00000000-0005-0000-0000-0000B0AE0000}"/>
    <cellStyle name="Positive 5 7" xfId="44708" xr:uid="{00000000-0005-0000-0000-0000B1AE0000}"/>
    <cellStyle name="Positive 5 7 2" xfId="44709" xr:uid="{00000000-0005-0000-0000-0000B2AE0000}"/>
    <cellStyle name="Positive 5 7 2 2" xfId="44710" xr:uid="{00000000-0005-0000-0000-0000B3AE0000}"/>
    <cellStyle name="Positive 5 7 3" xfId="44711" xr:uid="{00000000-0005-0000-0000-0000B4AE0000}"/>
    <cellStyle name="Positive 5 8" xfId="44712" xr:uid="{00000000-0005-0000-0000-0000B5AE0000}"/>
    <cellStyle name="Positive 5 8 2" xfId="44713" xr:uid="{00000000-0005-0000-0000-0000B6AE0000}"/>
    <cellStyle name="Positive 5 9" xfId="44714" xr:uid="{00000000-0005-0000-0000-0000B7AE0000}"/>
    <cellStyle name="Positive 5 9 2" xfId="44715" xr:uid="{00000000-0005-0000-0000-0000B8AE0000}"/>
    <cellStyle name="Small fonts" xfId="5" xr:uid="{00000000-0005-0000-0000-0000B9AE0000}"/>
    <cellStyle name="Sub heading" xfId="13" xr:uid="{00000000-0005-0000-0000-0000BAAE0000}"/>
    <cellStyle name="Sub heading 2" xfId="44719" xr:uid="{00000000-0005-0000-0000-0000BBAE0000}"/>
    <cellStyle name="Success" xfId="3" xr:uid="{00000000-0005-0000-0000-0000BCAE0000}"/>
    <cellStyle name="Success 2" xfId="44725" xr:uid="{00000000-0005-0000-0000-0000BDAE0000}"/>
    <cellStyle name="Toal form field" xfId="11" xr:uid="{00000000-0005-0000-0000-0000BEAE0000}"/>
    <cellStyle name="Total summary style" xfId="12" xr:uid="{00000000-0005-0000-0000-0000BFAE0000}"/>
    <cellStyle name="Warning" xfId="1" xr:uid="{00000000-0005-0000-0000-0000C0AE0000}"/>
  </cellStyles>
  <dxfs count="1650">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val="0"/>
        <i val="0"/>
        <strike val="0"/>
        <condense val="0"/>
        <extend val="0"/>
        <outline val="0"/>
        <shadow val="0"/>
        <u val="none"/>
        <vertAlign val="baseline"/>
        <sz val="9"/>
        <color rgb="FF0074C4"/>
        <name val="Arial"/>
        <family val="2"/>
        <scheme val="none"/>
      </font>
      <numFmt numFmtId="185" formatCode="m/d/yyyy"/>
    </dxf>
    <dxf>
      <font>
        <b val="0"/>
        <i val="0"/>
        <strike val="0"/>
        <condense val="0"/>
        <extend val="0"/>
        <outline val="0"/>
        <shadow val="0"/>
        <u val="none"/>
        <vertAlign val="baseline"/>
        <sz val="9"/>
        <color rgb="FF0074C4"/>
        <name val="Arial"/>
        <family val="2"/>
        <scheme val="none"/>
      </font>
    </dxf>
    <dxf>
      <font>
        <b val="0"/>
        <i val="0"/>
        <strike val="0"/>
        <condense val="0"/>
        <extend val="0"/>
        <outline val="0"/>
        <shadow val="0"/>
        <u val="none"/>
        <vertAlign val="baseline"/>
        <sz val="9"/>
        <color rgb="FF0074C4"/>
        <name val="Arial"/>
        <family val="2"/>
        <scheme val="none"/>
      </font>
      <numFmt numFmtId="185" formatCode="m/d/yyyy"/>
    </dxf>
    <dxf>
      <font>
        <b val="0"/>
        <i val="0"/>
        <strike val="0"/>
        <condense val="0"/>
        <extend val="0"/>
        <outline val="0"/>
        <shadow val="0"/>
        <u val="none"/>
        <vertAlign val="baseline"/>
        <sz val="9"/>
        <color rgb="FF0074C4"/>
        <name val="Arial"/>
        <family val="2"/>
        <scheme val="none"/>
      </font>
    </dxf>
    <dxf>
      <font>
        <b val="0"/>
        <i val="0"/>
        <strike val="0"/>
        <condense val="0"/>
        <extend val="0"/>
        <outline val="0"/>
        <shadow val="0"/>
        <u val="none"/>
        <vertAlign val="baseline"/>
        <sz val="11"/>
        <color theme="1"/>
        <name val="Calibri"/>
        <family val="2"/>
        <scheme val="minor"/>
      </font>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b/>
        <i val="0"/>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900"/>
      </font>
      <fill>
        <patternFill>
          <bgColor rgb="FFFFEAE1"/>
        </patternFill>
      </fill>
      <border>
        <top style="thin">
          <color rgb="FFC53900"/>
        </top>
        <bottom style="thin">
          <color rgb="FFC53900"/>
        </bottom>
        <vertical/>
        <horizontal/>
      </border>
    </dxf>
    <dxf>
      <font>
        <b/>
        <i val="0"/>
        <color rgb="FFC40000"/>
      </font>
      <fill>
        <patternFill>
          <bgColor rgb="FFFFEFEF"/>
        </patternFill>
      </fill>
      <border>
        <top style="thin">
          <color rgb="FFC40000"/>
        </top>
        <bottom style="thin">
          <color rgb="FFC40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ill>
        <patternFill>
          <bgColor theme="2"/>
        </patternFill>
      </fill>
    </dxf>
    <dxf>
      <font>
        <color theme="0"/>
      </font>
      <fill>
        <patternFill>
          <bgColor theme="2"/>
        </patternFill>
      </fill>
      <border>
        <vertical/>
        <horizontal/>
      </border>
    </dxf>
    <dxf>
      <font>
        <color theme="0"/>
      </font>
      <fill>
        <patternFill>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C53900"/>
      </font>
      <fill>
        <patternFill>
          <bgColor rgb="FFFFEAE1"/>
        </patternFill>
      </fill>
      <border>
        <top style="thin">
          <color rgb="FFC53900"/>
        </top>
        <bottom style="thin">
          <color rgb="FFC53900"/>
        </bottom>
        <vertical/>
        <horizontal/>
      </border>
    </dxf>
    <dxf>
      <fill>
        <patternFill>
          <bgColor theme="6"/>
        </patternFill>
      </fill>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style="thin">
          <color theme="9"/>
        </top>
        <bottom/>
        <vertical/>
        <horizontal/>
      </border>
    </dxf>
    <dxf>
      <font>
        <color rgb="FFC53B00"/>
      </font>
      <fill>
        <patternFill>
          <bgColor rgb="FFFFEAE1"/>
        </patternFill>
      </fill>
      <border>
        <top style="thin">
          <color rgb="FFC53B00"/>
        </top>
        <bottom style="thin">
          <color rgb="FFC53B00"/>
        </bottom>
        <vertical/>
        <horizontal/>
      </border>
    </dxf>
    <dxf>
      <font>
        <color theme="0"/>
      </font>
      <fill>
        <patternFill>
          <bgColor theme="0"/>
        </patternFill>
      </fill>
      <border>
        <left/>
        <right/>
        <top/>
        <bottom/>
        <vertical/>
        <horizontal/>
      </border>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border diagonalUp="0" diagonalDown="0">
        <left/>
        <right/>
        <top style="thin">
          <color theme="9"/>
        </top>
        <bottom style="thin">
          <color theme="9"/>
        </bottom>
        <vertical style="thin">
          <color theme="9"/>
        </vertical>
        <horizontal style="thin">
          <color theme="9"/>
        </horizontal>
      </border>
      <protection locked="1" hidden="0"/>
    </dxf>
    <dxf>
      <border>
        <top style="thin">
          <color theme="9"/>
        </top>
      </border>
    </dxf>
    <dxf>
      <border diagonalUp="0" diagonalDown="0">
        <left style="thin">
          <color theme="9"/>
        </left>
        <right style="thin">
          <color theme="9"/>
        </right>
        <top style="thin">
          <color theme="9"/>
        </top>
        <bottom style="thin">
          <color theme="9"/>
        </bottom>
      </border>
    </dxf>
    <dxf>
      <font>
        <b val="0"/>
        <i val="0"/>
        <strike val="0"/>
        <condense val="0"/>
        <extend val="0"/>
        <outline val="0"/>
        <shadow val="0"/>
        <u val="none"/>
        <vertAlign val="baseline"/>
        <sz val="10"/>
        <color rgb="FF000000"/>
        <name val="Arial"/>
        <family val="2"/>
        <scheme val="none"/>
      </font>
      <protection locked="1" hidden="0"/>
    </dxf>
    <dxf>
      <border>
        <bottom style="thin">
          <color theme="9"/>
        </bottom>
      </border>
    </dxf>
    <dxf>
      <font>
        <b/>
        <i val="0"/>
        <strike val="0"/>
        <condense val="0"/>
        <extend val="0"/>
        <outline val="0"/>
        <shadow val="0"/>
        <u val="none"/>
        <vertAlign val="baseline"/>
        <sz val="9"/>
        <color theme="0"/>
        <name val="Arial"/>
        <family val="2"/>
        <scheme val="none"/>
      </font>
      <fill>
        <patternFill patternType="solid">
          <fgColor indexed="64"/>
          <bgColor theme="1"/>
        </patternFill>
      </fill>
      <border diagonalUp="0" diagonalDown="0">
        <left style="thin">
          <color theme="9"/>
        </left>
        <right style="thin">
          <color theme="9"/>
        </right>
        <top/>
        <bottom/>
        <vertical style="thin">
          <color theme="9"/>
        </vertical>
        <horizontal style="thin">
          <color theme="9"/>
        </horizontal>
      </border>
      <protection locked="1" hidden="0"/>
    </dxf>
    <dxf>
      <font>
        <color theme="0"/>
      </font>
      <fill>
        <patternFill>
          <bgColor theme="0"/>
        </patternFill>
      </fill>
      <border>
        <left/>
        <right/>
        <top/>
        <bottom/>
        <vertical/>
        <horizontal/>
      </border>
    </dxf>
    <dxf>
      <font>
        <b val="0"/>
        <i val="0"/>
        <color rgb="FFC40000"/>
      </font>
      <fill>
        <patternFill patternType="solid">
          <bgColor rgb="FFFFEFEF"/>
        </patternFill>
      </fill>
      <border>
        <left/>
        <right/>
        <top style="thin">
          <color rgb="FFC00000"/>
        </top>
        <bottom style="thin">
          <color rgb="FFC00000"/>
        </bottom>
      </border>
    </dxf>
    <dxf>
      <font>
        <b val="0"/>
        <i val="0"/>
        <color rgb="FF008000"/>
      </font>
      <fill>
        <patternFill>
          <bgColor rgb="FFE7FFE7"/>
        </patternFill>
      </fill>
      <border>
        <left/>
        <right/>
        <top style="thin">
          <color rgb="FF008000"/>
        </top>
        <bottom style="thin">
          <color rgb="FF008000"/>
        </bottom>
        <vertical/>
        <horizontal/>
      </border>
    </dxf>
    <dxf>
      <font>
        <color theme="0"/>
      </font>
      <fill>
        <patternFill>
          <bgColor theme="0"/>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rgb="FFC40000"/>
      </font>
      <fill>
        <patternFill>
          <bgColor rgb="FFFFEFEF"/>
        </patternFill>
      </fill>
      <border>
        <left/>
        <right/>
        <top style="thin">
          <color rgb="FFC40000"/>
        </top>
        <bottom style="thin">
          <color rgb="FFC40000"/>
        </bottom>
        <vertical/>
        <horizontal/>
      </border>
    </dxf>
    <dxf>
      <font>
        <b val="0"/>
        <i val="0"/>
        <color rgb="FFC53900"/>
      </font>
      <fill>
        <patternFill>
          <bgColor rgb="FFFFEAE1"/>
        </patternFill>
      </fill>
      <border>
        <left style="thin">
          <color rgb="FFC53900"/>
        </left>
        <right style="thin">
          <color rgb="FFC53900"/>
        </right>
        <top style="thin">
          <color rgb="FFC53900"/>
        </top>
        <bottom style="thin">
          <color rgb="FFC53900"/>
        </bottom>
      </border>
    </dxf>
    <dxf>
      <border>
        <left style="thin">
          <color rgb="FFC40000"/>
        </left>
        <right style="thin">
          <color rgb="FFC40000"/>
        </right>
        <top style="thin">
          <color rgb="FFC40000"/>
        </top>
        <bottom style="thin">
          <color rgb="FFC40000"/>
        </bottom>
        <vertical/>
        <horizontal/>
      </border>
    </dxf>
    <dxf>
      <font>
        <color rgb="FFC40000"/>
      </font>
      <fill>
        <patternFill>
          <bgColor rgb="FFFFEFEF"/>
        </patternFill>
      </fill>
      <border>
        <left/>
        <right/>
        <top style="thin">
          <color rgb="FFC40000"/>
        </top>
        <bottom style="thin">
          <color rgb="FFC4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right/>
        <top style="thin">
          <color rgb="FFC53900"/>
        </top>
        <bottom style="thin">
          <color rgb="FFC53900"/>
        </bottom>
        <vertical/>
        <horizontal/>
      </border>
    </dxf>
    <dxf>
      <fill>
        <patternFill>
          <bgColor theme="0"/>
        </patternFill>
      </fill>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ill>
        <patternFill>
          <bgColor theme="0"/>
        </patternFill>
      </fill>
      <border>
        <left style="thin">
          <color rgb="FFC40000"/>
        </left>
        <right style="thin">
          <color rgb="FFC40000"/>
        </right>
        <top style="thin">
          <color rgb="FFC40000"/>
        </top>
        <bottom style="thin">
          <color rgb="FFC40000"/>
        </bottom>
      </border>
    </dxf>
    <dxf>
      <fill>
        <patternFill>
          <bgColor theme="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border>
        <left style="thin">
          <color rgb="FFC40000"/>
        </left>
        <right style="thin">
          <color rgb="FFC40000"/>
        </right>
        <top style="thin">
          <color rgb="FFC40000"/>
        </top>
        <bottom style="thin">
          <color rgb="FFC40000"/>
        </bottom>
        <vertical/>
        <horizontal/>
      </border>
    </dxf>
    <dxf>
      <fill>
        <patternFill>
          <bgColor theme="2"/>
        </patternFill>
      </fill>
      <border>
        <left style="thin">
          <color theme="9"/>
        </left>
        <right style="thin">
          <color theme="9"/>
        </right>
        <top style="thin">
          <color theme="9"/>
        </top>
        <bottom style="thin">
          <color theme="9"/>
        </bottom>
      </border>
    </dxf>
    <dxf>
      <fill>
        <patternFill>
          <bgColor theme="2"/>
        </patternFill>
      </fill>
      <border>
        <left style="thin">
          <color theme="9"/>
        </left>
        <right style="thin">
          <color theme="9"/>
        </right>
        <top style="thin">
          <color theme="9"/>
        </top>
        <bottom style="thin">
          <color theme="9"/>
        </bottom>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rgb="FFC53900"/>
      </font>
      <fill>
        <patternFill>
          <bgColor rgb="FFFFEAE1"/>
        </patternFill>
      </fill>
      <border>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40000"/>
      </font>
      <fill>
        <patternFill>
          <bgColor rgb="FFFFEFEF"/>
        </patternFill>
      </fill>
      <border>
        <top style="thin">
          <color rgb="FFC40000"/>
        </top>
        <bottom style="thin">
          <color rgb="FFC40000"/>
        </bottom>
        <vertical/>
        <horizontal/>
      </border>
    </dxf>
    <dxf>
      <font>
        <color rgb="FFC53900"/>
      </font>
      <fill>
        <patternFill>
          <bgColor rgb="FFFFEAE1"/>
        </patternFill>
      </fill>
      <border>
        <top style="thin">
          <color rgb="FFC53900"/>
        </top>
        <bottom style="thin">
          <color rgb="FFC53900"/>
        </bottom>
        <vertical/>
        <horizontal/>
      </border>
    </dxf>
    <dxf>
      <font>
        <color rgb="FF0074C4"/>
      </font>
      <fill>
        <patternFill>
          <bgColor rgb="FFEFF8FF"/>
        </patternFill>
      </fill>
      <border>
        <top style="thin">
          <color rgb="FF0074C4"/>
        </top>
        <bottom style="thin">
          <color rgb="FF0074C4"/>
        </bottom>
        <vertical/>
        <horizontal/>
      </border>
    </dxf>
    <dxf>
      <fill>
        <patternFill>
          <bgColor theme="2"/>
        </patternFill>
      </fill>
    </dxf>
    <dxf>
      <font>
        <color theme="0"/>
      </font>
      <fill>
        <patternFill>
          <bgColor theme="0"/>
        </patternFill>
      </fill>
      <border>
        <left/>
        <right/>
        <top/>
        <bottom/>
        <vertical/>
        <horizontal/>
      </border>
    </dxf>
    <dxf>
      <font>
        <color theme="0"/>
      </font>
      <fill>
        <patternFill>
          <bgColor theme="0"/>
        </patternFill>
      </fill>
      <border>
        <lef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rgb="FF0074C4"/>
      </font>
      <fill>
        <patternFill>
          <bgColor rgb="FFEFF8FF"/>
        </patternFill>
      </fill>
      <border>
        <left/>
        <right/>
        <top style="thin">
          <color rgb="FF0074C4"/>
        </top>
        <bottom style="thin">
          <color rgb="FF0074C4"/>
        </bottom>
        <vertical/>
        <horizontal/>
      </border>
    </dxf>
    <dxf>
      <font>
        <color theme="0"/>
      </font>
      <fill>
        <patternFill>
          <bgColor theme="0"/>
        </patternFill>
      </fill>
      <border>
        <left/>
        <right/>
        <top/>
        <bottom/>
        <vertical/>
        <horizontal/>
      </border>
    </dxf>
    <dxf>
      <font>
        <color theme="0"/>
      </font>
      <fill>
        <patternFill>
          <bgColor theme="0"/>
        </patternFill>
      </fill>
      <border>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ill>
        <patternFill>
          <bgColor theme="6"/>
        </patternFill>
      </fill>
    </dxf>
    <dxf>
      <font>
        <color theme="0"/>
      </font>
      <fill>
        <patternFill>
          <bgColor theme="0"/>
        </patternFill>
      </fill>
      <border>
        <left/>
        <right/>
        <top style="thin">
          <color theme="9"/>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val="0"/>
        <i val="0"/>
        <strike val="0"/>
        <condense val="0"/>
        <extend val="0"/>
        <outline val="0"/>
        <shadow val="0"/>
        <u val="none"/>
        <vertAlign val="baseline"/>
        <sz val="12"/>
        <color theme="1"/>
        <name val="Arial"/>
        <family val="2"/>
        <scheme val="none"/>
      </font>
      <numFmt numFmtId="0" formatCode="General"/>
      <alignment horizontal="general" vertical="center" textRotation="0" wrapText="0" indent="0" justifyLastLine="0" shrinkToFit="1" readingOrder="0"/>
      <border diagonalUp="0" diagonalDown="0">
        <left style="thin">
          <color theme="9"/>
        </left>
        <right style="thin">
          <color theme="9"/>
        </right>
        <top style="thin">
          <color theme="9"/>
        </top>
        <bottom style="thin">
          <color theme="9"/>
        </bottom>
        <vertical/>
        <horizontal/>
      </border>
      <protection locked="0" hidden="0"/>
    </dxf>
    <dxf>
      <font>
        <b val="0"/>
        <i val="0"/>
        <strike val="0"/>
        <condense val="0"/>
        <extend val="0"/>
        <outline val="0"/>
        <shadow val="0"/>
        <u val="none"/>
        <vertAlign val="baseline"/>
        <sz val="12"/>
        <color theme="1"/>
        <name val="Arial"/>
        <family val="2"/>
        <scheme val="none"/>
      </font>
      <numFmt numFmtId="0" formatCode="General"/>
      <alignment horizontal="general" vertical="center" textRotation="0" wrapText="0" indent="0" justifyLastLine="0" shrinkToFit="0" readingOrder="0"/>
      <border diagonalUp="0" diagonalDown="0">
        <left style="thin">
          <color theme="9"/>
        </left>
        <right style="thin">
          <color theme="9"/>
        </right>
        <top style="thin">
          <color theme="9"/>
        </top>
        <bottom style="thin">
          <color theme="9"/>
        </bottom>
        <vertical/>
        <horizontal/>
      </border>
      <protection locked="0" hidden="0"/>
    </dxf>
    <dxf>
      <border outline="0">
        <bottom style="thin">
          <color theme="9"/>
        </bottom>
      </border>
    </dxf>
    <dxf>
      <font>
        <b val="0"/>
        <i val="0"/>
        <strike val="0"/>
        <condense val="0"/>
        <extend val="0"/>
        <outline val="0"/>
        <shadow val="0"/>
        <u val="none"/>
        <vertAlign val="baseline"/>
        <sz val="12"/>
        <color theme="1"/>
        <name val="Arial"/>
        <family val="2"/>
        <scheme val="none"/>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3"/>
        <name val="Arial"/>
        <family val="2"/>
        <scheme val="none"/>
      </font>
      <fill>
        <patternFill patternType="solid">
          <fgColor indexed="64"/>
          <bgColor theme="0"/>
        </patternFill>
      </fill>
    </dxf>
    <dxf>
      <fill>
        <patternFill>
          <bgColor theme="0"/>
        </patternFill>
      </fill>
      <border>
        <left/>
        <right/>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fill>
        <patternFill>
          <bgColor theme="2"/>
        </patternFill>
      </fill>
    </dxf>
    <dxf>
      <border>
        <left style="thin">
          <color rgb="FFC40000"/>
        </left>
        <right style="thin">
          <color rgb="FFC40000"/>
        </right>
        <top style="thin">
          <color rgb="FFC40000"/>
        </top>
        <bottom style="thin">
          <color rgb="FFC40000"/>
        </bottom>
        <vertical/>
        <horizontal/>
      </border>
    </dxf>
    <dxf>
      <font>
        <color theme="0"/>
      </font>
      <fill>
        <patternFill patternType="solid">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fill>
        <patternFill>
          <bgColor theme="2"/>
        </patternFill>
      </fill>
    </dxf>
    <dxf>
      <border>
        <left style="thin">
          <color rgb="FFC40000"/>
        </left>
        <right style="thin">
          <color rgb="FFC40000"/>
        </right>
        <top style="thin">
          <color rgb="FFC40000"/>
        </top>
        <bottom style="thin">
          <color rgb="FFC40000"/>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theme="9"/>
        </left>
        <right/>
        <top/>
        <bottom/>
        <vertical/>
        <horizontal/>
      </border>
    </dxf>
    <dxf>
      <font>
        <color theme="0"/>
      </font>
      <fill>
        <patternFill patternType="none">
          <bgColor auto="1"/>
        </patternFill>
      </fill>
      <border>
        <left/>
        <right/>
        <top/>
        <bottom/>
        <vertical/>
        <horizontal/>
      </border>
    </dxf>
    <dxf>
      <fill>
        <patternFill patternType="none">
          <bgColor auto="1"/>
        </patternFill>
      </fill>
      <border>
        <left/>
        <right/>
        <top/>
        <bottom/>
        <vertical/>
        <horizontal/>
      </border>
    </dxf>
    <dxf>
      <font>
        <color rgb="FFC40000"/>
      </font>
      <fill>
        <patternFill>
          <bgColor rgb="FFFFEFEF"/>
        </patternFill>
      </fill>
      <border>
        <top style="thin">
          <color rgb="FFC40000"/>
        </top>
        <bottom style="thin">
          <color rgb="FFC40000"/>
        </bottom>
        <vertical/>
        <horizontal/>
      </border>
    </dxf>
    <dxf>
      <border>
        <left style="thin">
          <color rgb="FFB6000B"/>
        </left>
        <right style="thin">
          <color rgb="FFB6000B"/>
        </right>
        <top style="thin">
          <color rgb="FFB6000B"/>
        </top>
        <bottom style="thin">
          <color rgb="FFB6000B"/>
        </bottom>
        <vertical/>
        <horizontal/>
      </border>
    </dxf>
    <dxf>
      <border>
        <left style="thin">
          <color rgb="FFB6000B"/>
        </left>
        <right style="thin">
          <color rgb="FFB6000B"/>
        </right>
        <top style="thin">
          <color rgb="FFB6000B"/>
        </top>
        <bottom style="thin">
          <color rgb="FFB6000B"/>
        </bottom>
        <vertical/>
        <horizontal/>
      </border>
    </dxf>
    <dxf>
      <border>
        <left style="thin">
          <color rgb="FFB6000B"/>
        </left>
        <right style="thin">
          <color rgb="FFB6000B"/>
        </right>
        <top style="thin">
          <color rgb="FFB6000B"/>
        </top>
        <bottom style="thin">
          <color rgb="FFB6000B"/>
        </bottom>
        <vertical/>
        <horizontal/>
      </border>
    </dxf>
    <dxf>
      <font>
        <color theme="7"/>
      </font>
      <fill>
        <patternFill patternType="solid">
          <bgColor theme="7"/>
        </patternFill>
      </fill>
      <border>
        <left/>
        <right style="thin">
          <color theme="9"/>
        </right>
        <top/>
        <bottom/>
        <vertical/>
        <horizontal/>
      </border>
    </dxf>
    <dxf>
      <font>
        <color theme="0"/>
      </font>
      <fill>
        <patternFill patternType="none">
          <bgColor auto="1"/>
        </patternFill>
      </fill>
      <border>
        <left style="thin">
          <color theme="9"/>
        </left>
        <right/>
        <top/>
        <bottom/>
        <vertical/>
        <horizontal/>
      </border>
    </dxf>
    <dxf>
      <font>
        <color theme="0"/>
      </font>
      <fill>
        <patternFill patternType="none">
          <bgColor auto="1"/>
        </patternFill>
      </fill>
      <border>
        <left style="thin">
          <color theme="9"/>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theme="7"/>
      </font>
      <fill>
        <patternFill patternType="solid">
          <bgColor theme="7"/>
        </patternFill>
      </fill>
      <border>
        <left style="thin">
          <color theme="9"/>
        </left>
        <right/>
        <top/>
        <bottom/>
        <vertical/>
        <horizontal/>
      </border>
    </dxf>
    <dxf>
      <border>
        <left style="thin">
          <color rgb="FFB6000B"/>
        </left>
        <right style="thin">
          <color rgb="FFB6000B"/>
        </right>
        <top style="thin">
          <color rgb="FFB6000B"/>
        </top>
        <bottom style="thin">
          <color rgb="FFB6000B"/>
        </bottom>
        <vertical/>
        <horizontal/>
      </border>
    </dxf>
    <dxf>
      <font>
        <color theme="0"/>
      </font>
      <fill>
        <patternFill patternType="none">
          <bgColor auto="1"/>
        </patternFill>
      </fill>
      <border>
        <left style="thin">
          <color theme="9"/>
        </left>
        <right/>
        <top style="thin">
          <color theme="9"/>
        </top>
        <bottom/>
        <vertical/>
        <horizontal/>
      </border>
    </dxf>
    <dxf>
      <border>
        <left style="thin">
          <color rgb="FFB6000B"/>
        </left>
        <right style="thin">
          <color rgb="FFB6000B"/>
        </right>
        <top style="thin">
          <color rgb="FFB6000B"/>
        </top>
        <bottom style="thin">
          <color rgb="FFB6000B"/>
        </bottom>
        <vertical/>
        <horizontal/>
      </border>
    </dxf>
    <dxf>
      <font>
        <color theme="0"/>
      </font>
      <fill>
        <patternFill patternType="none">
          <bgColor auto="1"/>
        </patternFill>
      </fill>
      <border>
        <left/>
        <right style="thin">
          <color theme="9"/>
        </right>
        <top style="thin">
          <color theme="9"/>
        </top>
        <bottom/>
        <vertical/>
        <horizontal/>
      </border>
    </dxf>
    <dxf>
      <font>
        <color theme="0"/>
      </font>
      <fill>
        <patternFill patternType="solid">
          <bgColor theme="0"/>
        </patternFill>
      </fill>
      <border>
        <left/>
        <right style="thin">
          <color theme="9"/>
        </right>
        <top/>
        <bottom/>
        <vertical/>
        <horizontal/>
      </border>
    </dxf>
    <dxf>
      <font>
        <color theme="0"/>
      </font>
      <fill>
        <patternFill patternType="none">
          <bgColor auto="1"/>
        </patternFill>
      </fill>
      <border>
        <left/>
        <right/>
        <top/>
        <bottom style="thin">
          <color theme="9"/>
        </bottom>
        <vertical/>
        <horizontal/>
      </border>
    </dxf>
    <dxf>
      <font>
        <color theme="0"/>
      </font>
      <fill>
        <patternFill patternType="none">
          <bgColor auto="1"/>
        </patternFill>
      </fill>
      <border>
        <left/>
        <right/>
        <top/>
        <bottom/>
        <vertical/>
        <horizontal/>
      </border>
    </dxf>
    <dxf>
      <font>
        <color theme="7"/>
      </font>
      <fill>
        <patternFill patternType="solid">
          <bgColor theme="7"/>
        </patternFill>
      </fill>
      <border>
        <left/>
        <right/>
        <top/>
        <bottom/>
        <vertical/>
        <horizontal/>
      </border>
    </dxf>
    <dxf>
      <font>
        <color theme="7"/>
      </font>
      <fill>
        <patternFill patternType="solid">
          <bgColor theme="7"/>
        </patternFill>
      </fill>
      <border>
        <left style="thin">
          <color theme="9"/>
        </left>
        <right/>
        <top/>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fill>
        <patternFill>
          <bgColor theme="2"/>
        </patternFill>
      </fill>
    </dxf>
    <dxf>
      <font>
        <color theme="0"/>
      </font>
      <fill>
        <patternFill>
          <bgColor theme="0"/>
        </patternFill>
      </fill>
      <border>
        <left/>
        <right/>
        <top/>
        <bottom/>
        <vertical/>
        <horizontal/>
      </border>
    </dxf>
    <dxf>
      <font>
        <color rgb="FFC40000"/>
      </font>
    </dxf>
    <dxf>
      <font>
        <color rgb="FF008000"/>
      </font>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font>
        <color rgb="FFC40000"/>
      </font>
    </dxf>
    <dxf>
      <font>
        <color rgb="FF008000"/>
      </font>
    </dxf>
    <dxf>
      <font>
        <color theme="0"/>
      </font>
      <fill>
        <patternFill>
          <bgColor theme="0"/>
        </patternFill>
      </fill>
      <border>
        <left/>
        <right/>
        <top/>
        <bottom/>
        <vertical/>
        <horizontal/>
      </border>
    </dxf>
    <dxf>
      <font>
        <color theme="2"/>
      </font>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right/>
        <top/>
        <bottom/>
        <vertical/>
        <horizontal/>
      </border>
    </dxf>
    <dxf>
      <font>
        <color theme="0"/>
      </font>
      <fill>
        <patternFill>
          <bgColor theme="0"/>
        </patternFill>
      </fill>
      <border>
        <left/>
        <right/>
        <top/>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ill>
        <patternFill>
          <bgColor theme="2"/>
        </patternFill>
      </fill>
    </dxf>
    <dxf>
      <font>
        <color theme="0"/>
      </font>
      <fill>
        <patternFill>
          <bgColor theme="0"/>
        </patternFill>
      </fill>
      <border>
        <left/>
        <right/>
        <top/>
        <bottom/>
        <vertical/>
        <horizontal/>
      </border>
    </dxf>
    <dxf>
      <font>
        <color theme="0"/>
      </font>
      <fill>
        <patternFill>
          <bgColor theme="0"/>
        </patternFill>
      </fill>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ill>
        <patternFill>
          <bgColor theme="2"/>
        </patternFill>
      </fill>
    </dxf>
    <dxf>
      <fill>
        <patternFill>
          <bgColor theme="2"/>
        </patternFill>
      </fill>
    </dxf>
    <dxf>
      <fill>
        <patternFill>
          <bgColor theme="2"/>
        </patternFill>
      </fill>
    </dxf>
    <dxf>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1"/>
      </font>
      <fill>
        <patternFill>
          <bgColor theme="0"/>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0"/>
      </font>
      <fill>
        <patternFill>
          <bgColor theme="0"/>
        </patternFill>
      </fill>
      <border>
        <left/>
        <right/>
        <top/>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1"/>
      </font>
      <fill>
        <patternFill>
          <bgColor theme="6"/>
        </patternFill>
      </fill>
    </dxf>
    <dxf>
      <font>
        <color theme="1"/>
      </font>
      <fill>
        <patternFill>
          <bgColor theme="6"/>
        </patternFill>
      </fill>
    </dxf>
    <dxf>
      <numFmt numFmtId="172" formatCode="[$-C09]dd\-mmmm\-yyyy;@"/>
    </dxf>
    <dxf>
      <border outline="0">
        <top style="thin">
          <color theme="6" tint="0.39997558519241921"/>
        </top>
      </border>
    </dxf>
    <dxf>
      <border outline="0">
        <bottom style="thin">
          <color theme="6" tint="0.39997558519241921"/>
        </bottom>
      </border>
    </dxf>
    <dxf>
      <border outline="0">
        <top style="thin">
          <color theme="6" tint="0.39997558519241921"/>
        </top>
      </border>
    </dxf>
    <dxf>
      <border outline="0">
        <bottom style="thin">
          <color theme="6" tint="0.39997558519241921"/>
        </bottom>
      </border>
    </dxf>
    <dxf>
      <numFmt numFmtId="0" formatCode="General"/>
    </dxf>
    <dxf>
      <numFmt numFmtId="0" formatCode="General"/>
    </dxf>
    <dxf>
      <border outline="0">
        <bottom style="thin">
          <color theme="4" tint="0.39997558519241921"/>
        </bottom>
      </border>
    </dxf>
    <dxf>
      <font>
        <strike val="0"/>
        <outline val="0"/>
        <shadow val="0"/>
        <u val="none"/>
        <vertAlign val="baseline"/>
        <sz val="10"/>
        <color theme="5"/>
        <name val="Arial"/>
        <scheme val="none"/>
      </font>
      <numFmt numFmtId="0" formatCode="General"/>
    </dxf>
    <dxf>
      <font>
        <strike val="0"/>
        <outline val="0"/>
        <shadow val="0"/>
        <u val="none"/>
        <vertAlign val="baseline"/>
        <sz val="10"/>
        <color theme="5"/>
        <name val="Arial"/>
        <scheme val="none"/>
      </font>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numFmt numFmtId="0" formatCode="General"/>
    </dxf>
    <dxf>
      <numFmt numFmtId="0" formatCode="General"/>
      <fill>
        <patternFill patternType="none">
          <fgColor indexed="64"/>
          <bgColor indexed="65"/>
        </patternFill>
      </fill>
      <protection locked="1" hidden="0"/>
    </dxf>
    <dxf>
      <numFmt numFmtId="0" formatCode="General"/>
      <protection locked="1" hidden="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0"/>
        <name val="Calibri"/>
        <family val="2"/>
        <scheme val="minor"/>
      </font>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font>
        <strike val="0"/>
        <outline val="0"/>
        <shadow val="0"/>
        <u val="none"/>
        <vertAlign val="baseline"/>
        <sz val="10"/>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name val="Arial"/>
        <family val="2"/>
        <scheme val="none"/>
      </font>
      <numFmt numFmtId="0" formatCode="General"/>
      <alignment horizontal="center" vertical="center" textRotation="0" wrapText="0" indent="0" justifyLastLine="0" shrinkToFit="0" readingOrder="0"/>
    </dxf>
    <dxf>
      <border outline="0">
        <top style="thin">
          <color indexed="64"/>
        </top>
      </border>
    </dxf>
    <dxf>
      <font>
        <strike val="0"/>
        <outline val="0"/>
        <shadow val="0"/>
        <u val="none"/>
        <vertAlign val="baseline"/>
        <sz val="10"/>
        <name val="Arial"/>
        <family val="2"/>
        <scheme val="none"/>
      </font>
      <alignment horizontal="center" vertical="center" textRotation="0" wrapText="0" indent="0" justifyLastLine="0" shrinkToFit="0" readingOrder="0"/>
    </dxf>
    <dxf>
      <font>
        <strike val="0"/>
        <outline val="0"/>
        <shadow val="0"/>
        <u val="none"/>
        <vertAlign val="baseline"/>
        <sz val="10"/>
        <color theme="0"/>
        <name val="Arial"/>
        <family val="2"/>
        <scheme val="none"/>
      </font>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strike val="0"/>
        <outline val="0"/>
        <shadow val="0"/>
        <u val="none"/>
        <vertAlign val="baseline"/>
        <sz val="10"/>
        <color theme="0"/>
        <name val="Arial"/>
        <family val="2"/>
        <scheme val="none"/>
      </font>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strike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strike val="0"/>
        <outline val="0"/>
        <shadow val="0"/>
        <u val="none"/>
        <vertAlign val="baseline"/>
        <sz val="10"/>
        <color theme="0"/>
        <name val="Arial"/>
        <family val="2"/>
        <scheme val="none"/>
      </font>
    </dxf>
    <dxf>
      <font>
        <strike val="0"/>
        <outline val="0"/>
        <shadow val="0"/>
        <u val="none"/>
        <vertAlign val="baseline"/>
        <sz val="8"/>
        <color theme="1"/>
        <name val="Arial"/>
        <family val="2"/>
        <scheme val="none"/>
      </font>
    </dxf>
    <dxf>
      <font>
        <strike val="0"/>
        <outline val="0"/>
        <shadow val="0"/>
        <u val="none"/>
        <vertAlign val="baseline"/>
        <sz val="8"/>
        <color theme="1"/>
        <name val="Arial"/>
        <family val="2"/>
        <scheme val="none"/>
      </font>
    </dxf>
    <dxf>
      <font>
        <strike val="0"/>
        <outline val="0"/>
        <shadow val="0"/>
        <u val="none"/>
        <vertAlign val="baseline"/>
        <sz val="8"/>
        <color theme="1"/>
        <name val="Arial"/>
        <family val="2"/>
        <scheme val="none"/>
      </font>
    </dxf>
    <dxf>
      <border outline="0">
        <top style="thin">
          <color indexed="64"/>
        </top>
      </border>
    </dxf>
    <dxf>
      <font>
        <strike val="0"/>
        <outline val="0"/>
        <shadow val="0"/>
        <u val="none"/>
        <vertAlign val="baseline"/>
        <sz val="8"/>
        <color theme="1"/>
        <name val="Arial"/>
        <family val="2"/>
        <scheme val="none"/>
      </font>
    </dxf>
    <dxf>
      <font>
        <strike val="0"/>
        <outline val="0"/>
        <shadow val="0"/>
        <u val="none"/>
        <vertAlign val="baseline"/>
        <sz val="10"/>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border outline="0">
        <top style="thin">
          <color indexed="64"/>
        </top>
      </border>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1" indent="0" justifyLastLine="0" shrinkToFit="0" readingOrder="0"/>
    </dxf>
    <dxf>
      <numFmt numFmtId="14" formatCode="0.0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protection locked="1" hidden="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72" formatCode="[$-C09]dd\-mmmm\-yyyy;@"/>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72" formatCode="[$-C09]dd\-mmmm\-yyyy;@"/>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72" formatCode="[$-C09]dd\-mmmm\-yyyy;@"/>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strike val="0"/>
        <outline val="0"/>
        <shadow val="0"/>
        <u val="none"/>
        <vertAlign val="baseline"/>
        <sz val="9"/>
        <name val="Arial"/>
        <family val="2"/>
        <scheme val="none"/>
      </font>
      <border diagonalUp="0" diagonalDown="0">
        <left style="thin">
          <color theme="9"/>
        </left>
        <right/>
        <top style="thin">
          <color theme="9"/>
        </top>
        <bottom style="thin">
          <color theme="9"/>
        </bottom>
        <vertical style="thin">
          <color theme="9"/>
        </vertical>
        <horizontal style="thin">
          <color theme="9"/>
        </horizontal>
      </border>
    </dxf>
    <dxf>
      <font>
        <strike val="0"/>
        <outline val="0"/>
        <shadow val="0"/>
        <u val="none"/>
        <vertAlign val="baseline"/>
        <sz val="9"/>
        <name val="Arial"/>
        <family val="2"/>
        <scheme val="none"/>
      </font>
      <alignment horizontal="left" vertical="bottom" textRotation="0" wrapText="0" indent="0" justifyLastLine="0" shrinkToFit="0" readingOrder="0"/>
      <border diagonalUp="0" diagonalDown="0">
        <left/>
        <right style="thin">
          <color theme="9"/>
        </right>
        <top style="thin">
          <color theme="9"/>
        </top>
        <bottom style="thin">
          <color theme="9"/>
        </bottom>
        <vertical style="thin">
          <color theme="9"/>
        </vertical>
        <horizontal style="thin">
          <color theme="9"/>
        </horizontal>
      </border>
    </dxf>
    <dxf>
      <border>
        <top style="thin">
          <color theme="9"/>
        </top>
      </border>
    </dxf>
    <dxf>
      <border diagonalUp="0" diagonalDown="0">
        <left style="thin">
          <color theme="9"/>
        </left>
        <right style="thin">
          <color theme="9"/>
        </right>
        <top style="thin">
          <color theme="9"/>
        </top>
        <bottom style="thin">
          <color theme="9"/>
        </bottom>
      </border>
    </dxf>
    <dxf>
      <font>
        <strike val="0"/>
        <outline val="0"/>
        <shadow val="0"/>
        <u val="none"/>
        <vertAlign val="baseline"/>
        <sz val="9"/>
        <name val="Arial"/>
        <family val="2"/>
        <scheme val="none"/>
      </font>
    </dxf>
    <dxf>
      <border>
        <bottom style="thin">
          <color theme="9"/>
        </bottom>
      </border>
    </dxf>
    <dxf>
      <font>
        <strike val="0"/>
        <outline val="0"/>
        <shadow val="0"/>
        <u val="none"/>
        <vertAlign val="baseline"/>
        <sz val="9"/>
        <color theme="0"/>
        <name val="Arial"/>
        <family val="2"/>
        <scheme val="none"/>
      </font>
      <border diagonalUp="0" diagonalDown="0">
        <left style="thin">
          <color theme="9"/>
        </left>
        <right style="thin">
          <color theme="9"/>
        </right>
        <top/>
        <bottom/>
        <vertical style="thin">
          <color theme="9"/>
        </vertical>
        <horizontal style="thin">
          <color theme="9"/>
        </horizontal>
      </border>
    </dxf>
    <dxf>
      <font>
        <b val="0"/>
        <i val="0"/>
        <strike val="0"/>
        <condense val="0"/>
        <extend val="0"/>
        <outline val="0"/>
        <shadow val="0"/>
        <u val="none"/>
        <vertAlign val="baseline"/>
        <sz val="10"/>
        <color auto="1"/>
        <name val="Arial"/>
        <family val="2"/>
        <scheme val="none"/>
      </font>
      <border diagonalUp="0" diagonalDown="0">
        <left style="thin">
          <color theme="9"/>
        </left>
        <right/>
        <top style="thin">
          <color theme="9"/>
        </top>
        <bottom style="thin">
          <color theme="9"/>
        </bottom>
        <vertical style="thin">
          <color theme="9"/>
        </vertical>
        <horizontal style="thin">
          <color theme="9"/>
        </horizontal>
      </border>
      <protection locked="1" hidden="0"/>
    </dxf>
    <dxf>
      <font>
        <b val="0"/>
        <i val="0"/>
        <strike val="0"/>
        <condense val="0"/>
        <extend val="0"/>
        <outline val="0"/>
        <shadow val="0"/>
        <u val="none"/>
        <vertAlign val="baseline"/>
        <sz val="10"/>
        <color auto="1"/>
        <name val="Arial"/>
        <family val="2"/>
        <scheme val="none"/>
      </font>
      <border diagonalUp="0" diagonalDown="0">
        <left/>
        <right style="thin">
          <color theme="9"/>
        </right>
        <top style="thin">
          <color theme="9"/>
        </top>
        <bottom style="thin">
          <color theme="9"/>
        </bottom>
        <vertical style="thin">
          <color theme="9"/>
        </vertical>
        <horizontal style="thin">
          <color theme="9"/>
        </horizontal>
      </border>
      <protection locked="1" hidden="0"/>
    </dxf>
    <dxf>
      <border>
        <top style="thin">
          <color theme="9"/>
        </top>
      </border>
    </dxf>
    <dxf>
      <border diagonalUp="0" diagonalDown="0">
        <left style="thin">
          <color theme="9"/>
        </left>
        <right style="thin">
          <color theme="9"/>
        </right>
        <top style="thin">
          <color theme="9"/>
        </top>
        <bottom style="thin">
          <color theme="9"/>
        </bottom>
      </border>
    </dxf>
    <dxf>
      <font>
        <b val="0"/>
        <i val="0"/>
        <strike val="0"/>
        <condense val="0"/>
        <extend val="0"/>
        <outline val="0"/>
        <shadow val="0"/>
        <u val="none"/>
        <vertAlign val="baseline"/>
        <sz val="10"/>
        <color auto="1"/>
        <name val="Arial"/>
        <family val="2"/>
        <scheme val="none"/>
      </font>
      <protection locked="1" hidden="0"/>
    </dxf>
    <dxf>
      <border>
        <bottom style="thin">
          <color theme="9"/>
        </bottom>
      </border>
    </dxf>
    <dxf>
      <font>
        <b val="0"/>
        <family val="2"/>
      </font>
      <border diagonalUp="0" diagonalDown="0">
        <left style="thin">
          <color theme="9"/>
        </left>
        <right style="thin">
          <color theme="9"/>
        </right>
        <top/>
        <bottom/>
        <vertical style="thin">
          <color theme="9"/>
        </vertical>
        <horizontal style="thin">
          <color theme="9"/>
        </horizontal>
      </border>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4" formatCode="0.00%"/>
    </dxf>
    <dxf>
      <numFmt numFmtId="0" formatCode="General"/>
    </dxf>
    <dxf>
      <numFmt numFmtId="0" formatCode="General"/>
    </dxf>
    <dxf>
      <numFmt numFmtId="166" formatCode="_(&quot;$&quot;* #,##0.00_);_(&quot;$&quot;* \(#,##0.00\);_(&quot;$&quot;* &quot;-&quot;??_);_(@_)"/>
    </dxf>
    <dxf>
      <numFmt numFmtId="166" formatCode="_(&quot;$&quot;* #,##0.00_);_(&quot;$&quot;* \(#,##0.00\);_(&quot;$&quot;* &quot;-&quot;??_);_(@_)"/>
    </dxf>
    <dxf>
      <numFmt numFmtId="2" formatCode="0.00"/>
    </dxf>
    <dxf>
      <numFmt numFmtId="14" formatCode="0.00%"/>
    </dxf>
    <dxf>
      <numFmt numFmtId="166" formatCode="_(&quot;$&quot;* #,##0.00_);_(&quot;$&quot;* \(#,##0.00\);_(&quot;$&quot;* &quot;-&quot;??_);_(@_)"/>
    </dxf>
    <dxf>
      <numFmt numFmtId="166" formatCode="_(&quot;$&quot;* #,##0.00_);_(&quot;$&quot;* \(#,##0.00\);_(&quot;$&quot;* &quot;-&quot;??_);_(@_)"/>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166" formatCode="_(&quot;$&quot;* #,##0.00_);_(&quot;$&quot;* \(#,##0.00\);_(&quot;$&quot;* &quot;-&quot;??_);_(@_)"/>
    </dxf>
    <dxf>
      <numFmt numFmtId="166" formatCode="_(&quot;$&quot;* #,##0.00_);_(&quot;$&quot;* \(#,##0.00\);_(&quot;$&quot;* &quot;-&quot;??_);_(@_)"/>
    </dxf>
    <dxf>
      <numFmt numFmtId="0" formatCode="General"/>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166" formatCode="_(&quot;$&quot;* #,##0.00_);_(&quot;$&quot;* \(#,##0.00\);_(&quot;$&quot;* &quot;-&quot;??_);_(@_)"/>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strike val="0"/>
        <outline val="0"/>
        <shadow val="0"/>
        <u val="none"/>
        <vertAlign val="baseline"/>
        <sz val="10"/>
        <color theme="1"/>
        <name val="Arial"/>
        <scheme val="none"/>
      </font>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 formatCode="0"/>
    </dxf>
    <dxf>
      <font>
        <b val="0"/>
        <i val="0"/>
        <strike val="0"/>
        <condense val="0"/>
        <extend val="0"/>
        <outline val="0"/>
        <shadow val="0"/>
        <u val="none"/>
        <vertAlign val="baseline"/>
        <sz val="10"/>
        <color rgb="FF000000"/>
        <name val="Arial"/>
        <scheme val="none"/>
      </font>
      <numFmt numFmtId="1" formatCode="0"/>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_(&quot;$&quot;* #,##0.00_);_(&quot;$&quot;* \(#,##0.0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center" textRotation="0" wrapText="0" indent="0" justifyLastLine="0" shrinkToFit="0" readingOrder="0"/>
    </dxf>
    <dxf>
      <border outline="0">
        <bottom style="thin">
          <color theme="9"/>
        </bottom>
      </border>
    </dxf>
    <dxf>
      <alignment horizontal="general"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center" textRotation="0" wrapText="0" indent="0" justifyLastLine="0" shrinkToFit="0" readingOrder="0"/>
    </dxf>
    <dxf>
      <numFmt numFmtId="0" formatCode="General"/>
      <alignment horizontal="right" vertical="center" textRotation="0" wrapText="0" indent="0" justifyLastLine="0" shrinkToFit="0" readingOrder="0"/>
    </dxf>
    <dxf>
      <numFmt numFmtId="0" formatCode="General"/>
      <alignment horizontal="general" vertical="center" textRotation="0" wrapText="0" indent="0" justifyLastLine="0" shrinkToFit="0" readingOrder="0"/>
    </dxf>
    <dxf>
      <border outline="0">
        <bottom style="thin">
          <color theme="9"/>
        </bottom>
      </border>
    </dxf>
    <dxf>
      <numFmt numFmtId="0" formatCode="General"/>
      <alignment horizontal="general" vertical="center" textRotation="0" wrapText="0" indent="0" justifyLastLine="0" shrinkToFit="0" readingOrder="0"/>
    </dxf>
    <dxf>
      <font>
        <b/>
        <i val="0"/>
        <strike val="0"/>
        <condense val="0"/>
        <extend val="0"/>
        <outline val="0"/>
        <shadow val="0"/>
        <u val="none"/>
        <vertAlign val="baseline"/>
        <sz val="10"/>
        <color rgb="FF000000"/>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fill>
        <patternFill patternType="none">
          <fgColor indexed="64"/>
          <bgColor indexed="65"/>
        </patternFill>
      </fill>
      <alignment horizontal="left" vertical="center" textRotation="0" wrapText="0" indent="0" justifyLastLine="0" shrinkToFit="0" readingOrder="0"/>
    </dxf>
  </dxfs>
  <tableStyles count="0" defaultTableStyle="TableStyleMedium2" defaultPivotStyle="PivotStyleLight16"/>
  <colors>
    <mruColors>
      <color rgb="FFC40000"/>
      <color rgb="FFC53900"/>
      <color rgb="FFFFEAE1"/>
      <color rgb="FF0074C4"/>
      <color rgb="FFFFEFEF"/>
      <color rgb="FF84DCE0"/>
      <color rgb="FFD3D3D3"/>
      <color rgb="FFD4DE25"/>
      <color rgb="FF991AD6"/>
      <color rgb="FFEFF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3.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4.svg"/></Relationships>
</file>

<file path=xl/drawings/_rels/drawing6.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20.png"/><Relationship Id="rId3" Type="http://schemas.openxmlformats.org/officeDocument/2006/relationships/image" Target="../media/image10.png"/><Relationship Id="rId7" Type="http://schemas.openxmlformats.org/officeDocument/2006/relationships/image" Target="../media/image14.png"/><Relationship Id="rId12" Type="http://schemas.openxmlformats.org/officeDocument/2006/relationships/image" Target="../media/image19.svg"/><Relationship Id="rId2" Type="http://schemas.openxmlformats.org/officeDocument/2006/relationships/image" Target="../media/image4.svg"/><Relationship Id="rId16" Type="http://schemas.openxmlformats.org/officeDocument/2006/relationships/image" Target="../media/image23.svg"/><Relationship Id="rId1" Type="http://schemas.openxmlformats.org/officeDocument/2006/relationships/image" Target="../media/image3.png"/><Relationship Id="rId6" Type="http://schemas.openxmlformats.org/officeDocument/2006/relationships/image" Target="../media/image13.svg"/><Relationship Id="rId11" Type="http://schemas.openxmlformats.org/officeDocument/2006/relationships/image" Target="../media/image18.png"/><Relationship Id="rId5" Type="http://schemas.openxmlformats.org/officeDocument/2006/relationships/image" Target="../media/image12.png"/><Relationship Id="rId15" Type="http://schemas.openxmlformats.org/officeDocument/2006/relationships/image" Target="../media/image22.png"/><Relationship Id="rId10" Type="http://schemas.openxmlformats.org/officeDocument/2006/relationships/image" Target="../media/image17.svg"/><Relationship Id="rId4" Type="http://schemas.openxmlformats.org/officeDocument/2006/relationships/image" Target="../media/image11.svg"/><Relationship Id="rId9" Type="http://schemas.openxmlformats.org/officeDocument/2006/relationships/image" Target="../media/image16.png"/><Relationship Id="rId14" Type="http://schemas.openxmlformats.org/officeDocument/2006/relationships/image" Target="../media/image21.sv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5.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image" Target="../media/image24.png"/><Relationship Id="rId5" Type="http://schemas.openxmlformats.org/officeDocument/2006/relationships/image" Target="../media/image4.svg"/><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5.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hyperlink" Target="http://www.xe.com" TargetMode="External"/><Relationship Id="rId5" Type="http://schemas.openxmlformats.org/officeDocument/2006/relationships/image" Target="../media/image4.svg"/><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8" Type="http://schemas.openxmlformats.org/officeDocument/2006/relationships/image" Target="../media/image34.svg"/><Relationship Id="rId13" Type="http://schemas.openxmlformats.org/officeDocument/2006/relationships/image" Target="../media/image39.png"/><Relationship Id="rId18" Type="http://schemas.openxmlformats.org/officeDocument/2006/relationships/image" Target="../media/image44.svg"/><Relationship Id="rId3" Type="http://schemas.openxmlformats.org/officeDocument/2006/relationships/image" Target="../media/image29.png"/><Relationship Id="rId21" Type="http://schemas.openxmlformats.org/officeDocument/2006/relationships/image" Target="../media/image45.png"/><Relationship Id="rId7" Type="http://schemas.openxmlformats.org/officeDocument/2006/relationships/image" Target="../media/image33.png"/><Relationship Id="rId12" Type="http://schemas.openxmlformats.org/officeDocument/2006/relationships/image" Target="../media/image38.svg"/><Relationship Id="rId17" Type="http://schemas.openxmlformats.org/officeDocument/2006/relationships/image" Target="../media/image43.png"/><Relationship Id="rId2" Type="http://schemas.openxmlformats.org/officeDocument/2006/relationships/image" Target="../media/image28.svg"/><Relationship Id="rId16" Type="http://schemas.openxmlformats.org/officeDocument/2006/relationships/image" Target="../media/image42.svg"/><Relationship Id="rId20" Type="http://schemas.openxmlformats.org/officeDocument/2006/relationships/image" Target="../media/image4.svg"/><Relationship Id="rId1" Type="http://schemas.openxmlformats.org/officeDocument/2006/relationships/image" Target="../media/image27.png"/><Relationship Id="rId6" Type="http://schemas.openxmlformats.org/officeDocument/2006/relationships/image" Target="../media/image32.svg"/><Relationship Id="rId11" Type="http://schemas.openxmlformats.org/officeDocument/2006/relationships/image" Target="../media/image37.png"/><Relationship Id="rId5" Type="http://schemas.openxmlformats.org/officeDocument/2006/relationships/image" Target="../media/image31.png"/><Relationship Id="rId15" Type="http://schemas.openxmlformats.org/officeDocument/2006/relationships/image" Target="../media/image41.png"/><Relationship Id="rId10" Type="http://schemas.openxmlformats.org/officeDocument/2006/relationships/image" Target="../media/image36.svg"/><Relationship Id="rId19" Type="http://schemas.openxmlformats.org/officeDocument/2006/relationships/image" Target="../media/image3.png"/><Relationship Id="rId4" Type="http://schemas.openxmlformats.org/officeDocument/2006/relationships/image" Target="../media/image30.svg"/><Relationship Id="rId9" Type="http://schemas.openxmlformats.org/officeDocument/2006/relationships/image" Target="../media/image35.png"/><Relationship Id="rId14" Type="http://schemas.openxmlformats.org/officeDocument/2006/relationships/image" Target="../media/image40.svg"/><Relationship Id="rId22" Type="http://schemas.openxmlformats.org/officeDocument/2006/relationships/image" Target="../media/image46.svg"/></Relationships>
</file>

<file path=xl/drawings/drawing1.xml><?xml version="1.0" encoding="utf-8"?>
<xdr:wsDr xmlns:xdr="http://schemas.openxmlformats.org/drawingml/2006/spreadsheetDrawing" xmlns:a="http://schemas.openxmlformats.org/drawingml/2006/main">
  <xdr:oneCellAnchor>
    <xdr:from>
      <xdr:col>18</xdr:col>
      <xdr:colOff>168363</xdr:colOff>
      <xdr:row>40</xdr:row>
      <xdr:rowOff>59598</xdr:rowOff>
    </xdr:from>
    <xdr:ext cx="157842" cy="157842"/>
    <xdr:pic macro="[0]!ClearRentalIncomeOwnership">
      <xdr:nvPicPr>
        <xdr:cNvPr id="3" name="btnDelRentalIncomeApp1">
          <a:extLst>
            <a:ext uri="{FF2B5EF4-FFF2-40B4-BE49-F238E27FC236}">
              <a16:creationId xmlns:a16="http://schemas.microsoft.com/office/drawing/2014/main" id="{EB8A15CD-5E32-40B2-A760-ED67A76A35A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11156223"/>
          <a:ext cx="157842" cy="157842"/>
        </a:xfrm>
        <a:prstGeom prst="rect">
          <a:avLst/>
        </a:prstGeom>
      </xdr:spPr>
    </xdr:pic>
    <xdr:clientData fPrintsWithSheet="0"/>
  </xdr:oneCellAnchor>
  <xdr:oneCellAnchor>
    <xdr:from>
      <xdr:col>18</xdr:col>
      <xdr:colOff>15873</xdr:colOff>
      <xdr:row>40</xdr:row>
      <xdr:rowOff>68057</xdr:rowOff>
    </xdr:from>
    <xdr:ext cx="154134" cy="154134"/>
    <xdr:pic macro="[0]!AddRentalIncome">
      <xdr:nvPicPr>
        <xdr:cNvPr id="4" name="btnEditRentalIncomeApp1">
          <a:extLst>
            <a:ext uri="{FF2B5EF4-FFF2-40B4-BE49-F238E27FC236}">
              <a16:creationId xmlns:a16="http://schemas.microsoft.com/office/drawing/2014/main" id="{7927474B-0969-49DA-91C4-961A6CF02ED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040607"/>
          <a:ext cx="154134" cy="154134"/>
        </a:xfrm>
        <a:prstGeom prst="rect">
          <a:avLst/>
        </a:prstGeom>
      </xdr:spPr>
    </xdr:pic>
    <xdr:clientData fPrintsWithSheet="0"/>
  </xdr:oneCellAnchor>
  <xdr:oneCellAnchor>
    <xdr:from>
      <xdr:col>18</xdr:col>
      <xdr:colOff>168363</xdr:colOff>
      <xdr:row>41</xdr:row>
      <xdr:rowOff>59598</xdr:rowOff>
    </xdr:from>
    <xdr:ext cx="157842" cy="157842"/>
    <xdr:pic macro="[0]!ClearRentalIncomeTaxDeductionOwnership">
      <xdr:nvPicPr>
        <xdr:cNvPr id="5" name="btnDelRITDApp1">
          <a:extLst>
            <a:ext uri="{FF2B5EF4-FFF2-40B4-BE49-F238E27FC236}">
              <a16:creationId xmlns:a16="http://schemas.microsoft.com/office/drawing/2014/main" id="{E58A337E-1DA4-4839-9E30-B959385C186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11441973"/>
          <a:ext cx="157842" cy="157842"/>
        </a:xfrm>
        <a:prstGeom prst="rect">
          <a:avLst/>
        </a:prstGeom>
      </xdr:spPr>
    </xdr:pic>
    <xdr:clientData fPrintsWithSheet="0"/>
  </xdr:oneCellAnchor>
  <xdr:oneCellAnchor>
    <xdr:from>
      <xdr:col>18</xdr:col>
      <xdr:colOff>15873</xdr:colOff>
      <xdr:row>41</xdr:row>
      <xdr:rowOff>68057</xdr:rowOff>
    </xdr:from>
    <xdr:ext cx="154134" cy="154134"/>
    <xdr:pic macro="[0]!AddRentalIncomeTaxDeduction">
      <xdr:nvPicPr>
        <xdr:cNvPr id="6" name="btnEditRITDApp1">
          <a:extLst>
            <a:ext uri="{FF2B5EF4-FFF2-40B4-BE49-F238E27FC236}">
              <a16:creationId xmlns:a16="http://schemas.microsoft.com/office/drawing/2014/main" id="{DC539523-8E14-453A-B354-C899E8F1B19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326357"/>
          <a:ext cx="154134" cy="154134"/>
        </a:xfrm>
        <a:prstGeom prst="rect">
          <a:avLst/>
        </a:prstGeom>
      </xdr:spPr>
    </xdr:pic>
    <xdr:clientData fPrintsWithSheet="0"/>
  </xdr:oneCellAnchor>
  <xdr:oneCellAnchor>
    <xdr:from>
      <xdr:col>1</xdr:col>
      <xdr:colOff>190499</xdr:colOff>
      <xdr:row>112</xdr:row>
      <xdr:rowOff>95248</xdr:rowOff>
    </xdr:from>
    <xdr:ext cx="2520000" cy="360000"/>
    <xdr:sp macro="[0]!AddNewLoan" textlink="">
      <xdr:nvSpPr>
        <xdr:cNvPr id="7" name="btnAddNewLoan">
          <a:extLst>
            <a:ext uri="{FF2B5EF4-FFF2-40B4-BE49-F238E27FC236}">
              <a16:creationId xmlns:a16="http://schemas.microsoft.com/office/drawing/2014/main" id="{BD232036-5D5A-4FAD-8D66-299C837843AF}"/>
            </a:ext>
          </a:extLst>
        </xdr:cNvPr>
        <xdr:cNvSpPr/>
      </xdr:nvSpPr>
      <xdr:spPr>
        <a:xfrm>
          <a:off x="380999" y="13935073"/>
          <a:ext cx="252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new loan</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1</xdr:col>
      <xdr:colOff>190499</xdr:colOff>
      <xdr:row>259</xdr:row>
      <xdr:rowOff>85725</xdr:rowOff>
    </xdr:from>
    <xdr:ext cx="2520000" cy="360000"/>
    <xdr:sp macro="[0]!AddSharableCommitment" textlink="">
      <xdr:nvSpPr>
        <xdr:cNvPr id="13" name="btnAddSharableExistingCommitment">
          <a:extLst>
            <a:ext uri="{FF2B5EF4-FFF2-40B4-BE49-F238E27FC236}">
              <a16:creationId xmlns:a16="http://schemas.microsoft.com/office/drawing/2014/main" id="{2C9332FC-E093-4359-871F-047E00BEF05C}"/>
            </a:ext>
          </a:extLst>
        </xdr:cNvPr>
        <xdr:cNvSpPr/>
      </xdr:nvSpPr>
      <xdr:spPr>
        <a:xfrm>
          <a:off x="380999" y="16497300"/>
          <a:ext cx="252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shareable commitment</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18</xdr:col>
      <xdr:colOff>168363</xdr:colOff>
      <xdr:row>42</xdr:row>
      <xdr:rowOff>59598</xdr:rowOff>
    </xdr:from>
    <xdr:ext cx="157842" cy="157842"/>
    <xdr:pic macro="[0]!DeleteOtherIncome">
      <xdr:nvPicPr>
        <xdr:cNvPr id="20" name="btnDelOtherIncomeApp1">
          <a:extLst>
            <a:ext uri="{FF2B5EF4-FFF2-40B4-BE49-F238E27FC236}">
              <a16:creationId xmlns:a16="http://schemas.microsoft.com/office/drawing/2014/main" id="{919550C4-7CA4-4B66-B7A3-8BB11422483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11727723"/>
          <a:ext cx="157842" cy="157842"/>
        </a:xfrm>
        <a:prstGeom prst="rect">
          <a:avLst/>
        </a:prstGeom>
      </xdr:spPr>
    </xdr:pic>
    <xdr:clientData fPrintsWithSheet="0"/>
  </xdr:oneCellAnchor>
  <xdr:oneCellAnchor>
    <xdr:from>
      <xdr:col>18</xdr:col>
      <xdr:colOff>15873</xdr:colOff>
      <xdr:row>42</xdr:row>
      <xdr:rowOff>68057</xdr:rowOff>
    </xdr:from>
    <xdr:ext cx="154134" cy="154134"/>
    <xdr:pic macro="[0]!AddEditOtherIncome">
      <xdr:nvPicPr>
        <xdr:cNvPr id="21" name="btnEditOtherIncomeApp1">
          <a:extLst>
            <a:ext uri="{FF2B5EF4-FFF2-40B4-BE49-F238E27FC236}">
              <a16:creationId xmlns:a16="http://schemas.microsoft.com/office/drawing/2014/main" id="{4FBDEE7C-62E4-4587-9029-ED7EEDBAA47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612107"/>
          <a:ext cx="154134" cy="154134"/>
        </a:xfrm>
        <a:prstGeom prst="rect">
          <a:avLst/>
        </a:prstGeom>
      </xdr:spPr>
    </xdr:pic>
    <xdr:clientData fPrintsWithSheet="0"/>
  </xdr:oneCellAnchor>
  <xdr:oneCellAnchor>
    <xdr:from>
      <xdr:col>28</xdr:col>
      <xdr:colOff>167121</xdr:colOff>
      <xdr:row>34</xdr:row>
      <xdr:rowOff>73874</xdr:rowOff>
    </xdr:from>
    <xdr:ext cx="157842" cy="157842"/>
    <xdr:pic macro="[0]!DeleteEmployerIncome">
      <xdr:nvPicPr>
        <xdr:cNvPr id="27" name="btnDelEMPIncomeApp2Job1">
          <a:extLst>
            <a:ext uri="{FF2B5EF4-FFF2-40B4-BE49-F238E27FC236}">
              <a16:creationId xmlns:a16="http://schemas.microsoft.com/office/drawing/2014/main" id="{D0D25D97-E8D5-4EC3-A871-E86E72C78EE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788999"/>
          <a:ext cx="157842" cy="157842"/>
        </a:xfrm>
        <a:prstGeom prst="rect">
          <a:avLst/>
        </a:prstGeom>
      </xdr:spPr>
    </xdr:pic>
    <xdr:clientData fPrintsWithSheet="0"/>
  </xdr:oneCellAnchor>
  <xdr:oneCellAnchor>
    <xdr:from>
      <xdr:col>28</xdr:col>
      <xdr:colOff>15875</xdr:colOff>
      <xdr:row>34</xdr:row>
      <xdr:rowOff>77582</xdr:rowOff>
    </xdr:from>
    <xdr:ext cx="154134" cy="154134"/>
    <xdr:pic macro="[0]!AddEditEmployerIncome">
      <xdr:nvPicPr>
        <xdr:cNvPr id="28" name="btnEditEMPIncomeApp2Job1">
          <a:extLst>
            <a:ext uri="{FF2B5EF4-FFF2-40B4-BE49-F238E27FC236}">
              <a16:creationId xmlns:a16="http://schemas.microsoft.com/office/drawing/2014/main" id="{E5F72BE6-7AFD-42AD-99F3-2C7B168C24F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6773657"/>
          <a:ext cx="154134" cy="154134"/>
        </a:xfrm>
        <a:prstGeom prst="rect">
          <a:avLst/>
        </a:prstGeom>
      </xdr:spPr>
    </xdr:pic>
    <xdr:clientData fPrintsWithSheet="0"/>
  </xdr:oneCellAnchor>
  <xdr:oneCellAnchor>
    <xdr:from>
      <xdr:col>28</xdr:col>
      <xdr:colOff>167121</xdr:colOff>
      <xdr:row>35</xdr:row>
      <xdr:rowOff>76255</xdr:rowOff>
    </xdr:from>
    <xdr:ext cx="157842" cy="157842"/>
    <xdr:pic macro="[0]!DeleteEmployerIncome">
      <xdr:nvPicPr>
        <xdr:cNvPr id="29" name="btnDelEMPIncomeApp2Job2" hidden="1">
          <a:extLst>
            <a:ext uri="{FF2B5EF4-FFF2-40B4-BE49-F238E27FC236}">
              <a16:creationId xmlns:a16="http://schemas.microsoft.com/office/drawing/2014/main" id="{638B3E45-4692-4A87-8DAA-76F3AC44838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600880"/>
          <a:ext cx="157842" cy="157842"/>
        </a:xfrm>
        <a:prstGeom prst="rect">
          <a:avLst/>
        </a:prstGeom>
      </xdr:spPr>
    </xdr:pic>
    <xdr:clientData fPrintsWithSheet="0"/>
  </xdr:oneCellAnchor>
  <xdr:oneCellAnchor>
    <xdr:from>
      <xdr:col>28</xdr:col>
      <xdr:colOff>15875</xdr:colOff>
      <xdr:row>35</xdr:row>
      <xdr:rowOff>79963</xdr:rowOff>
    </xdr:from>
    <xdr:ext cx="154134" cy="154134"/>
    <xdr:pic macro="[0]!AddEditEmployerIncome">
      <xdr:nvPicPr>
        <xdr:cNvPr id="30" name="btnEditEMPIncomeApp2Job2" hidden="1">
          <a:extLst>
            <a:ext uri="{FF2B5EF4-FFF2-40B4-BE49-F238E27FC236}">
              <a16:creationId xmlns:a16="http://schemas.microsoft.com/office/drawing/2014/main" id="{B5540F17-5221-4FD9-A827-08A6BD81BEA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052263"/>
          <a:ext cx="154134" cy="154134"/>
        </a:xfrm>
        <a:prstGeom prst="rect">
          <a:avLst/>
        </a:prstGeom>
      </xdr:spPr>
    </xdr:pic>
    <xdr:clientData fPrintsWithSheet="0"/>
  </xdr:oneCellAnchor>
  <xdr:oneCellAnchor>
    <xdr:from>
      <xdr:col>28</xdr:col>
      <xdr:colOff>167121</xdr:colOff>
      <xdr:row>40</xdr:row>
      <xdr:rowOff>64349</xdr:rowOff>
    </xdr:from>
    <xdr:ext cx="157842" cy="157842"/>
    <xdr:pic macro="[0]!ClearRentalIncomeOwnership">
      <xdr:nvPicPr>
        <xdr:cNvPr id="31" name="btnDelRentalIncomeApp2">
          <a:extLst>
            <a:ext uri="{FF2B5EF4-FFF2-40B4-BE49-F238E27FC236}">
              <a16:creationId xmlns:a16="http://schemas.microsoft.com/office/drawing/2014/main" id="{2CFCDD47-FC4B-4D08-82E7-6B6981F389F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10684724"/>
          <a:ext cx="157842" cy="157842"/>
        </a:xfrm>
        <a:prstGeom prst="rect">
          <a:avLst/>
        </a:prstGeom>
      </xdr:spPr>
    </xdr:pic>
    <xdr:clientData fPrintsWithSheet="0"/>
  </xdr:oneCellAnchor>
  <xdr:oneCellAnchor>
    <xdr:from>
      <xdr:col>28</xdr:col>
      <xdr:colOff>15875</xdr:colOff>
      <xdr:row>40</xdr:row>
      <xdr:rowOff>68057</xdr:rowOff>
    </xdr:from>
    <xdr:ext cx="154134" cy="154134"/>
    <xdr:pic macro="[0]!AddRentalIncome">
      <xdr:nvPicPr>
        <xdr:cNvPr id="32" name="btnEditRentalIncomeApp2">
          <a:extLst>
            <a:ext uri="{FF2B5EF4-FFF2-40B4-BE49-F238E27FC236}">
              <a16:creationId xmlns:a16="http://schemas.microsoft.com/office/drawing/2014/main" id="{1628225C-A172-4008-92D5-A0387AD3303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9040607"/>
          <a:ext cx="154134" cy="154134"/>
        </a:xfrm>
        <a:prstGeom prst="rect">
          <a:avLst/>
        </a:prstGeom>
      </xdr:spPr>
    </xdr:pic>
    <xdr:clientData fPrintsWithSheet="0"/>
  </xdr:oneCellAnchor>
  <xdr:oneCellAnchor>
    <xdr:from>
      <xdr:col>28</xdr:col>
      <xdr:colOff>167121</xdr:colOff>
      <xdr:row>41</xdr:row>
      <xdr:rowOff>64349</xdr:rowOff>
    </xdr:from>
    <xdr:ext cx="157842" cy="157842"/>
    <xdr:pic macro="[0]!ClearRentalIncomeTaxDeductionOwnership">
      <xdr:nvPicPr>
        <xdr:cNvPr id="33" name="btnDelRITDApp2">
          <a:extLst>
            <a:ext uri="{FF2B5EF4-FFF2-40B4-BE49-F238E27FC236}">
              <a16:creationId xmlns:a16="http://schemas.microsoft.com/office/drawing/2014/main" id="{FF448C52-F382-4073-A068-885527A373B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10970474"/>
          <a:ext cx="157842" cy="157842"/>
        </a:xfrm>
        <a:prstGeom prst="rect">
          <a:avLst/>
        </a:prstGeom>
      </xdr:spPr>
    </xdr:pic>
    <xdr:clientData fPrintsWithSheet="0"/>
  </xdr:oneCellAnchor>
  <xdr:oneCellAnchor>
    <xdr:from>
      <xdr:col>28</xdr:col>
      <xdr:colOff>15875</xdr:colOff>
      <xdr:row>41</xdr:row>
      <xdr:rowOff>68057</xdr:rowOff>
    </xdr:from>
    <xdr:ext cx="154134" cy="154134"/>
    <xdr:pic macro="[0]!AddRentalIncomeTaxDeduction">
      <xdr:nvPicPr>
        <xdr:cNvPr id="34" name="btnEditRITDApp2">
          <a:extLst>
            <a:ext uri="{FF2B5EF4-FFF2-40B4-BE49-F238E27FC236}">
              <a16:creationId xmlns:a16="http://schemas.microsoft.com/office/drawing/2014/main" id="{3AA28E0B-5394-4C54-A9D3-7A38ADA9590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9326357"/>
          <a:ext cx="154134" cy="154134"/>
        </a:xfrm>
        <a:prstGeom prst="rect">
          <a:avLst/>
        </a:prstGeom>
      </xdr:spPr>
    </xdr:pic>
    <xdr:clientData fPrintsWithSheet="0"/>
  </xdr:oneCellAnchor>
  <xdr:oneCellAnchor>
    <xdr:from>
      <xdr:col>28</xdr:col>
      <xdr:colOff>167121</xdr:colOff>
      <xdr:row>42</xdr:row>
      <xdr:rowOff>64349</xdr:rowOff>
    </xdr:from>
    <xdr:ext cx="157842" cy="157842"/>
    <xdr:pic macro="[0]!DeleteOtherIncome">
      <xdr:nvPicPr>
        <xdr:cNvPr id="35" name="btnDelOtherIncomeApp2">
          <a:extLst>
            <a:ext uri="{FF2B5EF4-FFF2-40B4-BE49-F238E27FC236}">
              <a16:creationId xmlns:a16="http://schemas.microsoft.com/office/drawing/2014/main" id="{3056DE9A-6E6F-402A-ADB1-9070C317BD5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11256224"/>
          <a:ext cx="157842" cy="157842"/>
        </a:xfrm>
        <a:prstGeom prst="rect">
          <a:avLst/>
        </a:prstGeom>
      </xdr:spPr>
    </xdr:pic>
    <xdr:clientData fPrintsWithSheet="0"/>
  </xdr:oneCellAnchor>
  <xdr:oneCellAnchor>
    <xdr:from>
      <xdr:col>28</xdr:col>
      <xdr:colOff>15875</xdr:colOff>
      <xdr:row>42</xdr:row>
      <xdr:rowOff>68057</xdr:rowOff>
    </xdr:from>
    <xdr:ext cx="154134" cy="154134"/>
    <xdr:pic macro="[0]!AddEditOtherIncome">
      <xdr:nvPicPr>
        <xdr:cNvPr id="36" name="btnEditOtherIncomeApp2">
          <a:extLst>
            <a:ext uri="{FF2B5EF4-FFF2-40B4-BE49-F238E27FC236}">
              <a16:creationId xmlns:a16="http://schemas.microsoft.com/office/drawing/2014/main" id="{999548C1-F603-4F71-95BE-F518821DB12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9612107"/>
          <a:ext cx="154134" cy="154134"/>
        </a:xfrm>
        <a:prstGeom prst="rect">
          <a:avLst/>
        </a:prstGeom>
      </xdr:spPr>
    </xdr:pic>
    <xdr:clientData fPrintsWithSheet="0"/>
  </xdr:oneCellAnchor>
  <xdr:oneCellAnchor>
    <xdr:from>
      <xdr:col>28</xdr:col>
      <xdr:colOff>167121</xdr:colOff>
      <xdr:row>36</xdr:row>
      <xdr:rowOff>78636</xdr:rowOff>
    </xdr:from>
    <xdr:ext cx="157842" cy="157842"/>
    <xdr:pic macro="[0]!DeleteEmployerIncome">
      <xdr:nvPicPr>
        <xdr:cNvPr id="41" name="btnDelEMPIncomeApp2Job3" hidden="1">
          <a:extLst>
            <a:ext uri="{FF2B5EF4-FFF2-40B4-BE49-F238E27FC236}">
              <a16:creationId xmlns:a16="http://schemas.microsoft.com/office/drawing/2014/main" id="{BB1D99B1-8F8D-4F50-9441-082360DAF78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889011"/>
          <a:ext cx="157842" cy="157842"/>
        </a:xfrm>
        <a:prstGeom prst="rect">
          <a:avLst/>
        </a:prstGeom>
      </xdr:spPr>
    </xdr:pic>
    <xdr:clientData fPrintsWithSheet="0"/>
  </xdr:oneCellAnchor>
  <xdr:oneCellAnchor>
    <xdr:from>
      <xdr:col>28</xdr:col>
      <xdr:colOff>15875</xdr:colOff>
      <xdr:row>36</xdr:row>
      <xdr:rowOff>82344</xdr:rowOff>
    </xdr:from>
    <xdr:ext cx="154134" cy="154134"/>
    <xdr:pic macro="[0]!AddEditEmployerIncome">
      <xdr:nvPicPr>
        <xdr:cNvPr id="42" name="btnEditEMPIncomeApp2Job3" hidden="1">
          <a:extLst>
            <a:ext uri="{FF2B5EF4-FFF2-40B4-BE49-F238E27FC236}">
              <a16:creationId xmlns:a16="http://schemas.microsoft.com/office/drawing/2014/main" id="{35C60480-4D86-4430-9100-46B40B5EA38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340394"/>
          <a:ext cx="154134" cy="154134"/>
        </a:xfrm>
        <a:prstGeom prst="rect">
          <a:avLst/>
        </a:prstGeom>
      </xdr:spPr>
    </xdr:pic>
    <xdr:clientData fPrintsWithSheet="0"/>
  </xdr:oneCellAnchor>
  <xdr:oneCellAnchor>
    <xdr:from>
      <xdr:col>38</xdr:col>
      <xdr:colOff>167121</xdr:colOff>
      <xdr:row>40</xdr:row>
      <xdr:rowOff>64349</xdr:rowOff>
    </xdr:from>
    <xdr:ext cx="157842" cy="157842"/>
    <xdr:pic macro="[0]!ClearRentalIncomeOwnership">
      <xdr:nvPicPr>
        <xdr:cNvPr id="49" name="btnDelRentalIncomeApp3" hidden="1">
          <a:extLst>
            <a:ext uri="{FF2B5EF4-FFF2-40B4-BE49-F238E27FC236}">
              <a16:creationId xmlns:a16="http://schemas.microsoft.com/office/drawing/2014/main" id="{D8300265-A5C9-414F-8514-1F0F033E83A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10684724"/>
          <a:ext cx="157842" cy="157842"/>
        </a:xfrm>
        <a:prstGeom prst="rect">
          <a:avLst/>
        </a:prstGeom>
      </xdr:spPr>
    </xdr:pic>
    <xdr:clientData fPrintsWithSheet="0"/>
  </xdr:oneCellAnchor>
  <xdr:oneCellAnchor>
    <xdr:from>
      <xdr:col>38</xdr:col>
      <xdr:colOff>15875</xdr:colOff>
      <xdr:row>40</xdr:row>
      <xdr:rowOff>68057</xdr:rowOff>
    </xdr:from>
    <xdr:ext cx="154134" cy="154134"/>
    <xdr:pic macro="[0]!AddRentalIncome">
      <xdr:nvPicPr>
        <xdr:cNvPr id="50" name="btnEditRentalIncomeApp3" hidden="1">
          <a:extLst>
            <a:ext uri="{FF2B5EF4-FFF2-40B4-BE49-F238E27FC236}">
              <a16:creationId xmlns:a16="http://schemas.microsoft.com/office/drawing/2014/main" id="{2004D3D2-D5F5-497A-BE22-8266F21A235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9040607"/>
          <a:ext cx="154134" cy="154134"/>
        </a:xfrm>
        <a:prstGeom prst="rect">
          <a:avLst/>
        </a:prstGeom>
      </xdr:spPr>
    </xdr:pic>
    <xdr:clientData fPrintsWithSheet="0"/>
  </xdr:oneCellAnchor>
  <xdr:oneCellAnchor>
    <xdr:from>
      <xdr:col>38</xdr:col>
      <xdr:colOff>167121</xdr:colOff>
      <xdr:row>41</xdr:row>
      <xdr:rowOff>64349</xdr:rowOff>
    </xdr:from>
    <xdr:ext cx="157842" cy="157842"/>
    <xdr:pic macro="[0]!ClearRentalIncomeTaxDeductionOwnership">
      <xdr:nvPicPr>
        <xdr:cNvPr id="51" name="btnDelRITDApp3" hidden="1">
          <a:extLst>
            <a:ext uri="{FF2B5EF4-FFF2-40B4-BE49-F238E27FC236}">
              <a16:creationId xmlns:a16="http://schemas.microsoft.com/office/drawing/2014/main" id="{CEB0F097-0217-4759-8F65-96819A2AAC2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10970474"/>
          <a:ext cx="157842" cy="157842"/>
        </a:xfrm>
        <a:prstGeom prst="rect">
          <a:avLst/>
        </a:prstGeom>
      </xdr:spPr>
    </xdr:pic>
    <xdr:clientData fPrintsWithSheet="0"/>
  </xdr:oneCellAnchor>
  <xdr:oneCellAnchor>
    <xdr:from>
      <xdr:col>38</xdr:col>
      <xdr:colOff>15875</xdr:colOff>
      <xdr:row>41</xdr:row>
      <xdr:rowOff>68057</xdr:rowOff>
    </xdr:from>
    <xdr:ext cx="154134" cy="154134"/>
    <xdr:pic macro="[0]!AddRentalIncomeTaxDeduction">
      <xdr:nvPicPr>
        <xdr:cNvPr id="52" name="btnEditRITDApp3" hidden="1">
          <a:extLst>
            <a:ext uri="{FF2B5EF4-FFF2-40B4-BE49-F238E27FC236}">
              <a16:creationId xmlns:a16="http://schemas.microsoft.com/office/drawing/2014/main" id="{1C688F8F-0852-41FC-BE49-FF89EDF03E1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9326357"/>
          <a:ext cx="154134" cy="154134"/>
        </a:xfrm>
        <a:prstGeom prst="rect">
          <a:avLst/>
        </a:prstGeom>
      </xdr:spPr>
    </xdr:pic>
    <xdr:clientData fPrintsWithSheet="0"/>
  </xdr:oneCellAnchor>
  <xdr:oneCellAnchor>
    <xdr:from>
      <xdr:col>38</xdr:col>
      <xdr:colOff>167121</xdr:colOff>
      <xdr:row>42</xdr:row>
      <xdr:rowOff>64349</xdr:rowOff>
    </xdr:from>
    <xdr:ext cx="157842" cy="157842"/>
    <xdr:pic macro="[0]!DeleteOtherIncome">
      <xdr:nvPicPr>
        <xdr:cNvPr id="53" name="btnDelOtherIncomeApp3" hidden="1">
          <a:extLst>
            <a:ext uri="{FF2B5EF4-FFF2-40B4-BE49-F238E27FC236}">
              <a16:creationId xmlns:a16="http://schemas.microsoft.com/office/drawing/2014/main" id="{B861CA09-FA94-45A9-A102-DDA8404C952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11256224"/>
          <a:ext cx="157842" cy="157842"/>
        </a:xfrm>
        <a:prstGeom prst="rect">
          <a:avLst/>
        </a:prstGeom>
      </xdr:spPr>
    </xdr:pic>
    <xdr:clientData fPrintsWithSheet="0"/>
  </xdr:oneCellAnchor>
  <xdr:oneCellAnchor>
    <xdr:from>
      <xdr:col>38</xdr:col>
      <xdr:colOff>15875</xdr:colOff>
      <xdr:row>42</xdr:row>
      <xdr:rowOff>68057</xdr:rowOff>
    </xdr:from>
    <xdr:ext cx="154134" cy="154134"/>
    <xdr:pic macro="[0]!AddEditOtherIncome">
      <xdr:nvPicPr>
        <xdr:cNvPr id="54" name="btnEditOtherIncomeApp3" hidden="1">
          <a:extLst>
            <a:ext uri="{FF2B5EF4-FFF2-40B4-BE49-F238E27FC236}">
              <a16:creationId xmlns:a16="http://schemas.microsoft.com/office/drawing/2014/main" id="{C1EC36C5-DEA9-4420-A972-D9FB147E651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9612107"/>
          <a:ext cx="154134" cy="154134"/>
        </a:xfrm>
        <a:prstGeom prst="rect">
          <a:avLst/>
        </a:prstGeom>
      </xdr:spPr>
    </xdr:pic>
    <xdr:clientData fPrintsWithSheet="0"/>
  </xdr:oneCellAnchor>
  <xdr:oneCellAnchor>
    <xdr:from>
      <xdr:col>48</xdr:col>
      <xdr:colOff>167121</xdr:colOff>
      <xdr:row>40</xdr:row>
      <xdr:rowOff>64349</xdr:rowOff>
    </xdr:from>
    <xdr:ext cx="157842" cy="157842"/>
    <xdr:pic macro="[0]!ClearRentalIncomeOwnership">
      <xdr:nvPicPr>
        <xdr:cNvPr id="59" name="btnDelRentalIncomeApp4" hidden="1">
          <a:extLst>
            <a:ext uri="{FF2B5EF4-FFF2-40B4-BE49-F238E27FC236}">
              <a16:creationId xmlns:a16="http://schemas.microsoft.com/office/drawing/2014/main" id="{47AB3EDA-E4B6-49E4-BFF3-F054F3CDDB2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10684724"/>
          <a:ext cx="157842" cy="157842"/>
        </a:xfrm>
        <a:prstGeom prst="rect">
          <a:avLst/>
        </a:prstGeom>
      </xdr:spPr>
    </xdr:pic>
    <xdr:clientData fPrintsWithSheet="0"/>
  </xdr:oneCellAnchor>
  <xdr:oneCellAnchor>
    <xdr:from>
      <xdr:col>48</xdr:col>
      <xdr:colOff>15875</xdr:colOff>
      <xdr:row>40</xdr:row>
      <xdr:rowOff>68057</xdr:rowOff>
    </xdr:from>
    <xdr:ext cx="154134" cy="154134"/>
    <xdr:pic macro="[0]!AddRentalIncome">
      <xdr:nvPicPr>
        <xdr:cNvPr id="60" name="btnEditRentalIncomeApp4" hidden="1">
          <a:extLst>
            <a:ext uri="{FF2B5EF4-FFF2-40B4-BE49-F238E27FC236}">
              <a16:creationId xmlns:a16="http://schemas.microsoft.com/office/drawing/2014/main" id="{5FBC7520-C8FD-458F-9199-16360667B21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9040607"/>
          <a:ext cx="154134" cy="154134"/>
        </a:xfrm>
        <a:prstGeom prst="rect">
          <a:avLst/>
        </a:prstGeom>
      </xdr:spPr>
    </xdr:pic>
    <xdr:clientData fPrintsWithSheet="0"/>
  </xdr:oneCellAnchor>
  <xdr:oneCellAnchor>
    <xdr:from>
      <xdr:col>48</xdr:col>
      <xdr:colOff>167121</xdr:colOff>
      <xdr:row>41</xdr:row>
      <xdr:rowOff>64349</xdr:rowOff>
    </xdr:from>
    <xdr:ext cx="157842" cy="157842"/>
    <xdr:pic macro="[0]!ClearRentalIncomeTaxDeductionOwnership">
      <xdr:nvPicPr>
        <xdr:cNvPr id="61" name="btnDelRITDApp4" hidden="1">
          <a:extLst>
            <a:ext uri="{FF2B5EF4-FFF2-40B4-BE49-F238E27FC236}">
              <a16:creationId xmlns:a16="http://schemas.microsoft.com/office/drawing/2014/main" id="{E3D932E3-B952-4826-A7C1-0C4E97AAA60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10970474"/>
          <a:ext cx="157842" cy="157842"/>
        </a:xfrm>
        <a:prstGeom prst="rect">
          <a:avLst/>
        </a:prstGeom>
      </xdr:spPr>
    </xdr:pic>
    <xdr:clientData fPrintsWithSheet="0"/>
  </xdr:oneCellAnchor>
  <xdr:oneCellAnchor>
    <xdr:from>
      <xdr:col>48</xdr:col>
      <xdr:colOff>15875</xdr:colOff>
      <xdr:row>41</xdr:row>
      <xdr:rowOff>68057</xdr:rowOff>
    </xdr:from>
    <xdr:ext cx="154134" cy="154134"/>
    <xdr:pic macro="[0]!AddRentalIncomeTaxDeduction">
      <xdr:nvPicPr>
        <xdr:cNvPr id="62" name="btnEditRITDApp4" hidden="1">
          <a:extLst>
            <a:ext uri="{FF2B5EF4-FFF2-40B4-BE49-F238E27FC236}">
              <a16:creationId xmlns:a16="http://schemas.microsoft.com/office/drawing/2014/main" id="{C06D46E9-8292-49FD-BE5F-816C8BB8CA8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9326357"/>
          <a:ext cx="154134" cy="154134"/>
        </a:xfrm>
        <a:prstGeom prst="rect">
          <a:avLst/>
        </a:prstGeom>
      </xdr:spPr>
    </xdr:pic>
    <xdr:clientData fPrintsWithSheet="0"/>
  </xdr:oneCellAnchor>
  <xdr:oneCellAnchor>
    <xdr:from>
      <xdr:col>48</xdr:col>
      <xdr:colOff>167121</xdr:colOff>
      <xdr:row>42</xdr:row>
      <xdr:rowOff>64349</xdr:rowOff>
    </xdr:from>
    <xdr:ext cx="157842" cy="157842"/>
    <xdr:pic macro="[0]!DeleteOtherIncome">
      <xdr:nvPicPr>
        <xdr:cNvPr id="63" name="btnDelOtherIncomeApp4" hidden="1">
          <a:extLst>
            <a:ext uri="{FF2B5EF4-FFF2-40B4-BE49-F238E27FC236}">
              <a16:creationId xmlns:a16="http://schemas.microsoft.com/office/drawing/2014/main" id="{B671360A-BE8C-49F5-A138-20CC41CDA32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11256224"/>
          <a:ext cx="157842" cy="157842"/>
        </a:xfrm>
        <a:prstGeom prst="rect">
          <a:avLst/>
        </a:prstGeom>
      </xdr:spPr>
    </xdr:pic>
    <xdr:clientData fPrintsWithSheet="0"/>
  </xdr:oneCellAnchor>
  <xdr:oneCellAnchor>
    <xdr:from>
      <xdr:col>48</xdr:col>
      <xdr:colOff>15875</xdr:colOff>
      <xdr:row>42</xdr:row>
      <xdr:rowOff>68057</xdr:rowOff>
    </xdr:from>
    <xdr:ext cx="154134" cy="154134"/>
    <xdr:pic macro="[0]!AddEditOtherIncome">
      <xdr:nvPicPr>
        <xdr:cNvPr id="64" name="btnEditOtherIncomeApp4" hidden="1">
          <a:extLst>
            <a:ext uri="{FF2B5EF4-FFF2-40B4-BE49-F238E27FC236}">
              <a16:creationId xmlns:a16="http://schemas.microsoft.com/office/drawing/2014/main" id="{50B624B4-3088-4D71-950E-07A5A9F3BC9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9612107"/>
          <a:ext cx="154134" cy="154134"/>
        </a:xfrm>
        <a:prstGeom prst="rect">
          <a:avLst/>
        </a:prstGeom>
      </xdr:spPr>
    </xdr:pic>
    <xdr:clientData fPrintsWithSheet="0"/>
  </xdr:oneCellAnchor>
  <xdr:oneCellAnchor>
    <xdr:from>
      <xdr:col>58</xdr:col>
      <xdr:colOff>167121</xdr:colOff>
      <xdr:row>40</xdr:row>
      <xdr:rowOff>64349</xdr:rowOff>
    </xdr:from>
    <xdr:ext cx="157842" cy="157842"/>
    <xdr:pic macro="[0]!ClearRentalIncomeOwnership">
      <xdr:nvPicPr>
        <xdr:cNvPr id="69" name="btnDelRentalIncomeApp5" hidden="1">
          <a:extLst>
            <a:ext uri="{FF2B5EF4-FFF2-40B4-BE49-F238E27FC236}">
              <a16:creationId xmlns:a16="http://schemas.microsoft.com/office/drawing/2014/main" id="{1AB07A11-9E5F-4A7C-8E6E-0F6607325C3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10684724"/>
          <a:ext cx="157842" cy="157842"/>
        </a:xfrm>
        <a:prstGeom prst="rect">
          <a:avLst/>
        </a:prstGeom>
      </xdr:spPr>
    </xdr:pic>
    <xdr:clientData fPrintsWithSheet="0"/>
  </xdr:oneCellAnchor>
  <xdr:oneCellAnchor>
    <xdr:from>
      <xdr:col>58</xdr:col>
      <xdr:colOff>15875</xdr:colOff>
      <xdr:row>40</xdr:row>
      <xdr:rowOff>68057</xdr:rowOff>
    </xdr:from>
    <xdr:ext cx="154134" cy="154134"/>
    <xdr:pic macro="[0]!AddRentalIncome">
      <xdr:nvPicPr>
        <xdr:cNvPr id="70" name="btnEditRentalIncomeApp5" hidden="1">
          <a:extLst>
            <a:ext uri="{FF2B5EF4-FFF2-40B4-BE49-F238E27FC236}">
              <a16:creationId xmlns:a16="http://schemas.microsoft.com/office/drawing/2014/main" id="{7A5C2CF5-72AF-44C4-8DD1-48137946732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9040607"/>
          <a:ext cx="154134" cy="154134"/>
        </a:xfrm>
        <a:prstGeom prst="rect">
          <a:avLst/>
        </a:prstGeom>
      </xdr:spPr>
    </xdr:pic>
    <xdr:clientData fPrintsWithSheet="0"/>
  </xdr:oneCellAnchor>
  <xdr:oneCellAnchor>
    <xdr:from>
      <xdr:col>58</xdr:col>
      <xdr:colOff>167121</xdr:colOff>
      <xdr:row>41</xdr:row>
      <xdr:rowOff>64349</xdr:rowOff>
    </xdr:from>
    <xdr:ext cx="157842" cy="157842"/>
    <xdr:pic macro="[0]!ClearRentalIncomeTaxDeductionOwnership">
      <xdr:nvPicPr>
        <xdr:cNvPr id="71" name="btnDelRITDApp5" hidden="1">
          <a:extLst>
            <a:ext uri="{FF2B5EF4-FFF2-40B4-BE49-F238E27FC236}">
              <a16:creationId xmlns:a16="http://schemas.microsoft.com/office/drawing/2014/main" id="{D9C749AD-4413-4021-9C94-9039EBF2597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10970474"/>
          <a:ext cx="157842" cy="157842"/>
        </a:xfrm>
        <a:prstGeom prst="rect">
          <a:avLst/>
        </a:prstGeom>
      </xdr:spPr>
    </xdr:pic>
    <xdr:clientData fPrintsWithSheet="0"/>
  </xdr:oneCellAnchor>
  <xdr:oneCellAnchor>
    <xdr:from>
      <xdr:col>58</xdr:col>
      <xdr:colOff>15875</xdr:colOff>
      <xdr:row>41</xdr:row>
      <xdr:rowOff>68057</xdr:rowOff>
    </xdr:from>
    <xdr:ext cx="154134" cy="154134"/>
    <xdr:pic macro="[0]!AddRentalIncomeTaxDeduction">
      <xdr:nvPicPr>
        <xdr:cNvPr id="72" name="btnEditRITDApp5" hidden="1">
          <a:extLst>
            <a:ext uri="{FF2B5EF4-FFF2-40B4-BE49-F238E27FC236}">
              <a16:creationId xmlns:a16="http://schemas.microsoft.com/office/drawing/2014/main" id="{2725DF88-9F26-4584-A237-E2125111EF8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9326357"/>
          <a:ext cx="154134" cy="154134"/>
        </a:xfrm>
        <a:prstGeom prst="rect">
          <a:avLst/>
        </a:prstGeom>
      </xdr:spPr>
    </xdr:pic>
    <xdr:clientData fPrintsWithSheet="0"/>
  </xdr:oneCellAnchor>
  <xdr:oneCellAnchor>
    <xdr:from>
      <xdr:col>58</xdr:col>
      <xdr:colOff>167121</xdr:colOff>
      <xdr:row>42</xdr:row>
      <xdr:rowOff>64349</xdr:rowOff>
    </xdr:from>
    <xdr:ext cx="157842" cy="157842"/>
    <xdr:pic macro="[0]!DeleteOtherIncome">
      <xdr:nvPicPr>
        <xdr:cNvPr id="73" name="btnDelOtherIncomeApp5" hidden="1">
          <a:extLst>
            <a:ext uri="{FF2B5EF4-FFF2-40B4-BE49-F238E27FC236}">
              <a16:creationId xmlns:a16="http://schemas.microsoft.com/office/drawing/2014/main" id="{854DBD24-B90A-4ADC-8DF9-C3DF2B5172E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11256224"/>
          <a:ext cx="157842" cy="157842"/>
        </a:xfrm>
        <a:prstGeom prst="rect">
          <a:avLst/>
        </a:prstGeom>
      </xdr:spPr>
    </xdr:pic>
    <xdr:clientData fPrintsWithSheet="0"/>
  </xdr:oneCellAnchor>
  <xdr:oneCellAnchor>
    <xdr:from>
      <xdr:col>58</xdr:col>
      <xdr:colOff>15875</xdr:colOff>
      <xdr:row>42</xdr:row>
      <xdr:rowOff>68057</xdr:rowOff>
    </xdr:from>
    <xdr:ext cx="154134" cy="154134"/>
    <xdr:pic macro="[0]!AddEditOtherIncome">
      <xdr:nvPicPr>
        <xdr:cNvPr id="74" name="btnEditOtherIncomeApp5" hidden="1">
          <a:extLst>
            <a:ext uri="{FF2B5EF4-FFF2-40B4-BE49-F238E27FC236}">
              <a16:creationId xmlns:a16="http://schemas.microsoft.com/office/drawing/2014/main" id="{BC42F954-0511-41C6-B52E-D3D7FCFD5B0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9612107"/>
          <a:ext cx="154134" cy="154134"/>
        </a:xfrm>
        <a:prstGeom prst="rect">
          <a:avLst/>
        </a:prstGeom>
      </xdr:spPr>
    </xdr:pic>
    <xdr:clientData fPrintsWithSheet="0"/>
  </xdr:oneCellAnchor>
  <xdr:oneCellAnchor>
    <xdr:from>
      <xdr:col>68</xdr:col>
      <xdr:colOff>167121</xdr:colOff>
      <xdr:row>40</xdr:row>
      <xdr:rowOff>64349</xdr:rowOff>
    </xdr:from>
    <xdr:ext cx="157842" cy="157842"/>
    <xdr:pic macro="[0]!ClearRentalIncomeOwnership">
      <xdr:nvPicPr>
        <xdr:cNvPr id="79" name="btnDelRentalIncomeApp6" hidden="1">
          <a:extLst>
            <a:ext uri="{FF2B5EF4-FFF2-40B4-BE49-F238E27FC236}">
              <a16:creationId xmlns:a16="http://schemas.microsoft.com/office/drawing/2014/main" id="{2CD13E67-CB2B-42D7-8CCA-A04090BB091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10684724"/>
          <a:ext cx="157842" cy="157842"/>
        </a:xfrm>
        <a:prstGeom prst="rect">
          <a:avLst/>
        </a:prstGeom>
      </xdr:spPr>
    </xdr:pic>
    <xdr:clientData fPrintsWithSheet="0"/>
  </xdr:oneCellAnchor>
  <xdr:oneCellAnchor>
    <xdr:from>
      <xdr:col>68</xdr:col>
      <xdr:colOff>15875</xdr:colOff>
      <xdr:row>40</xdr:row>
      <xdr:rowOff>68057</xdr:rowOff>
    </xdr:from>
    <xdr:ext cx="154134" cy="154134"/>
    <xdr:pic macro="[0]!AddRentalIncome">
      <xdr:nvPicPr>
        <xdr:cNvPr id="80" name="btnEditRentalIncomeApp6" hidden="1">
          <a:extLst>
            <a:ext uri="{FF2B5EF4-FFF2-40B4-BE49-F238E27FC236}">
              <a16:creationId xmlns:a16="http://schemas.microsoft.com/office/drawing/2014/main" id="{091A0A1C-8363-4871-94CB-528270032DF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9040607"/>
          <a:ext cx="154134" cy="154134"/>
        </a:xfrm>
        <a:prstGeom prst="rect">
          <a:avLst/>
        </a:prstGeom>
      </xdr:spPr>
    </xdr:pic>
    <xdr:clientData fPrintsWithSheet="0"/>
  </xdr:oneCellAnchor>
  <xdr:oneCellAnchor>
    <xdr:from>
      <xdr:col>68</xdr:col>
      <xdr:colOff>167121</xdr:colOff>
      <xdr:row>41</xdr:row>
      <xdr:rowOff>64349</xdr:rowOff>
    </xdr:from>
    <xdr:ext cx="157842" cy="157842"/>
    <xdr:pic macro="[0]!ClearRentalIncomeTaxDeductionOwnership">
      <xdr:nvPicPr>
        <xdr:cNvPr id="81" name="btnDelRITDApp6" hidden="1">
          <a:extLst>
            <a:ext uri="{FF2B5EF4-FFF2-40B4-BE49-F238E27FC236}">
              <a16:creationId xmlns:a16="http://schemas.microsoft.com/office/drawing/2014/main" id="{4C430AA3-0D0D-4FDE-A433-135334C6EAB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10970474"/>
          <a:ext cx="157842" cy="157842"/>
        </a:xfrm>
        <a:prstGeom prst="rect">
          <a:avLst/>
        </a:prstGeom>
      </xdr:spPr>
    </xdr:pic>
    <xdr:clientData fPrintsWithSheet="0"/>
  </xdr:oneCellAnchor>
  <xdr:oneCellAnchor>
    <xdr:from>
      <xdr:col>68</xdr:col>
      <xdr:colOff>15875</xdr:colOff>
      <xdr:row>41</xdr:row>
      <xdr:rowOff>68057</xdr:rowOff>
    </xdr:from>
    <xdr:ext cx="154134" cy="154134"/>
    <xdr:pic macro="[0]!AddRentalIncomeTaxDeduction">
      <xdr:nvPicPr>
        <xdr:cNvPr id="82" name="btnEditRITDApp6" hidden="1">
          <a:extLst>
            <a:ext uri="{FF2B5EF4-FFF2-40B4-BE49-F238E27FC236}">
              <a16:creationId xmlns:a16="http://schemas.microsoft.com/office/drawing/2014/main" id="{B6DEEC45-A183-4BED-BE66-BF77D36D7AC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9326357"/>
          <a:ext cx="154134" cy="154134"/>
        </a:xfrm>
        <a:prstGeom prst="rect">
          <a:avLst/>
        </a:prstGeom>
      </xdr:spPr>
    </xdr:pic>
    <xdr:clientData fPrintsWithSheet="0"/>
  </xdr:oneCellAnchor>
  <xdr:oneCellAnchor>
    <xdr:from>
      <xdr:col>68</xdr:col>
      <xdr:colOff>167121</xdr:colOff>
      <xdr:row>42</xdr:row>
      <xdr:rowOff>64349</xdr:rowOff>
    </xdr:from>
    <xdr:ext cx="157842" cy="157842"/>
    <xdr:pic macro="[0]!DeleteOtherIncome">
      <xdr:nvPicPr>
        <xdr:cNvPr id="83" name="btnDelOtherIncomeApp6" hidden="1">
          <a:extLst>
            <a:ext uri="{FF2B5EF4-FFF2-40B4-BE49-F238E27FC236}">
              <a16:creationId xmlns:a16="http://schemas.microsoft.com/office/drawing/2014/main" id="{2972A310-5432-42FD-91A2-F636F7857F7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11256224"/>
          <a:ext cx="157842" cy="157842"/>
        </a:xfrm>
        <a:prstGeom prst="rect">
          <a:avLst/>
        </a:prstGeom>
      </xdr:spPr>
    </xdr:pic>
    <xdr:clientData fPrintsWithSheet="0"/>
  </xdr:oneCellAnchor>
  <xdr:oneCellAnchor>
    <xdr:from>
      <xdr:col>68</xdr:col>
      <xdr:colOff>15875</xdr:colOff>
      <xdr:row>42</xdr:row>
      <xdr:rowOff>68057</xdr:rowOff>
    </xdr:from>
    <xdr:ext cx="154134" cy="154134"/>
    <xdr:pic macro="[0]!AddEditOtherIncome">
      <xdr:nvPicPr>
        <xdr:cNvPr id="84" name="btnEditOtherIncomeApp6" hidden="1">
          <a:extLst>
            <a:ext uri="{FF2B5EF4-FFF2-40B4-BE49-F238E27FC236}">
              <a16:creationId xmlns:a16="http://schemas.microsoft.com/office/drawing/2014/main" id="{8C35EBCA-0280-4C5A-A2C2-16D6950CF60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9612107"/>
          <a:ext cx="154134" cy="154134"/>
        </a:xfrm>
        <a:prstGeom prst="rect">
          <a:avLst/>
        </a:prstGeom>
      </xdr:spPr>
    </xdr:pic>
    <xdr:clientData fPrintsWithSheet="0"/>
  </xdr:oneCellAnchor>
  <xdr:oneCellAnchor>
    <xdr:from>
      <xdr:col>28</xdr:col>
      <xdr:colOff>167121</xdr:colOff>
      <xdr:row>37</xdr:row>
      <xdr:rowOff>64349</xdr:rowOff>
    </xdr:from>
    <xdr:ext cx="157842" cy="157842"/>
    <xdr:pic macro="[0]!DeleteEmployerIncome">
      <xdr:nvPicPr>
        <xdr:cNvPr id="152" name="btnDelEMPIncomeApp2Job4" hidden="1">
          <a:extLst>
            <a:ext uri="{FF2B5EF4-FFF2-40B4-BE49-F238E27FC236}">
              <a16:creationId xmlns:a16="http://schemas.microsoft.com/office/drawing/2014/main" id="{4EDEF1A5-E06D-48A5-BC54-612089D4B54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827224"/>
          <a:ext cx="157842" cy="157842"/>
        </a:xfrm>
        <a:prstGeom prst="rect">
          <a:avLst/>
        </a:prstGeom>
      </xdr:spPr>
    </xdr:pic>
    <xdr:clientData fPrintsWithSheet="0"/>
  </xdr:oneCellAnchor>
  <xdr:oneCellAnchor>
    <xdr:from>
      <xdr:col>28</xdr:col>
      <xdr:colOff>15875</xdr:colOff>
      <xdr:row>37</xdr:row>
      <xdr:rowOff>68057</xdr:rowOff>
    </xdr:from>
    <xdr:ext cx="154134" cy="154134"/>
    <xdr:pic macro="[0]!AddEditEmployerIncome">
      <xdr:nvPicPr>
        <xdr:cNvPr id="153" name="btnEditEMPIncomeApp2Job4" hidden="1">
          <a:extLst>
            <a:ext uri="{FF2B5EF4-FFF2-40B4-BE49-F238E27FC236}">
              <a16:creationId xmlns:a16="http://schemas.microsoft.com/office/drawing/2014/main" id="{DD3BEB7D-5E83-4EA8-A7AB-B3BBAFC0997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611857"/>
          <a:ext cx="154134" cy="154134"/>
        </a:xfrm>
        <a:prstGeom prst="rect">
          <a:avLst/>
        </a:prstGeom>
      </xdr:spPr>
    </xdr:pic>
    <xdr:clientData fPrintsWithSheet="0"/>
  </xdr:oneCellAnchor>
  <xdr:oneCellAnchor>
    <xdr:from>
      <xdr:col>28</xdr:col>
      <xdr:colOff>167121</xdr:colOff>
      <xdr:row>38</xdr:row>
      <xdr:rowOff>66730</xdr:rowOff>
    </xdr:from>
    <xdr:ext cx="157842" cy="157842"/>
    <xdr:pic macro="[0]!DeleteEmployerIncome">
      <xdr:nvPicPr>
        <xdr:cNvPr id="154" name="btnDelEMPIncomeApp2Job5" hidden="1">
          <a:extLst>
            <a:ext uri="{FF2B5EF4-FFF2-40B4-BE49-F238E27FC236}">
              <a16:creationId xmlns:a16="http://schemas.microsoft.com/office/drawing/2014/main" id="{887310AA-2460-486A-9EE9-CFAA40AC8A0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8115355"/>
          <a:ext cx="157842" cy="157842"/>
        </a:xfrm>
        <a:prstGeom prst="rect">
          <a:avLst/>
        </a:prstGeom>
      </xdr:spPr>
    </xdr:pic>
    <xdr:clientData fPrintsWithSheet="0"/>
  </xdr:oneCellAnchor>
  <xdr:oneCellAnchor>
    <xdr:from>
      <xdr:col>28</xdr:col>
      <xdr:colOff>15875</xdr:colOff>
      <xdr:row>38</xdr:row>
      <xdr:rowOff>70438</xdr:rowOff>
    </xdr:from>
    <xdr:ext cx="154134" cy="154134"/>
    <xdr:pic macro="[0]!AddEditEmployerIncome">
      <xdr:nvPicPr>
        <xdr:cNvPr id="155" name="btnEditEMPIncomeApp2Job5" hidden="1">
          <a:extLst>
            <a:ext uri="{FF2B5EF4-FFF2-40B4-BE49-F238E27FC236}">
              <a16:creationId xmlns:a16="http://schemas.microsoft.com/office/drawing/2014/main" id="{1E4A7E58-E81F-457A-8302-CF30B56C00B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899988"/>
          <a:ext cx="154134" cy="154134"/>
        </a:xfrm>
        <a:prstGeom prst="rect">
          <a:avLst/>
        </a:prstGeom>
      </xdr:spPr>
    </xdr:pic>
    <xdr:clientData fPrintsWithSheet="0"/>
  </xdr:oneCellAnchor>
  <xdr:oneCellAnchor>
    <xdr:from>
      <xdr:col>38</xdr:col>
      <xdr:colOff>167121</xdr:colOff>
      <xdr:row>34</xdr:row>
      <xdr:rowOff>73874</xdr:rowOff>
    </xdr:from>
    <xdr:ext cx="157842" cy="157842"/>
    <xdr:pic macro="[0]!DeleteEmployerIncome">
      <xdr:nvPicPr>
        <xdr:cNvPr id="162" name="btnDelEMPIncomeApp3Job1" hidden="1">
          <a:extLst>
            <a:ext uri="{FF2B5EF4-FFF2-40B4-BE49-F238E27FC236}">
              <a16:creationId xmlns:a16="http://schemas.microsoft.com/office/drawing/2014/main" id="{293FA18C-5B4C-438B-A289-278A3C501BC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312749"/>
          <a:ext cx="157842" cy="157842"/>
        </a:xfrm>
        <a:prstGeom prst="rect">
          <a:avLst/>
        </a:prstGeom>
      </xdr:spPr>
    </xdr:pic>
    <xdr:clientData fPrintsWithSheet="0"/>
  </xdr:oneCellAnchor>
  <xdr:oneCellAnchor>
    <xdr:from>
      <xdr:col>38</xdr:col>
      <xdr:colOff>15875</xdr:colOff>
      <xdr:row>34</xdr:row>
      <xdr:rowOff>77582</xdr:rowOff>
    </xdr:from>
    <xdr:ext cx="154134" cy="154134"/>
    <xdr:pic macro="[0]!AddEditEmployerIncome">
      <xdr:nvPicPr>
        <xdr:cNvPr id="163" name="btnEditEMPIncomeApp3Job1" hidden="1">
          <a:extLst>
            <a:ext uri="{FF2B5EF4-FFF2-40B4-BE49-F238E27FC236}">
              <a16:creationId xmlns:a16="http://schemas.microsoft.com/office/drawing/2014/main" id="{2DCC5A6F-EAC7-4F87-A6E4-B579EC5D20B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6773657"/>
          <a:ext cx="154134" cy="154134"/>
        </a:xfrm>
        <a:prstGeom prst="rect">
          <a:avLst/>
        </a:prstGeom>
      </xdr:spPr>
    </xdr:pic>
    <xdr:clientData fPrintsWithSheet="0"/>
  </xdr:oneCellAnchor>
  <xdr:oneCellAnchor>
    <xdr:from>
      <xdr:col>38</xdr:col>
      <xdr:colOff>167121</xdr:colOff>
      <xdr:row>35</xdr:row>
      <xdr:rowOff>76255</xdr:rowOff>
    </xdr:from>
    <xdr:ext cx="157842" cy="157842"/>
    <xdr:pic macro="[0]!DeleteEmployerIncome">
      <xdr:nvPicPr>
        <xdr:cNvPr id="164" name="btnDelEMPIncomeApp3Job2" hidden="1">
          <a:extLst>
            <a:ext uri="{FF2B5EF4-FFF2-40B4-BE49-F238E27FC236}">
              <a16:creationId xmlns:a16="http://schemas.microsoft.com/office/drawing/2014/main" id="{AAA51F8E-E3C5-4E9D-9225-26DE8D5B9E9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600880"/>
          <a:ext cx="157842" cy="157842"/>
        </a:xfrm>
        <a:prstGeom prst="rect">
          <a:avLst/>
        </a:prstGeom>
      </xdr:spPr>
    </xdr:pic>
    <xdr:clientData fPrintsWithSheet="0"/>
  </xdr:oneCellAnchor>
  <xdr:oneCellAnchor>
    <xdr:from>
      <xdr:col>38</xdr:col>
      <xdr:colOff>15875</xdr:colOff>
      <xdr:row>35</xdr:row>
      <xdr:rowOff>79963</xdr:rowOff>
    </xdr:from>
    <xdr:ext cx="154134" cy="154134"/>
    <xdr:pic macro="[0]!AddEditEmployerIncome">
      <xdr:nvPicPr>
        <xdr:cNvPr id="165" name="btnEditEMPIncomeApp3Job2" hidden="1">
          <a:extLst>
            <a:ext uri="{FF2B5EF4-FFF2-40B4-BE49-F238E27FC236}">
              <a16:creationId xmlns:a16="http://schemas.microsoft.com/office/drawing/2014/main" id="{B136E9CE-44CC-4F09-90D7-53F48748A04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052263"/>
          <a:ext cx="154134" cy="154134"/>
        </a:xfrm>
        <a:prstGeom prst="rect">
          <a:avLst/>
        </a:prstGeom>
      </xdr:spPr>
    </xdr:pic>
    <xdr:clientData fPrintsWithSheet="0"/>
  </xdr:oneCellAnchor>
  <xdr:oneCellAnchor>
    <xdr:from>
      <xdr:col>38</xdr:col>
      <xdr:colOff>167121</xdr:colOff>
      <xdr:row>36</xdr:row>
      <xdr:rowOff>78636</xdr:rowOff>
    </xdr:from>
    <xdr:ext cx="157842" cy="157842"/>
    <xdr:pic macro="[0]!DeleteEmployerIncome">
      <xdr:nvPicPr>
        <xdr:cNvPr id="166" name="btnDelEMPIncomeApp3Job3" hidden="1">
          <a:extLst>
            <a:ext uri="{FF2B5EF4-FFF2-40B4-BE49-F238E27FC236}">
              <a16:creationId xmlns:a16="http://schemas.microsoft.com/office/drawing/2014/main" id="{4931FC95-CBA7-408B-8A76-E4B1C189D90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889011"/>
          <a:ext cx="157842" cy="157842"/>
        </a:xfrm>
        <a:prstGeom prst="rect">
          <a:avLst/>
        </a:prstGeom>
      </xdr:spPr>
    </xdr:pic>
    <xdr:clientData fPrintsWithSheet="0"/>
  </xdr:oneCellAnchor>
  <xdr:oneCellAnchor>
    <xdr:from>
      <xdr:col>38</xdr:col>
      <xdr:colOff>15875</xdr:colOff>
      <xdr:row>36</xdr:row>
      <xdr:rowOff>82344</xdr:rowOff>
    </xdr:from>
    <xdr:ext cx="154134" cy="154134"/>
    <xdr:pic macro="[0]!AddEditEmployerIncome">
      <xdr:nvPicPr>
        <xdr:cNvPr id="167" name="btnEditEMPIncomeApp3Job3" hidden="1">
          <a:extLst>
            <a:ext uri="{FF2B5EF4-FFF2-40B4-BE49-F238E27FC236}">
              <a16:creationId xmlns:a16="http://schemas.microsoft.com/office/drawing/2014/main" id="{82E9491B-00D1-4E84-BF77-6237DA3ACE5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340394"/>
          <a:ext cx="154134" cy="154134"/>
        </a:xfrm>
        <a:prstGeom prst="rect">
          <a:avLst/>
        </a:prstGeom>
      </xdr:spPr>
    </xdr:pic>
    <xdr:clientData fPrintsWithSheet="0"/>
  </xdr:oneCellAnchor>
  <xdr:oneCellAnchor>
    <xdr:from>
      <xdr:col>38</xdr:col>
      <xdr:colOff>167121</xdr:colOff>
      <xdr:row>37</xdr:row>
      <xdr:rowOff>64349</xdr:rowOff>
    </xdr:from>
    <xdr:ext cx="157842" cy="157842"/>
    <xdr:pic macro="[0]!DeleteEmployerIncome">
      <xdr:nvPicPr>
        <xdr:cNvPr id="174" name="btnDelEMPIncomeApp3Job4" hidden="1">
          <a:extLst>
            <a:ext uri="{FF2B5EF4-FFF2-40B4-BE49-F238E27FC236}">
              <a16:creationId xmlns:a16="http://schemas.microsoft.com/office/drawing/2014/main" id="{49DBBF84-9721-43A8-A506-31C11E7A225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827224"/>
          <a:ext cx="157842" cy="157842"/>
        </a:xfrm>
        <a:prstGeom prst="rect">
          <a:avLst/>
        </a:prstGeom>
      </xdr:spPr>
    </xdr:pic>
    <xdr:clientData fPrintsWithSheet="0"/>
  </xdr:oneCellAnchor>
  <xdr:oneCellAnchor>
    <xdr:from>
      <xdr:col>38</xdr:col>
      <xdr:colOff>15875</xdr:colOff>
      <xdr:row>37</xdr:row>
      <xdr:rowOff>68057</xdr:rowOff>
    </xdr:from>
    <xdr:ext cx="154134" cy="154134"/>
    <xdr:pic macro="[0]!AddEditEmployerIncome">
      <xdr:nvPicPr>
        <xdr:cNvPr id="175" name="btnEditEMPIncomeApp3Job4" hidden="1">
          <a:extLst>
            <a:ext uri="{FF2B5EF4-FFF2-40B4-BE49-F238E27FC236}">
              <a16:creationId xmlns:a16="http://schemas.microsoft.com/office/drawing/2014/main" id="{90AD55B4-31BD-4F33-ABDD-1C095E2C77E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611857"/>
          <a:ext cx="154134" cy="154134"/>
        </a:xfrm>
        <a:prstGeom prst="rect">
          <a:avLst/>
        </a:prstGeom>
      </xdr:spPr>
    </xdr:pic>
    <xdr:clientData fPrintsWithSheet="0"/>
  </xdr:oneCellAnchor>
  <xdr:oneCellAnchor>
    <xdr:from>
      <xdr:col>38</xdr:col>
      <xdr:colOff>167121</xdr:colOff>
      <xdr:row>38</xdr:row>
      <xdr:rowOff>66730</xdr:rowOff>
    </xdr:from>
    <xdr:ext cx="157842" cy="157842"/>
    <xdr:pic macro="[0]!DeleteEmployerIncome">
      <xdr:nvPicPr>
        <xdr:cNvPr id="176" name="btnDelEMPIncomeApp3Job5" hidden="1">
          <a:extLst>
            <a:ext uri="{FF2B5EF4-FFF2-40B4-BE49-F238E27FC236}">
              <a16:creationId xmlns:a16="http://schemas.microsoft.com/office/drawing/2014/main" id="{BEF6FA0B-E5BB-45FD-B5F3-831CE09131D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8115355"/>
          <a:ext cx="157842" cy="157842"/>
        </a:xfrm>
        <a:prstGeom prst="rect">
          <a:avLst/>
        </a:prstGeom>
      </xdr:spPr>
    </xdr:pic>
    <xdr:clientData fPrintsWithSheet="0"/>
  </xdr:oneCellAnchor>
  <xdr:oneCellAnchor>
    <xdr:from>
      <xdr:col>38</xdr:col>
      <xdr:colOff>15875</xdr:colOff>
      <xdr:row>38</xdr:row>
      <xdr:rowOff>70438</xdr:rowOff>
    </xdr:from>
    <xdr:ext cx="154134" cy="154134"/>
    <xdr:pic macro="[0]!AddEditEmployerIncome">
      <xdr:nvPicPr>
        <xdr:cNvPr id="177" name="btnEditEMPIncomeApp3Job5" hidden="1">
          <a:extLst>
            <a:ext uri="{FF2B5EF4-FFF2-40B4-BE49-F238E27FC236}">
              <a16:creationId xmlns:a16="http://schemas.microsoft.com/office/drawing/2014/main" id="{FC5BB6AA-AC4D-41B6-A038-72A249FE9FA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899988"/>
          <a:ext cx="154134" cy="154134"/>
        </a:xfrm>
        <a:prstGeom prst="rect">
          <a:avLst/>
        </a:prstGeom>
      </xdr:spPr>
    </xdr:pic>
    <xdr:clientData fPrintsWithSheet="0"/>
  </xdr:oneCellAnchor>
  <xdr:oneCellAnchor>
    <xdr:from>
      <xdr:col>48</xdr:col>
      <xdr:colOff>167121</xdr:colOff>
      <xdr:row>34</xdr:row>
      <xdr:rowOff>73874</xdr:rowOff>
    </xdr:from>
    <xdr:ext cx="157842" cy="157842"/>
    <xdr:pic macro="[0]!DeleteEmployerIncome">
      <xdr:nvPicPr>
        <xdr:cNvPr id="184" name="btnDelEMPIncomeApp4Job1" hidden="1">
          <a:extLst>
            <a:ext uri="{FF2B5EF4-FFF2-40B4-BE49-F238E27FC236}">
              <a16:creationId xmlns:a16="http://schemas.microsoft.com/office/drawing/2014/main" id="{FD9BEB49-42B9-4ECB-B449-76F835B29EB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312749"/>
          <a:ext cx="157842" cy="157842"/>
        </a:xfrm>
        <a:prstGeom prst="rect">
          <a:avLst/>
        </a:prstGeom>
      </xdr:spPr>
    </xdr:pic>
    <xdr:clientData fPrintsWithSheet="0"/>
  </xdr:oneCellAnchor>
  <xdr:oneCellAnchor>
    <xdr:from>
      <xdr:col>48</xdr:col>
      <xdr:colOff>15875</xdr:colOff>
      <xdr:row>34</xdr:row>
      <xdr:rowOff>77582</xdr:rowOff>
    </xdr:from>
    <xdr:ext cx="154134" cy="154134"/>
    <xdr:pic macro="[0]!AddEditEmployerIncome">
      <xdr:nvPicPr>
        <xdr:cNvPr id="185" name="btnEditEMPIncomeApp4Job1" hidden="1">
          <a:extLst>
            <a:ext uri="{FF2B5EF4-FFF2-40B4-BE49-F238E27FC236}">
              <a16:creationId xmlns:a16="http://schemas.microsoft.com/office/drawing/2014/main" id="{129C47CE-630A-46AA-9A7C-0F245F3AC34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6773657"/>
          <a:ext cx="154134" cy="154134"/>
        </a:xfrm>
        <a:prstGeom prst="rect">
          <a:avLst/>
        </a:prstGeom>
      </xdr:spPr>
    </xdr:pic>
    <xdr:clientData fPrintsWithSheet="0"/>
  </xdr:oneCellAnchor>
  <xdr:oneCellAnchor>
    <xdr:from>
      <xdr:col>48</xdr:col>
      <xdr:colOff>167121</xdr:colOff>
      <xdr:row>35</xdr:row>
      <xdr:rowOff>76255</xdr:rowOff>
    </xdr:from>
    <xdr:ext cx="157842" cy="157842"/>
    <xdr:pic macro="[0]!DeleteEmployerIncome">
      <xdr:nvPicPr>
        <xdr:cNvPr id="186" name="btnDelEMPIncomeApp4Job2" hidden="1">
          <a:extLst>
            <a:ext uri="{FF2B5EF4-FFF2-40B4-BE49-F238E27FC236}">
              <a16:creationId xmlns:a16="http://schemas.microsoft.com/office/drawing/2014/main" id="{B2C55390-76FA-41D6-A4A8-D537FD13FD1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600880"/>
          <a:ext cx="157842" cy="157842"/>
        </a:xfrm>
        <a:prstGeom prst="rect">
          <a:avLst/>
        </a:prstGeom>
      </xdr:spPr>
    </xdr:pic>
    <xdr:clientData fPrintsWithSheet="0"/>
  </xdr:oneCellAnchor>
  <xdr:oneCellAnchor>
    <xdr:from>
      <xdr:col>48</xdr:col>
      <xdr:colOff>15875</xdr:colOff>
      <xdr:row>35</xdr:row>
      <xdr:rowOff>79963</xdr:rowOff>
    </xdr:from>
    <xdr:ext cx="154134" cy="154134"/>
    <xdr:pic macro="[0]!AddEditEmployerIncome">
      <xdr:nvPicPr>
        <xdr:cNvPr id="187" name="btnEditEMPIncomeApp4Job2" hidden="1">
          <a:extLst>
            <a:ext uri="{FF2B5EF4-FFF2-40B4-BE49-F238E27FC236}">
              <a16:creationId xmlns:a16="http://schemas.microsoft.com/office/drawing/2014/main" id="{88C42E6B-FDC3-4E21-8491-2C0D338BF93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052263"/>
          <a:ext cx="154134" cy="154134"/>
        </a:xfrm>
        <a:prstGeom prst="rect">
          <a:avLst/>
        </a:prstGeom>
      </xdr:spPr>
    </xdr:pic>
    <xdr:clientData fPrintsWithSheet="0"/>
  </xdr:oneCellAnchor>
  <xdr:oneCellAnchor>
    <xdr:from>
      <xdr:col>48</xdr:col>
      <xdr:colOff>167121</xdr:colOff>
      <xdr:row>36</xdr:row>
      <xdr:rowOff>78636</xdr:rowOff>
    </xdr:from>
    <xdr:ext cx="157842" cy="157842"/>
    <xdr:pic macro="[0]!DeleteEmployerIncome">
      <xdr:nvPicPr>
        <xdr:cNvPr id="188" name="btnDelEMPIncomeApp4Job3" hidden="1">
          <a:extLst>
            <a:ext uri="{FF2B5EF4-FFF2-40B4-BE49-F238E27FC236}">
              <a16:creationId xmlns:a16="http://schemas.microsoft.com/office/drawing/2014/main" id="{B8E79B3D-7F43-45C1-B757-C24E1D36F14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889011"/>
          <a:ext cx="157842" cy="157842"/>
        </a:xfrm>
        <a:prstGeom prst="rect">
          <a:avLst/>
        </a:prstGeom>
      </xdr:spPr>
    </xdr:pic>
    <xdr:clientData fPrintsWithSheet="0"/>
  </xdr:oneCellAnchor>
  <xdr:oneCellAnchor>
    <xdr:from>
      <xdr:col>48</xdr:col>
      <xdr:colOff>15875</xdr:colOff>
      <xdr:row>36</xdr:row>
      <xdr:rowOff>82344</xdr:rowOff>
    </xdr:from>
    <xdr:ext cx="154134" cy="154134"/>
    <xdr:pic macro="[0]!AddEditEmployerIncome">
      <xdr:nvPicPr>
        <xdr:cNvPr id="189" name="btnEditEMPIncomeApp4Job3" hidden="1">
          <a:extLst>
            <a:ext uri="{FF2B5EF4-FFF2-40B4-BE49-F238E27FC236}">
              <a16:creationId xmlns:a16="http://schemas.microsoft.com/office/drawing/2014/main" id="{5D57710B-38F5-4996-97E6-3AECCCFECDD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340394"/>
          <a:ext cx="154134" cy="154134"/>
        </a:xfrm>
        <a:prstGeom prst="rect">
          <a:avLst/>
        </a:prstGeom>
      </xdr:spPr>
    </xdr:pic>
    <xdr:clientData fPrintsWithSheet="0"/>
  </xdr:oneCellAnchor>
  <xdr:oneCellAnchor>
    <xdr:from>
      <xdr:col>48</xdr:col>
      <xdr:colOff>167121</xdr:colOff>
      <xdr:row>37</xdr:row>
      <xdr:rowOff>64349</xdr:rowOff>
    </xdr:from>
    <xdr:ext cx="157842" cy="157842"/>
    <xdr:pic macro="[0]!DeleteEmployerIncome">
      <xdr:nvPicPr>
        <xdr:cNvPr id="196" name="btnDelEMPIncomeApp4Job4" hidden="1">
          <a:extLst>
            <a:ext uri="{FF2B5EF4-FFF2-40B4-BE49-F238E27FC236}">
              <a16:creationId xmlns:a16="http://schemas.microsoft.com/office/drawing/2014/main" id="{E45BE9E1-3863-4DE5-B50E-AC9C08D2B9A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827224"/>
          <a:ext cx="157842" cy="157842"/>
        </a:xfrm>
        <a:prstGeom prst="rect">
          <a:avLst/>
        </a:prstGeom>
      </xdr:spPr>
    </xdr:pic>
    <xdr:clientData fPrintsWithSheet="0"/>
  </xdr:oneCellAnchor>
  <xdr:oneCellAnchor>
    <xdr:from>
      <xdr:col>48</xdr:col>
      <xdr:colOff>15875</xdr:colOff>
      <xdr:row>37</xdr:row>
      <xdr:rowOff>68057</xdr:rowOff>
    </xdr:from>
    <xdr:ext cx="154134" cy="154134"/>
    <xdr:pic macro="[0]!AddEditEmployerIncome">
      <xdr:nvPicPr>
        <xdr:cNvPr id="197" name="btnEditEMPIncomeApp4Job4" hidden="1">
          <a:extLst>
            <a:ext uri="{FF2B5EF4-FFF2-40B4-BE49-F238E27FC236}">
              <a16:creationId xmlns:a16="http://schemas.microsoft.com/office/drawing/2014/main" id="{965FA631-32CB-494B-93C2-7C9062816BC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611857"/>
          <a:ext cx="154134" cy="154134"/>
        </a:xfrm>
        <a:prstGeom prst="rect">
          <a:avLst/>
        </a:prstGeom>
      </xdr:spPr>
    </xdr:pic>
    <xdr:clientData fPrintsWithSheet="0"/>
  </xdr:oneCellAnchor>
  <xdr:oneCellAnchor>
    <xdr:from>
      <xdr:col>48</xdr:col>
      <xdr:colOff>167121</xdr:colOff>
      <xdr:row>38</xdr:row>
      <xdr:rowOff>66730</xdr:rowOff>
    </xdr:from>
    <xdr:ext cx="157842" cy="157842"/>
    <xdr:pic macro="[0]!DeleteEmployerIncome">
      <xdr:nvPicPr>
        <xdr:cNvPr id="198" name="btnDelEMPIncomeApp4Job5" hidden="1">
          <a:extLst>
            <a:ext uri="{FF2B5EF4-FFF2-40B4-BE49-F238E27FC236}">
              <a16:creationId xmlns:a16="http://schemas.microsoft.com/office/drawing/2014/main" id="{689C1EE3-3FF6-44B8-A25C-09F618E10E7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8115355"/>
          <a:ext cx="157842" cy="157842"/>
        </a:xfrm>
        <a:prstGeom prst="rect">
          <a:avLst/>
        </a:prstGeom>
      </xdr:spPr>
    </xdr:pic>
    <xdr:clientData fPrintsWithSheet="0"/>
  </xdr:oneCellAnchor>
  <xdr:oneCellAnchor>
    <xdr:from>
      <xdr:col>48</xdr:col>
      <xdr:colOff>15875</xdr:colOff>
      <xdr:row>38</xdr:row>
      <xdr:rowOff>70438</xdr:rowOff>
    </xdr:from>
    <xdr:ext cx="154134" cy="154134"/>
    <xdr:pic macro="[0]!AddEditEmployerIncome">
      <xdr:nvPicPr>
        <xdr:cNvPr id="199" name="btnEditEMPIncomeApp4Job5" hidden="1">
          <a:extLst>
            <a:ext uri="{FF2B5EF4-FFF2-40B4-BE49-F238E27FC236}">
              <a16:creationId xmlns:a16="http://schemas.microsoft.com/office/drawing/2014/main" id="{E9730FF0-F7E2-4716-9955-DBFB4A760C2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899988"/>
          <a:ext cx="154134" cy="154134"/>
        </a:xfrm>
        <a:prstGeom prst="rect">
          <a:avLst/>
        </a:prstGeom>
      </xdr:spPr>
    </xdr:pic>
    <xdr:clientData fPrintsWithSheet="0"/>
  </xdr:oneCellAnchor>
  <xdr:oneCellAnchor>
    <xdr:from>
      <xdr:col>58</xdr:col>
      <xdr:colOff>167121</xdr:colOff>
      <xdr:row>34</xdr:row>
      <xdr:rowOff>73874</xdr:rowOff>
    </xdr:from>
    <xdr:ext cx="157842" cy="157842"/>
    <xdr:pic macro="[0]!DeleteEmployerIncome">
      <xdr:nvPicPr>
        <xdr:cNvPr id="206" name="btnDelEMPIncomeApp5Job1" hidden="1">
          <a:extLst>
            <a:ext uri="{FF2B5EF4-FFF2-40B4-BE49-F238E27FC236}">
              <a16:creationId xmlns:a16="http://schemas.microsoft.com/office/drawing/2014/main" id="{2146CA81-4CFB-4B78-B3EF-465B549B04D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312749"/>
          <a:ext cx="157842" cy="157842"/>
        </a:xfrm>
        <a:prstGeom prst="rect">
          <a:avLst/>
        </a:prstGeom>
      </xdr:spPr>
    </xdr:pic>
    <xdr:clientData fPrintsWithSheet="0"/>
  </xdr:oneCellAnchor>
  <xdr:oneCellAnchor>
    <xdr:from>
      <xdr:col>58</xdr:col>
      <xdr:colOff>15875</xdr:colOff>
      <xdr:row>34</xdr:row>
      <xdr:rowOff>77582</xdr:rowOff>
    </xdr:from>
    <xdr:ext cx="154134" cy="154134"/>
    <xdr:pic macro="[0]!AddEditEmployerIncome">
      <xdr:nvPicPr>
        <xdr:cNvPr id="207" name="btnEditEMPIncomeApp5Job1" hidden="1">
          <a:extLst>
            <a:ext uri="{FF2B5EF4-FFF2-40B4-BE49-F238E27FC236}">
              <a16:creationId xmlns:a16="http://schemas.microsoft.com/office/drawing/2014/main" id="{DD0470CC-D9BC-420A-9FC3-11DA0636224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6773657"/>
          <a:ext cx="154134" cy="154134"/>
        </a:xfrm>
        <a:prstGeom prst="rect">
          <a:avLst/>
        </a:prstGeom>
      </xdr:spPr>
    </xdr:pic>
    <xdr:clientData fPrintsWithSheet="0"/>
  </xdr:oneCellAnchor>
  <xdr:oneCellAnchor>
    <xdr:from>
      <xdr:col>58</xdr:col>
      <xdr:colOff>167121</xdr:colOff>
      <xdr:row>35</xdr:row>
      <xdr:rowOff>76255</xdr:rowOff>
    </xdr:from>
    <xdr:ext cx="157842" cy="157842"/>
    <xdr:pic macro="[0]!DeleteEmployerIncome">
      <xdr:nvPicPr>
        <xdr:cNvPr id="208" name="btnDelEMPIncomeApp5Job2" hidden="1">
          <a:extLst>
            <a:ext uri="{FF2B5EF4-FFF2-40B4-BE49-F238E27FC236}">
              <a16:creationId xmlns:a16="http://schemas.microsoft.com/office/drawing/2014/main" id="{9D80BC08-F16F-4905-8C33-AAD91A50A45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600880"/>
          <a:ext cx="157842" cy="157842"/>
        </a:xfrm>
        <a:prstGeom prst="rect">
          <a:avLst/>
        </a:prstGeom>
      </xdr:spPr>
    </xdr:pic>
    <xdr:clientData fPrintsWithSheet="0"/>
  </xdr:oneCellAnchor>
  <xdr:oneCellAnchor>
    <xdr:from>
      <xdr:col>58</xdr:col>
      <xdr:colOff>15875</xdr:colOff>
      <xdr:row>35</xdr:row>
      <xdr:rowOff>79963</xdr:rowOff>
    </xdr:from>
    <xdr:ext cx="154134" cy="154134"/>
    <xdr:pic macro="[0]!AddEditEmployerIncome">
      <xdr:nvPicPr>
        <xdr:cNvPr id="209" name="btnEditEMPIncomeApp5Job2" hidden="1">
          <a:extLst>
            <a:ext uri="{FF2B5EF4-FFF2-40B4-BE49-F238E27FC236}">
              <a16:creationId xmlns:a16="http://schemas.microsoft.com/office/drawing/2014/main" id="{A795CC91-C219-43EC-8103-62744976CAC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052263"/>
          <a:ext cx="154134" cy="154134"/>
        </a:xfrm>
        <a:prstGeom prst="rect">
          <a:avLst/>
        </a:prstGeom>
      </xdr:spPr>
    </xdr:pic>
    <xdr:clientData fPrintsWithSheet="0"/>
  </xdr:oneCellAnchor>
  <xdr:oneCellAnchor>
    <xdr:from>
      <xdr:col>58</xdr:col>
      <xdr:colOff>167121</xdr:colOff>
      <xdr:row>36</xdr:row>
      <xdr:rowOff>78636</xdr:rowOff>
    </xdr:from>
    <xdr:ext cx="157842" cy="157842"/>
    <xdr:pic macro="[0]!DeleteEmployerIncome">
      <xdr:nvPicPr>
        <xdr:cNvPr id="210" name="btnDelEMPIncomeApp5Job3" hidden="1">
          <a:extLst>
            <a:ext uri="{FF2B5EF4-FFF2-40B4-BE49-F238E27FC236}">
              <a16:creationId xmlns:a16="http://schemas.microsoft.com/office/drawing/2014/main" id="{A7907EE4-9DD9-4198-9017-4F64F604742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889011"/>
          <a:ext cx="157842" cy="157842"/>
        </a:xfrm>
        <a:prstGeom prst="rect">
          <a:avLst/>
        </a:prstGeom>
      </xdr:spPr>
    </xdr:pic>
    <xdr:clientData fPrintsWithSheet="0"/>
  </xdr:oneCellAnchor>
  <xdr:oneCellAnchor>
    <xdr:from>
      <xdr:col>58</xdr:col>
      <xdr:colOff>15875</xdr:colOff>
      <xdr:row>36</xdr:row>
      <xdr:rowOff>82344</xdr:rowOff>
    </xdr:from>
    <xdr:ext cx="154134" cy="154134"/>
    <xdr:pic macro="[0]!AddEditEmployerIncome">
      <xdr:nvPicPr>
        <xdr:cNvPr id="211" name="btnEditEMPIncomeApp5Job3" hidden="1">
          <a:extLst>
            <a:ext uri="{FF2B5EF4-FFF2-40B4-BE49-F238E27FC236}">
              <a16:creationId xmlns:a16="http://schemas.microsoft.com/office/drawing/2014/main" id="{D42BC3F8-030A-4E40-ABD5-3C313635259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340394"/>
          <a:ext cx="154134" cy="154134"/>
        </a:xfrm>
        <a:prstGeom prst="rect">
          <a:avLst/>
        </a:prstGeom>
      </xdr:spPr>
    </xdr:pic>
    <xdr:clientData fPrintsWithSheet="0"/>
  </xdr:oneCellAnchor>
  <xdr:oneCellAnchor>
    <xdr:from>
      <xdr:col>58</xdr:col>
      <xdr:colOff>167121</xdr:colOff>
      <xdr:row>37</xdr:row>
      <xdr:rowOff>64349</xdr:rowOff>
    </xdr:from>
    <xdr:ext cx="157842" cy="157842"/>
    <xdr:pic macro="[0]!DeleteEmployerIncome">
      <xdr:nvPicPr>
        <xdr:cNvPr id="218" name="btnDelEMPIncomeApp5Job4" hidden="1">
          <a:extLst>
            <a:ext uri="{FF2B5EF4-FFF2-40B4-BE49-F238E27FC236}">
              <a16:creationId xmlns:a16="http://schemas.microsoft.com/office/drawing/2014/main" id="{2866CC99-6608-48B1-806D-EC2B65C0DE8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827224"/>
          <a:ext cx="157842" cy="157842"/>
        </a:xfrm>
        <a:prstGeom prst="rect">
          <a:avLst/>
        </a:prstGeom>
      </xdr:spPr>
    </xdr:pic>
    <xdr:clientData fPrintsWithSheet="0"/>
  </xdr:oneCellAnchor>
  <xdr:oneCellAnchor>
    <xdr:from>
      <xdr:col>58</xdr:col>
      <xdr:colOff>15875</xdr:colOff>
      <xdr:row>37</xdr:row>
      <xdr:rowOff>68057</xdr:rowOff>
    </xdr:from>
    <xdr:ext cx="154134" cy="154134"/>
    <xdr:pic macro="[0]!AddEditEmployerIncome">
      <xdr:nvPicPr>
        <xdr:cNvPr id="219" name="btnEditEMPIncomeApp5Job4" hidden="1">
          <a:extLst>
            <a:ext uri="{FF2B5EF4-FFF2-40B4-BE49-F238E27FC236}">
              <a16:creationId xmlns:a16="http://schemas.microsoft.com/office/drawing/2014/main" id="{BEF8AC68-9B52-4E18-93BE-32F7609E281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611857"/>
          <a:ext cx="154134" cy="154134"/>
        </a:xfrm>
        <a:prstGeom prst="rect">
          <a:avLst/>
        </a:prstGeom>
      </xdr:spPr>
    </xdr:pic>
    <xdr:clientData fPrintsWithSheet="0"/>
  </xdr:oneCellAnchor>
  <xdr:oneCellAnchor>
    <xdr:from>
      <xdr:col>58</xdr:col>
      <xdr:colOff>167121</xdr:colOff>
      <xdr:row>38</xdr:row>
      <xdr:rowOff>66730</xdr:rowOff>
    </xdr:from>
    <xdr:ext cx="157842" cy="157842"/>
    <xdr:pic macro="[0]!DeleteEmployerIncome">
      <xdr:nvPicPr>
        <xdr:cNvPr id="220" name="btnDelEMPIncomeApp5Job5" hidden="1">
          <a:extLst>
            <a:ext uri="{FF2B5EF4-FFF2-40B4-BE49-F238E27FC236}">
              <a16:creationId xmlns:a16="http://schemas.microsoft.com/office/drawing/2014/main" id="{F533C424-CF25-49C5-A8F5-766C51FB522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8115355"/>
          <a:ext cx="157842" cy="157842"/>
        </a:xfrm>
        <a:prstGeom prst="rect">
          <a:avLst/>
        </a:prstGeom>
      </xdr:spPr>
    </xdr:pic>
    <xdr:clientData fPrintsWithSheet="0"/>
  </xdr:oneCellAnchor>
  <xdr:oneCellAnchor>
    <xdr:from>
      <xdr:col>58</xdr:col>
      <xdr:colOff>15875</xdr:colOff>
      <xdr:row>38</xdr:row>
      <xdr:rowOff>70438</xdr:rowOff>
    </xdr:from>
    <xdr:ext cx="154134" cy="154134"/>
    <xdr:pic macro="[0]!AddEditEmployerIncome">
      <xdr:nvPicPr>
        <xdr:cNvPr id="221" name="btnEditEMPIncomeApp5Job5" hidden="1">
          <a:extLst>
            <a:ext uri="{FF2B5EF4-FFF2-40B4-BE49-F238E27FC236}">
              <a16:creationId xmlns:a16="http://schemas.microsoft.com/office/drawing/2014/main" id="{78A933CB-000A-4399-B894-E7583F58152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899988"/>
          <a:ext cx="154134" cy="154134"/>
        </a:xfrm>
        <a:prstGeom prst="rect">
          <a:avLst/>
        </a:prstGeom>
      </xdr:spPr>
    </xdr:pic>
    <xdr:clientData fPrintsWithSheet="0"/>
  </xdr:oneCellAnchor>
  <xdr:oneCellAnchor>
    <xdr:from>
      <xdr:col>68</xdr:col>
      <xdr:colOff>167121</xdr:colOff>
      <xdr:row>34</xdr:row>
      <xdr:rowOff>73874</xdr:rowOff>
    </xdr:from>
    <xdr:ext cx="157842" cy="157842"/>
    <xdr:pic macro="[0]!DeleteEmployerIncome">
      <xdr:nvPicPr>
        <xdr:cNvPr id="228" name="btnDelEMPIncomeApp6Job1" hidden="1">
          <a:extLst>
            <a:ext uri="{FF2B5EF4-FFF2-40B4-BE49-F238E27FC236}">
              <a16:creationId xmlns:a16="http://schemas.microsoft.com/office/drawing/2014/main" id="{DCB37A88-CCBE-45C2-80C8-679E67876FD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312749"/>
          <a:ext cx="157842" cy="157842"/>
        </a:xfrm>
        <a:prstGeom prst="rect">
          <a:avLst/>
        </a:prstGeom>
      </xdr:spPr>
    </xdr:pic>
    <xdr:clientData fPrintsWithSheet="0"/>
  </xdr:oneCellAnchor>
  <xdr:oneCellAnchor>
    <xdr:from>
      <xdr:col>68</xdr:col>
      <xdr:colOff>15875</xdr:colOff>
      <xdr:row>34</xdr:row>
      <xdr:rowOff>77582</xdr:rowOff>
    </xdr:from>
    <xdr:ext cx="154134" cy="154134"/>
    <xdr:pic macro="[0]!AddEditEmployerIncome">
      <xdr:nvPicPr>
        <xdr:cNvPr id="229" name="btnEditEMPIncomeApp6Job1" hidden="1">
          <a:extLst>
            <a:ext uri="{FF2B5EF4-FFF2-40B4-BE49-F238E27FC236}">
              <a16:creationId xmlns:a16="http://schemas.microsoft.com/office/drawing/2014/main" id="{27509EB3-F276-4976-ADFA-D2992F33749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6773657"/>
          <a:ext cx="154134" cy="154134"/>
        </a:xfrm>
        <a:prstGeom prst="rect">
          <a:avLst/>
        </a:prstGeom>
      </xdr:spPr>
    </xdr:pic>
    <xdr:clientData fPrintsWithSheet="0"/>
  </xdr:oneCellAnchor>
  <xdr:oneCellAnchor>
    <xdr:from>
      <xdr:col>68</xdr:col>
      <xdr:colOff>167121</xdr:colOff>
      <xdr:row>35</xdr:row>
      <xdr:rowOff>76255</xdr:rowOff>
    </xdr:from>
    <xdr:ext cx="157842" cy="157842"/>
    <xdr:pic macro="[0]!DeleteEmployerIncome">
      <xdr:nvPicPr>
        <xdr:cNvPr id="230" name="btnDelEMPIncomeApp6Job2" hidden="1">
          <a:extLst>
            <a:ext uri="{FF2B5EF4-FFF2-40B4-BE49-F238E27FC236}">
              <a16:creationId xmlns:a16="http://schemas.microsoft.com/office/drawing/2014/main" id="{4236EDF8-8D48-47A6-A9C5-297D23C1D24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600880"/>
          <a:ext cx="157842" cy="157842"/>
        </a:xfrm>
        <a:prstGeom prst="rect">
          <a:avLst/>
        </a:prstGeom>
      </xdr:spPr>
    </xdr:pic>
    <xdr:clientData fPrintsWithSheet="0"/>
  </xdr:oneCellAnchor>
  <xdr:oneCellAnchor>
    <xdr:from>
      <xdr:col>68</xdr:col>
      <xdr:colOff>15875</xdr:colOff>
      <xdr:row>35</xdr:row>
      <xdr:rowOff>79963</xdr:rowOff>
    </xdr:from>
    <xdr:ext cx="154134" cy="154134"/>
    <xdr:pic macro="[0]!AddEditEmployerIncome">
      <xdr:nvPicPr>
        <xdr:cNvPr id="231" name="btnEditEMPIncomeApp6Job2" hidden="1">
          <a:extLst>
            <a:ext uri="{FF2B5EF4-FFF2-40B4-BE49-F238E27FC236}">
              <a16:creationId xmlns:a16="http://schemas.microsoft.com/office/drawing/2014/main" id="{82A491AB-FC70-4DAE-A276-2F4089AF64F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052263"/>
          <a:ext cx="154134" cy="154134"/>
        </a:xfrm>
        <a:prstGeom prst="rect">
          <a:avLst/>
        </a:prstGeom>
      </xdr:spPr>
    </xdr:pic>
    <xdr:clientData fPrintsWithSheet="0"/>
  </xdr:oneCellAnchor>
  <xdr:oneCellAnchor>
    <xdr:from>
      <xdr:col>68</xdr:col>
      <xdr:colOff>167121</xdr:colOff>
      <xdr:row>36</xdr:row>
      <xdr:rowOff>78636</xdr:rowOff>
    </xdr:from>
    <xdr:ext cx="157842" cy="157842"/>
    <xdr:pic macro="[0]!DeleteEmployerIncome">
      <xdr:nvPicPr>
        <xdr:cNvPr id="232" name="btnDelEMPIncomeApp6Job3" hidden="1">
          <a:extLst>
            <a:ext uri="{FF2B5EF4-FFF2-40B4-BE49-F238E27FC236}">
              <a16:creationId xmlns:a16="http://schemas.microsoft.com/office/drawing/2014/main" id="{839C9C53-0D2E-42EC-84AC-11BF653AC64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889011"/>
          <a:ext cx="157842" cy="157842"/>
        </a:xfrm>
        <a:prstGeom prst="rect">
          <a:avLst/>
        </a:prstGeom>
      </xdr:spPr>
    </xdr:pic>
    <xdr:clientData fPrintsWithSheet="0"/>
  </xdr:oneCellAnchor>
  <xdr:oneCellAnchor>
    <xdr:from>
      <xdr:col>68</xdr:col>
      <xdr:colOff>15875</xdr:colOff>
      <xdr:row>36</xdr:row>
      <xdr:rowOff>82344</xdr:rowOff>
    </xdr:from>
    <xdr:ext cx="154134" cy="154134"/>
    <xdr:pic macro="[0]!AddEditEmployerIncome">
      <xdr:nvPicPr>
        <xdr:cNvPr id="233" name="btnEditEMPIncomeApp6Job3" hidden="1">
          <a:extLst>
            <a:ext uri="{FF2B5EF4-FFF2-40B4-BE49-F238E27FC236}">
              <a16:creationId xmlns:a16="http://schemas.microsoft.com/office/drawing/2014/main" id="{2E83FF9B-B609-4646-9A55-BE7AE26EC17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340394"/>
          <a:ext cx="154134" cy="154134"/>
        </a:xfrm>
        <a:prstGeom prst="rect">
          <a:avLst/>
        </a:prstGeom>
      </xdr:spPr>
    </xdr:pic>
    <xdr:clientData fPrintsWithSheet="0"/>
  </xdr:oneCellAnchor>
  <xdr:oneCellAnchor>
    <xdr:from>
      <xdr:col>68</xdr:col>
      <xdr:colOff>167121</xdr:colOff>
      <xdr:row>37</xdr:row>
      <xdr:rowOff>64349</xdr:rowOff>
    </xdr:from>
    <xdr:ext cx="157842" cy="157842"/>
    <xdr:pic macro="[0]!DeleteEmployerIncome">
      <xdr:nvPicPr>
        <xdr:cNvPr id="240" name="btnDelEMPIncomeApp6Job4" hidden="1">
          <a:extLst>
            <a:ext uri="{FF2B5EF4-FFF2-40B4-BE49-F238E27FC236}">
              <a16:creationId xmlns:a16="http://schemas.microsoft.com/office/drawing/2014/main" id="{9B6AC0BB-CD3E-4BA1-9D12-74FE436EF34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827224"/>
          <a:ext cx="157842" cy="157842"/>
        </a:xfrm>
        <a:prstGeom prst="rect">
          <a:avLst/>
        </a:prstGeom>
      </xdr:spPr>
    </xdr:pic>
    <xdr:clientData fPrintsWithSheet="0"/>
  </xdr:oneCellAnchor>
  <xdr:oneCellAnchor>
    <xdr:from>
      <xdr:col>68</xdr:col>
      <xdr:colOff>15875</xdr:colOff>
      <xdr:row>37</xdr:row>
      <xdr:rowOff>68057</xdr:rowOff>
    </xdr:from>
    <xdr:ext cx="154134" cy="154134"/>
    <xdr:pic macro="[0]!AddEditEmployerIncome">
      <xdr:nvPicPr>
        <xdr:cNvPr id="241" name="btnEditEMPIncomeApp6Job4" hidden="1">
          <a:extLst>
            <a:ext uri="{FF2B5EF4-FFF2-40B4-BE49-F238E27FC236}">
              <a16:creationId xmlns:a16="http://schemas.microsoft.com/office/drawing/2014/main" id="{8C57EA51-5549-4450-8B4A-C059B7FFC5B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611857"/>
          <a:ext cx="154134" cy="154134"/>
        </a:xfrm>
        <a:prstGeom prst="rect">
          <a:avLst/>
        </a:prstGeom>
      </xdr:spPr>
    </xdr:pic>
    <xdr:clientData fPrintsWithSheet="0"/>
  </xdr:oneCellAnchor>
  <xdr:oneCellAnchor>
    <xdr:from>
      <xdr:col>68</xdr:col>
      <xdr:colOff>167121</xdr:colOff>
      <xdr:row>38</xdr:row>
      <xdr:rowOff>66730</xdr:rowOff>
    </xdr:from>
    <xdr:ext cx="157842" cy="157842"/>
    <xdr:pic macro="[0]!DeleteEmployerIncome">
      <xdr:nvPicPr>
        <xdr:cNvPr id="242" name="btnDelEMPIncomeApp6Job5" hidden="1">
          <a:extLst>
            <a:ext uri="{FF2B5EF4-FFF2-40B4-BE49-F238E27FC236}">
              <a16:creationId xmlns:a16="http://schemas.microsoft.com/office/drawing/2014/main" id="{5C051137-9D7D-4C83-988B-C0BFA26984D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8115355"/>
          <a:ext cx="157842" cy="157842"/>
        </a:xfrm>
        <a:prstGeom prst="rect">
          <a:avLst/>
        </a:prstGeom>
      </xdr:spPr>
    </xdr:pic>
    <xdr:clientData fPrintsWithSheet="0"/>
  </xdr:oneCellAnchor>
  <xdr:oneCellAnchor>
    <xdr:from>
      <xdr:col>68</xdr:col>
      <xdr:colOff>15875</xdr:colOff>
      <xdr:row>38</xdr:row>
      <xdr:rowOff>70438</xdr:rowOff>
    </xdr:from>
    <xdr:ext cx="154134" cy="154134"/>
    <xdr:pic macro="[0]!AddEditEmployerIncome">
      <xdr:nvPicPr>
        <xdr:cNvPr id="243" name="btnEditEMPIncomeApp6Job5" hidden="1">
          <a:extLst>
            <a:ext uri="{FF2B5EF4-FFF2-40B4-BE49-F238E27FC236}">
              <a16:creationId xmlns:a16="http://schemas.microsoft.com/office/drawing/2014/main" id="{781F5163-4769-4EA7-A986-4A98A513BFC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899988"/>
          <a:ext cx="154134" cy="154134"/>
        </a:xfrm>
        <a:prstGeom prst="rect">
          <a:avLst/>
        </a:prstGeom>
      </xdr:spPr>
    </xdr:pic>
    <xdr:clientData fPrintsWithSheet="0"/>
  </xdr:oneCellAnchor>
  <xdr:oneCellAnchor>
    <xdr:from>
      <xdr:col>18</xdr:col>
      <xdr:colOff>168363</xdr:colOff>
      <xdr:row>34</xdr:row>
      <xdr:rowOff>73874</xdr:rowOff>
    </xdr:from>
    <xdr:ext cx="157842" cy="157842"/>
    <xdr:pic macro="[0]!DeleteEmployerIncome">
      <xdr:nvPicPr>
        <xdr:cNvPr id="250" name="btnDelEMPIncomeApp1Job1">
          <a:extLst>
            <a:ext uri="{FF2B5EF4-FFF2-40B4-BE49-F238E27FC236}">
              <a16:creationId xmlns:a16="http://schemas.microsoft.com/office/drawing/2014/main" id="{C74E7FE2-E958-47B3-8129-769DFD71794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217499"/>
          <a:ext cx="157842" cy="157842"/>
        </a:xfrm>
        <a:prstGeom prst="rect">
          <a:avLst/>
        </a:prstGeom>
      </xdr:spPr>
    </xdr:pic>
    <xdr:clientData fPrintsWithSheet="0"/>
  </xdr:oneCellAnchor>
  <xdr:oneCellAnchor>
    <xdr:from>
      <xdr:col>18</xdr:col>
      <xdr:colOff>15873</xdr:colOff>
      <xdr:row>34</xdr:row>
      <xdr:rowOff>77582</xdr:rowOff>
    </xdr:from>
    <xdr:ext cx="154134" cy="154134"/>
    <xdr:pic macro="[0]!AddEditEmployerIncome">
      <xdr:nvPicPr>
        <xdr:cNvPr id="251" name="btnEditEMPIncomeApp1Job1">
          <a:extLst>
            <a:ext uri="{FF2B5EF4-FFF2-40B4-BE49-F238E27FC236}">
              <a16:creationId xmlns:a16="http://schemas.microsoft.com/office/drawing/2014/main" id="{4C36DF7F-7ED1-4567-B566-72034472DB5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221207"/>
          <a:ext cx="154134" cy="154134"/>
        </a:xfrm>
        <a:prstGeom prst="rect">
          <a:avLst/>
        </a:prstGeom>
      </xdr:spPr>
    </xdr:pic>
    <xdr:clientData fPrintsWithSheet="0"/>
  </xdr:oneCellAnchor>
  <xdr:oneCellAnchor>
    <xdr:from>
      <xdr:col>18</xdr:col>
      <xdr:colOff>168363</xdr:colOff>
      <xdr:row>35</xdr:row>
      <xdr:rowOff>73874</xdr:rowOff>
    </xdr:from>
    <xdr:ext cx="157842" cy="157842"/>
    <xdr:pic macro="[0]!DeleteEmployerIncome">
      <xdr:nvPicPr>
        <xdr:cNvPr id="252" name="btnDelEMPIncomeApp1Job2" hidden="1">
          <a:extLst>
            <a:ext uri="{FF2B5EF4-FFF2-40B4-BE49-F238E27FC236}">
              <a16:creationId xmlns:a16="http://schemas.microsoft.com/office/drawing/2014/main" id="{98C83F60-8B14-4861-B41B-72ADD03B2A9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265249"/>
          <a:ext cx="157842" cy="157842"/>
        </a:xfrm>
        <a:prstGeom prst="rect">
          <a:avLst/>
        </a:prstGeom>
      </xdr:spPr>
    </xdr:pic>
    <xdr:clientData fPrintsWithSheet="0"/>
  </xdr:oneCellAnchor>
  <xdr:oneCellAnchor>
    <xdr:from>
      <xdr:col>18</xdr:col>
      <xdr:colOff>15873</xdr:colOff>
      <xdr:row>35</xdr:row>
      <xdr:rowOff>77582</xdr:rowOff>
    </xdr:from>
    <xdr:ext cx="154134" cy="154134"/>
    <xdr:pic macro="[0]!AddEditEmployerIncome">
      <xdr:nvPicPr>
        <xdr:cNvPr id="253" name="btnEditEMPIncomeApp1Job2" hidden="1">
          <a:extLst>
            <a:ext uri="{FF2B5EF4-FFF2-40B4-BE49-F238E27FC236}">
              <a16:creationId xmlns:a16="http://schemas.microsoft.com/office/drawing/2014/main" id="{68BCB933-805F-4085-8C90-F5AB0EF060C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049882"/>
          <a:ext cx="154134" cy="154134"/>
        </a:xfrm>
        <a:prstGeom prst="rect">
          <a:avLst/>
        </a:prstGeom>
      </xdr:spPr>
    </xdr:pic>
    <xdr:clientData fPrintsWithSheet="0"/>
  </xdr:oneCellAnchor>
  <xdr:oneCellAnchor>
    <xdr:from>
      <xdr:col>18</xdr:col>
      <xdr:colOff>168363</xdr:colOff>
      <xdr:row>36</xdr:row>
      <xdr:rowOff>73874</xdr:rowOff>
    </xdr:from>
    <xdr:ext cx="157842" cy="157842"/>
    <xdr:pic macro="[0]!DeleteEmployerIncome">
      <xdr:nvPicPr>
        <xdr:cNvPr id="254" name="btnDelEMPIncomeApp1Job3" hidden="1">
          <a:extLst>
            <a:ext uri="{FF2B5EF4-FFF2-40B4-BE49-F238E27FC236}">
              <a16:creationId xmlns:a16="http://schemas.microsoft.com/office/drawing/2014/main" id="{AB3689BC-D317-44AD-A704-0C8517A3C2B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550999"/>
          <a:ext cx="157842" cy="157842"/>
        </a:xfrm>
        <a:prstGeom prst="rect">
          <a:avLst/>
        </a:prstGeom>
      </xdr:spPr>
    </xdr:pic>
    <xdr:clientData fPrintsWithSheet="0"/>
  </xdr:oneCellAnchor>
  <xdr:oneCellAnchor>
    <xdr:from>
      <xdr:col>18</xdr:col>
      <xdr:colOff>15873</xdr:colOff>
      <xdr:row>36</xdr:row>
      <xdr:rowOff>77582</xdr:rowOff>
    </xdr:from>
    <xdr:ext cx="154134" cy="154134"/>
    <xdr:pic macro="[0]!AddEditEmployerIncome">
      <xdr:nvPicPr>
        <xdr:cNvPr id="255" name="btnEditEMPIncomeApp1Job3" hidden="1">
          <a:extLst>
            <a:ext uri="{FF2B5EF4-FFF2-40B4-BE49-F238E27FC236}">
              <a16:creationId xmlns:a16="http://schemas.microsoft.com/office/drawing/2014/main" id="{CD7B2651-9266-449F-AC81-88928075AF9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335632"/>
          <a:ext cx="154134" cy="154134"/>
        </a:xfrm>
        <a:prstGeom prst="rect">
          <a:avLst/>
        </a:prstGeom>
      </xdr:spPr>
    </xdr:pic>
    <xdr:clientData fPrintsWithSheet="0"/>
  </xdr:oneCellAnchor>
  <xdr:oneCellAnchor>
    <xdr:from>
      <xdr:col>18</xdr:col>
      <xdr:colOff>168363</xdr:colOff>
      <xdr:row>37</xdr:row>
      <xdr:rowOff>64349</xdr:rowOff>
    </xdr:from>
    <xdr:ext cx="157842" cy="157842"/>
    <xdr:pic macro="[0]!DeleteEmployerIncome">
      <xdr:nvPicPr>
        <xdr:cNvPr id="262" name="btnDelEMPIncomeApp1Job4" hidden="1">
          <a:extLst>
            <a:ext uri="{FF2B5EF4-FFF2-40B4-BE49-F238E27FC236}">
              <a16:creationId xmlns:a16="http://schemas.microsoft.com/office/drawing/2014/main" id="{CD206B5F-D707-4E0F-97B6-998304B02DA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8493974"/>
          <a:ext cx="157842" cy="157842"/>
        </a:xfrm>
        <a:prstGeom prst="rect">
          <a:avLst/>
        </a:prstGeom>
      </xdr:spPr>
    </xdr:pic>
    <xdr:clientData fPrintsWithSheet="0"/>
  </xdr:oneCellAnchor>
  <xdr:oneCellAnchor>
    <xdr:from>
      <xdr:col>18</xdr:col>
      <xdr:colOff>15873</xdr:colOff>
      <xdr:row>37</xdr:row>
      <xdr:rowOff>68057</xdr:rowOff>
    </xdr:from>
    <xdr:ext cx="154134" cy="154134"/>
    <xdr:pic macro="[0]!AddEditEmployerIncome">
      <xdr:nvPicPr>
        <xdr:cNvPr id="263" name="btnEditEMPIncomeApp1Job4" hidden="1">
          <a:extLst>
            <a:ext uri="{FF2B5EF4-FFF2-40B4-BE49-F238E27FC236}">
              <a16:creationId xmlns:a16="http://schemas.microsoft.com/office/drawing/2014/main" id="{8D4864BF-E7BC-4722-BA74-94F58D8DD8F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611857"/>
          <a:ext cx="154134" cy="154134"/>
        </a:xfrm>
        <a:prstGeom prst="rect">
          <a:avLst/>
        </a:prstGeom>
      </xdr:spPr>
    </xdr:pic>
    <xdr:clientData fPrintsWithSheet="0"/>
  </xdr:oneCellAnchor>
  <xdr:oneCellAnchor>
    <xdr:from>
      <xdr:col>18</xdr:col>
      <xdr:colOff>168363</xdr:colOff>
      <xdr:row>38</xdr:row>
      <xdr:rowOff>66730</xdr:rowOff>
    </xdr:from>
    <xdr:ext cx="157842" cy="157842"/>
    <xdr:pic macro="[0]!DeleteEmployerIncome">
      <xdr:nvPicPr>
        <xdr:cNvPr id="264" name="btnDelEMPIncomeApp1Job5" hidden="1">
          <a:extLst>
            <a:ext uri="{FF2B5EF4-FFF2-40B4-BE49-F238E27FC236}">
              <a16:creationId xmlns:a16="http://schemas.microsoft.com/office/drawing/2014/main" id="{CF9794C0-FDE2-40EA-ADB1-3F189FD9384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8782105"/>
          <a:ext cx="157842" cy="157842"/>
        </a:xfrm>
        <a:prstGeom prst="rect">
          <a:avLst/>
        </a:prstGeom>
      </xdr:spPr>
    </xdr:pic>
    <xdr:clientData fPrintsWithSheet="0"/>
  </xdr:oneCellAnchor>
  <xdr:oneCellAnchor>
    <xdr:from>
      <xdr:col>18</xdr:col>
      <xdr:colOff>15873</xdr:colOff>
      <xdr:row>38</xdr:row>
      <xdr:rowOff>70438</xdr:rowOff>
    </xdr:from>
    <xdr:ext cx="154134" cy="154134"/>
    <xdr:pic macro="[0]!AddEditEmployerIncome">
      <xdr:nvPicPr>
        <xdr:cNvPr id="265" name="btnEditEMPIncomeApp1Job5" hidden="1">
          <a:extLst>
            <a:ext uri="{FF2B5EF4-FFF2-40B4-BE49-F238E27FC236}">
              <a16:creationId xmlns:a16="http://schemas.microsoft.com/office/drawing/2014/main" id="{7C499C19-E4FC-4747-93D8-472706CA845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899988"/>
          <a:ext cx="154134" cy="154134"/>
        </a:xfrm>
        <a:prstGeom prst="rect">
          <a:avLst/>
        </a:prstGeom>
      </xdr:spPr>
    </xdr:pic>
    <xdr:clientData fPrintsWithSheet="0"/>
  </xdr:oneCellAnchor>
  <xdr:oneCellAnchor>
    <xdr:from>
      <xdr:col>57</xdr:col>
      <xdr:colOff>64293</xdr:colOff>
      <xdr:row>2</xdr:row>
      <xdr:rowOff>184150</xdr:rowOff>
    </xdr:from>
    <xdr:ext cx="1440000" cy="360000"/>
    <xdr:sp macro="[0]!ShowNavigationScreen" textlink="">
      <xdr:nvSpPr>
        <xdr:cNvPr id="295" name="btnOtherCalculators">
          <a:extLst>
            <a:ext uri="{FF2B5EF4-FFF2-40B4-BE49-F238E27FC236}">
              <a16:creationId xmlns:a16="http://schemas.microsoft.com/office/drawing/2014/main" id="{CB7CBF2E-0C92-45B0-96C2-B21EB3BF0189}"/>
            </a:ext>
          </a:extLst>
        </xdr:cNvPr>
        <xdr:cNvSpPr/>
      </xdr:nvSpPr>
      <xdr:spPr>
        <a:xfrm>
          <a:off x="10922793"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49</xdr:col>
      <xdr:colOff>52387</xdr:colOff>
      <xdr:row>2</xdr:row>
      <xdr:rowOff>184150</xdr:rowOff>
    </xdr:from>
    <xdr:ext cx="1440000" cy="360000"/>
    <xdr:sp macro="[0]!ResetServiceabilityCalculator" textlink="">
      <xdr:nvSpPr>
        <xdr:cNvPr id="296" name="btnReset">
          <a:extLst>
            <a:ext uri="{FF2B5EF4-FFF2-40B4-BE49-F238E27FC236}">
              <a16:creationId xmlns:a16="http://schemas.microsoft.com/office/drawing/2014/main" id="{ADB791DC-EF78-480B-9E3B-99BAE098C555}"/>
            </a:ext>
          </a:extLst>
        </xdr:cNvPr>
        <xdr:cNvSpPr/>
      </xdr:nvSpPr>
      <xdr:spPr>
        <a:xfrm>
          <a:off x="9386887" y="5651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41</xdr:col>
      <xdr:colOff>50800</xdr:colOff>
      <xdr:row>405</xdr:row>
      <xdr:rowOff>0</xdr:rowOff>
    </xdr:from>
    <xdr:ext cx="1440000" cy="360000"/>
    <xdr:sp macro="[0]!ExportServiceabilityCalculatorToPDF" textlink="">
      <xdr:nvSpPr>
        <xdr:cNvPr id="299" name="btnCreatePDFEnd">
          <a:extLst>
            <a:ext uri="{FF2B5EF4-FFF2-40B4-BE49-F238E27FC236}">
              <a16:creationId xmlns:a16="http://schemas.microsoft.com/office/drawing/2014/main" id="{72877499-D546-4781-8C23-4D988FA172A6}"/>
            </a:ext>
          </a:extLst>
        </xdr:cNvPr>
        <xdr:cNvSpPr/>
      </xdr:nvSpPr>
      <xdr:spPr>
        <a:xfrm>
          <a:off x="7861300" y="30039469"/>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49</xdr:col>
      <xdr:colOff>76200</xdr:colOff>
      <xdr:row>405</xdr:row>
      <xdr:rowOff>0</xdr:rowOff>
    </xdr:from>
    <xdr:ext cx="1440000" cy="360000"/>
    <xdr:sp macro="[0]!ResetServiceabilityCalculator" textlink="">
      <xdr:nvSpPr>
        <xdr:cNvPr id="300" name="btnResetEnd">
          <a:extLst>
            <a:ext uri="{FF2B5EF4-FFF2-40B4-BE49-F238E27FC236}">
              <a16:creationId xmlns:a16="http://schemas.microsoft.com/office/drawing/2014/main" id="{4146BC31-9EA2-4672-9C3A-4D1D544273AF}"/>
            </a:ext>
          </a:extLst>
        </xdr:cNvPr>
        <xdr:cNvSpPr/>
      </xdr:nvSpPr>
      <xdr:spPr>
        <a:xfrm>
          <a:off x="9410700" y="30039469"/>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1</xdr:col>
      <xdr:colOff>0</xdr:colOff>
      <xdr:row>103</xdr:row>
      <xdr:rowOff>49211</xdr:rowOff>
    </xdr:from>
    <xdr:ext cx="157842" cy="157842"/>
    <xdr:pic macro="[0]!RemoveNewLoan">
      <xdr:nvPicPr>
        <xdr:cNvPr id="336" name="btnDelNewLoan2" hidden="1">
          <a:extLst>
            <a:ext uri="{FF2B5EF4-FFF2-40B4-BE49-F238E27FC236}">
              <a16:creationId xmlns:a16="http://schemas.microsoft.com/office/drawing/2014/main" id="{C216E5B7-E879-4778-9E9A-28CDF6DB3FC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3889036"/>
          <a:ext cx="157842" cy="157842"/>
        </a:xfrm>
        <a:prstGeom prst="rect">
          <a:avLst/>
        </a:prstGeom>
      </xdr:spPr>
    </xdr:pic>
    <xdr:clientData fPrintsWithSheet="0"/>
  </xdr:oneCellAnchor>
  <xdr:oneCellAnchor>
    <xdr:from>
      <xdr:col>1</xdr:col>
      <xdr:colOff>0</xdr:colOff>
      <xdr:row>104</xdr:row>
      <xdr:rowOff>44025</xdr:rowOff>
    </xdr:from>
    <xdr:ext cx="157842" cy="157842"/>
    <xdr:pic macro="[0]!RemoveNewLoan">
      <xdr:nvPicPr>
        <xdr:cNvPr id="337" name="btnDelNewLoan3" hidden="1">
          <a:extLst>
            <a:ext uri="{FF2B5EF4-FFF2-40B4-BE49-F238E27FC236}">
              <a16:creationId xmlns:a16="http://schemas.microsoft.com/office/drawing/2014/main" id="{4A73A593-ABB2-4A2C-A890-9B743C008F1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4121975"/>
          <a:ext cx="157842" cy="157842"/>
        </a:xfrm>
        <a:prstGeom prst="rect">
          <a:avLst/>
        </a:prstGeom>
      </xdr:spPr>
    </xdr:pic>
    <xdr:clientData fPrintsWithSheet="0"/>
  </xdr:oneCellAnchor>
  <xdr:oneCellAnchor>
    <xdr:from>
      <xdr:col>1</xdr:col>
      <xdr:colOff>0</xdr:colOff>
      <xdr:row>102</xdr:row>
      <xdr:rowOff>48682</xdr:rowOff>
    </xdr:from>
    <xdr:ext cx="157842" cy="157842"/>
    <xdr:pic macro="[0]!RemoveNewLoan">
      <xdr:nvPicPr>
        <xdr:cNvPr id="338" name="btnDelNewLoan1">
          <a:extLst>
            <a:ext uri="{FF2B5EF4-FFF2-40B4-BE49-F238E27FC236}">
              <a16:creationId xmlns:a16="http://schemas.microsoft.com/office/drawing/2014/main" id="{1585A80B-CD68-4BB3-A946-E43F5A73FDA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3650382"/>
          <a:ext cx="157842" cy="157842"/>
        </a:xfrm>
        <a:prstGeom prst="rect">
          <a:avLst/>
        </a:prstGeom>
      </xdr:spPr>
    </xdr:pic>
    <xdr:clientData fPrintsWithSheet="0"/>
  </xdr:oneCellAnchor>
  <xdr:oneCellAnchor>
    <xdr:from>
      <xdr:col>1</xdr:col>
      <xdr:colOff>0</xdr:colOff>
      <xdr:row>106</xdr:row>
      <xdr:rowOff>45083</xdr:rowOff>
    </xdr:from>
    <xdr:ext cx="157842" cy="157842"/>
    <xdr:pic macro="[0]!RemoveNewLoan">
      <xdr:nvPicPr>
        <xdr:cNvPr id="379" name="btnDelNewLoan5" hidden="1">
          <a:extLst>
            <a:ext uri="{FF2B5EF4-FFF2-40B4-BE49-F238E27FC236}">
              <a16:creationId xmlns:a16="http://schemas.microsoft.com/office/drawing/2014/main" id="{F0CFF0C1-8A42-4E3A-9A1C-F006CDDC068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4599283"/>
          <a:ext cx="157842" cy="157842"/>
        </a:xfrm>
        <a:prstGeom prst="rect">
          <a:avLst/>
        </a:prstGeom>
      </xdr:spPr>
    </xdr:pic>
    <xdr:clientData fPrintsWithSheet="0"/>
  </xdr:oneCellAnchor>
  <xdr:oneCellAnchor>
    <xdr:from>
      <xdr:col>1</xdr:col>
      <xdr:colOff>0</xdr:colOff>
      <xdr:row>107</xdr:row>
      <xdr:rowOff>45612</xdr:rowOff>
    </xdr:from>
    <xdr:ext cx="157842" cy="157842"/>
    <xdr:pic macro="[0]!RemoveNewLoan">
      <xdr:nvPicPr>
        <xdr:cNvPr id="380" name="btnDelNewLoan6" hidden="1">
          <a:extLst>
            <a:ext uri="{FF2B5EF4-FFF2-40B4-BE49-F238E27FC236}">
              <a16:creationId xmlns:a16="http://schemas.microsoft.com/office/drawing/2014/main" id="{1BDE4FB4-1C96-4D99-8D12-E000A333D8B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4837937"/>
          <a:ext cx="157842" cy="157842"/>
        </a:xfrm>
        <a:prstGeom prst="rect">
          <a:avLst/>
        </a:prstGeom>
      </xdr:spPr>
    </xdr:pic>
    <xdr:clientData fPrintsWithSheet="0"/>
  </xdr:oneCellAnchor>
  <xdr:oneCellAnchor>
    <xdr:from>
      <xdr:col>1</xdr:col>
      <xdr:colOff>0</xdr:colOff>
      <xdr:row>105</xdr:row>
      <xdr:rowOff>44554</xdr:rowOff>
    </xdr:from>
    <xdr:ext cx="157842" cy="157842"/>
    <xdr:pic macro="[0]!RemoveNewLoan">
      <xdr:nvPicPr>
        <xdr:cNvPr id="381" name="btnDelNewLoan4" hidden="1">
          <a:extLst>
            <a:ext uri="{FF2B5EF4-FFF2-40B4-BE49-F238E27FC236}">
              <a16:creationId xmlns:a16="http://schemas.microsoft.com/office/drawing/2014/main" id="{15B925A0-119F-4F6C-8382-25093DBC75C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4360629"/>
          <a:ext cx="157842" cy="157842"/>
        </a:xfrm>
        <a:prstGeom prst="rect">
          <a:avLst/>
        </a:prstGeom>
      </xdr:spPr>
    </xdr:pic>
    <xdr:clientData fPrintsWithSheet="0"/>
  </xdr:oneCellAnchor>
  <xdr:oneCellAnchor>
    <xdr:from>
      <xdr:col>1</xdr:col>
      <xdr:colOff>0</xdr:colOff>
      <xdr:row>109</xdr:row>
      <xdr:rowOff>46670</xdr:rowOff>
    </xdr:from>
    <xdr:ext cx="157842" cy="157842"/>
    <xdr:pic macro="[0]!RemoveNewLoan">
      <xdr:nvPicPr>
        <xdr:cNvPr id="382" name="btnDelNewLoan8" hidden="1">
          <a:extLst>
            <a:ext uri="{FF2B5EF4-FFF2-40B4-BE49-F238E27FC236}">
              <a16:creationId xmlns:a16="http://schemas.microsoft.com/office/drawing/2014/main" id="{7D2DB46C-50A4-476F-BD5E-E304415DCD7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5315245"/>
          <a:ext cx="157842" cy="157842"/>
        </a:xfrm>
        <a:prstGeom prst="rect">
          <a:avLst/>
        </a:prstGeom>
      </xdr:spPr>
    </xdr:pic>
    <xdr:clientData fPrintsWithSheet="0"/>
  </xdr:oneCellAnchor>
  <xdr:oneCellAnchor>
    <xdr:from>
      <xdr:col>1</xdr:col>
      <xdr:colOff>0</xdr:colOff>
      <xdr:row>110</xdr:row>
      <xdr:rowOff>47199</xdr:rowOff>
    </xdr:from>
    <xdr:ext cx="157842" cy="157842"/>
    <xdr:pic macro="[0]!RemoveNewLoan">
      <xdr:nvPicPr>
        <xdr:cNvPr id="383" name="btnDelNewLoan9" hidden="1">
          <a:extLst>
            <a:ext uri="{FF2B5EF4-FFF2-40B4-BE49-F238E27FC236}">
              <a16:creationId xmlns:a16="http://schemas.microsoft.com/office/drawing/2014/main" id="{C1E9EF29-B260-4DD6-B26F-BDC443EB8D8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5553899"/>
          <a:ext cx="157842" cy="157842"/>
        </a:xfrm>
        <a:prstGeom prst="rect">
          <a:avLst/>
        </a:prstGeom>
      </xdr:spPr>
    </xdr:pic>
    <xdr:clientData fPrintsWithSheet="0"/>
  </xdr:oneCellAnchor>
  <xdr:oneCellAnchor>
    <xdr:from>
      <xdr:col>1</xdr:col>
      <xdr:colOff>0</xdr:colOff>
      <xdr:row>108</xdr:row>
      <xdr:rowOff>46141</xdr:rowOff>
    </xdr:from>
    <xdr:ext cx="157842" cy="157842"/>
    <xdr:pic macro="[0]!RemoveNewLoan">
      <xdr:nvPicPr>
        <xdr:cNvPr id="384" name="btnDelNewLoan7" hidden="1">
          <a:extLst>
            <a:ext uri="{FF2B5EF4-FFF2-40B4-BE49-F238E27FC236}">
              <a16:creationId xmlns:a16="http://schemas.microsoft.com/office/drawing/2014/main" id="{63E77719-9F89-4E10-A00F-12840083A54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5076591"/>
          <a:ext cx="157842" cy="157842"/>
        </a:xfrm>
        <a:prstGeom prst="rect">
          <a:avLst/>
        </a:prstGeom>
      </xdr:spPr>
    </xdr:pic>
    <xdr:clientData fPrintsWithSheet="0"/>
  </xdr:oneCellAnchor>
  <xdr:oneCellAnchor>
    <xdr:from>
      <xdr:col>1</xdr:col>
      <xdr:colOff>0</xdr:colOff>
      <xdr:row>111</xdr:row>
      <xdr:rowOff>47728</xdr:rowOff>
    </xdr:from>
    <xdr:ext cx="157842" cy="157842"/>
    <xdr:pic macro="[0]!RemoveNewLoan">
      <xdr:nvPicPr>
        <xdr:cNvPr id="387" name="btnDelNewLoan10" hidden="1">
          <a:extLst>
            <a:ext uri="{FF2B5EF4-FFF2-40B4-BE49-F238E27FC236}">
              <a16:creationId xmlns:a16="http://schemas.microsoft.com/office/drawing/2014/main" id="{296CD909-C014-44F7-A439-94D8E7F440E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5792553"/>
          <a:ext cx="157842" cy="157842"/>
        </a:xfrm>
        <a:prstGeom prst="rect">
          <a:avLst/>
        </a:prstGeom>
      </xdr:spPr>
    </xdr:pic>
    <xdr:clientData fPrintsWithSheet="0"/>
  </xdr:oneCellAnchor>
  <xdr:twoCellAnchor editAs="oneCell">
    <xdr:from>
      <xdr:col>1</xdr:col>
      <xdr:colOff>51293</xdr:colOff>
      <xdr:row>1</xdr:row>
      <xdr:rowOff>65620</xdr:rowOff>
    </xdr:from>
    <xdr:to>
      <xdr:col>2</xdr:col>
      <xdr:colOff>661451</xdr:colOff>
      <xdr:row>3</xdr:row>
      <xdr:rowOff>9525</xdr:rowOff>
    </xdr:to>
    <xdr:pic>
      <xdr:nvPicPr>
        <xdr:cNvPr id="26" name="imgLogoWBC">
          <a:extLst>
            <a:ext uri="{FF2B5EF4-FFF2-40B4-BE49-F238E27FC236}">
              <a16:creationId xmlns:a16="http://schemas.microsoft.com/office/drawing/2014/main" id="{1F6E05B7-AC02-4616-92ED-3F1C19ECC15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793" y="256120"/>
          <a:ext cx="800658" cy="324905"/>
        </a:xfrm>
        <a:prstGeom prst="rect">
          <a:avLst/>
        </a:prstGeom>
      </xdr:spPr>
    </xdr:pic>
    <xdr:clientData/>
  </xdr:twoCellAnchor>
  <xdr:oneCellAnchor>
    <xdr:from>
      <xdr:col>1</xdr:col>
      <xdr:colOff>0</xdr:colOff>
      <xdr:row>139</xdr:row>
      <xdr:rowOff>66675</xdr:rowOff>
    </xdr:from>
    <xdr:ext cx="157842" cy="157842"/>
    <xdr:pic macro="[0]!RemoveSharableCommitment">
      <xdr:nvPicPr>
        <xdr:cNvPr id="1426" name="btnDelSharableCommitment1">
          <a:extLst>
            <a:ext uri="{FF2B5EF4-FFF2-40B4-BE49-F238E27FC236}">
              <a16:creationId xmlns:a16="http://schemas.microsoft.com/office/drawing/2014/main" id="{2C7AA94F-CB2E-496A-BC4F-572AB920C49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20526375"/>
          <a:ext cx="157842" cy="157842"/>
        </a:xfrm>
        <a:prstGeom prst="rect">
          <a:avLst/>
        </a:prstGeom>
      </xdr:spPr>
    </xdr:pic>
    <xdr:clientData fPrintsWithSheet="0"/>
  </xdr:oneCellAnchor>
  <xdr:oneCellAnchor>
    <xdr:from>
      <xdr:col>1</xdr:col>
      <xdr:colOff>0</xdr:colOff>
      <xdr:row>145</xdr:row>
      <xdr:rowOff>66675</xdr:rowOff>
    </xdr:from>
    <xdr:ext cx="157842" cy="157842"/>
    <xdr:pic macro="[0]!RemoveSharableCommitment">
      <xdr:nvPicPr>
        <xdr:cNvPr id="1427" name="btnDelSharableCommitment2" hidden="1">
          <a:extLst>
            <a:ext uri="{FF2B5EF4-FFF2-40B4-BE49-F238E27FC236}">
              <a16:creationId xmlns:a16="http://schemas.microsoft.com/office/drawing/2014/main" id="{9AD47658-9B7A-455C-8FAE-552B535EA5F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6121300"/>
          <a:ext cx="157842" cy="157842"/>
        </a:xfrm>
        <a:prstGeom prst="rect">
          <a:avLst/>
        </a:prstGeom>
      </xdr:spPr>
    </xdr:pic>
    <xdr:clientData fPrintsWithSheet="0"/>
  </xdr:oneCellAnchor>
  <xdr:oneCellAnchor>
    <xdr:from>
      <xdr:col>1</xdr:col>
      <xdr:colOff>0</xdr:colOff>
      <xdr:row>151</xdr:row>
      <xdr:rowOff>66675</xdr:rowOff>
    </xdr:from>
    <xdr:ext cx="157842" cy="157842"/>
    <xdr:pic macro="[0]!RemoveSharableCommitment">
      <xdr:nvPicPr>
        <xdr:cNvPr id="1428" name="btnDelSharableCommitment3" hidden="1">
          <a:extLst>
            <a:ext uri="{FF2B5EF4-FFF2-40B4-BE49-F238E27FC236}">
              <a16:creationId xmlns:a16="http://schemas.microsoft.com/office/drawing/2014/main" id="{F125CBF9-E4D2-4B23-B7E8-40E1A7A34F0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7835800"/>
          <a:ext cx="157842" cy="157842"/>
        </a:xfrm>
        <a:prstGeom prst="rect">
          <a:avLst/>
        </a:prstGeom>
      </xdr:spPr>
    </xdr:pic>
    <xdr:clientData fPrintsWithSheet="0"/>
  </xdr:oneCellAnchor>
  <xdr:oneCellAnchor>
    <xdr:from>
      <xdr:col>1</xdr:col>
      <xdr:colOff>0</xdr:colOff>
      <xdr:row>157</xdr:row>
      <xdr:rowOff>66675</xdr:rowOff>
    </xdr:from>
    <xdr:ext cx="157842" cy="157842"/>
    <xdr:pic macro="[0]!RemoveSharableCommitment">
      <xdr:nvPicPr>
        <xdr:cNvPr id="1429" name="btnDelSharableCommitment4" hidden="1">
          <a:extLst>
            <a:ext uri="{FF2B5EF4-FFF2-40B4-BE49-F238E27FC236}">
              <a16:creationId xmlns:a16="http://schemas.microsoft.com/office/drawing/2014/main" id="{B32DEC16-9BDF-4CA0-AEB2-11C3B0EF139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9550300"/>
          <a:ext cx="157842" cy="157842"/>
        </a:xfrm>
        <a:prstGeom prst="rect">
          <a:avLst/>
        </a:prstGeom>
      </xdr:spPr>
    </xdr:pic>
    <xdr:clientData fPrintsWithSheet="0"/>
  </xdr:oneCellAnchor>
  <xdr:oneCellAnchor>
    <xdr:from>
      <xdr:col>1</xdr:col>
      <xdr:colOff>0</xdr:colOff>
      <xdr:row>163</xdr:row>
      <xdr:rowOff>66675</xdr:rowOff>
    </xdr:from>
    <xdr:ext cx="157842" cy="157842"/>
    <xdr:pic macro="[0]!RemoveSharableCommitment">
      <xdr:nvPicPr>
        <xdr:cNvPr id="1430" name="btnDelSharableCommitment5" hidden="1">
          <a:extLst>
            <a:ext uri="{FF2B5EF4-FFF2-40B4-BE49-F238E27FC236}">
              <a16:creationId xmlns:a16="http://schemas.microsoft.com/office/drawing/2014/main" id="{580C2088-4349-4AAD-8CB8-40829AC59EB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1264800"/>
          <a:ext cx="157842" cy="157842"/>
        </a:xfrm>
        <a:prstGeom prst="rect">
          <a:avLst/>
        </a:prstGeom>
      </xdr:spPr>
    </xdr:pic>
    <xdr:clientData fPrintsWithSheet="0"/>
  </xdr:oneCellAnchor>
  <xdr:oneCellAnchor>
    <xdr:from>
      <xdr:col>1</xdr:col>
      <xdr:colOff>0</xdr:colOff>
      <xdr:row>169</xdr:row>
      <xdr:rowOff>66675</xdr:rowOff>
    </xdr:from>
    <xdr:ext cx="157842" cy="157842"/>
    <xdr:pic macro="[0]!RemoveSharableCommitment">
      <xdr:nvPicPr>
        <xdr:cNvPr id="1431" name="btnDelSharableCommitment6" hidden="1">
          <a:extLst>
            <a:ext uri="{FF2B5EF4-FFF2-40B4-BE49-F238E27FC236}">
              <a16:creationId xmlns:a16="http://schemas.microsoft.com/office/drawing/2014/main" id="{C38B40CA-8361-4E7C-A92B-0F526C04745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2979300"/>
          <a:ext cx="157842" cy="157842"/>
        </a:xfrm>
        <a:prstGeom prst="rect">
          <a:avLst/>
        </a:prstGeom>
      </xdr:spPr>
    </xdr:pic>
    <xdr:clientData fPrintsWithSheet="0"/>
  </xdr:oneCellAnchor>
  <xdr:oneCellAnchor>
    <xdr:from>
      <xdr:col>1</xdr:col>
      <xdr:colOff>0</xdr:colOff>
      <xdr:row>175</xdr:row>
      <xdr:rowOff>66675</xdr:rowOff>
    </xdr:from>
    <xdr:ext cx="157842" cy="157842"/>
    <xdr:pic macro="[0]!RemoveSharableCommitment">
      <xdr:nvPicPr>
        <xdr:cNvPr id="1432" name="btnDelSharableCommitment7" hidden="1">
          <a:extLst>
            <a:ext uri="{FF2B5EF4-FFF2-40B4-BE49-F238E27FC236}">
              <a16:creationId xmlns:a16="http://schemas.microsoft.com/office/drawing/2014/main" id="{7EF96551-FE6F-4A2A-B2F2-BB3B3F9C4DF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4693800"/>
          <a:ext cx="157842" cy="157842"/>
        </a:xfrm>
        <a:prstGeom prst="rect">
          <a:avLst/>
        </a:prstGeom>
      </xdr:spPr>
    </xdr:pic>
    <xdr:clientData fPrintsWithSheet="0"/>
  </xdr:oneCellAnchor>
  <xdr:oneCellAnchor>
    <xdr:from>
      <xdr:col>1</xdr:col>
      <xdr:colOff>0</xdr:colOff>
      <xdr:row>181</xdr:row>
      <xdr:rowOff>66675</xdr:rowOff>
    </xdr:from>
    <xdr:ext cx="157842" cy="157842"/>
    <xdr:pic macro="[0]!RemoveSharableCommitment">
      <xdr:nvPicPr>
        <xdr:cNvPr id="1433" name="btnDelSharableCommitment8" hidden="1">
          <a:extLst>
            <a:ext uri="{FF2B5EF4-FFF2-40B4-BE49-F238E27FC236}">
              <a16:creationId xmlns:a16="http://schemas.microsoft.com/office/drawing/2014/main" id="{377E20F6-B1E7-4D65-A51F-C0A711E6906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6408300"/>
          <a:ext cx="157842" cy="157842"/>
        </a:xfrm>
        <a:prstGeom prst="rect">
          <a:avLst/>
        </a:prstGeom>
      </xdr:spPr>
    </xdr:pic>
    <xdr:clientData fPrintsWithSheet="0"/>
  </xdr:oneCellAnchor>
  <xdr:oneCellAnchor>
    <xdr:from>
      <xdr:col>1</xdr:col>
      <xdr:colOff>0</xdr:colOff>
      <xdr:row>187</xdr:row>
      <xdr:rowOff>66675</xdr:rowOff>
    </xdr:from>
    <xdr:ext cx="157842" cy="157842"/>
    <xdr:pic macro="[0]!RemoveSharableCommitment">
      <xdr:nvPicPr>
        <xdr:cNvPr id="1434" name="btnDelSharableCommitment9" hidden="1">
          <a:extLst>
            <a:ext uri="{FF2B5EF4-FFF2-40B4-BE49-F238E27FC236}">
              <a16:creationId xmlns:a16="http://schemas.microsoft.com/office/drawing/2014/main" id="{A7E6E581-8CB0-472D-99E3-7D326E01842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8122800"/>
          <a:ext cx="157842" cy="157842"/>
        </a:xfrm>
        <a:prstGeom prst="rect">
          <a:avLst/>
        </a:prstGeom>
      </xdr:spPr>
    </xdr:pic>
    <xdr:clientData fPrintsWithSheet="0"/>
  </xdr:oneCellAnchor>
  <xdr:oneCellAnchor>
    <xdr:from>
      <xdr:col>1</xdr:col>
      <xdr:colOff>0</xdr:colOff>
      <xdr:row>193</xdr:row>
      <xdr:rowOff>66675</xdr:rowOff>
    </xdr:from>
    <xdr:ext cx="157842" cy="157842"/>
    <xdr:pic macro="[0]!RemoveSharableCommitment">
      <xdr:nvPicPr>
        <xdr:cNvPr id="1435" name="btnDelSharableCommitment10" hidden="1">
          <a:extLst>
            <a:ext uri="{FF2B5EF4-FFF2-40B4-BE49-F238E27FC236}">
              <a16:creationId xmlns:a16="http://schemas.microsoft.com/office/drawing/2014/main" id="{D148410D-BB3B-4911-8821-8B01023464A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9837300"/>
          <a:ext cx="157842" cy="157842"/>
        </a:xfrm>
        <a:prstGeom prst="rect">
          <a:avLst/>
        </a:prstGeom>
      </xdr:spPr>
    </xdr:pic>
    <xdr:clientData fPrintsWithSheet="0"/>
  </xdr:oneCellAnchor>
  <xdr:oneCellAnchor>
    <xdr:from>
      <xdr:col>1</xdr:col>
      <xdr:colOff>0</xdr:colOff>
      <xdr:row>199</xdr:row>
      <xdr:rowOff>66675</xdr:rowOff>
    </xdr:from>
    <xdr:ext cx="157842" cy="157842"/>
    <xdr:pic macro="[0]!RemoveSharableCommitment">
      <xdr:nvPicPr>
        <xdr:cNvPr id="1436" name="btnDelSharableCommitment11" hidden="1">
          <a:extLst>
            <a:ext uri="{FF2B5EF4-FFF2-40B4-BE49-F238E27FC236}">
              <a16:creationId xmlns:a16="http://schemas.microsoft.com/office/drawing/2014/main" id="{B7198E19-95D6-4DF7-99CB-FBAAAC8E9E1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1551800"/>
          <a:ext cx="157842" cy="157842"/>
        </a:xfrm>
        <a:prstGeom prst="rect">
          <a:avLst/>
        </a:prstGeom>
      </xdr:spPr>
    </xdr:pic>
    <xdr:clientData fPrintsWithSheet="0"/>
  </xdr:oneCellAnchor>
  <xdr:oneCellAnchor>
    <xdr:from>
      <xdr:col>1</xdr:col>
      <xdr:colOff>0</xdr:colOff>
      <xdr:row>205</xdr:row>
      <xdr:rowOff>66675</xdr:rowOff>
    </xdr:from>
    <xdr:ext cx="157842" cy="157842"/>
    <xdr:pic macro="[0]!RemoveSharableCommitment">
      <xdr:nvPicPr>
        <xdr:cNvPr id="1437" name="btnDelSharableCommitment12" hidden="1">
          <a:extLst>
            <a:ext uri="{FF2B5EF4-FFF2-40B4-BE49-F238E27FC236}">
              <a16:creationId xmlns:a16="http://schemas.microsoft.com/office/drawing/2014/main" id="{525E2C5D-9AD1-48C6-9007-2491BA7DA25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3266300"/>
          <a:ext cx="157842" cy="157842"/>
        </a:xfrm>
        <a:prstGeom prst="rect">
          <a:avLst/>
        </a:prstGeom>
      </xdr:spPr>
    </xdr:pic>
    <xdr:clientData fPrintsWithSheet="0"/>
  </xdr:oneCellAnchor>
  <xdr:oneCellAnchor>
    <xdr:from>
      <xdr:col>1</xdr:col>
      <xdr:colOff>0</xdr:colOff>
      <xdr:row>211</xdr:row>
      <xdr:rowOff>66675</xdr:rowOff>
    </xdr:from>
    <xdr:ext cx="157842" cy="157842"/>
    <xdr:pic macro="[0]!RemoveSharableCommitment">
      <xdr:nvPicPr>
        <xdr:cNvPr id="1438" name="btnDelSharableCommitment13" hidden="1">
          <a:extLst>
            <a:ext uri="{FF2B5EF4-FFF2-40B4-BE49-F238E27FC236}">
              <a16:creationId xmlns:a16="http://schemas.microsoft.com/office/drawing/2014/main" id="{65B76ED1-79EF-440A-93E5-C6E828D6F4B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4980800"/>
          <a:ext cx="157842" cy="157842"/>
        </a:xfrm>
        <a:prstGeom prst="rect">
          <a:avLst/>
        </a:prstGeom>
      </xdr:spPr>
    </xdr:pic>
    <xdr:clientData fPrintsWithSheet="0"/>
  </xdr:oneCellAnchor>
  <xdr:oneCellAnchor>
    <xdr:from>
      <xdr:col>1</xdr:col>
      <xdr:colOff>0</xdr:colOff>
      <xdr:row>217</xdr:row>
      <xdr:rowOff>66675</xdr:rowOff>
    </xdr:from>
    <xdr:ext cx="157842" cy="157842"/>
    <xdr:pic macro="[0]!RemoveSharableCommitment">
      <xdr:nvPicPr>
        <xdr:cNvPr id="1439" name="btnDelSharableCommitment14" hidden="1">
          <a:extLst>
            <a:ext uri="{FF2B5EF4-FFF2-40B4-BE49-F238E27FC236}">
              <a16:creationId xmlns:a16="http://schemas.microsoft.com/office/drawing/2014/main" id="{9E5460CB-50CA-4E9D-8065-089E044ED1F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6695300"/>
          <a:ext cx="157842" cy="157842"/>
        </a:xfrm>
        <a:prstGeom prst="rect">
          <a:avLst/>
        </a:prstGeom>
      </xdr:spPr>
    </xdr:pic>
    <xdr:clientData fPrintsWithSheet="0"/>
  </xdr:oneCellAnchor>
  <xdr:oneCellAnchor>
    <xdr:from>
      <xdr:col>1</xdr:col>
      <xdr:colOff>0</xdr:colOff>
      <xdr:row>223</xdr:row>
      <xdr:rowOff>66675</xdr:rowOff>
    </xdr:from>
    <xdr:ext cx="157842" cy="157842"/>
    <xdr:pic macro="[0]!RemoveSharableCommitment">
      <xdr:nvPicPr>
        <xdr:cNvPr id="1440" name="btnDelSharableCommitment15" hidden="1">
          <a:extLst>
            <a:ext uri="{FF2B5EF4-FFF2-40B4-BE49-F238E27FC236}">
              <a16:creationId xmlns:a16="http://schemas.microsoft.com/office/drawing/2014/main" id="{27C97239-B329-4A51-BDCB-CD3810FE0CE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8409800"/>
          <a:ext cx="157842" cy="157842"/>
        </a:xfrm>
        <a:prstGeom prst="rect">
          <a:avLst/>
        </a:prstGeom>
      </xdr:spPr>
    </xdr:pic>
    <xdr:clientData fPrintsWithSheet="0"/>
  </xdr:oneCellAnchor>
  <xdr:oneCellAnchor>
    <xdr:from>
      <xdr:col>1</xdr:col>
      <xdr:colOff>0</xdr:colOff>
      <xdr:row>229</xdr:row>
      <xdr:rowOff>66675</xdr:rowOff>
    </xdr:from>
    <xdr:ext cx="157842" cy="157842"/>
    <xdr:pic macro="[0]!RemoveSharableCommitment">
      <xdr:nvPicPr>
        <xdr:cNvPr id="1441" name="btnDelSharableCommitment16" hidden="1">
          <a:extLst>
            <a:ext uri="{FF2B5EF4-FFF2-40B4-BE49-F238E27FC236}">
              <a16:creationId xmlns:a16="http://schemas.microsoft.com/office/drawing/2014/main" id="{B42BBA4D-1D7C-44A2-86A6-EBD6434FEA4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0124300"/>
          <a:ext cx="157842" cy="157842"/>
        </a:xfrm>
        <a:prstGeom prst="rect">
          <a:avLst/>
        </a:prstGeom>
      </xdr:spPr>
    </xdr:pic>
    <xdr:clientData fPrintsWithSheet="0"/>
  </xdr:oneCellAnchor>
  <xdr:oneCellAnchor>
    <xdr:from>
      <xdr:col>1</xdr:col>
      <xdr:colOff>0</xdr:colOff>
      <xdr:row>235</xdr:row>
      <xdr:rowOff>66675</xdr:rowOff>
    </xdr:from>
    <xdr:ext cx="157842" cy="157842"/>
    <xdr:pic macro="[0]!RemoveSharableCommitment">
      <xdr:nvPicPr>
        <xdr:cNvPr id="1442" name="btnDelSharableCommitment17" hidden="1">
          <a:extLst>
            <a:ext uri="{FF2B5EF4-FFF2-40B4-BE49-F238E27FC236}">
              <a16:creationId xmlns:a16="http://schemas.microsoft.com/office/drawing/2014/main" id="{C4E823EE-29FA-4BCD-A0A8-A5069860015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1838800"/>
          <a:ext cx="157842" cy="157842"/>
        </a:xfrm>
        <a:prstGeom prst="rect">
          <a:avLst/>
        </a:prstGeom>
      </xdr:spPr>
    </xdr:pic>
    <xdr:clientData fPrintsWithSheet="0"/>
  </xdr:oneCellAnchor>
  <xdr:oneCellAnchor>
    <xdr:from>
      <xdr:col>1</xdr:col>
      <xdr:colOff>0</xdr:colOff>
      <xdr:row>241</xdr:row>
      <xdr:rowOff>66675</xdr:rowOff>
    </xdr:from>
    <xdr:ext cx="157842" cy="157842"/>
    <xdr:pic macro="[0]!RemoveSharableCommitment">
      <xdr:nvPicPr>
        <xdr:cNvPr id="1443" name="btnDelSharableCommitment18" hidden="1">
          <a:extLst>
            <a:ext uri="{FF2B5EF4-FFF2-40B4-BE49-F238E27FC236}">
              <a16:creationId xmlns:a16="http://schemas.microsoft.com/office/drawing/2014/main" id="{BE871066-C4F4-4A57-81E1-728B20FB573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3553300"/>
          <a:ext cx="157842" cy="157842"/>
        </a:xfrm>
        <a:prstGeom prst="rect">
          <a:avLst/>
        </a:prstGeom>
      </xdr:spPr>
    </xdr:pic>
    <xdr:clientData fPrintsWithSheet="0"/>
  </xdr:oneCellAnchor>
  <xdr:oneCellAnchor>
    <xdr:from>
      <xdr:col>1</xdr:col>
      <xdr:colOff>0</xdr:colOff>
      <xdr:row>247</xdr:row>
      <xdr:rowOff>66675</xdr:rowOff>
    </xdr:from>
    <xdr:ext cx="157842" cy="157842"/>
    <xdr:pic macro="[0]!RemoveSharableCommitment">
      <xdr:nvPicPr>
        <xdr:cNvPr id="1444" name="btnDelSharableCommitment19" hidden="1">
          <a:extLst>
            <a:ext uri="{FF2B5EF4-FFF2-40B4-BE49-F238E27FC236}">
              <a16:creationId xmlns:a16="http://schemas.microsoft.com/office/drawing/2014/main" id="{933179B8-087A-44A8-A101-97344529C90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5267800"/>
          <a:ext cx="157842" cy="157842"/>
        </a:xfrm>
        <a:prstGeom prst="rect">
          <a:avLst/>
        </a:prstGeom>
      </xdr:spPr>
    </xdr:pic>
    <xdr:clientData fPrintsWithSheet="0"/>
  </xdr:oneCellAnchor>
  <xdr:oneCellAnchor>
    <xdr:from>
      <xdr:col>1</xdr:col>
      <xdr:colOff>0</xdr:colOff>
      <xdr:row>253</xdr:row>
      <xdr:rowOff>66675</xdr:rowOff>
    </xdr:from>
    <xdr:ext cx="157842" cy="157842"/>
    <xdr:pic macro="[0]!RemoveSharableCommitment">
      <xdr:nvPicPr>
        <xdr:cNvPr id="1445" name="btnDelSharableCommitment20" hidden="1">
          <a:extLst>
            <a:ext uri="{FF2B5EF4-FFF2-40B4-BE49-F238E27FC236}">
              <a16:creationId xmlns:a16="http://schemas.microsoft.com/office/drawing/2014/main" id="{208136C2-6649-400C-8573-9A22875221B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6982300"/>
          <a:ext cx="157842" cy="157842"/>
        </a:xfrm>
        <a:prstGeom prst="rect">
          <a:avLst/>
        </a:prstGeom>
      </xdr:spPr>
    </xdr:pic>
    <xdr:clientData fPrintsWithSheet="0"/>
  </xdr:oneCellAnchor>
  <xdr:oneCellAnchor>
    <xdr:from>
      <xdr:col>1</xdr:col>
      <xdr:colOff>0</xdr:colOff>
      <xdr:row>263</xdr:row>
      <xdr:rowOff>66675</xdr:rowOff>
    </xdr:from>
    <xdr:ext cx="157842" cy="157842"/>
    <xdr:pic macro="[0]!RemoveNonSharableCommitment">
      <xdr:nvPicPr>
        <xdr:cNvPr id="1446" name="btnDelNonSharableCommitment1">
          <a:extLst>
            <a:ext uri="{FF2B5EF4-FFF2-40B4-BE49-F238E27FC236}">
              <a16:creationId xmlns:a16="http://schemas.microsoft.com/office/drawing/2014/main" id="{123795BD-2443-4AD4-8494-EDEC225AB70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264</xdr:row>
      <xdr:rowOff>66675</xdr:rowOff>
    </xdr:from>
    <xdr:ext cx="157842" cy="157842"/>
    <xdr:pic macro="[0]!RemoveNonSharableCommitment">
      <xdr:nvPicPr>
        <xdr:cNvPr id="1464" name="btnDelNonSharableCommitment2" hidden="1">
          <a:extLst>
            <a:ext uri="{FF2B5EF4-FFF2-40B4-BE49-F238E27FC236}">
              <a16:creationId xmlns:a16="http://schemas.microsoft.com/office/drawing/2014/main" id="{B1FA13C0-9FC8-47C8-9C91-B764C01FE5B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265</xdr:row>
      <xdr:rowOff>66675</xdr:rowOff>
    </xdr:from>
    <xdr:ext cx="157842" cy="157842"/>
    <xdr:pic macro="[0]!RemoveNonSharableCommitment">
      <xdr:nvPicPr>
        <xdr:cNvPr id="1465" name="btnDelNonSharableCommitment3" hidden="1">
          <a:extLst>
            <a:ext uri="{FF2B5EF4-FFF2-40B4-BE49-F238E27FC236}">
              <a16:creationId xmlns:a16="http://schemas.microsoft.com/office/drawing/2014/main" id="{6D66FE9C-22B0-478D-961E-75052474DE5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266</xdr:row>
      <xdr:rowOff>66675</xdr:rowOff>
    </xdr:from>
    <xdr:ext cx="157842" cy="157842"/>
    <xdr:pic macro="[0]!RemoveNonSharableCommitment">
      <xdr:nvPicPr>
        <xdr:cNvPr id="1466" name="btnDelNonSharableCommitment4" hidden="1">
          <a:extLst>
            <a:ext uri="{FF2B5EF4-FFF2-40B4-BE49-F238E27FC236}">
              <a16:creationId xmlns:a16="http://schemas.microsoft.com/office/drawing/2014/main" id="{4E9E28A1-74B7-48C6-B63B-35F5E46372D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267</xdr:row>
      <xdr:rowOff>66675</xdr:rowOff>
    </xdr:from>
    <xdr:ext cx="157842" cy="157842"/>
    <xdr:pic macro="[0]!RemoveNonSharableCommitment">
      <xdr:nvPicPr>
        <xdr:cNvPr id="1467" name="btnDelNonSharableCommitment5" hidden="1">
          <a:extLst>
            <a:ext uri="{FF2B5EF4-FFF2-40B4-BE49-F238E27FC236}">
              <a16:creationId xmlns:a16="http://schemas.microsoft.com/office/drawing/2014/main" id="{A64659A9-2286-441E-BEA0-A8DB5427345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268</xdr:row>
      <xdr:rowOff>66675</xdr:rowOff>
    </xdr:from>
    <xdr:ext cx="157842" cy="157842"/>
    <xdr:pic macro="[0]!RemoveNonSharableCommitment">
      <xdr:nvPicPr>
        <xdr:cNvPr id="1468" name="btnDelNonSharableCommitment6" hidden="1">
          <a:extLst>
            <a:ext uri="{FF2B5EF4-FFF2-40B4-BE49-F238E27FC236}">
              <a16:creationId xmlns:a16="http://schemas.microsoft.com/office/drawing/2014/main" id="{E22C4678-7308-401E-83AC-393656DB36C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269</xdr:row>
      <xdr:rowOff>66675</xdr:rowOff>
    </xdr:from>
    <xdr:ext cx="157842" cy="157842"/>
    <xdr:pic macro="[0]!RemoveNonSharableCommitment">
      <xdr:nvPicPr>
        <xdr:cNvPr id="1469" name="btnDelNonSharableCommitment7" hidden="1">
          <a:extLst>
            <a:ext uri="{FF2B5EF4-FFF2-40B4-BE49-F238E27FC236}">
              <a16:creationId xmlns:a16="http://schemas.microsoft.com/office/drawing/2014/main" id="{D4C56035-DB05-410B-AD09-9DA1AF73D77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270</xdr:row>
      <xdr:rowOff>66675</xdr:rowOff>
    </xdr:from>
    <xdr:ext cx="157842" cy="157842"/>
    <xdr:pic macro="[0]!RemoveNonSharableCommitment">
      <xdr:nvPicPr>
        <xdr:cNvPr id="1470" name="btnDelNonSharableCommitment8" hidden="1">
          <a:extLst>
            <a:ext uri="{FF2B5EF4-FFF2-40B4-BE49-F238E27FC236}">
              <a16:creationId xmlns:a16="http://schemas.microsoft.com/office/drawing/2014/main" id="{3684713B-B6F8-4448-801E-EEA1215E6DF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271</xdr:row>
      <xdr:rowOff>66675</xdr:rowOff>
    </xdr:from>
    <xdr:ext cx="157842" cy="157842"/>
    <xdr:pic macro="[0]!RemoveNonSharableCommitment">
      <xdr:nvPicPr>
        <xdr:cNvPr id="1471" name="btnDelNonSharableCommitment9" hidden="1">
          <a:extLst>
            <a:ext uri="{FF2B5EF4-FFF2-40B4-BE49-F238E27FC236}">
              <a16:creationId xmlns:a16="http://schemas.microsoft.com/office/drawing/2014/main" id="{DFB5BC8C-AD63-47BB-8C50-E76B62B2658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272</xdr:row>
      <xdr:rowOff>66675</xdr:rowOff>
    </xdr:from>
    <xdr:ext cx="157842" cy="157842"/>
    <xdr:pic macro="[0]!RemoveNonSharableCommitment">
      <xdr:nvPicPr>
        <xdr:cNvPr id="1472" name="btnDelNonSharableCommitment10" hidden="1">
          <a:extLst>
            <a:ext uri="{FF2B5EF4-FFF2-40B4-BE49-F238E27FC236}">
              <a16:creationId xmlns:a16="http://schemas.microsoft.com/office/drawing/2014/main" id="{6F8950D1-943B-4CEE-91E2-455D35EAEF8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273</xdr:row>
      <xdr:rowOff>66675</xdr:rowOff>
    </xdr:from>
    <xdr:ext cx="157842" cy="157842"/>
    <xdr:pic macro="[0]!RemoveNonSharableCommitment">
      <xdr:nvPicPr>
        <xdr:cNvPr id="1473" name="btnDelNonSharableCommitment11" hidden="1">
          <a:extLst>
            <a:ext uri="{FF2B5EF4-FFF2-40B4-BE49-F238E27FC236}">
              <a16:creationId xmlns:a16="http://schemas.microsoft.com/office/drawing/2014/main" id="{0AE14EC3-507F-44BD-A5B1-C0524FEBEC8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274</xdr:row>
      <xdr:rowOff>66675</xdr:rowOff>
    </xdr:from>
    <xdr:ext cx="157842" cy="157842"/>
    <xdr:pic macro="[0]!RemoveNonSharableCommitment">
      <xdr:nvPicPr>
        <xdr:cNvPr id="1474" name="btnDelNonSharableCommitment12" hidden="1">
          <a:extLst>
            <a:ext uri="{FF2B5EF4-FFF2-40B4-BE49-F238E27FC236}">
              <a16:creationId xmlns:a16="http://schemas.microsoft.com/office/drawing/2014/main" id="{EF73FCA9-B34C-4610-ADF8-96CC7F530EE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275</xdr:row>
      <xdr:rowOff>66675</xdr:rowOff>
    </xdr:from>
    <xdr:ext cx="157842" cy="157842"/>
    <xdr:pic macro="[0]!RemoveNonSharableCommitment">
      <xdr:nvPicPr>
        <xdr:cNvPr id="1475" name="btnDelNonSharableCommitment13" hidden="1">
          <a:extLst>
            <a:ext uri="{FF2B5EF4-FFF2-40B4-BE49-F238E27FC236}">
              <a16:creationId xmlns:a16="http://schemas.microsoft.com/office/drawing/2014/main" id="{682F3D97-40D8-4D3B-86DB-12DF2C88E57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276</xdr:row>
      <xdr:rowOff>66675</xdr:rowOff>
    </xdr:from>
    <xdr:ext cx="157842" cy="157842"/>
    <xdr:pic macro="[0]!RemoveNonSharableCommitment">
      <xdr:nvPicPr>
        <xdr:cNvPr id="1476" name="btnDelNonSharableCommitment14" hidden="1">
          <a:extLst>
            <a:ext uri="{FF2B5EF4-FFF2-40B4-BE49-F238E27FC236}">
              <a16:creationId xmlns:a16="http://schemas.microsoft.com/office/drawing/2014/main" id="{D7A82DF6-10AD-4E20-90A0-5439843EF8C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277</xdr:row>
      <xdr:rowOff>66675</xdr:rowOff>
    </xdr:from>
    <xdr:ext cx="157842" cy="157842"/>
    <xdr:pic macro="[0]!RemoveNonSharableCommitment">
      <xdr:nvPicPr>
        <xdr:cNvPr id="1477" name="btnDelNonSharableCommitment15" hidden="1">
          <a:extLst>
            <a:ext uri="{FF2B5EF4-FFF2-40B4-BE49-F238E27FC236}">
              <a16:creationId xmlns:a16="http://schemas.microsoft.com/office/drawing/2014/main" id="{DEBB3916-F2BF-4965-8225-EB5D69600C3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278</xdr:row>
      <xdr:rowOff>66675</xdr:rowOff>
    </xdr:from>
    <xdr:ext cx="157842" cy="157842"/>
    <xdr:pic macro="[0]!RemoveNonSharableCommitment">
      <xdr:nvPicPr>
        <xdr:cNvPr id="1478" name="btnDelNonSharableCommitment16" hidden="1">
          <a:extLst>
            <a:ext uri="{FF2B5EF4-FFF2-40B4-BE49-F238E27FC236}">
              <a16:creationId xmlns:a16="http://schemas.microsoft.com/office/drawing/2014/main" id="{DA0D5B64-971D-4AA9-B902-54CE61149FB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279</xdr:row>
      <xdr:rowOff>66675</xdr:rowOff>
    </xdr:from>
    <xdr:ext cx="157842" cy="157842"/>
    <xdr:pic macro="[0]!RemoveNonSharableCommitment">
      <xdr:nvPicPr>
        <xdr:cNvPr id="1479" name="btnDelNonSharableCommitment17" hidden="1">
          <a:extLst>
            <a:ext uri="{FF2B5EF4-FFF2-40B4-BE49-F238E27FC236}">
              <a16:creationId xmlns:a16="http://schemas.microsoft.com/office/drawing/2014/main" id="{0FA223E1-D7ED-43FE-A446-4AA6DBB55E8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280</xdr:row>
      <xdr:rowOff>66675</xdr:rowOff>
    </xdr:from>
    <xdr:ext cx="157842" cy="157842"/>
    <xdr:pic macro="[0]!RemoveNonSharableCommitment">
      <xdr:nvPicPr>
        <xdr:cNvPr id="1480" name="btnDelNonSharableCommitment18" hidden="1">
          <a:extLst>
            <a:ext uri="{FF2B5EF4-FFF2-40B4-BE49-F238E27FC236}">
              <a16:creationId xmlns:a16="http://schemas.microsoft.com/office/drawing/2014/main" id="{A48C550D-1D46-4BAE-9AF5-3E477CD5950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190499</xdr:colOff>
      <xdr:row>281</xdr:row>
      <xdr:rowOff>95250</xdr:rowOff>
    </xdr:from>
    <xdr:ext cx="2520000" cy="360000"/>
    <xdr:sp macro="[0]!AddNonSharableCommitment" textlink="">
      <xdr:nvSpPr>
        <xdr:cNvPr id="1481" name="btnAddNonSharableExistingCommit">
          <a:extLst>
            <a:ext uri="{FF2B5EF4-FFF2-40B4-BE49-F238E27FC236}">
              <a16:creationId xmlns:a16="http://schemas.microsoft.com/office/drawing/2014/main" id="{CD73AD13-2C43-47D7-BB5C-FC983EAF0758}"/>
            </a:ext>
          </a:extLst>
        </xdr:cNvPr>
        <xdr:cNvSpPr/>
      </xdr:nvSpPr>
      <xdr:spPr>
        <a:xfrm>
          <a:off x="380999" y="18364200"/>
          <a:ext cx="252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non-shareable commitment</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18</xdr:col>
      <xdr:colOff>168363</xdr:colOff>
      <xdr:row>89</xdr:row>
      <xdr:rowOff>66675</xdr:rowOff>
    </xdr:from>
    <xdr:ext cx="157842" cy="157842"/>
    <xdr:pic macro="[0]!DeleteCustomerDeclaredExpenses">
      <xdr:nvPicPr>
        <xdr:cNvPr id="346" name="btnDelDeclaredExpensesApp1" hidden="1">
          <a:extLst>
            <a:ext uri="{FF2B5EF4-FFF2-40B4-BE49-F238E27FC236}">
              <a16:creationId xmlns:a16="http://schemas.microsoft.com/office/drawing/2014/main" id="{3E7C3436-5882-4969-B232-0D7A859D032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13115925"/>
          <a:ext cx="157842" cy="157842"/>
        </a:xfrm>
        <a:prstGeom prst="rect">
          <a:avLst/>
        </a:prstGeom>
      </xdr:spPr>
    </xdr:pic>
    <xdr:clientData fPrintsWithSheet="0"/>
  </xdr:oneCellAnchor>
  <xdr:oneCellAnchor>
    <xdr:from>
      <xdr:col>18</xdr:col>
      <xdr:colOff>15873</xdr:colOff>
      <xdr:row>89</xdr:row>
      <xdr:rowOff>75134</xdr:rowOff>
    </xdr:from>
    <xdr:ext cx="154134" cy="154134"/>
    <xdr:pic macro="[0]!AddCustomerDeclaredExpenses">
      <xdr:nvPicPr>
        <xdr:cNvPr id="347" name="btnEditDeclaredExpensesApp1" hidden="1">
          <a:extLst>
            <a:ext uri="{FF2B5EF4-FFF2-40B4-BE49-F238E27FC236}">
              <a16:creationId xmlns:a16="http://schemas.microsoft.com/office/drawing/2014/main" id="{AC85C271-FA2A-4D0F-A4EB-A2306B6B756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14896034"/>
          <a:ext cx="154134" cy="154134"/>
        </a:xfrm>
        <a:prstGeom prst="rect">
          <a:avLst/>
        </a:prstGeom>
      </xdr:spPr>
    </xdr:pic>
    <xdr:clientData fPrintsWithSheet="0"/>
  </xdr:oneCellAnchor>
  <xdr:oneCellAnchor>
    <xdr:from>
      <xdr:col>28</xdr:col>
      <xdr:colOff>167121</xdr:colOff>
      <xdr:row>89</xdr:row>
      <xdr:rowOff>71426</xdr:rowOff>
    </xdr:from>
    <xdr:ext cx="157842" cy="157842"/>
    <xdr:pic macro="[0]!DeleteCustomerDeclaredExpenses">
      <xdr:nvPicPr>
        <xdr:cNvPr id="348" name="btnDelDeclaredExpensesApp2" hidden="1">
          <a:extLst>
            <a:ext uri="{FF2B5EF4-FFF2-40B4-BE49-F238E27FC236}">
              <a16:creationId xmlns:a16="http://schemas.microsoft.com/office/drawing/2014/main" id="{76F43C0D-EEFF-467C-BA14-EB92D14A438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13120676"/>
          <a:ext cx="157842" cy="157842"/>
        </a:xfrm>
        <a:prstGeom prst="rect">
          <a:avLst/>
        </a:prstGeom>
      </xdr:spPr>
    </xdr:pic>
    <xdr:clientData fPrintsWithSheet="0"/>
  </xdr:oneCellAnchor>
  <xdr:oneCellAnchor>
    <xdr:from>
      <xdr:col>28</xdr:col>
      <xdr:colOff>15875</xdr:colOff>
      <xdr:row>89</xdr:row>
      <xdr:rowOff>75134</xdr:rowOff>
    </xdr:from>
    <xdr:ext cx="154134" cy="154134"/>
    <xdr:pic macro="[0]!AddCustomerDeclaredExpenses">
      <xdr:nvPicPr>
        <xdr:cNvPr id="349" name="btnEditDeclaredExpensesApp2" hidden="1">
          <a:extLst>
            <a:ext uri="{FF2B5EF4-FFF2-40B4-BE49-F238E27FC236}">
              <a16:creationId xmlns:a16="http://schemas.microsoft.com/office/drawing/2014/main" id="{91090DA5-9836-43B0-B9EB-EAB544F6942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4896034"/>
          <a:ext cx="154134" cy="154134"/>
        </a:xfrm>
        <a:prstGeom prst="rect">
          <a:avLst/>
        </a:prstGeom>
      </xdr:spPr>
    </xdr:pic>
    <xdr:clientData fPrintsWithSheet="0"/>
  </xdr:oneCellAnchor>
  <xdr:oneCellAnchor>
    <xdr:from>
      <xdr:col>38</xdr:col>
      <xdr:colOff>167121</xdr:colOff>
      <xdr:row>89</xdr:row>
      <xdr:rowOff>71426</xdr:rowOff>
    </xdr:from>
    <xdr:ext cx="157842" cy="157842"/>
    <xdr:pic macro="[0]!DeleteCustomerDeclaredExpenses">
      <xdr:nvPicPr>
        <xdr:cNvPr id="350" name="btnDelDeclaredExpensesApp3" hidden="1">
          <a:extLst>
            <a:ext uri="{FF2B5EF4-FFF2-40B4-BE49-F238E27FC236}">
              <a16:creationId xmlns:a16="http://schemas.microsoft.com/office/drawing/2014/main" id="{E74BA19C-6D49-41F4-93D2-0EBAEE9284B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13120676"/>
          <a:ext cx="157842" cy="157842"/>
        </a:xfrm>
        <a:prstGeom prst="rect">
          <a:avLst/>
        </a:prstGeom>
      </xdr:spPr>
    </xdr:pic>
    <xdr:clientData fPrintsWithSheet="0"/>
  </xdr:oneCellAnchor>
  <xdr:oneCellAnchor>
    <xdr:from>
      <xdr:col>38</xdr:col>
      <xdr:colOff>15875</xdr:colOff>
      <xdr:row>89</xdr:row>
      <xdr:rowOff>75134</xdr:rowOff>
    </xdr:from>
    <xdr:ext cx="154134" cy="154134"/>
    <xdr:pic macro="[0]!AddCustomerDeclaredExpenses">
      <xdr:nvPicPr>
        <xdr:cNvPr id="351" name="btnEditDeclaredExpensesApp3" hidden="1">
          <a:extLst>
            <a:ext uri="{FF2B5EF4-FFF2-40B4-BE49-F238E27FC236}">
              <a16:creationId xmlns:a16="http://schemas.microsoft.com/office/drawing/2014/main" id="{F89F0E61-AF09-49B9-9A8F-6F15392AC73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4896034"/>
          <a:ext cx="154134" cy="154134"/>
        </a:xfrm>
        <a:prstGeom prst="rect">
          <a:avLst/>
        </a:prstGeom>
      </xdr:spPr>
    </xdr:pic>
    <xdr:clientData fPrintsWithSheet="0"/>
  </xdr:oneCellAnchor>
  <xdr:oneCellAnchor>
    <xdr:from>
      <xdr:col>48</xdr:col>
      <xdr:colOff>167121</xdr:colOff>
      <xdr:row>89</xdr:row>
      <xdr:rowOff>71426</xdr:rowOff>
    </xdr:from>
    <xdr:ext cx="157842" cy="157842"/>
    <xdr:pic macro="[0]!DeleteCustomerDeclaredExpenses">
      <xdr:nvPicPr>
        <xdr:cNvPr id="352" name="btnDelDeclaredExpensesApp4" hidden="1">
          <a:extLst>
            <a:ext uri="{FF2B5EF4-FFF2-40B4-BE49-F238E27FC236}">
              <a16:creationId xmlns:a16="http://schemas.microsoft.com/office/drawing/2014/main" id="{2EFD369F-8974-4A11-88EE-9B46A78FC45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13120676"/>
          <a:ext cx="157842" cy="157842"/>
        </a:xfrm>
        <a:prstGeom prst="rect">
          <a:avLst/>
        </a:prstGeom>
      </xdr:spPr>
    </xdr:pic>
    <xdr:clientData fPrintsWithSheet="0"/>
  </xdr:oneCellAnchor>
  <xdr:oneCellAnchor>
    <xdr:from>
      <xdr:col>48</xdr:col>
      <xdr:colOff>15875</xdr:colOff>
      <xdr:row>89</xdr:row>
      <xdr:rowOff>75134</xdr:rowOff>
    </xdr:from>
    <xdr:ext cx="154134" cy="154134"/>
    <xdr:pic macro="[0]!AddCustomerDeclaredExpenses">
      <xdr:nvPicPr>
        <xdr:cNvPr id="353" name="btnEditDeclaredExpensesApp4" hidden="1">
          <a:extLst>
            <a:ext uri="{FF2B5EF4-FFF2-40B4-BE49-F238E27FC236}">
              <a16:creationId xmlns:a16="http://schemas.microsoft.com/office/drawing/2014/main" id="{255E6B23-F81C-4FEA-A380-E66D5C890CA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4896034"/>
          <a:ext cx="154134" cy="154134"/>
        </a:xfrm>
        <a:prstGeom prst="rect">
          <a:avLst/>
        </a:prstGeom>
      </xdr:spPr>
    </xdr:pic>
    <xdr:clientData fPrintsWithSheet="0"/>
  </xdr:oneCellAnchor>
  <xdr:oneCellAnchor>
    <xdr:from>
      <xdr:col>58</xdr:col>
      <xdr:colOff>167121</xdr:colOff>
      <xdr:row>89</xdr:row>
      <xdr:rowOff>71426</xdr:rowOff>
    </xdr:from>
    <xdr:ext cx="157842" cy="157842"/>
    <xdr:pic macro="[0]!DeleteCustomerDeclaredExpenses">
      <xdr:nvPicPr>
        <xdr:cNvPr id="354" name="btnDelDeclaredExpensesApp5" hidden="1">
          <a:extLst>
            <a:ext uri="{FF2B5EF4-FFF2-40B4-BE49-F238E27FC236}">
              <a16:creationId xmlns:a16="http://schemas.microsoft.com/office/drawing/2014/main" id="{A1646817-D6F7-4A4E-BA6B-6C996630F53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13120676"/>
          <a:ext cx="157842" cy="157842"/>
        </a:xfrm>
        <a:prstGeom prst="rect">
          <a:avLst/>
        </a:prstGeom>
      </xdr:spPr>
    </xdr:pic>
    <xdr:clientData fPrintsWithSheet="0"/>
  </xdr:oneCellAnchor>
  <xdr:oneCellAnchor>
    <xdr:from>
      <xdr:col>58</xdr:col>
      <xdr:colOff>15875</xdr:colOff>
      <xdr:row>89</xdr:row>
      <xdr:rowOff>75134</xdr:rowOff>
    </xdr:from>
    <xdr:ext cx="154134" cy="154134"/>
    <xdr:pic macro="[0]!AddCustomerDeclaredExpenses">
      <xdr:nvPicPr>
        <xdr:cNvPr id="355" name="btnEditDeclaredExpensesApp5" hidden="1">
          <a:extLst>
            <a:ext uri="{FF2B5EF4-FFF2-40B4-BE49-F238E27FC236}">
              <a16:creationId xmlns:a16="http://schemas.microsoft.com/office/drawing/2014/main" id="{B39BFD89-9C67-421F-820E-E496297E787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4896034"/>
          <a:ext cx="154134" cy="154134"/>
        </a:xfrm>
        <a:prstGeom prst="rect">
          <a:avLst/>
        </a:prstGeom>
      </xdr:spPr>
    </xdr:pic>
    <xdr:clientData fPrintsWithSheet="0"/>
  </xdr:oneCellAnchor>
  <xdr:oneCellAnchor>
    <xdr:from>
      <xdr:col>68</xdr:col>
      <xdr:colOff>167121</xdr:colOff>
      <xdr:row>89</xdr:row>
      <xdr:rowOff>71426</xdr:rowOff>
    </xdr:from>
    <xdr:ext cx="157842" cy="157842"/>
    <xdr:pic macro="[0]!DeleteCustomerDeclaredExpenses">
      <xdr:nvPicPr>
        <xdr:cNvPr id="356" name="btnDelDeclaredExpensesApp6" hidden="1">
          <a:extLst>
            <a:ext uri="{FF2B5EF4-FFF2-40B4-BE49-F238E27FC236}">
              <a16:creationId xmlns:a16="http://schemas.microsoft.com/office/drawing/2014/main" id="{73E5921B-BBF0-441F-BA3D-A726A2E13A1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13120676"/>
          <a:ext cx="157842" cy="157842"/>
        </a:xfrm>
        <a:prstGeom prst="rect">
          <a:avLst/>
        </a:prstGeom>
      </xdr:spPr>
    </xdr:pic>
    <xdr:clientData fPrintsWithSheet="0"/>
  </xdr:oneCellAnchor>
  <xdr:oneCellAnchor>
    <xdr:from>
      <xdr:col>68</xdr:col>
      <xdr:colOff>15875</xdr:colOff>
      <xdr:row>89</xdr:row>
      <xdr:rowOff>75134</xdr:rowOff>
    </xdr:from>
    <xdr:ext cx="154134" cy="154134"/>
    <xdr:pic macro="[0]!AddCustomerDeclaredExpenses">
      <xdr:nvPicPr>
        <xdr:cNvPr id="357" name="btnEditDeclaredExpensesApp6" hidden="1">
          <a:extLst>
            <a:ext uri="{FF2B5EF4-FFF2-40B4-BE49-F238E27FC236}">
              <a16:creationId xmlns:a16="http://schemas.microsoft.com/office/drawing/2014/main" id="{2867416B-EC59-4EF9-960D-A0970934AA0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4896034"/>
          <a:ext cx="154134" cy="154134"/>
        </a:xfrm>
        <a:prstGeom prst="rect">
          <a:avLst/>
        </a:prstGeom>
      </xdr:spPr>
    </xdr:pic>
    <xdr:clientData fPrintsWithSheet="0"/>
  </xdr:oneCellAnchor>
  <xdr:oneCellAnchor>
    <xdr:from>
      <xdr:col>61</xdr:col>
      <xdr:colOff>127725</xdr:colOff>
      <xdr:row>12</xdr:row>
      <xdr:rowOff>9525</xdr:rowOff>
    </xdr:from>
    <xdr:ext cx="2160000" cy="360000"/>
    <xdr:sp macro="[0]!ShowServiceabilityWindow" textlink="">
      <xdr:nvSpPr>
        <xdr:cNvPr id="214" name="btnShowServiceabilityWindow">
          <a:extLst>
            <a:ext uri="{FF2B5EF4-FFF2-40B4-BE49-F238E27FC236}">
              <a16:creationId xmlns:a16="http://schemas.microsoft.com/office/drawing/2014/main" id="{2AD6B4DF-3541-4385-B421-59BB196470D3}"/>
            </a:ext>
          </a:extLst>
        </xdr:cNvPr>
        <xdr:cNvSpPr/>
      </xdr:nvSpPr>
      <xdr:spPr>
        <a:xfrm>
          <a:off x="11748225" y="2247900"/>
          <a:ext cx="216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Show</a:t>
          </a:r>
          <a:r>
            <a:rPr lang="en-US" sz="1200" b="0" baseline="0">
              <a:solidFill>
                <a:schemeClr val="tx1"/>
              </a:solidFill>
              <a:latin typeface="Arial" panose="020B0604020202020204" pitchFamily="34" charset="0"/>
              <a:cs typeface="Arial" panose="020B0604020202020204" pitchFamily="34" charset="0"/>
            </a:rPr>
            <a:t> serviceability window</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28</xdr:col>
      <xdr:colOff>167121</xdr:colOff>
      <xdr:row>51</xdr:row>
      <xdr:rowOff>73874</xdr:rowOff>
    </xdr:from>
    <xdr:ext cx="157842" cy="157842"/>
    <xdr:pic macro="[0]!DeleteEmployerIncome">
      <xdr:nvPicPr>
        <xdr:cNvPr id="205" name="btnDelEMPSpouseIncomeApp2Job1" hidden="1">
          <a:extLst>
            <a:ext uri="{FF2B5EF4-FFF2-40B4-BE49-F238E27FC236}">
              <a16:creationId xmlns:a16="http://schemas.microsoft.com/office/drawing/2014/main" id="{1B3EB0B1-90FA-4984-BCE5-D2E8A99F292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484199"/>
          <a:ext cx="157842" cy="157842"/>
        </a:xfrm>
        <a:prstGeom prst="rect">
          <a:avLst/>
        </a:prstGeom>
      </xdr:spPr>
    </xdr:pic>
    <xdr:clientData fPrintsWithSheet="0"/>
  </xdr:oneCellAnchor>
  <xdr:oneCellAnchor>
    <xdr:from>
      <xdr:col>28</xdr:col>
      <xdr:colOff>15875</xdr:colOff>
      <xdr:row>51</xdr:row>
      <xdr:rowOff>77582</xdr:rowOff>
    </xdr:from>
    <xdr:ext cx="154134" cy="154134"/>
    <xdr:pic macro="[0]!AddEditEmployerIncome">
      <xdr:nvPicPr>
        <xdr:cNvPr id="212" name="btnEditEMPSpouseIncomeApp2Job1" hidden="1">
          <a:extLst>
            <a:ext uri="{FF2B5EF4-FFF2-40B4-BE49-F238E27FC236}">
              <a16:creationId xmlns:a16="http://schemas.microsoft.com/office/drawing/2014/main" id="{42A352B1-9A3A-41E4-9230-012064A3677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0383632"/>
          <a:ext cx="154134" cy="154134"/>
        </a:xfrm>
        <a:prstGeom prst="rect">
          <a:avLst/>
        </a:prstGeom>
      </xdr:spPr>
    </xdr:pic>
    <xdr:clientData fPrintsWithSheet="0"/>
  </xdr:oneCellAnchor>
  <xdr:oneCellAnchor>
    <xdr:from>
      <xdr:col>28</xdr:col>
      <xdr:colOff>167121</xdr:colOff>
      <xdr:row>52</xdr:row>
      <xdr:rowOff>76255</xdr:rowOff>
    </xdr:from>
    <xdr:ext cx="157842" cy="157842"/>
    <xdr:pic macro="[0]!DeleteEmployerIncome">
      <xdr:nvPicPr>
        <xdr:cNvPr id="213" name="btnDelEMPSpouseIncomeApp2Job2" hidden="1">
          <a:extLst>
            <a:ext uri="{FF2B5EF4-FFF2-40B4-BE49-F238E27FC236}">
              <a16:creationId xmlns:a16="http://schemas.microsoft.com/office/drawing/2014/main" id="{0A8B7F45-C14A-4107-99DD-DF22BC0D521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762805"/>
          <a:ext cx="157842" cy="157842"/>
        </a:xfrm>
        <a:prstGeom prst="rect">
          <a:avLst/>
        </a:prstGeom>
      </xdr:spPr>
    </xdr:pic>
    <xdr:clientData fPrintsWithSheet="0"/>
  </xdr:oneCellAnchor>
  <xdr:oneCellAnchor>
    <xdr:from>
      <xdr:col>28</xdr:col>
      <xdr:colOff>15875</xdr:colOff>
      <xdr:row>52</xdr:row>
      <xdr:rowOff>79963</xdr:rowOff>
    </xdr:from>
    <xdr:ext cx="154134" cy="154134"/>
    <xdr:pic macro="[0]!AddEditEmployerIncome">
      <xdr:nvPicPr>
        <xdr:cNvPr id="215" name="btnEditEMPSpouseIncomeApp2Job2" hidden="1">
          <a:extLst>
            <a:ext uri="{FF2B5EF4-FFF2-40B4-BE49-F238E27FC236}">
              <a16:creationId xmlns:a16="http://schemas.microsoft.com/office/drawing/2014/main" id="{9E8ED370-DC65-432D-9A96-D4CD4A4545A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0662238"/>
          <a:ext cx="154134" cy="154134"/>
        </a:xfrm>
        <a:prstGeom prst="rect">
          <a:avLst/>
        </a:prstGeom>
      </xdr:spPr>
    </xdr:pic>
    <xdr:clientData fPrintsWithSheet="0"/>
  </xdr:oneCellAnchor>
  <xdr:oneCellAnchor>
    <xdr:from>
      <xdr:col>28</xdr:col>
      <xdr:colOff>167121</xdr:colOff>
      <xdr:row>53</xdr:row>
      <xdr:rowOff>78636</xdr:rowOff>
    </xdr:from>
    <xdr:ext cx="157842" cy="157842"/>
    <xdr:pic macro="[0]!DeleteEmployerIncome">
      <xdr:nvPicPr>
        <xdr:cNvPr id="224" name="btnDelEMPSpouseIncomeApp2Job3" hidden="1">
          <a:extLst>
            <a:ext uri="{FF2B5EF4-FFF2-40B4-BE49-F238E27FC236}">
              <a16:creationId xmlns:a16="http://schemas.microsoft.com/office/drawing/2014/main" id="{FDF492F1-B217-4535-96CC-65FF5224941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050936"/>
          <a:ext cx="157842" cy="157842"/>
        </a:xfrm>
        <a:prstGeom prst="rect">
          <a:avLst/>
        </a:prstGeom>
      </xdr:spPr>
    </xdr:pic>
    <xdr:clientData fPrintsWithSheet="0"/>
  </xdr:oneCellAnchor>
  <xdr:oneCellAnchor>
    <xdr:from>
      <xdr:col>28</xdr:col>
      <xdr:colOff>15875</xdr:colOff>
      <xdr:row>53</xdr:row>
      <xdr:rowOff>82344</xdr:rowOff>
    </xdr:from>
    <xdr:ext cx="154134" cy="154134"/>
    <xdr:pic macro="[0]!AddEditEmployerIncome">
      <xdr:nvPicPr>
        <xdr:cNvPr id="225" name="btnEditEMPSpouseIncomeApp2Job3" hidden="1">
          <a:extLst>
            <a:ext uri="{FF2B5EF4-FFF2-40B4-BE49-F238E27FC236}">
              <a16:creationId xmlns:a16="http://schemas.microsoft.com/office/drawing/2014/main" id="{9C021599-320A-462A-AD9E-F774F6B1228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0950369"/>
          <a:ext cx="154134" cy="154134"/>
        </a:xfrm>
        <a:prstGeom prst="rect">
          <a:avLst/>
        </a:prstGeom>
      </xdr:spPr>
    </xdr:pic>
    <xdr:clientData fPrintsWithSheet="0"/>
  </xdr:oneCellAnchor>
  <xdr:oneCellAnchor>
    <xdr:from>
      <xdr:col>28</xdr:col>
      <xdr:colOff>167121</xdr:colOff>
      <xdr:row>54</xdr:row>
      <xdr:rowOff>64349</xdr:rowOff>
    </xdr:from>
    <xdr:ext cx="157842" cy="157842"/>
    <xdr:pic macro="[0]!DeleteEmployerIncome">
      <xdr:nvPicPr>
        <xdr:cNvPr id="226" name="btnDelEMPSpouseIncomeApp2Job4" hidden="1">
          <a:extLst>
            <a:ext uri="{FF2B5EF4-FFF2-40B4-BE49-F238E27FC236}">
              <a16:creationId xmlns:a16="http://schemas.microsoft.com/office/drawing/2014/main" id="{B5D76A69-55A1-4362-BAB6-420242E8F41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322399"/>
          <a:ext cx="157842" cy="157842"/>
        </a:xfrm>
        <a:prstGeom prst="rect">
          <a:avLst/>
        </a:prstGeom>
      </xdr:spPr>
    </xdr:pic>
    <xdr:clientData fPrintsWithSheet="0"/>
  </xdr:oneCellAnchor>
  <xdr:oneCellAnchor>
    <xdr:from>
      <xdr:col>28</xdr:col>
      <xdr:colOff>15875</xdr:colOff>
      <xdr:row>54</xdr:row>
      <xdr:rowOff>68057</xdr:rowOff>
    </xdr:from>
    <xdr:ext cx="154134" cy="154134"/>
    <xdr:pic macro="[0]!AddEditEmployerIncome">
      <xdr:nvPicPr>
        <xdr:cNvPr id="227" name="btnEditEMPSpouseIncomeApp2Job4" hidden="1">
          <a:extLst>
            <a:ext uri="{FF2B5EF4-FFF2-40B4-BE49-F238E27FC236}">
              <a16:creationId xmlns:a16="http://schemas.microsoft.com/office/drawing/2014/main" id="{9CD3E378-56F8-4A68-B5C8-F56CE4F21B0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1221832"/>
          <a:ext cx="154134" cy="154134"/>
        </a:xfrm>
        <a:prstGeom prst="rect">
          <a:avLst/>
        </a:prstGeom>
      </xdr:spPr>
    </xdr:pic>
    <xdr:clientData fPrintsWithSheet="0"/>
  </xdr:oneCellAnchor>
  <xdr:oneCellAnchor>
    <xdr:from>
      <xdr:col>28</xdr:col>
      <xdr:colOff>167121</xdr:colOff>
      <xdr:row>55</xdr:row>
      <xdr:rowOff>66730</xdr:rowOff>
    </xdr:from>
    <xdr:ext cx="157842" cy="157842"/>
    <xdr:pic macro="[0]!DeleteEmployerIncome">
      <xdr:nvPicPr>
        <xdr:cNvPr id="234" name="btnDelEMPSpouseIncomeApp2Job5" hidden="1">
          <a:extLst>
            <a:ext uri="{FF2B5EF4-FFF2-40B4-BE49-F238E27FC236}">
              <a16:creationId xmlns:a16="http://schemas.microsoft.com/office/drawing/2014/main" id="{0933CFD4-DF73-4E90-B8E4-39666B6516E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610530"/>
          <a:ext cx="157842" cy="157842"/>
        </a:xfrm>
        <a:prstGeom prst="rect">
          <a:avLst/>
        </a:prstGeom>
      </xdr:spPr>
    </xdr:pic>
    <xdr:clientData fPrintsWithSheet="0"/>
  </xdr:oneCellAnchor>
  <xdr:oneCellAnchor>
    <xdr:from>
      <xdr:col>28</xdr:col>
      <xdr:colOff>15875</xdr:colOff>
      <xdr:row>55</xdr:row>
      <xdr:rowOff>70438</xdr:rowOff>
    </xdr:from>
    <xdr:ext cx="154134" cy="154134"/>
    <xdr:pic macro="[0]!AddEditEmployerIncome">
      <xdr:nvPicPr>
        <xdr:cNvPr id="235" name="btnEditEMPSpouseIncomeApp2Job5" hidden="1">
          <a:extLst>
            <a:ext uri="{FF2B5EF4-FFF2-40B4-BE49-F238E27FC236}">
              <a16:creationId xmlns:a16="http://schemas.microsoft.com/office/drawing/2014/main" id="{5D708578-D5F3-4B89-A807-D9CA56C79F7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1509963"/>
          <a:ext cx="154134" cy="154134"/>
        </a:xfrm>
        <a:prstGeom prst="rect">
          <a:avLst/>
        </a:prstGeom>
      </xdr:spPr>
    </xdr:pic>
    <xdr:clientData fPrintsWithSheet="0"/>
  </xdr:oneCellAnchor>
  <xdr:oneCellAnchor>
    <xdr:from>
      <xdr:col>38</xdr:col>
      <xdr:colOff>167121</xdr:colOff>
      <xdr:row>51</xdr:row>
      <xdr:rowOff>73874</xdr:rowOff>
    </xdr:from>
    <xdr:ext cx="157842" cy="157842"/>
    <xdr:pic macro="[0]!DeleteEmployerIncome">
      <xdr:nvPicPr>
        <xdr:cNvPr id="236" name="btnDelEMPSpouseIncomeApp3Job1" hidden="1">
          <a:extLst>
            <a:ext uri="{FF2B5EF4-FFF2-40B4-BE49-F238E27FC236}">
              <a16:creationId xmlns:a16="http://schemas.microsoft.com/office/drawing/2014/main" id="{688B2FBE-A36D-4969-9AF5-836E683FC9F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484199"/>
          <a:ext cx="157842" cy="157842"/>
        </a:xfrm>
        <a:prstGeom prst="rect">
          <a:avLst/>
        </a:prstGeom>
      </xdr:spPr>
    </xdr:pic>
    <xdr:clientData fPrintsWithSheet="0"/>
  </xdr:oneCellAnchor>
  <xdr:oneCellAnchor>
    <xdr:from>
      <xdr:col>38</xdr:col>
      <xdr:colOff>15875</xdr:colOff>
      <xdr:row>51</xdr:row>
      <xdr:rowOff>77582</xdr:rowOff>
    </xdr:from>
    <xdr:ext cx="154134" cy="154134"/>
    <xdr:pic macro="[0]!AddEditEmployerIncome">
      <xdr:nvPicPr>
        <xdr:cNvPr id="237" name="btnEditEMPSpouseIncomeApp3Job1" hidden="1">
          <a:extLst>
            <a:ext uri="{FF2B5EF4-FFF2-40B4-BE49-F238E27FC236}">
              <a16:creationId xmlns:a16="http://schemas.microsoft.com/office/drawing/2014/main" id="{9CE03919-504E-459B-B416-C831DE44E2D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0383632"/>
          <a:ext cx="154134" cy="154134"/>
        </a:xfrm>
        <a:prstGeom prst="rect">
          <a:avLst/>
        </a:prstGeom>
      </xdr:spPr>
    </xdr:pic>
    <xdr:clientData fPrintsWithSheet="0"/>
  </xdr:oneCellAnchor>
  <xdr:oneCellAnchor>
    <xdr:from>
      <xdr:col>38</xdr:col>
      <xdr:colOff>167121</xdr:colOff>
      <xdr:row>52</xdr:row>
      <xdr:rowOff>76255</xdr:rowOff>
    </xdr:from>
    <xdr:ext cx="157842" cy="157842"/>
    <xdr:pic macro="[0]!DeleteEmployerIncome">
      <xdr:nvPicPr>
        <xdr:cNvPr id="246" name="btnDelEMPSpouseIncomeApp3Job2" hidden="1">
          <a:extLst>
            <a:ext uri="{FF2B5EF4-FFF2-40B4-BE49-F238E27FC236}">
              <a16:creationId xmlns:a16="http://schemas.microsoft.com/office/drawing/2014/main" id="{93C57F22-06AF-4F73-BEAB-74FA3C892AF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762805"/>
          <a:ext cx="157842" cy="157842"/>
        </a:xfrm>
        <a:prstGeom prst="rect">
          <a:avLst/>
        </a:prstGeom>
      </xdr:spPr>
    </xdr:pic>
    <xdr:clientData fPrintsWithSheet="0"/>
  </xdr:oneCellAnchor>
  <xdr:oneCellAnchor>
    <xdr:from>
      <xdr:col>38</xdr:col>
      <xdr:colOff>15875</xdr:colOff>
      <xdr:row>52</xdr:row>
      <xdr:rowOff>79963</xdr:rowOff>
    </xdr:from>
    <xdr:ext cx="154134" cy="154134"/>
    <xdr:pic macro="[0]!AddEditEmployerIncome">
      <xdr:nvPicPr>
        <xdr:cNvPr id="247" name="btnEditEMPSpouseIncomeApp3Job2" hidden="1">
          <a:extLst>
            <a:ext uri="{FF2B5EF4-FFF2-40B4-BE49-F238E27FC236}">
              <a16:creationId xmlns:a16="http://schemas.microsoft.com/office/drawing/2014/main" id="{3506AC0C-301A-413B-BA11-3A16C4753FD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0662238"/>
          <a:ext cx="154134" cy="154134"/>
        </a:xfrm>
        <a:prstGeom prst="rect">
          <a:avLst/>
        </a:prstGeom>
      </xdr:spPr>
    </xdr:pic>
    <xdr:clientData fPrintsWithSheet="0"/>
  </xdr:oneCellAnchor>
  <xdr:oneCellAnchor>
    <xdr:from>
      <xdr:col>38</xdr:col>
      <xdr:colOff>167121</xdr:colOff>
      <xdr:row>53</xdr:row>
      <xdr:rowOff>78636</xdr:rowOff>
    </xdr:from>
    <xdr:ext cx="157842" cy="157842"/>
    <xdr:pic macro="[0]!DeleteEmployerIncome">
      <xdr:nvPicPr>
        <xdr:cNvPr id="248" name="btnDelEMPSpouseIncomeApp3Job3" hidden="1">
          <a:extLst>
            <a:ext uri="{FF2B5EF4-FFF2-40B4-BE49-F238E27FC236}">
              <a16:creationId xmlns:a16="http://schemas.microsoft.com/office/drawing/2014/main" id="{9C93DE27-85BD-417B-9278-DED079BF299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050936"/>
          <a:ext cx="157842" cy="157842"/>
        </a:xfrm>
        <a:prstGeom prst="rect">
          <a:avLst/>
        </a:prstGeom>
      </xdr:spPr>
    </xdr:pic>
    <xdr:clientData fPrintsWithSheet="0"/>
  </xdr:oneCellAnchor>
  <xdr:oneCellAnchor>
    <xdr:from>
      <xdr:col>38</xdr:col>
      <xdr:colOff>15875</xdr:colOff>
      <xdr:row>53</xdr:row>
      <xdr:rowOff>82344</xdr:rowOff>
    </xdr:from>
    <xdr:ext cx="154134" cy="154134"/>
    <xdr:pic macro="[0]!AddEditEmployerIncome">
      <xdr:nvPicPr>
        <xdr:cNvPr id="249" name="btnEditEMPSpouseIncomeApp3Job3" hidden="1">
          <a:extLst>
            <a:ext uri="{FF2B5EF4-FFF2-40B4-BE49-F238E27FC236}">
              <a16:creationId xmlns:a16="http://schemas.microsoft.com/office/drawing/2014/main" id="{F2A948BA-82D8-4D7C-81EE-B2E1C8C40A9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0950369"/>
          <a:ext cx="154134" cy="154134"/>
        </a:xfrm>
        <a:prstGeom prst="rect">
          <a:avLst/>
        </a:prstGeom>
      </xdr:spPr>
    </xdr:pic>
    <xdr:clientData fPrintsWithSheet="0"/>
  </xdr:oneCellAnchor>
  <xdr:oneCellAnchor>
    <xdr:from>
      <xdr:col>38</xdr:col>
      <xdr:colOff>167121</xdr:colOff>
      <xdr:row>54</xdr:row>
      <xdr:rowOff>64349</xdr:rowOff>
    </xdr:from>
    <xdr:ext cx="157842" cy="157842"/>
    <xdr:pic macro="[0]!DeleteEmployerIncome">
      <xdr:nvPicPr>
        <xdr:cNvPr id="256" name="btnDelEMPSpouseIncomeApp3Job4" hidden="1">
          <a:extLst>
            <a:ext uri="{FF2B5EF4-FFF2-40B4-BE49-F238E27FC236}">
              <a16:creationId xmlns:a16="http://schemas.microsoft.com/office/drawing/2014/main" id="{57B1F92C-F68D-45BD-8A31-8E3A7F56348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322399"/>
          <a:ext cx="157842" cy="157842"/>
        </a:xfrm>
        <a:prstGeom prst="rect">
          <a:avLst/>
        </a:prstGeom>
      </xdr:spPr>
    </xdr:pic>
    <xdr:clientData fPrintsWithSheet="0"/>
  </xdr:oneCellAnchor>
  <xdr:oneCellAnchor>
    <xdr:from>
      <xdr:col>38</xdr:col>
      <xdr:colOff>15875</xdr:colOff>
      <xdr:row>54</xdr:row>
      <xdr:rowOff>68057</xdr:rowOff>
    </xdr:from>
    <xdr:ext cx="154134" cy="154134"/>
    <xdr:pic macro="[0]!AddEditEmployerIncome">
      <xdr:nvPicPr>
        <xdr:cNvPr id="257" name="btnEditEMPSpouseIncomeApp3Job4" hidden="1">
          <a:extLst>
            <a:ext uri="{FF2B5EF4-FFF2-40B4-BE49-F238E27FC236}">
              <a16:creationId xmlns:a16="http://schemas.microsoft.com/office/drawing/2014/main" id="{6AC67864-DE69-4339-9F69-2C386A8BA59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1221832"/>
          <a:ext cx="154134" cy="154134"/>
        </a:xfrm>
        <a:prstGeom prst="rect">
          <a:avLst/>
        </a:prstGeom>
      </xdr:spPr>
    </xdr:pic>
    <xdr:clientData fPrintsWithSheet="0"/>
  </xdr:oneCellAnchor>
  <xdr:oneCellAnchor>
    <xdr:from>
      <xdr:col>38</xdr:col>
      <xdr:colOff>167121</xdr:colOff>
      <xdr:row>55</xdr:row>
      <xdr:rowOff>66730</xdr:rowOff>
    </xdr:from>
    <xdr:ext cx="157842" cy="157842"/>
    <xdr:pic macro="[0]!DeleteEmployerIncome">
      <xdr:nvPicPr>
        <xdr:cNvPr id="258" name="btnDelEMPSpouseIncomeApp3Job5" hidden="1">
          <a:extLst>
            <a:ext uri="{FF2B5EF4-FFF2-40B4-BE49-F238E27FC236}">
              <a16:creationId xmlns:a16="http://schemas.microsoft.com/office/drawing/2014/main" id="{D843798D-4C22-4409-A2F9-04BAD8127B4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610530"/>
          <a:ext cx="157842" cy="157842"/>
        </a:xfrm>
        <a:prstGeom prst="rect">
          <a:avLst/>
        </a:prstGeom>
      </xdr:spPr>
    </xdr:pic>
    <xdr:clientData fPrintsWithSheet="0"/>
  </xdr:oneCellAnchor>
  <xdr:oneCellAnchor>
    <xdr:from>
      <xdr:col>38</xdr:col>
      <xdr:colOff>15875</xdr:colOff>
      <xdr:row>55</xdr:row>
      <xdr:rowOff>70438</xdr:rowOff>
    </xdr:from>
    <xdr:ext cx="154134" cy="154134"/>
    <xdr:pic macro="[0]!AddEditEmployerIncome">
      <xdr:nvPicPr>
        <xdr:cNvPr id="259" name="btnEditEMPSpouseIncomeApp3Job5" hidden="1">
          <a:extLst>
            <a:ext uri="{FF2B5EF4-FFF2-40B4-BE49-F238E27FC236}">
              <a16:creationId xmlns:a16="http://schemas.microsoft.com/office/drawing/2014/main" id="{C3970772-4D35-4A80-BD75-B452C7C2834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1509963"/>
          <a:ext cx="154134" cy="154134"/>
        </a:xfrm>
        <a:prstGeom prst="rect">
          <a:avLst/>
        </a:prstGeom>
      </xdr:spPr>
    </xdr:pic>
    <xdr:clientData fPrintsWithSheet="0"/>
  </xdr:oneCellAnchor>
  <xdr:oneCellAnchor>
    <xdr:from>
      <xdr:col>48</xdr:col>
      <xdr:colOff>167121</xdr:colOff>
      <xdr:row>51</xdr:row>
      <xdr:rowOff>73874</xdr:rowOff>
    </xdr:from>
    <xdr:ext cx="157842" cy="157842"/>
    <xdr:pic macro="[0]!DeleteEmployerIncome">
      <xdr:nvPicPr>
        <xdr:cNvPr id="268" name="btnDelEMPSpouseIncomeApp4Job1" hidden="1">
          <a:extLst>
            <a:ext uri="{FF2B5EF4-FFF2-40B4-BE49-F238E27FC236}">
              <a16:creationId xmlns:a16="http://schemas.microsoft.com/office/drawing/2014/main" id="{09170D25-8E04-4BB5-8C35-7E29225E977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484199"/>
          <a:ext cx="157842" cy="157842"/>
        </a:xfrm>
        <a:prstGeom prst="rect">
          <a:avLst/>
        </a:prstGeom>
      </xdr:spPr>
    </xdr:pic>
    <xdr:clientData fPrintsWithSheet="0"/>
  </xdr:oneCellAnchor>
  <xdr:oneCellAnchor>
    <xdr:from>
      <xdr:col>48</xdr:col>
      <xdr:colOff>15875</xdr:colOff>
      <xdr:row>51</xdr:row>
      <xdr:rowOff>77582</xdr:rowOff>
    </xdr:from>
    <xdr:ext cx="154134" cy="154134"/>
    <xdr:pic macro="[0]!AddEditEmployerIncome">
      <xdr:nvPicPr>
        <xdr:cNvPr id="269" name="btnEditEMPSpouseIncomeApp4Job1" hidden="1">
          <a:extLst>
            <a:ext uri="{FF2B5EF4-FFF2-40B4-BE49-F238E27FC236}">
              <a16:creationId xmlns:a16="http://schemas.microsoft.com/office/drawing/2014/main" id="{81994500-28A9-4A23-8B15-89E55C4713A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0383632"/>
          <a:ext cx="154134" cy="154134"/>
        </a:xfrm>
        <a:prstGeom prst="rect">
          <a:avLst/>
        </a:prstGeom>
      </xdr:spPr>
    </xdr:pic>
    <xdr:clientData fPrintsWithSheet="0"/>
  </xdr:oneCellAnchor>
  <xdr:oneCellAnchor>
    <xdr:from>
      <xdr:col>48</xdr:col>
      <xdr:colOff>167121</xdr:colOff>
      <xdr:row>52</xdr:row>
      <xdr:rowOff>76255</xdr:rowOff>
    </xdr:from>
    <xdr:ext cx="157842" cy="157842"/>
    <xdr:pic macro="[0]!DeleteEmployerIncome">
      <xdr:nvPicPr>
        <xdr:cNvPr id="270" name="btnDelEMPSpouseIncomeApp4Job2" hidden="1">
          <a:extLst>
            <a:ext uri="{FF2B5EF4-FFF2-40B4-BE49-F238E27FC236}">
              <a16:creationId xmlns:a16="http://schemas.microsoft.com/office/drawing/2014/main" id="{6659F3C9-7A48-44E4-BB31-58D1BED9DB9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762805"/>
          <a:ext cx="157842" cy="157842"/>
        </a:xfrm>
        <a:prstGeom prst="rect">
          <a:avLst/>
        </a:prstGeom>
      </xdr:spPr>
    </xdr:pic>
    <xdr:clientData fPrintsWithSheet="0"/>
  </xdr:oneCellAnchor>
  <xdr:oneCellAnchor>
    <xdr:from>
      <xdr:col>48</xdr:col>
      <xdr:colOff>15875</xdr:colOff>
      <xdr:row>52</xdr:row>
      <xdr:rowOff>79963</xdr:rowOff>
    </xdr:from>
    <xdr:ext cx="154134" cy="154134"/>
    <xdr:pic macro="[0]!AddEditEmployerIncome">
      <xdr:nvPicPr>
        <xdr:cNvPr id="271" name="btnEditEMPSpouseIncomeApp4Job2" hidden="1">
          <a:extLst>
            <a:ext uri="{FF2B5EF4-FFF2-40B4-BE49-F238E27FC236}">
              <a16:creationId xmlns:a16="http://schemas.microsoft.com/office/drawing/2014/main" id="{EA45BF9B-31FA-4A01-9826-277EB81028D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0662238"/>
          <a:ext cx="154134" cy="154134"/>
        </a:xfrm>
        <a:prstGeom prst="rect">
          <a:avLst/>
        </a:prstGeom>
      </xdr:spPr>
    </xdr:pic>
    <xdr:clientData fPrintsWithSheet="0"/>
  </xdr:oneCellAnchor>
  <xdr:oneCellAnchor>
    <xdr:from>
      <xdr:col>48</xdr:col>
      <xdr:colOff>167121</xdr:colOff>
      <xdr:row>53</xdr:row>
      <xdr:rowOff>78636</xdr:rowOff>
    </xdr:from>
    <xdr:ext cx="157842" cy="157842"/>
    <xdr:pic macro="[0]!DeleteEmployerIncome">
      <xdr:nvPicPr>
        <xdr:cNvPr id="272" name="btnDelEMPSpouseIncomeApp4Job3" hidden="1">
          <a:extLst>
            <a:ext uri="{FF2B5EF4-FFF2-40B4-BE49-F238E27FC236}">
              <a16:creationId xmlns:a16="http://schemas.microsoft.com/office/drawing/2014/main" id="{1C5E878F-8E10-4419-B508-3A0648A7446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050936"/>
          <a:ext cx="157842" cy="157842"/>
        </a:xfrm>
        <a:prstGeom prst="rect">
          <a:avLst/>
        </a:prstGeom>
      </xdr:spPr>
    </xdr:pic>
    <xdr:clientData fPrintsWithSheet="0"/>
  </xdr:oneCellAnchor>
  <xdr:oneCellAnchor>
    <xdr:from>
      <xdr:col>48</xdr:col>
      <xdr:colOff>15875</xdr:colOff>
      <xdr:row>53</xdr:row>
      <xdr:rowOff>82344</xdr:rowOff>
    </xdr:from>
    <xdr:ext cx="154134" cy="154134"/>
    <xdr:pic macro="[0]!AddEditEmployerIncome">
      <xdr:nvPicPr>
        <xdr:cNvPr id="273" name="btnEditEMPSpouseIncomeApp4Job3" hidden="1">
          <a:extLst>
            <a:ext uri="{FF2B5EF4-FFF2-40B4-BE49-F238E27FC236}">
              <a16:creationId xmlns:a16="http://schemas.microsoft.com/office/drawing/2014/main" id="{678289DB-2C65-4648-BEE4-A0026FB80EB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0950369"/>
          <a:ext cx="154134" cy="154134"/>
        </a:xfrm>
        <a:prstGeom prst="rect">
          <a:avLst/>
        </a:prstGeom>
      </xdr:spPr>
    </xdr:pic>
    <xdr:clientData fPrintsWithSheet="0"/>
  </xdr:oneCellAnchor>
  <xdr:oneCellAnchor>
    <xdr:from>
      <xdr:col>48</xdr:col>
      <xdr:colOff>167121</xdr:colOff>
      <xdr:row>54</xdr:row>
      <xdr:rowOff>64349</xdr:rowOff>
    </xdr:from>
    <xdr:ext cx="157842" cy="157842"/>
    <xdr:pic macro="[0]!DeleteEmployerIncome">
      <xdr:nvPicPr>
        <xdr:cNvPr id="274" name="btnDelEMPSpouseIncomeApp4Job4" hidden="1">
          <a:extLst>
            <a:ext uri="{FF2B5EF4-FFF2-40B4-BE49-F238E27FC236}">
              <a16:creationId xmlns:a16="http://schemas.microsoft.com/office/drawing/2014/main" id="{05686B70-80D2-467C-9A8D-EE77C61BE23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322399"/>
          <a:ext cx="157842" cy="157842"/>
        </a:xfrm>
        <a:prstGeom prst="rect">
          <a:avLst/>
        </a:prstGeom>
      </xdr:spPr>
    </xdr:pic>
    <xdr:clientData fPrintsWithSheet="0"/>
  </xdr:oneCellAnchor>
  <xdr:oneCellAnchor>
    <xdr:from>
      <xdr:col>48</xdr:col>
      <xdr:colOff>15875</xdr:colOff>
      <xdr:row>54</xdr:row>
      <xdr:rowOff>68057</xdr:rowOff>
    </xdr:from>
    <xdr:ext cx="154134" cy="154134"/>
    <xdr:pic macro="[0]!AddEditEmployerIncome">
      <xdr:nvPicPr>
        <xdr:cNvPr id="275" name="btnEditEMPSpouseIncomeApp4Job4" hidden="1">
          <a:extLst>
            <a:ext uri="{FF2B5EF4-FFF2-40B4-BE49-F238E27FC236}">
              <a16:creationId xmlns:a16="http://schemas.microsoft.com/office/drawing/2014/main" id="{0E7DF51C-B3A3-464F-9B5D-E6FD4B37D49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1221832"/>
          <a:ext cx="154134" cy="154134"/>
        </a:xfrm>
        <a:prstGeom prst="rect">
          <a:avLst/>
        </a:prstGeom>
      </xdr:spPr>
    </xdr:pic>
    <xdr:clientData fPrintsWithSheet="0"/>
  </xdr:oneCellAnchor>
  <xdr:oneCellAnchor>
    <xdr:from>
      <xdr:col>48</xdr:col>
      <xdr:colOff>167121</xdr:colOff>
      <xdr:row>55</xdr:row>
      <xdr:rowOff>66730</xdr:rowOff>
    </xdr:from>
    <xdr:ext cx="157842" cy="157842"/>
    <xdr:pic macro="[0]!DeleteEmployerIncome">
      <xdr:nvPicPr>
        <xdr:cNvPr id="276" name="btnDelEMPSpouseIncomeApp4Job5" hidden="1">
          <a:extLst>
            <a:ext uri="{FF2B5EF4-FFF2-40B4-BE49-F238E27FC236}">
              <a16:creationId xmlns:a16="http://schemas.microsoft.com/office/drawing/2014/main" id="{DE6E8E92-EF8E-4769-BD10-0E86433A2ED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610530"/>
          <a:ext cx="157842" cy="157842"/>
        </a:xfrm>
        <a:prstGeom prst="rect">
          <a:avLst/>
        </a:prstGeom>
      </xdr:spPr>
    </xdr:pic>
    <xdr:clientData fPrintsWithSheet="0"/>
  </xdr:oneCellAnchor>
  <xdr:oneCellAnchor>
    <xdr:from>
      <xdr:col>48</xdr:col>
      <xdr:colOff>15875</xdr:colOff>
      <xdr:row>55</xdr:row>
      <xdr:rowOff>70438</xdr:rowOff>
    </xdr:from>
    <xdr:ext cx="154134" cy="154134"/>
    <xdr:pic macro="[0]!AddEditEmployerIncome">
      <xdr:nvPicPr>
        <xdr:cNvPr id="277" name="btnEditEMPSpouseIncomeApp4Job5" hidden="1">
          <a:extLst>
            <a:ext uri="{FF2B5EF4-FFF2-40B4-BE49-F238E27FC236}">
              <a16:creationId xmlns:a16="http://schemas.microsoft.com/office/drawing/2014/main" id="{0C11CAF6-04B9-4637-8AC5-FC0754AFD95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1509963"/>
          <a:ext cx="154134" cy="154134"/>
        </a:xfrm>
        <a:prstGeom prst="rect">
          <a:avLst/>
        </a:prstGeom>
      </xdr:spPr>
    </xdr:pic>
    <xdr:clientData fPrintsWithSheet="0"/>
  </xdr:oneCellAnchor>
  <xdr:oneCellAnchor>
    <xdr:from>
      <xdr:col>58</xdr:col>
      <xdr:colOff>167121</xdr:colOff>
      <xdr:row>51</xdr:row>
      <xdr:rowOff>73874</xdr:rowOff>
    </xdr:from>
    <xdr:ext cx="157842" cy="157842"/>
    <xdr:pic macro="[0]!DeleteEmployerIncome">
      <xdr:nvPicPr>
        <xdr:cNvPr id="278" name="btnDelEMPSpouseIncomeApp5Job1" hidden="1">
          <a:extLst>
            <a:ext uri="{FF2B5EF4-FFF2-40B4-BE49-F238E27FC236}">
              <a16:creationId xmlns:a16="http://schemas.microsoft.com/office/drawing/2014/main" id="{3F4E3B50-45CD-4BBC-A381-D73AD540CDC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484199"/>
          <a:ext cx="157842" cy="157842"/>
        </a:xfrm>
        <a:prstGeom prst="rect">
          <a:avLst/>
        </a:prstGeom>
      </xdr:spPr>
    </xdr:pic>
    <xdr:clientData fPrintsWithSheet="0"/>
  </xdr:oneCellAnchor>
  <xdr:oneCellAnchor>
    <xdr:from>
      <xdr:col>58</xdr:col>
      <xdr:colOff>15875</xdr:colOff>
      <xdr:row>51</xdr:row>
      <xdr:rowOff>77582</xdr:rowOff>
    </xdr:from>
    <xdr:ext cx="154134" cy="154134"/>
    <xdr:pic macro="[0]!AddEditEmployerIncome">
      <xdr:nvPicPr>
        <xdr:cNvPr id="279" name="btnEditEMPSpouseIncomeApp5Job1" hidden="1">
          <a:extLst>
            <a:ext uri="{FF2B5EF4-FFF2-40B4-BE49-F238E27FC236}">
              <a16:creationId xmlns:a16="http://schemas.microsoft.com/office/drawing/2014/main" id="{1239E8E5-F582-4F5A-8809-AFF197742A6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0383632"/>
          <a:ext cx="154134" cy="154134"/>
        </a:xfrm>
        <a:prstGeom prst="rect">
          <a:avLst/>
        </a:prstGeom>
      </xdr:spPr>
    </xdr:pic>
    <xdr:clientData fPrintsWithSheet="0"/>
  </xdr:oneCellAnchor>
  <xdr:oneCellAnchor>
    <xdr:from>
      <xdr:col>58</xdr:col>
      <xdr:colOff>167121</xdr:colOff>
      <xdr:row>52</xdr:row>
      <xdr:rowOff>76255</xdr:rowOff>
    </xdr:from>
    <xdr:ext cx="157842" cy="157842"/>
    <xdr:pic macro="[0]!DeleteEmployerIncome">
      <xdr:nvPicPr>
        <xdr:cNvPr id="280" name="btnDelEMPSpouseIncomeApp5Job2" hidden="1">
          <a:extLst>
            <a:ext uri="{FF2B5EF4-FFF2-40B4-BE49-F238E27FC236}">
              <a16:creationId xmlns:a16="http://schemas.microsoft.com/office/drawing/2014/main" id="{A1933F9B-D8FD-4F3B-B775-952AC39D5FF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762805"/>
          <a:ext cx="157842" cy="157842"/>
        </a:xfrm>
        <a:prstGeom prst="rect">
          <a:avLst/>
        </a:prstGeom>
      </xdr:spPr>
    </xdr:pic>
    <xdr:clientData fPrintsWithSheet="0"/>
  </xdr:oneCellAnchor>
  <xdr:oneCellAnchor>
    <xdr:from>
      <xdr:col>58</xdr:col>
      <xdr:colOff>15875</xdr:colOff>
      <xdr:row>52</xdr:row>
      <xdr:rowOff>79963</xdr:rowOff>
    </xdr:from>
    <xdr:ext cx="154134" cy="154134"/>
    <xdr:pic macro="[0]!AddEditEmployerIncome">
      <xdr:nvPicPr>
        <xdr:cNvPr id="281" name="btnEditEMPSpouseIncomeApp5Job2" hidden="1">
          <a:extLst>
            <a:ext uri="{FF2B5EF4-FFF2-40B4-BE49-F238E27FC236}">
              <a16:creationId xmlns:a16="http://schemas.microsoft.com/office/drawing/2014/main" id="{5003CEB0-7AB6-4DEC-A760-3D79A765287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0662238"/>
          <a:ext cx="154134" cy="154134"/>
        </a:xfrm>
        <a:prstGeom prst="rect">
          <a:avLst/>
        </a:prstGeom>
      </xdr:spPr>
    </xdr:pic>
    <xdr:clientData fPrintsWithSheet="0"/>
  </xdr:oneCellAnchor>
  <xdr:oneCellAnchor>
    <xdr:from>
      <xdr:col>58</xdr:col>
      <xdr:colOff>167121</xdr:colOff>
      <xdr:row>53</xdr:row>
      <xdr:rowOff>78636</xdr:rowOff>
    </xdr:from>
    <xdr:ext cx="157842" cy="157842"/>
    <xdr:pic macro="[0]!DeleteEmployerIncome">
      <xdr:nvPicPr>
        <xdr:cNvPr id="282" name="btnDelEMPSpouseIncomeApp5Job3" hidden="1">
          <a:extLst>
            <a:ext uri="{FF2B5EF4-FFF2-40B4-BE49-F238E27FC236}">
              <a16:creationId xmlns:a16="http://schemas.microsoft.com/office/drawing/2014/main" id="{9D157B8D-6B59-490D-951A-B6AC7628AF0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050936"/>
          <a:ext cx="157842" cy="157842"/>
        </a:xfrm>
        <a:prstGeom prst="rect">
          <a:avLst/>
        </a:prstGeom>
      </xdr:spPr>
    </xdr:pic>
    <xdr:clientData fPrintsWithSheet="0"/>
  </xdr:oneCellAnchor>
  <xdr:oneCellAnchor>
    <xdr:from>
      <xdr:col>58</xdr:col>
      <xdr:colOff>15875</xdr:colOff>
      <xdr:row>53</xdr:row>
      <xdr:rowOff>82344</xdr:rowOff>
    </xdr:from>
    <xdr:ext cx="154134" cy="154134"/>
    <xdr:pic macro="[0]!AddEditEmployerIncome">
      <xdr:nvPicPr>
        <xdr:cNvPr id="283" name="btnEditEMPSpouseIncomeApp5Job3" hidden="1">
          <a:extLst>
            <a:ext uri="{FF2B5EF4-FFF2-40B4-BE49-F238E27FC236}">
              <a16:creationId xmlns:a16="http://schemas.microsoft.com/office/drawing/2014/main" id="{D3A70865-2E18-482F-92C4-B73DA655FA2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0950369"/>
          <a:ext cx="154134" cy="154134"/>
        </a:xfrm>
        <a:prstGeom prst="rect">
          <a:avLst/>
        </a:prstGeom>
      </xdr:spPr>
    </xdr:pic>
    <xdr:clientData fPrintsWithSheet="0"/>
  </xdr:oneCellAnchor>
  <xdr:oneCellAnchor>
    <xdr:from>
      <xdr:col>58</xdr:col>
      <xdr:colOff>167121</xdr:colOff>
      <xdr:row>54</xdr:row>
      <xdr:rowOff>64349</xdr:rowOff>
    </xdr:from>
    <xdr:ext cx="157842" cy="157842"/>
    <xdr:pic macro="[0]!DeleteEmployerIncome">
      <xdr:nvPicPr>
        <xdr:cNvPr id="284" name="btnDelEMPSpouseIncomeApp5Job4" hidden="1">
          <a:extLst>
            <a:ext uri="{FF2B5EF4-FFF2-40B4-BE49-F238E27FC236}">
              <a16:creationId xmlns:a16="http://schemas.microsoft.com/office/drawing/2014/main" id="{8E71FCEE-145E-4493-9E54-EA395CDDE95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322399"/>
          <a:ext cx="157842" cy="157842"/>
        </a:xfrm>
        <a:prstGeom prst="rect">
          <a:avLst/>
        </a:prstGeom>
      </xdr:spPr>
    </xdr:pic>
    <xdr:clientData fPrintsWithSheet="0"/>
  </xdr:oneCellAnchor>
  <xdr:oneCellAnchor>
    <xdr:from>
      <xdr:col>58</xdr:col>
      <xdr:colOff>15875</xdr:colOff>
      <xdr:row>54</xdr:row>
      <xdr:rowOff>68057</xdr:rowOff>
    </xdr:from>
    <xdr:ext cx="154134" cy="154134"/>
    <xdr:pic macro="[0]!AddEditEmployerIncome">
      <xdr:nvPicPr>
        <xdr:cNvPr id="285" name="btnEditEMPSpouseIncomeApp5Job4" hidden="1">
          <a:extLst>
            <a:ext uri="{FF2B5EF4-FFF2-40B4-BE49-F238E27FC236}">
              <a16:creationId xmlns:a16="http://schemas.microsoft.com/office/drawing/2014/main" id="{CA065959-1803-474E-9715-3CA6CDA9143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1221832"/>
          <a:ext cx="154134" cy="154134"/>
        </a:xfrm>
        <a:prstGeom prst="rect">
          <a:avLst/>
        </a:prstGeom>
      </xdr:spPr>
    </xdr:pic>
    <xdr:clientData fPrintsWithSheet="0"/>
  </xdr:oneCellAnchor>
  <xdr:oneCellAnchor>
    <xdr:from>
      <xdr:col>58</xdr:col>
      <xdr:colOff>167121</xdr:colOff>
      <xdr:row>55</xdr:row>
      <xdr:rowOff>66730</xdr:rowOff>
    </xdr:from>
    <xdr:ext cx="157842" cy="157842"/>
    <xdr:pic macro="[0]!DeleteEmployerIncome">
      <xdr:nvPicPr>
        <xdr:cNvPr id="286" name="btnDelEMPSpouseIncomeApp5Job5" hidden="1">
          <a:extLst>
            <a:ext uri="{FF2B5EF4-FFF2-40B4-BE49-F238E27FC236}">
              <a16:creationId xmlns:a16="http://schemas.microsoft.com/office/drawing/2014/main" id="{575E6AF2-7049-457D-B63A-99599DEDE85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610530"/>
          <a:ext cx="157842" cy="157842"/>
        </a:xfrm>
        <a:prstGeom prst="rect">
          <a:avLst/>
        </a:prstGeom>
      </xdr:spPr>
    </xdr:pic>
    <xdr:clientData fPrintsWithSheet="0"/>
  </xdr:oneCellAnchor>
  <xdr:oneCellAnchor>
    <xdr:from>
      <xdr:col>58</xdr:col>
      <xdr:colOff>15875</xdr:colOff>
      <xdr:row>55</xdr:row>
      <xdr:rowOff>70438</xdr:rowOff>
    </xdr:from>
    <xdr:ext cx="154134" cy="154134"/>
    <xdr:pic macro="[0]!AddEditEmployerIncome">
      <xdr:nvPicPr>
        <xdr:cNvPr id="287" name="btnEditEMPSpouseIncomeApp5Job5" hidden="1">
          <a:extLst>
            <a:ext uri="{FF2B5EF4-FFF2-40B4-BE49-F238E27FC236}">
              <a16:creationId xmlns:a16="http://schemas.microsoft.com/office/drawing/2014/main" id="{5548E4E9-5112-4A47-8E29-DAE78CD3D08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1509963"/>
          <a:ext cx="154134" cy="154134"/>
        </a:xfrm>
        <a:prstGeom prst="rect">
          <a:avLst/>
        </a:prstGeom>
      </xdr:spPr>
    </xdr:pic>
    <xdr:clientData fPrintsWithSheet="0"/>
  </xdr:oneCellAnchor>
  <xdr:oneCellAnchor>
    <xdr:from>
      <xdr:col>68</xdr:col>
      <xdr:colOff>167121</xdr:colOff>
      <xdr:row>51</xdr:row>
      <xdr:rowOff>73874</xdr:rowOff>
    </xdr:from>
    <xdr:ext cx="157842" cy="157842"/>
    <xdr:pic macro="[0]!DeleteEmployerIncome">
      <xdr:nvPicPr>
        <xdr:cNvPr id="288" name="btnDelEMPSpouseIncomeApp6Job1" hidden="1">
          <a:extLst>
            <a:ext uri="{FF2B5EF4-FFF2-40B4-BE49-F238E27FC236}">
              <a16:creationId xmlns:a16="http://schemas.microsoft.com/office/drawing/2014/main" id="{0336C6AE-6EEA-4D12-BDC0-5E39A608E26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484199"/>
          <a:ext cx="157842" cy="157842"/>
        </a:xfrm>
        <a:prstGeom prst="rect">
          <a:avLst/>
        </a:prstGeom>
      </xdr:spPr>
    </xdr:pic>
    <xdr:clientData fPrintsWithSheet="0"/>
  </xdr:oneCellAnchor>
  <xdr:oneCellAnchor>
    <xdr:from>
      <xdr:col>68</xdr:col>
      <xdr:colOff>15875</xdr:colOff>
      <xdr:row>51</xdr:row>
      <xdr:rowOff>77582</xdr:rowOff>
    </xdr:from>
    <xdr:ext cx="154134" cy="154134"/>
    <xdr:pic macro="[0]!AddEditEmployerIncome">
      <xdr:nvPicPr>
        <xdr:cNvPr id="289" name="btnEditEMPSpouseIncomeApp6Job1" hidden="1">
          <a:extLst>
            <a:ext uri="{FF2B5EF4-FFF2-40B4-BE49-F238E27FC236}">
              <a16:creationId xmlns:a16="http://schemas.microsoft.com/office/drawing/2014/main" id="{B5C1A61C-8D9C-4695-A958-EFFCDFF6CE3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0383632"/>
          <a:ext cx="154134" cy="154134"/>
        </a:xfrm>
        <a:prstGeom prst="rect">
          <a:avLst/>
        </a:prstGeom>
      </xdr:spPr>
    </xdr:pic>
    <xdr:clientData fPrintsWithSheet="0"/>
  </xdr:oneCellAnchor>
  <xdr:oneCellAnchor>
    <xdr:from>
      <xdr:col>68</xdr:col>
      <xdr:colOff>167121</xdr:colOff>
      <xdr:row>52</xdr:row>
      <xdr:rowOff>76255</xdr:rowOff>
    </xdr:from>
    <xdr:ext cx="157842" cy="157842"/>
    <xdr:pic macro="[0]!DeleteEmployerIncome">
      <xdr:nvPicPr>
        <xdr:cNvPr id="290" name="btnDelEMPSpouseIncomeApp6Job2" hidden="1">
          <a:extLst>
            <a:ext uri="{FF2B5EF4-FFF2-40B4-BE49-F238E27FC236}">
              <a16:creationId xmlns:a16="http://schemas.microsoft.com/office/drawing/2014/main" id="{24B1DF18-0EBD-4AF3-9398-2C030FD4811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762805"/>
          <a:ext cx="157842" cy="157842"/>
        </a:xfrm>
        <a:prstGeom prst="rect">
          <a:avLst/>
        </a:prstGeom>
      </xdr:spPr>
    </xdr:pic>
    <xdr:clientData fPrintsWithSheet="0"/>
  </xdr:oneCellAnchor>
  <xdr:oneCellAnchor>
    <xdr:from>
      <xdr:col>68</xdr:col>
      <xdr:colOff>15875</xdr:colOff>
      <xdr:row>52</xdr:row>
      <xdr:rowOff>79963</xdr:rowOff>
    </xdr:from>
    <xdr:ext cx="154134" cy="154134"/>
    <xdr:pic macro="[0]!AddEditEmployerIncome">
      <xdr:nvPicPr>
        <xdr:cNvPr id="291" name="btnEditEMPSpouseIncomeApp6Job2" hidden="1">
          <a:extLst>
            <a:ext uri="{FF2B5EF4-FFF2-40B4-BE49-F238E27FC236}">
              <a16:creationId xmlns:a16="http://schemas.microsoft.com/office/drawing/2014/main" id="{EF1E8159-32E2-4D4C-B2AF-CAD75A66E47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0662238"/>
          <a:ext cx="154134" cy="154134"/>
        </a:xfrm>
        <a:prstGeom prst="rect">
          <a:avLst/>
        </a:prstGeom>
      </xdr:spPr>
    </xdr:pic>
    <xdr:clientData fPrintsWithSheet="0"/>
  </xdr:oneCellAnchor>
  <xdr:oneCellAnchor>
    <xdr:from>
      <xdr:col>68</xdr:col>
      <xdr:colOff>167121</xdr:colOff>
      <xdr:row>53</xdr:row>
      <xdr:rowOff>78636</xdr:rowOff>
    </xdr:from>
    <xdr:ext cx="157842" cy="157842"/>
    <xdr:pic macro="[0]!DeleteEmployerIncome">
      <xdr:nvPicPr>
        <xdr:cNvPr id="292" name="btnDelEMPSpouseIncomeApp6Job3" hidden="1">
          <a:extLst>
            <a:ext uri="{FF2B5EF4-FFF2-40B4-BE49-F238E27FC236}">
              <a16:creationId xmlns:a16="http://schemas.microsoft.com/office/drawing/2014/main" id="{5E5CBE26-C046-4618-81FB-4919B383F97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050936"/>
          <a:ext cx="157842" cy="157842"/>
        </a:xfrm>
        <a:prstGeom prst="rect">
          <a:avLst/>
        </a:prstGeom>
      </xdr:spPr>
    </xdr:pic>
    <xdr:clientData fPrintsWithSheet="0"/>
  </xdr:oneCellAnchor>
  <xdr:oneCellAnchor>
    <xdr:from>
      <xdr:col>68</xdr:col>
      <xdr:colOff>15875</xdr:colOff>
      <xdr:row>53</xdr:row>
      <xdr:rowOff>82344</xdr:rowOff>
    </xdr:from>
    <xdr:ext cx="154134" cy="154134"/>
    <xdr:pic macro="[0]!AddEditEmployerIncome">
      <xdr:nvPicPr>
        <xdr:cNvPr id="293" name="btnEditEMPSpouseIncomeApp6Job3" hidden="1">
          <a:extLst>
            <a:ext uri="{FF2B5EF4-FFF2-40B4-BE49-F238E27FC236}">
              <a16:creationId xmlns:a16="http://schemas.microsoft.com/office/drawing/2014/main" id="{29F3048C-07A2-4949-8E10-020239DEE1A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0950369"/>
          <a:ext cx="154134" cy="154134"/>
        </a:xfrm>
        <a:prstGeom prst="rect">
          <a:avLst/>
        </a:prstGeom>
      </xdr:spPr>
    </xdr:pic>
    <xdr:clientData fPrintsWithSheet="0"/>
  </xdr:oneCellAnchor>
  <xdr:oneCellAnchor>
    <xdr:from>
      <xdr:col>68</xdr:col>
      <xdr:colOff>167121</xdr:colOff>
      <xdr:row>54</xdr:row>
      <xdr:rowOff>64349</xdr:rowOff>
    </xdr:from>
    <xdr:ext cx="157842" cy="157842"/>
    <xdr:pic macro="[0]!DeleteEmployerIncome">
      <xdr:nvPicPr>
        <xdr:cNvPr id="294" name="btnDelEMPSpouseIncomeApp6Job4" hidden="1">
          <a:extLst>
            <a:ext uri="{FF2B5EF4-FFF2-40B4-BE49-F238E27FC236}">
              <a16:creationId xmlns:a16="http://schemas.microsoft.com/office/drawing/2014/main" id="{BAA1FA3C-7844-452C-9621-8DBF954577B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322399"/>
          <a:ext cx="157842" cy="157842"/>
        </a:xfrm>
        <a:prstGeom prst="rect">
          <a:avLst/>
        </a:prstGeom>
      </xdr:spPr>
    </xdr:pic>
    <xdr:clientData fPrintsWithSheet="0"/>
  </xdr:oneCellAnchor>
  <xdr:oneCellAnchor>
    <xdr:from>
      <xdr:col>68</xdr:col>
      <xdr:colOff>15875</xdr:colOff>
      <xdr:row>54</xdr:row>
      <xdr:rowOff>68057</xdr:rowOff>
    </xdr:from>
    <xdr:ext cx="154134" cy="154134"/>
    <xdr:pic macro="[0]!AddEditEmployerIncome">
      <xdr:nvPicPr>
        <xdr:cNvPr id="301" name="btnEditEMPSpouseIncomeApp6Job4" hidden="1">
          <a:extLst>
            <a:ext uri="{FF2B5EF4-FFF2-40B4-BE49-F238E27FC236}">
              <a16:creationId xmlns:a16="http://schemas.microsoft.com/office/drawing/2014/main" id="{299DB45D-EEEC-4C8E-A9BD-C504C9BFF20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1221832"/>
          <a:ext cx="154134" cy="154134"/>
        </a:xfrm>
        <a:prstGeom prst="rect">
          <a:avLst/>
        </a:prstGeom>
      </xdr:spPr>
    </xdr:pic>
    <xdr:clientData fPrintsWithSheet="0"/>
  </xdr:oneCellAnchor>
  <xdr:oneCellAnchor>
    <xdr:from>
      <xdr:col>68</xdr:col>
      <xdr:colOff>167121</xdr:colOff>
      <xdr:row>55</xdr:row>
      <xdr:rowOff>66730</xdr:rowOff>
    </xdr:from>
    <xdr:ext cx="157842" cy="157842"/>
    <xdr:pic macro="[0]!DeleteEmployerIncome">
      <xdr:nvPicPr>
        <xdr:cNvPr id="302" name="btnDelEMPSpouseIncomeApp6Job5" hidden="1">
          <a:extLst>
            <a:ext uri="{FF2B5EF4-FFF2-40B4-BE49-F238E27FC236}">
              <a16:creationId xmlns:a16="http://schemas.microsoft.com/office/drawing/2014/main" id="{D98BEE32-79D3-423C-A145-366F5E494F4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610530"/>
          <a:ext cx="157842" cy="157842"/>
        </a:xfrm>
        <a:prstGeom prst="rect">
          <a:avLst/>
        </a:prstGeom>
      </xdr:spPr>
    </xdr:pic>
    <xdr:clientData fPrintsWithSheet="0"/>
  </xdr:oneCellAnchor>
  <xdr:oneCellAnchor>
    <xdr:from>
      <xdr:col>68</xdr:col>
      <xdr:colOff>15875</xdr:colOff>
      <xdr:row>55</xdr:row>
      <xdr:rowOff>70438</xdr:rowOff>
    </xdr:from>
    <xdr:ext cx="154134" cy="154134"/>
    <xdr:pic macro="[0]!AddEditEmployerIncome">
      <xdr:nvPicPr>
        <xdr:cNvPr id="303" name="btnEditEMPSpouseIncomeApp6Job5" hidden="1">
          <a:extLst>
            <a:ext uri="{FF2B5EF4-FFF2-40B4-BE49-F238E27FC236}">
              <a16:creationId xmlns:a16="http://schemas.microsoft.com/office/drawing/2014/main" id="{F2C7A01C-8E1F-4551-9BFA-B07318350B6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1509963"/>
          <a:ext cx="154134" cy="154134"/>
        </a:xfrm>
        <a:prstGeom prst="rect">
          <a:avLst/>
        </a:prstGeom>
      </xdr:spPr>
    </xdr:pic>
    <xdr:clientData fPrintsWithSheet="0"/>
  </xdr:oneCellAnchor>
  <xdr:oneCellAnchor>
    <xdr:from>
      <xdr:col>18</xdr:col>
      <xdr:colOff>168363</xdr:colOff>
      <xdr:row>51</xdr:row>
      <xdr:rowOff>73874</xdr:rowOff>
    </xdr:from>
    <xdr:ext cx="157842" cy="157842"/>
    <xdr:pic macro="[0]!DeleteEmployerIncome">
      <xdr:nvPicPr>
        <xdr:cNvPr id="304" name="btnDelEMPSpouseIncomeApp1Job1" hidden="1">
          <a:extLst>
            <a:ext uri="{FF2B5EF4-FFF2-40B4-BE49-F238E27FC236}">
              <a16:creationId xmlns:a16="http://schemas.microsoft.com/office/drawing/2014/main" id="{D959E6C4-A2E3-4B1D-9A51-19846345A39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484199"/>
          <a:ext cx="157842" cy="157842"/>
        </a:xfrm>
        <a:prstGeom prst="rect">
          <a:avLst/>
        </a:prstGeom>
      </xdr:spPr>
    </xdr:pic>
    <xdr:clientData fPrintsWithSheet="0"/>
  </xdr:oneCellAnchor>
  <xdr:oneCellAnchor>
    <xdr:from>
      <xdr:col>18</xdr:col>
      <xdr:colOff>15873</xdr:colOff>
      <xdr:row>51</xdr:row>
      <xdr:rowOff>77582</xdr:rowOff>
    </xdr:from>
    <xdr:ext cx="154134" cy="154134"/>
    <xdr:pic macro="[0]!AddEditEmployerIncome">
      <xdr:nvPicPr>
        <xdr:cNvPr id="305" name="btnEditEMPSpouseIncomeApp1Job1" hidden="1">
          <a:extLst>
            <a:ext uri="{FF2B5EF4-FFF2-40B4-BE49-F238E27FC236}">
              <a16:creationId xmlns:a16="http://schemas.microsoft.com/office/drawing/2014/main" id="{C6BB223C-3B7B-48E6-8B4E-9B4E67DD185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8602457"/>
          <a:ext cx="154134" cy="154134"/>
        </a:xfrm>
        <a:prstGeom prst="rect">
          <a:avLst/>
        </a:prstGeom>
      </xdr:spPr>
    </xdr:pic>
    <xdr:clientData fPrintsWithSheet="0"/>
  </xdr:oneCellAnchor>
  <xdr:oneCellAnchor>
    <xdr:from>
      <xdr:col>18</xdr:col>
      <xdr:colOff>168363</xdr:colOff>
      <xdr:row>52</xdr:row>
      <xdr:rowOff>73874</xdr:rowOff>
    </xdr:from>
    <xdr:ext cx="157842" cy="157842"/>
    <xdr:pic macro="[0]!DeleteEmployerIncome">
      <xdr:nvPicPr>
        <xdr:cNvPr id="306" name="btnDelEMPSpouseIncomeApp1Job2" hidden="1">
          <a:extLst>
            <a:ext uri="{FF2B5EF4-FFF2-40B4-BE49-F238E27FC236}">
              <a16:creationId xmlns:a16="http://schemas.microsoft.com/office/drawing/2014/main" id="{EC69B57B-2759-460B-8E7F-FFF0152C1A7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760424"/>
          <a:ext cx="157842" cy="157842"/>
        </a:xfrm>
        <a:prstGeom prst="rect">
          <a:avLst/>
        </a:prstGeom>
      </xdr:spPr>
    </xdr:pic>
    <xdr:clientData fPrintsWithSheet="0"/>
  </xdr:oneCellAnchor>
  <xdr:oneCellAnchor>
    <xdr:from>
      <xdr:col>18</xdr:col>
      <xdr:colOff>15873</xdr:colOff>
      <xdr:row>52</xdr:row>
      <xdr:rowOff>76221</xdr:rowOff>
    </xdr:from>
    <xdr:ext cx="154134" cy="154134"/>
    <xdr:pic macro="[0]!AddEditEmployerIncome">
      <xdr:nvPicPr>
        <xdr:cNvPr id="307" name="btnEditEMPSpouseIncomeApp1Job2" hidden="1">
          <a:extLst>
            <a:ext uri="{FF2B5EF4-FFF2-40B4-BE49-F238E27FC236}">
              <a16:creationId xmlns:a16="http://schemas.microsoft.com/office/drawing/2014/main" id="{9D97B493-ED5F-4522-806D-1559EA694F0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8839221"/>
          <a:ext cx="154134" cy="154134"/>
        </a:xfrm>
        <a:prstGeom prst="rect">
          <a:avLst/>
        </a:prstGeom>
      </xdr:spPr>
    </xdr:pic>
    <xdr:clientData fPrintsWithSheet="0"/>
  </xdr:oneCellAnchor>
  <xdr:oneCellAnchor>
    <xdr:from>
      <xdr:col>18</xdr:col>
      <xdr:colOff>168363</xdr:colOff>
      <xdr:row>53</xdr:row>
      <xdr:rowOff>73874</xdr:rowOff>
    </xdr:from>
    <xdr:ext cx="157842" cy="157842"/>
    <xdr:pic macro="[0]!DeleteEmployerIncome">
      <xdr:nvPicPr>
        <xdr:cNvPr id="308" name="btnDelEMPSpouseIncomeApp1Job3" hidden="1">
          <a:extLst>
            <a:ext uri="{FF2B5EF4-FFF2-40B4-BE49-F238E27FC236}">
              <a16:creationId xmlns:a16="http://schemas.microsoft.com/office/drawing/2014/main" id="{3E0B5B48-9D85-40FB-966F-F069AC6DC68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046174"/>
          <a:ext cx="157842" cy="157842"/>
        </a:xfrm>
        <a:prstGeom prst="rect">
          <a:avLst/>
        </a:prstGeom>
      </xdr:spPr>
    </xdr:pic>
    <xdr:clientData fPrintsWithSheet="0"/>
  </xdr:oneCellAnchor>
  <xdr:oneCellAnchor>
    <xdr:from>
      <xdr:col>18</xdr:col>
      <xdr:colOff>15873</xdr:colOff>
      <xdr:row>53</xdr:row>
      <xdr:rowOff>74860</xdr:rowOff>
    </xdr:from>
    <xdr:ext cx="154134" cy="154134"/>
    <xdr:pic macro="[0]!AddEditEmployerIncome">
      <xdr:nvPicPr>
        <xdr:cNvPr id="309" name="btnEditEMPSpouseIncomeApp1Job3" hidden="1">
          <a:extLst>
            <a:ext uri="{FF2B5EF4-FFF2-40B4-BE49-F238E27FC236}">
              <a16:creationId xmlns:a16="http://schemas.microsoft.com/office/drawing/2014/main" id="{10F782F7-072D-4C8B-9D5A-8E487828E62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075985"/>
          <a:ext cx="154134" cy="154134"/>
        </a:xfrm>
        <a:prstGeom prst="rect">
          <a:avLst/>
        </a:prstGeom>
      </xdr:spPr>
    </xdr:pic>
    <xdr:clientData fPrintsWithSheet="0"/>
  </xdr:oneCellAnchor>
  <xdr:oneCellAnchor>
    <xdr:from>
      <xdr:col>18</xdr:col>
      <xdr:colOff>168363</xdr:colOff>
      <xdr:row>54</xdr:row>
      <xdr:rowOff>64349</xdr:rowOff>
    </xdr:from>
    <xdr:ext cx="157842" cy="157842"/>
    <xdr:pic macro="[0]!DeleteEmployerIncome">
      <xdr:nvPicPr>
        <xdr:cNvPr id="310" name="btnDelEMPSpouseIncomeApp1Job4" hidden="1">
          <a:extLst>
            <a:ext uri="{FF2B5EF4-FFF2-40B4-BE49-F238E27FC236}">
              <a16:creationId xmlns:a16="http://schemas.microsoft.com/office/drawing/2014/main" id="{C54799FF-558B-41B0-A0E6-021E947810E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322399"/>
          <a:ext cx="157842" cy="157842"/>
        </a:xfrm>
        <a:prstGeom prst="rect">
          <a:avLst/>
        </a:prstGeom>
      </xdr:spPr>
    </xdr:pic>
    <xdr:clientData fPrintsWithSheet="0"/>
  </xdr:oneCellAnchor>
  <xdr:oneCellAnchor>
    <xdr:from>
      <xdr:col>18</xdr:col>
      <xdr:colOff>15873</xdr:colOff>
      <xdr:row>54</xdr:row>
      <xdr:rowOff>73499</xdr:rowOff>
    </xdr:from>
    <xdr:ext cx="154134" cy="154134"/>
    <xdr:pic macro="[0]!AddEditEmployerIncome">
      <xdr:nvPicPr>
        <xdr:cNvPr id="311" name="btnEditEMPSpouseIncomeApp1Job4" hidden="1">
          <a:extLst>
            <a:ext uri="{FF2B5EF4-FFF2-40B4-BE49-F238E27FC236}">
              <a16:creationId xmlns:a16="http://schemas.microsoft.com/office/drawing/2014/main" id="{6F33D42B-09E6-4598-85F0-5993D1AC768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312749"/>
          <a:ext cx="154134" cy="154134"/>
        </a:xfrm>
        <a:prstGeom prst="rect">
          <a:avLst/>
        </a:prstGeom>
      </xdr:spPr>
    </xdr:pic>
    <xdr:clientData fPrintsWithSheet="0"/>
  </xdr:oneCellAnchor>
  <xdr:oneCellAnchor>
    <xdr:from>
      <xdr:col>18</xdr:col>
      <xdr:colOff>168363</xdr:colOff>
      <xdr:row>55</xdr:row>
      <xdr:rowOff>66730</xdr:rowOff>
    </xdr:from>
    <xdr:ext cx="157842" cy="157842"/>
    <xdr:pic macro="[0]!DeleteEmployerIncome">
      <xdr:nvPicPr>
        <xdr:cNvPr id="312" name="btnDelEMPSpouseIncomeApp1Job5" hidden="1">
          <a:extLst>
            <a:ext uri="{FF2B5EF4-FFF2-40B4-BE49-F238E27FC236}">
              <a16:creationId xmlns:a16="http://schemas.microsoft.com/office/drawing/2014/main" id="{686088ED-DB3A-423C-A99A-44AB891400B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610530"/>
          <a:ext cx="157842" cy="157842"/>
        </a:xfrm>
        <a:prstGeom prst="rect">
          <a:avLst/>
        </a:prstGeom>
      </xdr:spPr>
    </xdr:pic>
    <xdr:clientData fPrintsWithSheet="0"/>
  </xdr:oneCellAnchor>
  <xdr:oneCellAnchor>
    <xdr:from>
      <xdr:col>18</xdr:col>
      <xdr:colOff>15873</xdr:colOff>
      <xdr:row>55</xdr:row>
      <xdr:rowOff>72138</xdr:rowOff>
    </xdr:from>
    <xdr:ext cx="154134" cy="154134"/>
    <xdr:pic macro="[0]!AddEditEmployerIncome">
      <xdr:nvPicPr>
        <xdr:cNvPr id="313" name="btnEditEMPSpouseIncomeApp1Job5" hidden="1">
          <a:extLst>
            <a:ext uri="{FF2B5EF4-FFF2-40B4-BE49-F238E27FC236}">
              <a16:creationId xmlns:a16="http://schemas.microsoft.com/office/drawing/2014/main" id="{0DB267F1-C7C8-4973-A72F-81A62A8CB52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549513"/>
          <a:ext cx="154134" cy="154134"/>
        </a:xfrm>
        <a:prstGeom prst="rect">
          <a:avLst/>
        </a:prstGeom>
      </xdr:spPr>
    </xdr:pic>
    <xdr:clientData fPrintsWithSheet="0"/>
  </xdr:oneCellAnchor>
  <xdr:oneCellAnchor>
    <xdr:from>
      <xdr:col>57</xdr:col>
      <xdr:colOff>76200</xdr:colOff>
      <xdr:row>405</xdr:row>
      <xdr:rowOff>0</xdr:rowOff>
    </xdr:from>
    <xdr:ext cx="1440000" cy="360000"/>
    <xdr:sp macro="[0]!ShowNavigationScreen" textlink="">
      <xdr:nvSpPr>
        <xdr:cNvPr id="267" name="btnOtherCalculatorsEnd">
          <a:extLst>
            <a:ext uri="{FF2B5EF4-FFF2-40B4-BE49-F238E27FC236}">
              <a16:creationId xmlns:a16="http://schemas.microsoft.com/office/drawing/2014/main" id="{6741E4BF-0F27-4CB2-9CB7-F7FF1645141A}"/>
            </a:ext>
          </a:extLst>
        </xdr:cNvPr>
        <xdr:cNvSpPr/>
      </xdr:nvSpPr>
      <xdr:spPr>
        <a:xfrm>
          <a:off x="10934700" y="30039469"/>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18</xdr:col>
      <xdr:colOff>168363</xdr:colOff>
      <xdr:row>57</xdr:row>
      <xdr:rowOff>59598</xdr:rowOff>
    </xdr:from>
    <xdr:ext cx="157842" cy="157842"/>
    <xdr:pic macro="[0]!ClearRentalIncomeOwnership">
      <xdr:nvPicPr>
        <xdr:cNvPr id="266" name="btnDelRentalSpouseIncomeApp1" hidden="1">
          <a:extLst>
            <a:ext uri="{FF2B5EF4-FFF2-40B4-BE49-F238E27FC236}">
              <a16:creationId xmlns:a16="http://schemas.microsoft.com/office/drawing/2014/main" id="{222C0439-C7BC-41FC-894F-9CBC03FF25C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155723"/>
          <a:ext cx="157842" cy="157842"/>
        </a:xfrm>
        <a:prstGeom prst="rect">
          <a:avLst/>
        </a:prstGeom>
      </xdr:spPr>
    </xdr:pic>
    <xdr:clientData fPrintsWithSheet="0"/>
  </xdr:oneCellAnchor>
  <xdr:oneCellAnchor>
    <xdr:from>
      <xdr:col>18</xdr:col>
      <xdr:colOff>15873</xdr:colOff>
      <xdr:row>57</xdr:row>
      <xdr:rowOff>69416</xdr:rowOff>
    </xdr:from>
    <xdr:ext cx="154134" cy="154134"/>
    <xdr:pic macro="[0]!AddRentalIncome">
      <xdr:nvPicPr>
        <xdr:cNvPr id="298" name="btnEditRentalSpouseIncomeApp1" hidden="1">
          <a:extLst>
            <a:ext uri="{FF2B5EF4-FFF2-40B4-BE49-F238E27FC236}">
              <a16:creationId xmlns:a16="http://schemas.microsoft.com/office/drawing/2014/main" id="{0733081F-E979-46EB-8FA3-24EB920C53E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10023041"/>
          <a:ext cx="154134" cy="154134"/>
        </a:xfrm>
        <a:prstGeom prst="rect">
          <a:avLst/>
        </a:prstGeom>
      </xdr:spPr>
    </xdr:pic>
    <xdr:clientData fPrintsWithSheet="0"/>
  </xdr:oneCellAnchor>
  <xdr:oneCellAnchor>
    <xdr:from>
      <xdr:col>18</xdr:col>
      <xdr:colOff>168363</xdr:colOff>
      <xdr:row>58</xdr:row>
      <xdr:rowOff>59598</xdr:rowOff>
    </xdr:from>
    <xdr:ext cx="157842" cy="157842"/>
    <xdr:pic macro="[0]!DeleteOtherIncome">
      <xdr:nvPicPr>
        <xdr:cNvPr id="328" name="btnDelOtherSpouseIncomeApp1" hidden="1">
          <a:extLst>
            <a:ext uri="{FF2B5EF4-FFF2-40B4-BE49-F238E27FC236}">
              <a16:creationId xmlns:a16="http://schemas.microsoft.com/office/drawing/2014/main" id="{68CBED3B-1FD3-42ED-9A07-2439D97EE29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631973"/>
          <a:ext cx="157842" cy="157842"/>
        </a:xfrm>
        <a:prstGeom prst="rect">
          <a:avLst/>
        </a:prstGeom>
      </xdr:spPr>
    </xdr:pic>
    <xdr:clientData fPrintsWithSheet="0"/>
  </xdr:oneCellAnchor>
  <xdr:oneCellAnchor>
    <xdr:from>
      <xdr:col>18</xdr:col>
      <xdr:colOff>15873</xdr:colOff>
      <xdr:row>58</xdr:row>
      <xdr:rowOff>68057</xdr:rowOff>
    </xdr:from>
    <xdr:ext cx="154134" cy="154134"/>
    <xdr:pic macro="[0]!AddEditOtherIncome">
      <xdr:nvPicPr>
        <xdr:cNvPr id="329" name="btnEditOtherSpouseIncomeApp1" hidden="1">
          <a:extLst>
            <a:ext uri="{FF2B5EF4-FFF2-40B4-BE49-F238E27FC236}">
              <a16:creationId xmlns:a16="http://schemas.microsoft.com/office/drawing/2014/main" id="{FA752D63-6E88-4738-A3F5-1DB1F708AA6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10259807"/>
          <a:ext cx="154134" cy="154134"/>
        </a:xfrm>
        <a:prstGeom prst="rect">
          <a:avLst/>
        </a:prstGeom>
      </xdr:spPr>
    </xdr:pic>
    <xdr:clientData fPrintsWithSheet="0"/>
  </xdr:oneCellAnchor>
  <xdr:oneCellAnchor>
    <xdr:from>
      <xdr:col>28</xdr:col>
      <xdr:colOff>167121</xdr:colOff>
      <xdr:row>57</xdr:row>
      <xdr:rowOff>64349</xdr:rowOff>
    </xdr:from>
    <xdr:ext cx="157842" cy="157842"/>
    <xdr:pic macro="[0]!ClearRentalIncomeOwnership">
      <xdr:nvPicPr>
        <xdr:cNvPr id="330" name="btnDelRentalSpouseIncomeApp2" hidden="1">
          <a:extLst>
            <a:ext uri="{FF2B5EF4-FFF2-40B4-BE49-F238E27FC236}">
              <a16:creationId xmlns:a16="http://schemas.microsoft.com/office/drawing/2014/main" id="{74F25471-99DD-4012-8B40-E0EB32C2A38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160474"/>
          <a:ext cx="157842" cy="157842"/>
        </a:xfrm>
        <a:prstGeom prst="rect">
          <a:avLst/>
        </a:prstGeom>
      </xdr:spPr>
    </xdr:pic>
    <xdr:clientData fPrintsWithSheet="0"/>
  </xdr:oneCellAnchor>
  <xdr:oneCellAnchor>
    <xdr:from>
      <xdr:col>28</xdr:col>
      <xdr:colOff>15875</xdr:colOff>
      <xdr:row>57</xdr:row>
      <xdr:rowOff>68057</xdr:rowOff>
    </xdr:from>
    <xdr:ext cx="154134" cy="154134"/>
    <xdr:pic macro="[0]!AddRentalIncome">
      <xdr:nvPicPr>
        <xdr:cNvPr id="331" name="btnEditRentalSpouseIncomeApp2" hidden="1">
          <a:extLst>
            <a:ext uri="{FF2B5EF4-FFF2-40B4-BE49-F238E27FC236}">
              <a16:creationId xmlns:a16="http://schemas.microsoft.com/office/drawing/2014/main" id="{9A91F9B0-8843-4CE7-A9F6-397142EC3C5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164182"/>
          <a:ext cx="154134" cy="154134"/>
        </a:xfrm>
        <a:prstGeom prst="rect">
          <a:avLst/>
        </a:prstGeom>
      </xdr:spPr>
    </xdr:pic>
    <xdr:clientData fPrintsWithSheet="0"/>
  </xdr:oneCellAnchor>
  <xdr:oneCellAnchor>
    <xdr:from>
      <xdr:col>28</xdr:col>
      <xdr:colOff>167121</xdr:colOff>
      <xdr:row>58</xdr:row>
      <xdr:rowOff>64349</xdr:rowOff>
    </xdr:from>
    <xdr:ext cx="157842" cy="157842"/>
    <xdr:pic macro="[0]!DeleteOtherIncome">
      <xdr:nvPicPr>
        <xdr:cNvPr id="334" name="btnDelOtherSpouseIncomeApp2" hidden="1">
          <a:extLst>
            <a:ext uri="{FF2B5EF4-FFF2-40B4-BE49-F238E27FC236}">
              <a16:creationId xmlns:a16="http://schemas.microsoft.com/office/drawing/2014/main" id="{181DA2E3-9A0F-48A6-B906-6C24553A6C3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636724"/>
          <a:ext cx="157842" cy="157842"/>
        </a:xfrm>
        <a:prstGeom prst="rect">
          <a:avLst/>
        </a:prstGeom>
      </xdr:spPr>
    </xdr:pic>
    <xdr:clientData fPrintsWithSheet="0"/>
  </xdr:oneCellAnchor>
  <xdr:oneCellAnchor>
    <xdr:from>
      <xdr:col>28</xdr:col>
      <xdr:colOff>15875</xdr:colOff>
      <xdr:row>58</xdr:row>
      <xdr:rowOff>68057</xdr:rowOff>
    </xdr:from>
    <xdr:ext cx="154134" cy="154134"/>
    <xdr:pic macro="[0]!AddEditOtherIncome">
      <xdr:nvPicPr>
        <xdr:cNvPr id="335" name="btnEditOtherSpouseIncomeApp2" hidden="1">
          <a:extLst>
            <a:ext uri="{FF2B5EF4-FFF2-40B4-BE49-F238E27FC236}">
              <a16:creationId xmlns:a16="http://schemas.microsoft.com/office/drawing/2014/main" id="{3CE62F9B-9BDA-470C-81A0-57AA8CFA6F8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640432"/>
          <a:ext cx="154134" cy="154134"/>
        </a:xfrm>
        <a:prstGeom prst="rect">
          <a:avLst/>
        </a:prstGeom>
      </xdr:spPr>
    </xdr:pic>
    <xdr:clientData fPrintsWithSheet="0"/>
  </xdr:oneCellAnchor>
  <xdr:oneCellAnchor>
    <xdr:from>
      <xdr:col>38</xdr:col>
      <xdr:colOff>167121</xdr:colOff>
      <xdr:row>57</xdr:row>
      <xdr:rowOff>64349</xdr:rowOff>
    </xdr:from>
    <xdr:ext cx="157842" cy="157842"/>
    <xdr:pic macro="[0]!ClearRentalIncomeOwnership">
      <xdr:nvPicPr>
        <xdr:cNvPr id="339" name="btnDelRentalSpouseIncomeApp3" hidden="1">
          <a:extLst>
            <a:ext uri="{FF2B5EF4-FFF2-40B4-BE49-F238E27FC236}">
              <a16:creationId xmlns:a16="http://schemas.microsoft.com/office/drawing/2014/main" id="{CBEEB66F-40B3-43E4-B2EC-C38F4B2EA03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160474"/>
          <a:ext cx="157842" cy="157842"/>
        </a:xfrm>
        <a:prstGeom prst="rect">
          <a:avLst/>
        </a:prstGeom>
      </xdr:spPr>
    </xdr:pic>
    <xdr:clientData fPrintsWithSheet="0"/>
  </xdr:oneCellAnchor>
  <xdr:oneCellAnchor>
    <xdr:from>
      <xdr:col>38</xdr:col>
      <xdr:colOff>15875</xdr:colOff>
      <xdr:row>57</xdr:row>
      <xdr:rowOff>68057</xdr:rowOff>
    </xdr:from>
    <xdr:ext cx="154134" cy="154134"/>
    <xdr:pic macro="[0]!AddRentalIncome">
      <xdr:nvPicPr>
        <xdr:cNvPr id="340" name="btnEditRentalSpouseIncomeApp3" hidden="1">
          <a:extLst>
            <a:ext uri="{FF2B5EF4-FFF2-40B4-BE49-F238E27FC236}">
              <a16:creationId xmlns:a16="http://schemas.microsoft.com/office/drawing/2014/main" id="{C6EBF74A-81F0-43D8-955A-9A134E7A94C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164182"/>
          <a:ext cx="154134" cy="154134"/>
        </a:xfrm>
        <a:prstGeom prst="rect">
          <a:avLst/>
        </a:prstGeom>
      </xdr:spPr>
    </xdr:pic>
    <xdr:clientData fPrintsWithSheet="0"/>
  </xdr:oneCellAnchor>
  <xdr:oneCellAnchor>
    <xdr:from>
      <xdr:col>38</xdr:col>
      <xdr:colOff>167121</xdr:colOff>
      <xdr:row>58</xdr:row>
      <xdr:rowOff>64349</xdr:rowOff>
    </xdr:from>
    <xdr:ext cx="157842" cy="157842"/>
    <xdr:pic macro="[0]!DeleteOtherIncome">
      <xdr:nvPicPr>
        <xdr:cNvPr id="343" name="btnDelOtherSpouseIncomeApp3" hidden="1">
          <a:extLst>
            <a:ext uri="{FF2B5EF4-FFF2-40B4-BE49-F238E27FC236}">
              <a16:creationId xmlns:a16="http://schemas.microsoft.com/office/drawing/2014/main" id="{B56EDE6C-19AF-46F2-A709-F05A2370520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636724"/>
          <a:ext cx="157842" cy="157842"/>
        </a:xfrm>
        <a:prstGeom prst="rect">
          <a:avLst/>
        </a:prstGeom>
      </xdr:spPr>
    </xdr:pic>
    <xdr:clientData fPrintsWithSheet="0"/>
  </xdr:oneCellAnchor>
  <xdr:oneCellAnchor>
    <xdr:from>
      <xdr:col>38</xdr:col>
      <xdr:colOff>15875</xdr:colOff>
      <xdr:row>58</xdr:row>
      <xdr:rowOff>68057</xdr:rowOff>
    </xdr:from>
    <xdr:ext cx="154134" cy="154134"/>
    <xdr:pic macro="[0]!AddEditOtherIncome">
      <xdr:nvPicPr>
        <xdr:cNvPr id="344" name="btnEditOtherSpouseIncomeApp3" hidden="1">
          <a:extLst>
            <a:ext uri="{FF2B5EF4-FFF2-40B4-BE49-F238E27FC236}">
              <a16:creationId xmlns:a16="http://schemas.microsoft.com/office/drawing/2014/main" id="{39561EEF-5013-411F-B803-E8D51C6AE77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640432"/>
          <a:ext cx="154134" cy="154134"/>
        </a:xfrm>
        <a:prstGeom prst="rect">
          <a:avLst/>
        </a:prstGeom>
      </xdr:spPr>
    </xdr:pic>
    <xdr:clientData fPrintsWithSheet="0"/>
  </xdr:oneCellAnchor>
  <xdr:oneCellAnchor>
    <xdr:from>
      <xdr:col>48</xdr:col>
      <xdr:colOff>167121</xdr:colOff>
      <xdr:row>57</xdr:row>
      <xdr:rowOff>64349</xdr:rowOff>
    </xdr:from>
    <xdr:ext cx="157842" cy="157842"/>
    <xdr:pic macro="[0]!ClearRentalIncomeOwnership">
      <xdr:nvPicPr>
        <xdr:cNvPr id="345" name="btnDelRentalSpouseIncomeApp4" hidden="1">
          <a:extLst>
            <a:ext uri="{FF2B5EF4-FFF2-40B4-BE49-F238E27FC236}">
              <a16:creationId xmlns:a16="http://schemas.microsoft.com/office/drawing/2014/main" id="{9CAEB424-E8C1-4EB3-BFFD-C0F3C47F254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160474"/>
          <a:ext cx="157842" cy="157842"/>
        </a:xfrm>
        <a:prstGeom prst="rect">
          <a:avLst/>
        </a:prstGeom>
      </xdr:spPr>
    </xdr:pic>
    <xdr:clientData fPrintsWithSheet="0"/>
  </xdr:oneCellAnchor>
  <xdr:oneCellAnchor>
    <xdr:from>
      <xdr:col>48</xdr:col>
      <xdr:colOff>15875</xdr:colOff>
      <xdr:row>57</xdr:row>
      <xdr:rowOff>68057</xdr:rowOff>
    </xdr:from>
    <xdr:ext cx="154134" cy="154134"/>
    <xdr:pic macro="[0]!AddRentalIncome">
      <xdr:nvPicPr>
        <xdr:cNvPr id="358" name="btnEditRentalSpouseIncomeApp4" hidden="1">
          <a:extLst>
            <a:ext uri="{FF2B5EF4-FFF2-40B4-BE49-F238E27FC236}">
              <a16:creationId xmlns:a16="http://schemas.microsoft.com/office/drawing/2014/main" id="{FD2012BE-3CAA-4E8B-A967-63213A33AF3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164182"/>
          <a:ext cx="154134" cy="154134"/>
        </a:xfrm>
        <a:prstGeom prst="rect">
          <a:avLst/>
        </a:prstGeom>
      </xdr:spPr>
    </xdr:pic>
    <xdr:clientData fPrintsWithSheet="0"/>
  </xdr:oneCellAnchor>
  <xdr:oneCellAnchor>
    <xdr:from>
      <xdr:col>48</xdr:col>
      <xdr:colOff>167121</xdr:colOff>
      <xdr:row>58</xdr:row>
      <xdr:rowOff>64349</xdr:rowOff>
    </xdr:from>
    <xdr:ext cx="157842" cy="157842"/>
    <xdr:pic macro="[0]!DeleteOtherIncome">
      <xdr:nvPicPr>
        <xdr:cNvPr id="361" name="btnDelOtherSpouseIncomeApp4" hidden="1">
          <a:extLst>
            <a:ext uri="{FF2B5EF4-FFF2-40B4-BE49-F238E27FC236}">
              <a16:creationId xmlns:a16="http://schemas.microsoft.com/office/drawing/2014/main" id="{FCA92508-DFDD-4A91-A2BC-220FBD3DEE5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636724"/>
          <a:ext cx="157842" cy="157842"/>
        </a:xfrm>
        <a:prstGeom prst="rect">
          <a:avLst/>
        </a:prstGeom>
      </xdr:spPr>
    </xdr:pic>
    <xdr:clientData fPrintsWithSheet="0"/>
  </xdr:oneCellAnchor>
  <xdr:oneCellAnchor>
    <xdr:from>
      <xdr:col>48</xdr:col>
      <xdr:colOff>15875</xdr:colOff>
      <xdr:row>58</xdr:row>
      <xdr:rowOff>68057</xdr:rowOff>
    </xdr:from>
    <xdr:ext cx="154134" cy="154134"/>
    <xdr:pic macro="[0]!AddEditOtherIncome">
      <xdr:nvPicPr>
        <xdr:cNvPr id="362" name="btnEditOtherSpouseIncomeApp4" hidden="1">
          <a:extLst>
            <a:ext uri="{FF2B5EF4-FFF2-40B4-BE49-F238E27FC236}">
              <a16:creationId xmlns:a16="http://schemas.microsoft.com/office/drawing/2014/main" id="{55EDC41F-E147-420A-9C58-D9F3F757381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640432"/>
          <a:ext cx="154134" cy="154134"/>
        </a:xfrm>
        <a:prstGeom prst="rect">
          <a:avLst/>
        </a:prstGeom>
      </xdr:spPr>
    </xdr:pic>
    <xdr:clientData fPrintsWithSheet="0"/>
  </xdr:oneCellAnchor>
  <xdr:oneCellAnchor>
    <xdr:from>
      <xdr:col>58</xdr:col>
      <xdr:colOff>167121</xdr:colOff>
      <xdr:row>57</xdr:row>
      <xdr:rowOff>64349</xdr:rowOff>
    </xdr:from>
    <xdr:ext cx="157842" cy="157842"/>
    <xdr:pic macro="[0]!ClearRentalIncomeOwnership">
      <xdr:nvPicPr>
        <xdr:cNvPr id="363" name="btnDelRentalSpouseIncomeApp5" hidden="1">
          <a:extLst>
            <a:ext uri="{FF2B5EF4-FFF2-40B4-BE49-F238E27FC236}">
              <a16:creationId xmlns:a16="http://schemas.microsoft.com/office/drawing/2014/main" id="{0E49BD9A-408A-4933-8493-F388B9FB3DB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160474"/>
          <a:ext cx="157842" cy="157842"/>
        </a:xfrm>
        <a:prstGeom prst="rect">
          <a:avLst/>
        </a:prstGeom>
      </xdr:spPr>
    </xdr:pic>
    <xdr:clientData fPrintsWithSheet="0"/>
  </xdr:oneCellAnchor>
  <xdr:oneCellAnchor>
    <xdr:from>
      <xdr:col>58</xdr:col>
      <xdr:colOff>15875</xdr:colOff>
      <xdr:row>57</xdr:row>
      <xdr:rowOff>68057</xdr:rowOff>
    </xdr:from>
    <xdr:ext cx="154134" cy="154134"/>
    <xdr:pic macro="[0]!AddRentalIncome">
      <xdr:nvPicPr>
        <xdr:cNvPr id="364" name="btnEditRentalSpouseIncomeApp5" hidden="1">
          <a:extLst>
            <a:ext uri="{FF2B5EF4-FFF2-40B4-BE49-F238E27FC236}">
              <a16:creationId xmlns:a16="http://schemas.microsoft.com/office/drawing/2014/main" id="{6E7C1BF4-035D-4620-A215-FC281D53443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164182"/>
          <a:ext cx="154134" cy="154134"/>
        </a:xfrm>
        <a:prstGeom prst="rect">
          <a:avLst/>
        </a:prstGeom>
      </xdr:spPr>
    </xdr:pic>
    <xdr:clientData fPrintsWithSheet="0"/>
  </xdr:oneCellAnchor>
  <xdr:oneCellAnchor>
    <xdr:from>
      <xdr:col>58</xdr:col>
      <xdr:colOff>167121</xdr:colOff>
      <xdr:row>58</xdr:row>
      <xdr:rowOff>64349</xdr:rowOff>
    </xdr:from>
    <xdr:ext cx="157842" cy="157842"/>
    <xdr:pic macro="[0]!DeleteOtherIncome">
      <xdr:nvPicPr>
        <xdr:cNvPr id="367" name="btnDelOtherSpouseIncomeApp5" hidden="1">
          <a:extLst>
            <a:ext uri="{FF2B5EF4-FFF2-40B4-BE49-F238E27FC236}">
              <a16:creationId xmlns:a16="http://schemas.microsoft.com/office/drawing/2014/main" id="{F0C75A3C-510F-44C3-9317-48804EEB154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636724"/>
          <a:ext cx="157842" cy="157842"/>
        </a:xfrm>
        <a:prstGeom prst="rect">
          <a:avLst/>
        </a:prstGeom>
      </xdr:spPr>
    </xdr:pic>
    <xdr:clientData fPrintsWithSheet="0"/>
  </xdr:oneCellAnchor>
  <xdr:oneCellAnchor>
    <xdr:from>
      <xdr:col>58</xdr:col>
      <xdr:colOff>15875</xdr:colOff>
      <xdr:row>58</xdr:row>
      <xdr:rowOff>68057</xdr:rowOff>
    </xdr:from>
    <xdr:ext cx="154134" cy="154134"/>
    <xdr:pic macro="[0]!AddEditOtherIncome">
      <xdr:nvPicPr>
        <xdr:cNvPr id="368" name="btnEditOtherSpouseIncomeApp5" hidden="1">
          <a:extLst>
            <a:ext uri="{FF2B5EF4-FFF2-40B4-BE49-F238E27FC236}">
              <a16:creationId xmlns:a16="http://schemas.microsoft.com/office/drawing/2014/main" id="{959A36B4-E464-4DC5-A8A3-00CB3EF0416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640432"/>
          <a:ext cx="154134" cy="154134"/>
        </a:xfrm>
        <a:prstGeom prst="rect">
          <a:avLst/>
        </a:prstGeom>
      </xdr:spPr>
    </xdr:pic>
    <xdr:clientData fPrintsWithSheet="0"/>
  </xdr:oneCellAnchor>
  <xdr:oneCellAnchor>
    <xdr:from>
      <xdr:col>68</xdr:col>
      <xdr:colOff>167121</xdr:colOff>
      <xdr:row>57</xdr:row>
      <xdr:rowOff>64349</xdr:rowOff>
    </xdr:from>
    <xdr:ext cx="157842" cy="157842"/>
    <xdr:pic macro="[0]!ClearRentalIncomeOwnership">
      <xdr:nvPicPr>
        <xdr:cNvPr id="369" name="btnDelRentalSpouseIncomeApp6" hidden="1">
          <a:extLst>
            <a:ext uri="{FF2B5EF4-FFF2-40B4-BE49-F238E27FC236}">
              <a16:creationId xmlns:a16="http://schemas.microsoft.com/office/drawing/2014/main" id="{37599F2F-B680-44D8-9F9C-E093C5E3240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160474"/>
          <a:ext cx="157842" cy="157842"/>
        </a:xfrm>
        <a:prstGeom prst="rect">
          <a:avLst/>
        </a:prstGeom>
      </xdr:spPr>
    </xdr:pic>
    <xdr:clientData fPrintsWithSheet="0"/>
  </xdr:oneCellAnchor>
  <xdr:oneCellAnchor>
    <xdr:from>
      <xdr:col>68</xdr:col>
      <xdr:colOff>15875</xdr:colOff>
      <xdr:row>57</xdr:row>
      <xdr:rowOff>68057</xdr:rowOff>
    </xdr:from>
    <xdr:ext cx="154134" cy="154134"/>
    <xdr:pic macro="[0]!AddRentalIncome">
      <xdr:nvPicPr>
        <xdr:cNvPr id="370" name="btnEditRentalSpouseIncomeApp6" hidden="1">
          <a:extLst>
            <a:ext uri="{FF2B5EF4-FFF2-40B4-BE49-F238E27FC236}">
              <a16:creationId xmlns:a16="http://schemas.microsoft.com/office/drawing/2014/main" id="{BBDA96F9-2ADC-4F9E-A99F-4705736A861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164182"/>
          <a:ext cx="154134" cy="154134"/>
        </a:xfrm>
        <a:prstGeom prst="rect">
          <a:avLst/>
        </a:prstGeom>
      </xdr:spPr>
    </xdr:pic>
    <xdr:clientData fPrintsWithSheet="0"/>
  </xdr:oneCellAnchor>
  <xdr:oneCellAnchor>
    <xdr:from>
      <xdr:col>68</xdr:col>
      <xdr:colOff>167121</xdr:colOff>
      <xdr:row>58</xdr:row>
      <xdr:rowOff>64349</xdr:rowOff>
    </xdr:from>
    <xdr:ext cx="157842" cy="157842"/>
    <xdr:pic macro="[0]!DeleteOtherIncome">
      <xdr:nvPicPr>
        <xdr:cNvPr id="373" name="btnDelOtherSpouseIncomeApp6" hidden="1">
          <a:extLst>
            <a:ext uri="{FF2B5EF4-FFF2-40B4-BE49-F238E27FC236}">
              <a16:creationId xmlns:a16="http://schemas.microsoft.com/office/drawing/2014/main" id="{BB85A3A3-FE54-4B16-B78C-8BBE65FDFF3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636724"/>
          <a:ext cx="157842" cy="157842"/>
        </a:xfrm>
        <a:prstGeom prst="rect">
          <a:avLst/>
        </a:prstGeom>
      </xdr:spPr>
    </xdr:pic>
    <xdr:clientData fPrintsWithSheet="0"/>
  </xdr:oneCellAnchor>
  <xdr:oneCellAnchor>
    <xdr:from>
      <xdr:col>68</xdr:col>
      <xdr:colOff>15875</xdr:colOff>
      <xdr:row>58</xdr:row>
      <xdr:rowOff>68057</xdr:rowOff>
    </xdr:from>
    <xdr:ext cx="154134" cy="154134"/>
    <xdr:pic macro="[0]!AddEditOtherIncome">
      <xdr:nvPicPr>
        <xdr:cNvPr id="374" name="btnEditOtherSpouseIncomeApp6" hidden="1">
          <a:extLst>
            <a:ext uri="{FF2B5EF4-FFF2-40B4-BE49-F238E27FC236}">
              <a16:creationId xmlns:a16="http://schemas.microsoft.com/office/drawing/2014/main" id="{9AB02011-7520-4C76-9C3F-10FA064ED8E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640432"/>
          <a:ext cx="154134" cy="154134"/>
        </a:xfrm>
        <a:prstGeom prst="rect">
          <a:avLst/>
        </a:prstGeom>
      </xdr:spPr>
    </xdr:pic>
    <xdr:clientData fPrintsWithSheet="0"/>
  </xdr:oneCellAnchor>
  <xdr:oneCellAnchor>
    <xdr:from>
      <xdr:col>18</xdr:col>
      <xdr:colOff>168363</xdr:colOff>
      <xdr:row>56</xdr:row>
      <xdr:rowOff>67069</xdr:rowOff>
    </xdr:from>
    <xdr:ext cx="157842" cy="157842"/>
    <xdr:pic macro="[0]!DeleteSelfEmployedIncome">
      <xdr:nvPicPr>
        <xdr:cNvPr id="314" name="btnDelSESpouseIncomeApp1" hidden="1">
          <a:extLst>
            <a:ext uri="{FF2B5EF4-FFF2-40B4-BE49-F238E27FC236}">
              <a16:creationId xmlns:a16="http://schemas.microsoft.com/office/drawing/2014/main" id="{F350D26D-74F7-4E9A-8730-3817DCB230D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9782569"/>
          <a:ext cx="157842" cy="157842"/>
        </a:xfrm>
        <a:prstGeom prst="rect">
          <a:avLst/>
        </a:prstGeom>
      </xdr:spPr>
    </xdr:pic>
    <xdr:clientData fPrintsWithSheet="0"/>
  </xdr:oneCellAnchor>
  <xdr:oneCellAnchor>
    <xdr:from>
      <xdr:col>18</xdr:col>
      <xdr:colOff>15873</xdr:colOff>
      <xdr:row>56</xdr:row>
      <xdr:rowOff>70777</xdr:rowOff>
    </xdr:from>
    <xdr:ext cx="154134" cy="154134"/>
    <xdr:pic macro="[0]!AddEditSelfEmployedIncome">
      <xdr:nvPicPr>
        <xdr:cNvPr id="315" name="btnEditSESpouseIncomeApp1" hidden="1">
          <a:extLst>
            <a:ext uri="{FF2B5EF4-FFF2-40B4-BE49-F238E27FC236}">
              <a16:creationId xmlns:a16="http://schemas.microsoft.com/office/drawing/2014/main" id="{64F7F460-531F-4F85-899A-4BD211D6C12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786277"/>
          <a:ext cx="154134" cy="154134"/>
        </a:xfrm>
        <a:prstGeom prst="rect">
          <a:avLst/>
        </a:prstGeom>
      </xdr:spPr>
    </xdr:pic>
    <xdr:clientData fPrintsWithSheet="0"/>
  </xdr:oneCellAnchor>
  <xdr:oneCellAnchor>
    <xdr:from>
      <xdr:col>28</xdr:col>
      <xdr:colOff>168363</xdr:colOff>
      <xdr:row>56</xdr:row>
      <xdr:rowOff>67069</xdr:rowOff>
    </xdr:from>
    <xdr:ext cx="157842" cy="157842"/>
    <xdr:pic macro="[0]!DeleteSelfEmployedIncome">
      <xdr:nvPicPr>
        <xdr:cNvPr id="316" name="btnDelSESpouseIncomeApp2" hidden="1">
          <a:extLst>
            <a:ext uri="{FF2B5EF4-FFF2-40B4-BE49-F238E27FC236}">
              <a16:creationId xmlns:a16="http://schemas.microsoft.com/office/drawing/2014/main" id="{C6B58885-FF68-4D44-B914-2F2A58E80AB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2363" y="9782569"/>
          <a:ext cx="157842" cy="157842"/>
        </a:xfrm>
        <a:prstGeom prst="rect">
          <a:avLst/>
        </a:prstGeom>
      </xdr:spPr>
    </xdr:pic>
    <xdr:clientData fPrintsWithSheet="0"/>
  </xdr:oneCellAnchor>
  <xdr:oneCellAnchor>
    <xdr:from>
      <xdr:col>28</xdr:col>
      <xdr:colOff>15873</xdr:colOff>
      <xdr:row>56</xdr:row>
      <xdr:rowOff>70777</xdr:rowOff>
    </xdr:from>
    <xdr:ext cx="154134" cy="154134"/>
    <xdr:pic macro="[0]!AddEditSelfEmployedIncome">
      <xdr:nvPicPr>
        <xdr:cNvPr id="317" name="btnEditSESpouseIncomeApp2" hidden="1">
          <a:extLst>
            <a:ext uri="{FF2B5EF4-FFF2-40B4-BE49-F238E27FC236}">
              <a16:creationId xmlns:a16="http://schemas.microsoft.com/office/drawing/2014/main" id="{DB86D709-83DB-4C85-A08D-E4189F7F49F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3" y="9786277"/>
          <a:ext cx="154134" cy="154134"/>
        </a:xfrm>
        <a:prstGeom prst="rect">
          <a:avLst/>
        </a:prstGeom>
      </xdr:spPr>
    </xdr:pic>
    <xdr:clientData fPrintsWithSheet="0"/>
  </xdr:oneCellAnchor>
  <xdr:oneCellAnchor>
    <xdr:from>
      <xdr:col>38</xdr:col>
      <xdr:colOff>168363</xdr:colOff>
      <xdr:row>56</xdr:row>
      <xdr:rowOff>67069</xdr:rowOff>
    </xdr:from>
    <xdr:ext cx="157842" cy="157842"/>
    <xdr:pic macro="[0]!DeleteSelfEmployedIncome">
      <xdr:nvPicPr>
        <xdr:cNvPr id="318" name="btnDelSESpouseIncomeApp3" hidden="1">
          <a:extLst>
            <a:ext uri="{FF2B5EF4-FFF2-40B4-BE49-F238E27FC236}">
              <a16:creationId xmlns:a16="http://schemas.microsoft.com/office/drawing/2014/main" id="{8FDE33ED-76FA-456B-A1F8-B3E64DFF67C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7363" y="9782569"/>
          <a:ext cx="157842" cy="157842"/>
        </a:xfrm>
        <a:prstGeom prst="rect">
          <a:avLst/>
        </a:prstGeom>
      </xdr:spPr>
    </xdr:pic>
    <xdr:clientData fPrintsWithSheet="0"/>
  </xdr:oneCellAnchor>
  <xdr:oneCellAnchor>
    <xdr:from>
      <xdr:col>38</xdr:col>
      <xdr:colOff>15873</xdr:colOff>
      <xdr:row>56</xdr:row>
      <xdr:rowOff>70777</xdr:rowOff>
    </xdr:from>
    <xdr:ext cx="154134" cy="154134"/>
    <xdr:pic macro="[0]!AddEditSelfEmployedIncome">
      <xdr:nvPicPr>
        <xdr:cNvPr id="319" name="btnEditSESpouseIncomeApp3" hidden="1">
          <a:extLst>
            <a:ext uri="{FF2B5EF4-FFF2-40B4-BE49-F238E27FC236}">
              <a16:creationId xmlns:a16="http://schemas.microsoft.com/office/drawing/2014/main" id="{96EAB59A-5AD8-4253-ACE0-6C881D65B2C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3" y="9786277"/>
          <a:ext cx="154134" cy="154134"/>
        </a:xfrm>
        <a:prstGeom prst="rect">
          <a:avLst/>
        </a:prstGeom>
      </xdr:spPr>
    </xdr:pic>
    <xdr:clientData fPrintsWithSheet="0"/>
  </xdr:oneCellAnchor>
  <xdr:oneCellAnchor>
    <xdr:from>
      <xdr:col>48</xdr:col>
      <xdr:colOff>168363</xdr:colOff>
      <xdr:row>56</xdr:row>
      <xdr:rowOff>67069</xdr:rowOff>
    </xdr:from>
    <xdr:ext cx="157842" cy="157842"/>
    <xdr:pic macro="[0]!DeleteSelfEmployedIncome">
      <xdr:nvPicPr>
        <xdr:cNvPr id="320" name="btnDelSESpouseIncomeApp4" hidden="1">
          <a:extLst>
            <a:ext uri="{FF2B5EF4-FFF2-40B4-BE49-F238E27FC236}">
              <a16:creationId xmlns:a16="http://schemas.microsoft.com/office/drawing/2014/main" id="{E8EDEA8A-E33A-4E68-9ABD-CA5F23EE72F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2363" y="9782569"/>
          <a:ext cx="157842" cy="157842"/>
        </a:xfrm>
        <a:prstGeom prst="rect">
          <a:avLst/>
        </a:prstGeom>
      </xdr:spPr>
    </xdr:pic>
    <xdr:clientData fPrintsWithSheet="0"/>
  </xdr:oneCellAnchor>
  <xdr:oneCellAnchor>
    <xdr:from>
      <xdr:col>48</xdr:col>
      <xdr:colOff>15873</xdr:colOff>
      <xdr:row>56</xdr:row>
      <xdr:rowOff>70777</xdr:rowOff>
    </xdr:from>
    <xdr:ext cx="154134" cy="154134"/>
    <xdr:pic macro="[0]!AddEditSelfEmployedIncome">
      <xdr:nvPicPr>
        <xdr:cNvPr id="321" name="btnEditSESpouseIncomeApp4" hidden="1">
          <a:extLst>
            <a:ext uri="{FF2B5EF4-FFF2-40B4-BE49-F238E27FC236}">
              <a16:creationId xmlns:a16="http://schemas.microsoft.com/office/drawing/2014/main" id="{1DA6C743-455E-4BE1-90AF-88C8E9A6198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3" y="9786277"/>
          <a:ext cx="154134" cy="154134"/>
        </a:xfrm>
        <a:prstGeom prst="rect">
          <a:avLst/>
        </a:prstGeom>
      </xdr:spPr>
    </xdr:pic>
    <xdr:clientData fPrintsWithSheet="0"/>
  </xdr:oneCellAnchor>
  <xdr:oneCellAnchor>
    <xdr:from>
      <xdr:col>58</xdr:col>
      <xdr:colOff>168363</xdr:colOff>
      <xdr:row>56</xdr:row>
      <xdr:rowOff>67069</xdr:rowOff>
    </xdr:from>
    <xdr:ext cx="157842" cy="157842"/>
    <xdr:pic macro="[0]!DeleteSelfEmployedIncome">
      <xdr:nvPicPr>
        <xdr:cNvPr id="322" name="btnDelSESpouseIncomeApp5" hidden="1">
          <a:extLst>
            <a:ext uri="{FF2B5EF4-FFF2-40B4-BE49-F238E27FC236}">
              <a16:creationId xmlns:a16="http://schemas.microsoft.com/office/drawing/2014/main" id="{A7608955-1922-4B3E-8886-1FFF28FE207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7363" y="9782569"/>
          <a:ext cx="157842" cy="157842"/>
        </a:xfrm>
        <a:prstGeom prst="rect">
          <a:avLst/>
        </a:prstGeom>
      </xdr:spPr>
    </xdr:pic>
    <xdr:clientData fPrintsWithSheet="0"/>
  </xdr:oneCellAnchor>
  <xdr:oneCellAnchor>
    <xdr:from>
      <xdr:col>58</xdr:col>
      <xdr:colOff>15873</xdr:colOff>
      <xdr:row>56</xdr:row>
      <xdr:rowOff>70777</xdr:rowOff>
    </xdr:from>
    <xdr:ext cx="154134" cy="154134"/>
    <xdr:pic macro="[0]!AddEditSelfEmployedIncome">
      <xdr:nvPicPr>
        <xdr:cNvPr id="323" name="btnEditSESpouseIncomeApp5" hidden="1">
          <a:extLst>
            <a:ext uri="{FF2B5EF4-FFF2-40B4-BE49-F238E27FC236}">
              <a16:creationId xmlns:a16="http://schemas.microsoft.com/office/drawing/2014/main" id="{E3C75D87-EA70-40CE-B5F5-D8AED8F4347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3" y="9786277"/>
          <a:ext cx="154134" cy="154134"/>
        </a:xfrm>
        <a:prstGeom prst="rect">
          <a:avLst/>
        </a:prstGeom>
      </xdr:spPr>
    </xdr:pic>
    <xdr:clientData fPrintsWithSheet="0"/>
  </xdr:oneCellAnchor>
  <xdr:oneCellAnchor>
    <xdr:from>
      <xdr:col>68</xdr:col>
      <xdr:colOff>168363</xdr:colOff>
      <xdr:row>56</xdr:row>
      <xdr:rowOff>67069</xdr:rowOff>
    </xdr:from>
    <xdr:ext cx="157842" cy="157842"/>
    <xdr:pic macro="[0]!DeleteSelfEmployedIncome">
      <xdr:nvPicPr>
        <xdr:cNvPr id="324" name="btnDelSESpouseIncomeApp6" hidden="1">
          <a:extLst>
            <a:ext uri="{FF2B5EF4-FFF2-40B4-BE49-F238E27FC236}">
              <a16:creationId xmlns:a16="http://schemas.microsoft.com/office/drawing/2014/main" id="{CCD1D3CE-ED71-4F72-9851-7A2CDC4C94A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2363" y="9782569"/>
          <a:ext cx="157842" cy="157842"/>
        </a:xfrm>
        <a:prstGeom prst="rect">
          <a:avLst/>
        </a:prstGeom>
      </xdr:spPr>
    </xdr:pic>
    <xdr:clientData fPrintsWithSheet="0"/>
  </xdr:oneCellAnchor>
  <xdr:oneCellAnchor>
    <xdr:from>
      <xdr:col>68</xdr:col>
      <xdr:colOff>15873</xdr:colOff>
      <xdr:row>56</xdr:row>
      <xdr:rowOff>70777</xdr:rowOff>
    </xdr:from>
    <xdr:ext cx="154134" cy="154134"/>
    <xdr:pic macro="[0]!AddEditSelfEmployedIncome">
      <xdr:nvPicPr>
        <xdr:cNvPr id="325" name="btnEditSESpouseIncomeApp6" hidden="1">
          <a:extLst>
            <a:ext uri="{FF2B5EF4-FFF2-40B4-BE49-F238E27FC236}">
              <a16:creationId xmlns:a16="http://schemas.microsoft.com/office/drawing/2014/main" id="{A238A9F7-39F3-4BBB-8EFC-FC1CA46C494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3" y="9786277"/>
          <a:ext cx="154134" cy="154134"/>
        </a:xfrm>
        <a:prstGeom prst="rect">
          <a:avLst/>
        </a:prstGeom>
      </xdr:spPr>
    </xdr:pic>
    <xdr:clientData fPrintsWithSheet="0"/>
  </xdr:oneCellAnchor>
  <xdr:oneCellAnchor>
    <xdr:from>
      <xdr:col>18</xdr:col>
      <xdr:colOff>168363</xdr:colOff>
      <xdr:row>39</xdr:row>
      <xdr:rowOff>58532</xdr:rowOff>
    </xdr:from>
    <xdr:ext cx="157842" cy="157842"/>
    <xdr:pic macro="[0]!DeleteSelfEmployedIncome">
      <xdr:nvPicPr>
        <xdr:cNvPr id="326" name="btnDelSEIncomeApp1">
          <a:extLst>
            <a:ext uri="{FF2B5EF4-FFF2-40B4-BE49-F238E27FC236}">
              <a16:creationId xmlns:a16="http://schemas.microsoft.com/office/drawing/2014/main" id="{CE1C00D3-D4E9-4747-BA52-B563DA02A6B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440282"/>
          <a:ext cx="157842" cy="157842"/>
        </a:xfrm>
        <a:prstGeom prst="rect">
          <a:avLst/>
        </a:prstGeom>
      </xdr:spPr>
    </xdr:pic>
    <xdr:clientData fPrintsWithSheet="0"/>
  </xdr:oneCellAnchor>
  <xdr:oneCellAnchor>
    <xdr:from>
      <xdr:col>18</xdr:col>
      <xdr:colOff>15873</xdr:colOff>
      <xdr:row>39</xdr:row>
      <xdr:rowOff>66991</xdr:rowOff>
    </xdr:from>
    <xdr:ext cx="154134" cy="154134"/>
    <xdr:pic macro="[0]!AddEditSelfEmployedIncome">
      <xdr:nvPicPr>
        <xdr:cNvPr id="327" name="btnEditSEIncomeApp1">
          <a:extLst>
            <a:ext uri="{FF2B5EF4-FFF2-40B4-BE49-F238E27FC236}">
              <a16:creationId xmlns:a16="http://schemas.microsoft.com/office/drawing/2014/main" id="{EF8A3F59-AD76-4217-AC7F-56C563BD92A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448741"/>
          <a:ext cx="154134" cy="154134"/>
        </a:xfrm>
        <a:prstGeom prst="rect">
          <a:avLst/>
        </a:prstGeom>
      </xdr:spPr>
    </xdr:pic>
    <xdr:clientData fPrintsWithSheet="0"/>
  </xdr:oneCellAnchor>
  <xdr:oneCellAnchor>
    <xdr:from>
      <xdr:col>28</xdr:col>
      <xdr:colOff>171540</xdr:colOff>
      <xdr:row>39</xdr:row>
      <xdr:rowOff>58532</xdr:rowOff>
    </xdr:from>
    <xdr:ext cx="157842" cy="157842"/>
    <xdr:pic macro="[0]!DeleteSelfEmployedIncome">
      <xdr:nvPicPr>
        <xdr:cNvPr id="332" name="btnDelSEIncomeApp2">
          <a:extLst>
            <a:ext uri="{FF2B5EF4-FFF2-40B4-BE49-F238E27FC236}">
              <a16:creationId xmlns:a16="http://schemas.microsoft.com/office/drawing/2014/main" id="{EE73A757-C3C2-45D7-BB58-F2150A2C6E5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5540" y="6440282"/>
          <a:ext cx="157842" cy="157842"/>
        </a:xfrm>
        <a:prstGeom prst="rect">
          <a:avLst/>
        </a:prstGeom>
      </xdr:spPr>
    </xdr:pic>
    <xdr:clientData fPrintsWithSheet="0"/>
  </xdr:oneCellAnchor>
  <xdr:oneCellAnchor>
    <xdr:from>
      <xdr:col>28</xdr:col>
      <xdr:colOff>19050</xdr:colOff>
      <xdr:row>39</xdr:row>
      <xdr:rowOff>62240</xdr:rowOff>
    </xdr:from>
    <xdr:ext cx="154134" cy="154134"/>
    <xdr:pic macro="[0]!AddEditSelfEmployedIncome">
      <xdr:nvPicPr>
        <xdr:cNvPr id="333" name="btnEditSEIncomeApp2">
          <a:extLst>
            <a:ext uri="{FF2B5EF4-FFF2-40B4-BE49-F238E27FC236}">
              <a16:creationId xmlns:a16="http://schemas.microsoft.com/office/drawing/2014/main" id="{17C6CE2A-31BC-40A6-A0EC-2C5546D6AF3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53050" y="6443990"/>
          <a:ext cx="154134" cy="154134"/>
        </a:xfrm>
        <a:prstGeom prst="rect">
          <a:avLst/>
        </a:prstGeom>
      </xdr:spPr>
    </xdr:pic>
    <xdr:clientData fPrintsWithSheet="0"/>
  </xdr:oneCellAnchor>
  <xdr:oneCellAnchor>
    <xdr:from>
      <xdr:col>38</xdr:col>
      <xdr:colOff>171540</xdr:colOff>
      <xdr:row>39</xdr:row>
      <xdr:rowOff>58532</xdr:rowOff>
    </xdr:from>
    <xdr:ext cx="157842" cy="157842"/>
    <xdr:pic macro="[0]!DeleteSelfEmployedIncome">
      <xdr:nvPicPr>
        <xdr:cNvPr id="341" name="btnDelSEIncomeApp3" hidden="1">
          <a:extLst>
            <a:ext uri="{FF2B5EF4-FFF2-40B4-BE49-F238E27FC236}">
              <a16:creationId xmlns:a16="http://schemas.microsoft.com/office/drawing/2014/main" id="{9F020CCA-446E-44B7-AC88-5F187466EFB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10540" y="6440282"/>
          <a:ext cx="157842" cy="157842"/>
        </a:xfrm>
        <a:prstGeom prst="rect">
          <a:avLst/>
        </a:prstGeom>
      </xdr:spPr>
    </xdr:pic>
    <xdr:clientData fPrintsWithSheet="0"/>
  </xdr:oneCellAnchor>
  <xdr:oneCellAnchor>
    <xdr:from>
      <xdr:col>38</xdr:col>
      <xdr:colOff>19050</xdr:colOff>
      <xdr:row>39</xdr:row>
      <xdr:rowOff>62240</xdr:rowOff>
    </xdr:from>
    <xdr:ext cx="154134" cy="154134"/>
    <xdr:pic macro="[0]!AddEditSelfEmployedIncome">
      <xdr:nvPicPr>
        <xdr:cNvPr id="342" name="btnEditSEIncomeApp3" hidden="1">
          <a:extLst>
            <a:ext uri="{FF2B5EF4-FFF2-40B4-BE49-F238E27FC236}">
              <a16:creationId xmlns:a16="http://schemas.microsoft.com/office/drawing/2014/main" id="{22CF7079-AB6C-47C4-828B-6A586F227BF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8050" y="6443990"/>
          <a:ext cx="154134" cy="154134"/>
        </a:xfrm>
        <a:prstGeom prst="rect">
          <a:avLst/>
        </a:prstGeom>
      </xdr:spPr>
    </xdr:pic>
    <xdr:clientData fPrintsWithSheet="0"/>
  </xdr:oneCellAnchor>
  <xdr:oneCellAnchor>
    <xdr:from>
      <xdr:col>48</xdr:col>
      <xdr:colOff>171540</xdr:colOff>
      <xdr:row>39</xdr:row>
      <xdr:rowOff>58532</xdr:rowOff>
    </xdr:from>
    <xdr:ext cx="157842" cy="157842"/>
    <xdr:pic macro="[0]!DeleteSelfEmployedIncome">
      <xdr:nvPicPr>
        <xdr:cNvPr id="359" name="btnDelSEIncomeApp4" hidden="1">
          <a:extLst>
            <a:ext uri="{FF2B5EF4-FFF2-40B4-BE49-F238E27FC236}">
              <a16:creationId xmlns:a16="http://schemas.microsoft.com/office/drawing/2014/main" id="{E0F19594-AD26-43DF-8CDE-99010F507CB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5540" y="6440282"/>
          <a:ext cx="157842" cy="157842"/>
        </a:xfrm>
        <a:prstGeom prst="rect">
          <a:avLst/>
        </a:prstGeom>
      </xdr:spPr>
    </xdr:pic>
    <xdr:clientData fPrintsWithSheet="0"/>
  </xdr:oneCellAnchor>
  <xdr:oneCellAnchor>
    <xdr:from>
      <xdr:col>48</xdr:col>
      <xdr:colOff>19050</xdr:colOff>
      <xdr:row>39</xdr:row>
      <xdr:rowOff>62240</xdr:rowOff>
    </xdr:from>
    <xdr:ext cx="154134" cy="154134"/>
    <xdr:pic macro="[0]!AddEditSelfEmployedIncome">
      <xdr:nvPicPr>
        <xdr:cNvPr id="360" name="btnEditSEIncomeApp4" hidden="1">
          <a:extLst>
            <a:ext uri="{FF2B5EF4-FFF2-40B4-BE49-F238E27FC236}">
              <a16:creationId xmlns:a16="http://schemas.microsoft.com/office/drawing/2014/main" id="{C8F0F196-B3A9-41BF-8170-D08DB752FE6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63050" y="6443990"/>
          <a:ext cx="154134" cy="154134"/>
        </a:xfrm>
        <a:prstGeom prst="rect">
          <a:avLst/>
        </a:prstGeom>
      </xdr:spPr>
    </xdr:pic>
    <xdr:clientData fPrintsWithSheet="0"/>
  </xdr:oneCellAnchor>
  <xdr:oneCellAnchor>
    <xdr:from>
      <xdr:col>58</xdr:col>
      <xdr:colOff>171540</xdr:colOff>
      <xdr:row>39</xdr:row>
      <xdr:rowOff>58532</xdr:rowOff>
    </xdr:from>
    <xdr:ext cx="157842" cy="157842"/>
    <xdr:pic macro="[0]!DeleteSelfEmployedIncome">
      <xdr:nvPicPr>
        <xdr:cNvPr id="365" name="btnDelSEIncomeApp5" hidden="1">
          <a:extLst>
            <a:ext uri="{FF2B5EF4-FFF2-40B4-BE49-F238E27FC236}">
              <a16:creationId xmlns:a16="http://schemas.microsoft.com/office/drawing/2014/main" id="{FF50AF37-3814-4D03-8D2F-CE204BB0EF8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20540" y="6440282"/>
          <a:ext cx="157842" cy="157842"/>
        </a:xfrm>
        <a:prstGeom prst="rect">
          <a:avLst/>
        </a:prstGeom>
      </xdr:spPr>
    </xdr:pic>
    <xdr:clientData fPrintsWithSheet="0"/>
  </xdr:oneCellAnchor>
  <xdr:oneCellAnchor>
    <xdr:from>
      <xdr:col>58</xdr:col>
      <xdr:colOff>19050</xdr:colOff>
      <xdr:row>39</xdr:row>
      <xdr:rowOff>62240</xdr:rowOff>
    </xdr:from>
    <xdr:ext cx="154134" cy="154134"/>
    <xdr:pic macro="[0]!AddEditSelfEmployedIncome">
      <xdr:nvPicPr>
        <xdr:cNvPr id="366" name="btnEditSEIncomeApp5" hidden="1">
          <a:extLst>
            <a:ext uri="{FF2B5EF4-FFF2-40B4-BE49-F238E27FC236}">
              <a16:creationId xmlns:a16="http://schemas.microsoft.com/office/drawing/2014/main" id="{39709ED1-E241-4CFC-99A0-B39B941A8C8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8050" y="6443990"/>
          <a:ext cx="154134" cy="154134"/>
        </a:xfrm>
        <a:prstGeom prst="rect">
          <a:avLst/>
        </a:prstGeom>
      </xdr:spPr>
    </xdr:pic>
    <xdr:clientData fPrintsWithSheet="0"/>
  </xdr:oneCellAnchor>
  <xdr:oneCellAnchor>
    <xdr:from>
      <xdr:col>68</xdr:col>
      <xdr:colOff>171540</xdr:colOff>
      <xdr:row>39</xdr:row>
      <xdr:rowOff>58532</xdr:rowOff>
    </xdr:from>
    <xdr:ext cx="157842" cy="157842"/>
    <xdr:pic macro="[0]!DeleteSelfEmployedIncome">
      <xdr:nvPicPr>
        <xdr:cNvPr id="371" name="btnDelSEIncomeApp6" hidden="1">
          <a:extLst>
            <a:ext uri="{FF2B5EF4-FFF2-40B4-BE49-F238E27FC236}">
              <a16:creationId xmlns:a16="http://schemas.microsoft.com/office/drawing/2014/main" id="{630DA2F7-2A6C-4DFF-9726-6D211FE8ABA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5540" y="6440282"/>
          <a:ext cx="157842" cy="157842"/>
        </a:xfrm>
        <a:prstGeom prst="rect">
          <a:avLst/>
        </a:prstGeom>
      </xdr:spPr>
    </xdr:pic>
    <xdr:clientData fPrintsWithSheet="0"/>
  </xdr:oneCellAnchor>
  <xdr:oneCellAnchor>
    <xdr:from>
      <xdr:col>68</xdr:col>
      <xdr:colOff>19050</xdr:colOff>
      <xdr:row>39</xdr:row>
      <xdr:rowOff>62240</xdr:rowOff>
    </xdr:from>
    <xdr:ext cx="154134" cy="154134"/>
    <xdr:pic macro="[0]!AddEditSelfEmployedIncome">
      <xdr:nvPicPr>
        <xdr:cNvPr id="372" name="btnEditSEIncomeApp6" hidden="1">
          <a:extLst>
            <a:ext uri="{FF2B5EF4-FFF2-40B4-BE49-F238E27FC236}">
              <a16:creationId xmlns:a16="http://schemas.microsoft.com/office/drawing/2014/main" id="{715CA203-3021-4CFD-B6C0-2C6DC2EFA55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73050" y="6443990"/>
          <a:ext cx="154134" cy="154134"/>
        </a:xfrm>
        <a:prstGeom prst="rect">
          <a:avLst/>
        </a:prstGeom>
      </xdr:spPr>
    </xdr:pic>
    <xdr:clientData fPrintsWithSheet="0"/>
  </xdr:oneCellAnchor>
  <xdr:oneCellAnchor>
    <xdr:from>
      <xdr:col>64</xdr:col>
      <xdr:colOff>171450</xdr:colOff>
      <xdr:row>331</xdr:row>
      <xdr:rowOff>219075</xdr:rowOff>
    </xdr:from>
    <xdr:ext cx="1924050" cy="360000"/>
    <xdr:sp macro="[0]!ShowProLoanSTSLCalculations" textlink="">
      <xdr:nvSpPr>
        <xdr:cNvPr id="2" name="btnShowProLoanSTSLTables" hidden="1">
          <a:extLst>
            <a:ext uri="{FF2B5EF4-FFF2-40B4-BE49-F238E27FC236}">
              <a16:creationId xmlns:a16="http://schemas.microsoft.com/office/drawing/2014/main" id="{43DE0080-AE75-4E39-82F5-6DBC597C4EBC}"/>
            </a:ext>
          </a:extLst>
        </xdr:cNvPr>
        <xdr:cNvSpPr/>
      </xdr:nvSpPr>
      <xdr:spPr>
        <a:xfrm>
          <a:off x="12363450" y="21545550"/>
          <a:ext cx="192405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Show STSL calculations</a:t>
          </a:r>
          <a:r>
            <a:rPr lang="en-US" sz="1200" b="0" baseline="0">
              <a:solidFill>
                <a:schemeClr val="tx1"/>
              </a:solidFill>
              <a:latin typeface="Arial" panose="020B0604020202020204" pitchFamily="34" charset="0"/>
              <a:cs typeface="Arial" panose="020B0604020202020204" pitchFamily="34" charset="0"/>
            </a:rPr>
            <a:t> </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twoCellAnchor>
    <xdr:from>
      <xdr:col>33</xdr:col>
      <xdr:colOff>28575</xdr:colOff>
      <xdr:row>2</xdr:row>
      <xdr:rowOff>184150</xdr:rowOff>
    </xdr:from>
    <xdr:to>
      <xdr:col>40</xdr:col>
      <xdr:colOff>135075</xdr:colOff>
      <xdr:row>3</xdr:row>
      <xdr:rowOff>353650</xdr:rowOff>
    </xdr:to>
    <xdr:sp macro="[0]!ImportAllDataFromServiceabilityCalculator" textlink="">
      <xdr:nvSpPr>
        <xdr:cNvPr id="8" name="btnImportData">
          <a:extLst>
            <a:ext uri="{FF2B5EF4-FFF2-40B4-BE49-F238E27FC236}">
              <a16:creationId xmlns:a16="http://schemas.microsoft.com/office/drawing/2014/main" id="{510F0048-F4B3-4CEE-A17F-630D4224EC9E}"/>
            </a:ext>
          </a:extLst>
        </xdr:cNvPr>
        <xdr:cNvSpPr/>
      </xdr:nvSpPr>
      <xdr:spPr>
        <a:xfrm>
          <a:off x="6315075" y="565150"/>
          <a:ext cx="1440000" cy="360000"/>
        </a:xfrm>
        <a:prstGeom prst="roundRect">
          <a:avLst>
            <a:gd name="adj" fmla="val 16667"/>
          </a:avLst>
        </a:prstGeom>
        <a:solidFill>
          <a:schemeClr val="accent2"/>
        </a:solidFill>
        <a:ln w="9525" cap="flat" cmpd="sng">
          <a:solidFill>
            <a:schemeClr val="accent2"/>
          </a:solidFill>
          <a:prstDash val="solid"/>
          <a:round/>
          <a:headEnd type="none" w="sm" len="sm"/>
          <a:tailEnd type="none" w="sm" len="sm"/>
        </a:ln>
      </xdr:spPr>
      <xdr:txBody>
        <a:bodyPr spcFirstLastPara="1" wrap="square" lIns="90000" tIns="91425" rIns="90000"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Import </a:t>
          </a:r>
          <a:r>
            <a:rPr lang="en-US" sz="1200" b="0" baseline="0">
              <a:solidFill>
                <a:schemeClr val="bg1"/>
              </a:solidFill>
              <a:latin typeface="Arial" panose="020B0604020202020204" pitchFamily="34" charset="0"/>
              <a:cs typeface="Arial" panose="020B0604020202020204" pitchFamily="34" charset="0"/>
            </a:rPr>
            <a:t>data</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xdr:from>
      <xdr:col>41</xdr:col>
      <xdr:colOff>40481</xdr:colOff>
      <xdr:row>2</xdr:row>
      <xdr:rowOff>184150</xdr:rowOff>
    </xdr:from>
    <xdr:to>
      <xdr:col>48</xdr:col>
      <xdr:colOff>146981</xdr:colOff>
      <xdr:row>3</xdr:row>
      <xdr:rowOff>353650</xdr:rowOff>
    </xdr:to>
    <xdr:sp macro="[0]!ExportServiceabilityCalculatorToPDF" textlink="">
      <xdr:nvSpPr>
        <xdr:cNvPr id="17" name="btnCreatePDF">
          <a:extLst>
            <a:ext uri="{FF2B5EF4-FFF2-40B4-BE49-F238E27FC236}">
              <a16:creationId xmlns:a16="http://schemas.microsoft.com/office/drawing/2014/main" id="{60C4BFDD-06CE-4DCD-B111-C345486E4097}"/>
            </a:ext>
          </a:extLst>
        </xdr:cNvPr>
        <xdr:cNvSpPr/>
      </xdr:nvSpPr>
      <xdr:spPr>
        <a:xfrm>
          <a:off x="7850981" y="56515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0000"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oneCellAnchor>
    <xdr:from>
      <xdr:col>15</xdr:col>
      <xdr:colOff>142875</xdr:colOff>
      <xdr:row>26</xdr:row>
      <xdr:rowOff>57150</xdr:rowOff>
    </xdr:from>
    <xdr:ext cx="154134" cy="154134"/>
    <xdr:pic>
      <xdr:nvPicPr>
        <xdr:cNvPr id="9" name="btnIntruction1">
          <a:extLst>
            <a:ext uri="{FF2B5EF4-FFF2-40B4-BE49-F238E27FC236}">
              <a16:creationId xmlns:a16="http://schemas.microsoft.com/office/drawing/2014/main" id="{5C938231-525D-4A1E-AB3B-A13590C1FEC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000375" y="5438775"/>
          <a:ext cx="154134" cy="154134"/>
        </a:xfrm>
        <a:prstGeom prst="rect">
          <a:avLst/>
        </a:prstGeom>
      </xdr:spPr>
    </xdr:pic>
    <xdr:clientData fPrintsWithSheet="0"/>
  </xdr:oneCellAnchor>
  <xdr:oneCellAnchor>
    <xdr:from>
      <xdr:col>28</xdr:col>
      <xdr:colOff>167121</xdr:colOff>
      <xdr:row>30</xdr:row>
      <xdr:rowOff>76255</xdr:rowOff>
    </xdr:from>
    <xdr:ext cx="157842" cy="157842"/>
    <xdr:pic macro="[0]!DeleteEmployerIncome">
      <xdr:nvPicPr>
        <xdr:cNvPr id="10" name="btnDelEMPIncomeApp2Job2" hidden="1">
          <a:extLst>
            <a:ext uri="{FF2B5EF4-FFF2-40B4-BE49-F238E27FC236}">
              <a16:creationId xmlns:a16="http://schemas.microsoft.com/office/drawing/2014/main" id="{54BF7279-8DB4-490E-9312-E75EA984E08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458130"/>
          <a:ext cx="157842" cy="157842"/>
        </a:xfrm>
        <a:prstGeom prst="rect">
          <a:avLst/>
        </a:prstGeom>
      </xdr:spPr>
    </xdr:pic>
    <xdr:clientData fPrintsWithSheet="0"/>
  </xdr:oneCellAnchor>
  <xdr:oneCellAnchor>
    <xdr:from>
      <xdr:col>28</xdr:col>
      <xdr:colOff>15875</xdr:colOff>
      <xdr:row>30</xdr:row>
      <xdr:rowOff>79963</xdr:rowOff>
    </xdr:from>
    <xdr:ext cx="154134" cy="154134"/>
    <xdr:pic macro="[0]!AddEditEmployerIncome">
      <xdr:nvPicPr>
        <xdr:cNvPr id="11" name="btnEditEMPIncomeApp2Job2" hidden="1">
          <a:extLst>
            <a:ext uri="{FF2B5EF4-FFF2-40B4-BE49-F238E27FC236}">
              <a16:creationId xmlns:a16="http://schemas.microsoft.com/office/drawing/2014/main" id="{813F13DC-EBAC-4A52-98D2-D9C88039FD5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461838"/>
          <a:ext cx="154134" cy="154134"/>
        </a:xfrm>
        <a:prstGeom prst="rect">
          <a:avLst/>
        </a:prstGeom>
      </xdr:spPr>
    </xdr:pic>
    <xdr:clientData fPrintsWithSheet="0"/>
  </xdr:oneCellAnchor>
  <xdr:oneCellAnchor>
    <xdr:from>
      <xdr:col>38</xdr:col>
      <xdr:colOff>167121</xdr:colOff>
      <xdr:row>30</xdr:row>
      <xdr:rowOff>76255</xdr:rowOff>
    </xdr:from>
    <xdr:ext cx="157842" cy="157842"/>
    <xdr:pic macro="[0]!DeleteEmployerIncome">
      <xdr:nvPicPr>
        <xdr:cNvPr id="12" name="btnDelEMPIncomeApp3Job2" hidden="1">
          <a:extLst>
            <a:ext uri="{FF2B5EF4-FFF2-40B4-BE49-F238E27FC236}">
              <a16:creationId xmlns:a16="http://schemas.microsoft.com/office/drawing/2014/main" id="{F1710DF0-E505-4BAB-AFDE-0D30B379549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458130"/>
          <a:ext cx="157842" cy="157842"/>
        </a:xfrm>
        <a:prstGeom prst="rect">
          <a:avLst/>
        </a:prstGeom>
      </xdr:spPr>
    </xdr:pic>
    <xdr:clientData fPrintsWithSheet="0"/>
  </xdr:oneCellAnchor>
  <xdr:oneCellAnchor>
    <xdr:from>
      <xdr:col>38</xdr:col>
      <xdr:colOff>15875</xdr:colOff>
      <xdr:row>30</xdr:row>
      <xdr:rowOff>79963</xdr:rowOff>
    </xdr:from>
    <xdr:ext cx="154134" cy="154134"/>
    <xdr:pic macro="[0]!AddEditEmployerIncome">
      <xdr:nvPicPr>
        <xdr:cNvPr id="14" name="btnEditEMPIncomeApp3Job2" hidden="1">
          <a:extLst>
            <a:ext uri="{FF2B5EF4-FFF2-40B4-BE49-F238E27FC236}">
              <a16:creationId xmlns:a16="http://schemas.microsoft.com/office/drawing/2014/main" id="{073B347B-7DFB-4963-B42A-4C9D0940494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461838"/>
          <a:ext cx="154134" cy="154134"/>
        </a:xfrm>
        <a:prstGeom prst="rect">
          <a:avLst/>
        </a:prstGeom>
      </xdr:spPr>
    </xdr:pic>
    <xdr:clientData fPrintsWithSheet="0"/>
  </xdr:oneCellAnchor>
  <xdr:oneCellAnchor>
    <xdr:from>
      <xdr:col>48</xdr:col>
      <xdr:colOff>167121</xdr:colOff>
      <xdr:row>30</xdr:row>
      <xdr:rowOff>76255</xdr:rowOff>
    </xdr:from>
    <xdr:ext cx="157842" cy="157842"/>
    <xdr:pic macro="[0]!DeleteEmployerIncome">
      <xdr:nvPicPr>
        <xdr:cNvPr id="15" name="btnDelEMPIncomeApp4Job2" hidden="1">
          <a:extLst>
            <a:ext uri="{FF2B5EF4-FFF2-40B4-BE49-F238E27FC236}">
              <a16:creationId xmlns:a16="http://schemas.microsoft.com/office/drawing/2014/main" id="{900B8266-3661-4EAF-846D-6D6D4E546EC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458130"/>
          <a:ext cx="157842" cy="157842"/>
        </a:xfrm>
        <a:prstGeom prst="rect">
          <a:avLst/>
        </a:prstGeom>
      </xdr:spPr>
    </xdr:pic>
    <xdr:clientData fPrintsWithSheet="0"/>
  </xdr:oneCellAnchor>
  <xdr:oneCellAnchor>
    <xdr:from>
      <xdr:col>48</xdr:col>
      <xdr:colOff>15875</xdr:colOff>
      <xdr:row>30</xdr:row>
      <xdr:rowOff>79963</xdr:rowOff>
    </xdr:from>
    <xdr:ext cx="154134" cy="154134"/>
    <xdr:pic macro="[0]!AddEditEmployerIncome">
      <xdr:nvPicPr>
        <xdr:cNvPr id="18" name="btnEditEMPIncomeApp4Job2" hidden="1">
          <a:extLst>
            <a:ext uri="{FF2B5EF4-FFF2-40B4-BE49-F238E27FC236}">
              <a16:creationId xmlns:a16="http://schemas.microsoft.com/office/drawing/2014/main" id="{319378E7-9C69-4893-A64B-4447145D1BD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461838"/>
          <a:ext cx="154134" cy="154134"/>
        </a:xfrm>
        <a:prstGeom prst="rect">
          <a:avLst/>
        </a:prstGeom>
      </xdr:spPr>
    </xdr:pic>
    <xdr:clientData fPrintsWithSheet="0"/>
  </xdr:oneCellAnchor>
  <xdr:oneCellAnchor>
    <xdr:from>
      <xdr:col>58</xdr:col>
      <xdr:colOff>167121</xdr:colOff>
      <xdr:row>30</xdr:row>
      <xdr:rowOff>76255</xdr:rowOff>
    </xdr:from>
    <xdr:ext cx="157842" cy="157842"/>
    <xdr:pic macro="[0]!DeleteEmployerIncome">
      <xdr:nvPicPr>
        <xdr:cNvPr id="22" name="btnDelEMPIncomeApp5Job2" hidden="1">
          <a:extLst>
            <a:ext uri="{FF2B5EF4-FFF2-40B4-BE49-F238E27FC236}">
              <a16:creationId xmlns:a16="http://schemas.microsoft.com/office/drawing/2014/main" id="{E151615C-0D8F-48DC-A35A-61A06D603A1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458130"/>
          <a:ext cx="157842" cy="157842"/>
        </a:xfrm>
        <a:prstGeom prst="rect">
          <a:avLst/>
        </a:prstGeom>
      </xdr:spPr>
    </xdr:pic>
    <xdr:clientData fPrintsWithSheet="0"/>
  </xdr:oneCellAnchor>
  <xdr:oneCellAnchor>
    <xdr:from>
      <xdr:col>58</xdr:col>
      <xdr:colOff>15875</xdr:colOff>
      <xdr:row>30</xdr:row>
      <xdr:rowOff>79963</xdr:rowOff>
    </xdr:from>
    <xdr:ext cx="154134" cy="154134"/>
    <xdr:pic macro="[0]!AddEditEmployerIncome">
      <xdr:nvPicPr>
        <xdr:cNvPr id="24" name="btnEditEMPIncomeApp5Job2" hidden="1">
          <a:extLst>
            <a:ext uri="{FF2B5EF4-FFF2-40B4-BE49-F238E27FC236}">
              <a16:creationId xmlns:a16="http://schemas.microsoft.com/office/drawing/2014/main" id="{4FE3DE70-EC2D-453D-864F-C637D1FFEDB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461838"/>
          <a:ext cx="154134" cy="154134"/>
        </a:xfrm>
        <a:prstGeom prst="rect">
          <a:avLst/>
        </a:prstGeom>
      </xdr:spPr>
    </xdr:pic>
    <xdr:clientData fPrintsWithSheet="0"/>
  </xdr:oneCellAnchor>
  <xdr:oneCellAnchor>
    <xdr:from>
      <xdr:col>68</xdr:col>
      <xdr:colOff>167121</xdr:colOff>
      <xdr:row>30</xdr:row>
      <xdr:rowOff>76255</xdr:rowOff>
    </xdr:from>
    <xdr:ext cx="157842" cy="157842"/>
    <xdr:pic macro="[0]!DeleteEmployerIncome">
      <xdr:nvPicPr>
        <xdr:cNvPr id="25" name="btnDelEMPIncomeApp6Job2" hidden="1">
          <a:extLst>
            <a:ext uri="{FF2B5EF4-FFF2-40B4-BE49-F238E27FC236}">
              <a16:creationId xmlns:a16="http://schemas.microsoft.com/office/drawing/2014/main" id="{B464BDEC-763F-4C26-8575-620DD31BDBF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458130"/>
          <a:ext cx="157842" cy="157842"/>
        </a:xfrm>
        <a:prstGeom prst="rect">
          <a:avLst/>
        </a:prstGeom>
      </xdr:spPr>
    </xdr:pic>
    <xdr:clientData fPrintsWithSheet="0"/>
  </xdr:oneCellAnchor>
  <xdr:oneCellAnchor>
    <xdr:from>
      <xdr:col>68</xdr:col>
      <xdr:colOff>15875</xdr:colOff>
      <xdr:row>30</xdr:row>
      <xdr:rowOff>79963</xdr:rowOff>
    </xdr:from>
    <xdr:ext cx="154134" cy="154134"/>
    <xdr:pic macro="[0]!AddEditEmployerIncome">
      <xdr:nvPicPr>
        <xdr:cNvPr id="37" name="btnEditEMPIncomeApp6Job2" hidden="1">
          <a:extLst>
            <a:ext uri="{FF2B5EF4-FFF2-40B4-BE49-F238E27FC236}">
              <a16:creationId xmlns:a16="http://schemas.microsoft.com/office/drawing/2014/main" id="{6E210A7D-4A1B-4C4D-BD76-45B126C8BBA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461838"/>
          <a:ext cx="154134" cy="154134"/>
        </a:xfrm>
        <a:prstGeom prst="rect">
          <a:avLst/>
        </a:prstGeom>
      </xdr:spPr>
    </xdr:pic>
    <xdr:clientData fPrintsWithSheet="0"/>
  </xdr:oneCellAnchor>
  <xdr:oneCellAnchor>
    <xdr:from>
      <xdr:col>18</xdr:col>
      <xdr:colOff>168363</xdr:colOff>
      <xdr:row>30</xdr:row>
      <xdr:rowOff>73874</xdr:rowOff>
    </xdr:from>
    <xdr:ext cx="157842" cy="157842"/>
    <xdr:pic macro="[0]!DeleteEmployerIncome">
      <xdr:nvPicPr>
        <xdr:cNvPr id="38" name="btnDelEMPIncomeApp1Job2" hidden="1">
          <a:extLst>
            <a:ext uri="{FF2B5EF4-FFF2-40B4-BE49-F238E27FC236}">
              <a16:creationId xmlns:a16="http://schemas.microsoft.com/office/drawing/2014/main" id="{7F2C0957-0AEC-499B-BC12-8EA5AA093E7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455749"/>
          <a:ext cx="157842" cy="157842"/>
        </a:xfrm>
        <a:prstGeom prst="rect">
          <a:avLst/>
        </a:prstGeom>
      </xdr:spPr>
    </xdr:pic>
    <xdr:clientData fPrintsWithSheet="0"/>
  </xdr:oneCellAnchor>
  <xdr:oneCellAnchor>
    <xdr:from>
      <xdr:col>18</xdr:col>
      <xdr:colOff>15873</xdr:colOff>
      <xdr:row>30</xdr:row>
      <xdr:rowOff>77582</xdr:rowOff>
    </xdr:from>
    <xdr:ext cx="154134" cy="154134"/>
    <xdr:pic macro="[0]!AddEditEmployerIncome">
      <xdr:nvPicPr>
        <xdr:cNvPr id="39" name="btnEditEMPIncomeApp1Job2" hidden="1">
          <a:extLst>
            <a:ext uri="{FF2B5EF4-FFF2-40B4-BE49-F238E27FC236}">
              <a16:creationId xmlns:a16="http://schemas.microsoft.com/office/drawing/2014/main" id="{0D663621-66D7-414E-9519-B52DB717DCD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459457"/>
          <a:ext cx="154134" cy="154134"/>
        </a:xfrm>
        <a:prstGeom prst="rect">
          <a:avLst/>
        </a:prstGeom>
      </xdr:spPr>
    </xdr:pic>
    <xdr:clientData fPrintsWithSheet="0"/>
  </xdr:oneCellAnchor>
  <xdr:oneCellAnchor>
    <xdr:from>
      <xdr:col>28</xdr:col>
      <xdr:colOff>167121</xdr:colOff>
      <xdr:row>31</xdr:row>
      <xdr:rowOff>76255</xdr:rowOff>
    </xdr:from>
    <xdr:ext cx="157842" cy="157842"/>
    <xdr:pic macro="[0]!DeleteEmployerIncome">
      <xdr:nvPicPr>
        <xdr:cNvPr id="40" name="btnDelEMPIncomeApp2Job2" hidden="1">
          <a:extLst>
            <a:ext uri="{FF2B5EF4-FFF2-40B4-BE49-F238E27FC236}">
              <a16:creationId xmlns:a16="http://schemas.microsoft.com/office/drawing/2014/main" id="{A9712E7A-96CD-4EE9-98C4-84E510C1988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458130"/>
          <a:ext cx="157842" cy="157842"/>
        </a:xfrm>
        <a:prstGeom prst="rect">
          <a:avLst/>
        </a:prstGeom>
      </xdr:spPr>
    </xdr:pic>
    <xdr:clientData fPrintsWithSheet="0"/>
  </xdr:oneCellAnchor>
  <xdr:oneCellAnchor>
    <xdr:from>
      <xdr:col>28</xdr:col>
      <xdr:colOff>15875</xdr:colOff>
      <xdr:row>31</xdr:row>
      <xdr:rowOff>79963</xdr:rowOff>
    </xdr:from>
    <xdr:ext cx="154134" cy="154134"/>
    <xdr:pic macro="[0]!AddEditEmployerIncome">
      <xdr:nvPicPr>
        <xdr:cNvPr id="43" name="btnEditEMPIncomeApp2Job2" hidden="1">
          <a:extLst>
            <a:ext uri="{FF2B5EF4-FFF2-40B4-BE49-F238E27FC236}">
              <a16:creationId xmlns:a16="http://schemas.microsoft.com/office/drawing/2014/main" id="{B0165B0F-1B9A-4AD4-8081-2FE38C2D251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461838"/>
          <a:ext cx="154134" cy="154134"/>
        </a:xfrm>
        <a:prstGeom prst="rect">
          <a:avLst/>
        </a:prstGeom>
      </xdr:spPr>
    </xdr:pic>
    <xdr:clientData fPrintsWithSheet="0"/>
  </xdr:oneCellAnchor>
  <xdr:oneCellAnchor>
    <xdr:from>
      <xdr:col>38</xdr:col>
      <xdr:colOff>167121</xdr:colOff>
      <xdr:row>31</xdr:row>
      <xdr:rowOff>76255</xdr:rowOff>
    </xdr:from>
    <xdr:ext cx="157842" cy="157842"/>
    <xdr:pic macro="[0]!DeleteEmployerIncome">
      <xdr:nvPicPr>
        <xdr:cNvPr id="44" name="btnDelEMPIncomeApp3Job2" hidden="1">
          <a:extLst>
            <a:ext uri="{FF2B5EF4-FFF2-40B4-BE49-F238E27FC236}">
              <a16:creationId xmlns:a16="http://schemas.microsoft.com/office/drawing/2014/main" id="{1F0FE272-A13F-4948-8DFF-5DB6FBEDC5B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458130"/>
          <a:ext cx="157842" cy="157842"/>
        </a:xfrm>
        <a:prstGeom prst="rect">
          <a:avLst/>
        </a:prstGeom>
      </xdr:spPr>
    </xdr:pic>
    <xdr:clientData fPrintsWithSheet="0"/>
  </xdr:oneCellAnchor>
  <xdr:oneCellAnchor>
    <xdr:from>
      <xdr:col>38</xdr:col>
      <xdr:colOff>15875</xdr:colOff>
      <xdr:row>31</xdr:row>
      <xdr:rowOff>79963</xdr:rowOff>
    </xdr:from>
    <xdr:ext cx="154134" cy="154134"/>
    <xdr:pic macro="[0]!AddEditEmployerIncome">
      <xdr:nvPicPr>
        <xdr:cNvPr id="45" name="btnEditEMPIncomeApp3Job2" hidden="1">
          <a:extLst>
            <a:ext uri="{FF2B5EF4-FFF2-40B4-BE49-F238E27FC236}">
              <a16:creationId xmlns:a16="http://schemas.microsoft.com/office/drawing/2014/main" id="{75D991DE-6B42-49FC-85E8-99404CCBFAD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461838"/>
          <a:ext cx="154134" cy="154134"/>
        </a:xfrm>
        <a:prstGeom prst="rect">
          <a:avLst/>
        </a:prstGeom>
      </xdr:spPr>
    </xdr:pic>
    <xdr:clientData fPrintsWithSheet="0"/>
  </xdr:oneCellAnchor>
  <xdr:oneCellAnchor>
    <xdr:from>
      <xdr:col>48</xdr:col>
      <xdr:colOff>167121</xdr:colOff>
      <xdr:row>31</xdr:row>
      <xdr:rowOff>76255</xdr:rowOff>
    </xdr:from>
    <xdr:ext cx="157842" cy="157842"/>
    <xdr:pic macro="[0]!DeleteEmployerIncome">
      <xdr:nvPicPr>
        <xdr:cNvPr id="46" name="btnDelEMPIncomeApp4Job2" hidden="1">
          <a:extLst>
            <a:ext uri="{FF2B5EF4-FFF2-40B4-BE49-F238E27FC236}">
              <a16:creationId xmlns:a16="http://schemas.microsoft.com/office/drawing/2014/main" id="{64F20E86-FD1A-4DAB-9099-D7AE41D3BFF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458130"/>
          <a:ext cx="157842" cy="157842"/>
        </a:xfrm>
        <a:prstGeom prst="rect">
          <a:avLst/>
        </a:prstGeom>
      </xdr:spPr>
    </xdr:pic>
    <xdr:clientData fPrintsWithSheet="0"/>
  </xdr:oneCellAnchor>
  <xdr:oneCellAnchor>
    <xdr:from>
      <xdr:col>48</xdr:col>
      <xdr:colOff>15875</xdr:colOff>
      <xdr:row>31</xdr:row>
      <xdr:rowOff>79963</xdr:rowOff>
    </xdr:from>
    <xdr:ext cx="154134" cy="154134"/>
    <xdr:pic macro="[0]!AddEditEmployerIncome">
      <xdr:nvPicPr>
        <xdr:cNvPr id="47" name="btnEditEMPIncomeApp4Job2" hidden="1">
          <a:extLst>
            <a:ext uri="{FF2B5EF4-FFF2-40B4-BE49-F238E27FC236}">
              <a16:creationId xmlns:a16="http://schemas.microsoft.com/office/drawing/2014/main" id="{7FF0E4EE-F448-44A5-A9DA-2D7268FE1E0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461838"/>
          <a:ext cx="154134" cy="154134"/>
        </a:xfrm>
        <a:prstGeom prst="rect">
          <a:avLst/>
        </a:prstGeom>
      </xdr:spPr>
    </xdr:pic>
    <xdr:clientData fPrintsWithSheet="0"/>
  </xdr:oneCellAnchor>
  <xdr:oneCellAnchor>
    <xdr:from>
      <xdr:col>58</xdr:col>
      <xdr:colOff>167121</xdr:colOff>
      <xdr:row>31</xdr:row>
      <xdr:rowOff>76255</xdr:rowOff>
    </xdr:from>
    <xdr:ext cx="157842" cy="157842"/>
    <xdr:pic macro="[0]!DeleteEmployerIncome">
      <xdr:nvPicPr>
        <xdr:cNvPr id="48" name="btnDelEMPIncomeApp5Job2" hidden="1">
          <a:extLst>
            <a:ext uri="{FF2B5EF4-FFF2-40B4-BE49-F238E27FC236}">
              <a16:creationId xmlns:a16="http://schemas.microsoft.com/office/drawing/2014/main" id="{FDF29B72-F6C6-4311-A910-865FA4001E3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458130"/>
          <a:ext cx="157842" cy="157842"/>
        </a:xfrm>
        <a:prstGeom prst="rect">
          <a:avLst/>
        </a:prstGeom>
      </xdr:spPr>
    </xdr:pic>
    <xdr:clientData fPrintsWithSheet="0"/>
  </xdr:oneCellAnchor>
  <xdr:oneCellAnchor>
    <xdr:from>
      <xdr:col>58</xdr:col>
      <xdr:colOff>15875</xdr:colOff>
      <xdr:row>31</xdr:row>
      <xdr:rowOff>79963</xdr:rowOff>
    </xdr:from>
    <xdr:ext cx="154134" cy="154134"/>
    <xdr:pic macro="[0]!AddEditEmployerIncome">
      <xdr:nvPicPr>
        <xdr:cNvPr id="55" name="btnEditEMPIncomeApp5Job2" hidden="1">
          <a:extLst>
            <a:ext uri="{FF2B5EF4-FFF2-40B4-BE49-F238E27FC236}">
              <a16:creationId xmlns:a16="http://schemas.microsoft.com/office/drawing/2014/main" id="{5051A1AF-121B-4CD4-BB4C-D79D18BE831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461838"/>
          <a:ext cx="154134" cy="154134"/>
        </a:xfrm>
        <a:prstGeom prst="rect">
          <a:avLst/>
        </a:prstGeom>
      </xdr:spPr>
    </xdr:pic>
    <xdr:clientData fPrintsWithSheet="0"/>
  </xdr:oneCellAnchor>
  <xdr:oneCellAnchor>
    <xdr:from>
      <xdr:col>68</xdr:col>
      <xdr:colOff>167121</xdr:colOff>
      <xdr:row>31</xdr:row>
      <xdr:rowOff>76255</xdr:rowOff>
    </xdr:from>
    <xdr:ext cx="157842" cy="157842"/>
    <xdr:pic macro="[0]!DeleteEmployerIncome">
      <xdr:nvPicPr>
        <xdr:cNvPr id="56" name="btnDelEMPIncomeApp6Job2" hidden="1">
          <a:extLst>
            <a:ext uri="{FF2B5EF4-FFF2-40B4-BE49-F238E27FC236}">
              <a16:creationId xmlns:a16="http://schemas.microsoft.com/office/drawing/2014/main" id="{9275FBDF-4B99-4EBE-B7E5-32CCFBFD91F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458130"/>
          <a:ext cx="157842" cy="157842"/>
        </a:xfrm>
        <a:prstGeom prst="rect">
          <a:avLst/>
        </a:prstGeom>
      </xdr:spPr>
    </xdr:pic>
    <xdr:clientData fPrintsWithSheet="0"/>
  </xdr:oneCellAnchor>
  <xdr:oneCellAnchor>
    <xdr:from>
      <xdr:col>68</xdr:col>
      <xdr:colOff>15875</xdr:colOff>
      <xdr:row>31</xdr:row>
      <xdr:rowOff>79963</xdr:rowOff>
    </xdr:from>
    <xdr:ext cx="154134" cy="154134"/>
    <xdr:pic macro="[0]!AddEditEmployerIncome">
      <xdr:nvPicPr>
        <xdr:cNvPr id="57" name="btnEditEMPIncomeApp6Job2" hidden="1">
          <a:extLst>
            <a:ext uri="{FF2B5EF4-FFF2-40B4-BE49-F238E27FC236}">
              <a16:creationId xmlns:a16="http://schemas.microsoft.com/office/drawing/2014/main" id="{92160089-3EDD-412B-9F5F-BA797DE91E5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461838"/>
          <a:ext cx="154134" cy="154134"/>
        </a:xfrm>
        <a:prstGeom prst="rect">
          <a:avLst/>
        </a:prstGeom>
      </xdr:spPr>
    </xdr:pic>
    <xdr:clientData fPrintsWithSheet="0"/>
  </xdr:oneCellAnchor>
  <xdr:oneCellAnchor>
    <xdr:from>
      <xdr:col>18</xdr:col>
      <xdr:colOff>168363</xdr:colOff>
      <xdr:row>31</xdr:row>
      <xdr:rowOff>73874</xdr:rowOff>
    </xdr:from>
    <xdr:ext cx="157842" cy="157842"/>
    <xdr:pic macro="[0]!DeleteEmployerIncome">
      <xdr:nvPicPr>
        <xdr:cNvPr id="58" name="btnDelEMPIncomeApp1Job2" hidden="1">
          <a:extLst>
            <a:ext uri="{FF2B5EF4-FFF2-40B4-BE49-F238E27FC236}">
              <a16:creationId xmlns:a16="http://schemas.microsoft.com/office/drawing/2014/main" id="{2CB21B8A-3EAA-4253-9500-436223ADC5C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455749"/>
          <a:ext cx="157842" cy="157842"/>
        </a:xfrm>
        <a:prstGeom prst="rect">
          <a:avLst/>
        </a:prstGeom>
      </xdr:spPr>
    </xdr:pic>
    <xdr:clientData fPrintsWithSheet="0"/>
  </xdr:oneCellAnchor>
  <xdr:oneCellAnchor>
    <xdr:from>
      <xdr:col>18</xdr:col>
      <xdr:colOff>15873</xdr:colOff>
      <xdr:row>31</xdr:row>
      <xdr:rowOff>77582</xdr:rowOff>
    </xdr:from>
    <xdr:ext cx="154134" cy="154134"/>
    <xdr:pic macro="[0]!AddEditEmployerIncome">
      <xdr:nvPicPr>
        <xdr:cNvPr id="65" name="btnEditEMPIncomeApp1Job2" hidden="1">
          <a:extLst>
            <a:ext uri="{FF2B5EF4-FFF2-40B4-BE49-F238E27FC236}">
              <a16:creationId xmlns:a16="http://schemas.microsoft.com/office/drawing/2014/main" id="{E12AA640-2C18-4237-B156-9396E2230E5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459457"/>
          <a:ext cx="154134" cy="154134"/>
        </a:xfrm>
        <a:prstGeom prst="rect">
          <a:avLst/>
        </a:prstGeom>
      </xdr:spPr>
    </xdr:pic>
    <xdr:clientData fPrintsWithSheet="0"/>
  </xdr:oneCellAnchor>
  <xdr:oneCellAnchor>
    <xdr:from>
      <xdr:col>28</xdr:col>
      <xdr:colOff>167121</xdr:colOff>
      <xdr:row>32</xdr:row>
      <xdr:rowOff>76255</xdr:rowOff>
    </xdr:from>
    <xdr:ext cx="157842" cy="157842"/>
    <xdr:pic macro="[0]!DeleteEmployerIncome">
      <xdr:nvPicPr>
        <xdr:cNvPr id="66" name="btnDelEMPIncomeApp2Job2" hidden="1">
          <a:extLst>
            <a:ext uri="{FF2B5EF4-FFF2-40B4-BE49-F238E27FC236}">
              <a16:creationId xmlns:a16="http://schemas.microsoft.com/office/drawing/2014/main" id="{8E46A7A1-079C-442F-99EE-68B3861C971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458130"/>
          <a:ext cx="157842" cy="157842"/>
        </a:xfrm>
        <a:prstGeom prst="rect">
          <a:avLst/>
        </a:prstGeom>
      </xdr:spPr>
    </xdr:pic>
    <xdr:clientData fPrintsWithSheet="0"/>
  </xdr:oneCellAnchor>
  <xdr:oneCellAnchor>
    <xdr:from>
      <xdr:col>28</xdr:col>
      <xdr:colOff>15875</xdr:colOff>
      <xdr:row>32</xdr:row>
      <xdr:rowOff>79963</xdr:rowOff>
    </xdr:from>
    <xdr:ext cx="154134" cy="154134"/>
    <xdr:pic macro="[0]!AddEditEmployerIncome">
      <xdr:nvPicPr>
        <xdr:cNvPr id="67" name="btnEditEMPIncomeApp2Job2" hidden="1">
          <a:extLst>
            <a:ext uri="{FF2B5EF4-FFF2-40B4-BE49-F238E27FC236}">
              <a16:creationId xmlns:a16="http://schemas.microsoft.com/office/drawing/2014/main" id="{28FFCBB4-B71C-435A-B650-42EDE83F8AC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461838"/>
          <a:ext cx="154134" cy="154134"/>
        </a:xfrm>
        <a:prstGeom prst="rect">
          <a:avLst/>
        </a:prstGeom>
      </xdr:spPr>
    </xdr:pic>
    <xdr:clientData fPrintsWithSheet="0"/>
  </xdr:oneCellAnchor>
  <xdr:oneCellAnchor>
    <xdr:from>
      <xdr:col>38</xdr:col>
      <xdr:colOff>167121</xdr:colOff>
      <xdr:row>32</xdr:row>
      <xdr:rowOff>76255</xdr:rowOff>
    </xdr:from>
    <xdr:ext cx="157842" cy="157842"/>
    <xdr:pic macro="[0]!DeleteEmployerIncome">
      <xdr:nvPicPr>
        <xdr:cNvPr id="68" name="btnDelEMPIncomeApp3Job2" hidden="1">
          <a:extLst>
            <a:ext uri="{FF2B5EF4-FFF2-40B4-BE49-F238E27FC236}">
              <a16:creationId xmlns:a16="http://schemas.microsoft.com/office/drawing/2014/main" id="{CE7F6074-7918-4171-AEBB-51FC94CA662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458130"/>
          <a:ext cx="157842" cy="157842"/>
        </a:xfrm>
        <a:prstGeom prst="rect">
          <a:avLst/>
        </a:prstGeom>
      </xdr:spPr>
    </xdr:pic>
    <xdr:clientData fPrintsWithSheet="0"/>
  </xdr:oneCellAnchor>
  <xdr:oneCellAnchor>
    <xdr:from>
      <xdr:col>38</xdr:col>
      <xdr:colOff>15875</xdr:colOff>
      <xdr:row>32</xdr:row>
      <xdr:rowOff>79963</xdr:rowOff>
    </xdr:from>
    <xdr:ext cx="154134" cy="154134"/>
    <xdr:pic macro="[0]!AddEditEmployerIncome">
      <xdr:nvPicPr>
        <xdr:cNvPr id="75" name="btnEditEMPIncomeApp3Job2" hidden="1">
          <a:extLst>
            <a:ext uri="{FF2B5EF4-FFF2-40B4-BE49-F238E27FC236}">
              <a16:creationId xmlns:a16="http://schemas.microsoft.com/office/drawing/2014/main" id="{24F86C70-62EB-4B4B-9E66-8CFB3AA7D1C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461838"/>
          <a:ext cx="154134" cy="154134"/>
        </a:xfrm>
        <a:prstGeom prst="rect">
          <a:avLst/>
        </a:prstGeom>
      </xdr:spPr>
    </xdr:pic>
    <xdr:clientData fPrintsWithSheet="0"/>
  </xdr:oneCellAnchor>
  <xdr:oneCellAnchor>
    <xdr:from>
      <xdr:col>48</xdr:col>
      <xdr:colOff>167121</xdr:colOff>
      <xdr:row>32</xdr:row>
      <xdr:rowOff>76255</xdr:rowOff>
    </xdr:from>
    <xdr:ext cx="157842" cy="157842"/>
    <xdr:pic macro="[0]!DeleteEmployerIncome">
      <xdr:nvPicPr>
        <xdr:cNvPr id="76" name="btnDelEMPIncomeApp4Job2" hidden="1">
          <a:extLst>
            <a:ext uri="{FF2B5EF4-FFF2-40B4-BE49-F238E27FC236}">
              <a16:creationId xmlns:a16="http://schemas.microsoft.com/office/drawing/2014/main" id="{89883E8A-DA05-4E59-9270-8E549C7916F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458130"/>
          <a:ext cx="157842" cy="157842"/>
        </a:xfrm>
        <a:prstGeom prst="rect">
          <a:avLst/>
        </a:prstGeom>
      </xdr:spPr>
    </xdr:pic>
    <xdr:clientData fPrintsWithSheet="0"/>
  </xdr:oneCellAnchor>
  <xdr:oneCellAnchor>
    <xdr:from>
      <xdr:col>48</xdr:col>
      <xdr:colOff>15875</xdr:colOff>
      <xdr:row>32</xdr:row>
      <xdr:rowOff>79963</xdr:rowOff>
    </xdr:from>
    <xdr:ext cx="154134" cy="154134"/>
    <xdr:pic macro="[0]!AddEditEmployerIncome">
      <xdr:nvPicPr>
        <xdr:cNvPr id="77" name="btnEditEMPIncomeApp4Job2" hidden="1">
          <a:extLst>
            <a:ext uri="{FF2B5EF4-FFF2-40B4-BE49-F238E27FC236}">
              <a16:creationId xmlns:a16="http://schemas.microsoft.com/office/drawing/2014/main" id="{2753956B-72EF-4189-8704-F8AE82CB12F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461838"/>
          <a:ext cx="154134" cy="154134"/>
        </a:xfrm>
        <a:prstGeom prst="rect">
          <a:avLst/>
        </a:prstGeom>
      </xdr:spPr>
    </xdr:pic>
    <xdr:clientData fPrintsWithSheet="0"/>
  </xdr:oneCellAnchor>
  <xdr:oneCellAnchor>
    <xdr:from>
      <xdr:col>58</xdr:col>
      <xdr:colOff>167121</xdr:colOff>
      <xdr:row>32</xdr:row>
      <xdr:rowOff>76255</xdr:rowOff>
    </xdr:from>
    <xdr:ext cx="157842" cy="157842"/>
    <xdr:pic macro="[0]!DeleteEmployerIncome">
      <xdr:nvPicPr>
        <xdr:cNvPr id="78" name="btnDelEMPIncomeApp5Job2" hidden="1">
          <a:extLst>
            <a:ext uri="{FF2B5EF4-FFF2-40B4-BE49-F238E27FC236}">
              <a16:creationId xmlns:a16="http://schemas.microsoft.com/office/drawing/2014/main" id="{A56F6E68-A4CF-462D-BD35-0D29E1E8AA9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458130"/>
          <a:ext cx="157842" cy="157842"/>
        </a:xfrm>
        <a:prstGeom prst="rect">
          <a:avLst/>
        </a:prstGeom>
      </xdr:spPr>
    </xdr:pic>
    <xdr:clientData fPrintsWithSheet="0"/>
  </xdr:oneCellAnchor>
  <xdr:oneCellAnchor>
    <xdr:from>
      <xdr:col>58</xdr:col>
      <xdr:colOff>15875</xdr:colOff>
      <xdr:row>32</xdr:row>
      <xdr:rowOff>79963</xdr:rowOff>
    </xdr:from>
    <xdr:ext cx="154134" cy="154134"/>
    <xdr:pic macro="[0]!AddEditEmployerIncome">
      <xdr:nvPicPr>
        <xdr:cNvPr id="85" name="btnEditEMPIncomeApp5Job2" hidden="1">
          <a:extLst>
            <a:ext uri="{FF2B5EF4-FFF2-40B4-BE49-F238E27FC236}">
              <a16:creationId xmlns:a16="http://schemas.microsoft.com/office/drawing/2014/main" id="{685B8455-FA34-4283-BBF9-2289466E4AC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461838"/>
          <a:ext cx="154134" cy="154134"/>
        </a:xfrm>
        <a:prstGeom prst="rect">
          <a:avLst/>
        </a:prstGeom>
      </xdr:spPr>
    </xdr:pic>
    <xdr:clientData fPrintsWithSheet="0"/>
  </xdr:oneCellAnchor>
  <xdr:oneCellAnchor>
    <xdr:from>
      <xdr:col>68</xdr:col>
      <xdr:colOff>167121</xdr:colOff>
      <xdr:row>32</xdr:row>
      <xdr:rowOff>76255</xdr:rowOff>
    </xdr:from>
    <xdr:ext cx="157842" cy="157842"/>
    <xdr:pic macro="[0]!DeleteEmployerIncome">
      <xdr:nvPicPr>
        <xdr:cNvPr id="86" name="btnDelEMPIncomeApp6Job2" hidden="1">
          <a:extLst>
            <a:ext uri="{FF2B5EF4-FFF2-40B4-BE49-F238E27FC236}">
              <a16:creationId xmlns:a16="http://schemas.microsoft.com/office/drawing/2014/main" id="{54257AC0-AB84-498B-95B0-E59DD9B1EC0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458130"/>
          <a:ext cx="157842" cy="157842"/>
        </a:xfrm>
        <a:prstGeom prst="rect">
          <a:avLst/>
        </a:prstGeom>
      </xdr:spPr>
    </xdr:pic>
    <xdr:clientData fPrintsWithSheet="0"/>
  </xdr:oneCellAnchor>
  <xdr:oneCellAnchor>
    <xdr:from>
      <xdr:col>68</xdr:col>
      <xdr:colOff>15875</xdr:colOff>
      <xdr:row>32</xdr:row>
      <xdr:rowOff>79963</xdr:rowOff>
    </xdr:from>
    <xdr:ext cx="154134" cy="154134"/>
    <xdr:pic macro="[0]!AddEditEmployerIncome">
      <xdr:nvPicPr>
        <xdr:cNvPr id="87" name="btnEditEMPIncomeApp6Job2" hidden="1">
          <a:extLst>
            <a:ext uri="{FF2B5EF4-FFF2-40B4-BE49-F238E27FC236}">
              <a16:creationId xmlns:a16="http://schemas.microsoft.com/office/drawing/2014/main" id="{1FE96246-F7D6-4D45-A535-496EC67AE47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461838"/>
          <a:ext cx="154134" cy="154134"/>
        </a:xfrm>
        <a:prstGeom prst="rect">
          <a:avLst/>
        </a:prstGeom>
      </xdr:spPr>
    </xdr:pic>
    <xdr:clientData fPrintsWithSheet="0"/>
  </xdr:oneCellAnchor>
  <xdr:oneCellAnchor>
    <xdr:from>
      <xdr:col>18</xdr:col>
      <xdr:colOff>168363</xdr:colOff>
      <xdr:row>32</xdr:row>
      <xdr:rowOff>73874</xdr:rowOff>
    </xdr:from>
    <xdr:ext cx="157842" cy="157842"/>
    <xdr:pic macro="[0]!DeleteEmployerIncome">
      <xdr:nvPicPr>
        <xdr:cNvPr id="88" name="btnDelEMPIncomeApp1Job2" hidden="1">
          <a:extLst>
            <a:ext uri="{FF2B5EF4-FFF2-40B4-BE49-F238E27FC236}">
              <a16:creationId xmlns:a16="http://schemas.microsoft.com/office/drawing/2014/main" id="{04F11E1B-BE6C-4772-83E6-D2041A84FC8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455749"/>
          <a:ext cx="157842" cy="157842"/>
        </a:xfrm>
        <a:prstGeom prst="rect">
          <a:avLst/>
        </a:prstGeom>
      </xdr:spPr>
    </xdr:pic>
    <xdr:clientData fPrintsWithSheet="0"/>
  </xdr:oneCellAnchor>
  <xdr:oneCellAnchor>
    <xdr:from>
      <xdr:col>18</xdr:col>
      <xdr:colOff>15873</xdr:colOff>
      <xdr:row>32</xdr:row>
      <xdr:rowOff>77582</xdr:rowOff>
    </xdr:from>
    <xdr:ext cx="154134" cy="154134"/>
    <xdr:pic macro="[0]!AddEditEmployerIncome">
      <xdr:nvPicPr>
        <xdr:cNvPr id="89" name="btnEditEMPIncomeApp1Job2" hidden="1">
          <a:extLst>
            <a:ext uri="{FF2B5EF4-FFF2-40B4-BE49-F238E27FC236}">
              <a16:creationId xmlns:a16="http://schemas.microsoft.com/office/drawing/2014/main" id="{10341DAF-159F-4C26-B960-456CC654D3B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459457"/>
          <a:ext cx="154134" cy="154134"/>
        </a:xfrm>
        <a:prstGeom prst="rect">
          <a:avLst/>
        </a:prstGeom>
      </xdr:spPr>
    </xdr:pic>
    <xdr:clientData fPrintsWithSheet="0"/>
  </xdr:oneCellAnchor>
  <xdr:oneCellAnchor>
    <xdr:from>
      <xdr:col>28</xdr:col>
      <xdr:colOff>167121</xdr:colOff>
      <xdr:row>47</xdr:row>
      <xdr:rowOff>76255</xdr:rowOff>
    </xdr:from>
    <xdr:ext cx="157842" cy="157842"/>
    <xdr:pic macro="[0]!DeleteEmployerIncome">
      <xdr:nvPicPr>
        <xdr:cNvPr id="90" name="btnDelEMPIncomeApp2Job2" hidden="1">
          <a:extLst>
            <a:ext uri="{FF2B5EF4-FFF2-40B4-BE49-F238E27FC236}">
              <a16:creationId xmlns:a16="http://schemas.microsoft.com/office/drawing/2014/main" id="{CEF65033-4586-4C84-8A98-5E3C10A89F3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267505"/>
          <a:ext cx="157842" cy="157842"/>
        </a:xfrm>
        <a:prstGeom prst="rect">
          <a:avLst/>
        </a:prstGeom>
      </xdr:spPr>
    </xdr:pic>
    <xdr:clientData fPrintsWithSheet="0"/>
  </xdr:oneCellAnchor>
  <xdr:oneCellAnchor>
    <xdr:from>
      <xdr:col>28</xdr:col>
      <xdr:colOff>15875</xdr:colOff>
      <xdr:row>47</xdr:row>
      <xdr:rowOff>79963</xdr:rowOff>
    </xdr:from>
    <xdr:ext cx="154134" cy="154134"/>
    <xdr:pic macro="[0]!AddEditEmployerIncome">
      <xdr:nvPicPr>
        <xdr:cNvPr id="91" name="btnEditEMPIncomeApp2Job2" hidden="1">
          <a:extLst>
            <a:ext uri="{FF2B5EF4-FFF2-40B4-BE49-F238E27FC236}">
              <a16:creationId xmlns:a16="http://schemas.microsoft.com/office/drawing/2014/main" id="{6217342F-42BF-4040-92D9-363122E4508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6271213"/>
          <a:ext cx="154134" cy="154134"/>
        </a:xfrm>
        <a:prstGeom prst="rect">
          <a:avLst/>
        </a:prstGeom>
      </xdr:spPr>
    </xdr:pic>
    <xdr:clientData fPrintsWithSheet="0"/>
  </xdr:oneCellAnchor>
  <xdr:oneCellAnchor>
    <xdr:from>
      <xdr:col>38</xdr:col>
      <xdr:colOff>167121</xdr:colOff>
      <xdr:row>47</xdr:row>
      <xdr:rowOff>76255</xdr:rowOff>
    </xdr:from>
    <xdr:ext cx="157842" cy="157842"/>
    <xdr:pic macro="[0]!DeleteEmployerIncome">
      <xdr:nvPicPr>
        <xdr:cNvPr id="92" name="btnDelEMPIncomeApp3Job2" hidden="1">
          <a:extLst>
            <a:ext uri="{FF2B5EF4-FFF2-40B4-BE49-F238E27FC236}">
              <a16:creationId xmlns:a16="http://schemas.microsoft.com/office/drawing/2014/main" id="{6D0E1E3D-9D1A-4296-A514-EF7FAED142B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267505"/>
          <a:ext cx="157842" cy="157842"/>
        </a:xfrm>
        <a:prstGeom prst="rect">
          <a:avLst/>
        </a:prstGeom>
      </xdr:spPr>
    </xdr:pic>
    <xdr:clientData fPrintsWithSheet="0"/>
  </xdr:oneCellAnchor>
  <xdr:oneCellAnchor>
    <xdr:from>
      <xdr:col>38</xdr:col>
      <xdr:colOff>15875</xdr:colOff>
      <xdr:row>47</xdr:row>
      <xdr:rowOff>79963</xdr:rowOff>
    </xdr:from>
    <xdr:ext cx="154134" cy="154134"/>
    <xdr:pic macro="[0]!AddEditEmployerIncome">
      <xdr:nvPicPr>
        <xdr:cNvPr id="93" name="btnEditEMPIncomeApp3Job2" hidden="1">
          <a:extLst>
            <a:ext uri="{FF2B5EF4-FFF2-40B4-BE49-F238E27FC236}">
              <a16:creationId xmlns:a16="http://schemas.microsoft.com/office/drawing/2014/main" id="{F950053F-A265-4579-AA04-A173E0A4F60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6271213"/>
          <a:ext cx="154134" cy="154134"/>
        </a:xfrm>
        <a:prstGeom prst="rect">
          <a:avLst/>
        </a:prstGeom>
      </xdr:spPr>
    </xdr:pic>
    <xdr:clientData fPrintsWithSheet="0"/>
  </xdr:oneCellAnchor>
  <xdr:oneCellAnchor>
    <xdr:from>
      <xdr:col>48</xdr:col>
      <xdr:colOff>167121</xdr:colOff>
      <xdr:row>47</xdr:row>
      <xdr:rowOff>76255</xdr:rowOff>
    </xdr:from>
    <xdr:ext cx="157842" cy="157842"/>
    <xdr:pic macro="[0]!DeleteEmployerIncome">
      <xdr:nvPicPr>
        <xdr:cNvPr id="94" name="btnDelEMPIncomeApp4Job2" hidden="1">
          <a:extLst>
            <a:ext uri="{FF2B5EF4-FFF2-40B4-BE49-F238E27FC236}">
              <a16:creationId xmlns:a16="http://schemas.microsoft.com/office/drawing/2014/main" id="{3E42C64D-4122-4F5A-88D6-BB8BFBFE910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267505"/>
          <a:ext cx="157842" cy="157842"/>
        </a:xfrm>
        <a:prstGeom prst="rect">
          <a:avLst/>
        </a:prstGeom>
      </xdr:spPr>
    </xdr:pic>
    <xdr:clientData fPrintsWithSheet="0"/>
  </xdr:oneCellAnchor>
  <xdr:oneCellAnchor>
    <xdr:from>
      <xdr:col>48</xdr:col>
      <xdr:colOff>15875</xdr:colOff>
      <xdr:row>47</xdr:row>
      <xdr:rowOff>79963</xdr:rowOff>
    </xdr:from>
    <xdr:ext cx="154134" cy="154134"/>
    <xdr:pic macro="[0]!AddEditEmployerIncome">
      <xdr:nvPicPr>
        <xdr:cNvPr id="95" name="btnEditEMPIncomeApp4Job2" hidden="1">
          <a:extLst>
            <a:ext uri="{FF2B5EF4-FFF2-40B4-BE49-F238E27FC236}">
              <a16:creationId xmlns:a16="http://schemas.microsoft.com/office/drawing/2014/main" id="{A7BA4D2B-3CB1-43A3-B328-06E386B80C6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6271213"/>
          <a:ext cx="154134" cy="154134"/>
        </a:xfrm>
        <a:prstGeom prst="rect">
          <a:avLst/>
        </a:prstGeom>
      </xdr:spPr>
    </xdr:pic>
    <xdr:clientData fPrintsWithSheet="0"/>
  </xdr:oneCellAnchor>
  <xdr:oneCellAnchor>
    <xdr:from>
      <xdr:col>58</xdr:col>
      <xdr:colOff>167121</xdr:colOff>
      <xdr:row>47</xdr:row>
      <xdr:rowOff>76255</xdr:rowOff>
    </xdr:from>
    <xdr:ext cx="157842" cy="157842"/>
    <xdr:pic macro="[0]!DeleteEmployerIncome">
      <xdr:nvPicPr>
        <xdr:cNvPr id="128" name="btnDelEMPIncomeApp5Job2" hidden="1">
          <a:extLst>
            <a:ext uri="{FF2B5EF4-FFF2-40B4-BE49-F238E27FC236}">
              <a16:creationId xmlns:a16="http://schemas.microsoft.com/office/drawing/2014/main" id="{AA350939-C153-4E2E-BC56-BD64C441BB8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267505"/>
          <a:ext cx="157842" cy="157842"/>
        </a:xfrm>
        <a:prstGeom prst="rect">
          <a:avLst/>
        </a:prstGeom>
      </xdr:spPr>
    </xdr:pic>
    <xdr:clientData fPrintsWithSheet="0"/>
  </xdr:oneCellAnchor>
  <xdr:oneCellAnchor>
    <xdr:from>
      <xdr:col>58</xdr:col>
      <xdr:colOff>15875</xdr:colOff>
      <xdr:row>47</xdr:row>
      <xdr:rowOff>79963</xdr:rowOff>
    </xdr:from>
    <xdr:ext cx="154134" cy="154134"/>
    <xdr:pic macro="[0]!AddEditEmployerIncome">
      <xdr:nvPicPr>
        <xdr:cNvPr id="129" name="btnEditEMPIncomeApp5Job2" hidden="1">
          <a:extLst>
            <a:ext uri="{FF2B5EF4-FFF2-40B4-BE49-F238E27FC236}">
              <a16:creationId xmlns:a16="http://schemas.microsoft.com/office/drawing/2014/main" id="{BF3780DB-E146-4AC8-8BEC-9312F855160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6271213"/>
          <a:ext cx="154134" cy="154134"/>
        </a:xfrm>
        <a:prstGeom prst="rect">
          <a:avLst/>
        </a:prstGeom>
      </xdr:spPr>
    </xdr:pic>
    <xdr:clientData fPrintsWithSheet="0"/>
  </xdr:oneCellAnchor>
  <xdr:oneCellAnchor>
    <xdr:from>
      <xdr:col>68</xdr:col>
      <xdr:colOff>167121</xdr:colOff>
      <xdr:row>47</xdr:row>
      <xdr:rowOff>76255</xdr:rowOff>
    </xdr:from>
    <xdr:ext cx="157842" cy="157842"/>
    <xdr:pic macro="[0]!DeleteEmployerIncome">
      <xdr:nvPicPr>
        <xdr:cNvPr id="130" name="btnDelEMPIncomeApp6Job2" hidden="1">
          <a:extLst>
            <a:ext uri="{FF2B5EF4-FFF2-40B4-BE49-F238E27FC236}">
              <a16:creationId xmlns:a16="http://schemas.microsoft.com/office/drawing/2014/main" id="{D2A75E32-5127-47A6-A5D6-52400B5A13C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267505"/>
          <a:ext cx="157842" cy="157842"/>
        </a:xfrm>
        <a:prstGeom prst="rect">
          <a:avLst/>
        </a:prstGeom>
      </xdr:spPr>
    </xdr:pic>
    <xdr:clientData fPrintsWithSheet="0"/>
  </xdr:oneCellAnchor>
  <xdr:oneCellAnchor>
    <xdr:from>
      <xdr:col>68</xdr:col>
      <xdr:colOff>15875</xdr:colOff>
      <xdr:row>47</xdr:row>
      <xdr:rowOff>79963</xdr:rowOff>
    </xdr:from>
    <xdr:ext cx="154134" cy="154134"/>
    <xdr:pic macro="[0]!AddEditEmployerIncome">
      <xdr:nvPicPr>
        <xdr:cNvPr id="131" name="btnEditEMPIncomeApp6Job2" hidden="1">
          <a:extLst>
            <a:ext uri="{FF2B5EF4-FFF2-40B4-BE49-F238E27FC236}">
              <a16:creationId xmlns:a16="http://schemas.microsoft.com/office/drawing/2014/main" id="{20BD83AE-58BF-4C4E-B4C3-174FE45EE46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6271213"/>
          <a:ext cx="154134" cy="154134"/>
        </a:xfrm>
        <a:prstGeom prst="rect">
          <a:avLst/>
        </a:prstGeom>
      </xdr:spPr>
    </xdr:pic>
    <xdr:clientData fPrintsWithSheet="0"/>
  </xdr:oneCellAnchor>
  <xdr:oneCellAnchor>
    <xdr:from>
      <xdr:col>18</xdr:col>
      <xdr:colOff>168363</xdr:colOff>
      <xdr:row>47</xdr:row>
      <xdr:rowOff>73874</xdr:rowOff>
    </xdr:from>
    <xdr:ext cx="157842" cy="157842"/>
    <xdr:pic macro="[0]!DeleteEmployerIncome">
      <xdr:nvPicPr>
        <xdr:cNvPr id="132" name="btnDelEMPIncomeApp1Job2" hidden="1">
          <a:extLst>
            <a:ext uri="{FF2B5EF4-FFF2-40B4-BE49-F238E27FC236}">
              <a16:creationId xmlns:a16="http://schemas.microsoft.com/office/drawing/2014/main" id="{AACB029C-F168-4CFA-8BAE-1205FC7A5C3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265124"/>
          <a:ext cx="157842" cy="157842"/>
        </a:xfrm>
        <a:prstGeom prst="rect">
          <a:avLst/>
        </a:prstGeom>
      </xdr:spPr>
    </xdr:pic>
    <xdr:clientData fPrintsWithSheet="0"/>
  </xdr:oneCellAnchor>
  <xdr:oneCellAnchor>
    <xdr:from>
      <xdr:col>18</xdr:col>
      <xdr:colOff>15873</xdr:colOff>
      <xdr:row>47</xdr:row>
      <xdr:rowOff>77582</xdr:rowOff>
    </xdr:from>
    <xdr:ext cx="154134" cy="154134"/>
    <xdr:pic macro="[0]!AddEditEmployerIncome">
      <xdr:nvPicPr>
        <xdr:cNvPr id="133" name="btnEditEMPIncomeApp1Job2" hidden="1">
          <a:extLst>
            <a:ext uri="{FF2B5EF4-FFF2-40B4-BE49-F238E27FC236}">
              <a16:creationId xmlns:a16="http://schemas.microsoft.com/office/drawing/2014/main" id="{96E89B8E-839F-4AF8-A402-6AF1FBE9692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268832"/>
          <a:ext cx="154134" cy="154134"/>
        </a:xfrm>
        <a:prstGeom prst="rect">
          <a:avLst/>
        </a:prstGeom>
      </xdr:spPr>
    </xdr:pic>
    <xdr:clientData fPrintsWithSheet="0"/>
  </xdr:oneCellAnchor>
  <xdr:oneCellAnchor>
    <xdr:from>
      <xdr:col>28</xdr:col>
      <xdr:colOff>167121</xdr:colOff>
      <xdr:row>48</xdr:row>
      <xdr:rowOff>76255</xdr:rowOff>
    </xdr:from>
    <xdr:ext cx="157842" cy="157842"/>
    <xdr:pic macro="[0]!DeleteEmployerIncome">
      <xdr:nvPicPr>
        <xdr:cNvPr id="134" name="btnDelEMPIncomeApp2Job2" hidden="1">
          <a:extLst>
            <a:ext uri="{FF2B5EF4-FFF2-40B4-BE49-F238E27FC236}">
              <a16:creationId xmlns:a16="http://schemas.microsoft.com/office/drawing/2014/main" id="{B840B7CE-DD31-4C99-BEBA-6019FAFB6FA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505630"/>
          <a:ext cx="157842" cy="157842"/>
        </a:xfrm>
        <a:prstGeom prst="rect">
          <a:avLst/>
        </a:prstGeom>
      </xdr:spPr>
    </xdr:pic>
    <xdr:clientData fPrintsWithSheet="0"/>
  </xdr:oneCellAnchor>
  <xdr:oneCellAnchor>
    <xdr:from>
      <xdr:col>28</xdr:col>
      <xdr:colOff>15875</xdr:colOff>
      <xdr:row>48</xdr:row>
      <xdr:rowOff>79963</xdr:rowOff>
    </xdr:from>
    <xdr:ext cx="154134" cy="154134"/>
    <xdr:pic macro="[0]!AddEditEmployerIncome">
      <xdr:nvPicPr>
        <xdr:cNvPr id="135" name="btnEditEMPIncomeApp2Job2" hidden="1">
          <a:extLst>
            <a:ext uri="{FF2B5EF4-FFF2-40B4-BE49-F238E27FC236}">
              <a16:creationId xmlns:a16="http://schemas.microsoft.com/office/drawing/2014/main" id="{2A2587D7-EDFD-4FED-BDAA-36052F23371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6509338"/>
          <a:ext cx="154134" cy="154134"/>
        </a:xfrm>
        <a:prstGeom prst="rect">
          <a:avLst/>
        </a:prstGeom>
      </xdr:spPr>
    </xdr:pic>
    <xdr:clientData fPrintsWithSheet="0"/>
  </xdr:oneCellAnchor>
  <xdr:oneCellAnchor>
    <xdr:from>
      <xdr:col>38</xdr:col>
      <xdr:colOff>167121</xdr:colOff>
      <xdr:row>48</xdr:row>
      <xdr:rowOff>76255</xdr:rowOff>
    </xdr:from>
    <xdr:ext cx="157842" cy="157842"/>
    <xdr:pic macro="[0]!DeleteEmployerIncome">
      <xdr:nvPicPr>
        <xdr:cNvPr id="136" name="btnDelEMPIncomeApp3Job2" hidden="1">
          <a:extLst>
            <a:ext uri="{FF2B5EF4-FFF2-40B4-BE49-F238E27FC236}">
              <a16:creationId xmlns:a16="http://schemas.microsoft.com/office/drawing/2014/main" id="{C45BD2A7-785A-4B5C-A8E4-33557FAF2A4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505630"/>
          <a:ext cx="157842" cy="157842"/>
        </a:xfrm>
        <a:prstGeom prst="rect">
          <a:avLst/>
        </a:prstGeom>
      </xdr:spPr>
    </xdr:pic>
    <xdr:clientData fPrintsWithSheet="0"/>
  </xdr:oneCellAnchor>
  <xdr:oneCellAnchor>
    <xdr:from>
      <xdr:col>38</xdr:col>
      <xdr:colOff>15875</xdr:colOff>
      <xdr:row>48</xdr:row>
      <xdr:rowOff>79963</xdr:rowOff>
    </xdr:from>
    <xdr:ext cx="154134" cy="154134"/>
    <xdr:pic macro="[0]!AddEditEmployerIncome">
      <xdr:nvPicPr>
        <xdr:cNvPr id="137" name="btnEditEMPIncomeApp3Job2" hidden="1">
          <a:extLst>
            <a:ext uri="{FF2B5EF4-FFF2-40B4-BE49-F238E27FC236}">
              <a16:creationId xmlns:a16="http://schemas.microsoft.com/office/drawing/2014/main" id="{57F5DB84-A938-4AC8-AB71-9AE13AA89D3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6509338"/>
          <a:ext cx="154134" cy="154134"/>
        </a:xfrm>
        <a:prstGeom prst="rect">
          <a:avLst/>
        </a:prstGeom>
      </xdr:spPr>
    </xdr:pic>
    <xdr:clientData fPrintsWithSheet="0"/>
  </xdr:oneCellAnchor>
  <xdr:oneCellAnchor>
    <xdr:from>
      <xdr:col>48</xdr:col>
      <xdr:colOff>167121</xdr:colOff>
      <xdr:row>48</xdr:row>
      <xdr:rowOff>76255</xdr:rowOff>
    </xdr:from>
    <xdr:ext cx="157842" cy="157842"/>
    <xdr:pic macro="[0]!DeleteEmployerIncome">
      <xdr:nvPicPr>
        <xdr:cNvPr id="138" name="btnDelEMPIncomeApp4Job2" hidden="1">
          <a:extLst>
            <a:ext uri="{FF2B5EF4-FFF2-40B4-BE49-F238E27FC236}">
              <a16:creationId xmlns:a16="http://schemas.microsoft.com/office/drawing/2014/main" id="{7D54AB4F-F026-4B03-93C7-4E619496ABB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505630"/>
          <a:ext cx="157842" cy="157842"/>
        </a:xfrm>
        <a:prstGeom prst="rect">
          <a:avLst/>
        </a:prstGeom>
      </xdr:spPr>
    </xdr:pic>
    <xdr:clientData fPrintsWithSheet="0"/>
  </xdr:oneCellAnchor>
  <xdr:oneCellAnchor>
    <xdr:from>
      <xdr:col>48</xdr:col>
      <xdr:colOff>15875</xdr:colOff>
      <xdr:row>48</xdr:row>
      <xdr:rowOff>79963</xdr:rowOff>
    </xdr:from>
    <xdr:ext cx="154134" cy="154134"/>
    <xdr:pic macro="[0]!AddEditEmployerIncome">
      <xdr:nvPicPr>
        <xdr:cNvPr id="139" name="btnEditEMPIncomeApp4Job2" hidden="1">
          <a:extLst>
            <a:ext uri="{FF2B5EF4-FFF2-40B4-BE49-F238E27FC236}">
              <a16:creationId xmlns:a16="http://schemas.microsoft.com/office/drawing/2014/main" id="{F45CAD39-B4F8-4ABA-8442-5B1A9CADE66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6509338"/>
          <a:ext cx="154134" cy="154134"/>
        </a:xfrm>
        <a:prstGeom prst="rect">
          <a:avLst/>
        </a:prstGeom>
      </xdr:spPr>
    </xdr:pic>
    <xdr:clientData fPrintsWithSheet="0"/>
  </xdr:oneCellAnchor>
  <xdr:oneCellAnchor>
    <xdr:from>
      <xdr:col>58</xdr:col>
      <xdr:colOff>167121</xdr:colOff>
      <xdr:row>48</xdr:row>
      <xdr:rowOff>76255</xdr:rowOff>
    </xdr:from>
    <xdr:ext cx="157842" cy="157842"/>
    <xdr:pic macro="[0]!DeleteEmployerIncome">
      <xdr:nvPicPr>
        <xdr:cNvPr id="140" name="btnDelEMPIncomeApp5Job2" hidden="1">
          <a:extLst>
            <a:ext uri="{FF2B5EF4-FFF2-40B4-BE49-F238E27FC236}">
              <a16:creationId xmlns:a16="http://schemas.microsoft.com/office/drawing/2014/main" id="{6AB9F33B-2D71-4FB8-889F-4E63A8AFE4F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505630"/>
          <a:ext cx="157842" cy="157842"/>
        </a:xfrm>
        <a:prstGeom prst="rect">
          <a:avLst/>
        </a:prstGeom>
      </xdr:spPr>
    </xdr:pic>
    <xdr:clientData fPrintsWithSheet="0"/>
  </xdr:oneCellAnchor>
  <xdr:oneCellAnchor>
    <xdr:from>
      <xdr:col>58</xdr:col>
      <xdr:colOff>15875</xdr:colOff>
      <xdr:row>48</xdr:row>
      <xdr:rowOff>79963</xdr:rowOff>
    </xdr:from>
    <xdr:ext cx="154134" cy="154134"/>
    <xdr:pic macro="[0]!AddEditEmployerIncome">
      <xdr:nvPicPr>
        <xdr:cNvPr id="141" name="btnEditEMPIncomeApp5Job2" hidden="1">
          <a:extLst>
            <a:ext uri="{FF2B5EF4-FFF2-40B4-BE49-F238E27FC236}">
              <a16:creationId xmlns:a16="http://schemas.microsoft.com/office/drawing/2014/main" id="{6D45CA12-5F27-4662-9BEA-68954D71EC4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6509338"/>
          <a:ext cx="154134" cy="154134"/>
        </a:xfrm>
        <a:prstGeom prst="rect">
          <a:avLst/>
        </a:prstGeom>
      </xdr:spPr>
    </xdr:pic>
    <xdr:clientData fPrintsWithSheet="0"/>
  </xdr:oneCellAnchor>
  <xdr:oneCellAnchor>
    <xdr:from>
      <xdr:col>68</xdr:col>
      <xdr:colOff>167121</xdr:colOff>
      <xdr:row>48</xdr:row>
      <xdr:rowOff>76255</xdr:rowOff>
    </xdr:from>
    <xdr:ext cx="157842" cy="157842"/>
    <xdr:pic macro="[0]!DeleteEmployerIncome">
      <xdr:nvPicPr>
        <xdr:cNvPr id="142" name="btnDelEMPIncomeApp6Job2" hidden="1">
          <a:extLst>
            <a:ext uri="{FF2B5EF4-FFF2-40B4-BE49-F238E27FC236}">
              <a16:creationId xmlns:a16="http://schemas.microsoft.com/office/drawing/2014/main" id="{DAFB133F-892D-4BAD-9DAA-D7BCFC2AD16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505630"/>
          <a:ext cx="157842" cy="157842"/>
        </a:xfrm>
        <a:prstGeom prst="rect">
          <a:avLst/>
        </a:prstGeom>
      </xdr:spPr>
    </xdr:pic>
    <xdr:clientData fPrintsWithSheet="0"/>
  </xdr:oneCellAnchor>
  <xdr:oneCellAnchor>
    <xdr:from>
      <xdr:col>68</xdr:col>
      <xdr:colOff>15875</xdr:colOff>
      <xdr:row>48</xdr:row>
      <xdr:rowOff>79963</xdr:rowOff>
    </xdr:from>
    <xdr:ext cx="154134" cy="154134"/>
    <xdr:pic macro="[0]!AddEditEmployerIncome">
      <xdr:nvPicPr>
        <xdr:cNvPr id="143" name="btnEditEMPIncomeApp6Job2" hidden="1">
          <a:extLst>
            <a:ext uri="{FF2B5EF4-FFF2-40B4-BE49-F238E27FC236}">
              <a16:creationId xmlns:a16="http://schemas.microsoft.com/office/drawing/2014/main" id="{1C204569-155E-4947-A239-D8ECDA9FAA9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6509338"/>
          <a:ext cx="154134" cy="154134"/>
        </a:xfrm>
        <a:prstGeom prst="rect">
          <a:avLst/>
        </a:prstGeom>
      </xdr:spPr>
    </xdr:pic>
    <xdr:clientData fPrintsWithSheet="0"/>
  </xdr:oneCellAnchor>
  <xdr:oneCellAnchor>
    <xdr:from>
      <xdr:col>18</xdr:col>
      <xdr:colOff>168363</xdr:colOff>
      <xdr:row>48</xdr:row>
      <xdr:rowOff>73874</xdr:rowOff>
    </xdr:from>
    <xdr:ext cx="157842" cy="157842"/>
    <xdr:pic macro="[0]!DeleteEmployerIncome">
      <xdr:nvPicPr>
        <xdr:cNvPr id="144" name="btnDelEMPIncomeApp1Job2" hidden="1">
          <a:extLst>
            <a:ext uri="{FF2B5EF4-FFF2-40B4-BE49-F238E27FC236}">
              <a16:creationId xmlns:a16="http://schemas.microsoft.com/office/drawing/2014/main" id="{BCE4F8D9-E820-4868-9874-8E46BF0018B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503249"/>
          <a:ext cx="157842" cy="157842"/>
        </a:xfrm>
        <a:prstGeom prst="rect">
          <a:avLst/>
        </a:prstGeom>
      </xdr:spPr>
    </xdr:pic>
    <xdr:clientData fPrintsWithSheet="0"/>
  </xdr:oneCellAnchor>
  <xdr:oneCellAnchor>
    <xdr:from>
      <xdr:col>18</xdr:col>
      <xdr:colOff>15873</xdr:colOff>
      <xdr:row>48</xdr:row>
      <xdr:rowOff>77582</xdr:rowOff>
    </xdr:from>
    <xdr:ext cx="154134" cy="154134"/>
    <xdr:pic macro="[0]!AddEditEmployerIncome">
      <xdr:nvPicPr>
        <xdr:cNvPr id="145" name="btnEditEMPIncomeApp1Job2" hidden="1">
          <a:extLst>
            <a:ext uri="{FF2B5EF4-FFF2-40B4-BE49-F238E27FC236}">
              <a16:creationId xmlns:a16="http://schemas.microsoft.com/office/drawing/2014/main" id="{E69910D4-416F-4225-83A1-107C60E80D8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506957"/>
          <a:ext cx="154134" cy="154134"/>
        </a:xfrm>
        <a:prstGeom prst="rect">
          <a:avLst/>
        </a:prstGeom>
      </xdr:spPr>
    </xdr:pic>
    <xdr:clientData fPrintsWithSheet="0"/>
  </xdr:oneCellAnchor>
  <xdr:oneCellAnchor>
    <xdr:from>
      <xdr:col>28</xdr:col>
      <xdr:colOff>167121</xdr:colOff>
      <xdr:row>49</xdr:row>
      <xdr:rowOff>76255</xdr:rowOff>
    </xdr:from>
    <xdr:ext cx="157842" cy="157842"/>
    <xdr:pic macro="[0]!DeleteEmployerIncome">
      <xdr:nvPicPr>
        <xdr:cNvPr id="146" name="btnDelEMPIncomeApp2Job2" hidden="1">
          <a:extLst>
            <a:ext uri="{FF2B5EF4-FFF2-40B4-BE49-F238E27FC236}">
              <a16:creationId xmlns:a16="http://schemas.microsoft.com/office/drawing/2014/main" id="{FC62077A-9FCD-487E-8980-19C42BD4B92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743755"/>
          <a:ext cx="157842" cy="157842"/>
        </a:xfrm>
        <a:prstGeom prst="rect">
          <a:avLst/>
        </a:prstGeom>
      </xdr:spPr>
    </xdr:pic>
    <xdr:clientData fPrintsWithSheet="0"/>
  </xdr:oneCellAnchor>
  <xdr:oneCellAnchor>
    <xdr:from>
      <xdr:col>28</xdr:col>
      <xdr:colOff>15875</xdr:colOff>
      <xdr:row>49</xdr:row>
      <xdr:rowOff>79963</xdr:rowOff>
    </xdr:from>
    <xdr:ext cx="154134" cy="154134"/>
    <xdr:pic macro="[0]!AddEditEmployerIncome">
      <xdr:nvPicPr>
        <xdr:cNvPr id="147" name="btnEditEMPIncomeApp2Job2" hidden="1">
          <a:extLst>
            <a:ext uri="{FF2B5EF4-FFF2-40B4-BE49-F238E27FC236}">
              <a16:creationId xmlns:a16="http://schemas.microsoft.com/office/drawing/2014/main" id="{2FF589E3-4A29-4459-BC3A-18BCBEA8636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6747463"/>
          <a:ext cx="154134" cy="154134"/>
        </a:xfrm>
        <a:prstGeom prst="rect">
          <a:avLst/>
        </a:prstGeom>
      </xdr:spPr>
    </xdr:pic>
    <xdr:clientData fPrintsWithSheet="0"/>
  </xdr:oneCellAnchor>
  <xdr:oneCellAnchor>
    <xdr:from>
      <xdr:col>38</xdr:col>
      <xdr:colOff>167121</xdr:colOff>
      <xdr:row>49</xdr:row>
      <xdr:rowOff>76255</xdr:rowOff>
    </xdr:from>
    <xdr:ext cx="157842" cy="157842"/>
    <xdr:pic macro="[0]!DeleteEmployerIncome">
      <xdr:nvPicPr>
        <xdr:cNvPr id="148" name="btnDelEMPIncomeApp3Job2" hidden="1">
          <a:extLst>
            <a:ext uri="{FF2B5EF4-FFF2-40B4-BE49-F238E27FC236}">
              <a16:creationId xmlns:a16="http://schemas.microsoft.com/office/drawing/2014/main" id="{3370A311-A1C9-41B0-8D57-5B7FBCC0332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743755"/>
          <a:ext cx="157842" cy="157842"/>
        </a:xfrm>
        <a:prstGeom prst="rect">
          <a:avLst/>
        </a:prstGeom>
      </xdr:spPr>
    </xdr:pic>
    <xdr:clientData fPrintsWithSheet="0"/>
  </xdr:oneCellAnchor>
  <xdr:oneCellAnchor>
    <xdr:from>
      <xdr:col>38</xdr:col>
      <xdr:colOff>15875</xdr:colOff>
      <xdr:row>49</xdr:row>
      <xdr:rowOff>79963</xdr:rowOff>
    </xdr:from>
    <xdr:ext cx="154134" cy="154134"/>
    <xdr:pic macro="[0]!AddEditEmployerIncome">
      <xdr:nvPicPr>
        <xdr:cNvPr id="149" name="btnEditEMPIncomeApp3Job2" hidden="1">
          <a:extLst>
            <a:ext uri="{FF2B5EF4-FFF2-40B4-BE49-F238E27FC236}">
              <a16:creationId xmlns:a16="http://schemas.microsoft.com/office/drawing/2014/main" id="{662F8B00-0971-4C04-8E82-3ABAFB18904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6747463"/>
          <a:ext cx="154134" cy="154134"/>
        </a:xfrm>
        <a:prstGeom prst="rect">
          <a:avLst/>
        </a:prstGeom>
      </xdr:spPr>
    </xdr:pic>
    <xdr:clientData fPrintsWithSheet="0"/>
  </xdr:oneCellAnchor>
  <xdr:oneCellAnchor>
    <xdr:from>
      <xdr:col>48</xdr:col>
      <xdr:colOff>167121</xdr:colOff>
      <xdr:row>49</xdr:row>
      <xdr:rowOff>76255</xdr:rowOff>
    </xdr:from>
    <xdr:ext cx="157842" cy="157842"/>
    <xdr:pic macro="[0]!DeleteEmployerIncome">
      <xdr:nvPicPr>
        <xdr:cNvPr id="150" name="btnDelEMPIncomeApp4Job2" hidden="1">
          <a:extLst>
            <a:ext uri="{FF2B5EF4-FFF2-40B4-BE49-F238E27FC236}">
              <a16:creationId xmlns:a16="http://schemas.microsoft.com/office/drawing/2014/main" id="{7F74731F-094E-4293-8CED-6CBFAEC3972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743755"/>
          <a:ext cx="157842" cy="157842"/>
        </a:xfrm>
        <a:prstGeom prst="rect">
          <a:avLst/>
        </a:prstGeom>
      </xdr:spPr>
    </xdr:pic>
    <xdr:clientData fPrintsWithSheet="0"/>
  </xdr:oneCellAnchor>
  <xdr:oneCellAnchor>
    <xdr:from>
      <xdr:col>48</xdr:col>
      <xdr:colOff>15875</xdr:colOff>
      <xdr:row>49</xdr:row>
      <xdr:rowOff>79963</xdr:rowOff>
    </xdr:from>
    <xdr:ext cx="154134" cy="154134"/>
    <xdr:pic macro="[0]!AddEditEmployerIncome">
      <xdr:nvPicPr>
        <xdr:cNvPr id="151" name="btnEditEMPIncomeApp4Job2" hidden="1">
          <a:extLst>
            <a:ext uri="{FF2B5EF4-FFF2-40B4-BE49-F238E27FC236}">
              <a16:creationId xmlns:a16="http://schemas.microsoft.com/office/drawing/2014/main" id="{8BB53404-3C52-4AF8-9E95-38170DCED53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6747463"/>
          <a:ext cx="154134" cy="154134"/>
        </a:xfrm>
        <a:prstGeom prst="rect">
          <a:avLst/>
        </a:prstGeom>
      </xdr:spPr>
    </xdr:pic>
    <xdr:clientData fPrintsWithSheet="0"/>
  </xdr:oneCellAnchor>
  <xdr:oneCellAnchor>
    <xdr:from>
      <xdr:col>58</xdr:col>
      <xdr:colOff>167121</xdr:colOff>
      <xdr:row>49</xdr:row>
      <xdr:rowOff>76255</xdr:rowOff>
    </xdr:from>
    <xdr:ext cx="157842" cy="157842"/>
    <xdr:pic macro="[0]!DeleteEmployerIncome">
      <xdr:nvPicPr>
        <xdr:cNvPr id="156" name="btnDelEMPIncomeApp5Job2" hidden="1">
          <a:extLst>
            <a:ext uri="{FF2B5EF4-FFF2-40B4-BE49-F238E27FC236}">
              <a16:creationId xmlns:a16="http://schemas.microsoft.com/office/drawing/2014/main" id="{248A6795-23BE-47AD-843C-E04DBDC4AC3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743755"/>
          <a:ext cx="157842" cy="157842"/>
        </a:xfrm>
        <a:prstGeom prst="rect">
          <a:avLst/>
        </a:prstGeom>
      </xdr:spPr>
    </xdr:pic>
    <xdr:clientData fPrintsWithSheet="0"/>
  </xdr:oneCellAnchor>
  <xdr:oneCellAnchor>
    <xdr:from>
      <xdr:col>58</xdr:col>
      <xdr:colOff>15875</xdr:colOff>
      <xdr:row>49</xdr:row>
      <xdr:rowOff>79963</xdr:rowOff>
    </xdr:from>
    <xdr:ext cx="154134" cy="154134"/>
    <xdr:pic macro="[0]!AddEditEmployerIncome">
      <xdr:nvPicPr>
        <xdr:cNvPr id="157" name="btnEditEMPIncomeApp5Job2" hidden="1">
          <a:extLst>
            <a:ext uri="{FF2B5EF4-FFF2-40B4-BE49-F238E27FC236}">
              <a16:creationId xmlns:a16="http://schemas.microsoft.com/office/drawing/2014/main" id="{45CA3CBE-7B13-43A2-B7B8-16DD7F834B5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6747463"/>
          <a:ext cx="154134" cy="154134"/>
        </a:xfrm>
        <a:prstGeom prst="rect">
          <a:avLst/>
        </a:prstGeom>
      </xdr:spPr>
    </xdr:pic>
    <xdr:clientData fPrintsWithSheet="0"/>
  </xdr:oneCellAnchor>
  <xdr:oneCellAnchor>
    <xdr:from>
      <xdr:col>68</xdr:col>
      <xdr:colOff>167121</xdr:colOff>
      <xdr:row>49</xdr:row>
      <xdr:rowOff>76255</xdr:rowOff>
    </xdr:from>
    <xdr:ext cx="157842" cy="157842"/>
    <xdr:pic macro="[0]!DeleteEmployerIncome">
      <xdr:nvPicPr>
        <xdr:cNvPr id="158" name="btnDelEMPIncomeApp6Job2" hidden="1">
          <a:extLst>
            <a:ext uri="{FF2B5EF4-FFF2-40B4-BE49-F238E27FC236}">
              <a16:creationId xmlns:a16="http://schemas.microsoft.com/office/drawing/2014/main" id="{A7B27ED6-5DD0-47D6-81AA-CC4BD67301A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743755"/>
          <a:ext cx="157842" cy="157842"/>
        </a:xfrm>
        <a:prstGeom prst="rect">
          <a:avLst/>
        </a:prstGeom>
      </xdr:spPr>
    </xdr:pic>
    <xdr:clientData fPrintsWithSheet="0"/>
  </xdr:oneCellAnchor>
  <xdr:oneCellAnchor>
    <xdr:from>
      <xdr:col>68</xdr:col>
      <xdr:colOff>15875</xdr:colOff>
      <xdr:row>49</xdr:row>
      <xdr:rowOff>79963</xdr:rowOff>
    </xdr:from>
    <xdr:ext cx="154134" cy="154134"/>
    <xdr:pic macro="[0]!AddEditEmployerIncome">
      <xdr:nvPicPr>
        <xdr:cNvPr id="159" name="btnEditEMPIncomeApp6Job2" hidden="1">
          <a:extLst>
            <a:ext uri="{FF2B5EF4-FFF2-40B4-BE49-F238E27FC236}">
              <a16:creationId xmlns:a16="http://schemas.microsoft.com/office/drawing/2014/main" id="{EDEB1146-2402-415B-80D2-D193590DB32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6747463"/>
          <a:ext cx="154134" cy="154134"/>
        </a:xfrm>
        <a:prstGeom prst="rect">
          <a:avLst/>
        </a:prstGeom>
      </xdr:spPr>
    </xdr:pic>
    <xdr:clientData fPrintsWithSheet="0"/>
  </xdr:oneCellAnchor>
  <xdr:oneCellAnchor>
    <xdr:from>
      <xdr:col>18</xdr:col>
      <xdr:colOff>168363</xdr:colOff>
      <xdr:row>49</xdr:row>
      <xdr:rowOff>73874</xdr:rowOff>
    </xdr:from>
    <xdr:ext cx="157842" cy="157842"/>
    <xdr:pic macro="[0]!DeleteEmployerIncome">
      <xdr:nvPicPr>
        <xdr:cNvPr id="160" name="btnDelEMPIncomeApp1Job2" hidden="1">
          <a:extLst>
            <a:ext uri="{FF2B5EF4-FFF2-40B4-BE49-F238E27FC236}">
              <a16:creationId xmlns:a16="http://schemas.microsoft.com/office/drawing/2014/main" id="{96A1C529-D623-40F7-BF49-6760B1A8EAF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741374"/>
          <a:ext cx="157842" cy="157842"/>
        </a:xfrm>
        <a:prstGeom prst="rect">
          <a:avLst/>
        </a:prstGeom>
      </xdr:spPr>
    </xdr:pic>
    <xdr:clientData fPrintsWithSheet="0"/>
  </xdr:oneCellAnchor>
  <xdr:oneCellAnchor>
    <xdr:from>
      <xdr:col>18</xdr:col>
      <xdr:colOff>15873</xdr:colOff>
      <xdr:row>49</xdr:row>
      <xdr:rowOff>77582</xdr:rowOff>
    </xdr:from>
    <xdr:ext cx="154134" cy="154134"/>
    <xdr:pic macro="[0]!AddEditEmployerIncome">
      <xdr:nvPicPr>
        <xdr:cNvPr id="161" name="btnEditEMPIncomeApp1Job2" hidden="1">
          <a:extLst>
            <a:ext uri="{FF2B5EF4-FFF2-40B4-BE49-F238E27FC236}">
              <a16:creationId xmlns:a16="http://schemas.microsoft.com/office/drawing/2014/main" id="{35CD495E-CEA0-42DB-B808-3BAFA84680B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745082"/>
          <a:ext cx="154134" cy="154134"/>
        </a:xfrm>
        <a:prstGeom prst="rect">
          <a:avLst/>
        </a:prstGeom>
      </xdr:spPr>
    </xdr:pic>
    <xdr:clientData fPrintsWithSheet="0"/>
  </xdr:oneCellAnchor>
  <xdr:oneCellAnchor>
    <xdr:from>
      <xdr:col>28</xdr:col>
      <xdr:colOff>167121</xdr:colOff>
      <xdr:row>77</xdr:row>
      <xdr:rowOff>76255</xdr:rowOff>
    </xdr:from>
    <xdr:ext cx="157842" cy="157842"/>
    <xdr:pic macro="[0]!DeleteEmployerIncome">
      <xdr:nvPicPr>
        <xdr:cNvPr id="168" name="btnDelEMPIncomeApp2Job2" hidden="1">
          <a:extLst>
            <a:ext uri="{FF2B5EF4-FFF2-40B4-BE49-F238E27FC236}">
              <a16:creationId xmlns:a16="http://schemas.microsoft.com/office/drawing/2014/main" id="{5FACCD7A-55DE-476C-B899-81E78B95861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77</xdr:row>
      <xdr:rowOff>79963</xdr:rowOff>
    </xdr:from>
    <xdr:ext cx="154134" cy="154134"/>
    <xdr:pic macro="[0]!AddEditEmployerIncome">
      <xdr:nvPicPr>
        <xdr:cNvPr id="169" name="btnEditEMPIncomeApp2Job2" hidden="1">
          <a:extLst>
            <a:ext uri="{FF2B5EF4-FFF2-40B4-BE49-F238E27FC236}">
              <a16:creationId xmlns:a16="http://schemas.microsoft.com/office/drawing/2014/main" id="{E169CDD6-9D80-4AE6-A7FA-9959FD6FFCE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77</xdr:row>
      <xdr:rowOff>76255</xdr:rowOff>
    </xdr:from>
    <xdr:ext cx="157842" cy="157842"/>
    <xdr:pic macro="[0]!DeleteEmployerIncome">
      <xdr:nvPicPr>
        <xdr:cNvPr id="170" name="btnDelEMPIncomeApp3Job2" hidden="1">
          <a:extLst>
            <a:ext uri="{FF2B5EF4-FFF2-40B4-BE49-F238E27FC236}">
              <a16:creationId xmlns:a16="http://schemas.microsoft.com/office/drawing/2014/main" id="{E71245D0-0027-47BB-B568-87221F9E0CE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77</xdr:row>
      <xdr:rowOff>79963</xdr:rowOff>
    </xdr:from>
    <xdr:ext cx="154134" cy="154134"/>
    <xdr:pic macro="[0]!AddEditEmployerIncome">
      <xdr:nvPicPr>
        <xdr:cNvPr id="171" name="btnEditEMPIncomeApp3Job2" hidden="1">
          <a:extLst>
            <a:ext uri="{FF2B5EF4-FFF2-40B4-BE49-F238E27FC236}">
              <a16:creationId xmlns:a16="http://schemas.microsoft.com/office/drawing/2014/main" id="{035726DF-74E0-4AFA-9300-D3ECEF97D70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77</xdr:row>
      <xdr:rowOff>76255</xdr:rowOff>
    </xdr:from>
    <xdr:ext cx="157842" cy="157842"/>
    <xdr:pic macro="[0]!DeleteEmployerIncome">
      <xdr:nvPicPr>
        <xdr:cNvPr id="172" name="btnDelEMPIncomeApp4Job2" hidden="1">
          <a:extLst>
            <a:ext uri="{FF2B5EF4-FFF2-40B4-BE49-F238E27FC236}">
              <a16:creationId xmlns:a16="http://schemas.microsoft.com/office/drawing/2014/main" id="{6D85EB37-6E77-4A69-BDC8-3FCBB97C69D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77</xdr:row>
      <xdr:rowOff>79963</xdr:rowOff>
    </xdr:from>
    <xdr:ext cx="154134" cy="154134"/>
    <xdr:pic macro="[0]!AddEditEmployerIncome">
      <xdr:nvPicPr>
        <xdr:cNvPr id="173" name="btnEditEMPIncomeApp4Job2" hidden="1">
          <a:extLst>
            <a:ext uri="{FF2B5EF4-FFF2-40B4-BE49-F238E27FC236}">
              <a16:creationId xmlns:a16="http://schemas.microsoft.com/office/drawing/2014/main" id="{34116657-FEBD-4F98-B8F8-2DCF46BA1F6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77</xdr:row>
      <xdr:rowOff>76255</xdr:rowOff>
    </xdr:from>
    <xdr:ext cx="157842" cy="157842"/>
    <xdr:pic macro="[0]!DeleteEmployerIncome">
      <xdr:nvPicPr>
        <xdr:cNvPr id="178" name="btnDelEMPIncomeApp5Job2" hidden="1">
          <a:extLst>
            <a:ext uri="{FF2B5EF4-FFF2-40B4-BE49-F238E27FC236}">
              <a16:creationId xmlns:a16="http://schemas.microsoft.com/office/drawing/2014/main" id="{BD46FAB8-0BD0-47DE-A991-03531F68975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77</xdr:row>
      <xdr:rowOff>79963</xdr:rowOff>
    </xdr:from>
    <xdr:ext cx="154134" cy="154134"/>
    <xdr:pic macro="[0]!AddEditEmployerIncome">
      <xdr:nvPicPr>
        <xdr:cNvPr id="179" name="btnEditEMPIncomeApp5Job2" hidden="1">
          <a:extLst>
            <a:ext uri="{FF2B5EF4-FFF2-40B4-BE49-F238E27FC236}">
              <a16:creationId xmlns:a16="http://schemas.microsoft.com/office/drawing/2014/main" id="{7BF676F8-093B-466A-99A9-E641BFA40BC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77</xdr:row>
      <xdr:rowOff>73874</xdr:rowOff>
    </xdr:from>
    <xdr:ext cx="157842" cy="157842"/>
    <xdr:pic macro="[0]!DeleteEmployerIncome">
      <xdr:nvPicPr>
        <xdr:cNvPr id="180" name="btnDelEMPIncomeApp1Job2" hidden="1">
          <a:extLst>
            <a:ext uri="{FF2B5EF4-FFF2-40B4-BE49-F238E27FC236}">
              <a16:creationId xmlns:a16="http://schemas.microsoft.com/office/drawing/2014/main" id="{F5EC3D2C-7C88-4991-8A26-2C88666C2B8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77</xdr:row>
      <xdr:rowOff>77582</xdr:rowOff>
    </xdr:from>
    <xdr:ext cx="154134" cy="154134"/>
    <xdr:pic macro="[0]!AddEditEmployerIncome">
      <xdr:nvPicPr>
        <xdr:cNvPr id="181" name="btnEditEMPIncomeApp1Job2" hidden="1">
          <a:extLst>
            <a:ext uri="{FF2B5EF4-FFF2-40B4-BE49-F238E27FC236}">
              <a16:creationId xmlns:a16="http://schemas.microsoft.com/office/drawing/2014/main" id="{263E98ED-8993-437B-8FAB-03E94D8DA50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oneCellAnchor>
    <xdr:from>
      <xdr:col>28</xdr:col>
      <xdr:colOff>167121</xdr:colOff>
      <xdr:row>79</xdr:row>
      <xdr:rowOff>76255</xdr:rowOff>
    </xdr:from>
    <xdr:ext cx="157842" cy="157842"/>
    <xdr:pic macro="[0]!DeleteEmployerIncome">
      <xdr:nvPicPr>
        <xdr:cNvPr id="182" name="btnDelEMPIncomeApp2Job2" hidden="1">
          <a:extLst>
            <a:ext uri="{FF2B5EF4-FFF2-40B4-BE49-F238E27FC236}">
              <a16:creationId xmlns:a16="http://schemas.microsoft.com/office/drawing/2014/main" id="{25D3DD8F-F11C-4B14-9F67-2435B17083B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79</xdr:row>
      <xdr:rowOff>79963</xdr:rowOff>
    </xdr:from>
    <xdr:ext cx="154134" cy="154134"/>
    <xdr:pic macro="[0]!AddEditEmployerIncome">
      <xdr:nvPicPr>
        <xdr:cNvPr id="183" name="btnEditEMPIncomeApp2Job2" hidden="1">
          <a:extLst>
            <a:ext uri="{FF2B5EF4-FFF2-40B4-BE49-F238E27FC236}">
              <a16:creationId xmlns:a16="http://schemas.microsoft.com/office/drawing/2014/main" id="{B60E4BCC-54FF-4564-9D56-58F3D0B2ECD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79</xdr:row>
      <xdr:rowOff>76255</xdr:rowOff>
    </xdr:from>
    <xdr:ext cx="157842" cy="157842"/>
    <xdr:pic macro="[0]!DeleteEmployerIncome">
      <xdr:nvPicPr>
        <xdr:cNvPr id="190" name="btnDelEMPIncomeApp3Job2" hidden="1">
          <a:extLst>
            <a:ext uri="{FF2B5EF4-FFF2-40B4-BE49-F238E27FC236}">
              <a16:creationId xmlns:a16="http://schemas.microsoft.com/office/drawing/2014/main" id="{DE1E87D7-9FA3-450D-9E52-81A649B6F53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79</xdr:row>
      <xdr:rowOff>79963</xdr:rowOff>
    </xdr:from>
    <xdr:ext cx="154134" cy="154134"/>
    <xdr:pic macro="[0]!AddEditEmployerIncome">
      <xdr:nvPicPr>
        <xdr:cNvPr id="191" name="btnEditEMPIncomeApp3Job2" hidden="1">
          <a:extLst>
            <a:ext uri="{FF2B5EF4-FFF2-40B4-BE49-F238E27FC236}">
              <a16:creationId xmlns:a16="http://schemas.microsoft.com/office/drawing/2014/main" id="{D147560C-6520-49BB-93CE-55E2B4F9320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79</xdr:row>
      <xdr:rowOff>76255</xdr:rowOff>
    </xdr:from>
    <xdr:ext cx="157842" cy="157842"/>
    <xdr:pic macro="[0]!DeleteEmployerIncome">
      <xdr:nvPicPr>
        <xdr:cNvPr id="192" name="btnDelEMPIncomeApp4Job2" hidden="1">
          <a:extLst>
            <a:ext uri="{FF2B5EF4-FFF2-40B4-BE49-F238E27FC236}">
              <a16:creationId xmlns:a16="http://schemas.microsoft.com/office/drawing/2014/main" id="{6A992FEE-3232-4A91-BFAA-5B3F75BC6A3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79</xdr:row>
      <xdr:rowOff>79963</xdr:rowOff>
    </xdr:from>
    <xdr:ext cx="154134" cy="154134"/>
    <xdr:pic macro="[0]!AddEditEmployerIncome">
      <xdr:nvPicPr>
        <xdr:cNvPr id="193" name="btnEditEMPIncomeApp4Job2" hidden="1">
          <a:extLst>
            <a:ext uri="{FF2B5EF4-FFF2-40B4-BE49-F238E27FC236}">
              <a16:creationId xmlns:a16="http://schemas.microsoft.com/office/drawing/2014/main" id="{473B8D7C-FD9C-4EFD-895E-1BF3764CFB6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79</xdr:row>
      <xdr:rowOff>76255</xdr:rowOff>
    </xdr:from>
    <xdr:ext cx="157842" cy="157842"/>
    <xdr:pic macro="[0]!DeleteEmployerIncome">
      <xdr:nvPicPr>
        <xdr:cNvPr id="194" name="btnDelEMPIncomeApp5Job2" hidden="1">
          <a:extLst>
            <a:ext uri="{FF2B5EF4-FFF2-40B4-BE49-F238E27FC236}">
              <a16:creationId xmlns:a16="http://schemas.microsoft.com/office/drawing/2014/main" id="{2B3399B5-4980-466C-A7E4-94428D4C647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79</xdr:row>
      <xdr:rowOff>79963</xdr:rowOff>
    </xdr:from>
    <xdr:ext cx="154134" cy="154134"/>
    <xdr:pic macro="[0]!AddEditEmployerIncome">
      <xdr:nvPicPr>
        <xdr:cNvPr id="195" name="btnEditEMPIncomeApp5Job2" hidden="1">
          <a:extLst>
            <a:ext uri="{FF2B5EF4-FFF2-40B4-BE49-F238E27FC236}">
              <a16:creationId xmlns:a16="http://schemas.microsoft.com/office/drawing/2014/main" id="{9B19C33F-C06C-4F0A-882C-8C973730F14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79</xdr:row>
      <xdr:rowOff>73874</xdr:rowOff>
    </xdr:from>
    <xdr:ext cx="157842" cy="157842"/>
    <xdr:pic macro="[0]!DeleteEmployerIncome">
      <xdr:nvPicPr>
        <xdr:cNvPr id="200" name="btnDelEMPIncomeApp1Job2" hidden="1">
          <a:extLst>
            <a:ext uri="{FF2B5EF4-FFF2-40B4-BE49-F238E27FC236}">
              <a16:creationId xmlns:a16="http://schemas.microsoft.com/office/drawing/2014/main" id="{536E0293-9D9C-4434-86E4-1877502C8D6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79</xdr:row>
      <xdr:rowOff>77582</xdr:rowOff>
    </xdr:from>
    <xdr:ext cx="154134" cy="154134"/>
    <xdr:pic macro="[0]!AddEditEmployerIncome">
      <xdr:nvPicPr>
        <xdr:cNvPr id="201" name="btnEditEMPIncomeApp1Job2" hidden="1">
          <a:extLst>
            <a:ext uri="{FF2B5EF4-FFF2-40B4-BE49-F238E27FC236}">
              <a16:creationId xmlns:a16="http://schemas.microsoft.com/office/drawing/2014/main" id="{1DE07F2C-178C-499C-93EA-08E78A83A5C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oneCellAnchor>
    <xdr:from>
      <xdr:col>28</xdr:col>
      <xdr:colOff>167121</xdr:colOff>
      <xdr:row>81</xdr:row>
      <xdr:rowOff>76255</xdr:rowOff>
    </xdr:from>
    <xdr:ext cx="157842" cy="157842"/>
    <xdr:pic macro="[0]!DeleteEmployerIncome">
      <xdr:nvPicPr>
        <xdr:cNvPr id="202" name="btnDelEMPIncomeApp2Job2" hidden="1">
          <a:extLst>
            <a:ext uri="{FF2B5EF4-FFF2-40B4-BE49-F238E27FC236}">
              <a16:creationId xmlns:a16="http://schemas.microsoft.com/office/drawing/2014/main" id="{633CED7B-D5D5-4238-8308-8CB4A630800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81</xdr:row>
      <xdr:rowOff>79963</xdr:rowOff>
    </xdr:from>
    <xdr:ext cx="154134" cy="154134"/>
    <xdr:pic macro="[0]!AddEditEmployerIncome">
      <xdr:nvPicPr>
        <xdr:cNvPr id="203" name="btnEditEMPIncomeApp2Job2" hidden="1">
          <a:extLst>
            <a:ext uri="{FF2B5EF4-FFF2-40B4-BE49-F238E27FC236}">
              <a16:creationId xmlns:a16="http://schemas.microsoft.com/office/drawing/2014/main" id="{9EBC5A26-CE89-4B90-9A86-C72E0E85DDD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81</xdr:row>
      <xdr:rowOff>76255</xdr:rowOff>
    </xdr:from>
    <xdr:ext cx="157842" cy="157842"/>
    <xdr:pic macro="[0]!DeleteEmployerIncome">
      <xdr:nvPicPr>
        <xdr:cNvPr id="204" name="btnDelEMPIncomeApp3Job2" hidden="1">
          <a:extLst>
            <a:ext uri="{FF2B5EF4-FFF2-40B4-BE49-F238E27FC236}">
              <a16:creationId xmlns:a16="http://schemas.microsoft.com/office/drawing/2014/main" id="{84C02410-17AD-4D62-B478-E7D08E91353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81</xdr:row>
      <xdr:rowOff>79963</xdr:rowOff>
    </xdr:from>
    <xdr:ext cx="154134" cy="154134"/>
    <xdr:pic macro="[0]!AddEditEmployerIncome">
      <xdr:nvPicPr>
        <xdr:cNvPr id="216" name="btnEditEMPIncomeApp3Job2" hidden="1">
          <a:extLst>
            <a:ext uri="{FF2B5EF4-FFF2-40B4-BE49-F238E27FC236}">
              <a16:creationId xmlns:a16="http://schemas.microsoft.com/office/drawing/2014/main" id="{3B480483-4E76-4D8A-95EE-2E67873A623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81</xdr:row>
      <xdr:rowOff>76255</xdr:rowOff>
    </xdr:from>
    <xdr:ext cx="157842" cy="157842"/>
    <xdr:pic macro="[0]!DeleteEmployerIncome">
      <xdr:nvPicPr>
        <xdr:cNvPr id="217" name="btnDelEMPIncomeApp4Job2" hidden="1">
          <a:extLst>
            <a:ext uri="{FF2B5EF4-FFF2-40B4-BE49-F238E27FC236}">
              <a16:creationId xmlns:a16="http://schemas.microsoft.com/office/drawing/2014/main" id="{FB761D4E-093F-46E9-9097-889315E54F2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81</xdr:row>
      <xdr:rowOff>79963</xdr:rowOff>
    </xdr:from>
    <xdr:ext cx="154134" cy="154134"/>
    <xdr:pic macro="[0]!AddEditEmployerIncome">
      <xdr:nvPicPr>
        <xdr:cNvPr id="222" name="btnEditEMPIncomeApp4Job2" hidden="1">
          <a:extLst>
            <a:ext uri="{FF2B5EF4-FFF2-40B4-BE49-F238E27FC236}">
              <a16:creationId xmlns:a16="http://schemas.microsoft.com/office/drawing/2014/main" id="{474D60F4-F684-4760-AC53-F8D06837574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81</xdr:row>
      <xdr:rowOff>76255</xdr:rowOff>
    </xdr:from>
    <xdr:ext cx="157842" cy="157842"/>
    <xdr:pic macro="[0]!DeleteEmployerIncome">
      <xdr:nvPicPr>
        <xdr:cNvPr id="223" name="btnDelEMPIncomeApp5Job2" hidden="1">
          <a:extLst>
            <a:ext uri="{FF2B5EF4-FFF2-40B4-BE49-F238E27FC236}">
              <a16:creationId xmlns:a16="http://schemas.microsoft.com/office/drawing/2014/main" id="{6892BFF3-61EC-4DE7-A64A-04D7743179E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81</xdr:row>
      <xdr:rowOff>79963</xdr:rowOff>
    </xdr:from>
    <xdr:ext cx="154134" cy="154134"/>
    <xdr:pic macro="[0]!AddEditEmployerIncome">
      <xdr:nvPicPr>
        <xdr:cNvPr id="238" name="btnEditEMPIncomeApp5Job2" hidden="1">
          <a:extLst>
            <a:ext uri="{FF2B5EF4-FFF2-40B4-BE49-F238E27FC236}">
              <a16:creationId xmlns:a16="http://schemas.microsoft.com/office/drawing/2014/main" id="{C6E300BA-CED1-4340-9625-4A497790E14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81</xdr:row>
      <xdr:rowOff>73874</xdr:rowOff>
    </xdr:from>
    <xdr:ext cx="157842" cy="157842"/>
    <xdr:pic macro="[0]!DeleteEmployerIncome">
      <xdr:nvPicPr>
        <xdr:cNvPr id="239" name="btnDelEMPIncomeApp1Job2" hidden="1">
          <a:extLst>
            <a:ext uri="{FF2B5EF4-FFF2-40B4-BE49-F238E27FC236}">
              <a16:creationId xmlns:a16="http://schemas.microsoft.com/office/drawing/2014/main" id="{1CFAE964-CF14-4BD4-A48C-DD7291E1151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81</xdr:row>
      <xdr:rowOff>77582</xdr:rowOff>
    </xdr:from>
    <xdr:ext cx="154134" cy="154134"/>
    <xdr:pic macro="[0]!AddEditEmployerIncome">
      <xdr:nvPicPr>
        <xdr:cNvPr id="244" name="btnEditEMPIncomeApp1Job2" hidden="1">
          <a:extLst>
            <a:ext uri="{FF2B5EF4-FFF2-40B4-BE49-F238E27FC236}">
              <a16:creationId xmlns:a16="http://schemas.microsoft.com/office/drawing/2014/main" id="{58264256-B062-4922-B09A-B454FA0220C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oneCellAnchor>
    <xdr:from>
      <xdr:col>28</xdr:col>
      <xdr:colOff>167121</xdr:colOff>
      <xdr:row>85</xdr:row>
      <xdr:rowOff>76255</xdr:rowOff>
    </xdr:from>
    <xdr:ext cx="157842" cy="157842"/>
    <xdr:pic macro="[0]!DeleteEmployerIncome">
      <xdr:nvPicPr>
        <xdr:cNvPr id="245" name="btnDelEMPIncomeApp2Job2" hidden="1">
          <a:extLst>
            <a:ext uri="{FF2B5EF4-FFF2-40B4-BE49-F238E27FC236}">
              <a16:creationId xmlns:a16="http://schemas.microsoft.com/office/drawing/2014/main" id="{EAE39885-0766-46E9-A3F2-A8885FC4AF6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85</xdr:row>
      <xdr:rowOff>79963</xdr:rowOff>
    </xdr:from>
    <xdr:ext cx="154134" cy="154134"/>
    <xdr:pic macro="[0]!AddEditEmployerIncome">
      <xdr:nvPicPr>
        <xdr:cNvPr id="260" name="btnEditEMPIncomeApp2Job2" hidden="1">
          <a:extLst>
            <a:ext uri="{FF2B5EF4-FFF2-40B4-BE49-F238E27FC236}">
              <a16:creationId xmlns:a16="http://schemas.microsoft.com/office/drawing/2014/main" id="{663C8E92-17C2-45CD-956D-076210A500B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85</xdr:row>
      <xdr:rowOff>76255</xdr:rowOff>
    </xdr:from>
    <xdr:ext cx="157842" cy="157842"/>
    <xdr:pic macro="[0]!DeleteEmployerIncome">
      <xdr:nvPicPr>
        <xdr:cNvPr id="261" name="btnDelEMPIncomeApp3Job2" hidden="1">
          <a:extLst>
            <a:ext uri="{FF2B5EF4-FFF2-40B4-BE49-F238E27FC236}">
              <a16:creationId xmlns:a16="http://schemas.microsoft.com/office/drawing/2014/main" id="{32A1EBC7-E424-4323-8EF8-FA7F667CD9F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85</xdr:row>
      <xdr:rowOff>79963</xdr:rowOff>
    </xdr:from>
    <xdr:ext cx="154134" cy="154134"/>
    <xdr:pic macro="[0]!AddEditEmployerIncome">
      <xdr:nvPicPr>
        <xdr:cNvPr id="375" name="btnEditEMPIncomeApp3Job2" hidden="1">
          <a:extLst>
            <a:ext uri="{FF2B5EF4-FFF2-40B4-BE49-F238E27FC236}">
              <a16:creationId xmlns:a16="http://schemas.microsoft.com/office/drawing/2014/main" id="{935B4075-2202-453D-979F-E1827B28CED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85</xdr:row>
      <xdr:rowOff>76255</xdr:rowOff>
    </xdr:from>
    <xdr:ext cx="157842" cy="157842"/>
    <xdr:pic macro="[0]!DeleteEmployerIncome">
      <xdr:nvPicPr>
        <xdr:cNvPr id="376" name="btnDelEMPIncomeApp4Job2" hidden="1">
          <a:extLst>
            <a:ext uri="{FF2B5EF4-FFF2-40B4-BE49-F238E27FC236}">
              <a16:creationId xmlns:a16="http://schemas.microsoft.com/office/drawing/2014/main" id="{DF54E4F5-E823-4C67-AB30-D00DEEED236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85</xdr:row>
      <xdr:rowOff>79963</xdr:rowOff>
    </xdr:from>
    <xdr:ext cx="154134" cy="154134"/>
    <xdr:pic macro="[0]!AddEditEmployerIncome">
      <xdr:nvPicPr>
        <xdr:cNvPr id="377" name="btnEditEMPIncomeApp4Job2" hidden="1">
          <a:extLst>
            <a:ext uri="{FF2B5EF4-FFF2-40B4-BE49-F238E27FC236}">
              <a16:creationId xmlns:a16="http://schemas.microsoft.com/office/drawing/2014/main" id="{10C7BCB5-18A8-4374-8DE1-4848FA752A7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85</xdr:row>
      <xdr:rowOff>76255</xdr:rowOff>
    </xdr:from>
    <xdr:ext cx="157842" cy="157842"/>
    <xdr:pic macro="[0]!DeleteEmployerIncome">
      <xdr:nvPicPr>
        <xdr:cNvPr id="378" name="btnDelEMPIncomeApp5Job2" hidden="1">
          <a:extLst>
            <a:ext uri="{FF2B5EF4-FFF2-40B4-BE49-F238E27FC236}">
              <a16:creationId xmlns:a16="http://schemas.microsoft.com/office/drawing/2014/main" id="{4DD91525-F33F-4985-95D0-9AD882C7BFC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85</xdr:row>
      <xdr:rowOff>79963</xdr:rowOff>
    </xdr:from>
    <xdr:ext cx="154134" cy="154134"/>
    <xdr:pic macro="[0]!AddEditEmployerIncome">
      <xdr:nvPicPr>
        <xdr:cNvPr id="385" name="btnEditEMPIncomeApp5Job2" hidden="1">
          <a:extLst>
            <a:ext uri="{FF2B5EF4-FFF2-40B4-BE49-F238E27FC236}">
              <a16:creationId xmlns:a16="http://schemas.microsoft.com/office/drawing/2014/main" id="{9A8D7634-4ED2-40B9-BABA-B63C4A5ABD6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85</xdr:row>
      <xdr:rowOff>73874</xdr:rowOff>
    </xdr:from>
    <xdr:ext cx="157842" cy="157842"/>
    <xdr:pic macro="[0]!DeleteEmployerIncome">
      <xdr:nvPicPr>
        <xdr:cNvPr id="386" name="btnDelEMPIncomeApp1Job2" hidden="1">
          <a:extLst>
            <a:ext uri="{FF2B5EF4-FFF2-40B4-BE49-F238E27FC236}">
              <a16:creationId xmlns:a16="http://schemas.microsoft.com/office/drawing/2014/main" id="{3F43CCB2-9D60-4CD7-A569-12B6C9CF720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85</xdr:row>
      <xdr:rowOff>77582</xdr:rowOff>
    </xdr:from>
    <xdr:ext cx="154134" cy="154134"/>
    <xdr:pic macro="[0]!AddEditEmployerIncome">
      <xdr:nvPicPr>
        <xdr:cNvPr id="388" name="btnEditEMPIncomeApp1Job2" hidden="1">
          <a:extLst>
            <a:ext uri="{FF2B5EF4-FFF2-40B4-BE49-F238E27FC236}">
              <a16:creationId xmlns:a16="http://schemas.microsoft.com/office/drawing/2014/main" id="{8D32FAF1-9F14-4D0B-A10D-8D135C9D0D3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oneCellAnchor>
    <xdr:from>
      <xdr:col>28</xdr:col>
      <xdr:colOff>167121</xdr:colOff>
      <xdr:row>86</xdr:row>
      <xdr:rowOff>76255</xdr:rowOff>
    </xdr:from>
    <xdr:ext cx="157842" cy="157842"/>
    <xdr:pic macro="[0]!DeleteEmployerIncome">
      <xdr:nvPicPr>
        <xdr:cNvPr id="389" name="btnDelEMPIncomeApp2Job2" hidden="1">
          <a:extLst>
            <a:ext uri="{FF2B5EF4-FFF2-40B4-BE49-F238E27FC236}">
              <a16:creationId xmlns:a16="http://schemas.microsoft.com/office/drawing/2014/main" id="{C01F0E6E-11E1-419E-9017-3F9623718D8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86</xdr:row>
      <xdr:rowOff>79963</xdr:rowOff>
    </xdr:from>
    <xdr:ext cx="154134" cy="154134"/>
    <xdr:pic macro="[0]!AddEditEmployerIncome">
      <xdr:nvPicPr>
        <xdr:cNvPr id="390" name="btnEditEMPIncomeApp2Job2" hidden="1">
          <a:extLst>
            <a:ext uri="{FF2B5EF4-FFF2-40B4-BE49-F238E27FC236}">
              <a16:creationId xmlns:a16="http://schemas.microsoft.com/office/drawing/2014/main" id="{B058BB80-946C-4514-82C2-029673CA9D7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86</xdr:row>
      <xdr:rowOff>76255</xdr:rowOff>
    </xdr:from>
    <xdr:ext cx="157842" cy="157842"/>
    <xdr:pic macro="[0]!DeleteEmployerIncome">
      <xdr:nvPicPr>
        <xdr:cNvPr id="391" name="btnDelEMPIncomeApp3Job2" hidden="1">
          <a:extLst>
            <a:ext uri="{FF2B5EF4-FFF2-40B4-BE49-F238E27FC236}">
              <a16:creationId xmlns:a16="http://schemas.microsoft.com/office/drawing/2014/main" id="{5E5A471E-3BD4-4B04-AF34-89493D4F4CE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86</xdr:row>
      <xdr:rowOff>79963</xdr:rowOff>
    </xdr:from>
    <xdr:ext cx="154134" cy="154134"/>
    <xdr:pic macro="[0]!AddEditEmployerIncome">
      <xdr:nvPicPr>
        <xdr:cNvPr id="392" name="btnEditEMPIncomeApp3Job2" hidden="1">
          <a:extLst>
            <a:ext uri="{FF2B5EF4-FFF2-40B4-BE49-F238E27FC236}">
              <a16:creationId xmlns:a16="http://schemas.microsoft.com/office/drawing/2014/main" id="{1C5D6A90-8E73-4AB0-87BE-1184B0C1D5D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86</xdr:row>
      <xdr:rowOff>76255</xdr:rowOff>
    </xdr:from>
    <xdr:ext cx="157842" cy="157842"/>
    <xdr:pic macro="[0]!DeleteEmployerIncome">
      <xdr:nvPicPr>
        <xdr:cNvPr id="393" name="btnDelEMPIncomeApp4Job2" hidden="1">
          <a:extLst>
            <a:ext uri="{FF2B5EF4-FFF2-40B4-BE49-F238E27FC236}">
              <a16:creationId xmlns:a16="http://schemas.microsoft.com/office/drawing/2014/main" id="{95B5A384-4B8F-4F0A-9E18-B9606CBD39C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86</xdr:row>
      <xdr:rowOff>79963</xdr:rowOff>
    </xdr:from>
    <xdr:ext cx="154134" cy="154134"/>
    <xdr:pic macro="[0]!AddEditEmployerIncome">
      <xdr:nvPicPr>
        <xdr:cNvPr id="394" name="btnEditEMPIncomeApp4Job2" hidden="1">
          <a:extLst>
            <a:ext uri="{FF2B5EF4-FFF2-40B4-BE49-F238E27FC236}">
              <a16:creationId xmlns:a16="http://schemas.microsoft.com/office/drawing/2014/main" id="{AD48A58C-8B30-4671-91CA-2F27DE6BE85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86</xdr:row>
      <xdr:rowOff>76255</xdr:rowOff>
    </xdr:from>
    <xdr:ext cx="157842" cy="157842"/>
    <xdr:pic macro="[0]!DeleteEmployerIncome">
      <xdr:nvPicPr>
        <xdr:cNvPr id="395" name="btnDelEMPIncomeApp5Job2" hidden="1">
          <a:extLst>
            <a:ext uri="{FF2B5EF4-FFF2-40B4-BE49-F238E27FC236}">
              <a16:creationId xmlns:a16="http://schemas.microsoft.com/office/drawing/2014/main" id="{D60EE38D-23F8-4562-B049-6D9178A8A0D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86</xdr:row>
      <xdr:rowOff>79963</xdr:rowOff>
    </xdr:from>
    <xdr:ext cx="154134" cy="154134"/>
    <xdr:pic macro="[0]!AddEditEmployerIncome">
      <xdr:nvPicPr>
        <xdr:cNvPr id="396" name="btnEditEMPIncomeApp5Job2" hidden="1">
          <a:extLst>
            <a:ext uri="{FF2B5EF4-FFF2-40B4-BE49-F238E27FC236}">
              <a16:creationId xmlns:a16="http://schemas.microsoft.com/office/drawing/2014/main" id="{17022EA5-35C5-4B45-8F51-A469CD9749E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86</xdr:row>
      <xdr:rowOff>73874</xdr:rowOff>
    </xdr:from>
    <xdr:ext cx="157842" cy="157842"/>
    <xdr:pic macro="[0]!DeleteEmployerIncome">
      <xdr:nvPicPr>
        <xdr:cNvPr id="397" name="btnDelEMPIncomeApp1Job2" hidden="1">
          <a:extLst>
            <a:ext uri="{FF2B5EF4-FFF2-40B4-BE49-F238E27FC236}">
              <a16:creationId xmlns:a16="http://schemas.microsoft.com/office/drawing/2014/main" id="{86F21C9F-755A-429D-A1B7-B8F5ED8C084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86</xdr:row>
      <xdr:rowOff>77582</xdr:rowOff>
    </xdr:from>
    <xdr:ext cx="154134" cy="154134"/>
    <xdr:pic macro="[0]!AddEditEmployerIncome">
      <xdr:nvPicPr>
        <xdr:cNvPr id="398" name="btnEditEMPIncomeApp1Job2" hidden="1">
          <a:extLst>
            <a:ext uri="{FF2B5EF4-FFF2-40B4-BE49-F238E27FC236}">
              <a16:creationId xmlns:a16="http://schemas.microsoft.com/office/drawing/2014/main" id="{E123E7AD-6029-4DA8-B0FF-39BD569243E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twoCellAnchor editAs="oneCell">
    <xdr:from>
      <xdr:col>8</xdr:col>
      <xdr:colOff>142875</xdr:colOff>
      <xdr:row>77</xdr:row>
      <xdr:rowOff>38100</xdr:rowOff>
    </xdr:from>
    <xdr:to>
      <xdr:col>9</xdr:col>
      <xdr:colOff>132375</xdr:colOff>
      <xdr:row>77</xdr:row>
      <xdr:rowOff>218100</xdr:rowOff>
    </xdr:to>
    <xdr:pic macro="ShowHelpMessage">
      <xdr:nvPicPr>
        <xdr:cNvPr id="399" name="btnHelpExpensesComparable">
          <a:extLst>
            <a:ext uri="{FF2B5EF4-FFF2-40B4-BE49-F238E27FC236}">
              <a16:creationId xmlns:a16="http://schemas.microsoft.com/office/drawing/2014/main" id="{C1304A65-65B2-4783-8F56-2B3D08EDAC4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6278225"/>
          <a:ext cx="180000" cy="180000"/>
        </a:xfrm>
        <a:prstGeom prst="rect">
          <a:avLst/>
        </a:prstGeom>
      </xdr:spPr>
    </xdr:pic>
    <xdr:clientData fPrintsWithSheet="0"/>
  </xdr:twoCellAnchor>
  <xdr:twoCellAnchor editAs="oneCell">
    <xdr:from>
      <xdr:col>8</xdr:col>
      <xdr:colOff>142875</xdr:colOff>
      <xdr:row>79</xdr:row>
      <xdr:rowOff>28575</xdr:rowOff>
    </xdr:from>
    <xdr:to>
      <xdr:col>9</xdr:col>
      <xdr:colOff>132375</xdr:colOff>
      <xdr:row>79</xdr:row>
      <xdr:rowOff>208575</xdr:rowOff>
    </xdr:to>
    <xdr:pic macro="ShowHelpMessage">
      <xdr:nvPicPr>
        <xdr:cNvPr id="400" name="btnHelpExpensesNotComparable">
          <a:extLst>
            <a:ext uri="{FF2B5EF4-FFF2-40B4-BE49-F238E27FC236}">
              <a16:creationId xmlns:a16="http://schemas.microsoft.com/office/drawing/2014/main" id="{44468062-7532-C3E0-60CE-687936E9AE9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3887450"/>
          <a:ext cx="180000" cy="180000"/>
        </a:xfrm>
        <a:prstGeom prst="rect">
          <a:avLst/>
        </a:prstGeom>
      </xdr:spPr>
    </xdr:pic>
    <xdr:clientData fPrintsWithSheet="0"/>
  </xdr:twoCellAnchor>
  <xdr:twoCellAnchor editAs="oneCell">
    <xdr:from>
      <xdr:col>8</xdr:col>
      <xdr:colOff>142875</xdr:colOff>
      <xdr:row>85</xdr:row>
      <xdr:rowOff>20955</xdr:rowOff>
    </xdr:from>
    <xdr:to>
      <xdr:col>9</xdr:col>
      <xdr:colOff>132375</xdr:colOff>
      <xdr:row>85</xdr:row>
      <xdr:rowOff>200955</xdr:rowOff>
    </xdr:to>
    <xdr:pic macro="ShowHelpMessage">
      <xdr:nvPicPr>
        <xdr:cNvPr id="401" name="btnHelpRentConfirm">
          <a:extLst>
            <a:ext uri="{FF2B5EF4-FFF2-40B4-BE49-F238E27FC236}">
              <a16:creationId xmlns:a16="http://schemas.microsoft.com/office/drawing/2014/main" id="{B24787A7-B975-4021-BEF8-301B1F950F7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5022830"/>
          <a:ext cx="180000" cy="180000"/>
        </a:xfrm>
        <a:prstGeom prst="rect">
          <a:avLst/>
        </a:prstGeom>
      </xdr:spPr>
    </xdr:pic>
    <xdr:clientData fPrintsWithSheet="0"/>
  </xdr:twoCellAnchor>
  <xdr:twoCellAnchor editAs="oneCell">
    <xdr:from>
      <xdr:col>8</xdr:col>
      <xdr:colOff>142875</xdr:colOff>
      <xdr:row>86</xdr:row>
      <xdr:rowOff>30480</xdr:rowOff>
    </xdr:from>
    <xdr:to>
      <xdr:col>9</xdr:col>
      <xdr:colOff>132375</xdr:colOff>
      <xdr:row>86</xdr:row>
      <xdr:rowOff>210480</xdr:rowOff>
    </xdr:to>
    <xdr:pic macro="ShowHelpMessage">
      <xdr:nvPicPr>
        <xdr:cNvPr id="402" name="btnHelpRent">
          <a:extLst>
            <a:ext uri="{FF2B5EF4-FFF2-40B4-BE49-F238E27FC236}">
              <a16:creationId xmlns:a16="http://schemas.microsoft.com/office/drawing/2014/main" id="{A93CA7D3-DDC4-4D97-95E2-F1C9105924B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5270480"/>
          <a:ext cx="180000" cy="180000"/>
        </a:xfrm>
        <a:prstGeom prst="rect">
          <a:avLst/>
        </a:prstGeom>
      </xdr:spPr>
    </xdr:pic>
    <xdr:clientData fPrintsWithSheet="0"/>
  </xdr:twoCellAnchor>
  <xdr:twoCellAnchor editAs="oneCell">
    <xdr:from>
      <xdr:col>8</xdr:col>
      <xdr:colOff>142875</xdr:colOff>
      <xdr:row>81</xdr:row>
      <xdr:rowOff>28575</xdr:rowOff>
    </xdr:from>
    <xdr:to>
      <xdr:col>9</xdr:col>
      <xdr:colOff>132375</xdr:colOff>
      <xdr:row>81</xdr:row>
      <xdr:rowOff>208575</xdr:rowOff>
    </xdr:to>
    <xdr:pic macro="ShowHelpMessage">
      <xdr:nvPicPr>
        <xdr:cNvPr id="403" name="btnHelpAlimony">
          <a:extLst>
            <a:ext uri="{FF2B5EF4-FFF2-40B4-BE49-F238E27FC236}">
              <a16:creationId xmlns:a16="http://schemas.microsoft.com/office/drawing/2014/main" id="{93066839-2A4D-4275-A66F-856F6160BAF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4363700"/>
          <a:ext cx="180000" cy="180000"/>
        </a:xfrm>
        <a:prstGeom prst="rect">
          <a:avLst/>
        </a:prstGeom>
      </xdr:spPr>
    </xdr:pic>
    <xdr:clientData fPrintsWithSheet="0"/>
  </xdr:twoCellAnchor>
  <xdr:twoCellAnchor editAs="oneCell">
    <xdr:from>
      <xdr:col>8</xdr:col>
      <xdr:colOff>142875</xdr:colOff>
      <xdr:row>45</xdr:row>
      <xdr:rowOff>38100</xdr:rowOff>
    </xdr:from>
    <xdr:to>
      <xdr:col>9</xdr:col>
      <xdr:colOff>132375</xdr:colOff>
      <xdr:row>62</xdr:row>
      <xdr:rowOff>180000</xdr:rowOff>
    </xdr:to>
    <xdr:pic macro="ShowHelpMessage">
      <xdr:nvPicPr>
        <xdr:cNvPr id="406" name="btnHelpNonApplicantSpouse" hidden="1">
          <a:extLst>
            <a:ext uri="{FF2B5EF4-FFF2-40B4-BE49-F238E27FC236}">
              <a16:creationId xmlns:a16="http://schemas.microsoft.com/office/drawing/2014/main" id="{889282E0-87B0-4EC4-8C64-B0CC511AED4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8086725"/>
          <a:ext cx="180000" cy="180000"/>
        </a:xfrm>
        <a:prstGeom prst="rect">
          <a:avLst/>
        </a:prstGeom>
      </xdr:spPr>
    </xdr:pic>
    <xdr:clientData fPrintsWithSheet="0"/>
  </xdr:twoCellAnchor>
  <xdr:twoCellAnchor editAs="oneCell">
    <xdr:from>
      <xdr:col>8</xdr:col>
      <xdr:colOff>142875</xdr:colOff>
      <xdr:row>28</xdr:row>
      <xdr:rowOff>28575</xdr:rowOff>
    </xdr:from>
    <xdr:to>
      <xdr:col>9</xdr:col>
      <xdr:colOff>132375</xdr:colOff>
      <xdr:row>28</xdr:row>
      <xdr:rowOff>208575</xdr:rowOff>
    </xdr:to>
    <xdr:pic macro="ShowHelpMessage">
      <xdr:nvPicPr>
        <xdr:cNvPr id="404" name="btnHelpEmployerIncomeMethod">
          <a:extLst>
            <a:ext uri="{FF2B5EF4-FFF2-40B4-BE49-F238E27FC236}">
              <a16:creationId xmlns:a16="http://schemas.microsoft.com/office/drawing/2014/main" id="{B707377F-047E-47CD-8282-D94B7BFDBA8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5600700"/>
          <a:ext cx="180000" cy="180000"/>
        </a:xfrm>
        <a:prstGeom prst="rect">
          <a:avLst/>
        </a:prstGeom>
      </xdr:spPr>
    </xdr:pic>
    <xdr:clientData fPrintsWithSheet="0"/>
  </xdr:twoCellAnchor>
  <xdr:twoCellAnchor editAs="oneCell">
    <xdr:from>
      <xdr:col>8</xdr:col>
      <xdr:colOff>142875</xdr:colOff>
      <xdr:row>74</xdr:row>
      <xdr:rowOff>38100</xdr:rowOff>
    </xdr:from>
    <xdr:to>
      <xdr:col>9</xdr:col>
      <xdr:colOff>132375</xdr:colOff>
      <xdr:row>76</xdr:row>
      <xdr:rowOff>84750</xdr:rowOff>
    </xdr:to>
    <xdr:pic macro="ShowHelpMessage">
      <xdr:nvPicPr>
        <xdr:cNvPr id="405" name="btnHelpExpensesMethod" hidden="1">
          <a:extLst>
            <a:ext uri="{FF2B5EF4-FFF2-40B4-BE49-F238E27FC236}">
              <a16:creationId xmlns:a16="http://schemas.microsoft.com/office/drawing/2014/main" id="{25B538AB-C1D0-490F-900F-92E7BE19503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5706725"/>
          <a:ext cx="180000" cy="180000"/>
        </a:xfrm>
        <a:prstGeom prst="rect">
          <a:avLst/>
        </a:prstGeom>
      </xdr:spPr>
    </xdr:pic>
    <xdr:clientData fPrintsWithSheet="0"/>
  </xdr:twoCellAnchor>
  <xdr:twoCellAnchor editAs="oneCell">
    <xdr:from>
      <xdr:col>8</xdr:col>
      <xdr:colOff>142875</xdr:colOff>
      <xdr:row>41</xdr:row>
      <xdr:rowOff>28575</xdr:rowOff>
    </xdr:from>
    <xdr:to>
      <xdr:col>9</xdr:col>
      <xdr:colOff>132375</xdr:colOff>
      <xdr:row>41</xdr:row>
      <xdr:rowOff>208575</xdr:rowOff>
    </xdr:to>
    <xdr:pic macro="ShowHelpMessage">
      <xdr:nvPicPr>
        <xdr:cNvPr id="407" name="btnHelpRITDInterestExpense">
          <a:extLst>
            <a:ext uri="{FF2B5EF4-FFF2-40B4-BE49-F238E27FC236}">
              <a16:creationId xmlns:a16="http://schemas.microsoft.com/office/drawing/2014/main" id="{A44D22D8-7509-C567-6CFE-62210B51C69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7029450"/>
          <a:ext cx="180000" cy="180000"/>
        </a:xfrm>
        <a:prstGeom prst="rect">
          <a:avLst/>
        </a:prstGeom>
      </xdr:spPr>
    </xdr:pic>
    <xdr:clientData fPrintsWithSheet="0"/>
  </xdr:twoCellAnchor>
  <xdr:twoCellAnchor editAs="oneCell">
    <xdr:from>
      <xdr:col>23</xdr:col>
      <xdr:colOff>28575</xdr:colOff>
      <xdr:row>98</xdr:row>
      <xdr:rowOff>209550</xdr:rowOff>
    </xdr:from>
    <xdr:to>
      <xdr:col>24</xdr:col>
      <xdr:colOff>18075</xdr:colOff>
      <xdr:row>100</xdr:row>
      <xdr:rowOff>56175</xdr:rowOff>
    </xdr:to>
    <xdr:pic macro="ShowHelpMessage">
      <xdr:nvPicPr>
        <xdr:cNvPr id="408" name="btnHelpFinalInterestRate">
          <a:extLst>
            <a:ext uri="{FF2B5EF4-FFF2-40B4-BE49-F238E27FC236}">
              <a16:creationId xmlns:a16="http://schemas.microsoft.com/office/drawing/2014/main" id="{107A3FF2-30D4-476E-A479-9100DAD9701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5600700" y="12868275"/>
          <a:ext cx="180000" cy="180000"/>
        </a:xfrm>
        <a:prstGeom prst="rect">
          <a:avLst/>
        </a:prstGeom>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6</xdr:col>
      <xdr:colOff>1371600</xdr:colOff>
      <xdr:row>2</xdr:row>
      <xdr:rowOff>184150</xdr:rowOff>
    </xdr:from>
    <xdr:to>
      <xdr:col>7</xdr:col>
      <xdr:colOff>1230450</xdr:colOff>
      <xdr:row>3</xdr:row>
      <xdr:rowOff>353650</xdr:rowOff>
    </xdr:to>
    <xdr:sp macro="[0]!ResetEmployerIncomeCalculator" textlink="">
      <xdr:nvSpPr>
        <xdr:cNvPr id="14" name="btnResetCalculator" hidden="1">
          <a:extLst>
            <a:ext uri="{FF2B5EF4-FFF2-40B4-BE49-F238E27FC236}">
              <a16:creationId xmlns:a16="http://schemas.microsoft.com/office/drawing/2014/main" id="{34CB49B7-DC25-42C1-8D1F-08C3FF93D3B3}"/>
            </a:ext>
          </a:extLst>
        </xdr:cNvPr>
        <xdr:cNvSpPr/>
      </xdr:nvSpPr>
      <xdr:spPr>
        <a:xfrm>
          <a:off x="10172700" y="56515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oneCellAnchor>
    <xdr:from>
      <xdr:col>7</xdr:col>
      <xdr:colOff>1352550</xdr:colOff>
      <xdr:row>2</xdr:row>
      <xdr:rowOff>184150</xdr:rowOff>
    </xdr:from>
    <xdr:ext cx="1440000" cy="360000"/>
    <xdr:sp macro="[0]!ShowNavigationScreen" textlink="">
      <xdr:nvSpPr>
        <xdr:cNvPr id="15" name="btnOtherCalculators" hidden="1">
          <a:extLst>
            <a:ext uri="{FF2B5EF4-FFF2-40B4-BE49-F238E27FC236}">
              <a16:creationId xmlns:a16="http://schemas.microsoft.com/office/drawing/2014/main" id="{77E8DF47-8B62-4DBD-B160-3441C456F011}"/>
            </a:ext>
          </a:extLst>
        </xdr:cNvPr>
        <xdr:cNvSpPr/>
      </xdr:nvSpPr>
      <xdr:spPr>
        <a:xfrm>
          <a:off x="11734800"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editAs="absolute">
    <xdr:from>
      <xdr:col>6</xdr:col>
      <xdr:colOff>1371600</xdr:colOff>
      <xdr:row>2</xdr:row>
      <xdr:rowOff>184150</xdr:rowOff>
    </xdr:from>
    <xdr:to>
      <xdr:col>7</xdr:col>
      <xdr:colOff>1230450</xdr:colOff>
      <xdr:row>3</xdr:row>
      <xdr:rowOff>353650</xdr:rowOff>
    </xdr:to>
    <xdr:sp macro="[0]!ClearEmployerIncomeData" textlink="">
      <xdr:nvSpPr>
        <xdr:cNvPr id="19" name="btnReset">
          <a:extLst>
            <a:ext uri="{FF2B5EF4-FFF2-40B4-BE49-F238E27FC236}">
              <a16:creationId xmlns:a16="http://schemas.microsoft.com/office/drawing/2014/main" id="{7AB95945-0255-4CCB-B6F0-89BF4A2995C2}"/>
            </a:ext>
          </a:extLst>
        </xdr:cNvPr>
        <xdr:cNvSpPr/>
      </xdr:nvSpPr>
      <xdr:spPr>
        <a:xfrm>
          <a:off x="10172700" y="5651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7</xdr:col>
      <xdr:colOff>1352550</xdr:colOff>
      <xdr:row>2</xdr:row>
      <xdr:rowOff>184150</xdr:rowOff>
    </xdr:from>
    <xdr:to>
      <xdr:col>10</xdr:col>
      <xdr:colOff>830400</xdr:colOff>
      <xdr:row>3</xdr:row>
      <xdr:rowOff>353650</xdr:rowOff>
    </xdr:to>
    <xdr:sp macro="[0]!CancelEmployerIncomeData" textlink="">
      <xdr:nvSpPr>
        <xdr:cNvPr id="20" name="btnCancel">
          <a:extLst>
            <a:ext uri="{FF2B5EF4-FFF2-40B4-BE49-F238E27FC236}">
              <a16:creationId xmlns:a16="http://schemas.microsoft.com/office/drawing/2014/main" id="{EA8EBD86-7ECD-40DF-9BBD-3B8EB239C1A5}"/>
            </a:ext>
          </a:extLst>
        </xdr:cNvPr>
        <xdr:cNvSpPr/>
      </xdr:nvSpPr>
      <xdr:spPr>
        <a:xfrm>
          <a:off x="11734800" y="56515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10</xdr:col>
      <xdr:colOff>952500</xdr:colOff>
      <xdr:row>2</xdr:row>
      <xdr:rowOff>184150</xdr:rowOff>
    </xdr:from>
    <xdr:to>
      <xdr:col>13</xdr:col>
      <xdr:colOff>30300</xdr:colOff>
      <xdr:row>3</xdr:row>
      <xdr:rowOff>353650</xdr:rowOff>
    </xdr:to>
    <xdr:sp macro="[0]!SaveEmployerIncomeData" textlink="">
      <xdr:nvSpPr>
        <xdr:cNvPr id="2" name="btnContinue">
          <a:extLst>
            <a:ext uri="{FF2B5EF4-FFF2-40B4-BE49-F238E27FC236}">
              <a16:creationId xmlns:a16="http://schemas.microsoft.com/office/drawing/2014/main" id="{1D61E0D3-2E35-4B0B-9A76-9CC95BCBE659}"/>
            </a:ext>
          </a:extLst>
        </xdr:cNvPr>
        <xdr:cNvSpPr/>
      </xdr:nvSpPr>
      <xdr:spPr>
        <a:xfrm>
          <a:off x="13296900"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oneCellAnchor>
    <xdr:from>
      <xdr:col>5</xdr:col>
      <xdr:colOff>1638300</xdr:colOff>
      <xdr:row>2</xdr:row>
      <xdr:rowOff>184150</xdr:rowOff>
    </xdr:from>
    <xdr:ext cx="1440000" cy="360000"/>
    <xdr:sp macro="[0]!ExportWorksheetToPDF" textlink="">
      <xdr:nvSpPr>
        <xdr:cNvPr id="13" name="btnCreatePDF">
          <a:extLst>
            <a:ext uri="{FF2B5EF4-FFF2-40B4-BE49-F238E27FC236}">
              <a16:creationId xmlns:a16="http://schemas.microsoft.com/office/drawing/2014/main" id="{AAFE4320-B8CA-427E-8FCD-3E9FF5EDA812}"/>
            </a:ext>
          </a:extLst>
        </xdr:cNvPr>
        <xdr:cNvSpPr/>
      </xdr:nvSpPr>
      <xdr:spPr>
        <a:xfrm>
          <a:off x="8610600" y="56515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editAs="oneCell">
    <xdr:from>
      <xdr:col>10</xdr:col>
      <xdr:colOff>962025</xdr:colOff>
      <xdr:row>155</xdr:row>
      <xdr:rowOff>117475</xdr:rowOff>
    </xdr:from>
    <xdr:to>
      <xdr:col>13</xdr:col>
      <xdr:colOff>39825</xdr:colOff>
      <xdr:row>157</xdr:row>
      <xdr:rowOff>96475</xdr:rowOff>
    </xdr:to>
    <xdr:sp macro="[0]!SaveEmployerIncomeData" textlink="">
      <xdr:nvSpPr>
        <xdr:cNvPr id="6" name="btnContinueBottom">
          <a:extLst>
            <a:ext uri="{FF2B5EF4-FFF2-40B4-BE49-F238E27FC236}">
              <a16:creationId xmlns:a16="http://schemas.microsoft.com/office/drawing/2014/main" id="{60E2E0CA-8015-48F1-85D7-E61F3F69B4AC}"/>
            </a:ext>
          </a:extLst>
        </xdr:cNvPr>
        <xdr:cNvSpPr/>
      </xdr:nvSpPr>
      <xdr:spPr>
        <a:xfrm>
          <a:off x="13296900" y="235013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6</xdr:col>
      <xdr:colOff>1381125</xdr:colOff>
      <xdr:row>155</xdr:row>
      <xdr:rowOff>117475</xdr:rowOff>
    </xdr:from>
    <xdr:to>
      <xdr:col>7</xdr:col>
      <xdr:colOff>1239975</xdr:colOff>
      <xdr:row>157</xdr:row>
      <xdr:rowOff>96475</xdr:rowOff>
    </xdr:to>
    <xdr:sp macro="[0]!ClearEmployerIncomeData" textlink="">
      <xdr:nvSpPr>
        <xdr:cNvPr id="7" name="btnResetBottom">
          <a:extLst>
            <a:ext uri="{FF2B5EF4-FFF2-40B4-BE49-F238E27FC236}">
              <a16:creationId xmlns:a16="http://schemas.microsoft.com/office/drawing/2014/main" id="{760D03FD-810F-4C85-9836-5881AA041D0B}"/>
            </a:ext>
          </a:extLst>
        </xdr:cNvPr>
        <xdr:cNvSpPr/>
      </xdr:nvSpPr>
      <xdr:spPr>
        <a:xfrm>
          <a:off x="10172700" y="235013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7</xdr:col>
      <xdr:colOff>1362075</xdr:colOff>
      <xdr:row>155</xdr:row>
      <xdr:rowOff>117475</xdr:rowOff>
    </xdr:from>
    <xdr:to>
      <xdr:col>10</xdr:col>
      <xdr:colOff>839925</xdr:colOff>
      <xdr:row>157</xdr:row>
      <xdr:rowOff>96475</xdr:rowOff>
    </xdr:to>
    <xdr:sp macro="[0]!CancelEmployerIncomeData" textlink="">
      <xdr:nvSpPr>
        <xdr:cNvPr id="8" name="btnCancelBottom">
          <a:extLst>
            <a:ext uri="{FF2B5EF4-FFF2-40B4-BE49-F238E27FC236}">
              <a16:creationId xmlns:a16="http://schemas.microsoft.com/office/drawing/2014/main" id="{16E09D5C-03EE-4764-A35D-B82F0C7E58E8}"/>
            </a:ext>
          </a:extLst>
        </xdr:cNvPr>
        <xdr:cNvSpPr/>
      </xdr:nvSpPr>
      <xdr:spPr>
        <a:xfrm>
          <a:off x="11734800" y="2350135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65620</xdr:rowOff>
    </xdr:from>
    <xdr:to>
      <xdr:col>1</xdr:col>
      <xdr:colOff>851951</xdr:colOff>
      <xdr:row>3</xdr:row>
      <xdr:rowOff>9525</xdr:rowOff>
    </xdr:to>
    <xdr:pic>
      <xdr:nvPicPr>
        <xdr:cNvPr id="9" name="imgLogoWBC">
          <a:extLst>
            <a:ext uri="{FF2B5EF4-FFF2-40B4-BE49-F238E27FC236}">
              <a16:creationId xmlns:a16="http://schemas.microsoft.com/office/drawing/2014/main" id="{652B5994-41DF-47FD-BFD8-567101CCA4E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10</xdr:col>
      <xdr:colOff>1222650</xdr:colOff>
      <xdr:row>2</xdr:row>
      <xdr:rowOff>165100</xdr:rowOff>
    </xdr:from>
    <xdr:to>
      <xdr:col>11</xdr:col>
      <xdr:colOff>1329150</xdr:colOff>
      <xdr:row>3</xdr:row>
      <xdr:rowOff>325075</xdr:rowOff>
    </xdr:to>
    <xdr:sp macro="[0]!SaveSEApplicantData" textlink="">
      <xdr:nvSpPr>
        <xdr:cNvPr id="2" name="btnContinue">
          <a:extLst>
            <a:ext uri="{FF2B5EF4-FFF2-40B4-BE49-F238E27FC236}">
              <a16:creationId xmlns:a16="http://schemas.microsoft.com/office/drawing/2014/main" id="{E35D244C-6B76-4904-B0F9-04258219DC95}"/>
            </a:ext>
          </a:extLst>
        </xdr:cNvPr>
        <xdr:cNvSpPr/>
      </xdr:nvSpPr>
      <xdr:spPr>
        <a:xfrm>
          <a:off x="13433700"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8</xdr:col>
      <xdr:colOff>849450</xdr:colOff>
      <xdr:row>2</xdr:row>
      <xdr:rowOff>165100</xdr:rowOff>
    </xdr:from>
    <xdr:to>
      <xdr:col>9</xdr:col>
      <xdr:colOff>955950</xdr:colOff>
      <xdr:row>3</xdr:row>
      <xdr:rowOff>325075</xdr:rowOff>
    </xdr:to>
    <xdr:sp macro="[0]!ClearSEApplicantData" textlink="">
      <xdr:nvSpPr>
        <xdr:cNvPr id="3" name="btnClear">
          <a:extLst>
            <a:ext uri="{FF2B5EF4-FFF2-40B4-BE49-F238E27FC236}">
              <a16:creationId xmlns:a16="http://schemas.microsoft.com/office/drawing/2014/main" id="{E488D02C-47BB-4AE2-98D9-859A2CB9EA1B}"/>
            </a:ext>
          </a:extLst>
        </xdr:cNvPr>
        <xdr:cNvSpPr/>
      </xdr:nvSpPr>
      <xdr:spPr>
        <a:xfrm>
          <a:off x="10393500" y="5651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9</xdr:col>
      <xdr:colOff>1036050</xdr:colOff>
      <xdr:row>2</xdr:row>
      <xdr:rowOff>165100</xdr:rowOff>
    </xdr:from>
    <xdr:to>
      <xdr:col>10</xdr:col>
      <xdr:colOff>1142550</xdr:colOff>
      <xdr:row>3</xdr:row>
      <xdr:rowOff>325075</xdr:rowOff>
    </xdr:to>
    <xdr:sp macro="[0]!CancelSEApplicantData" textlink="">
      <xdr:nvSpPr>
        <xdr:cNvPr id="14" name="btnCancel">
          <a:extLst>
            <a:ext uri="{FF2B5EF4-FFF2-40B4-BE49-F238E27FC236}">
              <a16:creationId xmlns:a16="http://schemas.microsoft.com/office/drawing/2014/main" id="{66AB874F-2C51-4F17-A068-EAE0719F1B41}"/>
            </a:ext>
          </a:extLst>
        </xdr:cNvPr>
        <xdr:cNvSpPr/>
      </xdr:nvSpPr>
      <xdr:spPr>
        <a:xfrm>
          <a:off x="11913600" y="56515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oneCellAnchor>
    <xdr:from>
      <xdr:col>1</xdr:col>
      <xdr:colOff>504915</xdr:colOff>
      <xdr:row>24</xdr:row>
      <xdr:rowOff>47625</xdr:rowOff>
    </xdr:from>
    <xdr:ext cx="157842" cy="157842"/>
    <xdr:pic macro="[0]!DeleteSEBusiness">
      <xdr:nvPicPr>
        <xdr:cNvPr id="255" name="btnDelSEABusiness1" hidden="1">
          <a:extLst>
            <a:ext uri="{FF2B5EF4-FFF2-40B4-BE49-F238E27FC236}">
              <a16:creationId xmlns:a16="http://schemas.microsoft.com/office/drawing/2014/main" id="{4CE38192-51FF-4684-BC59-346EB5F6CF4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00165" y="3314700"/>
          <a:ext cx="157842" cy="157842"/>
        </a:xfrm>
        <a:prstGeom prst="rect">
          <a:avLst/>
        </a:prstGeom>
      </xdr:spPr>
    </xdr:pic>
    <xdr:clientData fPrintsWithSheet="0"/>
  </xdr:oneCellAnchor>
  <xdr:oneCellAnchor>
    <xdr:from>
      <xdr:col>1</xdr:col>
      <xdr:colOff>323850</xdr:colOff>
      <xdr:row>24</xdr:row>
      <xdr:rowOff>34164</xdr:rowOff>
    </xdr:from>
    <xdr:ext cx="154134" cy="154134"/>
    <xdr:pic macro="[0]!AddEditSEBusiness">
      <xdr:nvPicPr>
        <xdr:cNvPr id="254" name="btnEditSEABusiness1" hidden="1">
          <a:extLst>
            <a:ext uri="{FF2B5EF4-FFF2-40B4-BE49-F238E27FC236}">
              <a16:creationId xmlns:a16="http://schemas.microsoft.com/office/drawing/2014/main" id="{A6433D10-5147-46FD-8AA4-E3422B5B991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005964"/>
          <a:ext cx="154134" cy="154134"/>
        </a:xfrm>
        <a:prstGeom prst="rect">
          <a:avLst/>
        </a:prstGeom>
      </xdr:spPr>
    </xdr:pic>
    <xdr:clientData fPrintsWithSheet="0"/>
  </xdr:oneCellAnchor>
  <xdr:twoCellAnchor editAs="oneCell">
    <xdr:from>
      <xdr:col>2</xdr:col>
      <xdr:colOff>19050</xdr:colOff>
      <xdr:row>85</xdr:row>
      <xdr:rowOff>38100</xdr:rowOff>
    </xdr:from>
    <xdr:to>
      <xdr:col>2</xdr:col>
      <xdr:colOff>1963050</xdr:colOff>
      <xdr:row>86</xdr:row>
      <xdr:rowOff>159975</xdr:rowOff>
    </xdr:to>
    <xdr:sp macro="[0]!AddEditSEBusiness" textlink="">
      <xdr:nvSpPr>
        <xdr:cNvPr id="264" name="btnAddNewBusiness">
          <a:extLst>
            <a:ext uri="{FF2B5EF4-FFF2-40B4-BE49-F238E27FC236}">
              <a16:creationId xmlns:a16="http://schemas.microsoft.com/office/drawing/2014/main" id="{8975A882-86E6-4EB8-9C07-5B4FC7661FC1}"/>
            </a:ext>
          </a:extLst>
        </xdr:cNvPr>
        <xdr:cNvSpPr/>
      </xdr:nvSpPr>
      <xdr:spPr>
        <a:xfrm>
          <a:off x="923925" y="3295650"/>
          <a:ext cx="1944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new business</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oneCellAnchor>
    <xdr:from>
      <xdr:col>1</xdr:col>
      <xdr:colOff>504915</xdr:colOff>
      <xdr:row>25</xdr:row>
      <xdr:rowOff>45570</xdr:rowOff>
    </xdr:from>
    <xdr:ext cx="157842" cy="157842"/>
    <xdr:pic macro="[0]!DeleteSEBusiness">
      <xdr:nvPicPr>
        <xdr:cNvPr id="257" name="btnDelSEABusiness2" hidden="1">
          <a:extLst>
            <a:ext uri="{FF2B5EF4-FFF2-40B4-BE49-F238E27FC236}">
              <a16:creationId xmlns:a16="http://schemas.microsoft.com/office/drawing/2014/main" id="{CEEE8F44-956F-4552-9184-F56E456CC94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255495"/>
          <a:ext cx="157842" cy="157842"/>
        </a:xfrm>
        <a:prstGeom prst="rect">
          <a:avLst/>
        </a:prstGeom>
      </xdr:spPr>
    </xdr:pic>
    <xdr:clientData fPrintsWithSheet="0"/>
  </xdr:oneCellAnchor>
  <xdr:oneCellAnchor>
    <xdr:from>
      <xdr:col>1</xdr:col>
      <xdr:colOff>323850</xdr:colOff>
      <xdr:row>25</xdr:row>
      <xdr:rowOff>32109</xdr:rowOff>
    </xdr:from>
    <xdr:ext cx="154134" cy="154134"/>
    <xdr:pic macro="[0]!AddEditSEBusiness">
      <xdr:nvPicPr>
        <xdr:cNvPr id="256" name="btnEditSEABusiness2" hidden="1">
          <a:extLst>
            <a:ext uri="{FF2B5EF4-FFF2-40B4-BE49-F238E27FC236}">
              <a16:creationId xmlns:a16="http://schemas.microsoft.com/office/drawing/2014/main" id="{EA51C355-82C8-45F6-B6C0-9A053085EB6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242034"/>
          <a:ext cx="154134" cy="154134"/>
        </a:xfrm>
        <a:prstGeom prst="rect">
          <a:avLst/>
        </a:prstGeom>
      </xdr:spPr>
    </xdr:pic>
    <xdr:clientData fPrintsWithSheet="0"/>
  </xdr:oneCellAnchor>
  <xdr:oneCellAnchor>
    <xdr:from>
      <xdr:col>1</xdr:col>
      <xdr:colOff>504915</xdr:colOff>
      <xdr:row>26</xdr:row>
      <xdr:rowOff>43515</xdr:rowOff>
    </xdr:from>
    <xdr:ext cx="157842" cy="157842"/>
    <xdr:pic macro="[0]!DeleteSEBusiness">
      <xdr:nvPicPr>
        <xdr:cNvPr id="259" name="btnDelSEABusiness3" hidden="1">
          <a:extLst>
            <a:ext uri="{FF2B5EF4-FFF2-40B4-BE49-F238E27FC236}">
              <a16:creationId xmlns:a16="http://schemas.microsoft.com/office/drawing/2014/main" id="{BB385E67-E658-43BE-B052-44622052F0A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491565"/>
          <a:ext cx="157842" cy="157842"/>
        </a:xfrm>
        <a:prstGeom prst="rect">
          <a:avLst/>
        </a:prstGeom>
      </xdr:spPr>
    </xdr:pic>
    <xdr:clientData fPrintsWithSheet="0"/>
  </xdr:oneCellAnchor>
  <xdr:oneCellAnchor>
    <xdr:from>
      <xdr:col>1</xdr:col>
      <xdr:colOff>323850</xdr:colOff>
      <xdr:row>26</xdr:row>
      <xdr:rowOff>30054</xdr:rowOff>
    </xdr:from>
    <xdr:ext cx="154134" cy="154134"/>
    <xdr:pic macro="[0]!AddEditSEBusiness">
      <xdr:nvPicPr>
        <xdr:cNvPr id="258" name="btnEditSEABusiness3" hidden="1">
          <a:extLst>
            <a:ext uri="{FF2B5EF4-FFF2-40B4-BE49-F238E27FC236}">
              <a16:creationId xmlns:a16="http://schemas.microsoft.com/office/drawing/2014/main" id="{4113809D-317F-4FCD-9E37-963CE6D17E1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478104"/>
          <a:ext cx="154134" cy="154134"/>
        </a:xfrm>
        <a:prstGeom prst="rect">
          <a:avLst/>
        </a:prstGeom>
      </xdr:spPr>
    </xdr:pic>
    <xdr:clientData fPrintsWithSheet="0"/>
  </xdr:oneCellAnchor>
  <xdr:oneCellAnchor>
    <xdr:from>
      <xdr:col>1</xdr:col>
      <xdr:colOff>504915</xdr:colOff>
      <xdr:row>27</xdr:row>
      <xdr:rowOff>41460</xdr:rowOff>
    </xdr:from>
    <xdr:ext cx="157842" cy="157842"/>
    <xdr:pic macro="[0]!DeleteSEBusiness">
      <xdr:nvPicPr>
        <xdr:cNvPr id="261" name="btnDelSEABusiness4" hidden="1">
          <a:extLst>
            <a:ext uri="{FF2B5EF4-FFF2-40B4-BE49-F238E27FC236}">
              <a16:creationId xmlns:a16="http://schemas.microsoft.com/office/drawing/2014/main" id="{52E08F50-AAF6-455D-B2A4-58132AAB9CB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727635"/>
          <a:ext cx="157842" cy="157842"/>
        </a:xfrm>
        <a:prstGeom prst="rect">
          <a:avLst/>
        </a:prstGeom>
      </xdr:spPr>
    </xdr:pic>
    <xdr:clientData fPrintsWithSheet="0"/>
  </xdr:oneCellAnchor>
  <xdr:oneCellAnchor>
    <xdr:from>
      <xdr:col>1</xdr:col>
      <xdr:colOff>323850</xdr:colOff>
      <xdr:row>27</xdr:row>
      <xdr:rowOff>27999</xdr:rowOff>
    </xdr:from>
    <xdr:ext cx="154134" cy="154134"/>
    <xdr:pic macro="[0]!AddEditSEBusiness">
      <xdr:nvPicPr>
        <xdr:cNvPr id="260" name="btnEditSEABusiness4" hidden="1">
          <a:extLst>
            <a:ext uri="{FF2B5EF4-FFF2-40B4-BE49-F238E27FC236}">
              <a16:creationId xmlns:a16="http://schemas.microsoft.com/office/drawing/2014/main" id="{9CE10B08-9CC4-47CA-98F8-76664AA2189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714174"/>
          <a:ext cx="154134" cy="154134"/>
        </a:xfrm>
        <a:prstGeom prst="rect">
          <a:avLst/>
        </a:prstGeom>
      </xdr:spPr>
    </xdr:pic>
    <xdr:clientData fPrintsWithSheet="0"/>
  </xdr:oneCellAnchor>
  <xdr:oneCellAnchor>
    <xdr:from>
      <xdr:col>1</xdr:col>
      <xdr:colOff>504915</xdr:colOff>
      <xdr:row>28</xdr:row>
      <xdr:rowOff>39405</xdr:rowOff>
    </xdr:from>
    <xdr:ext cx="157842" cy="157842"/>
    <xdr:pic macro="[0]!DeleteSEBusiness">
      <xdr:nvPicPr>
        <xdr:cNvPr id="263" name="btnDelSEABusiness5" hidden="1">
          <a:extLst>
            <a:ext uri="{FF2B5EF4-FFF2-40B4-BE49-F238E27FC236}">
              <a16:creationId xmlns:a16="http://schemas.microsoft.com/office/drawing/2014/main" id="{5F86F779-A431-4ED8-8441-15F098C85F5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963705"/>
          <a:ext cx="157842" cy="157842"/>
        </a:xfrm>
        <a:prstGeom prst="rect">
          <a:avLst/>
        </a:prstGeom>
      </xdr:spPr>
    </xdr:pic>
    <xdr:clientData fPrintsWithSheet="0"/>
  </xdr:oneCellAnchor>
  <xdr:oneCellAnchor>
    <xdr:from>
      <xdr:col>1</xdr:col>
      <xdr:colOff>323850</xdr:colOff>
      <xdr:row>28</xdr:row>
      <xdr:rowOff>25944</xdr:rowOff>
    </xdr:from>
    <xdr:ext cx="154134" cy="154134"/>
    <xdr:pic macro="[0]!AddEditSEBusiness">
      <xdr:nvPicPr>
        <xdr:cNvPr id="262" name="btnEditSEABusiness5" hidden="1">
          <a:extLst>
            <a:ext uri="{FF2B5EF4-FFF2-40B4-BE49-F238E27FC236}">
              <a16:creationId xmlns:a16="http://schemas.microsoft.com/office/drawing/2014/main" id="{9338732B-A40D-41FA-AD78-4132A87969C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950244"/>
          <a:ext cx="154134" cy="154134"/>
        </a:xfrm>
        <a:prstGeom prst="rect">
          <a:avLst/>
        </a:prstGeom>
      </xdr:spPr>
    </xdr:pic>
    <xdr:clientData fPrintsWithSheet="0"/>
  </xdr:oneCellAnchor>
  <xdr:oneCellAnchor>
    <xdr:from>
      <xdr:col>1</xdr:col>
      <xdr:colOff>504915</xdr:colOff>
      <xdr:row>29</xdr:row>
      <xdr:rowOff>37350</xdr:rowOff>
    </xdr:from>
    <xdr:ext cx="157842" cy="157842"/>
    <xdr:pic macro="[0]!DeleteSEBusiness">
      <xdr:nvPicPr>
        <xdr:cNvPr id="145" name="btnDelSEABusiness6" hidden="1">
          <a:extLst>
            <a:ext uri="{FF2B5EF4-FFF2-40B4-BE49-F238E27FC236}">
              <a16:creationId xmlns:a16="http://schemas.microsoft.com/office/drawing/2014/main" id="{9D98093E-6432-4BCD-88FC-B46DDDEF94E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199775"/>
          <a:ext cx="157842" cy="157842"/>
        </a:xfrm>
        <a:prstGeom prst="rect">
          <a:avLst/>
        </a:prstGeom>
      </xdr:spPr>
    </xdr:pic>
    <xdr:clientData fPrintsWithSheet="0"/>
  </xdr:oneCellAnchor>
  <xdr:oneCellAnchor>
    <xdr:from>
      <xdr:col>1</xdr:col>
      <xdr:colOff>323850</xdr:colOff>
      <xdr:row>29</xdr:row>
      <xdr:rowOff>23889</xdr:rowOff>
    </xdr:from>
    <xdr:ext cx="154134" cy="154134"/>
    <xdr:pic macro="[0]!AddEditSEBusiness">
      <xdr:nvPicPr>
        <xdr:cNvPr id="144" name="btnEditSEABusiness6" hidden="1">
          <a:extLst>
            <a:ext uri="{FF2B5EF4-FFF2-40B4-BE49-F238E27FC236}">
              <a16:creationId xmlns:a16="http://schemas.microsoft.com/office/drawing/2014/main" id="{7102E3D6-8D27-49EF-9CF0-CAD515A631C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186314"/>
          <a:ext cx="154134" cy="154134"/>
        </a:xfrm>
        <a:prstGeom prst="rect">
          <a:avLst/>
        </a:prstGeom>
      </xdr:spPr>
    </xdr:pic>
    <xdr:clientData fPrintsWithSheet="0"/>
  </xdr:oneCellAnchor>
  <xdr:oneCellAnchor>
    <xdr:from>
      <xdr:col>1</xdr:col>
      <xdr:colOff>504915</xdr:colOff>
      <xdr:row>30</xdr:row>
      <xdr:rowOff>35295</xdr:rowOff>
    </xdr:from>
    <xdr:ext cx="157842" cy="157842"/>
    <xdr:pic macro="[0]!DeleteSEBusiness">
      <xdr:nvPicPr>
        <xdr:cNvPr id="147" name="btnDelSEABusiness7" hidden="1">
          <a:extLst>
            <a:ext uri="{FF2B5EF4-FFF2-40B4-BE49-F238E27FC236}">
              <a16:creationId xmlns:a16="http://schemas.microsoft.com/office/drawing/2014/main" id="{9B80A8F6-94DC-41AB-B659-DF5D08AC23A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435845"/>
          <a:ext cx="157842" cy="157842"/>
        </a:xfrm>
        <a:prstGeom prst="rect">
          <a:avLst/>
        </a:prstGeom>
      </xdr:spPr>
    </xdr:pic>
    <xdr:clientData fPrintsWithSheet="0"/>
  </xdr:oneCellAnchor>
  <xdr:oneCellAnchor>
    <xdr:from>
      <xdr:col>1</xdr:col>
      <xdr:colOff>323850</xdr:colOff>
      <xdr:row>30</xdr:row>
      <xdr:rowOff>21834</xdr:rowOff>
    </xdr:from>
    <xdr:ext cx="154134" cy="154134"/>
    <xdr:pic macro="[0]!AddEditSEBusiness">
      <xdr:nvPicPr>
        <xdr:cNvPr id="146" name="btnEditSEABusiness7" hidden="1">
          <a:extLst>
            <a:ext uri="{FF2B5EF4-FFF2-40B4-BE49-F238E27FC236}">
              <a16:creationId xmlns:a16="http://schemas.microsoft.com/office/drawing/2014/main" id="{EF17F86F-3421-4FF9-8C59-693DC7DA2FB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422384"/>
          <a:ext cx="154134" cy="154134"/>
        </a:xfrm>
        <a:prstGeom prst="rect">
          <a:avLst/>
        </a:prstGeom>
      </xdr:spPr>
    </xdr:pic>
    <xdr:clientData fPrintsWithSheet="0"/>
  </xdr:oneCellAnchor>
  <xdr:oneCellAnchor>
    <xdr:from>
      <xdr:col>1</xdr:col>
      <xdr:colOff>504915</xdr:colOff>
      <xdr:row>31</xdr:row>
      <xdr:rowOff>33240</xdr:rowOff>
    </xdr:from>
    <xdr:ext cx="157842" cy="157842"/>
    <xdr:pic macro="[0]!DeleteSEBusiness">
      <xdr:nvPicPr>
        <xdr:cNvPr id="149" name="btnDelSEABusiness8" hidden="1">
          <a:extLst>
            <a:ext uri="{FF2B5EF4-FFF2-40B4-BE49-F238E27FC236}">
              <a16:creationId xmlns:a16="http://schemas.microsoft.com/office/drawing/2014/main" id="{E5D8AD68-AF41-4DCF-A430-1FCEF2D08EC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671915"/>
          <a:ext cx="157842" cy="157842"/>
        </a:xfrm>
        <a:prstGeom prst="rect">
          <a:avLst/>
        </a:prstGeom>
      </xdr:spPr>
    </xdr:pic>
    <xdr:clientData fPrintsWithSheet="0"/>
  </xdr:oneCellAnchor>
  <xdr:oneCellAnchor>
    <xdr:from>
      <xdr:col>1</xdr:col>
      <xdr:colOff>323850</xdr:colOff>
      <xdr:row>31</xdr:row>
      <xdr:rowOff>19779</xdr:rowOff>
    </xdr:from>
    <xdr:ext cx="154134" cy="154134"/>
    <xdr:pic macro="[0]!AddEditSEBusiness">
      <xdr:nvPicPr>
        <xdr:cNvPr id="148" name="btnEditSEABusiness8" hidden="1">
          <a:extLst>
            <a:ext uri="{FF2B5EF4-FFF2-40B4-BE49-F238E27FC236}">
              <a16:creationId xmlns:a16="http://schemas.microsoft.com/office/drawing/2014/main" id="{9D4404D8-6092-4CB2-A8FE-99DE2C443BB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658454"/>
          <a:ext cx="154134" cy="154134"/>
        </a:xfrm>
        <a:prstGeom prst="rect">
          <a:avLst/>
        </a:prstGeom>
      </xdr:spPr>
    </xdr:pic>
    <xdr:clientData fPrintsWithSheet="0"/>
  </xdr:oneCellAnchor>
  <xdr:oneCellAnchor>
    <xdr:from>
      <xdr:col>1</xdr:col>
      <xdr:colOff>504915</xdr:colOff>
      <xdr:row>32</xdr:row>
      <xdr:rowOff>31185</xdr:rowOff>
    </xdr:from>
    <xdr:ext cx="157842" cy="157842"/>
    <xdr:pic macro="[0]!DeleteSEBusiness">
      <xdr:nvPicPr>
        <xdr:cNvPr id="151" name="btnDelSEABusiness9" hidden="1">
          <a:extLst>
            <a:ext uri="{FF2B5EF4-FFF2-40B4-BE49-F238E27FC236}">
              <a16:creationId xmlns:a16="http://schemas.microsoft.com/office/drawing/2014/main" id="{4A972E4E-E6CE-4050-A655-0D74619143D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907985"/>
          <a:ext cx="157842" cy="157842"/>
        </a:xfrm>
        <a:prstGeom prst="rect">
          <a:avLst/>
        </a:prstGeom>
      </xdr:spPr>
    </xdr:pic>
    <xdr:clientData fPrintsWithSheet="0"/>
  </xdr:oneCellAnchor>
  <xdr:oneCellAnchor>
    <xdr:from>
      <xdr:col>1</xdr:col>
      <xdr:colOff>323850</xdr:colOff>
      <xdr:row>32</xdr:row>
      <xdr:rowOff>17724</xdr:rowOff>
    </xdr:from>
    <xdr:ext cx="154134" cy="154134"/>
    <xdr:pic macro="[0]!AddEditSEBusiness">
      <xdr:nvPicPr>
        <xdr:cNvPr id="150" name="btnEditSEABusiness9" hidden="1">
          <a:extLst>
            <a:ext uri="{FF2B5EF4-FFF2-40B4-BE49-F238E27FC236}">
              <a16:creationId xmlns:a16="http://schemas.microsoft.com/office/drawing/2014/main" id="{4DD04FF9-D2BF-4BB6-AD08-8866C344BC7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894524"/>
          <a:ext cx="154134" cy="154134"/>
        </a:xfrm>
        <a:prstGeom prst="rect">
          <a:avLst/>
        </a:prstGeom>
      </xdr:spPr>
    </xdr:pic>
    <xdr:clientData fPrintsWithSheet="0"/>
  </xdr:oneCellAnchor>
  <xdr:oneCellAnchor>
    <xdr:from>
      <xdr:col>1</xdr:col>
      <xdr:colOff>504915</xdr:colOff>
      <xdr:row>33</xdr:row>
      <xdr:rowOff>29130</xdr:rowOff>
    </xdr:from>
    <xdr:ext cx="157842" cy="157842"/>
    <xdr:pic macro="[0]!DeleteSEBusiness">
      <xdr:nvPicPr>
        <xdr:cNvPr id="153" name="btnDelSEABusiness10" hidden="1">
          <a:extLst>
            <a:ext uri="{FF2B5EF4-FFF2-40B4-BE49-F238E27FC236}">
              <a16:creationId xmlns:a16="http://schemas.microsoft.com/office/drawing/2014/main" id="{BDC77DC3-1E23-40B1-A06E-7DBEB38CD34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144055"/>
          <a:ext cx="157842" cy="157842"/>
        </a:xfrm>
        <a:prstGeom prst="rect">
          <a:avLst/>
        </a:prstGeom>
      </xdr:spPr>
    </xdr:pic>
    <xdr:clientData fPrintsWithSheet="0"/>
  </xdr:oneCellAnchor>
  <xdr:oneCellAnchor>
    <xdr:from>
      <xdr:col>1</xdr:col>
      <xdr:colOff>323850</xdr:colOff>
      <xdr:row>33</xdr:row>
      <xdr:rowOff>15669</xdr:rowOff>
    </xdr:from>
    <xdr:ext cx="154134" cy="154134"/>
    <xdr:pic macro="[0]!AddEditSEBusiness">
      <xdr:nvPicPr>
        <xdr:cNvPr id="152" name="btnEditSEABusiness10" hidden="1">
          <a:extLst>
            <a:ext uri="{FF2B5EF4-FFF2-40B4-BE49-F238E27FC236}">
              <a16:creationId xmlns:a16="http://schemas.microsoft.com/office/drawing/2014/main" id="{1847E454-FC01-4C60-B2E4-33D20DA4409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130594"/>
          <a:ext cx="154134" cy="154134"/>
        </a:xfrm>
        <a:prstGeom prst="rect">
          <a:avLst/>
        </a:prstGeom>
      </xdr:spPr>
    </xdr:pic>
    <xdr:clientData fPrintsWithSheet="0"/>
  </xdr:oneCellAnchor>
  <xdr:twoCellAnchor editAs="oneCell">
    <xdr:from>
      <xdr:col>1</xdr:col>
      <xdr:colOff>51293</xdr:colOff>
      <xdr:row>1</xdr:row>
      <xdr:rowOff>56095</xdr:rowOff>
    </xdr:from>
    <xdr:to>
      <xdr:col>2</xdr:col>
      <xdr:colOff>137576</xdr:colOff>
      <xdr:row>2</xdr:row>
      <xdr:rowOff>180975</xdr:rowOff>
    </xdr:to>
    <xdr:pic>
      <xdr:nvPicPr>
        <xdr:cNvPr id="52" name="imgLogoWBC">
          <a:extLst>
            <a:ext uri="{FF2B5EF4-FFF2-40B4-BE49-F238E27FC236}">
              <a16:creationId xmlns:a16="http://schemas.microsoft.com/office/drawing/2014/main" id="{ED647984-8F6C-4071-9490-01592F47FA8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793" y="256120"/>
          <a:ext cx="800658" cy="324905"/>
        </a:xfrm>
        <a:prstGeom prst="rect">
          <a:avLst/>
        </a:prstGeom>
      </xdr:spPr>
    </xdr:pic>
    <xdr:clientData/>
  </xdr:twoCellAnchor>
  <xdr:oneCellAnchor>
    <xdr:from>
      <xdr:col>1</xdr:col>
      <xdr:colOff>504915</xdr:colOff>
      <xdr:row>34</xdr:row>
      <xdr:rowOff>27075</xdr:rowOff>
    </xdr:from>
    <xdr:ext cx="157842" cy="157842"/>
    <xdr:pic macro="[0]!DeleteSEBusiness">
      <xdr:nvPicPr>
        <xdr:cNvPr id="155" name="btnDelSEABusiness11" hidden="1">
          <a:extLst>
            <a:ext uri="{FF2B5EF4-FFF2-40B4-BE49-F238E27FC236}">
              <a16:creationId xmlns:a16="http://schemas.microsoft.com/office/drawing/2014/main" id="{B2F14944-2CC3-4D09-A65C-0524FB07F29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2294025"/>
          <a:ext cx="157842" cy="157842"/>
        </a:xfrm>
        <a:prstGeom prst="rect">
          <a:avLst/>
        </a:prstGeom>
      </xdr:spPr>
    </xdr:pic>
    <xdr:clientData fPrintsWithSheet="0"/>
  </xdr:oneCellAnchor>
  <xdr:oneCellAnchor>
    <xdr:from>
      <xdr:col>1</xdr:col>
      <xdr:colOff>323850</xdr:colOff>
      <xdr:row>34</xdr:row>
      <xdr:rowOff>27075</xdr:rowOff>
    </xdr:from>
    <xdr:ext cx="154134" cy="154134"/>
    <xdr:pic macro="[0]!AddEditSEBusiness">
      <xdr:nvPicPr>
        <xdr:cNvPr id="154" name="btnEditSEABusiness11" hidden="1">
          <a:extLst>
            <a:ext uri="{FF2B5EF4-FFF2-40B4-BE49-F238E27FC236}">
              <a16:creationId xmlns:a16="http://schemas.microsoft.com/office/drawing/2014/main" id="{EA7C558B-73EC-4AEA-9E14-DC4CDC38ED6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2294025"/>
          <a:ext cx="154134" cy="154134"/>
        </a:xfrm>
        <a:prstGeom prst="rect">
          <a:avLst/>
        </a:prstGeom>
      </xdr:spPr>
    </xdr:pic>
    <xdr:clientData fPrintsWithSheet="0"/>
  </xdr:oneCellAnchor>
  <xdr:oneCellAnchor>
    <xdr:from>
      <xdr:col>1</xdr:col>
      <xdr:colOff>504915</xdr:colOff>
      <xdr:row>35</xdr:row>
      <xdr:rowOff>27547</xdr:rowOff>
    </xdr:from>
    <xdr:ext cx="157842" cy="157842"/>
    <xdr:pic macro="[0]!DeleteSEBusiness">
      <xdr:nvPicPr>
        <xdr:cNvPr id="157" name="btnDelSEABusiness12" hidden="1">
          <a:extLst>
            <a:ext uri="{FF2B5EF4-FFF2-40B4-BE49-F238E27FC236}">
              <a16:creationId xmlns:a16="http://schemas.microsoft.com/office/drawing/2014/main" id="{35463342-5BEA-49CD-879B-8263DC28F74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2532622"/>
          <a:ext cx="157842" cy="157842"/>
        </a:xfrm>
        <a:prstGeom prst="rect">
          <a:avLst/>
        </a:prstGeom>
      </xdr:spPr>
    </xdr:pic>
    <xdr:clientData fPrintsWithSheet="0"/>
  </xdr:oneCellAnchor>
  <xdr:oneCellAnchor>
    <xdr:from>
      <xdr:col>1</xdr:col>
      <xdr:colOff>323850</xdr:colOff>
      <xdr:row>35</xdr:row>
      <xdr:rowOff>27547</xdr:rowOff>
    </xdr:from>
    <xdr:ext cx="154134" cy="154134"/>
    <xdr:pic macro="[0]!AddEditSEBusiness">
      <xdr:nvPicPr>
        <xdr:cNvPr id="156" name="btnEditSEABusiness12" hidden="1">
          <a:extLst>
            <a:ext uri="{FF2B5EF4-FFF2-40B4-BE49-F238E27FC236}">
              <a16:creationId xmlns:a16="http://schemas.microsoft.com/office/drawing/2014/main" id="{F2B0783A-0AA8-4A17-8EAF-0CC31D1C802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2532622"/>
          <a:ext cx="154134" cy="154134"/>
        </a:xfrm>
        <a:prstGeom prst="rect">
          <a:avLst/>
        </a:prstGeom>
      </xdr:spPr>
    </xdr:pic>
    <xdr:clientData fPrintsWithSheet="0"/>
  </xdr:oneCellAnchor>
  <xdr:oneCellAnchor>
    <xdr:from>
      <xdr:col>1</xdr:col>
      <xdr:colOff>504915</xdr:colOff>
      <xdr:row>36</xdr:row>
      <xdr:rowOff>28019</xdr:rowOff>
    </xdr:from>
    <xdr:ext cx="157842" cy="157842"/>
    <xdr:pic macro="[0]!DeleteSEBusiness">
      <xdr:nvPicPr>
        <xdr:cNvPr id="159" name="btnDelSEABusiness13" hidden="1">
          <a:extLst>
            <a:ext uri="{FF2B5EF4-FFF2-40B4-BE49-F238E27FC236}">
              <a16:creationId xmlns:a16="http://schemas.microsoft.com/office/drawing/2014/main" id="{88F48C99-5E2A-481D-802A-6449C41944A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2771219"/>
          <a:ext cx="157842" cy="157842"/>
        </a:xfrm>
        <a:prstGeom prst="rect">
          <a:avLst/>
        </a:prstGeom>
      </xdr:spPr>
    </xdr:pic>
    <xdr:clientData fPrintsWithSheet="0"/>
  </xdr:oneCellAnchor>
  <xdr:oneCellAnchor>
    <xdr:from>
      <xdr:col>1</xdr:col>
      <xdr:colOff>323850</xdr:colOff>
      <xdr:row>36</xdr:row>
      <xdr:rowOff>28019</xdr:rowOff>
    </xdr:from>
    <xdr:ext cx="154134" cy="154134"/>
    <xdr:pic macro="[0]!AddEditSEBusiness">
      <xdr:nvPicPr>
        <xdr:cNvPr id="158" name="btnEditSEABusiness13" hidden="1">
          <a:extLst>
            <a:ext uri="{FF2B5EF4-FFF2-40B4-BE49-F238E27FC236}">
              <a16:creationId xmlns:a16="http://schemas.microsoft.com/office/drawing/2014/main" id="{AD063F37-21EC-4F82-B644-3DF35D297F9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2771219"/>
          <a:ext cx="154134" cy="154134"/>
        </a:xfrm>
        <a:prstGeom prst="rect">
          <a:avLst/>
        </a:prstGeom>
      </xdr:spPr>
    </xdr:pic>
    <xdr:clientData fPrintsWithSheet="0"/>
  </xdr:oneCellAnchor>
  <xdr:oneCellAnchor>
    <xdr:from>
      <xdr:col>1</xdr:col>
      <xdr:colOff>504915</xdr:colOff>
      <xdr:row>37</xdr:row>
      <xdr:rowOff>28491</xdr:rowOff>
    </xdr:from>
    <xdr:ext cx="157842" cy="157842"/>
    <xdr:pic macro="[0]!DeleteSEBusiness">
      <xdr:nvPicPr>
        <xdr:cNvPr id="161" name="btnDelSEABusiness14" hidden="1">
          <a:extLst>
            <a:ext uri="{FF2B5EF4-FFF2-40B4-BE49-F238E27FC236}">
              <a16:creationId xmlns:a16="http://schemas.microsoft.com/office/drawing/2014/main" id="{0609E8A2-A83B-47F9-864D-92B8B8ED405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009816"/>
          <a:ext cx="157842" cy="157842"/>
        </a:xfrm>
        <a:prstGeom prst="rect">
          <a:avLst/>
        </a:prstGeom>
      </xdr:spPr>
    </xdr:pic>
    <xdr:clientData fPrintsWithSheet="0"/>
  </xdr:oneCellAnchor>
  <xdr:oneCellAnchor>
    <xdr:from>
      <xdr:col>1</xdr:col>
      <xdr:colOff>323850</xdr:colOff>
      <xdr:row>37</xdr:row>
      <xdr:rowOff>28491</xdr:rowOff>
    </xdr:from>
    <xdr:ext cx="154134" cy="154134"/>
    <xdr:pic macro="[0]!AddEditSEBusiness">
      <xdr:nvPicPr>
        <xdr:cNvPr id="160" name="btnEditSEABusiness14" hidden="1">
          <a:extLst>
            <a:ext uri="{FF2B5EF4-FFF2-40B4-BE49-F238E27FC236}">
              <a16:creationId xmlns:a16="http://schemas.microsoft.com/office/drawing/2014/main" id="{1487E8EF-0665-4085-A294-789AB444C49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009816"/>
          <a:ext cx="154134" cy="154134"/>
        </a:xfrm>
        <a:prstGeom prst="rect">
          <a:avLst/>
        </a:prstGeom>
      </xdr:spPr>
    </xdr:pic>
    <xdr:clientData fPrintsWithSheet="0"/>
  </xdr:oneCellAnchor>
  <xdr:oneCellAnchor>
    <xdr:from>
      <xdr:col>1</xdr:col>
      <xdr:colOff>504915</xdr:colOff>
      <xdr:row>38</xdr:row>
      <xdr:rowOff>28963</xdr:rowOff>
    </xdr:from>
    <xdr:ext cx="157842" cy="157842"/>
    <xdr:pic macro="[0]!DeleteSEBusiness">
      <xdr:nvPicPr>
        <xdr:cNvPr id="163" name="btnDelSEABusiness15" hidden="1">
          <a:extLst>
            <a:ext uri="{FF2B5EF4-FFF2-40B4-BE49-F238E27FC236}">
              <a16:creationId xmlns:a16="http://schemas.microsoft.com/office/drawing/2014/main" id="{B3279E23-0661-4451-98A5-41D7F05AC07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248413"/>
          <a:ext cx="157842" cy="157842"/>
        </a:xfrm>
        <a:prstGeom prst="rect">
          <a:avLst/>
        </a:prstGeom>
      </xdr:spPr>
    </xdr:pic>
    <xdr:clientData fPrintsWithSheet="0"/>
  </xdr:oneCellAnchor>
  <xdr:oneCellAnchor>
    <xdr:from>
      <xdr:col>1</xdr:col>
      <xdr:colOff>323850</xdr:colOff>
      <xdr:row>38</xdr:row>
      <xdr:rowOff>28963</xdr:rowOff>
    </xdr:from>
    <xdr:ext cx="154134" cy="154134"/>
    <xdr:pic macro="[0]!AddEditSEBusiness">
      <xdr:nvPicPr>
        <xdr:cNvPr id="162" name="btnEditSEABusiness15" hidden="1">
          <a:extLst>
            <a:ext uri="{FF2B5EF4-FFF2-40B4-BE49-F238E27FC236}">
              <a16:creationId xmlns:a16="http://schemas.microsoft.com/office/drawing/2014/main" id="{1F3FD5D0-3607-4C72-A93F-305F671935B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248413"/>
          <a:ext cx="154134" cy="154134"/>
        </a:xfrm>
        <a:prstGeom prst="rect">
          <a:avLst/>
        </a:prstGeom>
      </xdr:spPr>
    </xdr:pic>
    <xdr:clientData fPrintsWithSheet="0"/>
  </xdr:oneCellAnchor>
  <xdr:oneCellAnchor>
    <xdr:from>
      <xdr:col>1</xdr:col>
      <xdr:colOff>504915</xdr:colOff>
      <xdr:row>39</xdr:row>
      <xdr:rowOff>29435</xdr:rowOff>
    </xdr:from>
    <xdr:ext cx="157842" cy="157842"/>
    <xdr:pic macro="[0]!DeleteSEBusiness">
      <xdr:nvPicPr>
        <xdr:cNvPr id="165" name="btnDelSEABusiness16" hidden="1">
          <a:extLst>
            <a:ext uri="{FF2B5EF4-FFF2-40B4-BE49-F238E27FC236}">
              <a16:creationId xmlns:a16="http://schemas.microsoft.com/office/drawing/2014/main" id="{F6DEA623-7123-4866-A3F4-F695C728CB1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487010"/>
          <a:ext cx="157842" cy="157842"/>
        </a:xfrm>
        <a:prstGeom prst="rect">
          <a:avLst/>
        </a:prstGeom>
      </xdr:spPr>
    </xdr:pic>
    <xdr:clientData fPrintsWithSheet="0"/>
  </xdr:oneCellAnchor>
  <xdr:oneCellAnchor>
    <xdr:from>
      <xdr:col>1</xdr:col>
      <xdr:colOff>323850</xdr:colOff>
      <xdr:row>39</xdr:row>
      <xdr:rowOff>29435</xdr:rowOff>
    </xdr:from>
    <xdr:ext cx="154134" cy="154134"/>
    <xdr:pic macro="[0]!AddEditSEBusiness">
      <xdr:nvPicPr>
        <xdr:cNvPr id="164" name="btnEditSEABusiness16" hidden="1">
          <a:extLst>
            <a:ext uri="{FF2B5EF4-FFF2-40B4-BE49-F238E27FC236}">
              <a16:creationId xmlns:a16="http://schemas.microsoft.com/office/drawing/2014/main" id="{4D0E2B64-DDDD-49CC-9052-90A0DD9CB8C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487010"/>
          <a:ext cx="154134" cy="154134"/>
        </a:xfrm>
        <a:prstGeom prst="rect">
          <a:avLst/>
        </a:prstGeom>
      </xdr:spPr>
    </xdr:pic>
    <xdr:clientData fPrintsWithSheet="0"/>
  </xdr:oneCellAnchor>
  <xdr:oneCellAnchor>
    <xdr:from>
      <xdr:col>1</xdr:col>
      <xdr:colOff>504915</xdr:colOff>
      <xdr:row>40</xdr:row>
      <xdr:rowOff>29907</xdr:rowOff>
    </xdr:from>
    <xdr:ext cx="157842" cy="157842"/>
    <xdr:pic macro="[0]!DeleteSEBusiness">
      <xdr:nvPicPr>
        <xdr:cNvPr id="167" name="btnDelSEABusiness17" hidden="1">
          <a:extLst>
            <a:ext uri="{FF2B5EF4-FFF2-40B4-BE49-F238E27FC236}">
              <a16:creationId xmlns:a16="http://schemas.microsoft.com/office/drawing/2014/main" id="{A0935FEA-1DBD-40FA-A920-B971F1F93BA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725607"/>
          <a:ext cx="157842" cy="157842"/>
        </a:xfrm>
        <a:prstGeom prst="rect">
          <a:avLst/>
        </a:prstGeom>
      </xdr:spPr>
    </xdr:pic>
    <xdr:clientData fPrintsWithSheet="0"/>
  </xdr:oneCellAnchor>
  <xdr:oneCellAnchor>
    <xdr:from>
      <xdr:col>1</xdr:col>
      <xdr:colOff>323850</xdr:colOff>
      <xdr:row>40</xdr:row>
      <xdr:rowOff>29907</xdr:rowOff>
    </xdr:from>
    <xdr:ext cx="154134" cy="154134"/>
    <xdr:pic macro="[0]!AddEditSEBusiness">
      <xdr:nvPicPr>
        <xdr:cNvPr id="166" name="btnEditSEABusiness17" hidden="1">
          <a:extLst>
            <a:ext uri="{FF2B5EF4-FFF2-40B4-BE49-F238E27FC236}">
              <a16:creationId xmlns:a16="http://schemas.microsoft.com/office/drawing/2014/main" id="{06893F9A-AEAC-4D13-803B-E453C300AB3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725607"/>
          <a:ext cx="154134" cy="154134"/>
        </a:xfrm>
        <a:prstGeom prst="rect">
          <a:avLst/>
        </a:prstGeom>
      </xdr:spPr>
    </xdr:pic>
    <xdr:clientData fPrintsWithSheet="0"/>
  </xdr:oneCellAnchor>
  <xdr:oneCellAnchor>
    <xdr:from>
      <xdr:col>1</xdr:col>
      <xdr:colOff>504915</xdr:colOff>
      <xdr:row>41</xdr:row>
      <xdr:rowOff>30379</xdr:rowOff>
    </xdr:from>
    <xdr:ext cx="157842" cy="157842"/>
    <xdr:pic macro="[0]!DeleteSEBusiness">
      <xdr:nvPicPr>
        <xdr:cNvPr id="169" name="btnDelSEABusiness18" hidden="1">
          <a:extLst>
            <a:ext uri="{FF2B5EF4-FFF2-40B4-BE49-F238E27FC236}">
              <a16:creationId xmlns:a16="http://schemas.microsoft.com/office/drawing/2014/main" id="{EE18C4E2-6299-480C-A587-BC8BB5D93A3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964204"/>
          <a:ext cx="157842" cy="157842"/>
        </a:xfrm>
        <a:prstGeom prst="rect">
          <a:avLst/>
        </a:prstGeom>
      </xdr:spPr>
    </xdr:pic>
    <xdr:clientData fPrintsWithSheet="0"/>
  </xdr:oneCellAnchor>
  <xdr:oneCellAnchor>
    <xdr:from>
      <xdr:col>1</xdr:col>
      <xdr:colOff>323850</xdr:colOff>
      <xdr:row>41</xdr:row>
      <xdr:rowOff>30379</xdr:rowOff>
    </xdr:from>
    <xdr:ext cx="154134" cy="154134"/>
    <xdr:pic macro="[0]!AddEditSEBusiness">
      <xdr:nvPicPr>
        <xdr:cNvPr id="168" name="btnEditSEABusiness18" hidden="1">
          <a:extLst>
            <a:ext uri="{FF2B5EF4-FFF2-40B4-BE49-F238E27FC236}">
              <a16:creationId xmlns:a16="http://schemas.microsoft.com/office/drawing/2014/main" id="{238C30CC-3475-4B98-97C8-D691B10F07F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964204"/>
          <a:ext cx="154134" cy="154134"/>
        </a:xfrm>
        <a:prstGeom prst="rect">
          <a:avLst/>
        </a:prstGeom>
      </xdr:spPr>
    </xdr:pic>
    <xdr:clientData fPrintsWithSheet="0"/>
  </xdr:oneCellAnchor>
  <xdr:oneCellAnchor>
    <xdr:from>
      <xdr:col>1</xdr:col>
      <xdr:colOff>504915</xdr:colOff>
      <xdr:row>42</xdr:row>
      <xdr:rowOff>30851</xdr:rowOff>
    </xdr:from>
    <xdr:ext cx="157842" cy="157842"/>
    <xdr:pic macro="[0]!DeleteSEBusiness">
      <xdr:nvPicPr>
        <xdr:cNvPr id="171" name="btnDelSEABusiness19" hidden="1">
          <a:extLst>
            <a:ext uri="{FF2B5EF4-FFF2-40B4-BE49-F238E27FC236}">
              <a16:creationId xmlns:a16="http://schemas.microsoft.com/office/drawing/2014/main" id="{A9F43575-6D6E-4ADA-BA5D-CB7BE7D9AB5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202801"/>
          <a:ext cx="157842" cy="157842"/>
        </a:xfrm>
        <a:prstGeom prst="rect">
          <a:avLst/>
        </a:prstGeom>
      </xdr:spPr>
    </xdr:pic>
    <xdr:clientData fPrintsWithSheet="0"/>
  </xdr:oneCellAnchor>
  <xdr:oneCellAnchor>
    <xdr:from>
      <xdr:col>1</xdr:col>
      <xdr:colOff>323850</xdr:colOff>
      <xdr:row>42</xdr:row>
      <xdr:rowOff>30851</xdr:rowOff>
    </xdr:from>
    <xdr:ext cx="154134" cy="154134"/>
    <xdr:pic macro="[0]!AddEditSEBusiness">
      <xdr:nvPicPr>
        <xdr:cNvPr id="170" name="btnEditSEABusiness19" hidden="1">
          <a:extLst>
            <a:ext uri="{FF2B5EF4-FFF2-40B4-BE49-F238E27FC236}">
              <a16:creationId xmlns:a16="http://schemas.microsoft.com/office/drawing/2014/main" id="{C3BE4ED2-26BB-42A1-98D2-01A5CA129E7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202801"/>
          <a:ext cx="154134" cy="154134"/>
        </a:xfrm>
        <a:prstGeom prst="rect">
          <a:avLst/>
        </a:prstGeom>
      </xdr:spPr>
    </xdr:pic>
    <xdr:clientData fPrintsWithSheet="0"/>
  </xdr:oneCellAnchor>
  <xdr:oneCellAnchor>
    <xdr:from>
      <xdr:col>1</xdr:col>
      <xdr:colOff>504915</xdr:colOff>
      <xdr:row>43</xdr:row>
      <xdr:rowOff>31323</xdr:rowOff>
    </xdr:from>
    <xdr:ext cx="157842" cy="157842"/>
    <xdr:pic macro="[0]!DeleteSEBusiness">
      <xdr:nvPicPr>
        <xdr:cNvPr id="173" name="btnDelSEABusiness20" hidden="1">
          <a:extLst>
            <a:ext uri="{FF2B5EF4-FFF2-40B4-BE49-F238E27FC236}">
              <a16:creationId xmlns:a16="http://schemas.microsoft.com/office/drawing/2014/main" id="{B2F9B216-50BF-40B7-A83F-5DB811EFBEB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441398"/>
          <a:ext cx="157842" cy="157842"/>
        </a:xfrm>
        <a:prstGeom prst="rect">
          <a:avLst/>
        </a:prstGeom>
      </xdr:spPr>
    </xdr:pic>
    <xdr:clientData fPrintsWithSheet="0"/>
  </xdr:oneCellAnchor>
  <xdr:oneCellAnchor>
    <xdr:from>
      <xdr:col>1</xdr:col>
      <xdr:colOff>323850</xdr:colOff>
      <xdr:row>43</xdr:row>
      <xdr:rowOff>31323</xdr:rowOff>
    </xdr:from>
    <xdr:ext cx="154134" cy="154134"/>
    <xdr:pic macro="[0]!AddEditSEBusiness">
      <xdr:nvPicPr>
        <xdr:cNvPr id="172" name="btnEditSEABusiness20" hidden="1">
          <a:extLst>
            <a:ext uri="{FF2B5EF4-FFF2-40B4-BE49-F238E27FC236}">
              <a16:creationId xmlns:a16="http://schemas.microsoft.com/office/drawing/2014/main" id="{FBE42073-0CF2-4374-A5DE-B40DD2F6C02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441398"/>
          <a:ext cx="154134" cy="154134"/>
        </a:xfrm>
        <a:prstGeom prst="rect">
          <a:avLst/>
        </a:prstGeom>
      </xdr:spPr>
    </xdr:pic>
    <xdr:clientData fPrintsWithSheet="0"/>
  </xdr:oneCellAnchor>
  <xdr:oneCellAnchor>
    <xdr:from>
      <xdr:col>1</xdr:col>
      <xdr:colOff>504915</xdr:colOff>
      <xdr:row>44</xdr:row>
      <xdr:rowOff>31795</xdr:rowOff>
    </xdr:from>
    <xdr:ext cx="157842" cy="157842"/>
    <xdr:pic macro="[0]!DeleteSEBusiness">
      <xdr:nvPicPr>
        <xdr:cNvPr id="175" name="btnDelSEABusiness21" hidden="1">
          <a:extLst>
            <a:ext uri="{FF2B5EF4-FFF2-40B4-BE49-F238E27FC236}">
              <a16:creationId xmlns:a16="http://schemas.microsoft.com/office/drawing/2014/main" id="{F8678FE5-76B3-4E55-804A-EE087DB86EB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679995"/>
          <a:ext cx="157842" cy="157842"/>
        </a:xfrm>
        <a:prstGeom prst="rect">
          <a:avLst/>
        </a:prstGeom>
      </xdr:spPr>
    </xdr:pic>
    <xdr:clientData fPrintsWithSheet="0"/>
  </xdr:oneCellAnchor>
  <xdr:oneCellAnchor>
    <xdr:from>
      <xdr:col>1</xdr:col>
      <xdr:colOff>323850</xdr:colOff>
      <xdr:row>44</xdr:row>
      <xdr:rowOff>31795</xdr:rowOff>
    </xdr:from>
    <xdr:ext cx="154134" cy="154134"/>
    <xdr:pic macro="[0]!AddEditSEBusiness">
      <xdr:nvPicPr>
        <xdr:cNvPr id="174" name="btnEditSEABusiness21" hidden="1">
          <a:extLst>
            <a:ext uri="{FF2B5EF4-FFF2-40B4-BE49-F238E27FC236}">
              <a16:creationId xmlns:a16="http://schemas.microsoft.com/office/drawing/2014/main" id="{73238B84-E233-4962-A1D5-83BA8EA594D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679995"/>
          <a:ext cx="154134" cy="154134"/>
        </a:xfrm>
        <a:prstGeom prst="rect">
          <a:avLst/>
        </a:prstGeom>
      </xdr:spPr>
    </xdr:pic>
    <xdr:clientData fPrintsWithSheet="0"/>
  </xdr:oneCellAnchor>
  <xdr:oneCellAnchor>
    <xdr:from>
      <xdr:col>1</xdr:col>
      <xdr:colOff>504915</xdr:colOff>
      <xdr:row>45</xdr:row>
      <xdr:rowOff>32267</xdr:rowOff>
    </xdr:from>
    <xdr:ext cx="157842" cy="157842"/>
    <xdr:pic macro="[0]!DeleteSEBusiness">
      <xdr:nvPicPr>
        <xdr:cNvPr id="177" name="btnDelSEABusiness22" hidden="1">
          <a:extLst>
            <a:ext uri="{FF2B5EF4-FFF2-40B4-BE49-F238E27FC236}">
              <a16:creationId xmlns:a16="http://schemas.microsoft.com/office/drawing/2014/main" id="{A68A45CE-BED6-48E4-91EE-562BD86CD90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918592"/>
          <a:ext cx="157842" cy="157842"/>
        </a:xfrm>
        <a:prstGeom prst="rect">
          <a:avLst/>
        </a:prstGeom>
      </xdr:spPr>
    </xdr:pic>
    <xdr:clientData fPrintsWithSheet="0"/>
  </xdr:oneCellAnchor>
  <xdr:oneCellAnchor>
    <xdr:from>
      <xdr:col>1</xdr:col>
      <xdr:colOff>323850</xdr:colOff>
      <xdr:row>45</xdr:row>
      <xdr:rowOff>32267</xdr:rowOff>
    </xdr:from>
    <xdr:ext cx="154134" cy="154134"/>
    <xdr:pic macro="[0]!AddEditSEBusiness">
      <xdr:nvPicPr>
        <xdr:cNvPr id="176" name="btnEditSEABusiness22" hidden="1">
          <a:extLst>
            <a:ext uri="{FF2B5EF4-FFF2-40B4-BE49-F238E27FC236}">
              <a16:creationId xmlns:a16="http://schemas.microsoft.com/office/drawing/2014/main" id="{4E451833-1952-46F7-81BF-2B434D8704E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918592"/>
          <a:ext cx="154134" cy="154134"/>
        </a:xfrm>
        <a:prstGeom prst="rect">
          <a:avLst/>
        </a:prstGeom>
      </xdr:spPr>
    </xdr:pic>
    <xdr:clientData fPrintsWithSheet="0"/>
  </xdr:oneCellAnchor>
  <xdr:oneCellAnchor>
    <xdr:from>
      <xdr:col>1</xdr:col>
      <xdr:colOff>504915</xdr:colOff>
      <xdr:row>46</xdr:row>
      <xdr:rowOff>32739</xdr:rowOff>
    </xdr:from>
    <xdr:ext cx="157842" cy="157842"/>
    <xdr:pic macro="[0]!DeleteSEBusiness">
      <xdr:nvPicPr>
        <xdr:cNvPr id="179" name="btnDelSEABusiness23" hidden="1">
          <a:extLst>
            <a:ext uri="{FF2B5EF4-FFF2-40B4-BE49-F238E27FC236}">
              <a16:creationId xmlns:a16="http://schemas.microsoft.com/office/drawing/2014/main" id="{A69819E3-C148-4B37-918F-03DB318DD7F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157189"/>
          <a:ext cx="157842" cy="157842"/>
        </a:xfrm>
        <a:prstGeom prst="rect">
          <a:avLst/>
        </a:prstGeom>
      </xdr:spPr>
    </xdr:pic>
    <xdr:clientData fPrintsWithSheet="0"/>
  </xdr:oneCellAnchor>
  <xdr:oneCellAnchor>
    <xdr:from>
      <xdr:col>1</xdr:col>
      <xdr:colOff>323850</xdr:colOff>
      <xdr:row>46</xdr:row>
      <xdr:rowOff>32739</xdr:rowOff>
    </xdr:from>
    <xdr:ext cx="154134" cy="154134"/>
    <xdr:pic macro="[0]!AddEditSEBusiness">
      <xdr:nvPicPr>
        <xdr:cNvPr id="178" name="btnEditSEABusiness23" hidden="1">
          <a:extLst>
            <a:ext uri="{FF2B5EF4-FFF2-40B4-BE49-F238E27FC236}">
              <a16:creationId xmlns:a16="http://schemas.microsoft.com/office/drawing/2014/main" id="{15914AA1-4237-4085-ABD6-D3E341FC159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157189"/>
          <a:ext cx="154134" cy="154134"/>
        </a:xfrm>
        <a:prstGeom prst="rect">
          <a:avLst/>
        </a:prstGeom>
      </xdr:spPr>
    </xdr:pic>
    <xdr:clientData fPrintsWithSheet="0"/>
  </xdr:oneCellAnchor>
  <xdr:oneCellAnchor>
    <xdr:from>
      <xdr:col>1</xdr:col>
      <xdr:colOff>504915</xdr:colOff>
      <xdr:row>47</xdr:row>
      <xdr:rowOff>33211</xdr:rowOff>
    </xdr:from>
    <xdr:ext cx="157842" cy="157842"/>
    <xdr:pic macro="[0]!DeleteSEBusiness">
      <xdr:nvPicPr>
        <xdr:cNvPr id="181" name="btnDelSEABusiness24" hidden="1">
          <a:extLst>
            <a:ext uri="{FF2B5EF4-FFF2-40B4-BE49-F238E27FC236}">
              <a16:creationId xmlns:a16="http://schemas.microsoft.com/office/drawing/2014/main" id="{254537AF-CDFB-415B-82DE-DD9198404F2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395786"/>
          <a:ext cx="157842" cy="157842"/>
        </a:xfrm>
        <a:prstGeom prst="rect">
          <a:avLst/>
        </a:prstGeom>
      </xdr:spPr>
    </xdr:pic>
    <xdr:clientData fPrintsWithSheet="0"/>
  </xdr:oneCellAnchor>
  <xdr:oneCellAnchor>
    <xdr:from>
      <xdr:col>1</xdr:col>
      <xdr:colOff>323850</xdr:colOff>
      <xdr:row>47</xdr:row>
      <xdr:rowOff>33211</xdr:rowOff>
    </xdr:from>
    <xdr:ext cx="154134" cy="154134"/>
    <xdr:pic macro="[0]!AddEditSEBusiness">
      <xdr:nvPicPr>
        <xdr:cNvPr id="180" name="btnEditSEABusiness24" hidden="1">
          <a:extLst>
            <a:ext uri="{FF2B5EF4-FFF2-40B4-BE49-F238E27FC236}">
              <a16:creationId xmlns:a16="http://schemas.microsoft.com/office/drawing/2014/main" id="{ACF7B79D-8A48-4206-9C7A-750D6A9A2D9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395786"/>
          <a:ext cx="154134" cy="154134"/>
        </a:xfrm>
        <a:prstGeom prst="rect">
          <a:avLst/>
        </a:prstGeom>
      </xdr:spPr>
    </xdr:pic>
    <xdr:clientData fPrintsWithSheet="0"/>
  </xdr:oneCellAnchor>
  <xdr:oneCellAnchor>
    <xdr:from>
      <xdr:col>1</xdr:col>
      <xdr:colOff>504915</xdr:colOff>
      <xdr:row>48</xdr:row>
      <xdr:rowOff>33683</xdr:rowOff>
    </xdr:from>
    <xdr:ext cx="157842" cy="157842"/>
    <xdr:pic macro="[0]!DeleteSEBusiness">
      <xdr:nvPicPr>
        <xdr:cNvPr id="183" name="btnDelSEABusiness25" hidden="1">
          <a:extLst>
            <a:ext uri="{FF2B5EF4-FFF2-40B4-BE49-F238E27FC236}">
              <a16:creationId xmlns:a16="http://schemas.microsoft.com/office/drawing/2014/main" id="{521BC35D-6886-4DEF-B4BF-5E3480A2938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634383"/>
          <a:ext cx="157842" cy="157842"/>
        </a:xfrm>
        <a:prstGeom prst="rect">
          <a:avLst/>
        </a:prstGeom>
      </xdr:spPr>
    </xdr:pic>
    <xdr:clientData fPrintsWithSheet="0"/>
  </xdr:oneCellAnchor>
  <xdr:oneCellAnchor>
    <xdr:from>
      <xdr:col>1</xdr:col>
      <xdr:colOff>323850</xdr:colOff>
      <xdr:row>48</xdr:row>
      <xdr:rowOff>33683</xdr:rowOff>
    </xdr:from>
    <xdr:ext cx="154134" cy="154134"/>
    <xdr:pic macro="[0]!AddEditSEBusiness">
      <xdr:nvPicPr>
        <xdr:cNvPr id="182" name="btnEditSEABusiness25" hidden="1">
          <a:extLst>
            <a:ext uri="{FF2B5EF4-FFF2-40B4-BE49-F238E27FC236}">
              <a16:creationId xmlns:a16="http://schemas.microsoft.com/office/drawing/2014/main" id="{C1C851D9-7DCD-459F-9C6A-D8976E91581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634383"/>
          <a:ext cx="154134" cy="154134"/>
        </a:xfrm>
        <a:prstGeom prst="rect">
          <a:avLst/>
        </a:prstGeom>
      </xdr:spPr>
    </xdr:pic>
    <xdr:clientData fPrintsWithSheet="0"/>
  </xdr:oneCellAnchor>
  <xdr:oneCellAnchor>
    <xdr:from>
      <xdr:col>1</xdr:col>
      <xdr:colOff>504915</xdr:colOff>
      <xdr:row>49</xdr:row>
      <xdr:rowOff>34155</xdr:rowOff>
    </xdr:from>
    <xdr:ext cx="157842" cy="157842"/>
    <xdr:pic macro="[0]!DeleteSEBusiness">
      <xdr:nvPicPr>
        <xdr:cNvPr id="185" name="btnDelSEABusiness26" hidden="1">
          <a:extLst>
            <a:ext uri="{FF2B5EF4-FFF2-40B4-BE49-F238E27FC236}">
              <a16:creationId xmlns:a16="http://schemas.microsoft.com/office/drawing/2014/main" id="{9AE434F8-C28C-476A-A856-A8B4E58037A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872980"/>
          <a:ext cx="157842" cy="157842"/>
        </a:xfrm>
        <a:prstGeom prst="rect">
          <a:avLst/>
        </a:prstGeom>
      </xdr:spPr>
    </xdr:pic>
    <xdr:clientData fPrintsWithSheet="0"/>
  </xdr:oneCellAnchor>
  <xdr:oneCellAnchor>
    <xdr:from>
      <xdr:col>1</xdr:col>
      <xdr:colOff>323850</xdr:colOff>
      <xdr:row>49</xdr:row>
      <xdr:rowOff>34155</xdr:rowOff>
    </xdr:from>
    <xdr:ext cx="154134" cy="154134"/>
    <xdr:pic macro="[0]!AddEditSEBusiness">
      <xdr:nvPicPr>
        <xdr:cNvPr id="184" name="btnEditSEABusiness26" hidden="1">
          <a:extLst>
            <a:ext uri="{FF2B5EF4-FFF2-40B4-BE49-F238E27FC236}">
              <a16:creationId xmlns:a16="http://schemas.microsoft.com/office/drawing/2014/main" id="{D6A64C59-A968-432C-BD98-73590560E3A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872980"/>
          <a:ext cx="154134" cy="154134"/>
        </a:xfrm>
        <a:prstGeom prst="rect">
          <a:avLst/>
        </a:prstGeom>
      </xdr:spPr>
    </xdr:pic>
    <xdr:clientData fPrintsWithSheet="0"/>
  </xdr:oneCellAnchor>
  <xdr:oneCellAnchor>
    <xdr:from>
      <xdr:col>1</xdr:col>
      <xdr:colOff>504915</xdr:colOff>
      <xdr:row>50</xdr:row>
      <xdr:rowOff>34627</xdr:rowOff>
    </xdr:from>
    <xdr:ext cx="157842" cy="157842"/>
    <xdr:pic macro="[0]!DeleteSEBusiness">
      <xdr:nvPicPr>
        <xdr:cNvPr id="187" name="btnDelSEABusiness27" hidden="1">
          <a:extLst>
            <a:ext uri="{FF2B5EF4-FFF2-40B4-BE49-F238E27FC236}">
              <a16:creationId xmlns:a16="http://schemas.microsoft.com/office/drawing/2014/main" id="{984162AE-AF19-42AB-B89D-96DB6183E0E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6111577"/>
          <a:ext cx="157842" cy="157842"/>
        </a:xfrm>
        <a:prstGeom prst="rect">
          <a:avLst/>
        </a:prstGeom>
      </xdr:spPr>
    </xdr:pic>
    <xdr:clientData fPrintsWithSheet="0"/>
  </xdr:oneCellAnchor>
  <xdr:oneCellAnchor>
    <xdr:from>
      <xdr:col>1</xdr:col>
      <xdr:colOff>323850</xdr:colOff>
      <xdr:row>50</xdr:row>
      <xdr:rowOff>34627</xdr:rowOff>
    </xdr:from>
    <xdr:ext cx="154134" cy="154134"/>
    <xdr:pic macro="[0]!AddEditSEBusiness">
      <xdr:nvPicPr>
        <xdr:cNvPr id="186" name="btnEditSEABusiness27" hidden="1">
          <a:extLst>
            <a:ext uri="{FF2B5EF4-FFF2-40B4-BE49-F238E27FC236}">
              <a16:creationId xmlns:a16="http://schemas.microsoft.com/office/drawing/2014/main" id="{B42E9C13-B79C-4562-BD04-1E6A4BB3EB3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6111577"/>
          <a:ext cx="154134" cy="154134"/>
        </a:xfrm>
        <a:prstGeom prst="rect">
          <a:avLst/>
        </a:prstGeom>
      </xdr:spPr>
    </xdr:pic>
    <xdr:clientData fPrintsWithSheet="0"/>
  </xdr:oneCellAnchor>
  <xdr:oneCellAnchor>
    <xdr:from>
      <xdr:col>1</xdr:col>
      <xdr:colOff>504915</xdr:colOff>
      <xdr:row>51</xdr:row>
      <xdr:rowOff>35099</xdr:rowOff>
    </xdr:from>
    <xdr:ext cx="157842" cy="157842"/>
    <xdr:pic macro="[0]!DeleteSEBusiness">
      <xdr:nvPicPr>
        <xdr:cNvPr id="189" name="btnDelSEABusiness28" hidden="1">
          <a:extLst>
            <a:ext uri="{FF2B5EF4-FFF2-40B4-BE49-F238E27FC236}">
              <a16:creationId xmlns:a16="http://schemas.microsoft.com/office/drawing/2014/main" id="{58A94200-FBBA-44DB-9286-2C0A3EA9882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6350174"/>
          <a:ext cx="157842" cy="157842"/>
        </a:xfrm>
        <a:prstGeom prst="rect">
          <a:avLst/>
        </a:prstGeom>
      </xdr:spPr>
    </xdr:pic>
    <xdr:clientData fPrintsWithSheet="0"/>
  </xdr:oneCellAnchor>
  <xdr:oneCellAnchor>
    <xdr:from>
      <xdr:col>1</xdr:col>
      <xdr:colOff>323850</xdr:colOff>
      <xdr:row>51</xdr:row>
      <xdr:rowOff>35099</xdr:rowOff>
    </xdr:from>
    <xdr:ext cx="154134" cy="154134"/>
    <xdr:pic macro="[0]!AddEditSEBusiness">
      <xdr:nvPicPr>
        <xdr:cNvPr id="188" name="btnEditSEABusiness28" hidden="1">
          <a:extLst>
            <a:ext uri="{FF2B5EF4-FFF2-40B4-BE49-F238E27FC236}">
              <a16:creationId xmlns:a16="http://schemas.microsoft.com/office/drawing/2014/main" id="{FB26CE29-7207-45DA-A5DD-D26ADCAD518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6350174"/>
          <a:ext cx="154134" cy="154134"/>
        </a:xfrm>
        <a:prstGeom prst="rect">
          <a:avLst/>
        </a:prstGeom>
      </xdr:spPr>
    </xdr:pic>
    <xdr:clientData fPrintsWithSheet="0"/>
  </xdr:oneCellAnchor>
  <xdr:oneCellAnchor>
    <xdr:from>
      <xdr:col>1</xdr:col>
      <xdr:colOff>504915</xdr:colOff>
      <xdr:row>52</xdr:row>
      <xdr:rowOff>35571</xdr:rowOff>
    </xdr:from>
    <xdr:ext cx="157842" cy="157842"/>
    <xdr:pic macro="[0]!DeleteSEBusiness">
      <xdr:nvPicPr>
        <xdr:cNvPr id="191" name="btnDelSEABusiness29" hidden="1">
          <a:extLst>
            <a:ext uri="{FF2B5EF4-FFF2-40B4-BE49-F238E27FC236}">
              <a16:creationId xmlns:a16="http://schemas.microsoft.com/office/drawing/2014/main" id="{BE76921A-FF6E-4BDE-995C-6DA770A06F6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6588771"/>
          <a:ext cx="157842" cy="157842"/>
        </a:xfrm>
        <a:prstGeom prst="rect">
          <a:avLst/>
        </a:prstGeom>
      </xdr:spPr>
    </xdr:pic>
    <xdr:clientData fPrintsWithSheet="0"/>
  </xdr:oneCellAnchor>
  <xdr:oneCellAnchor>
    <xdr:from>
      <xdr:col>1</xdr:col>
      <xdr:colOff>323850</xdr:colOff>
      <xdr:row>52</xdr:row>
      <xdr:rowOff>35571</xdr:rowOff>
    </xdr:from>
    <xdr:ext cx="154134" cy="154134"/>
    <xdr:pic macro="[0]!AddEditSEBusiness">
      <xdr:nvPicPr>
        <xdr:cNvPr id="190" name="btnEditSEABusiness29" hidden="1">
          <a:extLst>
            <a:ext uri="{FF2B5EF4-FFF2-40B4-BE49-F238E27FC236}">
              <a16:creationId xmlns:a16="http://schemas.microsoft.com/office/drawing/2014/main" id="{9AA4100C-CDB9-41EC-A23F-1C7EC64C969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6588771"/>
          <a:ext cx="154134" cy="154134"/>
        </a:xfrm>
        <a:prstGeom prst="rect">
          <a:avLst/>
        </a:prstGeom>
      </xdr:spPr>
    </xdr:pic>
    <xdr:clientData fPrintsWithSheet="0"/>
  </xdr:oneCellAnchor>
  <xdr:oneCellAnchor>
    <xdr:from>
      <xdr:col>1</xdr:col>
      <xdr:colOff>504915</xdr:colOff>
      <xdr:row>53</xdr:row>
      <xdr:rowOff>36043</xdr:rowOff>
    </xdr:from>
    <xdr:ext cx="157842" cy="157842"/>
    <xdr:pic macro="[0]!DeleteSEBusiness">
      <xdr:nvPicPr>
        <xdr:cNvPr id="193" name="btnDelSEABusiness30" hidden="1">
          <a:extLst>
            <a:ext uri="{FF2B5EF4-FFF2-40B4-BE49-F238E27FC236}">
              <a16:creationId xmlns:a16="http://schemas.microsoft.com/office/drawing/2014/main" id="{0BB4C9DD-9FCB-442C-B338-526FDFC9886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6827368"/>
          <a:ext cx="157842" cy="157842"/>
        </a:xfrm>
        <a:prstGeom prst="rect">
          <a:avLst/>
        </a:prstGeom>
      </xdr:spPr>
    </xdr:pic>
    <xdr:clientData fPrintsWithSheet="0"/>
  </xdr:oneCellAnchor>
  <xdr:oneCellAnchor>
    <xdr:from>
      <xdr:col>1</xdr:col>
      <xdr:colOff>323850</xdr:colOff>
      <xdr:row>53</xdr:row>
      <xdr:rowOff>36043</xdr:rowOff>
    </xdr:from>
    <xdr:ext cx="154134" cy="154134"/>
    <xdr:pic macro="[0]!AddEditSEBusiness">
      <xdr:nvPicPr>
        <xdr:cNvPr id="192" name="btnEditSEABusiness30" hidden="1">
          <a:extLst>
            <a:ext uri="{FF2B5EF4-FFF2-40B4-BE49-F238E27FC236}">
              <a16:creationId xmlns:a16="http://schemas.microsoft.com/office/drawing/2014/main" id="{757F88E1-C82A-4C50-9B5F-E746C32FE74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6827368"/>
          <a:ext cx="154134" cy="154134"/>
        </a:xfrm>
        <a:prstGeom prst="rect">
          <a:avLst/>
        </a:prstGeom>
      </xdr:spPr>
    </xdr:pic>
    <xdr:clientData fPrintsWithSheet="0"/>
  </xdr:oneCellAnchor>
  <xdr:oneCellAnchor>
    <xdr:from>
      <xdr:col>1</xdr:col>
      <xdr:colOff>504915</xdr:colOff>
      <xdr:row>54</xdr:row>
      <xdr:rowOff>36515</xdr:rowOff>
    </xdr:from>
    <xdr:ext cx="157842" cy="157842"/>
    <xdr:pic macro="[0]!DeleteSEBusiness">
      <xdr:nvPicPr>
        <xdr:cNvPr id="195" name="btnDelSEABusiness31" hidden="1">
          <a:extLst>
            <a:ext uri="{FF2B5EF4-FFF2-40B4-BE49-F238E27FC236}">
              <a16:creationId xmlns:a16="http://schemas.microsoft.com/office/drawing/2014/main" id="{2ED7FC14-2102-49D7-B935-616E01B288B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7065965"/>
          <a:ext cx="157842" cy="157842"/>
        </a:xfrm>
        <a:prstGeom prst="rect">
          <a:avLst/>
        </a:prstGeom>
      </xdr:spPr>
    </xdr:pic>
    <xdr:clientData fPrintsWithSheet="0"/>
  </xdr:oneCellAnchor>
  <xdr:oneCellAnchor>
    <xdr:from>
      <xdr:col>1</xdr:col>
      <xdr:colOff>323850</xdr:colOff>
      <xdr:row>54</xdr:row>
      <xdr:rowOff>36515</xdr:rowOff>
    </xdr:from>
    <xdr:ext cx="154134" cy="154134"/>
    <xdr:pic macro="[0]!AddEditSEBusiness">
      <xdr:nvPicPr>
        <xdr:cNvPr id="194" name="btnEditSEABusiness31" hidden="1">
          <a:extLst>
            <a:ext uri="{FF2B5EF4-FFF2-40B4-BE49-F238E27FC236}">
              <a16:creationId xmlns:a16="http://schemas.microsoft.com/office/drawing/2014/main" id="{161ADBA0-4E85-41F5-9120-6EA3962175D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7065965"/>
          <a:ext cx="154134" cy="154134"/>
        </a:xfrm>
        <a:prstGeom prst="rect">
          <a:avLst/>
        </a:prstGeom>
      </xdr:spPr>
    </xdr:pic>
    <xdr:clientData fPrintsWithSheet="0"/>
  </xdr:oneCellAnchor>
  <xdr:oneCellAnchor>
    <xdr:from>
      <xdr:col>1</xdr:col>
      <xdr:colOff>504915</xdr:colOff>
      <xdr:row>55</xdr:row>
      <xdr:rowOff>36987</xdr:rowOff>
    </xdr:from>
    <xdr:ext cx="157842" cy="157842"/>
    <xdr:pic macro="[0]!DeleteSEBusiness">
      <xdr:nvPicPr>
        <xdr:cNvPr id="197" name="btnDelSEABusiness32" hidden="1">
          <a:extLst>
            <a:ext uri="{FF2B5EF4-FFF2-40B4-BE49-F238E27FC236}">
              <a16:creationId xmlns:a16="http://schemas.microsoft.com/office/drawing/2014/main" id="{4B298FF1-2669-4F6F-B157-DDCA4F6EA3A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7304562"/>
          <a:ext cx="157842" cy="157842"/>
        </a:xfrm>
        <a:prstGeom prst="rect">
          <a:avLst/>
        </a:prstGeom>
      </xdr:spPr>
    </xdr:pic>
    <xdr:clientData fPrintsWithSheet="0"/>
  </xdr:oneCellAnchor>
  <xdr:oneCellAnchor>
    <xdr:from>
      <xdr:col>1</xdr:col>
      <xdr:colOff>323850</xdr:colOff>
      <xdr:row>55</xdr:row>
      <xdr:rowOff>36987</xdr:rowOff>
    </xdr:from>
    <xdr:ext cx="154134" cy="154134"/>
    <xdr:pic macro="[0]!AddEditSEBusiness">
      <xdr:nvPicPr>
        <xdr:cNvPr id="196" name="btnEditSEABusiness32" hidden="1">
          <a:extLst>
            <a:ext uri="{FF2B5EF4-FFF2-40B4-BE49-F238E27FC236}">
              <a16:creationId xmlns:a16="http://schemas.microsoft.com/office/drawing/2014/main" id="{8A5924B0-B601-46A7-A661-F4B5FCFCF1E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7304562"/>
          <a:ext cx="154134" cy="154134"/>
        </a:xfrm>
        <a:prstGeom prst="rect">
          <a:avLst/>
        </a:prstGeom>
      </xdr:spPr>
    </xdr:pic>
    <xdr:clientData fPrintsWithSheet="0"/>
  </xdr:oneCellAnchor>
  <xdr:oneCellAnchor>
    <xdr:from>
      <xdr:col>1</xdr:col>
      <xdr:colOff>504915</xdr:colOff>
      <xdr:row>56</xdr:row>
      <xdr:rowOff>37459</xdr:rowOff>
    </xdr:from>
    <xdr:ext cx="157842" cy="157842"/>
    <xdr:pic macro="[0]!DeleteSEBusiness">
      <xdr:nvPicPr>
        <xdr:cNvPr id="199" name="btnDelSEABusiness33" hidden="1">
          <a:extLst>
            <a:ext uri="{FF2B5EF4-FFF2-40B4-BE49-F238E27FC236}">
              <a16:creationId xmlns:a16="http://schemas.microsoft.com/office/drawing/2014/main" id="{3207C819-ED03-4DB1-9969-46C056E648C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7543159"/>
          <a:ext cx="157842" cy="157842"/>
        </a:xfrm>
        <a:prstGeom prst="rect">
          <a:avLst/>
        </a:prstGeom>
      </xdr:spPr>
    </xdr:pic>
    <xdr:clientData fPrintsWithSheet="0"/>
  </xdr:oneCellAnchor>
  <xdr:oneCellAnchor>
    <xdr:from>
      <xdr:col>1</xdr:col>
      <xdr:colOff>323850</xdr:colOff>
      <xdr:row>56</xdr:row>
      <xdr:rowOff>37459</xdr:rowOff>
    </xdr:from>
    <xdr:ext cx="154134" cy="154134"/>
    <xdr:pic macro="[0]!AddEditSEBusiness">
      <xdr:nvPicPr>
        <xdr:cNvPr id="198" name="btnEditSEABusiness33" hidden="1">
          <a:extLst>
            <a:ext uri="{FF2B5EF4-FFF2-40B4-BE49-F238E27FC236}">
              <a16:creationId xmlns:a16="http://schemas.microsoft.com/office/drawing/2014/main" id="{2A817187-12F4-4BE5-BCF1-DC4EFCC28E1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7543159"/>
          <a:ext cx="154134" cy="154134"/>
        </a:xfrm>
        <a:prstGeom prst="rect">
          <a:avLst/>
        </a:prstGeom>
      </xdr:spPr>
    </xdr:pic>
    <xdr:clientData fPrintsWithSheet="0"/>
  </xdr:oneCellAnchor>
  <xdr:oneCellAnchor>
    <xdr:from>
      <xdr:col>1</xdr:col>
      <xdr:colOff>504915</xdr:colOff>
      <xdr:row>57</xdr:row>
      <xdr:rowOff>37931</xdr:rowOff>
    </xdr:from>
    <xdr:ext cx="157842" cy="157842"/>
    <xdr:pic macro="[0]!DeleteSEBusiness">
      <xdr:nvPicPr>
        <xdr:cNvPr id="201" name="btnDelSEABusiness34" hidden="1">
          <a:extLst>
            <a:ext uri="{FF2B5EF4-FFF2-40B4-BE49-F238E27FC236}">
              <a16:creationId xmlns:a16="http://schemas.microsoft.com/office/drawing/2014/main" id="{BB704B5A-5F9A-42F9-8CC7-AA672E57E64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7781756"/>
          <a:ext cx="157842" cy="157842"/>
        </a:xfrm>
        <a:prstGeom prst="rect">
          <a:avLst/>
        </a:prstGeom>
      </xdr:spPr>
    </xdr:pic>
    <xdr:clientData fPrintsWithSheet="0"/>
  </xdr:oneCellAnchor>
  <xdr:oneCellAnchor>
    <xdr:from>
      <xdr:col>1</xdr:col>
      <xdr:colOff>323850</xdr:colOff>
      <xdr:row>57</xdr:row>
      <xdr:rowOff>37931</xdr:rowOff>
    </xdr:from>
    <xdr:ext cx="154134" cy="154134"/>
    <xdr:pic macro="[0]!AddEditSEBusiness">
      <xdr:nvPicPr>
        <xdr:cNvPr id="200" name="btnEditSEABusiness34" hidden="1">
          <a:extLst>
            <a:ext uri="{FF2B5EF4-FFF2-40B4-BE49-F238E27FC236}">
              <a16:creationId xmlns:a16="http://schemas.microsoft.com/office/drawing/2014/main" id="{B871A4BF-A483-4C1C-88F7-B6194CCB667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7781756"/>
          <a:ext cx="154134" cy="154134"/>
        </a:xfrm>
        <a:prstGeom prst="rect">
          <a:avLst/>
        </a:prstGeom>
      </xdr:spPr>
    </xdr:pic>
    <xdr:clientData fPrintsWithSheet="0"/>
  </xdr:oneCellAnchor>
  <xdr:oneCellAnchor>
    <xdr:from>
      <xdr:col>1</xdr:col>
      <xdr:colOff>504915</xdr:colOff>
      <xdr:row>58</xdr:row>
      <xdr:rowOff>38403</xdr:rowOff>
    </xdr:from>
    <xdr:ext cx="157842" cy="157842"/>
    <xdr:pic macro="[0]!DeleteSEBusiness">
      <xdr:nvPicPr>
        <xdr:cNvPr id="203" name="btnDelSEABusiness35" hidden="1">
          <a:extLst>
            <a:ext uri="{FF2B5EF4-FFF2-40B4-BE49-F238E27FC236}">
              <a16:creationId xmlns:a16="http://schemas.microsoft.com/office/drawing/2014/main" id="{E2D55C51-430B-4127-AA7E-661B54526C5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020353"/>
          <a:ext cx="157842" cy="157842"/>
        </a:xfrm>
        <a:prstGeom prst="rect">
          <a:avLst/>
        </a:prstGeom>
      </xdr:spPr>
    </xdr:pic>
    <xdr:clientData fPrintsWithSheet="0"/>
  </xdr:oneCellAnchor>
  <xdr:oneCellAnchor>
    <xdr:from>
      <xdr:col>1</xdr:col>
      <xdr:colOff>323850</xdr:colOff>
      <xdr:row>58</xdr:row>
      <xdr:rowOff>38403</xdr:rowOff>
    </xdr:from>
    <xdr:ext cx="154134" cy="154134"/>
    <xdr:pic macro="[0]!AddEditSEBusiness">
      <xdr:nvPicPr>
        <xdr:cNvPr id="202" name="btnEditSEABusiness35" hidden="1">
          <a:extLst>
            <a:ext uri="{FF2B5EF4-FFF2-40B4-BE49-F238E27FC236}">
              <a16:creationId xmlns:a16="http://schemas.microsoft.com/office/drawing/2014/main" id="{6D6F7262-933F-4EEE-B6C3-8465E65BE53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020353"/>
          <a:ext cx="154134" cy="154134"/>
        </a:xfrm>
        <a:prstGeom prst="rect">
          <a:avLst/>
        </a:prstGeom>
      </xdr:spPr>
    </xdr:pic>
    <xdr:clientData fPrintsWithSheet="0"/>
  </xdr:oneCellAnchor>
  <xdr:oneCellAnchor>
    <xdr:from>
      <xdr:col>1</xdr:col>
      <xdr:colOff>504915</xdr:colOff>
      <xdr:row>59</xdr:row>
      <xdr:rowOff>38875</xdr:rowOff>
    </xdr:from>
    <xdr:ext cx="157842" cy="157842"/>
    <xdr:pic macro="[0]!DeleteSEBusiness">
      <xdr:nvPicPr>
        <xdr:cNvPr id="205" name="btnDelSEABusiness36" hidden="1">
          <a:extLst>
            <a:ext uri="{FF2B5EF4-FFF2-40B4-BE49-F238E27FC236}">
              <a16:creationId xmlns:a16="http://schemas.microsoft.com/office/drawing/2014/main" id="{407E0EC5-BA94-48C5-994C-EE148F596DD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258950"/>
          <a:ext cx="157842" cy="157842"/>
        </a:xfrm>
        <a:prstGeom prst="rect">
          <a:avLst/>
        </a:prstGeom>
      </xdr:spPr>
    </xdr:pic>
    <xdr:clientData fPrintsWithSheet="0"/>
  </xdr:oneCellAnchor>
  <xdr:oneCellAnchor>
    <xdr:from>
      <xdr:col>1</xdr:col>
      <xdr:colOff>323850</xdr:colOff>
      <xdr:row>59</xdr:row>
      <xdr:rowOff>38875</xdr:rowOff>
    </xdr:from>
    <xdr:ext cx="154134" cy="154134"/>
    <xdr:pic macro="[0]!AddEditSEBusiness">
      <xdr:nvPicPr>
        <xdr:cNvPr id="204" name="btnEditSEABusiness36" hidden="1">
          <a:extLst>
            <a:ext uri="{FF2B5EF4-FFF2-40B4-BE49-F238E27FC236}">
              <a16:creationId xmlns:a16="http://schemas.microsoft.com/office/drawing/2014/main" id="{C1BD95F1-FB3A-408D-BED7-DA484C28EC2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258950"/>
          <a:ext cx="154134" cy="154134"/>
        </a:xfrm>
        <a:prstGeom prst="rect">
          <a:avLst/>
        </a:prstGeom>
      </xdr:spPr>
    </xdr:pic>
    <xdr:clientData fPrintsWithSheet="0"/>
  </xdr:oneCellAnchor>
  <xdr:oneCellAnchor>
    <xdr:from>
      <xdr:col>1</xdr:col>
      <xdr:colOff>504915</xdr:colOff>
      <xdr:row>60</xdr:row>
      <xdr:rowOff>39347</xdr:rowOff>
    </xdr:from>
    <xdr:ext cx="157842" cy="157842"/>
    <xdr:pic macro="[0]!DeleteSEBusiness">
      <xdr:nvPicPr>
        <xdr:cNvPr id="207" name="btnDelSEABusiness37" hidden="1">
          <a:extLst>
            <a:ext uri="{FF2B5EF4-FFF2-40B4-BE49-F238E27FC236}">
              <a16:creationId xmlns:a16="http://schemas.microsoft.com/office/drawing/2014/main" id="{063A921B-4425-4B6F-A90A-F295F333FEF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497547"/>
          <a:ext cx="157842" cy="157842"/>
        </a:xfrm>
        <a:prstGeom prst="rect">
          <a:avLst/>
        </a:prstGeom>
      </xdr:spPr>
    </xdr:pic>
    <xdr:clientData fPrintsWithSheet="0"/>
  </xdr:oneCellAnchor>
  <xdr:oneCellAnchor>
    <xdr:from>
      <xdr:col>1</xdr:col>
      <xdr:colOff>323850</xdr:colOff>
      <xdr:row>60</xdr:row>
      <xdr:rowOff>39347</xdr:rowOff>
    </xdr:from>
    <xdr:ext cx="154134" cy="154134"/>
    <xdr:pic macro="[0]!AddEditSEBusiness">
      <xdr:nvPicPr>
        <xdr:cNvPr id="206" name="btnEditSEABusiness37" hidden="1">
          <a:extLst>
            <a:ext uri="{FF2B5EF4-FFF2-40B4-BE49-F238E27FC236}">
              <a16:creationId xmlns:a16="http://schemas.microsoft.com/office/drawing/2014/main" id="{8BB4B91D-1F1A-4F09-B046-E885C07F771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497547"/>
          <a:ext cx="154134" cy="154134"/>
        </a:xfrm>
        <a:prstGeom prst="rect">
          <a:avLst/>
        </a:prstGeom>
      </xdr:spPr>
    </xdr:pic>
    <xdr:clientData fPrintsWithSheet="0"/>
  </xdr:oneCellAnchor>
  <xdr:oneCellAnchor>
    <xdr:from>
      <xdr:col>1</xdr:col>
      <xdr:colOff>504915</xdr:colOff>
      <xdr:row>61</xdr:row>
      <xdr:rowOff>39819</xdr:rowOff>
    </xdr:from>
    <xdr:ext cx="157842" cy="157842"/>
    <xdr:pic macro="[0]!DeleteSEBusiness">
      <xdr:nvPicPr>
        <xdr:cNvPr id="209" name="btnDelSEABusiness38" hidden="1">
          <a:extLst>
            <a:ext uri="{FF2B5EF4-FFF2-40B4-BE49-F238E27FC236}">
              <a16:creationId xmlns:a16="http://schemas.microsoft.com/office/drawing/2014/main" id="{0AD1007D-CE42-49EA-8F6D-F3C7A7038E3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736144"/>
          <a:ext cx="157842" cy="157842"/>
        </a:xfrm>
        <a:prstGeom prst="rect">
          <a:avLst/>
        </a:prstGeom>
      </xdr:spPr>
    </xdr:pic>
    <xdr:clientData fPrintsWithSheet="0"/>
  </xdr:oneCellAnchor>
  <xdr:oneCellAnchor>
    <xdr:from>
      <xdr:col>1</xdr:col>
      <xdr:colOff>323850</xdr:colOff>
      <xdr:row>61</xdr:row>
      <xdr:rowOff>39819</xdr:rowOff>
    </xdr:from>
    <xdr:ext cx="154134" cy="154134"/>
    <xdr:pic macro="[0]!AddEditSEBusiness">
      <xdr:nvPicPr>
        <xdr:cNvPr id="208" name="btnEditSEABusiness38" hidden="1">
          <a:extLst>
            <a:ext uri="{FF2B5EF4-FFF2-40B4-BE49-F238E27FC236}">
              <a16:creationId xmlns:a16="http://schemas.microsoft.com/office/drawing/2014/main" id="{8B109B2F-C2DE-48F1-A0EB-D5B13275515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736144"/>
          <a:ext cx="154134" cy="154134"/>
        </a:xfrm>
        <a:prstGeom prst="rect">
          <a:avLst/>
        </a:prstGeom>
      </xdr:spPr>
    </xdr:pic>
    <xdr:clientData fPrintsWithSheet="0"/>
  </xdr:oneCellAnchor>
  <xdr:oneCellAnchor>
    <xdr:from>
      <xdr:col>1</xdr:col>
      <xdr:colOff>504915</xdr:colOff>
      <xdr:row>62</xdr:row>
      <xdr:rowOff>40291</xdr:rowOff>
    </xdr:from>
    <xdr:ext cx="157842" cy="157842"/>
    <xdr:pic macro="[0]!DeleteSEBusiness">
      <xdr:nvPicPr>
        <xdr:cNvPr id="211" name="btnDelSEABusiness39" hidden="1">
          <a:extLst>
            <a:ext uri="{FF2B5EF4-FFF2-40B4-BE49-F238E27FC236}">
              <a16:creationId xmlns:a16="http://schemas.microsoft.com/office/drawing/2014/main" id="{AEF6A17E-6E9F-4A56-9A00-79E5860B2A6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974741"/>
          <a:ext cx="157842" cy="157842"/>
        </a:xfrm>
        <a:prstGeom prst="rect">
          <a:avLst/>
        </a:prstGeom>
      </xdr:spPr>
    </xdr:pic>
    <xdr:clientData fPrintsWithSheet="0"/>
  </xdr:oneCellAnchor>
  <xdr:oneCellAnchor>
    <xdr:from>
      <xdr:col>1</xdr:col>
      <xdr:colOff>323850</xdr:colOff>
      <xdr:row>62</xdr:row>
      <xdr:rowOff>40291</xdr:rowOff>
    </xdr:from>
    <xdr:ext cx="154134" cy="154134"/>
    <xdr:pic macro="[0]!AddEditSEBusiness">
      <xdr:nvPicPr>
        <xdr:cNvPr id="210" name="btnEditSEABusiness39" hidden="1">
          <a:extLst>
            <a:ext uri="{FF2B5EF4-FFF2-40B4-BE49-F238E27FC236}">
              <a16:creationId xmlns:a16="http://schemas.microsoft.com/office/drawing/2014/main" id="{A6AE265C-A300-4859-854E-35165DBD90D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974741"/>
          <a:ext cx="154134" cy="154134"/>
        </a:xfrm>
        <a:prstGeom prst="rect">
          <a:avLst/>
        </a:prstGeom>
      </xdr:spPr>
    </xdr:pic>
    <xdr:clientData fPrintsWithSheet="0"/>
  </xdr:oneCellAnchor>
  <xdr:oneCellAnchor>
    <xdr:from>
      <xdr:col>1</xdr:col>
      <xdr:colOff>504915</xdr:colOff>
      <xdr:row>63</xdr:row>
      <xdr:rowOff>40763</xdr:rowOff>
    </xdr:from>
    <xdr:ext cx="157842" cy="157842"/>
    <xdr:pic macro="[0]!DeleteSEBusiness">
      <xdr:nvPicPr>
        <xdr:cNvPr id="213" name="btnDelSEABusiness40" hidden="1">
          <a:extLst>
            <a:ext uri="{FF2B5EF4-FFF2-40B4-BE49-F238E27FC236}">
              <a16:creationId xmlns:a16="http://schemas.microsoft.com/office/drawing/2014/main" id="{AC66DC5D-D56A-4122-B935-BD4EB54A34F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9213338"/>
          <a:ext cx="157842" cy="157842"/>
        </a:xfrm>
        <a:prstGeom prst="rect">
          <a:avLst/>
        </a:prstGeom>
      </xdr:spPr>
    </xdr:pic>
    <xdr:clientData fPrintsWithSheet="0"/>
  </xdr:oneCellAnchor>
  <xdr:oneCellAnchor>
    <xdr:from>
      <xdr:col>1</xdr:col>
      <xdr:colOff>323850</xdr:colOff>
      <xdr:row>63</xdr:row>
      <xdr:rowOff>40763</xdr:rowOff>
    </xdr:from>
    <xdr:ext cx="154134" cy="154134"/>
    <xdr:pic macro="[0]!AddEditSEBusiness">
      <xdr:nvPicPr>
        <xdr:cNvPr id="212" name="btnEditSEABusiness40" hidden="1">
          <a:extLst>
            <a:ext uri="{FF2B5EF4-FFF2-40B4-BE49-F238E27FC236}">
              <a16:creationId xmlns:a16="http://schemas.microsoft.com/office/drawing/2014/main" id="{261D7F76-038A-4C0A-9DCD-99269EE2194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9213338"/>
          <a:ext cx="154134" cy="154134"/>
        </a:xfrm>
        <a:prstGeom prst="rect">
          <a:avLst/>
        </a:prstGeom>
      </xdr:spPr>
    </xdr:pic>
    <xdr:clientData fPrintsWithSheet="0"/>
  </xdr:oneCellAnchor>
  <xdr:oneCellAnchor>
    <xdr:from>
      <xdr:col>1</xdr:col>
      <xdr:colOff>504915</xdr:colOff>
      <xdr:row>64</xdr:row>
      <xdr:rowOff>41235</xdr:rowOff>
    </xdr:from>
    <xdr:ext cx="157842" cy="157842"/>
    <xdr:pic macro="[0]!DeleteSEBusiness">
      <xdr:nvPicPr>
        <xdr:cNvPr id="215" name="btnDelSEABusiness41" hidden="1">
          <a:extLst>
            <a:ext uri="{FF2B5EF4-FFF2-40B4-BE49-F238E27FC236}">
              <a16:creationId xmlns:a16="http://schemas.microsoft.com/office/drawing/2014/main" id="{D638A9C7-87BE-44FE-A86D-24379CDF951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9451935"/>
          <a:ext cx="157842" cy="157842"/>
        </a:xfrm>
        <a:prstGeom prst="rect">
          <a:avLst/>
        </a:prstGeom>
      </xdr:spPr>
    </xdr:pic>
    <xdr:clientData fPrintsWithSheet="0"/>
  </xdr:oneCellAnchor>
  <xdr:oneCellAnchor>
    <xdr:from>
      <xdr:col>1</xdr:col>
      <xdr:colOff>323850</xdr:colOff>
      <xdr:row>64</xdr:row>
      <xdr:rowOff>41235</xdr:rowOff>
    </xdr:from>
    <xdr:ext cx="154134" cy="154134"/>
    <xdr:pic macro="[0]!AddEditSEBusiness">
      <xdr:nvPicPr>
        <xdr:cNvPr id="214" name="btnEditSEABusiness41" hidden="1">
          <a:extLst>
            <a:ext uri="{FF2B5EF4-FFF2-40B4-BE49-F238E27FC236}">
              <a16:creationId xmlns:a16="http://schemas.microsoft.com/office/drawing/2014/main" id="{152851C8-1659-4944-BE6E-EF3A345C02C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9451935"/>
          <a:ext cx="154134" cy="154134"/>
        </a:xfrm>
        <a:prstGeom prst="rect">
          <a:avLst/>
        </a:prstGeom>
      </xdr:spPr>
    </xdr:pic>
    <xdr:clientData fPrintsWithSheet="0"/>
  </xdr:oneCellAnchor>
  <xdr:oneCellAnchor>
    <xdr:from>
      <xdr:col>1</xdr:col>
      <xdr:colOff>504915</xdr:colOff>
      <xdr:row>65</xdr:row>
      <xdr:rowOff>41707</xdr:rowOff>
    </xdr:from>
    <xdr:ext cx="157842" cy="157842"/>
    <xdr:pic macro="[0]!DeleteSEBusiness">
      <xdr:nvPicPr>
        <xdr:cNvPr id="217" name="btnDelSEABusiness42" hidden="1">
          <a:extLst>
            <a:ext uri="{FF2B5EF4-FFF2-40B4-BE49-F238E27FC236}">
              <a16:creationId xmlns:a16="http://schemas.microsoft.com/office/drawing/2014/main" id="{35E3BBB8-BCD6-4950-8174-5E332517BB2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9690532"/>
          <a:ext cx="157842" cy="157842"/>
        </a:xfrm>
        <a:prstGeom prst="rect">
          <a:avLst/>
        </a:prstGeom>
      </xdr:spPr>
    </xdr:pic>
    <xdr:clientData fPrintsWithSheet="0"/>
  </xdr:oneCellAnchor>
  <xdr:oneCellAnchor>
    <xdr:from>
      <xdr:col>1</xdr:col>
      <xdr:colOff>323850</xdr:colOff>
      <xdr:row>65</xdr:row>
      <xdr:rowOff>41707</xdr:rowOff>
    </xdr:from>
    <xdr:ext cx="154134" cy="154134"/>
    <xdr:pic macro="[0]!AddEditSEBusiness">
      <xdr:nvPicPr>
        <xdr:cNvPr id="216" name="btnEditSEABusiness42" hidden="1">
          <a:extLst>
            <a:ext uri="{FF2B5EF4-FFF2-40B4-BE49-F238E27FC236}">
              <a16:creationId xmlns:a16="http://schemas.microsoft.com/office/drawing/2014/main" id="{59DFDDD7-B9CD-4388-AACC-828D82AB367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9690532"/>
          <a:ext cx="154134" cy="154134"/>
        </a:xfrm>
        <a:prstGeom prst="rect">
          <a:avLst/>
        </a:prstGeom>
      </xdr:spPr>
    </xdr:pic>
    <xdr:clientData fPrintsWithSheet="0"/>
  </xdr:oneCellAnchor>
  <xdr:oneCellAnchor>
    <xdr:from>
      <xdr:col>1</xdr:col>
      <xdr:colOff>504915</xdr:colOff>
      <xdr:row>66</xdr:row>
      <xdr:rowOff>42179</xdr:rowOff>
    </xdr:from>
    <xdr:ext cx="157842" cy="157842"/>
    <xdr:pic macro="[0]!DeleteSEBusiness">
      <xdr:nvPicPr>
        <xdr:cNvPr id="219" name="btnDelSEABusiness43" hidden="1">
          <a:extLst>
            <a:ext uri="{FF2B5EF4-FFF2-40B4-BE49-F238E27FC236}">
              <a16:creationId xmlns:a16="http://schemas.microsoft.com/office/drawing/2014/main" id="{4354297C-0D8E-4156-ABAA-321584C33B2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9929129"/>
          <a:ext cx="157842" cy="157842"/>
        </a:xfrm>
        <a:prstGeom prst="rect">
          <a:avLst/>
        </a:prstGeom>
      </xdr:spPr>
    </xdr:pic>
    <xdr:clientData fPrintsWithSheet="0"/>
  </xdr:oneCellAnchor>
  <xdr:oneCellAnchor>
    <xdr:from>
      <xdr:col>1</xdr:col>
      <xdr:colOff>323850</xdr:colOff>
      <xdr:row>66</xdr:row>
      <xdr:rowOff>42179</xdr:rowOff>
    </xdr:from>
    <xdr:ext cx="154134" cy="154134"/>
    <xdr:pic macro="[0]!AddEditSEBusiness">
      <xdr:nvPicPr>
        <xdr:cNvPr id="218" name="btnEditSEABusiness43" hidden="1">
          <a:extLst>
            <a:ext uri="{FF2B5EF4-FFF2-40B4-BE49-F238E27FC236}">
              <a16:creationId xmlns:a16="http://schemas.microsoft.com/office/drawing/2014/main" id="{DB8488FC-C93A-47CD-A048-2C98D221A3D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9929129"/>
          <a:ext cx="154134" cy="154134"/>
        </a:xfrm>
        <a:prstGeom prst="rect">
          <a:avLst/>
        </a:prstGeom>
      </xdr:spPr>
    </xdr:pic>
    <xdr:clientData fPrintsWithSheet="0"/>
  </xdr:oneCellAnchor>
  <xdr:oneCellAnchor>
    <xdr:from>
      <xdr:col>1</xdr:col>
      <xdr:colOff>504915</xdr:colOff>
      <xdr:row>67</xdr:row>
      <xdr:rowOff>42651</xdr:rowOff>
    </xdr:from>
    <xdr:ext cx="157842" cy="157842"/>
    <xdr:pic macro="[0]!DeleteSEBusiness">
      <xdr:nvPicPr>
        <xdr:cNvPr id="221" name="btnDelSEABusiness44" hidden="1">
          <a:extLst>
            <a:ext uri="{FF2B5EF4-FFF2-40B4-BE49-F238E27FC236}">
              <a16:creationId xmlns:a16="http://schemas.microsoft.com/office/drawing/2014/main" id="{11209237-342D-4588-8B6F-8D2C1F5AC99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0167726"/>
          <a:ext cx="157842" cy="157842"/>
        </a:xfrm>
        <a:prstGeom prst="rect">
          <a:avLst/>
        </a:prstGeom>
      </xdr:spPr>
    </xdr:pic>
    <xdr:clientData fPrintsWithSheet="0"/>
  </xdr:oneCellAnchor>
  <xdr:oneCellAnchor>
    <xdr:from>
      <xdr:col>1</xdr:col>
      <xdr:colOff>323850</xdr:colOff>
      <xdr:row>67</xdr:row>
      <xdr:rowOff>42651</xdr:rowOff>
    </xdr:from>
    <xdr:ext cx="154134" cy="154134"/>
    <xdr:pic macro="[0]!AddEditSEBusiness">
      <xdr:nvPicPr>
        <xdr:cNvPr id="220" name="btnEditSEABusiness44" hidden="1">
          <a:extLst>
            <a:ext uri="{FF2B5EF4-FFF2-40B4-BE49-F238E27FC236}">
              <a16:creationId xmlns:a16="http://schemas.microsoft.com/office/drawing/2014/main" id="{697F470D-3C9D-4C04-83AF-3D0A63DFBE3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0167726"/>
          <a:ext cx="154134" cy="154134"/>
        </a:xfrm>
        <a:prstGeom prst="rect">
          <a:avLst/>
        </a:prstGeom>
      </xdr:spPr>
    </xdr:pic>
    <xdr:clientData fPrintsWithSheet="0"/>
  </xdr:oneCellAnchor>
  <xdr:oneCellAnchor>
    <xdr:from>
      <xdr:col>1</xdr:col>
      <xdr:colOff>504915</xdr:colOff>
      <xdr:row>68</xdr:row>
      <xdr:rowOff>43123</xdr:rowOff>
    </xdr:from>
    <xdr:ext cx="157842" cy="157842"/>
    <xdr:pic macro="[0]!DeleteSEBusiness">
      <xdr:nvPicPr>
        <xdr:cNvPr id="223" name="btnDelSEABusiness45" hidden="1">
          <a:extLst>
            <a:ext uri="{FF2B5EF4-FFF2-40B4-BE49-F238E27FC236}">
              <a16:creationId xmlns:a16="http://schemas.microsoft.com/office/drawing/2014/main" id="{8659571F-FA12-4646-B4C1-323755C31D4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0406323"/>
          <a:ext cx="157842" cy="157842"/>
        </a:xfrm>
        <a:prstGeom prst="rect">
          <a:avLst/>
        </a:prstGeom>
      </xdr:spPr>
    </xdr:pic>
    <xdr:clientData fPrintsWithSheet="0"/>
  </xdr:oneCellAnchor>
  <xdr:oneCellAnchor>
    <xdr:from>
      <xdr:col>1</xdr:col>
      <xdr:colOff>323850</xdr:colOff>
      <xdr:row>68</xdr:row>
      <xdr:rowOff>43123</xdr:rowOff>
    </xdr:from>
    <xdr:ext cx="154134" cy="154134"/>
    <xdr:pic macro="[0]!AddEditSEBusiness">
      <xdr:nvPicPr>
        <xdr:cNvPr id="222" name="btnEditSEABusiness45" hidden="1">
          <a:extLst>
            <a:ext uri="{FF2B5EF4-FFF2-40B4-BE49-F238E27FC236}">
              <a16:creationId xmlns:a16="http://schemas.microsoft.com/office/drawing/2014/main" id="{D6B176A1-CD79-469C-A3A2-48206BF969A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0406323"/>
          <a:ext cx="154134" cy="154134"/>
        </a:xfrm>
        <a:prstGeom prst="rect">
          <a:avLst/>
        </a:prstGeom>
      </xdr:spPr>
    </xdr:pic>
    <xdr:clientData fPrintsWithSheet="0"/>
  </xdr:oneCellAnchor>
  <xdr:oneCellAnchor>
    <xdr:from>
      <xdr:col>1</xdr:col>
      <xdr:colOff>504915</xdr:colOff>
      <xdr:row>69</xdr:row>
      <xdr:rowOff>43595</xdr:rowOff>
    </xdr:from>
    <xdr:ext cx="157842" cy="157842"/>
    <xdr:pic macro="[0]!DeleteSEBusiness">
      <xdr:nvPicPr>
        <xdr:cNvPr id="225" name="btnDelSEABusiness46" hidden="1">
          <a:extLst>
            <a:ext uri="{FF2B5EF4-FFF2-40B4-BE49-F238E27FC236}">
              <a16:creationId xmlns:a16="http://schemas.microsoft.com/office/drawing/2014/main" id="{CFF4A1BC-5DE2-41B3-A64F-400A2B0CD71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0644920"/>
          <a:ext cx="157842" cy="157842"/>
        </a:xfrm>
        <a:prstGeom prst="rect">
          <a:avLst/>
        </a:prstGeom>
      </xdr:spPr>
    </xdr:pic>
    <xdr:clientData fPrintsWithSheet="0"/>
  </xdr:oneCellAnchor>
  <xdr:oneCellAnchor>
    <xdr:from>
      <xdr:col>1</xdr:col>
      <xdr:colOff>323850</xdr:colOff>
      <xdr:row>69</xdr:row>
      <xdr:rowOff>43595</xdr:rowOff>
    </xdr:from>
    <xdr:ext cx="154134" cy="154134"/>
    <xdr:pic macro="[0]!AddEditSEBusiness">
      <xdr:nvPicPr>
        <xdr:cNvPr id="224" name="btnEditSEABusiness46" hidden="1">
          <a:extLst>
            <a:ext uri="{FF2B5EF4-FFF2-40B4-BE49-F238E27FC236}">
              <a16:creationId xmlns:a16="http://schemas.microsoft.com/office/drawing/2014/main" id="{200304CC-FBC9-4FFD-AADE-2BA7897BC4F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0644920"/>
          <a:ext cx="154134" cy="154134"/>
        </a:xfrm>
        <a:prstGeom prst="rect">
          <a:avLst/>
        </a:prstGeom>
      </xdr:spPr>
    </xdr:pic>
    <xdr:clientData fPrintsWithSheet="0"/>
  </xdr:oneCellAnchor>
  <xdr:oneCellAnchor>
    <xdr:from>
      <xdr:col>1</xdr:col>
      <xdr:colOff>504915</xdr:colOff>
      <xdr:row>70</xdr:row>
      <xdr:rowOff>44067</xdr:rowOff>
    </xdr:from>
    <xdr:ext cx="157842" cy="157842"/>
    <xdr:pic macro="[0]!DeleteSEBusiness">
      <xdr:nvPicPr>
        <xdr:cNvPr id="227" name="btnDelSEABusiness47" hidden="1">
          <a:extLst>
            <a:ext uri="{FF2B5EF4-FFF2-40B4-BE49-F238E27FC236}">
              <a16:creationId xmlns:a16="http://schemas.microsoft.com/office/drawing/2014/main" id="{AACEBC86-9349-42B9-B156-08B8611A5D5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0883517"/>
          <a:ext cx="157842" cy="157842"/>
        </a:xfrm>
        <a:prstGeom prst="rect">
          <a:avLst/>
        </a:prstGeom>
      </xdr:spPr>
    </xdr:pic>
    <xdr:clientData fPrintsWithSheet="0"/>
  </xdr:oneCellAnchor>
  <xdr:oneCellAnchor>
    <xdr:from>
      <xdr:col>1</xdr:col>
      <xdr:colOff>323850</xdr:colOff>
      <xdr:row>70</xdr:row>
      <xdr:rowOff>44067</xdr:rowOff>
    </xdr:from>
    <xdr:ext cx="154134" cy="154134"/>
    <xdr:pic macro="[0]!AddEditSEBusiness">
      <xdr:nvPicPr>
        <xdr:cNvPr id="226" name="btnEditSEABusiness47" hidden="1">
          <a:extLst>
            <a:ext uri="{FF2B5EF4-FFF2-40B4-BE49-F238E27FC236}">
              <a16:creationId xmlns:a16="http://schemas.microsoft.com/office/drawing/2014/main" id="{EE389760-7471-43F8-9A32-21466B5AFF4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0883517"/>
          <a:ext cx="154134" cy="154134"/>
        </a:xfrm>
        <a:prstGeom prst="rect">
          <a:avLst/>
        </a:prstGeom>
      </xdr:spPr>
    </xdr:pic>
    <xdr:clientData fPrintsWithSheet="0"/>
  </xdr:oneCellAnchor>
  <xdr:oneCellAnchor>
    <xdr:from>
      <xdr:col>1</xdr:col>
      <xdr:colOff>504915</xdr:colOff>
      <xdr:row>71</xdr:row>
      <xdr:rowOff>44539</xdr:rowOff>
    </xdr:from>
    <xdr:ext cx="157842" cy="157842"/>
    <xdr:pic macro="[0]!DeleteSEBusiness">
      <xdr:nvPicPr>
        <xdr:cNvPr id="229" name="btnDelSEABusiness48" hidden="1">
          <a:extLst>
            <a:ext uri="{FF2B5EF4-FFF2-40B4-BE49-F238E27FC236}">
              <a16:creationId xmlns:a16="http://schemas.microsoft.com/office/drawing/2014/main" id="{980A0DA6-9686-4F68-A1B4-073B13D7E13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1122114"/>
          <a:ext cx="157842" cy="157842"/>
        </a:xfrm>
        <a:prstGeom prst="rect">
          <a:avLst/>
        </a:prstGeom>
      </xdr:spPr>
    </xdr:pic>
    <xdr:clientData fPrintsWithSheet="0"/>
  </xdr:oneCellAnchor>
  <xdr:oneCellAnchor>
    <xdr:from>
      <xdr:col>1</xdr:col>
      <xdr:colOff>323850</xdr:colOff>
      <xdr:row>71</xdr:row>
      <xdr:rowOff>44539</xdr:rowOff>
    </xdr:from>
    <xdr:ext cx="154134" cy="154134"/>
    <xdr:pic macro="[0]!AddEditSEBusiness">
      <xdr:nvPicPr>
        <xdr:cNvPr id="228" name="btnEditSEABusiness48" hidden="1">
          <a:extLst>
            <a:ext uri="{FF2B5EF4-FFF2-40B4-BE49-F238E27FC236}">
              <a16:creationId xmlns:a16="http://schemas.microsoft.com/office/drawing/2014/main" id="{3FE61ACC-D002-4702-B622-5F82C2621FC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1122114"/>
          <a:ext cx="154134" cy="154134"/>
        </a:xfrm>
        <a:prstGeom prst="rect">
          <a:avLst/>
        </a:prstGeom>
      </xdr:spPr>
    </xdr:pic>
    <xdr:clientData fPrintsWithSheet="0"/>
  </xdr:oneCellAnchor>
  <xdr:oneCellAnchor>
    <xdr:from>
      <xdr:col>1</xdr:col>
      <xdr:colOff>504915</xdr:colOff>
      <xdr:row>72</xdr:row>
      <xdr:rowOff>45011</xdr:rowOff>
    </xdr:from>
    <xdr:ext cx="157842" cy="157842"/>
    <xdr:pic macro="[0]!DeleteSEBusiness">
      <xdr:nvPicPr>
        <xdr:cNvPr id="231" name="btnDelSEABusiness49" hidden="1">
          <a:extLst>
            <a:ext uri="{FF2B5EF4-FFF2-40B4-BE49-F238E27FC236}">
              <a16:creationId xmlns:a16="http://schemas.microsoft.com/office/drawing/2014/main" id="{7FEF0213-84A7-456D-883D-BF12B9BC586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1360711"/>
          <a:ext cx="157842" cy="157842"/>
        </a:xfrm>
        <a:prstGeom prst="rect">
          <a:avLst/>
        </a:prstGeom>
      </xdr:spPr>
    </xdr:pic>
    <xdr:clientData fPrintsWithSheet="0"/>
  </xdr:oneCellAnchor>
  <xdr:oneCellAnchor>
    <xdr:from>
      <xdr:col>1</xdr:col>
      <xdr:colOff>323850</xdr:colOff>
      <xdr:row>72</xdr:row>
      <xdr:rowOff>45011</xdr:rowOff>
    </xdr:from>
    <xdr:ext cx="154134" cy="154134"/>
    <xdr:pic macro="[0]!AddEditSEBusiness">
      <xdr:nvPicPr>
        <xdr:cNvPr id="230" name="btnEditSEABusiness49" hidden="1">
          <a:extLst>
            <a:ext uri="{FF2B5EF4-FFF2-40B4-BE49-F238E27FC236}">
              <a16:creationId xmlns:a16="http://schemas.microsoft.com/office/drawing/2014/main" id="{A6E1AEC9-5875-4758-9D1E-5DAE3C6AD03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1360711"/>
          <a:ext cx="154134" cy="154134"/>
        </a:xfrm>
        <a:prstGeom prst="rect">
          <a:avLst/>
        </a:prstGeom>
      </xdr:spPr>
    </xdr:pic>
    <xdr:clientData fPrintsWithSheet="0"/>
  </xdr:oneCellAnchor>
  <xdr:oneCellAnchor>
    <xdr:from>
      <xdr:col>1</xdr:col>
      <xdr:colOff>504915</xdr:colOff>
      <xdr:row>73</xdr:row>
      <xdr:rowOff>45483</xdr:rowOff>
    </xdr:from>
    <xdr:ext cx="157842" cy="157842"/>
    <xdr:pic macro="[0]!DeleteSEBusiness">
      <xdr:nvPicPr>
        <xdr:cNvPr id="233" name="btnDelSEABusiness50" hidden="1">
          <a:extLst>
            <a:ext uri="{FF2B5EF4-FFF2-40B4-BE49-F238E27FC236}">
              <a16:creationId xmlns:a16="http://schemas.microsoft.com/office/drawing/2014/main" id="{F3F67448-717E-4AFD-8163-B686D40899D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1599308"/>
          <a:ext cx="157842" cy="157842"/>
        </a:xfrm>
        <a:prstGeom prst="rect">
          <a:avLst/>
        </a:prstGeom>
      </xdr:spPr>
    </xdr:pic>
    <xdr:clientData fPrintsWithSheet="0"/>
  </xdr:oneCellAnchor>
  <xdr:oneCellAnchor>
    <xdr:from>
      <xdr:col>1</xdr:col>
      <xdr:colOff>323850</xdr:colOff>
      <xdr:row>73</xdr:row>
      <xdr:rowOff>45483</xdr:rowOff>
    </xdr:from>
    <xdr:ext cx="154134" cy="154134"/>
    <xdr:pic macro="[0]!AddEditSEBusiness">
      <xdr:nvPicPr>
        <xdr:cNvPr id="232" name="btnEditSEABusiness50" hidden="1">
          <a:extLst>
            <a:ext uri="{FF2B5EF4-FFF2-40B4-BE49-F238E27FC236}">
              <a16:creationId xmlns:a16="http://schemas.microsoft.com/office/drawing/2014/main" id="{B3630F97-5E49-488F-8AC8-5F89B40867F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1599308"/>
          <a:ext cx="154134" cy="154134"/>
        </a:xfrm>
        <a:prstGeom prst="rect">
          <a:avLst/>
        </a:prstGeom>
      </xdr:spPr>
    </xdr:pic>
    <xdr:clientData fPrintsWithSheet="0"/>
  </xdr:oneCellAnchor>
  <xdr:oneCellAnchor>
    <xdr:from>
      <xdr:col>1</xdr:col>
      <xdr:colOff>504915</xdr:colOff>
      <xdr:row>74</xdr:row>
      <xdr:rowOff>45955</xdr:rowOff>
    </xdr:from>
    <xdr:ext cx="157842" cy="157842"/>
    <xdr:pic macro="[0]!DeleteSEBusiness">
      <xdr:nvPicPr>
        <xdr:cNvPr id="235" name="btnDelSEABusiness51" hidden="1">
          <a:extLst>
            <a:ext uri="{FF2B5EF4-FFF2-40B4-BE49-F238E27FC236}">
              <a16:creationId xmlns:a16="http://schemas.microsoft.com/office/drawing/2014/main" id="{BA27FB03-47EC-4CA2-BB7E-AC10DF4A413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1837905"/>
          <a:ext cx="157842" cy="157842"/>
        </a:xfrm>
        <a:prstGeom prst="rect">
          <a:avLst/>
        </a:prstGeom>
      </xdr:spPr>
    </xdr:pic>
    <xdr:clientData fPrintsWithSheet="0"/>
  </xdr:oneCellAnchor>
  <xdr:oneCellAnchor>
    <xdr:from>
      <xdr:col>1</xdr:col>
      <xdr:colOff>323850</xdr:colOff>
      <xdr:row>74</xdr:row>
      <xdr:rowOff>45955</xdr:rowOff>
    </xdr:from>
    <xdr:ext cx="154134" cy="154134"/>
    <xdr:pic macro="[0]!AddEditSEBusiness">
      <xdr:nvPicPr>
        <xdr:cNvPr id="234" name="btnEditSEABusiness51" hidden="1">
          <a:extLst>
            <a:ext uri="{FF2B5EF4-FFF2-40B4-BE49-F238E27FC236}">
              <a16:creationId xmlns:a16="http://schemas.microsoft.com/office/drawing/2014/main" id="{DD8F107C-198A-49A4-82A7-09A60F852D2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1837905"/>
          <a:ext cx="154134" cy="154134"/>
        </a:xfrm>
        <a:prstGeom prst="rect">
          <a:avLst/>
        </a:prstGeom>
      </xdr:spPr>
    </xdr:pic>
    <xdr:clientData fPrintsWithSheet="0"/>
  </xdr:oneCellAnchor>
  <xdr:oneCellAnchor>
    <xdr:from>
      <xdr:col>1</xdr:col>
      <xdr:colOff>504915</xdr:colOff>
      <xdr:row>75</xdr:row>
      <xdr:rowOff>46427</xdr:rowOff>
    </xdr:from>
    <xdr:ext cx="157842" cy="157842"/>
    <xdr:pic macro="[0]!DeleteSEBusiness">
      <xdr:nvPicPr>
        <xdr:cNvPr id="237" name="btnDelSEABusiness52" hidden="1">
          <a:extLst>
            <a:ext uri="{FF2B5EF4-FFF2-40B4-BE49-F238E27FC236}">
              <a16:creationId xmlns:a16="http://schemas.microsoft.com/office/drawing/2014/main" id="{41CD3B24-1EDB-4F62-980B-D847A412468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2076502"/>
          <a:ext cx="157842" cy="157842"/>
        </a:xfrm>
        <a:prstGeom prst="rect">
          <a:avLst/>
        </a:prstGeom>
      </xdr:spPr>
    </xdr:pic>
    <xdr:clientData fPrintsWithSheet="0"/>
  </xdr:oneCellAnchor>
  <xdr:oneCellAnchor>
    <xdr:from>
      <xdr:col>1</xdr:col>
      <xdr:colOff>323850</xdr:colOff>
      <xdr:row>75</xdr:row>
      <xdr:rowOff>46427</xdr:rowOff>
    </xdr:from>
    <xdr:ext cx="154134" cy="154134"/>
    <xdr:pic macro="[0]!AddEditSEBusiness">
      <xdr:nvPicPr>
        <xdr:cNvPr id="236" name="btnEditSEABusiness52" hidden="1">
          <a:extLst>
            <a:ext uri="{FF2B5EF4-FFF2-40B4-BE49-F238E27FC236}">
              <a16:creationId xmlns:a16="http://schemas.microsoft.com/office/drawing/2014/main" id="{3B8B7D4D-EADF-43A5-A271-E3F90E9FFBE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2076502"/>
          <a:ext cx="154134" cy="154134"/>
        </a:xfrm>
        <a:prstGeom prst="rect">
          <a:avLst/>
        </a:prstGeom>
      </xdr:spPr>
    </xdr:pic>
    <xdr:clientData fPrintsWithSheet="0"/>
  </xdr:oneCellAnchor>
  <xdr:oneCellAnchor>
    <xdr:from>
      <xdr:col>1</xdr:col>
      <xdr:colOff>504915</xdr:colOff>
      <xdr:row>76</xdr:row>
      <xdr:rowOff>46899</xdr:rowOff>
    </xdr:from>
    <xdr:ext cx="157842" cy="157842"/>
    <xdr:pic macro="[0]!DeleteSEBusiness">
      <xdr:nvPicPr>
        <xdr:cNvPr id="239" name="btnDelSEABusiness53" hidden="1">
          <a:extLst>
            <a:ext uri="{FF2B5EF4-FFF2-40B4-BE49-F238E27FC236}">
              <a16:creationId xmlns:a16="http://schemas.microsoft.com/office/drawing/2014/main" id="{E2683FC1-CD5E-435B-9E00-30724C5A4A7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2315099"/>
          <a:ext cx="157842" cy="157842"/>
        </a:xfrm>
        <a:prstGeom prst="rect">
          <a:avLst/>
        </a:prstGeom>
      </xdr:spPr>
    </xdr:pic>
    <xdr:clientData fPrintsWithSheet="0"/>
  </xdr:oneCellAnchor>
  <xdr:oneCellAnchor>
    <xdr:from>
      <xdr:col>1</xdr:col>
      <xdr:colOff>323850</xdr:colOff>
      <xdr:row>76</xdr:row>
      <xdr:rowOff>46899</xdr:rowOff>
    </xdr:from>
    <xdr:ext cx="154134" cy="154134"/>
    <xdr:pic macro="[0]!AddEditSEBusiness">
      <xdr:nvPicPr>
        <xdr:cNvPr id="238" name="btnEditSEABusiness53" hidden="1">
          <a:extLst>
            <a:ext uri="{FF2B5EF4-FFF2-40B4-BE49-F238E27FC236}">
              <a16:creationId xmlns:a16="http://schemas.microsoft.com/office/drawing/2014/main" id="{EB32102A-93E0-41DE-918D-5B7ACEAED68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2315099"/>
          <a:ext cx="154134" cy="154134"/>
        </a:xfrm>
        <a:prstGeom prst="rect">
          <a:avLst/>
        </a:prstGeom>
      </xdr:spPr>
    </xdr:pic>
    <xdr:clientData fPrintsWithSheet="0"/>
  </xdr:oneCellAnchor>
  <xdr:oneCellAnchor>
    <xdr:from>
      <xdr:col>1</xdr:col>
      <xdr:colOff>504915</xdr:colOff>
      <xdr:row>77</xdr:row>
      <xdr:rowOff>47371</xdr:rowOff>
    </xdr:from>
    <xdr:ext cx="157842" cy="157842"/>
    <xdr:pic macro="[0]!DeleteSEBusiness">
      <xdr:nvPicPr>
        <xdr:cNvPr id="241" name="btnDelSEABusiness54" hidden="1">
          <a:extLst>
            <a:ext uri="{FF2B5EF4-FFF2-40B4-BE49-F238E27FC236}">
              <a16:creationId xmlns:a16="http://schemas.microsoft.com/office/drawing/2014/main" id="{767424D4-421F-4FB4-9235-D3978A24DA2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2553696"/>
          <a:ext cx="157842" cy="157842"/>
        </a:xfrm>
        <a:prstGeom prst="rect">
          <a:avLst/>
        </a:prstGeom>
      </xdr:spPr>
    </xdr:pic>
    <xdr:clientData fPrintsWithSheet="0"/>
  </xdr:oneCellAnchor>
  <xdr:oneCellAnchor>
    <xdr:from>
      <xdr:col>1</xdr:col>
      <xdr:colOff>323850</xdr:colOff>
      <xdr:row>77</xdr:row>
      <xdr:rowOff>47371</xdr:rowOff>
    </xdr:from>
    <xdr:ext cx="154134" cy="154134"/>
    <xdr:pic macro="[0]!AddEditSEBusiness">
      <xdr:nvPicPr>
        <xdr:cNvPr id="240" name="btnEditSEABusiness54" hidden="1">
          <a:extLst>
            <a:ext uri="{FF2B5EF4-FFF2-40B4-BE49-F238E27FC236}">
              <a16:creationId xmlns:a16="http://schemas.microsoft.com/office/drawing/2014/main" id="{588F3914-D8DC-41EE-A99B-219E89BFD5C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2553696"/>
          <a:ext cx="154134" cy="154134"/>
        </a:xfrm>
        <a:prstGeom prst="rect">
          <a:avLst/>
        </a:prstGeom>
      </xdr:spPr>
    </xdr:pic>
    <xdr:clientData fPrintsWithSheet="0"/>
  </xdr:oneCellAnchor>
  <xdr:oneCellAnchor>
    <xdr:from>
      <xdr:col>1</xdr:col>
      <xdr:colOff>504915</xdr:colOff>
      <xdr:row>78</xdr:row>
      <xdr:rowOff>47843</xdr:rowOff>
    </xdr:from>
    <xdr:ext cx="157842" cy="157842"/>
    <xdr:pic macro="[0]!DeleteSEBusiness">
      <xdr:nvPicPr>
        <xdr:cNvPr id="243" name="btnDelSEABusiness55" hidden="1">
          <a:extLst>
            <a:ext uri="{FF2B5EF4-FFF2-40B4-BE49-F238E27FC236}">
              <a16:creationId xmlns:a16="http://schemas.microsoft.com/office/drawing/2014/main" id="{EE3035C6-B370-4A29-99BF-82AE33E88F2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2792293"/>
          <a:ext cx="157842" cy="157842"/>
        </a:xfrm>
        <a:prstGeom prst="rect">
          <a:avLst/>
        </a:prstGeom>
      </xdr:spPr>
    </xdr:pic>
    <xdr:clientData fPrintsWithSheet="0"/>
  </xdr:oneCellAnchor>
  <xdr:oneCellAnchor>
    <xdr:from>
      <xdr:col>1</xdr:col>
      <xdr:colOff>323850</xdr:colOff>
      <xdr:row>78</xdr:row>
      <xdr:rowOff>47843</xdr:rowOff>
    </xdr:from>
    <xdr:ext cx="154134" cy="154134"/>
    <xdr:pic macro="[0]!AddEditSEBusiness">
      <xdr:nvPicPr>
        <xdr:cNvPr id="242" name="btnEditSEABusiness55" hidden="1">
          <a:extLst>
            <a:ext uri="{FF2B5EF4-FFF2-40B4-BE49-F238E27FC236}">
              <a16:creationId xmlns:a16="http://schemas.microsoft.com/office/drawing/2014/main" id="{1DCA9FF2-E93D-4AAC-B540-77C046CDED3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2792293"/>
          <a:ext cx="154134" cy="154134"/>
        </a:xfrm>
        <a:prstGeom prst="rect">
          <a:avLst/>
        </a:prstGeom>
      </xdr:spPr>
    </xdr:pic>
    <xdr:clientData fPrintsWithSheet="0"/>
  </xdr:oneCellAnchor>
  <xdr:oneCellAnchor>
    <xdr:from>
      <xdr:col>1</xdr:col>
      <xdr:colOff>504915</xdr:colOff>
      <xdr:row>79</xdr:row>
      <xdr:rowOff>48315</xdr:rowOff>
    </xdr:from>
    <xdr:ext cx="157842" cy="157842"/>
    <xdr:pic macro="[0]!DeleteSEBusiness">
      <xdr:nvPicPr>
        <xdr:cNvPr id="245" name="btnDelSEABusiness56" hidden="1">
          <a:extLst>
            <a:ext uri="{FF2B5EF4-FFF2-40B4-BE49-F238E27FC236}">
              <a16:creationId xmlns:a16="http://schemas.microsoft.com/office/drawing/2014/main" id="{776955F1-9938-470C-873E-5C334C2E351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030890"/>
          <a:ext cx="157842" cy="157842"/>
        </a:xfrm>
        <a:prstGeom prst="rect">
          <a:avLst/>
        </a:prstGeom>
      </xdr:spPr>
    </xdr:pic>
    <xdr:clientData fPrintsWithSheet="0"/>
  </xdr:oneCellAnchor>
  <xdr:oneCellAnchor>
    <xdr:from>
      <xdr:col>1</xdr:col>
      <xdr:colOff>323850</xdr:colOff>
      <xdr:row>79</xdr:row>
      <xdr:rowOff>48315</xdr:rowOff>
    </xdr:from>
    <xdr:ext cx="154134" cy="154134"/>
    <xdr:pic macro="[0]!AddEditSEBusiness">
      <xdr:nvPicPr>
        <xdr:cNvPr id="244" name="btnEditSEABusiness56" hidden="1">
          <a:extLst>
            <a:ext uri="{FF2B5EF4-FFF2-40B4-BE49-F238E27FC236}">
              <a16:creationId xmlns:a16="http://schemas.microsoft.com/office/drawing/2014/main" id="{C9E4E3F2-77B7-44C8-95A6-2C9BBBEFC11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030890"/>
          <a:ext cx="154134" cy="154134"/>
        </a:xfrm>
        <a:prstGeom prst="rect">
          <a:avLst/>
        </a:prstGeom>
      </xdr:spPr>
    </xdr:pic>
    <xdr:clientData fPrintsWithSheet="0"/>
  </xdr:oneCellAnchor>
  <xdr:oneCellAnchor>
    <xdr:from>
      <xdr:col>1</xdr:col>
      <xdr:colOff>504915</xdr:colOff>
      <xdr:row>80</xdr:row>
      <xdr:rowOff>48787</xdr:rowOff>
    </xdr:from>
    <xdr:ext cx="157842" cy="157842"/>
    <xdr:pic macro="[0]!DeleteSEBusiness">
      <xdr:nvPicPr>
        <xdr:cNvPr id="247" name="btnDelSEABusiness57" hidden="1">
          <a:extLst>
            <a:ext uri="{FF2B5EF4-FFF2-40B4-BE49-F238E27FC236}">
              <a16:creationId xmlns:a16="http://schemas.microsoft.com/office/drawing/2014/main" id="{5F8C671B-0A3A-4809-B7F4-7EBA2ABC7D3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269487"/>
          <a:ext cx="157842" cy="157842"/>
        </a:xfrm>
        <a:prstGeom prst="rect">
          <a:avLst/>
        </a:prstGeom>
      </xdr:spPr>
    </xdr:pic>
    <xdr:clientData fPrintsWithSheet="0"/>
  </xdr:oneCellAnchor>
  <xdr:oneCellAnchor>
    <xdr:from>
      <xdr:col>1</xdr:col>
      <xdr:colOff>323850</xdr:colOff>
      <xdr:row>80</xdr:row>
      <xdr:rowOff>48787</xdr:rowOff>
    </xdr:from>
    <xdr:ext cx="154134" cy="154134"/>
    <xdr:pic macro="[0]!AddEditSEBusiness">
      <xdr:nvPicPr>
        <xdr:cNvPr id="246" name="btnEditSEABusiness57" hidden="1">
          <a:extLst>
            <a:ext uri="{FF2B5EF4-FFF2-40B4-BE49-F238E27FC236}">
              <a16:creationId xmlns:a16="http://schemas.microsoft.com/office/drawing/2014/main" id="{E1ADCEC9-D7DA-45B7-80ED-D47AB225A7A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269487"/>
          <a:ext cx="154134" cy="154134"/>
        </a:xfrm>
        <a:prstGeom prst="rect">
          <a:avLst/>
        </a:prstGeom>
      </xdr:spPr>
    </xdr:pic>
    <xdr:clientData fPrintsWithSheet="0"/>
  </xdr:oneCellAnchor>
  <xdr:oneCellAnchor>
    <xdr:from>
      <xdr:col>1</xdr:col>
      <xdr:colOff>504915</xdr:colOff>
      <xdr:row>81</xdr:row>
      <xdr:rowOff>49259</xdr:rowOff>
    </xdr:from>
    <xdr:ext cx="157842" cy="157842"/>
    <xdr:pic macro="[0]!DeleteSEBusiness">
      <xdr:nvPicPr>
        <xdr:cNvPr id="249" name="btnDelSEABusiness58" hidden="1">
          <a:extLst>
            <a:ext uri="{FF2B5EF4-FFF2-40B4-BE49-F238E27FC236}">
              <a16:creationId xmlns:a16="http://schemas.microsoft.com/office/drawing/2014/main" id="{D67EA246-ADA4-4EA7-99FE-6BAC139ACD0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508084"/>
          <a:ext cx="157842" cy="157842"/>
        </a:xfrm>
        <a:prstGeom prst="rect">
          <a:avLst/>
        </a:prstGeom>
      </xdr:spPr>
    </xdr:pic>
    <xdr:clientData fPrintsWithSheet="0"/>
  </xdr:oneCellAnchor>
  <xdr:oneCellAnchor>
    <xdr:from>
      <xdr:col>1</xdr:col>
      <xdr:colOff>323850</xdr:colOff>
      <xdr:row>81</xdr:row>
      <xdr:rowOff>49259</xdr:rowOff>
    </xdr:from>
    <xdr:ext cx="154134" cy="154134"/>
    <xdr:pic macro="[0]!AddEditSEBusiness">
      <xdr:nvPicPr>
        <xdr:cNvPr id="248" name="btnEditSEABusiness58" hidden="1">
          <a:extLst>
            <a:ext uri="{FF2B5EF4-FFF2-40B4-BE49-F238E27FC236}">
              <a16:creationId xmlns:a16="http://schemas.microsoft.com/office/drawing/2014/main" id="{B8148F10-0591-4C93-8542-251B653A6CF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508084"/>
          <a:ext cx="154134" cy="154134"/>
        </a:xfrm>
        <a:prstGeom prst="rect">
          <a:avLst/>
        </a:prstGeom>
      </xdr:spPr>
    </xdr:pic>
    <xdr:clientData fPrintsWithSheet="0"/>
  </xdr:oneCellAnchor>
  <xdr:oneCellAnchor>
    <xdr:from>
      <xdr:col>1</xdr:col>
      <xdr:colOff>504915</xdr:colOff>
      <xdr:row>82</xdr:row>
      <xdr:rowOff>49731</xdr:rowOff>
    </xdr:from>
    <xdr:ext cx="157842" cy="157842"/>
    <xdr:pic macro="[0]!DeleteSEBusiness">
      <xdr:nvPicPr>
        <xdr:cNvPr id="251" name="btnDelSEABusiness59" hidden="1">
          <a:extLst>
            <a:ext uri="{FF2B5EF4-FFF2-40B4-BE49-F238E27FC236}">
              <a16:creationId xmlns:a16="http://schemas.microsoft.com/office/drawing/2014/main" id="{51CF673D-8236-41B1-8F73-C24C0214D45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746681"/>
          <a:ext cx="157842" cy="157842"/>
        </a:xfrm>
        <a:prstGeom prst="rect">
          <a:avLst/>
        </a:prstGeom>
      </xdr:spPr>
    </xdr:pic>
    <xdr:clientData fPrintsWithSheet="0"/>
  </xdr:oneCellAnchor>
  <xdr:oneCellAnchor>
    <xdr:from>
      <xdr:col>1</xdr:col>
      <xdr:colOff>323850</xdr:colOff>
      <xdr:row>82</xdr:row>
      <xdr:rowOff>49731</xdr:rowOff>
    </xdr:from>
    <xdr:ext cx="154134" cy="154134"/>
    <xdr:pic macro="[0]!AddEditSEBusiness">
      <xdr:nvPicPr>
        <xdr:cNvPr id="250" name="btnEditSEABusiness59" hidden="1">
          <a:extLst>
            <a:ext uri="{FF2B5EF4-FFF2-40B4-BE49-F238E27FC236}">
              <a16:creationId xmlns:a16="http://schemas.microsoft.com/office/drawing/2014/main" id="{BC56B365-B434-4AB0-884F-40329A83161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746681"/>
          <a:ext cx="154134" cy="154134"/>
        </a:xfrm>
        <a:prstGeom prst="rect">
          <a:avLst/>
        </a:prstGeom>
      </xdr:spPr>
    </xdr:pic>
    <xdr:clientData fPrintsWithSheet="0"/>
  </xdr:oneCellAnchor>
  <xdr:oneCellAnchor>
    <xdr:from>
      <xdr:col>1</xdr:col>
      <xdr:colOff>504915</xdr:colOff>
      <xdr:row>83</xdr:row>
      <xdr:rowOff>50205</xdr:rowOff>
    </xdr:from>
    <xdr:ext cx="157842" cy="157842"/>
    <xdr:pic macro="[0]!DeleteSEBusiness">
      <xdr:nvPicPr>
        <xdr:cNvPr id="253" name="btnDelSEABusiness60" hidden="1">
          <a:extLst>
            <a:ext uri="{FF2B5EF4-FFF2-40B4-BE49-F238E27FC236}">
              <a16:creationId xmlns:a16="http://schemas.microsoft.com/office/drawing/2014/main" id="{3A2647F1-19E2-4191-A721-F7D09BF80F4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985280"/>
          <a:ext cx="157842" cy="157842"/>
        </a:xfrm>
        <a:prstGeom prst="rect">
          <a:avLst/>
        </a:prstGeom>
      </xdr:spPr>
    </xdr:pic>
    <xdr:clientData fPrintsWithSheet="0"/>
  </xdr:oneCellAnchor>
  <xdr:oneCellAnchor>
    <xdr:from>
      <xdr:col>1</xdr:col>
      <xdr:colOff>323850</xdr:colOff>
      <xdr:row>83</xdr:row>
      <xdr:rowOff>50205</xdr:rowOff>
    </xdr:from>
    <xdr:ext cx="154134" cy="154134"/>
    <xdr:pic macro="[0]!AddEditSEBusiness">
      <xdr:nvPicPr>
        <xdr:cNvPr id="252" name="btnEditSEABusiness60" hidden="1">
          <a:extLst>
            <a:ext uri="{FF2B5EF4-FFF2-40B4-BE49-F238E27FC236}">
              <a16:creationId xmlns:a16="http://schemas.microsoft.com/office/drawing/2014/main" id="{187CB6E3-6B27-4321-B226-751CDDB2E83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985280"/>
          <a:ext cx="154134" cy="154134"/>
        </a:xfrm>
        <a:prstGeom prst="rect">
          <a:avLst/>
        </a:prstGeom>
      </xdr:spPr>
    </xdr:pic>
    <xdr:clientData fPrintsWithSheet="0"/>
  </xdr:oneCellAnchor>
  <xdr:twoCellAnchor editAs="oneCell">
    <xdr:from>
      <xdr:col>2</xdr:col>
      <xdr:colOff>19050</xdr:colOff>
      <xdr:row>86</xdr:row>
      <xdr:rowOff>257175</xdr:rowOff>
    </xdr:from>
    <xdr:to>
      <xdr:col>2</xdr:col>
      <xdr:colOff>1963050</xdr:colOff>
      <xdr:row>86</xdr:row>
      <xdr:rowOff>609600</xdr:rowOff>
    </xdr:to>
    <xdr:sp macro="[0]!ShowBusinessSetupAssistant" textlink="">
      <xdr:nvSpPr>
        <xdr:cNvPr id="265" name="btnAddMultipleBusinesses" hidden="1">
          <a:extLst>
            <a:ext uri="{FF2B5EF4-FFF2-40B4-BE49-F238E27FC236}">
              <a16:creationId xmlns:a16="http://schemas.microsoft.com/office/drawing/2014/main" id="{199F7077-3F83-4345-A506-9F72CBED5582}"/>
            </a:ext>
          </a:extLst>
        </xdr:cNvPr>
        <xdr:cNvSpPr/>
      </xdr:nvSpPr>
      <xdr:spPr>
        <a:xfrm>
          <a:off x="923925" y="3752850"/>
          <a:ext cx="1944000" cy="352425"/>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ea typeface="+mn-ea"/>
              <a:cs typeface="Arial" panose="020B0604020202020204" pitchFamily="34" charset="0"/>
            </a:rPr>
            <a:t>Add multiple businesses</a:t>
          </a:r>
          <a:endParaRPr sz="1200" b="0">
            <a:solidFill>
              <a:schemeClr val="bg1"/>
            </a:solidFill>
            <a:latin typeface="Arial" panose="020B0604020202020204" pitchFamily="34" charset="0"/>
            <a:ea typeface="+mn-ea"/>
            <a:cs typeface="Arial" panose="020B0604020202020204" pitchFamily="34" charset="0"/>
          </a:endParaRPr>
        </a:p>
      </xdr:txBody>
    </xdr:sp>
    <xdr:clientData fPrintsWithSheet="0"/>
  </xdr:twoCellAnchor>
  <xdr:twoCellAnchor editAs="absolute">
    <xdr:from>
      <xdr:col>10</xdr:col>
      <xdr:colOff>856350</xdr:colOff>
      <xdr:row>7</xdr:row>
      <xdr:rowOff>107950</xdr:rowOff>
    </xdr:from>
    <xdr:to>
      <xdr:col>11</xdr:col>
      <xdr:colOff>1329150</xdr:colOff>
      <xdr:row>9</xdr:row>
      <xdr:rowOff>134575</xdr:rowOff>
    </xdr:to>
    <xdr:sp macro="[0]!CreateBusinessRelationshipDiagram" textlink="">
      <xdr:nvSpPr>
        <xdr:cNvPr id="131" name="btnCreateBusinessDiagram">
          <a:extLst>
            <a:ext uri="{FF2B5EF4-FFF2-40B4-BE49-F238E27FC236}">
              <a16:creationId xmlns:a16="http://schemas.microsoft.com/office/drawing/2014/main" id="{B1E6C803-8AF8-4BCF-B3E5-82D4807B460F}"/>
            </a:ext>
          </a:extLst>
        </xdr:cNvPr>
        <xdr:cNvSpPr/>
      </xdr:nvSpPr>
      <xdr:spPr>
        <a:xfrm>
          <a:off x="13067400" y="1565275"/>
          <a:ext cx="1806300" cy="360000"/>
        </a:xfrm>
        <a:prstGeom prst="roundRect">
          <a:avLst>
            <a:gd name="adj" fmla="val 16667"/>
          </a:avLst>
        </a:prstGeom>
        <a:solidFill>
          <a:schemeClr val="accent2"/>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View business diagram</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6</xdr:col>
      <xdr:colOff>2325825</xdr:colOff>
      <xdr:row>3</xdr:row>
      <xdr:rowOff>85725</xdr:rowOff>
    </xdr:from>
    <xdr:to>
      <xdr:col>7</xdr:col>
      <xdr:colOff>3450</xdr:colOff>
      <xdr:row>3</xdr:row>
      <xdr:rowOff>445725</xdr:rowOff>
    </xdr:to>
    <xdr:sp macro="[0]!AddMultipleSEBusinesses" textlink="">
      <xdr:nvSpPr>
        <xdr:cNvPr id="2" name="btnContinue">
          <a:extLst>
            <a:ext uri="{FF2B5EF4-FFF2-40B4-BE49-F238E27FC236}">
              <a16:creationId xmlns:a16="http://schemas.microsoft.com/office/drawing/2014/main" id="{87437A08-4361-47AF-BB71-552CFDA28ED4}"/>
            </a:ext>
          </a:extLst>
        </xdr:cNvPr>
        <xdr:cNvSpPr/>
      </xdr:nvSpPr>
      <xdr:spPr>
        <a:xfrm>
          <a:off x="8669475" y="5715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Add businesses</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5</xdr:col>
      <xdr:colOff>666750</xdr:colOff>
      <xdr:row>3</xdr:row>
      <xdr:rowOff>85725</xdr:rowOff>
    </xdr:from>
    <xdr:to>
      <xdr:col>6</xdr:col>
      <xdr:colOff>725625</xdr:colOff>
      <xdr:row>3</xdr:row>
      <xdr:rowOff>445725</xdr:rowOff>
    </xdr:to>
    <xdr:sp macro="[0]!ClearSEBusinessSetupAssistant" textlink="">
      <xdr:nvSpPr>
        <xdr:cNvPr id="3" name="btnClear">
          <a:extLst>
            <a:ext uri="{FF2B5EF4-FFF2-40B4-BE49-F238E27FC236}">
              <a16:creationId xmlns:a16="http://schemas.microsoft.com/office/drawing/2014/main" id="{62702314-9C0D-47D6-AAB8-5DCCB700EF5F}"/>
            </a:ext>
          </a:extLst>
        </xdr:cNvPr>
        <xdr:cNvSpPr/>
      </xdr:nvSpPr>
      <xdr:spPr>
        <a:xfrm>
          <a:off x="5629275" y="57150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6</xdr:col>
      <xdr:colOff>805725</xdr:colOff>
      <xdr:row>3</xdr:row>
      <xdr:rowOff>85725</xdr:rowOff>
    </xdr:from>
    <xdr:to>
      <xdr:col>6</xdr:col>
      <xdr:colOff>2245725</xdr:colOff>
      <xdr:row>3</xdr:row>
      <xdr:rowOff>445725</xdr:rowOff>
    </xdr:to>
    <xdr:sp macro="[0]!CancelSEBusinessSetupAssistant" textlink="">
      <xdr:nvSpPr>
        <xdr:cNvPr id="4" name="btnCancel">
          <a:extLst>
            <a:ext uri="{FF2B5EF4-FFF2-40B4-BE49-F238E27FC236}">
              <a16:creationId xmlns:a16="http://schemas.microsoft.com/office/drawing/2014/main" id="{C93BF8EF-3219-42EB-9F8A-D142C8822856}"/>
            </a:ext>
          </a:extLst>
        </xdr:cNvPr>
        <xdr:cNvSpPr/>
      </xdr:nvSpPr>
      <xdr:spPr>
        <a:xfrm>
          <a:off x="7149375" y="57150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38100</xdr:colOff>
      <xdr:row>0</xdr:row>
      <xdr:rowOff>237070</xdr:rowOff>
    </xdr:from>
    <xdr:to>
      <xdr:col>1</xdr:col>
      <xdr:colOff>838758</xdr:colOff>
      <xdr:row>3</xdr:row>
      <xdr:rowOff>0</xdr:rowOff>
    </xdr:to>
    <xdr:pic>
      <xdr:nvPicPr>
        <xdr:cNvPr id="5" name="imgLogoWBC">
          <a:extLst>
            <a:ext uri="{FF2B5EF4-FFF2-40B4-BE49-F238E27FC236}">
              <a16:creationId xmlns:a16="http://schemas.microsoft.com/office/drawing/2014/main" id="{5016E2C8-4BC8-4038-872D-A540F411112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28600" y="237070"/>
          <a:ext cx="800658" cy="32490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xdr:col>
      <xdr:colOff>228690</xdr:colOff>
      <xdr:row>131</xdr:row>
      <xdr:rowOff>47625</xdr:rowOff>
    </xdr:from>
    <xdr:ext cx="157842" cy="157842"/>
    <xdr:pic macro="[0]!DeleteSERentalIncome">
      <xdr:nvPicPr>
        <xdr:cNvPr id="134" name="btnDelSERentalIncome" hidden="1">
          <a:extLst>
            <a:ext uri="{FF2B5EF4-FFF2-40B4-BE49-F238E27FC236}">
              <a16:creationId xmlns:a16="http://schemas.microsoft.com/office/drawing/2014/main" id="{4D8638A9-90C6-4805-BA08-872B738B36E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629490" y="13115925"/>
          <a:ext cx="157842" cy="157842"/>
        </a:xfrm>
        <a:prstGeom prst="rect">
          <a:avLst/>
        </a:prstGeom>
      </xdr:spPr>
    </xdr:pic>
    <xdr:clientData fPrintsWithSheet="0"/>
  </xdr:oneCellAnchor>
  <xdr:oneCellAnchor>
    <xdr:from>
      <xdr:col>6</xdr:col>
      <xdr:colOff>76200</xdr:colOff>
      <xdr:row>131</xdr:row>
      <xdr:rowOff>47625</xdr:rowOff>
    </xdr:from>
    <xdr:ext cx="154134" cy="154134"/>
    <xdr:pic macro="[0]!ShowSERentalIncome">
      <xdr:nvPicPr>
        <xdr:cNvPr id="133" name="btnEditSERentalIncome" hidden="1">
          <a:extLst>
            <a:ext uri="{FF2B5EF4-FFF2-40B4-BE49-F238E27FC236}">
              <a16:creationId xmlns:a16="http://schemas.microsoft.com/office/drawing/2014/main" id="{87CFEB6D-C2A9-4EA9-AED0-73E88CD4B6E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857875" y="14049375"/>
          <a:ext cx="154134" cy="154134"/>
        </a:xfrm>
        <a:prstGeom prst="rect">
          <a:avLst/>
        </a:prstGeom>
      </xdr:spPr>
    </xdr:pic>
    <xdr:clientData fPrintsWithSheet="0"/>
  </xdr:oneCellAnchor>
  <xdr:oneCellAnchor>
    <xdr:from>
      <xdr:col>6</xdr:col>
      <xdr:colOff>228690</xdr:colOff>
      <xdr:row>133</xdr:row>
      <xdr:rowOff>38100</xdr:rowOff>
    </xdr:from>
    <xdr:ext cx="157842" cy="157842"/>
    <xdr:pic macro="[0]!DeleteSEBusinessLiabilities">
      <xdr:nvPicPr>
        <xdr:cNvPr id="136" name="btnDelSEBusinessLiability" hidden="1">
          <a:extLst>
            <a:ext uri="{FF2B5EF4-FFF2-40B4-BE49-F238E27FC236}">
              <a16:creationId xmlns:a16="http://schemas.microsoft.com/office/drawing/2014/main" id="{B090121F-BAAF-44E5-AFC3-25002D06161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010365" y="15468600"/>
          <a:ext cx="157842" cy="157842"/>
        </a:xfrm>
        <a:prstGeom prst="rect">
          <a:avLst/>
        </a:prstGeom>
      </xdr:spPr>
    </xdr:pic>
    <xdr:clientData fPrintsWithSheet="0"/>
  </xdr:oneCellAnchor>
  <xdr:oneCellAnchor>
    <xdr:from>
      <xdr:col>6</xdr:col>
      <xdr:colOff>76200</xdr:colOff>
      <xdr:row>133</xdr:row>
      <xdr:rowOff>38100</xdr:rowOff>
    </xdr:from>
    <xdr:ext cx="154134" cy="154134"/>
    <xdr:pic macro="[0]!ShowSEBusinessLiabilities">
      <xdr:nvPicPr>
        <xdr:cNvPr id="135" name="btnEditSEBusinessLiability" hidden="1">
          <a:extLst>
            <a:ext uri="{FF2B5EF4-FFF2-40B4-BE49-F238E27FC236}">
              <a16:creationId xmlns:a16="http://schemas.microsoft.com/office/drawing/2014/main" id="{CE06D380-DF8E-4F86-82D2-E527DD6BFA8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77000" y="13677900"/>
          <a:ext cx="154134" cy="154134"/>
        </a:xfrm>
        <a:prstGeom prst="rect">
          <a:avLst/>
        </a:prstGeom>
      </xdr:spPr>
    </xdr:pic>
    <xdr:clientData fPrintsWithSheet="0"/>
  </xdr:oneCellAnchor>
  <xdr:twoCellAnchor editAs="oneCell">
    <xdr:from>
      <xdr:col>10</xdr:col>
      <xdr:colOff>1039950</xdr:colOff>
      <xdr:row>2</xdr:row>
      <xdr:rowOff>152400</xdr:rowOff>
    </xdr:from>
    <xdr:to>
      <xdr:col>12</xdr:col>
      <xdr:colOff>1051200</xdr:colOff>
      <xdr:row>3</xdr:row>
      <xdr:rowOff>312375</xdr:rowOff>
    </xdr:to>
    <xdr:sp macro="[0]!ContinueSEBusinessData" textlink="">
      <xdr:nvSpPr>
        <xdr:cNvPr id="31" name="btnContinue">
          <a:extLst>
            <a:ext uri="{FF2B5EF4-FFF2-40B4-BE49-F238E27FC236}">
              <a16:creationId xmlns:a16="http://schemas.microsoft.com/office/drawing/2014/main" id="{6E852264-AFB3-46A2-BC34-98002EFA144C}"/>
            </a:ext>
          </a:extLst>
        </xdr:cNvPr>
        <xdr:cNvSpPr/>
      </xdr:nvSpPr>
      <xdr:spPr>
        <a:xfrm>
          <a:off x="11155500" y="5524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7</xdr:col>
      <xdr:colOff>638175</xdr:colOff>
      <xdr:row>2</xdr:row>
      <xdr:rowOff>152400</xdr:rowOff>
    </xdr:from>
    <xdr:to>
      <xdr:col>9</xdr:col>
      <xdr:colOff>649425</xdr:colOff>
      <xdr:row>3</xdr:row>
      <xdr:rowOff>312375</xdr:rowOff>
    </xdr:to>
    <xdr:sp macro="[0]!ClearSEBusinessData" textlink="">
      <xdr:nvSpPr>
        <xdr:cNvPr id="32" name="btnClear">
          <a:extLst>
            <a:ext uri="{FF2B5EF4-FFF2-40B4-BE49-F238E27FC236}">
              <a16:creationId xmlns:a16="http://schemas.microsoft.com/office/drawing/2014/main" id="{F52B9BF1-2EE9-4C3D-8D58-04C1D9067B8A}"/>
            </a:ext>
          </a:extLst>
        </xdr:cNvPr>
        <xdr:cNvSpPr/>
      </xdr:nvSpPr>
      <xdr:spPr>
        <a:xfrm>
          <a:off x="8343900" y="5524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9</xdr:col>
      <xdr:colOff>739050</xdr:colOff>
      <xdr:row>2</xdr:row>
      <xdr:rowOff>152400</xdr:rowOff>
    </xdr:from>
    <xdr:to>
      <xdr:col>10</xdr:col>
      <xdr:colOff>940800</xdr:colOff>
      <xdr:row>3</xdr:row>
      <xdr:rowOff>312375</xdr:rowOff>
    </xdr:to>
    <xdr:sp macro="[0]!CancelSEBusinessData" textlink="">
      <xdr:nvSpPr>
        <xdr:cNvPr id="33" name="btnCancel">
          <a:extLst>
            <a:ext uri="{FF2B5EF4-FFF2-40B4-BE49-F238E27FC236}">
              <a16:creationId xmlns:a16="http://schemas.microsoft.com/office/drawing/2014/main" id="{38B7D5CB-BF31-458F-85AC-153E3B8F33B6}"/>
            </a:ext>
          </a:extLst>
        </xdr:cNvPr>
        <xdr:cNvSpPr/>
      </xdr:nvSpPr>
      <xdr:spPr>
        <a:xfrm>
          <a:off x="9873525" y="55245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10</xdr:col>
      <xdr:colOff>1039950</xdr:colOff>
      <xdr:row>152</xdr:row>
      <xdr:rowOff>76200</xdr:rowOff>
    </xdr:from>
    <xdr:to>
      <xdr:col>12</xdr:col>
      <xdr:colOff>1051200</xdr:colOff>
      <xdr:row>173</xdr:row>
      <xdr:rowOff>149126</xdr:rowOff>
    </xdr:to>
    <xdr:sp macro="[0]!ContinueSEBusinessData" textlink="">
      <xdr:nvSpPr>
        <xdr:cNvPr id="34" name="btnContinue">
          <a:extLst>
            <a:ext uri="{FF2B5EF4-FFF2-40B4-BE49-F238E27FC236}">
              <a16:creationId xmlns:a16="http://schemas.microsoft.com/office/drawing/2014/main" id="{1E6B9930-4258-4DA7-B67E-AEE660A97DCA}"/>
            </a:ext>
          </a:extLst>
        </xdr:cNvPr>
        <xdr:cNvSpPr/>
      </xdr:nvSpPr>
      <xdr:spPr>
        <a:xfrm>
          <a:off x="11412675" y="8029575"/>
          <a:ext cx="1440000" cy="387251"/>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7</xdr:col>
      <xdr:colOff>638175</xdr:colOff>
      <xdr:row>152</xdr:row>
      <xdr:rowOff>76200</xdr:rowOff>
    </xdr:from>
    <xdr:to>
      <xdr:col>9</xdr:col>
      <xdr:colOff>649425</xdr:colOff>
      <xdr:row>173</xdr:row>
      <xdr:rowOff>142875</xdr:rowOff>
    </xdr:to>
    <xdr:sp macro="[0]!ClearSEBusinessData" textlink="">
      <xdr:nvSpPr>
        <xdr:cNvPr id="35" name="btnClear">
          <a:extLst>
            <a:ext uri="{FF2B5EF4-FFF2-40B4-BE49-F238E27FC236}">
              <a16:creationId xmlns:a16="http://schemas.microsoft.com/office/drawing/2014/main" id="{3BE32BEB-2C60-4F66-B9F0-CA7C058DF7DD}"/>
            </a:ext>
          </a:extLst>
        </xdr:cNvPr>
        <xdr:cNvSpPr/>
      </xdr:nvSpPr>
      <xdr:spPr>
        <a:xfrm>
          <a:off x="8343900" y="8029575"/>
          <a:ext cx="1440000" cy="381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9</xdr:col>
      <xdr:colOff>739050</xdr:colOff>
      <xdr:row>152</xdr:row>
      <xdr:rowOff>76200</xdr:rowOff>
    </xdr:from>
    <xdr:to>
      <xdr:col>10</xdr:col>
      <xdr:colOff>940800</xdr:colOff>
      <xdr:row>173</xdr:row>
      <xdr:rowOff>142875</xdr:rowOff>
    </xdr:to>
    <xdr:sp macro="[0]!CancelSEBusinessData" textlink="">
      <xdr:nvSpPr>
        <xdr:cNvPr id="36" name="btnCancel">
          <a:extLst>
            <a:ext uri="{FF2B5EF4-FFF2-40B4-BE49-F238E27FC236}">
              <a16:creationId xmlns:a16="http://schemas.microsoft.com/office/drawing/2014/main" id="{4132F59D-B620-42B3-BF7A-9C30BDE84D18}"/>
            </a:ext>
          </a:extLst>
        </xdr:cNvPr>
        <xdr:cNvSpPr/>
      </xdr:nvSpPr>
      <xdr:spPr>
        <a:xfrm>
          <a:off x="9873525" y="8029575"/>
          <a:ext cx="1440000" cy="381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1</xdr:col>
      <xdr:colOff>851951</xdr:colOff>
      <xdr:row>2</xdr:row>
      <xdr:rowOff>180975</xdr:rowOff>
    </xdr:to>
    <xdr:pic>
      <xdr:nvPicPr>
        <xdr:cNvPr id="27" name="imgLogoWBC">
          <a:extLst>
            <a:ext uri="{FF2B5EF4-FFF2-40B4-BE49-F238E27FC236}">
              <a16:creationId xmlns:a16="http://schemas.microsoft.com/office/drawing/2014/main" id="{16F727E6-D30F-442A-ACA3-02BC21490BE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793" y="256120"/>
          <a:ext cx="800658" cy="324905"/>
        </a:xfrm>
        <a:prstGeom prst="rect">
          <a:avLst/>
        </a:prstGeom>
      </xdr:spPr>
    </xdr:pic>
    <xdr:clientData/>
  </xdr:twoCellAnchor>
  <xdr:twoCellAnchor editAs="oneCell">
    <xdr:from>
      <xdr:col>11</xdr:col>
      <xdr:colOff>171450</xdr:colOff>
      <xdr:row>7</xdr:row>
      <xdr:rowOff>152400</xdr:rowOff>
    </xdr:from>
    <xdr:to>
      <xdr:col>12</xdr:col>
      <xdr:colOff>135750</xdr:colOff>
      <xdr:row>8</xdr:row>
      <xdr:rowOff>69075</xdr:rowOff>
    </xdr:to>
    <xdr:pic macro="[0]!SEBusinessABNLookup">
      <xdr:nvPicPr>
        <xdr:cNvPr id="2" name="btnABNBusiness">
          <a:extLst>
            <a:ext uri="{FF2B5EF4-FFF2-40B4-BE49-F238E27FC236}">
              <a16:creationId xmlns:a16="http://schemas.microsoft.com/office/drawing/2014/main" id="{FE83A516-9D89-48C2-B582-FCBED696EAE2}"/>
            </a:ext>
          </a:extLst>
        </xdr:cNvPr>
        <xdr:cNvPicPr>
          <a:picLocks noChangeAspect="1"/>
        </xdr:cNvPicPr>
      </xdr:nvPicPr>
      <xdr:blipFill>
        <a:blip xmlns:r="http://schemas.openxmlformats.org/officeDocument/2006/relationships" r:embed="rId5">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1430000" y="1724025"/>
          <a:ext cx="154800" cy="154800"/>
        </a:xfrm>
        <a:prstGeom prst="rect">
          <a:avLst/>
        </a:prstGeom>
      </xdr:spPr>
    </xdr:pic>
    <xdr:clientData/>
  </xdr:twoCellAnchor>
  <xdr:twoCellAnchor editAs="oneCell">
    <xdr:from>
      <xdr:col>1</xdr:col>
      <xdr:colOff>3095625</xdr:colOff>
      <xdr:row>125</xdr:row>
      <xdr:rowOff>28575</xdr:rowOff>
    </xdr:from>
    <xdr:to>
      <xdr:col>1</xdr:col>
      <xdr:colOff>3275625</xdr:colOff>
      <xdr:row>172</xdr:row>
      <xdr:rowOff>183454</xdr:rowOff>
    </xdr:to>
    <xdr:pic macro="[0]!AddOtherSubtractions">
      <xdr:nvPicPr>
        <xdr:cNvPr id="132" name="btnAddNonRecurringIncome" hidden="1">
          <a:extLst>
            <a:ext uri="{FF2B5EF4-FFF2-40B4-BE49-F238E27FC236}">
              <a16:creationId xmlns:a16="http://schemas.microsoft.com/office/drawing/2014/main" id="{E6E3BED0-B80F-4D74-B70F-FEAF5E7EF975}"/>
            </a:ext>
          </a:extLst>
        </xdr:cNvPr>
        <xdr:cNvPicPr>
          <a:picLocks noChangeAspect="1"/>
        </xdr:cNvPicPr>
      </xdr:nvPicPr>
      <xdr:blipFill>
        <a:blip xmlns:r="http://schemas.openxmlformats.org/officeDocument/2006/relationships" r:embed="rId6">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286125" y="5410200"/>
          <a:ext cx="180000" cy="180279"/>
        </a:xfrm>
        <a:prstGeom prst="rect">
          <a:avLst/>
        </a:prstGeom>
      </xdr:spPr>
    </xdr:pic>
    <xdr:clientData/>
  </xdr:twoCellAnchor>
  <xdr:twoCellAnchor editAs="oneCell">
    <xdr:from>
      <xdr:col>1</xdr:col>
      <xdr:colOff>3095625</xdr:colOff>
      <xdr:row>119</xdr:row>
      <xdr:rowOff>38100</xdr:rowOff>
    </xdr:from>
    <xdr:to>
      <xdr:col>1</xdr:col>
      <xdr:colOff>3275625</xdr:colOff>
      <xdr:row>172</xdr:row>
      <xdr:rowOff>179387</xdr:rowOff>
    </xdr:to>
    <xdr:pic macro="[0]!AddOtherAdditions">
      <xdr:nvPicPr>
        <xdr:cNvPr id="131" name="btnAddNonRecurringExpense" hidden="1">
          <a:extLst>
            <a:ext uri="{FF2B5EF4-FFF2-40B4-BE49-F238E27FC236}">
              <a16:creationId xmlns:a16="http://schemas.microsoft.com/office/drawing/2014/main" id="{C63DDBD5-D122-47CE-9802-A49EB13E0E94}"/>
            </a:ext>
          </a:extLst>
        </xdr:cNvPr>
        <xdr:cNvPicPr>
          <a:picLocks noChangeAspect="1"/>
        </xdr:cNvPicPr>
      </xdr:nvPicPr>
      <xdr:blipFill>
        <a:blip xmlns:r="http://schemas.openxmlformats.org/officeDocument/2006/relationships" r:embed="rId6">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286125" y="16964025"/>
          <a:ext cx="180000" cy="180975"/>
        </a:xfrm>
        <a:prstGeom prst="rect">
          <a:avLst/>
        </a:prstGeom>
      </xdr:spPr>
    </xdr:pic>
    <xdr:clientData/>
  </xdr:twoCellAnchor>
  <xdr:twoCellAnchor editAs="oneCell">
    <xdr:from>
      <xdr:col>6</xdr:col>
      <xdr:colOff>76200</xdr:colOff>
      <xdr:row>137</xdr:row>
      <xdr:rowOff>28575</xdr:rowOff>
    </xdr:from>
    <xdr:to>
      <xdr:col>6</xdr:col>
      <xdr:colOff>256200</xdr:colOff>
      <xdr:row>172</xdr:row>
      <xdr:rowOff>178412</xdr:rowOff>
    </xdr:to>
    <xdr:pic macro="[0]!ShowCompanyTaxOverride">
      <xdr:nvPicPr>
        <xdr:cNvPr id="137" name="btnOverrideCompanyTaxRate" hidden="1">
          <a:extLst>
            <a:ext uri="{FF2B5EF4-FFF2-40B4-BE49-F238E27FC236}">
              <a16:creationId xmlns:a16="http://schemas.microsoft.com/office/drawing/2014/main" id="{703A048A-47C6-4171-AB33-22D424A2D818}"/>
            </a:ext>
          </a:extLst>
        </xdr:cNvPr>
        <xdr:cNvPicPr>
          <a:picLocks noChangeAspect="1"/>
        </xdr:cNvPicPr>
      </xdr:nvPicPr>
      <xdr:blipFill>
        <a:blip xmlns:r="http://schemas.openxmlformats.org/officeDocument/2006/relationships" r:embed="rId7">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6477000" y="14716125"/>
          <a:ext cx="180000" cy="180000"/>
        </a:xfrm>
        <a:prstGeom prst="rect">
          <a:avLst/>
        </a:prstGeom>
      </xdr:spPr>
    </xdr:pic>
    <xdr:clientData/>
  </xdr:twoCellAnchor>
  <xdr:twoCellAnchor editAs="oneCell">
    <xdr:from>
      <xdr:col>1</xdr:col>
      <xdr:colOff>3362325</xdr:colOff>
      <xdr:row>14</xdr:row>
      <xdr:rowOff>28575</xdr:rowOff>
    </xdr:from>
    <xdr:to>
      <xdr:col>2</xdr:col>
      <xdr:colOff>122850</xdr:colOff>
      <xdr:row>14</xdr:row>
      <xdr:rowOff>208575</xdr:rowOff>
    </xdr:to>
    <xdr:pic macro="ShowHelpMessage">
      <xdr:nvPicPr>
        <xdr:cNvPr id="138" name="btnHelpAssociatedApplicant">
          <a:extLst>
            <a:ext uri="{FF2B5EF4-FFF2-40B4-BE49-F238E27FC236}">
              <a16:creationId xmlns:a16="http://schemas.microsoft.com/office/drawing/2014/main" id="{F181D157-5283-42DA-BF4D-0537567C8E1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2838450"/>
          <a:ext cx="180000" cy="180000"/>
        </a:xfrm>
        <a:prstGeom prst="rect">
          <a:avLst/>
        </a:prstGeom>
      </xdr:spPr>
    </xdr:pic>
    <xdr:clientData fPrintsWithSheet="0"/>
  </xdr:twoCellAnchor>
  <xdr:twoCellAnchor editAs="oneCell">
    <xdr:from>
      <xdr:col>1</xdr:col>
      <xdr:colOff>3362325</xdr:colOff>
      <xdr:row>26</xdr:row>
      <xdr:rowOff>30162</xdr:rowOff>
    </xdr:from>
    <xdr:to>
      <xdr:col>2</xdr:col>
      <xdr:colOff>122850</xdr:colOff>
      <xdr:row>172</xdr:row>
      <xdr:rowOff>180000</xdr:rowOff>
    </xdr:to>
    <xdr:pic macro="ShowHelpMessage">
      <xdr:nvPicPr>
        <xdr:cNvPr id="139" name="btnHelpSEFrankingCredit" hidden="1">
          <a:extLst>
            <a:ext uri="{FF2B5EF4-FFF2-40B4-BE49-F238E27FC236}">
              <a16:creationId xmlns:a16="http://schemas.microsoft.com/office/drawing/2014/main" id="{BD707CB7-08EC-4FAA-8F2A-E8D15BCB8DD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5316537"/>
          <a:ext cx="180000" cy="180000"/>
        </a:xfrm>
        <a:prstGeom prst="rect">
          <a:avLst/>
        </a:prstGeom>
      </xdr:spPr>
    </xdr:pic>
    <xdr:clientData fPrintsWithSheet="0"/>
  </xdr:twoCellAnchor>
  <xdr:twoCellAnchor editAs="oneCell">
    <xdr:from>
      <xdr:col>1</xdr:col>
      <xdr:colOff>3362325</xdr:colOff>
      <xdr:row>27</xdr:row>
      <xdr:rowOff>30162</xdr:rowOff>
    </xdr:from>
    <xdr:to>
      <xdr:col>2</xdr:col>
      <xdr:colOff>122850</xdr:colOff>
      <xdr:row>172</xdr:row>
      <xdr:rowOff>180000</xdr:rowOff>
    </xdr:to>
    <xdr:pic macro="ShowHelpMessage">
      <xdr:nvPicPr>
        <xdr:cNvPr id="140" name="btnHelpAssessedFrankingCredit" hidden="1">
          <a:extLst>
            <a:ext uri="{FF2B5EF4-FFF2-40B4-BE49-F238E27FC236}">
              <a16:creationId xmlns:a16="http://schemas.microsoft.com/office/drawing/2014/main" id="{E52CAA46-B7DF-4A23-AEF6-FEF1D48AA6F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5554662"/>
          <a:ext cx="180000" cy="180000"/>
        </a:xfrm>
        <a:prstGeom prst="rect">
          <a:avLst/>
        </a:prstGeom>
      </xdr:spPr>
    </xdr:pic>
    <xdr:clientData fPrintsWithSheet="0"/>
  </xdr:twoCellAnchor>
  <xdr:twoCellAnchor editAs="oneCell">
    <xdr:from>
      <xdr:col>1</xdr:col>
      <xdr:colOff>3362325</xdr:colOff>
      <xdr:row>36</xdr:row>
      <xdr:rowOff>19050</xdr:rowOff>
    </xdr:from>
    <xdr:to>
      <xdr:col>2</xdr:col>
      <xdr:colOff>122850</xdr:colOff>
      <xdr:row>172</xdr:row>
      <xdr:rowOff>180000</xdr:rowOff>
    </xdr:to>
    <xdr:pic macro="ShowHelpMessage">
      <xdr:nvPicPr>
        <xdr:cNvPr id="141" name="btnHelpUseUndistributedProfit" hidden="1">
          <a:extLst>
            <a:ext uri="{FF2B5EF4-FFF2-40B4-BE49-F238E27FC236}">
              <a16:creationId xmlns:a16="http://schemas.microsoft.com/office/drawing/2014/main" id="{37EAE7FB-311E-4DDD-AF04-1584D02F977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7400925"/>
          <a:ext cx="180000" cy="180000"/>
        </a:xfrm>
        <a:prstGeom prst="rect">
          <a:avLst/>
        </a:prstGeom>
      </xdr:spPr>
    </xdr:pic>
    <xdr:clientData fPrintsWithSheet="0"/>
  </xdr:twoCellAnchor>
  <xdr:twoCellAnchor editAs="oneCell">
    <xdr:from>
      <xdr:col>1</xdr:col>
      <xdr:colOff>3362325</xdr:colOff>
      <xdr:row>37</xdr:row>
      <xdr:rowOff>19050</xdr:rowOff>
    </xdr:from>
    <xdr:to>
      <xdr:col>2</xdr:col>
      <xdr:colOff>122850</xdr:colOff>
      <xdr:row>172</xdr:row>
      <xdr:rowOff>180000</xdr:rowOff>
    </xdr:to>
    <xdr:pic macro="ShowHelpMessage">
      <xdr:nvPicPr>
        <xdr:cNvPr id="142" name="btnHelpUseTrustAddBack" hidden="1">
          <a:extLst>
            <a:ext uri="{FF2B5EF4-FFF2-40B4-BE49-F238E27FC236}">
              <a16:creationId xmlns:a16="http://schemas.microsoft.com/office/drawing/2014/main" id="{8DE74023-B589-4481-B6AA-6FB85915C07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7639050"/>
          <a:ext cx="180000" cy="180000"/>
        </a:xfrm>
        <a:prstGeom prst="rect">
          <a:avLst/>
        </a:prstGeom>
      </xdr:spPr>
    </xdr:pic>
    <xdr:clientData fPrintsWithSheet="0"/>
  </xdr:twoCellAnchor>
  <xdr:twoCellAnchor editAs="oneCell">
    <xdr:from>
      <xdr:col>1</xdr:col>
      <xdr:colOff>3362325</xdr:colOff>
      <xdr:row>110</xdr:row>
      <xdr:rowOff>19050</xdr:rowOff>
    </xdr:from>
    <xdr:to>
      <xdr:col>2</xdr:col>
      <xdr:colOff>122850</xdr:colOff>
      <xdr:row>172</xdr:row>
      <xdr:rowOff>180000</xdr:rowOff>
    </xdr:to>
    <xdr:pic macro="ShowHelpMessage">
      <xdr:nvPicPr>
        <xdr:cNvPr id="143" name="btnHelpNetProfitLoss" hidden="1">
          <a:extLst>
            <a:ext uri="{FF2B5EF4-FFF2-40B4-BE49-F238E27FC236}">
              <a16:creationId xmlns:a16="http://schemas.microsoft.com/office/drawing/2014/main" id="{8B97C70F-0EFF-422B-BFDA-406FE6A6139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24545925"/>
          <a:ext cx="180000" cy="180000"/>
        </a:xfrm>
        <a:prstGeom prst="rect">
          <a:avLst/>
        </a:prstGeom>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xdr:col>
      <xdr:colOff>51293</xdr:colOff>
      <xdr:row>1</xdr:row>
      <xdr:rowOff>56095</xdr:rowOff>
    </xdr:from>
    <xdr:to>
      <xdr:col>1</xdr:col>
      <xdr:colOff>851951</xdr:colOff>
      <xdr:row>2</xdr:row>
      <xdr:rowOff>180975</xdr:rowOff>
    </xdr:to>
    <xdr:pic>
      <xdr:nvPicPr>
        <xdr:cNvPr id="5776" name="imgLogoWBC">
          <a:extLst>
            <a:ext uri="{FF2B5EF4-FFF2-40B4-BE49-F238E27FC236}">
              <a16:creationId xmlns:a16="http://schemas.microsoft.com/office/drawing/2014/main" id="{DF306E82-1BAC-4C2C-9418-A2880678428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twoCellAnchor editAs="oneCell">
    <xdr:from>
      <xdr:col>11</xdr:col>
      <xdr:colOff>2466975</xdr:colOff>
      <xdr:row>1</xdr:row>
      <xdr:rowOff>0</xdr:rowOff>
    </xdr:from>
    <xdr:to>
      <xdr:col>11</xdr:col>
      <xdr:colOff>3906975</xdr:colOff>
      <xdr:row>2</xdr:row>
      <xdr:rowOff>159975</xdr:rowOff>
    </xdr:to>
    <xdr:sp macro="[0]!BackSEBusinessDiagram" textlink="">
      <xdr:nvSpPr>
        <xdr:cNvPr id="6411" name="btnBack">
          <a:extLst>
            <a:ext uri="{FF2B5EF4-FFF2-40B4-BE49-F238E27FC236}">
              <a16:creationId xmlns:a16="http://schemas.microsoft.com/office/drawing/2014/main" id="{6FFD52D5-E285-471A-B431-B822FADB37AF}"/>
            </a:ext>
          </a:extLst>
        </xdr:cNvPr>
        <xdr:cNvSpPr/>
      </xdr:nvSpPr>
      <xdr:spPr>
        <a:xfrm>
          <a:off x="13258800" y="20002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Back</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oneCellAnchor>
    <xdr:from>
      <xdr:col>11</xdr:col>
      <xdr:colOff>923925</xdr:colOff>
      <xdr:row>1</xdr:row>
      <xdr:rowOff>0</xdr:rowOff>
    </xdr:from>
    <xdr:ext cx="1440000" cy="360000"/>
    <xdr:sp macro="[0]!ExportWorksheetToPDF" textlink="">
      <xdr:nvSpPr>
        <xdr:cNvPr id="6475" name="btnCreatePDF">
          <a:extLst>
            <a:ext uri="{FF2B5EF4-FFF2-40B4-BE49-F238E27FC236}">
              <a16:creationId xmlns:a16="http://schemas.microsoft.com/office/drawing/2014/main" id="{48184455-27C3-494C-A719-F69C7E6E8E13}"/>
            </a:ext>
          </a:extLst>
        </xdr:cNvPr>
        <xdr:cNvSpPr/>
      </xdr:nvSpPr>
      <xdr:spPr>
        <a:xfrm>
          <a:off x="11715750" y="200025"/>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xdr:from>
      <xdr:col>1</xdr:col>
      <xdr:colOff>123825</xdr:colOff>
      <xdr:row>12</xdr:row>
      <xdr:rowOff>57150</xdr:rowOff>
    </xdr:from>
    <xdr:to>
      <xdr:col>1</xdr:col>
      <xdr:colOff>483825</xdr:colOff>
      <xdr:row>14</xdr:row>
      <xdr:rowOff>93300</xdr:rowOff>
    </xdr:to>
    <xdr:pic>
      <xdr:nvPicPr>
        <xdr:cNvPr id="12511" name="imgApplicant" descr="Man with solid fill">
          <a:extLst>
            <a:ext uri="{FF2B5EF4-FFF2-40B4-BE49-F238E27FC236}">
              <a16:creationId xmlns:a16="http://schemas.microsoft.com/office/drawing/2014/main" id="{23D55D1C-87F5-0C7C-4C65-EB83200A290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14325" y="2752725"/>
          <a:ext cx="360000" cy="360000"/>
        </a:xfrm>
        <a:prstGeom prst="rect">
          <a:avLst/>
        </a:prstGeom>
      </xdr:spPr>
    </xdr:pic>
    <xdr:clientData/>
  </xdr:twoCellAnchor>
  <xdr:twoCellAnchor>
    <xdr:from>
      <xdr:col>1</xdr:col>
      <xdr:colOff>123825</xdr:colOff>
      <xdr:row>18</xdr:row>
      <xdr:rowOff>59512</xdr:rowOff>
    </xdr:from>
    <xdr:to>
      <xdr:col>1</xdr:col>
      <xdr:colOff>483825</xdr:colOff>
      <xdr:row>20</xdr:row>
      <xdr:rowOff>95662</xdr:rowOff>
    </xdr:to>
    <xdr:pic>
      <xdr:nvPicPr>
        <xdr:cNvPr id="12513" name="imgPartnership" descr="Group of men with solid fill">
          <a:extLst>
            <a:ext uri="{FF2B5EF4-FFF2-40B4-BE49-F238E27FC236}">
              <a16:creationId xmlns:a16="http://schemas.microsoft.com/office/drawing/2014/main" id="{F8CF1062-1AA0-D2E6-B71C-8DD28CE4DF5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14325" y="3726637"/>
          <a:ext cx="360000" cy="360000"/>
        </a:xfrm>
        <a:prstGeom prst="rect">
          <a:avLst/>
        </a:prstGeom>
      </xdr:spPr>
    </xdr:pic>
    <xdr:clientData/>
  </xdr:twoCellAnchor>
  <xdr:twoCellAnchor>
    <xdr:from>
      <xdr:col>1</xdr:col>
      <xdr:colOff>123825</xdr:colOff>
      <xdr:row>24</xdr:row>
      <xdr:rowOff>61875</xdr:rowOff>
    </xdr:from>
    <xdr:to>
      <xdr:col>1</xdr:col>
      <xdr:colOff>483825</xdr:colOff>
      <xdr:row>26</xdr:row>
      <xdr:rowOff>98025</xdr:rowOff>
    </xdr:to>
    <xdr:pic>
      <xdr:nvPicPr>
        <xdr:cNvPr id="12515" name="imgTrust" descr="Shield with solid fill">
          <a:extLst>
            <a:ext uri="{FF2B5EF4-FFF2-40B4-BE49-F238E27FC236}">
              <a16:creationId xmlns:a16="http://schemas.microsoft.com/office/drawing/2014/main" id="{7AEAEB55-4E5E-FABE-A48F-0150721C624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14325" y="4319550"/>
          <a:ext cx="360000" cy="360000"/>
        </a:xfrm>
        <a:prstGeom prst="rect">
          <a:avLst/>
        </a:prstGeom>
      </xdr:spPr>
    </xdr:pic>
    <xdr:clientData/>
  </xdr:twoCellAnchor>
  <xdr:twoCellAnchor>
    <xdr:from>
      <xdr:col>1</xdr:col>
      <xdr:colOff>123825</xdr:colOff>
      <xdr:row>21</xdr:row>
      <xdr:rowOff>60693</xdr:rowOff>
    </xdr:from>
    <xdr:to>
      <xdr:col>1</xdr:col>
      <xdr:colOff>483825</xdr:colOff>
      <xdr:row>23</xdr:row>
      <xdr:rowOff>96843</xdr:rowOff>
    </xdr:to>
    <xdr:pic>
      <xdr:nvPicPr>
        <xdr:cNvPr id="12517" name="imgCompany" descr="Building with solid fill">
          <a:extLst>
            <a:ext uri="{FF2B5EF4-FFF2-40B4-BE49-F238E27FC236}">
              <a16:creationId xmlns:a16="http://schemas.microsoft.com/office/drawing/2014/main" id="{18EE1138-EA40-CDF2-5E67-C8EDA7AFFD4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14325" y="4213593"/>
          <a:ext cx="360000" cy="360000"/>
        </a:xfrm>
        <a:prstGeom prst="rect">
          <a:avLst/>
        </a:prstGeom>
      </xdr:spPr>
    </xdr:pic>
    <xdr:clientData/>
  </xdr:twoCellAnchor>
  <xdr:twoCellAnchor>
    <xdr:from>
      <xdr:col>1</xdr:col>
      <xdr:colOff>123825</xdr:colOff>
      <xdr:row>15</xdr:row>
      <xdr:rowOff>58331</xdr:rowOff>
    </xdr:from>
    <xdr:to>
      <xdr:col>1</xdr:col>
      <xdr:colOff>483825</xdr:colOff>
      <xdr:row>17</xdr:row>
      <xdr:rowOff>94481</xdr:rowOff>
    </xdr:to>
    <xdr:pic>
      <xdr:nvPicPr>
        <xdr:cNvPr id="12519" name="imgSoleTrader" descr="Address Book with solid fill">
          <a:extLst>
            <a:ext uri="{FF2B5EF4-FFF2-40B4-BE49-F238E27FC236}">
              <a16:creationId xmlns:a16="http://schemas.microsoft.com/office/drawing/2014/main" id="{D12E13F5-A0D3-5F39-4D08-F1FBA0D1B8E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14325" y="3239681"/>
          <a:ext cx="360000" cy="360000"/>
        </a:xfrm>
        <a:prstGeom prst="rect">
          <a:avLst/>
        </a:prstGeom>
      </xdr:spPr>
    </xdr:pic>
    <xdr:clientData/>
  </xdr:twoCellAnchor>
  <xdr:twoCellAnchor>
    <xdr:from>
      <xdr:col>1</xdr:col>
      <xdr:colOff>9525</xdr:colOff>
      <xdr:row>11</xdr:row>
      <xdr:rowOff>38100</xdr:rowOff>
    </xdr:from>
    <xdr:to>
      <xdr:col>2</xdr:col>
      <xdr:colOff>19050</xdr:colOff>
      <xdr:row>40</xdr:row>
      <xdr:rowOff>0</xdr:rowOff>
    </xdr:to>
    <xdr:sp macro="" textlink="">
      <xdr:nvSpPr>
        <xdr:cNvPr id="13110" name="imgLegendBorder">
          <a:extLst>
            <a:ext uri="{FF2B5EF4-FFF2-40B4-BE49-F238E27FC236}">
              <a16:creationId xmlns:a16="http://schemas.microsoft.com/office/drawing/2014/main" id="{1F1EB572-0289-DF5A-B484-65224BD9E136}"/>
            </a:ext>
          </a:extLst>
        </xdr:cNvPr>
        <xdr:cNvSpPr/>
      </xdr:nvSpPr>
      <xdr:spPr>
        <a:xfrm>
          <a:off x="200025" y="2190750"/>
          <a:ext cx="2419350" cy="4657725"/>
        </a:xfrm>
        <a:prstGeom prst="rect">
          <a:avLst/>
        </a:prstGeom>
        <a:noFill/>
        <a:ln w="9525" cap="flat" cmpd="sng">
          <a:solidFill>
            <a:schemeClr val="accent6"/>
          </a:solidFill>
          <a:prstDash val="solid"/>
          <a:round/>
          <a:headEnd type="none" w="sm" len="sm"/>
          <a:tailEnd type="none" w="sm" len="sm"/>
        </a:ln>
      </xdr:spPr>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76200</xdr:colOff>
      <xdr:row>10</xdr:row>
      <xdr:rowOff>76200</xdr:rowOff>
    </xdr:from>
    <xdr:to>
      <xdr:col>1</xdr:col>
      <xdr:colOff>688675</xdr:colOff>
      <xdr:row>11</xdr:row>
      <xdr:rowOff>154084</xdr:rowOff>
    </xdr:to>
    <xdr:sp macro="" textlink="">
      <xdr:nvSpPr>
        <xdr:cNvPr id="13427" name="imgLegendHeading">
          <a:extLst>
            <a:ext uri="{FF2B5EF4-FFF2-40B4-BE49-F238E27FC236}">
              <a16:creationId xmlns:a16="http://schemas.microsoft.com/office/drawing/2014/main" id="{CE68B9F6-35EB-A2B9-5EBE-815634E2EF83}"/>
            </a:ext>
          </a:extLst>
        </xdr:cNvPr>
        <xdr:cNvSpPr txBox="1"/>
      </xdr:nvSpPr>
      <xdr:spPr>
        <a:xfrm>
          <a:off x="266700" y="2447925"/>
          <a:ext cx="612475" cy="23980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000">
              <a:solidFill>
                <a:schemeClr val="tx2"/>
              </a:solidFill>
              <a:latin typeface="Arial" panose="020B0604020202020204" pitchFamily="34" charset="0"/>
              <a:cs typeface="Arial" panose="020B0604020202020204" pitchFamily="34" charset="0"/>
            </a:rPr>
            <a:t>Legend</a:t>
          </a:r>
        </a:p>
      </xdr:txBody>
    </xdr:sp>
    <xdr:clientData/>
  </xdr:twoCellAnchor>
  <xdr:twoCellAnchor>
    <xdr:from>
      <xdr:col>1</xdr:col>
      <xdr:colOff>123825</xdr:colOff>
      <xdr:row>28</xdr:row>
      <xdr:rowOff>76200</xdr:rowOff>
    </xdr:from>
    <xdr:to>
      <xdr:col>1</xdr:col>
      <xdr:colOff>483825</xdr:colOff>
      <xdr:row>30</xdr:row>
      <xdr:rowOff>112350</xdr:rowOff>
    </xdr:to>
    <xdr:pic>
      <xdr:nvPicPr>
        <xdr:cNvPr id="13411" name="imgApplicantActive" descr="Man with solid fill">
          <a:extLst>
            <a:ext uri="{FF2B5EF4-FFF2-40B4-BE49-F238E27FC236}">
              <a16:creationId xmlns:a16="http://schemas.microsoft.com/office/drawing/2014/main" id="{10637814-2DC7-498E-997E-A49CB3697E5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14325" y="4981575"/>
          <a:ext cx="360000" cy="360000"/>
        </a:xfrm>
        <a:prstGeom prst="rect">
          <a:avLst/>
        </a:prstGeom>
      </xdr:spPr>
    </xdr:pic>
    <xdr:clientData/>
  </xdr:twoCellAnchor>
  <xdr:twoCellAnchor>
    <xdr:from>
      <xdr:col>1</xdr:col>
      <xdr:colOff>123825</xdr:colOff>
      <xdr:row>31</xdr:row>
      <xdr:rowOff>66675</xdr:rowOff>
    </xdr:from>
    <xdr:to>
      <xdr:col>1</xdr:col>
      <xdr:colOff>483825</xdr:colOff>
      <xdr:row>33</xdr:row>
      <xdr:rowOff>102825</xdr:rowOff>
    </xdr:to>
    <xdr:pic>
      <xdr:nvPicPr>
        <xdr:cNvPr id="13412" name="imgApplicantFastTrack" descr="Man with solid fill">
          <a:extLst>
            <a:ext uri="{FF2B5EF4-FFF2-40B4-BE49-F238E27FC236}">
              <a16:creationId xmlns:a16="http://schemas.microsoft.com/office/drawing/2014/main" id="{09DB1D13-DDB5-4939-ACDD-BF81001393E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14325" y="5457825"/>
          <a:ext cx="360000" cy="360000"/>
        </a:xfrm>
        <a:prstGeom prst="rect">
          <a:avLst/>
        </a:prstGeom>
      </xdr:spPr>
    </xdr:pic>
    <xdr:clientData/>
  </xdr:twoCellAnchor>
  <xdr:twoCellAnchor>
    <xdr:from>
      <xdr:col>1</xdr:col>
      <xdr:colOff>208575</xdr:colOff>
      <xdr:row>37</xdr:row>
      <xdr:rowOff>152400</xdr:rowOff>
    </xdr:from>
    <xdr:to>
      <xdr:col>1</xdr:col>
      <xdr:colOff>399075</xdr:colOff>
      <xdr:row>39</xdr:row>
      <xdr:rowOff>19050</xdr:rowOff>
    </xdr:to>
    <xdr:sp macro="" textlink="">
      <xdr:nvSpPr>
        <xdr:cNvPr id="13413" name="imgNoBeneficialOwnership">
          <a:extLst>
            <a:ext uri="{FF2B5EF4-FFF2-40B4-BE49-F238E27FC236}">
              <a16:creationId xmlns:a16="http://schemas.microsoft.com/office/drawing/2014/main" id="{976E1DC1-6783-B12D-800B-EF1C12D411AE}"/>
            </a:ext>
          </a:extLst>
        </xdr:cNvPr>
        <xdr:cNvSpPr/>
      </xdr:nvSpPr>
      <xdr:spPr>
        <a:xfrm>
          <a:off x="399075" y="6515100"/>
          <a:ext cx="190500" cy="190500"/>
        </a:xfrm>
        <a:prstGeom prst="rect">
          <a:avLst/>
        </a:prstGeom>
        <a:solidFill>
          <a:srgbClr val="FFEAE1"/>
        </a:solidFill>
        <a:ln w="9525" cap="flat" cmpd="sng">
          <a:solidFill>
            <a:srgbClr val="C53900"/>
          </a:solidFill>
          <a:prstDash val="solid"/>
          <a:round/>
          <a:headEnd type="none" w="sm" len="sm"/>
          <a:tailEnd type="none" w="sm" len="sm"/>
        </a:ln>
      </xdr:spPr>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208575</xdr:colOff>
      <xdr:row>34</xdr:row>
      <xdr:rowOff>152400</xdr:rowOff>
    </xdr:from>
    <xdr:to>
      <xdr:col>1</xdr:col>
      <xdr:colOff>399075</xdr:colOff>
      <xdr:row>36</xdr:row>
      <xdr:rowOff>19050</xdr:rowOff>
    </xdr:to>
    <xdr:sp macro="" textlink="">
      <xdr:nvSpPr>
        <xdr:cNvPr id="13414" name="imgSimpleSolvency">
          <a:extLst>
            <a:ext uri="{FF2B5EF4-FFF2-40B4-BE49-F238E27FC236}">
              <a16:creationId xmlns:a16="http://schemas.microsoft.com/office/drawing/2014/main" id="{85619D3C-A0B1-4898-BB78-261276CFA5CE}"/>
            </a:ext>
          </a:extLst>
        </xdr:cNvPr>
        <xdr:cNvSpPr/>
      </xdr:nvSpPr>
      <xdr:spPr>
        <a:xfrm>
          <a:off x="399075" y="6029325"/>
          <a:ext cx="190500" cy="190500"/>
        </a:xfrm>
        <a:prstGeom prst="rect">
          <a:avLst/>
        </a:prstGeom>
        <a:solidFill>
          <a:srgbClr val="D3D3D3"/>
        </a:solidFill>
        <a:ln w="9525" cap="flat" cmpd="sng">
          <a:solidFill>
            <a:srgbClr val="D3D3D3"/>
          </a:solidFill>
          <a:prstDash val="solid"/>
          <a:round/>
          <a:headEnd type="none" w="sm" len="sm"/>
          <a:tailEnd type="none" w="sm" len="sm"/>
        </a:ln>
      </xdr:spPr>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458498</xdr:colOff>
      <xdr:row>2</xdr:row>
      <xdr:rowOff>174625</xdr:rowOff>
    </xdr:from>
    <xdr:to>
      <xdr:col>14</xdr:col>
      <xdr:colOff>945998</xdr:colOff>
      <xdr:row>3</xdr:row>
      <xdr:rowOff>334600</xdr:rowOff>
    </xdr:to>
    <xdr:sp macro="[0]!ContinueSEBusinessLiabilities" textlink="">
      <xdr:nvSpPr>
        <xdr:cNvPr id="5" name="btnContinue">
          <a:extLst>
            <a:ext uri="{FF2B5EF4-FFF2-40B4-BE49-F238E27FC236}">
              <a16:creationId xmlns:a16="http://schemas.microsoft.com/office/drawing/2014/main" id="{383E93E2-1A4C-4B39-B06D-4EB1C569A906}"/>
            </a:ext>
          </a:extLst>
        </xdr:cNvPr>
        <xdr:cNvSpPr/>
      </xdr:nvSpPr>
      <xdr:spPr>
        <a:xfrm>
          <a:off x="13850648" y="57467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9</xdr:col>
      <xdr:colOff>1090249</xdr:colOff>
      <xdr:row>2</xdr:row>
      <xdr:rowOff>174625</xdr:rowOff>
    </xdr:from>
    <xdr:to>
      <xdr:col>11</xdr:col>
      <xdr:colOff>758599</xdr:colOff>
      <xdr:row>3</xdr:row>
      <xdr:rowOff>334600</xdr:rowOff>
    </xdr:to>
    <xdr:sp macro="[0]!ClearSEBusinessLiabilitiesData" textlink="">
      <xdr:nvSpPr>
        <xdr:cNvPr id="6" name="btnClearBottom">
          <a:extLst>
            <a:ext uri="{FF2B5EF4-FFF2-40B4-BE49-F238E27FC236}">
              <a16:creationId xmlns:a16="http://schemas.microsoft.com/office/drawing/2014/main" id="{DD0CBAD2-2007-42C0-A566-C40536AEA95C}"/>
            </a:ext>
          </a:extLst>
        </xdr:cNvPr>
        <xdr:cNvSpPr/>
      </xdr:nvSpPr>
      <xdr:spPr>
        <a:xfrm>
          <a:off x="10805749" y="574675"/>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11</xdr:col>
      <xdr:colOff>841049</xdr:colOff>
      <xdr:row>2</xdr:row>
      <xdr:rowOff>174625</xdr:rowOff>
    </xdr:from>
    <xdr:to>
      <xdr:col>13</xdr:col>
      <xdr:colOff>376049</xdr:colOff>
      <xdr:row>3</xdr:row>
      <xdr:rowOff>334600</xdr:rowOff>
    </xdr:to>
    <xdr:sp macro="[0]!CancelSEBusinessLiabilitiesData" textlink="">
      <xdr:nvSpPr>
        <xdr:cNvPr id="7" name="btnCancel">
          <a:extLst>
            <a:ext uri="{FF2B5EF4-FFF2-40B4-BE49-F238E27FC236}">
              <a16:creationId xmlns:a16="http://schemas.microsoft.com/office/drawing/2014/main" id="{89374D70-E641-4597-B188-72703C25AC67}"/>
            </a:ext>
          </a:extLst>
        </xdr:cNvPr>
        <xdr:cNvSpPr/>
      </xdr:nvSpPr>
      <xdr:spPr>
        <a:xfrm>
          <a:off x="12328199" y="574675"/>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0</xdr:colOff>
      <xdr:row>62</xdr:row>
      <xdr:rowOff>9525</xdr:rowOff>
    </xdr:from>
    <xdr:to>
      <xdr:col>2</xdr:col>
      <xdr:colOff>19050</xdr:colOff>
      <xdr:row>63</xdr:row>
      <xdr:rowOff>131400</xdr:rowOff>
    </xdr:to>
    <xdr:sp macro="[0]!AddNewSEBusinessLiability" textlink="">
      <xdr:nvSpPr>
        <xdr:cNvPr id="8" name="btnAddLiability">
          <a:extLst>
            <a:ext uri="{FF2B5EF4-FFF2-40B4-BE49-F238E27FC236}">
              <a16:creationId xmlns:a16="http://schemas.microsoft.com/office/drawing/2014/main" id="{092D524F-CF27-476A-9F7F-FC871BA59BB5}"/>
            </a:ext>
          </a:extLst>
        </xdr:cNvPr>
        <xdr:cNvSpPr/>
      </xdr:nvSpPr>
      <xdr:spPr>
        <a:xfrm>
          <a:off x="190500" y="3905250"/>
          <a:ext cx="180975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liability</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1</xdr:col>
      <xdr:colOff>851951</xdr:colOff>
      <xdr:row>2</xdr:row>
      <xdr:rowOff>180975</xdr:rowOff>
    </xdr:to>
    <xdr:pic>
      <xdr:nvPicPr>
        <xdr:cNvPr id="9" name="imgLogoWBC">
          <a:extLst>
            <a:ext uri="{FF2B5EF4-FFF2-40B4-BE49-F238E27FC236}">
              <a16:creationId xmlns:a16="http://schemas.microsoft.com/office/drawing/2014/main" id="{248ECED0-5F3E-469E-8C75-369C3E8BDEC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15</xdr:col>
      <xdr:colOff>1123950</xdr:colOff>
      <xdr:row>2</xdr:row>
      <xdr:rowOff>174625</xdr:rowOff>
    </xdr:from>
    <xdr:to>
      <xdr:col>16</xdr:col>
      <xdr:colOff>801825</xdr:colOff>
      <xdr:row>3</xdr:row>
      <xdr:rowOff>334600</xdr:rowOff>
    </xdr:to>
    <xdr:sp macro="[0]!ContinueSERentalIncome" textlink="">
      <xdr:nvSpPr>
        <xdr:cNvPr id="5" name="btnContinue">
          <a:extLst>
            <a:ext uri="{FF2B5EF4-FFF2-40B4-BE49-F238E27FC236}">
              <a16:creationId xmlns:a16="http://schemas.microsoft.com/office/drawing/2014/main" id="{BBEA7035-B3DA-4037-8524-2CB052385E78}"/>
            </a:ext>
          </a:extLst>
        </xdr:cNvPr>
        <xdr:cNvSpPr/>
      </xdr:nvSpPr>
      <xdr:spPr>
        <a:xfrm>
          <a:off x="11972925" y="57467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12</xdr:col>
      <xdr:colOff>471124</xdr:colOff>
      <xdr:row>2</xdr:row>
      <xdr:rowOff>174625</xdr:rowOff>
    </xdr:from>
    <xdr:to>
      <xdr:col>14</xdr:col>
      <xdr:colOff>291874</xdr:colOff>
      <xdr:row>3</xdr:row>
      <xdr:rowOff>334600</xdr:rowOff>
    </xdr:to>
    <xdr:sp macro="[0]!ClearSERentalIncomeData" textlink="">
      <xdr:nvSpPr>
        <xdr:cNvPr id="6" name="btnClearBottom">
          <a:extLst>
            <a:ext uri="{FF2B5EF4-FFF2-40B4-BE49-F238E27FC236}">
              <a16:creationId xmlns:a16="http://schemas.microsoft.com/office/drawing/2014/main" id="{998A5851-BD95-4D6B-8456-7079DB38FF46}"/>
            </a:ext>
          </a:extLst>
        </xdr:cNvPr>
        <xdr:cNvSpPr/>
      </xdr:nvSpPr>
      <xdr:spPr>
        <a:xfrm>
          <a:off x="8891224" y="574675"/>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14</xdr:col>
      <xdr:colOff>378437</xdr:colOff>
      <xdr:row>2</xdr:row>
      <xdr:rowOff>174625</xdr:rowOff>
    </xdr:from>
    <xdr:to>
      <xdr:col>15</xdr:col>
      <xdr:colOff>1008812</xdr:colOff>
      <xdr:row>3</xdr:row>
      <xdr:rowOff>334600</xdr:rowOff>
    </xdr:to>
    <xdr:sp macro="[0]!CancelSERentalIncomeData" textlink="">
      <xdr:nvSpPr>
        <xdr:cNvPr id="7" name="btnCancel">
          <a:extLst>
            <a:ext uri="{FF2B5EF4-FFF2-40B4-BE49-F238E27FC236}">
              <a16:creationId xmlns:a16="http://schemas.microsoft.com/office/drawing/2014/main" id="{E8A0D748-0CA7-4535-B21A-F6EEE94D2244}"/>
            </a:ext>
          </a:extLst>
        </xdr:cNvPr>
        <xdr:cNvSpPr/>
      </xdr:nvSpPr>
      <xdr:spPr>
        <a:xfrm>
          <a:off x="10417787" y="574675"/>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0</xdr:colOff>
      <xdr:row>63</xdr:row>
      <xdr:rowOff>0</xdr:rowOff>
    </xdr:from>
    <xdr:to>
      <xdr:col>2</xdr:col>
      <xdr:colOff>9525</xdr:colOff>
      <xdr:row>64</xdr:row>
      <xdr:rowOff>121875</xdr:rowOff>
    </xdr:to>
    <xdr:sp macro="[0]!AddNewSERentalProperty" textlink="">
      <xdr:nvSpPr>
        <xdr:cNvPr id="8" name="btnAddRentalProperty">
          <a:extLst>
            <a:ext uri="{FF2B5EF4-FFF2-40B4-BE49-F238E27FC236}">
              <a16:creationId xmlns:a16="http://schemas.microsoft.com/office/drawing/2014/main" id="{E769D0B9-F7AD-4719-AB2A-42CDF08AE8C7}"/>
            </a:ext>
          </a:extLst>
        </xdr:cNvPr>
        <xdr:cNvSpPr/>
      </xdr:nvSpPr>
      <xdr:spPr>
        <a:xfrm>
          <a:off x="190500" y="15668625"/>
          <a:ext cx="14097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property</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1</xdr:col>
      <xdr:colOff>851951</xdr:colOff>
      <xdr:row>2</xdr:row>
      <xdr:rowOff>180975</xdr:rowOff>
    </xdr:to>
    <xdr:pic>
      <xdr:nvPicPr>
        <xdr:cNvPr id="9" name="imgLogoWBC">
          <a:extLst>
            <a:ext uri="{FF2B5EF4-FFF2-40B4-BE49-F238E27FC236}">
              <a16:creationId xmlns:a16="http://schemas.microsoft.com/office/drawing/2014/main" id="{C0CDB037-9D4B-4775-8156-613769B79FB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2343150</xdr:colOff>
      <xdr:row>18</xdr:row>
      <xdr:rowOff>38100</xdr:rowOff>
    </xdr:from>
    <xdr:to>
      <xdr:col>3</xdr:col>
      <xdr:colOff>84750</xdr:colOff>
      <xdr:row>18</xdr:row>
      <xdr:rowOff>218100</xdr:rowOff>
    </xdr:to>
    <xdr:pic macro="ShowHelpMessage">
      <xdr:nvPicPr>
        <xdr:cNvPr id="5" name="btnHelpStipend">
          <a:extLst>
            <a:ext uri="{FF2B5EF4-FFF2-40B4-BE49-F238E27FC236}">
              <a16:creationId xmlns:a16="http://schemas.microsoft.com/office/drawing/2014/main" id="{E784877E-58FA-4CBD-A7F1-9C6680C1A5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638550"/>
          <a:ext cx="180000" cy="180000"/>
        </a:xfrm>
        <a:prstGeom prst="rect">
          <a:avLst/>
        </a:prstGeom>
      </xdr:spPr>
    </xdr:pic>
    <xdr:clientData fPrintsWithSheet="0"/>
  </xdr:twoCellAnchor>
  <xdr:twoCellAnchor editAs="oneCell">
    <xdr:from>
      <xdr:col>2</xdr:col>
      <xdr:colOff>2343150</xdr:colOff>
      <xdr:row>21</xdr:row>
      <xdr:rowOff>38100</xdr:rowOff>
    </xdr:from>
    <xdr:to>
      <xdr:col>3</xdr:col>
      <xdr:colOff>84750</xdr:colOff>
      <xdr:row>21</xdr:row>
      <xdr:rowOff>218100</xdr:rowOff>
    </xdr:to>
    <xdr:pic macro="ShowHelpMessage">
      <xdr:nvPicPr>
        <xdr:cNvPr id="6" name="btnHelpChildSupport">
          <a:extLst>
            <a:ext uri="{FF2B5EF4-FFF2-40B4-BE49-F238E27FC236}">
              <a16:creationId xmlns:a16="http://schemas.microsoft.com/office/drawing/2014/main" id="{77EAA8DB-1B25-4ED5-AA59-303DC56B578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876675"/>
          <a:ext cx="180000" cy="180000"/>
        </a:xfrm>
        <a:prstGeom prst="rect">
          <a:avLst/>
        </a:prstGeom>
      </xdr:spPr>
    </xdr:pic>
    <xdr:clientData fPrintsWithSheet="0"/>
  </xdr:twoCellAnchor>
  <xdr:twoCellAnchor editAs="oneCell">
    <xdr:from>
      <xdr:col>2</xdr:col>
      <xdr:colOff>2343150</xdr:colOff>
      <xdr:row>14</xdr:row>
      <xdr:rowOff>38100</xdr:rowOff>
    </xdr:from>
    <xdr:to>
      <xdr:col>3</xdr:col>
      <xdr:colOff>84750</xdr:colOff>
      <xdr:row>14</xdr:row>
      <xdr:rowOff>218100</xdr:rowOff>
    </xdr:to>
    <xdr:pic macro="ShowHelpMessage">
      <xdr:nvPicPr>
        <xdr:cNvPr id="7" name="btnHelpDividend">
          <a:extLst>
            <a:ext uri="{FF2B5EF4-FFF2-40B4-BE49-F238E27FC236}">
              <a16:creationId xmlns:a16="http://schemas.microsoft.com/office/drawing/2014/main" id="{F90E62EB-0EB3-4DA4-B4CB-BB30496E26F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248025" y="2686050"/>
          <a:ext cx="180000" cy="180000"/>
        </a:xfrm>
        <a:prstGeom prst="rect">
          <a:avLst/>
        </a:prstGeom>
      </xdr:spPr>
    </xdr:pic>
    <xdr:clientData fPrintsWithSheet="0"/>
  </xdr:twoCellAnchor>
  <xdr:twoCellAnchor editAs="oneCell">
    <xdr:from>
      <xdr:col>2</xdr:col>
      <xdr:colOff>2343150</xdr:colOff>
      <xdr:row>20</xdr:row>
      <xdr:rowOff>38100</xdr:rowOff>
    </xdr:from>
    <xdr:to>
      <xdr:col>3</xdr:col>
      <xdr:colOff>84750</xdr:colOff>
      <xdr:row>20</xdr:row>
      <xdr:rowOff>218100</xdr:rowOff>
    </xdr:to>
    <xdr:pic macro="ShowHelpMessage">
      <xdr:nvPicPr>
        <xdr:cNvPr id="8" name="btnHelpForeignPension">
          <a:extLst>
            <a:ext uri="{FF2B5EF4-FFF2-40B4-BE49-F238E27FC236}">
              <a16:creationId xmlns:a16="http://schemas.microsoft.com/office/drawing/2014/main" id="{E20780B8-CA2E-4829-8C36-05982A389BC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638550"/>
          <a:ext cx="180000" cy="180000"/>
        </a:xfrm>
        <a:prstGeom prst="rect">
          <a:avLst/>
        </a:prstGeom>
      </xdr:spPr>
    </xdr:pic>
    <xdr:clientData fPrintsWithSheet="0"/>
  </xdr:twoCellAnchor>
  <xdr:twoCellAnchor editAs="oneCell">
    <xdr:from>
      <xdr:col>2</xdr:col>
      <xdr:colOff>2343150</xdr:colOff>
      <xdr:row>16</xdr:row>
      <xdr:rowOff>38100</xdr:rowOff>
    </xdr:from>
    <xdr:to>
      <xdr:col>3</xdr:col>
      <xdr:colOff>84750</xdr:colOff>
      <xdr:row>16</xdr:row>
      <xdr:rowOff>218100</xdr:rowOff>
    </xdr:to>
    <xdr:pic macro="ShowHelpMessage">
      <xdr:nvPicPr>
        <xdr:cNvPr id="9" name="btnHelpSMSF">
          <a:extLst>
            <a:ext uri="{FF2B5EF4-FFF2-40B4-BE49-F238E27FC236}">
              <a16:creationId xmlns:a16="http://schemas.microsoft.com/office/drawing/2014/main" id="{210AAF81-7D8A-4E86-895F-96FE1246C2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2924175"/>
          <a:ext cx="180000" cy="180000"/>
        </a:xfrm>
        <a:prstGeom prst="rect">
          <a:avLst/>
        </a:prstGeom>
      </xdr:spPr>
    </xdr:pic>
    <xdr:clientData fPrintsWithSheet="0"/>
  </xdr:twoCellAnchor>
  <xdr:twoCellAnchor editAs="oneCell">
    <xdr:from>
      <xdr:col>2</xdr:col>
      <xdr:colOff>2343150</xdr:colOff>
      <xdr:row>17</xdr:row>
      <xdr:rowOff>38100</xdr:rowOff>
    </xdr:from>
    <xdr:to>
      <xdr:col>3</xdr:col>
      <xdr:colOff>84750</xdr:colOff>
      <xdr:row>17</xdr:row>
      <xdr:rowOff>218100</xdr:rowOff>
    </xdr:to>
    <xdr:pic macro="ShowHelpMessage">
      <xdr:nvPicPr>
        <xdr:cNvPr id="10" name="btnHelpInvestment">
          <a:extLst>
            <a:ext uri="{FF2B5EF4-FFF2-40B4-BE49-F238E27FC236}">
              <a16:creationId xmlns:a16="http://schemas.microsoft.com/office/drawing/2014/main" id="{3B63DAEB-6710-4B68-8AAE-E552B77EE14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162300"/>
          <a:ext cx="180000" cy="180000"/>
        </a:xfrm>
        <a:prstGeom prst="rect">
          <a:avLst/>
        </a:prstGeom>
      </xdr:spPr>
    </xdr:pic>
    <xdr:clientData fPrintsWithSheet="0"/>
  </xdr:twoCellAnchor>
  <xdr:twoCellAnchor editAs="oneCell">
    <xdr:from>
      <xdr:col>2</xdr:col>
      <xdr:colOff>2343150</xdr:colOff>
      <xdr:row>22</xdr:row>
      <xdr:rowOff>38100</xdr:rowOff>
    </xdr:from>
    <xdr:to>
      <xdr:col>3</xdr:col>
      <xdr:colOff>84750</xdr:colOff>
      <xdr:row>22</xdr:row>
      <xdr:rowOff>218100</xdr:rowOff>
    </xdr:to>
    <xdr:pic macro="ShowHelpMessage">
      <xdr:nvPicPr>
        <xdr:cNvPr id="11" name="btnHelpSocialSecurity">
          <a:extLst>
            <a:ext uri="{FF2B5EF4-FFF2-40B4-BE49-F238E27FC236}">
              <a16:creationId xmlns:a16="http://schemas.microsoft.com/office/drawing/2014/main" id="{538C81DE-2381-4216-A32F-0CBA3CFB99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4114800"/>
          <a:ext cx="180000" cy="180000"/>
        </a:xfrm>
        <a:prstGeom prst="rect">
          <a:avLst/>
        </a:prstGeom>
      </xdr:spPr>
    </xdr:pic>
    <xdr:clientData fPrintsWithSheet="0"/>
  </xdr:twoCellAnchor>
  <xdr:twoCellAnchor editAs="oneCell">
    <xdr:from>
      <xdr:col>2</xdr:col>
      <xdr:colOff>2343150</xdr:colOff>
      <xdr:row>23</xdr:row>
      <xdr:rowOff>38100</xdr:rowOff>
    </xdr:from>
    <xdr:to>
      <xdr:col>3</xdr:col>
      <xdr:colOff>84750</xdr:colOff>
      <xdr:row>23</xdr:row>
      <xdr:rowOff>218100</xdr:rowOff>
    </xdr:to>
    <xdr:pic macro="ShowHelpMessage">
      <xdr:nvPicPr>
        <xdr:cNvPr id="15" name="btnHelpFamilyTaxBenefitA">
          <a:extLst>
            <a:ext uri="{FF2B5EF4-FFF2-40B4-BE49-F238E27FC236}">
              <a16:creationId xmlns:a16="http://schemas.microsoft.com/office/drawing/2014/main" id="{57EB9816-B2EB-4B0A-99EC-04D74D6A85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4352925"/>
          <a:ext cx="180000" cy="180000"/>
        </a:xfrm>
        <a:prstGeom prst="rect">
          <a:avLst/>
        </a:prstGeom>
      </xdr:spPr>
    </xdr:pic>
    <xdr:clientData fPrintsWithSheet="0"/>
  </xdr:twoCellAnchor>
  <xdr:twoCellAnchor editAs="oneCell">
    <xdr:from>
      <xdr:col>2</xdr:col>
      <xdr:colOff>2343150</xdr:colOff>
      <xdr:row>24</xdr:row>
      <xdr:rowOff>38100</xdr:rowOff>
    </xdr:from>
    <xdr:to>
      <xdr:col>3</xdr:col>
      <xdr:colOff>84750</xdr:colOff>
      <xdr:row>24</xdr:row>
      <xdr:rowOff>218100</xdr:rowOff>
    </xdr:to>
    <xdr:pic macro="ShowHelpMessage">
      <xdr:nvPicPr>
        <xdr:cNvPr id="16" name="btnHelpFamilyTaxBenefitB">
          <a:extLst>
            <a:ext uri="{FF2B5EF4-FFF2-40B4-BE49-F238E27FC236}">
              <a16:creationId xmlns:a16="http://schemas.microsoft.com/office/drawing/2014/main" id="{81C9CCA9-1573-497F-A0BA-2E3DF9DF6DE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4591050"/>
          <a:ext cx="180000" cy="180000"/>
        </a:xfrm>
        <a:prstGeom prst="rect">
          <a:avLst/>
        </a:prstGeom>
      </xdr:spPr>
    </xdr:pic>
    <xdr:clientData fPrintsWithSheet="0"/>
  </xdr:twoCellAnchor>
  <xdr:oneCellAnchor>
    <xdr:from>
      <xdr:col>2</xdr:col>
      <xdr:colOff>2343150</xdr:colOff>
      <xdr:row>28</xdr:row>
      <xdr:rowOff>28575</xdr:rowOff>
    </xdr:from>
    <xdr:ext cx="187620" cy="187620"/>
    <xdr:pic macro="ShowHelpMessage">
      <xdr:nvPicPr>
        <xdr:cNvPr id="19" name="btnHelpFTBDependantsUnder8" hidden="1">
          <a:extLst>
            <a:ext uri="{FF2B5EF4-FFF2-40B4-BE49-F238E27FC236}">
              <a16:creationId xmlns:a16="http://schemas.microsoft.com/office/drawing/2014/main" id="{AFEB9E80-95CD-41EA-B336-A26D4B8520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5172075"/>
          <a:ext cx="187620" cy="187620"/>
        </a:xfrm>
        <a:prstGeom prst="rect">
          <a:avLst/>
        </a:prstGeom>
      </xdr:spPr>
    </xdr:pic>
    <xdr:clientData fPrintsWithSheet="0"/>
  </xdr:oneCellAnchor>
  <xdr:oneCellAnchor>
    <xdr:from>
      <xdr:col>2</xdr:col>
      <xdr:colOff>2343150</xdr:colOff>
      <xdr:row>29</xdr:row>
      <xdr:rowOff>38100</xdr:rowOff>
    </xdr:from>
    <xdr:ext cx="187620" cy="187620"/>
    <xdr:pic macro="ShowHelpMessage">
      <xdr:nvPicPr>
        <xdr:cNvPr id="20" name="btnHelpFTBDependantsUnder11" hidden="1">
          <a:extLst>
            <a:ext uri="{FF2B5EF4-FFF2-40B4-BE49-F238E27FC236}">
              <a16:creationId xmlns:a16="http://schemas.microsoft.com/office/drawing/2014/main" id="{18D5B05E-F600-4662-9FF8-1280FAF6C0B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5419725"/>
          <a:ext cx="187620" cy="187620"/>
        </a:xfrm>
        <a:prstGeom prst="rect">
          <a:avLst/>
        </a:prstGeom>
      </xdr:spPr>
    </xdr:pic>
    <xdr:clientData fPrintsWithSheet="0"/>
  </xdr:oneCellAnchor>
  <xdr:twoCellAnchor editAs="absolute">
    <xdr:from>
      <xdr:col>6</xdr:col>
      <xdr:colOff>250825</xdr:colOff>
      <xdr:row>2</xdr:row>
      <xdr:rowOff>165100</xdr:rowOff>
    </xdr:from>
    <xdr:to>
      <xdr:col>11</xdr:col>
      <xdr:colOff>1143000</xdr:colOff>
      <xdr:row>3</xdr:row>
      <xdr:rowOff>325075</xdr:rowOff>
    </xdr:to>
    <xdr:grpSp>
      <xdr:nvGrpSpPr>
        <xdr:cNvPr id="4" name="grpTopButtons">
          <a:extLst>
            <a:ext uri="{FF2B5EF4-FFF2-40B4-BE49-F238E27FC236}">
              <a16:creationId xmlns:a16="http://schemas.microsoft.com/office/drawing/2014/main" id="{39DEB146-F1A7-6DC9-2498-32E45EC41F6C}"/>
            </a:ext>
          </a:extLst>
        </xdr:cNvPr>
        <xdr:cNvGrpSpPr/>
      </xdr:nvGrpSpPr>
      <xdr:grpSpPr>
        <a:xfrm>
          <a:off x="6537325" y="571500"/>
          <a:ext cx="4778375" cy="363175"/>
          <a:chOff x="6261100" y="565150"/>
          <a:chExt cx="4606925" cy="360000"/>
        </a:xfrm>
      </xdr:grpSpPr>
      <xdr:sp macro="[0]!SaveOtherIncomeData" textlink="">
        <xdr:nvSpPr>
          <xdr:cNvPr id="2" name="btnContinue">
            <a:extLst>
              <a:ext uri="{FF2B5EF4-FFF2-40B4-BE49-F238E27FC236}">
                <a16:creationId xmlns:a16="http://schemas.microsoft.com/office/drawing/2014/main" id="{D8010031-69D1-4CAF-A809-9F55AD3C8FBE}"/>
              </a:ext>
            </a:extLst>
          </xdr:cNvPr>
          <xdr:cNvSpPr/>
        </xdr:nvSpPr>
        <xdr:spPr>
          <a:xfrm>
            <a:off x="9430203" y="565150"/>
            <a:ext cx="1437822"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sp macro="[0]!ClearOtherIncomeData" textlink="">
        <xdr:nvSpPr>
          <xdr:cNvPr id="3" name="btnClearBottom">
            <a:extLst>
              <a:ext uri="{FF2B5EF4-FFF2-40B4-BE49-F238E27FC236}">
                <a16:creationId xmlns:a16="http://schemas.microsoft.com/office/drawing/2014/main" id="{9354B0EE-A5D9-4154-9756-D404BEFBCEAF}"/>
              </a:ext>
            </a:extLst>
          </xdr:cNvPr>
          <xdr:cNvSpPr/>
        </xdr:nvSpPr>
        <xdr:spPr>
          <a:xfrm>
            <a:off x="6261100" y="565150"/>
            <a:ext cx="1439547"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sp macro="[0]!CancelOtherIncomeData" textlink="">
        <xdr:nvSpPr>
          <xdr:cNvPr id="14" name="btnCancel">
            <a:extLst>
              <a:ext uri="{FF2B5EF4-FFF2-40B4-BE49-F238E27FC236}">
                <a16:creationId xmlns:a16="http://schemas.microsoft.com/office/drawing/2014/main" id="{90F0D087-BB07-4C5E-A4BD-7B6CF925D4C2}"/>
              </a:ext>
            </a:extLst>
          </xdr:cNvPr>
          <xdr:cNvSpPr/>
        </xdr:nvSpPr>
        <xdr:spPr>
          <a:xfrm>
            <a:off x="7847376" y="565150"/>
            <a:ext cx="1439547"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grpSp>
    <xdr:clientData fPrintsWithSheet="0"/>
  </xdr:twoCellAnchor>
  <xdr:twoCellAnchor editAs="oneCell">
    <xdr:from>
      <xdr:col>1</xdr:col>
      <xdr:colOff>51293</xdr:colOff>
      <xdr:row>1</xdr:row>
      <xdr:rowOff>56095</xdr:rowOff>
    </xdr:from>
    <xdr:to>
      <xdr:col>2</xdr:col>
      <xdr:colOff>137576</xdr:colOff>
      <xdr:row>2</xdr:row>
      <xdr:rowOff>180975</xdr:rowOff>
    </xdr:to>
    <xdr:pic>
      <xdr:nvPicPr>
        <xdr:cNvPr id="21" name="imgLogoWBC">
          <a:extLst>
            <a:ext uri="{FF2B5EF4-FFF2-40B4-BE49-F238E27FC236}">
              <a16:creationId xmlns:a16="http://schemas.microsoft.com/office/drawing/2014/main" id="{8647B5CD-3D53-43AA-BCAF-18773286F8E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241793" y="256120"/>
          <a:ext cx="800658" cy="324905"/>
        </a:xfrm>
        <a:prstGeom prst="rect">
          <a:avLst/>
        </a:prstGeom>
      </xdr:spPr>
    </xdr:pic>
    <xdr:clientData/>
  </xdr:twoCellAnchor>
  <xdr:twoCellAnchor editAs="oneCell">
    <xdr:from>
      <xdr:col>2</xdr:col>
      <xdr:colOff>2343150</xdr:colOff>
      <xdr:row>15</xdr:row>
      <xdr:rowOff>38100</xdr:rowOff>
    </xdr:from>
    <xdr:to>
      <xdr:col>3</xdr:col>
      <xdr:colOff>84750</xdr:colOff>
      <xdr:row>15</xdr:row>
      <xdr:rowOff>218100</xdr:rowOff>
    </xdr:to>
    <xdr:pic macro="ShowHelpMessage">
      <xdr:nvPicPr>
        <xdr:cNvPr id="12" name="btnHelpFrankingCredit">
          <a:extLst>
            <a:ext uri="{FF2B5EF4-FFF2-40B4-BE49-F238E27FC236}">
              <a16:creationId xmlns:a16="http://schemas.microsoft.com/office/drawing/2014/main" id="{EDCFB10C-670D-40D5-A1D9-E3CE7BC63B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248025" y="2686050"/>
          <a:ext cx="180000" cy="180000"/>
        </a:xfrm>
        <a:prstGeom prst="rect">
          <a:avLst/>
        </a:prstGeom>
      </xdr:spPr>
    </xdr:pic>
    <xdr:clientData fPrintsWithSheet="0"/>
  </xdr:twoCellAnchor>
  <xdr:twoCellAnchor editAs="oneCell">
    <xdr:from>
      <xdr:col>2</xdr:col>
      <xdr:colOff>2343150</xdr:colOff>
      <xdr:row>13</xdr:row>
      <xdr:rowOff>38100</xdr:rowOff>
    </xdr:from>
    <xdr:to>
      <xdr:col>3</xdr:col>
      <xdr:colOff>84750</xdr:colOff>
      <xdr:row>13</xdr:row>
      <xdr:rowOff>218100</xdr:rowOff>
    </xdr:to>
    <xdr:pic macro="ShowHelpMessage">
      <xdr:nvPicPr>
        <xdr:cNvPr id="13" name="btnHelpInterest">
          <a:extLst>
            <a:ext uri="{FF2B5EF4-FFF2-40B4-BE49-F238E27FC236}">
              <a16:creationId xmlns:a16="http://schemas.microsoft.com/office/drawing/2014/main" id="{DBEE35C0-67E9-438C-8497-C27D54FA63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248025" y="2447925"/>
          <a:ext cx="180000" cy="180000"/>
        </a:xfrm>
        <a:prstGeom prst="rect">
          <a:avLst/>
        </a:prstGeom>
      </xdr:spPr>
    </xdr:pic>
    <xdr:clientData fPrintsWithSheet="0"/>
  </xdr:twoCellAnchor>
  <xdr:twoCellAnchor editAs="oneCell">
    <xdr:from>
      <xdr:col>2</xdr:col>
      <xdr:colOff>2343150</xdr:colOff>
      <xdr:row>19</xdr:row>
      <xdr:rowOff>28575</xdr:rowOff>
    </xdr:from>
    <xdr:to>
      <xdr:col>3</xdr:col>
      <xdr:colOff>84750</xdr:colOff>
      <xdr:row>19</xdr:row>
      <xdr:rowOff>208575</xdr:rowOff>
    </xdr:to>
    <xdr:pic macro="ShowHelpMessage">
      <xdr:nvPicPr>
        <xdr:cNvPr id="17" name="btnHelpCompanyCar">
          <a:extLst>
            <a:ext uri="{FF2B5EF4-FFF2-40B4-BE49-F238E27FC236}">
              <a16:creationId xmlns:a16="http://schemas.microsoft.com/office/drawing/2014/main" id="{6B2A13CD-38C7-4A0B-AEE8-A912D0B632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867150"/>
          <a:ext cx="180000" cy="18000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24</xdr:col>
      <xdr:colOff>1047750</xdr:colOff>
      <xdr:row>2</xdr:row>
      <xdr:rowOff>127000</xdr:rowOff>
    </xdr:from>
    <xdr:ext cx="1440000" cy="360000"/>
    <xdr:sp macro="[0]!ContinueRentalIncome" textlink="">
      <xdr:nvSpPr>
        <xdr:cNvPr id="3" name="btnContinue">
          <a:extLst>
            <a:ext uri="{FF2B5EF4-FFF2-40B4-BE49-F238E27FC236}">
              <a16:creationId xmlns:a16="http://schemas.microsoft.com/office/drawing/2014/main" id="{00000000-0008-0000-5C00-000003000000}"/>
            </a:ext>
          </a:extLst>
        </xdr:cNvPr>
        <xdr:cNvSpPr/>
      </xdr:nvSpPr>
      <xdr:spPr>
        <a:xfrm>
          <a:off x="10820400" y="5270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xdr:col>
      <xdr:colOff>190499</xdr:colOff>
      <xdr:row>32</xdr:row>
      <xdr:rowOff>123825</xdr:rowOff>
    </xdr:from>
    <xdr:ext cx="1590675" cy="360000"/>
    <xdr:sp macro="[0]!AddNewPropertyRental" textlink="">
      <xdr:nvSpPr>
        <xdr:cNvPr id="4" name="btnAddNewProperty">
          <a:extLst>
            <a:ext uri="{FF2B5EF4-FFF2-40B4-BE49-F238E27FC236}">
              <a16:creationId xmlns:a16="http://schemas.microsoft.com/office/drawing/2014/main" id="{00000000-0008-0000-5C00-000004000000}"/>
            </a:ext>
          </a:extLst>
        </xdr:cNvPr>
        <xdr:cNvSpPr/>
      </xdr:nvSpPr>
      <xdr:spPr>
        <a:xfrm>
          <a:off x="380999" y="7134225"/>
          <a:ext cx="1590675"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property</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twoCellAnchor editAs="oneCell">
    <xdr:from>
      <xdr:col>23</xdr:col>
      <xdr:colOff>466725</xdr:colOff>
      <xdr:row>2</xdr:row>
      <xdr:rowOff>127000</xdr:rowOff>
    </xdr:from>
    <xdr:to>
      <xdr:col>24</xdr:col>
      <xdr:colOff>954225</xdr:colOff>
      <xdr:row>3</xdr:row>
      <xdr:rowOff>286975</xdr:rowOff>
    </xdr:to>
    <xdr:sp macro="[0]!ClearRentalIncome" textlink="">
      <xdr:nvSpPr>
        <xdr:cNvPr id="5" name="btnClear">
          <a:extLst>
            <a:ext uri="{FF2B5EF4-FFF2-40B4-BE49-F238E27FC236}">
              <a16:creationId xmlns:a16="http://schemas.microsoft.com/office/drawing/2014/main" id="{116CA0E3-AED7-4615-9C76-640FF0F96D84}"/>
            </a:ext>
          </a:extLst>
        </xdr:cNvPr>
        <xdr:cNvSpPr/>
      </xdr:nvSpPr>
      <xdr:spPr>
        <a:xfrm>
          <a:off x="11229975" y="5270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  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41768</xdr:colOff>
      <xdr:row>1</xdr:row>
      <xdr:rowOff>56095</xdr:rowOff>
    </xdr:from>
    <xdr:to>
      <xdr:col>2</xdr:col>
      <xdr:colOff>651926</xdr:colOff>
      <xdr:row>2</xdr:row>
      <xdr:rowOff>180975</xdr:rowOff>
    </xdr:to>
    <xdr:pic>
      <xdr:nvPicPr>
        <xdr:cNvPr id="7" name="imgLogoWBC">
          <a:extLst>
            <a:ext uri="{FF2B5EF4-FFF2-40B4-BE49-F238E27FC236}">
              <a16:creationId xmlns:a16="http://schemas.microsoft.com/office/drawing/2014/main" id="{858E9B16-C825-464A-B1AA-CBE0CB630F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32268" y="256120"/>
          <a:ext cx="800658" cy="324905"/>
        </a:xfrm>
        <a:prstGeom prst="rect">
          <a:avLst/>
        </a:prstGeom>
      </xdr:spPr>
    </xdr:pic>
    <xdr:clientData/>
  </xdr:twoCellAnchor>
  <xdr:oneCellAnchor>
    <xdr:from>
      <xdr:col>1</xdr:col>
      <xdr:colOff>0</xdr:colOff>
      <xdr:row>12</xdr:row>
      <xdr:rowOff>38100</xdr:rowOff>
    </xdr:from>
    <xdr:ext cx="157842" cy="157842"/>
    <xdr:pic macro="[0]!RemoveRentalProperty">
      <xdr:nvPicPr>
        <xdr:cNvPr id="11" name="btnDelRentalProperty1">
          <a:extLst>
            <a:ext uri="{FF2B5EF4-FFF2-40B4-BE49-F238E27FC236}">
              <a16:creationId xmlns:a16="http://schemas.microsoft.com/office/drawing/2014/main" id="{F57B9A1F-8EB3-4FBD-98FA-D4C31CB08D82}"/>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2286000"/>
          <a:ext cx="157842" cy="157842"/>
        </a:xfrm>
        <a:prstGeom prst="rect">
          <a:avLst/>
        </a:prstGeom>
      </xdr:spPr>
    </xdr:pic>
    <xdr:clientData fPrintsWithSheet="0"/>
  </xdr:oneCellAnchor>
  <xdr:oneCellAnchor>
    <xdr:from>
      <xdr:col>1</xdr:col>
      <xdr:colOff>0</xdr:colOff>
      <xdr:row>13</xdr:row>
      <xdr:rowOff>38100</xdr:rowOff>
    </xdr:from>
    <xdr:ext cx="157842" cy="157842"/>
    <xdr:pic macro="[0]!RemoveRentalProperty">
      <xdr:nvPicPr>
        <xdr:cNvPr id="12" name="btnDelRentalProperty2" hidden="1">
          <a:extLst>
            <a:ext uri="{FF2B5EF4-FFF2-40B4-BE49-F238E27FC236}">
              <a16:creationId xmlns:a16="http://schemas.microsoft.com/office/drawing/2014/main" id="{52DC7DDC-D8DF-4077-B176-2B00B1C8CEAC}"/>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2524125"/>
          <a:ext cx="157842" cy="157842"/>
        </a:xfrm>
        <a:prstGeom prst="rect">
          <a:avLst/>
        </a:prstGeom>
      </xdr:spPr>
    </xdr:pic>
    <xdr:clientData fPrintsWithSheet="0"/>
  </xdr:oneCellAnchor>
  <xdr:oneCellAnchor>
    <xdr:from>
      <xdr:col>1</xdr:col>
      <xdr:colOff>0</xdr:colOff>
      <xdr:row>14</xdr:row>
      <xdr:rowOff>38100</xdr:rowOff>
    </xdr:from>
    <xdr:ext cx="157842" cy="157842"/>
    <xdr:pic macro="[0]!RemoveRentalProperty">
      <xdr:nvPicPr>
        <xdr:cNvPr id="13" name="btnDelRentalProperty3" hidden="1">
          <a:extLst>
            <a:ext uri="{FF2B5EF4-FFF2-40B4-BE49-F238E27FC236}">
              <a16:creationId xmlns:a16="http://schemas.microsoft.com/office/drawing/2014/main" id="{85EC2561-52FA-449B-96FC-9FD3671E00E5}"/>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2762250"/>
          <a:ext cx="157842" cy="157842"/>
        </a:xfrm>
        <a:prstGeom prst="rect">
          <a:avLst/>
        </a:prstGeom>
      </xdr:spPr>
    </xdr:pic>
    <xdr:clientData fPrintsWithSheet="0"/>
  </xdr:oneCellAnchor>
  <xdr:oneCellAnchor>
    <xdr:from>
      <xdr:col>1</xdr:col>
      <xdr:colOff>0</xdr:colOff>
      <xdr:row>15</xdr:row>
      <xdr:rowOff>38100</xdr:rowOff>
    </xdr:from>
    <xdr:ext cx="157842" cy="157842"/>
    <xdr:pic macro="[0]!RemoveRentalProperty">
      <xdr:nvPicPr>
        <xdr:cNvPr id="14" name="btnDelRentalProperty4" hidden="1">
          <a:extLst>
            <a:ext uri="{FF2B5EF4-FFF2-40B4-BE49-F238E27FC236}">
              <a16:creationId xmlns:a16="http://schemas.microsoft.com/office/drawing/2014/main" id="{A016072B-E631-4A99-BE79-01BAC1735D4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000375"/>
          <a:ext cx="157842" cy="157842"/>
        </a:xfrm>
        <a:prstGeom prst="rect">
          <a:avLst/>
        </a:prstGeom>
      </xdr:spPr>
    </xdr:pic>
    <xdr:clientData fPrintsWithSheet="0"/>
  </xdr:oneCellAnchor>
  <xdr:oneCellAnchor>
    <xdr:from>
      <xdr:col>1</xdr:col>
      <xdr:colOff>0</xdr:colOff>
      <xdr:row>16</xdr:row>
      <xdr:rowOff>38100</xdr:rowOff>
    </xdr:from>
    <xdr:ext cx="157842" cy="157842"/>
    <xdr:pic macro="[0]!RemoveRentalProperty">
      <xdr:nvPicPr>
        <xdr:cNvPr id="15" name="btnDelRentalProperty5" hidden="1">
          <a:extLst>
            <a:ext uri="{FF2B5EF4-FFF2-40B4-BE49-F238E27FC236}">
              <a16:creationId xmlns:a16="http://schemas.microsoft.com/office/drawing/2014/main" id="{3794A6EE-D630-44FB-8710-D48EA88E752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238500"/>
          <a:ext cx="157842" cy="157842"/>
        </a:xfrm>
        <a:prstGeom prst="rect">
          <a:avLst/>
        </a:prstGeom>
      </xdr:spPr>
    </xdr:pic>
    <xdr:clientData fPrintsWithSheet="0"/>
  </xdr:oneCellAnchor>
  <xdr:oneCellAnchor>
    <xdr:from>
      <xdr:col>1</xdr:col>
      <xdr:colOff>0</xdr:colOff>
      <xdr:row>17</xdr:row>
      <xdr:rowOff>38100</xdr:rowOff>
    </xdr:from>
    <xdr:ext cx="157842" cy="157842"/>
    <xdr:pic macro="[0]!RemoveRentalProperty">
      <xdr:nvPicPr>
        <xdr:cNvPr id="16" name="btnDelRentalProperty6" hidden="1">
          <a:extLst>
            <a:ext uri="{FF2B5EF4-FFF2-40B4-BE49-F238E27FC236}">
              <a16:creationId xmlns:a16="http://schemas.microsoft.com/office/drawing/2014/main" id="{1C87C070-476C-41C3-8937-85842AA11110}"/>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476625"/>
          <a:ext cx="157842" cy="157842"/>
        </a:xfrm>
        <a:prstGeom prst="rect">
          <a:avLst/>
        </a:prstGeom>
      </xdr:spPr>
    </xdr:pic>
    <xdr:clientData fPrintsWithSheet="0"/>
  </xdr:oneCellAnchor>
  <xdr:oneCellAnchor>
    <xdr:from>
      <xdr:col>1</xdr:col>
      <xdr:colOff>0</xdr:colOff>
      <xdr:row>18</xdr:row>
      <xdr:rowOff>38100</xdr:rowOff>
    </xdr:from>
    <xdr:ext cx="157842" cy="157842"/>
    <xdr:pic macro="[0]!RemoveRentalProperty">
      <xdr:nvPicPr>
        <xdr:cNvPr id="17" name="btnDelRentalProperty7" hidden="1">
          <a:extLst>
            <a:ext uri="{FF2B5EF4-FFF2-40B4-BE49-F238E27FC236}">
              <a16:creationId xmlns:a16="http://schemas.microsoft.com/office/drawing/2014/main" id="{67888920-3AE0-4DBD-819F-3DF24A2202D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714750"/>
          <a:ext cx="157842" cy="157842"/>
        </a:xfrm>
        <a:prstGeom prst="rect">
          <a:avLst/>
        </a:prstGeom>
      </xdr:spPr>
    </xdr:pic>
    <xdr:clientData fPrintsWithSheet="0"/>
  </xdr:oneCellAnchor>
  <xdr:oneCellAnchor>
    <xdr:from>
      <xdr:col>1</xdr:col>
      <xdr:colOff>0</xdr:colOff>
      <xdr:row>19</xdr:row>
      <xdr:rowOff>38100</xdr:rowOff>
    </xdr:from>
    <xdr:ext cx="157842" cy="157842"/>
    <xdr:pic macro="[0]!RemoveRentalProperty">
      <xdr:nvPicPr>
        <xdr:cNvPr id="18" name="btnDelRentalProperty8" hidden="1">
          <a:extLst>
            <a:ext uri="{FF2B5EF4-FFF2-40B4-BE49-F238E27FC236}">
              <a16:creationId xmlns:a16="http://schemas.microsoft.com/office/drawing/2014/main" id="{FC716BA0-338C-4EDF-B556-D59C490812F4}"/>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952875"/>
          <a:ext cx="157842" cy="157842"/>
        </a:xfrm>
        <a:prstGeom prst="rect">
          <a:avLst/>
        </a:prstGeom>
      </xdr:spPr>
    </xdr:pic>
    <xdr:clientData fPrintsWithSheet="0"/>
  </xdr:oneCellAnchor>
  <xdr:oneCellAnchor>
    <xdr:from>
      <xdr:col>1</xdr:col>
      <xdr:colOff>0</xdr:colOff>
      <xdr:row>20</xdr:row>
      <xdr:rowOff>38100</xdr:rowOff>
    </xdr:from>
    <xdr:ext cx="157842" cy="157842"/>
    <xdr:pic macro="[0]!RemoveRentalProperty">
      <xdr:nvPicPr>
        <xdr:cNvPr id="19" name="btnDelRentalProperty9" hidden="1">
          <a:extLst>
            <a:ext uri="{FF2B5EF4-FFF2-40B4-BE49-F238E27FC236}">
              <a16:creationId xmlns:a16="http://schemas.microsoft.com/office/drawing/2014/main" id="{F7192EFF-61B9-4CED-AA96-6CEC0B429BD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4191000"/>
          <a:ext cx="157842" cy="157842"/>
        </a:xfrm>
        <a:prstGeom prst="rect">
          <a:avLst/>
        </a:prstGeom>
      </xdr:spPr>
    </xdr:pic>
    <xdr:clientData fPrintsWithSheet="0"/>
  </xdr:oneCellAnchor>
  <xdr:oneCellAnchor>
    <xdr:from>
      <xdr:col>1</xdr:col>
      <xdr:colOff>0</xdr:colOff>
      <xdr:row>21</xdr:row>
      <xdr:rowOff>38100</xdr:rowOff>
    </xdr:from>
    <xdr:ext cx="157842" cy="157842"/>
    <xdr:pic macro="[0]!RemoveRentalProperty">
      <xdr:nvPicPr>
        <xdr:cNvPr id="20" name="btnDelRentalProperty10" hidden="1">
          <a:extLst>
            <a:ext uri="{FF2B5EF4-FFF2-40B4-BE49-F238E27FC236}">
              <a16:creationId xmlns:a16="http://schemas.microsoft.com/office/drawing/2014/main" id="{A8642CDC-3611-458F-A216-8B412CE38CB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4429125"/>
          <a:ext cx="157842" cy="157842"/>
        </a:xfrm>
        <a:prstGeom prst="rect">
          <a:avLst/>
        </a:prstGeom>
      </xdr:spPr>
    </xdr:pic>
    <xdr:clientData fPrintsWithSheet="0"/>
  </xdr:oneCellAnchor>
  <xdr:oneCellAnchor>
    <xdr:from>
      <xdr:col>1</xdr:col>
      <xdr:colOff>0</xdr:colOff>
      <xdr:row>22</xdr:row>
      <xdr:rowOff>38100</xdr:rowOff>
    </xdr:from>
    <xdr:ext cx="157842" cy="157842"/>
    <xdr:pic macro="[0]!RemoveRentalProperty">
      <xdr:nvPicPr>
        <xdr:cNvPr id="21" name="btnDelRentalProperty11" hidden="1">
          <a:extLst>
            <a:ext uri="{FF2B5EF4-FFF2-40B4-BE49-F238E27FC236}">
              <a16:creationId xmlns:a16="http://schemas.microsoft.com/office/drawing/2014/main" id="{9CC2E325-9A38-4D43-9697-55DD22A6D23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4667250"/>
          <a:ext cx="157842" cy="157842"/>
        </a:xfrm>
        <a:prstGeom prst="rect">
          <a:avLst/>
        </a:prstGeom>
      </xdr:spPr>
    </xdr:pic>
    <xdr:clientData fPrintsWithSheet="0"/>
  </xdr:oneCellAnchor>
  <xdr:oneCellAnchor>
    <xdr:from>
      <xdr:col>1</xdr:col>
      <xdr:colOff>0</xdr:colOff>
      <xdr:row>23</xdr:row>
      <xdr:rowOff>38100</xdr:rowOff>
    </xdr:from>
    <xdr:ext cx="157842" cy="157842"/>
    <xdr:pic macro="[0]!RemoveRentalProperty">
      <xdr:nvPicPr>
        <xdr:cNvPr id="22" name="btnDelRentalProperty12" hidden="1">
          <a:extLst>
            <a:ext uri="{FF2B5EF4-FFF2-40B4-BE49-F238E27FC236}">
              <a16:creationId xmlns:a16="http://schemas.microsoft.com/office/drawing/2014/main" id="{C9679D1C-A14F-4699-8470-93B70F7B006E}"/>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4905375"/>
          <a:ext cx="157842" cy="157842"/>
        </a:xfrm>
        <a:prstGeom prst="rect">
          <a:avLst/>
        </a:prstGeom>
      </xdr:spPr>
    </xdr:pic>
    <xdr:clientData fPrintsWithSheet="0"/>
  </xdr:oneCellAnchor>
  <xdr:oneCellAnchor>
    <xdr:from>
      <xdr:col>1</xdr:col>
      <xdr:colOff>0</xdr:colOff>
      <xdr:row>24</xdr:row>
      <xdr:rowOff>38100</xdr:rowOff>
    </xdr:from>
    <xdr:ext cx="157842" cy="157842"/>
    <xdr:pic macro="[0]!RemoveRentalProperty">
      <xdr:nvPicPr>
        <xdr:cNvPr id="23" name="btnDelRentalProperty13" hidden="1">
          <a:extLst>
            <a:ext uri="{FF2B5EF4-FFF2-40B4-BE49-F238E27FC236}">
              <a16:creationId xmlns:a16="http://schemas.microsoft.com/office/drawing/2014/main" id="{7BFAA642-4DF6-4CD9-BCB7-9EA3555D8FC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143500"/>
          <a:ext cx="157842" cy="157842"/>
        </a:xfrm>
        <a:prstGeom prst="rect">
          <a:avLst/>
        </a:prstGeom>
      </xdr:spPr>
    </xdr:pic>
    <xdr:clientData fPrintsWithSheet="0"/>
  </xdr:oneCellAnchor>
  <xdr:oneCellAnchor>
    <xdr:from>
      <xdr:col>1</xdr:col>
      <xdr:colOff>0</xdr:colOff>
      <xdr:row>25</xdr:row>
      <xdr:rowOff>38100</xdr:rowOff>
    </xdr:from>
    <xdr:ext cx="157842" cy="157842"/>
    <xdr:pic macro="[0]!RemoveRentalProperty">
      <xdr:nvPicPr>
        <xdr:cNvPr id="24" name="btnDelRentalProperty14" hidden="1">
          <a:extLst>
            <a:ext uri="{FF2B5EF4-FFF2-40B4-BE49-F238E27FC236}">
              <a16:creationId xmlns:a16="http://schemas.microsoft.com/office/drawing/2014/main" id="{F15EF621-B82F-4D0B-B531-2226D2A2CA8E}"/>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381625"/>
          <a:ext cx="157842" cy="157842"/>
        </a:xfrm>
        <a:prstGeom prst="rect">
          <a:avLst/>
        </a:prstGeom>
      </xdr:spPr>
    </xdr:pic>
    <xdr:clientData fPrintsWithSheet="0"/>
  </xdr:oneCellAnchor>
  <xdr:oneCellAnchor>
    <xdr:from>
      <xdr:col>1</xdr:col>
      <xdr:colOff>0</xdr:colOff>
      <xdr:row>26</xdr:row>
      <xdr:rowOff>38100</xdr:rowOff>
    </xdr:from>
    <xdr:ext cx="157842" cy="157842"/>
    <xdr:pic macro="[0]!RemoveRentalProperty">
      <xdr:nvPicPr>
        <xdr:cNvPr id="25" name="btnDelRentalProperty15" hidden="1">
          <a:extLst>
            <a:ext uri="{FF2B5EF4-FFF2-40B4-BE49-F238E27FC236}">
              <a16:creationId xmlns:a16="http://schemas.microsoft.com/office/drawing/2014/main" id="{D01E1123-0525-4D7B-B0A7-5607A08B00C8}"/>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619750"/>
          <a:ext cx="157842" cy="157842"/>
        </a:xfrm>
        <a:prstGeom prst="rect">
          <a:avLst/>
        </a:prstGeom>
      </xdr:spPr>
    </xdr:pic>
    <xdr:clientData fPrintsWithSheet="0"/>
  </xdr:oneCellAnchor>
  <xdr:oneCellAnchor>
    <xdr:from>
      <xdr:col>1</xdr:col>
      <xdr:colOff>0</xdr:colOff>
      <xdr:row>27</xdr:row>
      <xdr:rowOff>38100</xdr:rowOff>
    </xdr:from>
    <xdr:ext cx="157842" cy="157842"/>
    <xdr:pic macro="[0]!RemoveRentalProperty">
      <xdr:nvPicPr>
        <xdr:cNvPr id="26" name="btnDelRentalProperty16" hidden="1">
          <a:extLst>
            <a:ext uri="{FF2B5EF4-FFF2-40B4-BE49-F238E27FC236}">
              <a16:creationId xmlns:a16="http://schemas.microsoft.com/office/drawing/2014/main" id="{B5D99F70-DD70-435E-A50B-9DE0869978A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857875"/>
          <a:ext cx="157842" cy="157842"/>
        </a:xfrm>
        <a:prstGeom prst="rect">
          <a:avLst/>
        </a:prstGeom>
      </xdr:spPr>
    </xdr:pic>
    <xdr:clientData fPrintsWithSheet="0"/>
  </xdr:oneCellAnchor>
  <xdr:oneCellAnchor>
    <xdr:from>
      <xdr:col>1</xdr:col>
      <xdr:colOff>0</xdr:colOff>
      <xdr:row>28</xdr:row>
      <xdr:rowOff>38100</xdr:rowOff>
    </xdr:from>
    <xdr:ext cx="157842" cy="157842"/>
    <xdr:pic macro="[0]!RemoveRentalProperty">
      <xdr:nvPicPr>
        <xdr:cNvPr id="27" name="btnDelRentalProperty17" hidden="1">
          <a:extLst>
            <a:ext uri="{FF2B5EF4-FFF2-40B4-BE49-F238E27FC236}">
              <a16:creationId xmlns:a16="http://schemas.microsoft.com/office/drawing/2014/main" id="{71DB0C33-A4E5-40D6-B280-AC708692EAD7}"/>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096000"/>
          <a:ext cx="157842" cy="157842"/>
        </a:xfrm>
        <a:prstGeom prst="rect">
          <a:avLst/>
        </a:prstGeom>
      </xdr:spPr>
    </xdr:pic>
    <xdr:clientData fPrintsWithSheet="0"/>
  </xdr:oneCellAnchor>
  <xdr:oneCellAnchor>
    <xdr:from>
      <xdr:col>1</xdr:col>
      <xdr:colOff>0</xdr:colOff>
      <xdr:row>29</xdr:row>
      <xdr:rowOff>38100</xdr:rowOff>
    </xdr:from>
    <xdr:ext cx="157842" cy="157842"/>
    <xdr:pic macro="[0]!RemoveRentalProperty">
      <xdr:nvPicPr>
        <xdr:cNvPr id="28" name="btnDelRentalProperty18" hidden="1">
          <a:extLst>
            <a:ext uri="{FF2B5EF4-FFF2-40B4-BE49-F238E27FC236}">
              <a16:creationId xmlns:a16="http://schemas.microsoft.com/office/drawing/2014/main" id="{79ECF969-9553-44A5-BC66-B077CAE6B13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334125"/>
          <a:ext cx="157842" cy="157842"/>
        </a:xfrm>
        <a:prstGeom prst="rect">
          <a:avLst/>
        </a:prstGeom>
      </xdr:spPr>
    </xdr:pic>
    <xdr:clientData fPrintsWithSheet="0"/>
  </xdr:oneCellAnchor>
  <xdr:oneCellAnchor>
    <xdr:from>
      <xdr:col>1</xdr:col>
      <xdr:colOff>0</xdr:colOff>
      <xdr:row>30</xdr:row>
      <xdr:rowOff>38100</xdr:rowOff>
    </xdr:from>
    <xdr:ext cx="157842" cy="157842"/>
    <xdr:pic macro="[0]!RemoveRentalProperty">
      <xdr:nvPicPr>
        <xdr:cNvPr id="29" name="btnDelRentalProperty19" hidden="1">
          <a:extLst>
            <a:ext uri="{FF2B5EF4-FFF2-40B4-BE49-F238E27FC236}">
              <a16:creationId xmlns:a16="http://schemas.microsoft.com/office/drawing/2014/main" id="{D5BFD205-7981-4494-8C1C-E3F8259A952E}"/>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572250"/>
          <a:ext cx="157842" cy="157842"/>
        </a:xfrm>
        <a:prstGeom prst="rect">
          <a:avLst/>
        </a:prstGeom>
      </xdr:spPr>
    </xdr:pic>
    <xdr:clientData fPrintsWithSheet="0"/>
  </xdr:oneCellAnchor>
  <xdr:oneCellAnchor>
    <xdr:from>
      <xdr:col>1</xdr:col>
      <xdr:colOff>0</xdr:colOff>
      <xdr:row>31</xdr:row>
      <xdr:rowOff>38100</xdr:rowOff>
    </xdr:from>
    <xdr:ext cx="157842" cy="157842"/>
    <xdr:pic macro="[0]!RemoveRentalProperty">
      <xdr:nvPicPr>
        <xdr:cNvPr id="30" name="btnDelRentalProperty20" hidden="1">
          <a:extLst>
            <a:ext uri="{FF2B5EF4-FFF2-40B4-BE49-F238E27FC236}">
              <a16:creationId xmlns:a16="http://schemas.microsoft.com/office/drawing/2014/main" id="{A2AE982F-520B-4924-BC16-7111A48B9D90}"/>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810375"/>
          <a:ext cx="157842" cy="157842"/>
        </a:xfrm>
        <a:prstGeom prst="rect">
          <a:avLst/>
        </a:prstGeom>
      </xdr:spPr>
    </xdr:pic>
    <xdr:clientData fPrintsWithSheet="0"/>
  </xdr:oneCellAnchor>
  <xdr:twoCellAnchor editAs="oneCell">
    <xdr:from>
      <xdr:col>23</xdr:col>
      <xdr:colOff>381000</xdr:colOff>
      <xdr:row>7</xdr:row>
      <xdr:rowOff>152400</xdr:rowOff>
    </xdr:from>
    <xdr:to>
      <xdr:col>23</xdr:col>
      <xdr:colOff>561000</xdr:colOff>
      <xdr:row>9</xdr:row>
      <xdr:rowOff>37125</xdr:rowOff>
    </xdr:to>
    <xdr:pic macro="ShowHelpMessage">
      <xdr:nvPicPr>
        <xdr:cNvPr id="2" name="btnHelpInvestmentCosts">
          <a:extLst>
            <a:ext uri="{FF2B5EF4-FFF2-40B4-BE49-F238E27FC236}">
              <a16:creationId xmlns:a16="http://schemas.microsoft.com/office/drawing/2014/main" id="{F3E878A3-C4E1-4164-A594-3D06490E025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144250" y="1609725"/>
          <a:ext cx="180000" cy="180000"/>
        </a:xfrm>
        <a:prstGeom prst="rect">
          <a:avLst/>
        </a:prstGeom>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266700</xdr:colOff>
      <xdr:row>2</xdr:row>
      <xdr:rowOff>136525</xdr:rowOff>
    </xdr:from>
    <xdr:to>
      <xdr:col>11</xdr:col>
      <xdr:colOff>1706700</xdr:colOff>
      <xdr:row>3</xdr:row>
      <xdr:rowOff>296500</xdr:rowOff>
    </xdr:to>
    <xdr:sp macro="[0]!ContinueRITD" textlink="">
      <xdr:nvSpPr>
        <xdr:cNvPr id="3" name="btnContinue">
          <a:extLst>
            <a:ext uri="{FF2B5EF4-FFF2-40B4-BE49-F238E27FC236}">
              <a16:creationId xmlns:a16="http://schemas.microsoft.com/office/drawing/2014/main" id="{00000000-0008-0000-5D00-000003000000}"/>
            </a:ext>
          </a:extLst>
        </xdr:cNvPr>
        <xdr:cNvSpPr/>
      </xdr:nvSpPr>
      <xdr:spPr>
        <a:xfrm>
          <a:off x="7648575" y="53657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oneCellAnchor>
    <xdr:from>
      <xdr:col>1</xdr:col>
      <xdr:colOff>9525</xdr:colOff>
      <xdr:row>32</xdr:row>
      <xdr:rowOff>38100</xdr:rowOff>
    </xdr:from>
    <xdr:ext cx="1591200" cy="360000"/>
    <xdr:sp macro="[0]!AddNewLoanRITD" textlink="">
      <xdr:nvSpPr>
        <xdr:cNvPr id="4" name="btnAddNewLoan">
          <a:extLst>
            <a:ext uri="{FF2B5EF4-FFF2-40B4-BE49-F238E27FC236}">
              <a16:creationId xmlns:a16="http://schemas.microsoft.com/office/drawing/2014/main" id="{00000000-0008-0000-5D00-000004000000}"/>
            </a:ext>
          </a:extLst>
        </xdr:cNvPr>
        <xdr:cNvSpPr/>
      </xdr:nvSpPr>
      <xdr:spPr>
        <a:xfrm>
          <a:off x="200025" y="2543175"/>
          <a:ext cx="15912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loan</a:t>
          </a:r>
        </a:p>
      </xdr:txBody>
    </xdr:sp>
    <xdr:clientData fPrintsWithSheet="0"/>
  </xdr:oneCellAnchor>
  <xdr:twoCellAnchor editAs="oneCell">
    <xdr:from>
      <xdr:col>10</xdr:col>
      <xdr:colOff>85725</xdr:colOff>
      <xdr:row>2</xdr:row>
      <xdr:rowOff>136525</xdr:rowOff>
    </xdr:from>
    <xdr:to>
      <xdr:col>11</xdr:col>
      <xdr:colOff>96975</xdr:colOff>
      <xdr:row>3</xdr:row>
      <xdr:rowOff>296500</xdr:rowOff>
    </xdr:to>
    <xdr:sp macro="[0]!ClearRITD" textlink="">
      <xdr:nvSpPr>
        <xdr:cNvPr id="5" name="btnClear">
          <a:extLst>
            <a:ext uri="{FF2B5EF4-FFF2-40B4-BE49-F238E27FC236}">
              <a16:creationId xmlns:a16="http://schemas.microsoft.com/office/drawing/2014/main" id="{06542440-5B03-4D07-A546-B6373012B276}"/>
            </a:ext>
          </a:extLst>
        </xdr:cNvPr>
        <xdr:cNvSpPr/>
      </xdr:nvSpPr>
      <xdr:spPr>
        <a:xfrm>
          <a:off x="6038850" y="536575"/>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  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2</xdr:col>
      <xdr:colOff>89951</xdr:colOff>
      <xdr:row>2</xdr:row>
      <xdr:rowOff>180975</xdr:rowOff>
    </xdr:to>
    <xdr:pic>
      <xdr:nvPicPr>
        <xdr:cNvPr id="7" name="imgLogoWBC">
          <a:extLst>
            <a:ext uri="{FF2B5EF4-FFF2-40B4-BE49-F238E27FC236}">
              <a16:creationId xmlns:a16="http://schemas.microsoft.com/office/drawing/2014/main" id="{952D3A6E-6E1F-49D2-874B-A79BD9862E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4</xdr:col>
      <xdr:colOff>28574</xdr:colOff>
      <xdr:row>8</xdr:row>
      <xdr:rowOff>66674</xdr:rowOff>
    </xdr:from>
    <xdr:ext cx="158400" cy="158400"/>
    <xdr:pic macro="[0]!CopySpouseExpenses">
      <xdr:nvPicPr>
        <xdr:cNvPr id="2" name="btnCopyCDEApp1">
          <a:extLst>
            <a:ext uri="{FF2B5EF4-FFF2-40B4-BE49-F238E27FC236}">
              <a16:creationId xmlns:a16="http://schemas.microsoft.com/office/drawing/2014/main" id="{B067F458-B081-4810-AE81-4B5A95585C9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5838824" y="2571749"/>
          <a:ext cx="158400" cy="158400"/>
        </a:xfrm>
        <a:prstGeom prst="rect">
          <a:avLst/>
        </a:prstGeom>
      </xdr:spPr>
    </xdr:pic>
    <xdr:clientData fPrintsWithSheet="0"/>
  </xdr:oneCellAnchor>
  <xdr:oneCellAnchor>
    <xdr:from>
      <xdr:col>4</xdr:col>
      <xdr:colOff>28574</xdr:colOff>
      <xdr:row>7</xdr:row>
      <xdr:rowOff>57149</xdr:rowOff>
    </xdr:from>
    <xdr:ext cx="158400" cy="158400"/>
    <xdr:pic macro="[0]!DeleteCustomerDeclaredExpenses">
      <xdr:nvPicPr>
        <xdr:cNvPr id="3" name="btnClearCDEApp1">
          <a:extLst>
            <a:ext uri="{FF2B5EF4-FFF2-40B4-BE49-F238E27FC236}">
              <a16:creationId xmlns:a16="http://schemas.microsoft.com/office/drawing/2014/main" id="{7902EEC1-B18B-40D8-AB4D-36A633CAC1C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5838824" y="2276474"/>
          <a:ext cx="158400" cy="158400"/>
        </a:xfrm>
        <a:prstGeom prst="rect">
          <a:avLst/>
        </a:prstGeom>
      </xdr:spPr>
    </xdr:pic>
    <xdr:clientData fPrintsWithSheet="0"/>
  </xdr:oneCellAnchor>
  <xdr:twoCellAnchor editAs="oneCell">
    <xdr:from>
      <xdr:col>2</xdr:col>
      <xdr:colOff>123825</xdr:colOff>
      <xdr:row>40</xdr:row>
      <xdr:rowOff>57150</xdr:rowOff>
    </xdr:from>
    <xdr:to>
      <xdr:col>2</xdr:col>
      <xdr:colOff>303825</xdr:colOff>
      <xdr:row>40</xdr:row>
      <xdr:rowOff>237150</xdr:rowOff>
    </xdr:to>
    <xdr:pic macro="ShowHelpMessage">
      <xdr:nvPicPr>
        <xdr:cNvPr id="4" name="btnHelpRentConfirm">
          <a:extLst>
            <a:ext uri="{FF2B5EF4-FFF2-40B4-BE49-F238E27FC236}">
              <a16:creationId xmlns:a16="http://schemas.microsoft.com/office/drawing/2014/main" id="{1DB4BDCB-B912-4A80-A4A2-FA8F7F8CCC3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7105650"/>
          <a:ext cx="180000" cy="180000"/>
        </a:xfrm>
        <a:prstGeom prst="rect">
          <a:avLst/>
        </a:prstGeom>
      </xdr:spPr>
    </xdr:pic>
    <xdr:clientData fPrintsWithSheet="0"/>
  </xdr:twoCellAnchor>
  <xdr:twoCellAnchor editAs="oneCell">
    <xdr:from>
      <xdr:col>2</xdr:col>
      <xdr:colOff>123825</xdr:colOff>
      <xdr:row>41</xdr:row>
      <xdr:rowOff>57150</xdr:rowOff>
    </xdr:from>
    <xdr:to>
      <xdr:col>2</xdr:col>
      <xdr:colOff>303825</xdr:colOff>
      <xdr:row>41</xdr:row>
      <xdr:rowOff>237150</xdr:rowOff>
    </xdr:to>
    <xdr:pic macro="ShowHelpMessage">
      <xdr:nvPicPr>
        <xdr:cNvPr id="5" name="btnHelpRent">
          <a:extLst>
            <a:ext uri="{FF2B5EF4-FFF2-40B4-BE49-F238E27FC236}">
              <a16:creationId xmlns:a16="http://schemas.microsoft.com/office/drawing/2014/main" id="{1F13B79A-650E-45DA-BF04-7F14C96C71D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7296150"/>
          <a:ext cx="180000" cy="180000"/>
        </a:xfrm>
        <a:prstGeom prst="rect">
          <a:avLst/>
        </a:prstGeom>
      </xdr:spPr>
    </xdr:pic>
    <xdr:clientData fPrintsWithSheet="0"/>
  </xdr:twoCellAnchor>
  <xdr:twoCellAnchor editAs="oneCell">
    <xdr:from>
      <xdr:col>2</xdr:col>
      <xdr:colOff>123825</xdr:colOff>
      <xdr:row>15</xdr:row>
      <xdr:rowOff>41910</xdr:rowOff>
    </xdr:from>
    <xdr:to>
      <xdr:col>2</xdr:col>
      <xdr:colOff>303825</xdr:colOff>
      <xdr:row>15</xdr:row>
      <xdr:rowOff>221910</xdr:rowOff>
    </xdr:to>
    <xdr:pic macro="ShowHelpMessage">
      <xdr:nvPicPr>
        <xdr:cNvPr id="6" name="btnHelpMedical">
          <a:extLst>
            <a:ext uri="{FF2B5EF4-FFF2-40B4-BE49-F238E27FC236}">
              <a16:creationId xmlns:a16="http://schemas.microsoft.com/office/drawing/2014/main" id="{1FBE9A9E-994F-42A2-9567-DC98F637D2C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327910"/>
          <a:ext cx="180000" cy="180000"/>
        </a:xfrm>
        <a:prstGeom prst="rect">
          <a:avLst/>
        </a:prstGeom>
      </xdr:spPr>
    </xdr:pic>
    <xdr:clientData fPrintsWithSheet="0"/>
  </xdr:twoCellAnchor>
  <xdr:twoCellAnchor editAs="oneCell">
    <xdr:from>
      <xdr:col>2</xdr:col>
      <xdr:colOff>123825</xdr:colOff>
      <xdr:row>17</xdr:row>
      <xdr:rowOff>45720</xdr:rowOff>
    </xdr:from>
    <xdr:to>
      <xdr:col>2</xdr:col>
      <xdr:colOff>303825</xdr:colOff>
      <xdr:row>17</xdr:row>
      <xdr:rowOff>225720</xdr:rowOff>
    </xdr:to>
    <xdr:pic macro="ShowHelpMessage">
      <xdr:nvPicPr>
        <xdr:cNvPr id="7" name="btnHelpPublicSchool">
          <a:extLst>
            <a:ext uri="{FF2B5EF4-FFF2-40B4-BE49-F238E27FC236}">
              <a16:creationId xmlns:a16="http://schemas.microsoft.com/office/drawing/2014/main" id="{5810B2F6-870E-43D5-A154-F66F61DF22D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712720"/>
          <a:ext cx="180000" cy="180000"/>
        </a:xfrm>
        <a:prstGeom prst="rect">
          <a:avLst/>
        </a:prstGeom>
      </xdr:spPr>
    </xdr:pic>
    <xdr:clientData fPrintsWithSheet="0"/>
  </xdr:twoCellAnchor>
  <xdr:twoCellAnchor editAs="oneCell">
    <xdr:from>
      <xdr:col>2</xdr:col>
      <xdr:colOff>123825</xdr:colOff>
      <xdr:row>19</xdr:row>
      <xdr:rowOff>49530</xdr:rowOff>
    </xdr:from>
    <xdr:to>
      <xdr:col>2</xdr:col>
      <xdr:colOff>303825</xdr:colOff>
      <xdr:row>19</xdr:row>
      <xdr:rowOff>229530</xdr:rowOff>
    </xdr:to>
    <xdr:pic macro="ShowHelpMessage">
      <xdr:nvPicPr>
        <xdr:cNvPr id="8" name="btnHelpInsurance">
          <a:extLst>
            <a:ext uri="{FF2B5EF4-FFF2-40B4-BE49-F238E27FC236}">
              <a16:creationId xmlns:a16="http://schemas.microsoft.com/office/drawing/2014/main" id="{CDFC70EA-9DC2-419F-B47D-9CC159419EA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097530"/>
          <a:ext cx="180000" cy="180000"/>
        </a:xfrm>
        <a:prstGeom prst="rect">
          <a:avLst/>
        </a:prstGeom>
      </xdr:spPr>
    </xdr:pic>
    <xdr:clientData fPrintsWithSheet="0"/>
  </xdr:twoCellAnchor>
  <xdr:twoCellAnchor editAs="oneCell">
    <xdr:from>
      <xdr:col>2</xdr:col>
      <xdr:colOff>123825</xdr:colOff>
      <xdr:row>21</xdr:row>
      <xdr:rowOff>53340</xdr:rowOff>
    </xdr:from>
    <xdr:to>
      <xdr:col>2</xdr:col>
      <xdr:colOff>303825</xdr:colOff>
      <xdr:row>21</xdr:row>
      <xdr:rowOff>233340</xdr:rowOff>
    </xdr:to>
    <xdr:pic macro="ShowHelpMessage">
      <xdr:nvPicPr>
        <xdr:cNvPr id="9" name="btnHelpTransport">
          <a:extLst>
            <a:ext uri="{FF2B5EF4-FFF2-40B4-BE49-F238E27FC236}">
              <a16:creationId xmlns:a16="http://schemas.microsoft.com/office/drawing/2014/main" id="{5186C716-9B38-4BAF-B616-946266C454A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482340"/>
          <a:ext cx="180000" cy="180000"/>
        </a:xfrm>
        <a:prstGeom prst="rect">
          <a:avLst/>
        </a:prstGeom>
      </xdr:spPr>
    </xdr:pic>
    <xdr:clientData fPrintsWithSheet="0"/>
  </xdr:twoCellAnchor>
  <xdr:twoCellAnchor editAs="oneCell">
    <xdr:from>
      <xdr:col>2</xdr:col>
      <xdr:colOff>123825</xdr:colOff>
      <xdr:row>23</xdr:row>
      <xdr:rowOff>57150</xdr:rowOff>
    </xdr:from>
    <xdr:to>
      <xdr:col>2</xdr:col>
      <xdr:colOff>303825</xdr:colOff>
      <xdr:row>23</xdr:row>
      <xdr:rowOff>237150</xdr:rowOff>
    </xdr:to>
    <xdr:pic macro="ShowHelpMessage">
      <xdr:nvPicPr>
        <xdr:cNvPr id="10" name="btnHelpPRCosts">
          <a:extLst>
            <a:ext uri="{FF2B5EF4-FFF2-40B4-BE49-F238E27FC236}">
              <a16:creationId xmlns:a16="http://schemas.microsoft.com/office/drawing/2014/main" id="{D94ADC92-35B4-4312-9830-801191A2684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867150"/>
          <a:ext cx="180000" cy="180000"/>
        </a:xfrm>
        <a:prstGeom prst="rect">
          <a:avLst/>
        </a:prstGeom>
      </xdr:spPr>
    </xdr:pic>
    <xdr:clientData fPrintsWithSheet="0"/>
  </xdr:twoCellAnchor>
  <xdr:twoCellAnchor editAs="oneCell">
    <xdr:from>
      <xdr:col>2</xdr:col>
      <xdr:colOff>123825</xdr:colOff>
      <xdr:row>47</xdr:row>
      <xdr:rowOff>47625</xdr:rowOff>
    </xdr:from>
    <xdr:to>
      <xdr:col>2</xdr:col>
      <xdr:colOff>303825</xdr:colOff>
      <xdr:row>47</xdr:row>
      <xdr:rowOff>227625</xdr:rowOff>
    </xdr:to>
    <xdr:pic macro="ShowHelpMessage">
      <xdr:nvPicPr>
        <xdr:cNvPr id="11" name="btnHelpInvestmentCosts">
          <a:extLst>
            <a:ext uri="{FF2B5EF4-FFF2-40B4-BE49-F238E27FC236}">
              <a16:creationId xmlns:a16="http://schemas.microsoft.com/office/drawing/2014/main" id="{BD78C9E9-7C15-440D-ABB2-FE5A2595F16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8048625"/>
          <a:ext cx="180000" cy="180000"/>
        </a:xfrm>
        <a:prstGeom prst="rect">
          <a:avLst/>
        </a:prstGeom>
      </xdr:spPr>
    </xdr:pic>
    <xdr:clientData fPrintsWithSheet="0"/>
  </xdr:twoCellAnchor>
  <xdr:twoCellAnchor editAs="oneCell">
    <xdr:from>
      <xdr:col>2</xdr:col>
      <xdr:colOff>123825</xdr:colOff>
      <xdr:row>29</xdr:row>
      <xdr:rowOff>47625</xdr:rowOff>
    </xdr:from>
    <xdr:to>
      <xdr:col>2</xdr:col>
      <xdr:colOff>303825</xdr:colOff>
      <xdr:row>29</xdr:row>
      <xdr:rowOff>227625</xdr:rowOff>
    </xdr:to>
    <xdr:pic macro="ShowHelpMessage">
      <xdr:nvPicPr>
        <xdr:cNvPr id="12" name="btnHelpOOPAdditional">
          <a:extLst>
            <a:ext uri="{FF2B5EF4-FFF2-40B4-BE49-F238E27FC236}">
              <a16:creationId xmlns:a16="http://schemas.microsoft.com/office/drawing/2014/main" id="{60B88439-F9E5-4873-A351-86812E50E5D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000625"/>
          <a:ext cx="180000" cy="180000"/>
        </a:xfrm>
        <a:prstGeom prst="rect">
          <a:avLst/>
        </a:prstGeom>
      </xdr:spPr>
    </xdr:pic>
    <xdr:clientData fPrintsWithSheet="0"/>
  </xdr:twoCellAnchor>
  <xdr:twoCellAnchor editAs="oneCell">
    <xdr:from>
      <xdr:col>2</xdr:col>
      <xdr:colOff>123825</xdr:colOff>
      <xdr:row>31</xdr:row>
      <xdr:rowOff>51435</xdr:rowOff>
    </xdr:from>
    <xdr:to>
      <xdr:col>2</xdr:col>
      <xdr:colOff>303825</xdr:colOff>
      <xdr:row>31</xdr:row>
      <xdr:rowOff>231435</xdr:rowOff>
    </xdr:to>
    <xdr:pic macro="ShowHelpMessage">
      <xdr:nvPicPr>
        <xdr:cNvPr id="13" name="btnHelpOtherInsurance">
          <a:extLst>
            <a:ext uri="{FF2B5EF4-FFF2-40B4-BE49-F238E27FC236}">
              <a16:creationId xmlns:a16="http://schemas.microsoft.com/office/drawing/2014/main" id="{F88804DC-DBDB-4DDD-856F-20F5C46DA3A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385435"/>
          <a:ext cx="180000" cy="180000"/>
        </a:xfrm>
        <a:prstGeom prst="rect">
          <a:avLst/>
        </a:prstGeom>
      </xdr:spPr>
    </xdr:pic>
    <xdr:clientData fPrintsWithSheet="0"/>
  </xdr:twoCellAnchor>
  <xdr:twoCellAnchor editAs="oneCell">
    <xdr:from>
      <xdr:col>2</xdr:col>
      <xdr:colOff>123825</xdr:colOff>
      <xdr:row>34</xdr:row>
      <xdr:rowOff>57150</xdr:rowOff>
    </xdr:from>
    <xdr:to>
      <xdr:col>2</xdr:col>
      <xdr:colOff>303825</xdr:colOff>
      <xdr:row>34</xdr:row>
      <xdr:rowOff>237150</xdr:rowOff>
    </xdr:to>
    <xdr:pic macro="ShowHelpMessage">
      <xdr:nvPicPr>
        <xdr:cNvPr id="14" name="btnHelpOther">
          <a:extLst>
            <a:ext uri="{FF2B5EF4-FFF2-40B4-BE49-F238E27FC236}">
              <a16:creationId xmlns:a16="http://schemas.microsoft.com/office/drawing/2014/main" id="{EE44BC01-D4AE-44AB-AE1F-2AEC2EBC700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962650"/>
          <a:ext cx="180000" cy="180000"/>
        </a:xfrm>
        <a:prstGeom prst="rect">
          <a:avLst/>
        </a:prstGeom>
      </xdr:spPr>
    </xdr:pic>
    <xdr:clientData fPrintsWithSheet="0"/>
  </xdr:twoCellAnchor>
  <xdr:twoCellAnchor editAs="oneCell">
    <xdr:from>
      <xdr:col>2</xdr:col>
      <xdr:colOff>123825</xdr:colOff>
      <xdr:row>30</xdr:row>
      <xdr:rowOff>49530</xdr:rowOff>
    </xdr:from>
    <xdr:to>
      <xdr:col>2</xdr:col>
      <xdr:colOff>303825</xdr:colOff>
      <xdr:row>30</xdr:row>
      <xdr:rowOff>229530</xdr:rowOff>
    </xdr:to>
    <xdr:pic macro="ShowHelpMessage">
      <xdr:nvPicPr>
        <xdr:cNvPr id="15" name="btnHelpOOSCosts">
          <a:extLst>
            <a:ext uri="{FF2B5EF4-FFF2-40B4-BE49-F238E27FC236}">
              <a16:creationId xmlns:a16="http://schemas.microsoft.com/office/drawing/2014/main" id="{8F5801CD-CAF1-4A0D-A7C2-6E3920CFC82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193030"/>
          <a:ext cx="180000" cy="180000"/>
        </a:xfrm>
        <a:prstGeom prst="rect">
          <a:avLst/>
        </a:prstGeom>
      </xdr:spPr>
    </xdr:pic>
    <xdr:clientData fPrintsWithSheet="0"/>
  </xdr:twoCellAnchor>
  <xdr:twoCellAnchor editAs="oneCell">
    <xdr:from>
      <xdr:col>2</xdr:col>
      <xdr:colOff>123825</xdr:colOff>
      <xdr:row>32</xdr:row>
      <xdr:rowOff>53340</xdr:rowOff>
    </xdr:from>
    <xdr:to>
      <xdr:col>2</xdr:col>
      <xdr:colOff>303825</xdr:colOff>
      <xdr:row>32</xdr:row>
      <xdr:rowOff>233340</xdr:rowOff>
    </xdr:to>
    <xdr:pic macro="ShowHelpMessage">
      <xdr:nvPicPr>
        <xdr:cNvPr id="16" name="btnHelpPrivateSchool">
          <a:extLst>
            <a:ext uri="{FF2B5EF4-FFF2-40B4-BE49-F238E27FC236}">
              <a16:creationId xmlns:a16="http://schemas.microsoft.com/office/drawing/2014/main" id="{90DC4291-F4DC-4B17-A050-3E45DD835DB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577840"/>
          <a:ext cx="180000" cy="180000"/>
        </a:xfrm>
        <a:prstGeom prst="rect">
          <a:avLst/>
        </a:prstGeom>
      </xdr:spPr>
    </xdr:pic>
    <xdr:clientData fPrintsWithSheet="0"/>
  </xdr:twoCellAnchor>
  <xdr:twoCellAnchor editAs="oneCell">
    <xdr:from>
      <xdr:col>2</xdr:col>
      <xdr:colOff>123825</xdr:colOff>
      <xdr:row>14</xdr:row>
      <xdr:rowOff>40005</xdr:rowOff>
    </xdr:from>
    <xdr:to>
      <xdr:col>2</xdr:col>
      <xdr:colOff>303825</xdr:colOff>
      <xdr:row>14</xdr:row>
      <xdr:rowOff>220005</xdr:rowOff>
    </xdr:to>
    <xdr:pic macro="ShowHelpMessage">
      <xdr:nvPicPr>
        <xdr:cNvPr id="17" name="btnHelpGroceries">
          <a:extLst>
            <a:ext uri="{FF2B5EF4-FFF2-40B4-BE49-F238E27FC236}">
              <a16:creationId xmlns:a16="http://schemas.microsoft.com/office/drawing/2014/main" id="{731B2E7C-7AB7-46BE-BAF3-FB9FC97895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135505"/>
          <a:ext cx="180000" cy="180000"/>
        </a:xfrm>
        <a:prstGeom prst="rect">
          <a:avLst/>
        </a:prstGeom>
      </xdr:spPr>
    </xdr:pic>
    <xdr:clientData fPrintsWithSheet="0"/>
  </xdr:twoCellAnchor>
  <xdr:twoCellAnchor editAs="oneCell">
    <xdr:from>
      <xdr:col>2</xdr:col>
      <xdr:colOff>123825</xdr:colOff>
      <xdr:row>16</xdr:row>
      <xdr:rowOff>43815</xdr:rowOff>
    </xdr:from>
    <xdr:to>
      <xdr:col>2</xdr:col>
      <xdr:colOff>303825</xdr:colOff>
      <xdr:row>16</xdr:row>
      <xdr:rowOff>223815</xdr:rowOff>
    </xdr:to>
    <xdr:pic macro="ShowHelpMessage">
      <xdr:nvPicPr>
        <xdr:cNvPr id="18" name="btnHelpChildcare">
          <a:extLst>
            <a:ext uri="{FF2B5EF4-FFF2-40B4-BE49-F238E27FC236}">
              <a16:creationId xmlns:a16="http://schemas.microsoft.com/office/drawing/2014/main" id="{42C3554C-3080-44CF-9A4F-7115435C820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520315"/>
          <a:ext cx="180000" cy="180000"/>
        </a:xfrm>
        <a:prstGeom prst="rect">
          <a:avLst/>
        </a:prstGeom>
      </xdr:spPr>
    </xdr:pic>
    <xdr:clientData fPrintsWithSheet="0"/>
  </xdr:twoCellAnchor>
  <xdr:twoCellAnchor editAs="oneCell">
    <xdr:from>
      <xdr:col>2</xdr:col>
      <xdr:colOff>123825</xdr:colOff>
      <xdr:row>18</xdr:row>
      <xdr:rowOff>47625</xdr:rowOff>
    </xdr:from>
    <xdr:to>
      <xdr:col>2</xdr:col>
      <xdr:colOff>303825</xdr:colOff>
      <xdr:row>18</xdr:row>
      <xdr:rowOff>227625</xdr:rowOff>
    </xdr:to>
    <xdr:pic macro="ShowHelpMessage">
      <xdr:nvPicPr>
        <xdr:cNvPr id="19" name="btnHelpHigherEducation">
          <a:extLst>
            <a:ext uri="{FF2B5EF4-FFF2-40B4-BE49-F238E27FC236}">
              <a16:creationId xmlns:a16="http://schemas.microsoft.com/office/drawing/2014/main" id="{04DC47F5-90A7-480A-AE54-23E2714A9E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905125"/>
          <a:ext cx="180000" cy="180000"/>
        </a:xfrm>
        <a:prstGeom prst="rect">
          <a:avLst/>
        </a:prstGeom>
      </xdr:spPr>
    </xdr:pic>
    <xdr:clientData fPrintsWithSheet="0"/>
  </xdr:twoCellAnchor>
  <xdr:twoCellAnchor editAs="oneCell">
    <xdr:from>
      <xdr:col>2</xdr:col>
      <xdr:colOff>123825</xdr:colOff>
      <xdr:row>20</xdr:row>
      <xdr:rowOff>51435</xdr:rowOff>
    </xdr:from>
    <xdr:to>
      <xdr:col>2</xdr:col>
      <xdr:colOff>303825</xdr:colOff>
      <xdr:row>20</xdr:row>
      <xdr:rowOff>231435</xdr:rowOff>
    </xdr:to>
    <xdr:pic macro="ShowHelpMessage">
      <xdr:nvPicPr>
        <xdr:cNvPr id="20" name="btnHelpPhone">
          <a:extLst>
            <a:ext uri="{FF2B5EF4-FFF2-40B4-BE49-F238E27FC236}">
              <a16:creationId xmlns:a16="http://schemas.microsoft.com/office/drawing/2014/main" id="{E0774A7D-EB61-4B14-A81B-8E24094D84E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289935"/>
          <a:ext cx="180000" cy="180000"/>
        </a:xfrm>
        <a:prstGeom prst="rect">
          <a:avLst/>
        </a:prstGeom>
      </xdr:spPr>
    </xdr:pic>
    <xdr:clientData fPrintsWithSheet="0"/>
  </xdr:twoCellAnchor>
  <xdr:twoCellAnchor editAs="oneCell">
    <xdr:from>
      <xdr:col>2</xdr:col>
      <xdr:colOff>123825</xdr:colOff>
      <xdr:row>22</xdr:row>
      <xdr:rowOff>55245</xdr:rowOff>
    </xdr:from>
    <xdr:to>
      <xdr:col>2</xdr:col>
      <xdr:colOff>303825</xdr:colOff>
      <xdr:row>22</xdr:row>
      <xdr:rowOff>235245</xdr:rowOff>
    </xdr:to>
    <xdr:pic macro="ShowHelpMessage">
      <xdr:nvPicPr>
        <xdr:cNvPr id="21" name="btnHelpEntertainment">
          <a:extLst>
            <a:ext uri="{FF2B5EF4-FFF2-40B4-BE49-F238E27FC236}">
              <a16:creationId xmlns:a16="http://schemas.microsoft.com/office/drawing/2014/main" id="{F3B08BED-4FDC-45C8-A074-421C1BD5829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674745"/>
          <a:ext cx="180000" cy="180000"/>
        </a:xfrm>
        <a:prstGeom prst="rect">
          <a:avLst/>
        </a:prstGeom>
      </xdr:spPr>
    </xdr:pic>
    <xdr:clientData fPrintsWithSheet="0"/>
  </xdr:twoCellAnchor>
  <xdr:twoCellAnchor editAs="oneCell">
    <xdr:from>
      <xdr:col>2</xdr:col>
      <xdr:colOff>123825</xdr:colOff>
      <xdr:row>33</xdr:row>
      <xdr:rowOff>55245</xdr:rowOff>
    </xdr:from>
    <xdr:to>
      <xdr:col>2</xdr:col>
      <xdr:colOff>303825</xdr:colOff>
      <xdr:row>33</xdr:row>
      <xdr:rowOff>235245</xdr:rowOff>
    </xdr:to>
    <xdr:pic macro="ShowHelpMessage">
      <xdr:nvPicPr>
        <xdr:cNvPr id="22" name="btnHelpAlimony">
          <a:extLst>
            <a:ext uri="{FF2B5EF4-FFF2-40B4-BE49-F238E27FC236}">
              <a16:creationId xmlns:a16="http://schemas.microsoft.com/office/drawing/2014/main" id="{F228E94B-EDEA-4538-99BD-1FC291BF567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770245"/>
          <a:ext cx="180000" cy="180000"/>
        </a:xfrm>
        <a:prstGeom prst="rect">
          <a:avLst/>
        </a:prstGeom>
      </xdr:spPr>
    </xdr:pic>
    <xdr:clientData fPrintsWithSheet="0"/>
  </xdr:twoCellAnchor>
  <xdr:twoCellAnchor editAs="oneCell">
    <xdr:from>
      <xdr:col>2</xdr:col>
      <xdr:colOff>123825</xdr:colOff>
      <xdr:row>13</xdr:row>
      <xdr:rowOff>38100</xdr:rowOff>
    </xdr:from>
    <xdr:to>
      <xdr:col>2</xdr:col>
      <xdr:colOff>303825</xdr:colOff>
      <xdr:row>13</xdr:row>
      <xdr:rowOff>218100</xdr:rowOff>
    </xdr:to>
    <xdr:pic macro="ShowHelpMessage">
      <xdr:nvPicPr>
        <xdr:cNvPr id="23" name="btnHelpClothes">
          <a:extLst>
            <a:ext uri="{FF2B5EF4-FFF2-40B4-BE49-F238E27FC236}">
              <a16:creationId xmlns:a16="http://schemas.microsoft.com/office/drawing/2014/main" id="{A2CD0E3B-4391-44B6-B916-4BC06F3AD2D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91025" y="2638425"/>
          <a:ext cx="180000" cy="180000"/>
        </a:xfrm>
        <a:prstGeom prst="rect">
          <a:avLst/>
        </a:prstGeom>
      </xdr:spPr>
    </xdr:pic>
    <xdr:clientData fPrintsWithSheet="0"/>
  </xdr:twoCellAnchor>
  <xdr:twoCellAnchor editAs="absolute">
    <xdr:from>
      <xdr:col>10</xdr:col>
      <xdr:colOff>96941</xdr:colOff>
      <xdr:row>2</xdr:row>
      <xdr:rowOff>165100</xdr:rowOff>
    </xdr:from>
    <xdr:to>
      <xdr:col>12</xdr:col>
      <xdr:colOff>12941</xdr:colOff>
      <xdr:row>3</xdr:row>
      <xdr:rowOff>325075</xdr:rowOff>
    </xdr:to>
    <xdr:sp macro="[0]!ClearDeclaredExpenses" textlink="">
      <xdr:nvSpPr>
        <xdr:cNvPr id="32" name="btnClear">
          <a:extLst>
            <a:ext uri="{FF2B5EF4-FFF2-40B4-BE49-F238E27FC236}">
              <a16:creationId xmlns:a16="http://schemas.microsoft.com/office/drawing/2014/main" id="{BDC6A4A9-3761-4322-A64B-3BEDD3C1F352}"/>
            </a:ext>
          </a:extLst>
        </xdr:cNvPr>
        <xdr:cNvSpPr/>
      </xdr:nvSpPr>
      <xdr:spPr>
        <a:xfrm>
          <a:off x="10574441" y="5651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lumMod val="100000"/>
                </a:schemeClr>
              </a:solidFill>
              <a:latin typeface="Arial" panose="020B0604020202020204" pitchFamily="34" charset="0"/>
              <a:cs typeface="Arial" panose="020B0604020202020204" pitchFamily="34" charset="0"/>
            </a:rPr>
            <a:t>Clear</a:t>
          </a:r>
          <a:endParaRPr sz="1200" b="0">
            <a:solidFill>
              <a:schemeClr val="tx1">
                <a:lumMod val="100000"/>
              </a:schemeClr>
            </a:solidFill>
            <a:latin typeface="Arial" panose="020B0604020202020204" pitchFamily="34" charset="0"/>
            <a:cs typeface="Arial" panose="020B0604020202020204" pitchFamily="34" charset="0"/>
          </a:endParaRPr>
        </a:p>
      </xdr:txBody>
    </xdr:sp>
    <xdr:clientData fPrintsWithSheet="0"/>
  </xdr:twoCellAnchor>
  <xdr:oneCellAnchor>
    <xdr:from>
      <xdr:col>6</xdr:col>
      <xdr:colOff>28574</xdr:colOff>
      <xdr:row>8</xdr:row>
      <xdr:rowOff>66674</xdr:rowOff>
    </xdr:from>
    <xdr:ext cx="158400" cy="158400"/>
    <xdr:pic macro="[0]!CopySpouseExpenses">
      <xdr:nvPicPr>
        <xdr:cNvPr id="35" name="btnCopyCDEApp2">
          <a:extLst>
            <a:ext uri="{FF2B5EF4-FFF2-40B4-BE49-F238E27FC236}">
              <a16:creationId xmlns:a16="http://schemas.microsoft.com/office/drawing/2014/main" id="{97EE3DAF-CF1B-430F-85F3-218A6AA5B70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7400924" y="2571749"/>
          <a:ext cx="158400" cy="158400"/>
        </a:xfrm>
        <a:prstGeom prst="rect">
          <a:avLst/>
        </a:prstGeom>
      </xdr:spPr>
    </xdr:pic>
    <xdr:clientData fPrintsWithSheet="0"/>
  </xdr:oneCellAnchor>
  <xdr:oneCellAnchor>
    <xdr:from>
      <xdr:col>6</xdr:col>
      <xdr:colOff>28574</xdr:colOff>
      <xdr:row>7</xdr:row>
      <xdr:rowOff>57149</xdr:rowOff>
    </xdr:from>
    <xdr:ext cx="158400" cy="158400"/>
    <xdr:pic macro="[0]!DeleteCustomerDeclaredExpenses">
      <xdr:nvPicPr>
        <xdr:cNvPr id="36" name="btnClearCDEApp2">
          <a:extLst>
            <a:ext uri="{FF2B5EF4-FFF2-40B4-BE49-F238E27FC236}">
              <a16:creationId xmlns:a16="http://schemas.microsoft.com/office/drawing/2014/main" id="{15BA34DF-A0AC-43CE-9ED6-F1ABC9C151D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7400924" y="2276474"/>
          <a:ext cx="158400" cy="158400"/>
        </a:xfrm>
        <a:prstGeom prst="rect">
          <a:avLst/>
        </a:prstGeom>
      </xdr:spPr>
    </xdr:pic>
    <xdr:clientData fPrintsWithSheet="0"/>
  </xdr:oneCellAnchor>
  <xdr:oneCellAnchor>
    <xdr:from>
      <xdr:col>8</xdr:col>
      <xdr:colOff>28574</xdr:colOff>
      <xdr:row>8</xdr:row>
      <xdr:rowOff>66674</xdr:rowOff>
    </xdr:from>
    <xdr:ext cx="158400" cy="158400"/>
    <xdr:pic macro="[0]!CopySpouseExpenses">
      <xdr:nvPicPr>
        <xdr:cNvPr id="37" name="btnCopyCDEApp3" hidden="1">
          <a:extLst>
            <a:ext uri="{FF2B5EF4-FFF2-40B4-BE49-F238E27FC236}">
              <a16:creationId xmlns:a16="http://schemas.microsoft.com/office/drawing/2014/main" id="{624B1BCA-AEF0-4C33-8659-99282B48B00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8963024" y="2571749"/>
          <a:ext cx="158400" cy="158400"/>
        </a:xfrm>
        <a:prstGeom prst="rect">
          <a:avLst/>
        </a:prstGeom>
      </xdr:spPr>
    </xdr:pic>
    <xdr:clientData fPrintsWithSheet="0"/>
  </xdr:oneCellAnchor>
  <xdr:oneCellAnchor>
    <xdr:from>
      <xdr:col>8</xdr:col>
      <xdr:colOff>28574</xdr:colOff>
      <xdr:row>7</xdr:row>
      <xdr:rowOff>57149</xdr:rowOff>
    </xdr:from>
    <xdr:ext cx="158400" cy="158400"/>
    <xdr:pic macro="[0]!DeleteCustomerDeclaredExpenses">
      <xdr:nvPicPr>
        <xdr:cNvPr id="38" name="btnClearCDEApp3" hidden="1">
          <a:extLst>
            <a:ext uri="{FF2B5EF4-FFF2-40B4-BE49-F238E27FC236}">
              <a16:creationId xmlns:a16="http://schemas.microsoft.com/office/drawing/2014/main" id="{F80D7E7A-D9B2-4EC3-B774-723B636A0E6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8963024" y="2276474"/>
          <a:ext cx="158400" cy="158400"/>
        </a:xfrm>
        <a:prstGeom prst="rect">
          <a:avLst/>
        </a:prstGeom>
      </xdr:spPr>
    </xdr:pic>
    <xdr:clientData fPrintsWithSheet="0"/>
  </xdr:oneCellAnchor>
  <xdr:oneCellAnchor>
    <xdr:from>
      <xdr:col>10</xdr:col>
      <xdr:colOff>28574</xdr:colOff>
      <xdr:row>8</xdr:row>
      <xdr:rowOff>66674</xdr:rowOff>
    </xdr:from>
    <xdr:ext cx="158400" cy="158400"/>
    <xdr:pic macro="[0]!CopySpouseExpenses">
      <xdr:nvPicPr>
        <xdr:cNvPr id="39" name="btnCopyCDEApp4" hidden="1">
          <a:extLst>
            <a:ext uri="{FF2B5EF4-FFF2-40B4-BE49-F238E27FC236}">
              <a16:creationId xmlns:a16="http://schemas.microsoft.com/office/drawing/2014/main" id="{0585E623-EAB1-4EDE-BB58-071F4623D03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525124" y="2571749"/>
          <a:ext cx="158400" cy="158400"/>
        </a:xfrm>
        <a:prstGeom prst="rect">
          <a:avLst/>
        </a:prstGeom>
      </xdr:spPr>
    </xdr:pic>
    <xdr:clientData fPrintsWithSheet="0"/>
  </xdr:oneCellAnchor>
  <xdr:oneCellAnchor>
    <xdr:from>
      <xdr:col>10</xdr:col>
      <xdr:colOff>28574</xdr:colOff>
      <xdr:row>7</xdr:row>
      <xdr:rowOff>57149</xdr:rowOff>
    </xdr:from>
    <xdr:ext cx="158400" cy="158400"/>
    <xdr:pic macro="[0]!DeleteCustomerDeclaredExpenses">
      <xdr:nvPicPr>
        <xdr:cNvPr id="40" name="btnClearCDEApp4" hidden="1">
          <a:extLst>
            <a:ext uri="{FF2B5EF4-FFF2-40B4-BE49-F238E27FC236}">
              <a16:creationId xmlns:a16="http://schemas.microsoft.com/office/drawing/2014/main" id="{7E951797-B366-4358-8CBA-6E321701468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525124" y="2276474"/>
          <a:ext cx="158400" cy="158400"/>
        </a:xfrm>
        <a:prstGeom prst="rect">
          <a:avLst/>
        </a:prstGeom>
      </xdr:spPr>
    </xdr:pic>
    <xdr:clientData fPrintsWithSheet="0"/>
  </xdr:oneCellAnchor>
  <xdr:oneCellAnchor>
    <xdr:from>
      <xdr:col>12</xdr:col>
      <xdr:colOff>28574</xdr:colOff>
      <xdr:row>8</xdr:row>
      <xdr:rowOff>66674</xdr:rowOff>
    </xdr:from>
    <xdr:ext cx="158400" cy="158400"/>
    <xdr:pic macro="[0]!CopySpouseExpenses">
      <xdr:nvPicPr>
        <xdr:cNvPr id="41" name="btnCopyCDEApp5" hidden="1">
          <a:extLst>
            <a:ext uri="{FF2B5EF4-FFF2-40B4-BE49-F238E27FC236}">
              <a16:creationId xmlns:a16="http://schemas.microsoft.com/office/drawing/2014/main" id="{BB83A785-06D1-4271-A2B0-54C0CBBB19E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2087224" y="2571749"/>
          <a:ext cx="158400" cy="158400"/>
        </a:xfrm>
        <a:prstGeom prst="rect">
          <a:avLst/>
        </a:prstGeom>
      </xdr:spPr>
    </xdr:pic>
    <xdr:clientData fPrintsWithSheet="0"/>
  </xdr:oneCellAnchor>
  <xdr:oneCellAnchor>
    <xdr:from>
      <xdr:col>12</xdr:col>
      <xdr:colOff>28574</xdr:colOff>
      <xdr:row>7</xdr:row>
      <xdr:rowOff>57149</xdr:rowOff>
    </xdr:from>
    <xdr:ext cx="158400" cy="158400"/>
    <xdr:pic macro="[0]!DeleteCustomerDeclaredExpenses">
      <xdr:nvPicPr>
        <xdr:cNvPr id="42" name="btnClearCDEApp5" hidden="1">
          <a:extLst>
            <a:ext uri="{FF2B5EF4-FFF2-40B4-BE49-F238E27FC236}">
              <a16:creationId xmlns:a16="http://schemas.microsoft.com/office/drawing/2014/main" id="{30F18A70-F63D-428F-ADBC-6AA9A9DED95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2087224" y="2276474"/>
          <a:ext cx="158400" cy="158400"/>
        </a:xfrm>
        <a:prstGeom prst="rect">
          <a:avLst/>
        </a:prstGeom>
      </xdr:spPr>
    </xdr:pic>
    <xdr:clientData fPrintsWithSheet="0"/>
  </xdr:oneCellAnchor>
  <xdr:oneCellAnchor>
    <xdr:from>
      <xdr:col>14</xdr:col>
      <xdr:colOff>28574</xdr:colOff>
      <xdr:row>8</xdr:row>
      <xdr:rowOff>66674</xdr:rowOff>
    </xdr:from>
    <xdr:ext cx="158400" cy="158400"/>
    <xdr:pic macro="[0]!CopySpouseExpenses">
      <xdr:nvPicPr>
        <xdr:cNvPr id="43" name="btnCopyCDEApp6" hidden="1">
          <a:extLst>
            <a:ext uri="{FF2B5EF4-FFF2-40B4-BE49-F238E27FC236}">
              <a16:creationId xmlns:a16="http://schemas.microsoft.com/office/drawing/2014/main" id="{0410860A-E253-405F-B372-C48DB88B1C7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3649324" y="2571749"/>
          <a:ext cx="158400" cy="158400"/>
        </a:xfrm>
        <a:prstGeom prst="rect">
          <a:avLst/>
        </a:prstGeom>
      </xdr:spPr>
    </xdr:pic>
    <xdr:clientData fPrintsWithSheet="0"/>
  </xdr:oneCellAnchor>
  <xdr:oneCellAnchor>
    <xdr:from>
      <xdr:col>14</xdr:col>
      <xdr:colOff>28574</xdr:colOff>
      <xdr:row>7</xdr:row>
      <xdr:rowOff>57149</xdr:rowOff>
    </xdr:from>
    <xdr:ext cx="158400" cy="158400"/>
    <xdr:pic macro="[0]!DeleteCustomerDeclaredExpenses">
      <xdr:nvPicPr>
        <xdr:cNvPr id="44" name="btnClearCDEApp6" hidden="1">
          <a:extLst>
            <a:ext uri="{FF2B5EF4-FFF2-40B4-BE49-F238E27FC236}">
              <a16:creationId xmlns:a16="http://schemas.microsoft.com/office/drawing/2014/main" id="{77D2B758-9425-4ADC-B4A1-DF46B40CF48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3649324" y="2276474"/>
          <a:ext cx="158400" cy="158400"/>
        </a:xfrm>
        <a:prstGeom prst="rect">
          <a:avLst/>
        </a:prstGeom>
      </xdr:spPr>
    </xdr:pic>
    <xdr:clientData fPrintsWithSheet="0"/>
  </xdr:oneCellAnchor>
  <xdr:twoCellAnchor editAs="oneCell">
    <xdr:from>
      <xdr:col>12</xdr:col>
      <xdr:colOff>80431</xdr:colOff>
      <xdr:row>2</xdr:row>
      <xdr:rowOff>165100</xdr:rowOff>
    </xdr:from>
    <xdr:to>
      <xdr:col>13</xdr:col>
      <xdr:colOff>1234681</xdr:colOff>
      <xdr:row>3</xdr:row>
      <xdr:rowOff>325075</xdr:rowOff>
    </xdr:to>
    <xdr:sp macro="[0]!ContinueDeclaredExpenses" textlink="">
      <xdr:nvSpPr>
        <xdr:cNvPr id="45" name="btnContinue">
          <a:extLst>
            <a:ext uri="{FF2B5EF4-FFF2-40B4-BE49-F238E27FC236}">
              <a16:creationId xmlns:a16="http://schemas.microsoft.com/office/drawing/2014/main" id="{5E48A3EE-6B26-4AAA-85FC-475A4FEAA64D}"/>
            </a:ext>
          </a:extLst>
        </xdr:cNvPr>
        <xdr:cNvSpPr/>
      </xdr:nvSpPr>
      <xdr:spPr>
        <a:xfrm>
          <a:off x="12081931"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1</xdr:col>
      <xdr:colOff>851951</xdr:colOff>
      <xdr:row>2</xdr:row>
      <xdr:rowOff>180975</xdr:rowOff>
    </xdr:to>
    <xdr:pic>
      <xdr:nvPicPr>
        <xdr:cNvPr id="46" name="imgLogoWBC">
          <a:extLst>
            <a:ext uri="{FF2B5EF4-FFF2-40B4-BE49-F238E27FC236}">
              <a16:creationId xmlns:a16="http://schemas.microsoft.com/office/drawing/2014/main" id="{CA4E4F46-ED4E-4E2B-9AFA-E6D9691E68E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241793" y="256120"/>
          <a:ext cx="800658" cy="32490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7</xdr:col>
      <xdr:colOff>2466975</xdr:colOff>
      <xdr:row>1</xdr:row>
      <xdr:rowOff>50800</xdr:rowOff>
    </xdr:from>
    <xdr:to>
      <xdr:col>7</xdr:col>
      <xdr:colOff>3906975</xdr:colOff>
      <xdr:row>3</xdr:row>
      <xdr:rowOff>29800</xdr:rowOff>
    </xdr:to>
    <xdr:sp macro="[0]!ResetRemainingTermCalculator" textlink="">
      <xdr:nvSpPr>
        <xdr:cNvPr id="3" name="btnResetCalculator">
          <a:extLst>
            <a:ext uri="{FF2B5EF4-FFF2-40B4-BE49-F238E27FC236}">
              <a16:creationId xmlns:a16="http://schemas.microsoft.com/office/drawing/2014/main" id="{58323343-C65A-4C7A-B881-F599EA66BEDD}"/>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p>
      </xdr:txBody>
    </xdr:sp>
    <xdr:clientData fLocksWithSheet="0" fPrintsWithSheet="0"/>
  </xdr:twoCellAnchor>
  <xdr:twoCellAnchor editAs="oneCell">
    <xdr:from>
      <xdr:col>1</xdr:col>
      <xdr:colOff>51293</xdr:colOff>
      <xdr:row>1</xdr:row>
      <xdr:rowOff>65620</xdr:rowOff>
    </xdr:from>
    <xdr:to>
      <xdr:col>1</xdr:col>
      <xdr:colOff>851951</xdr:colOff>
      <xdr:row>3</xdr:row>
      <xdr:rowOff>9525</xdr:rowOff>
    </xdr:to>
    <xdr:pic>
      <xdr:nvPicPr>
        <xdr:cNvPr id="9" name="imgLogoWBC">
          <a:extLst>
            <a:ext uri="{FF2B5EF4-FFF2-40B4-BE49-F238E27FC236}">
              <a16:creationId xmlns:a16="http://schemas.microsoft.com/office/drawing/2014/main" id="{A86B2B6C-9E8F-4D0C-996A-9CB83A68E7B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7</xdr:col>
      <xdr:colOff>933450</xdr:colOff>
      <xdr:row>1</xdr:row>
      <xdr:rowOff>50800</xdr:rowOff>
    </xdr:from>
    <xdr:ext cx="1440000" cy="360000"/>
    <xdr:sp macro="[0]!ExportWorksheetToPDF" textlink="">
      <xdr:nvSpPr>
        <xdr:cNvPr id="14" name="btnCreatePDF">
          <a:extLst>
            <a:ext uri="{FF2B5EF4-FFF2-40B4-BE49-F238E27FC236}">
              <a16:creationId xmlns:a16="http://schemas.microsoft.com/office/drawing/2014/main" id="{691259EC-D040-4DBF-BD6D-B854E5CC2ACE}"/>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7</xdr:col>
      <xdr:colOff>4000500</xdr:colOff>
      <xdr:row>1</xdr:row>
      <xdr:rowOff>50800</xdr:rowOff>
    </xdr:from>
    <xdr:ext cx="1440000" cy="360000"/>
    <xdr:sp macro="[0]!ShowNavigationScreen" textlink="">
      <xdr:nvSpPr>
        <xdr:cNvPr id="13" name="btnOtherCalculators">
          <a:extLst>
            <a:ext uri="{FF2B5EF4-FFF2-40B4-BE49-F238E27FC236}">
              <a16:creationId xmlns:a16="http://schemas.microsoft.com/office/drawing/2014/main" id="{FC38C5DC-714C-4EBE-B6DA-0701D60C82E3}"/>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4.xml><?xml version="1.0" encoding="utf-8"?>
<xdr:wsDr xmlns:xdr="http://schemas.openxmlformats.org/drawingml/2006/spreadsheetDrawing" xmlns:a="http://schemas.openxmlformats.org/drawingml/2006/main">
  <xdr:twoCellAnchor editAs="absolute">
    <xdr:from>
      <xdr:col>14</xdr:col>
      <xdr:colOff>19050</xdr:colOff>
      <xdr:row>1</xdr:row>
      <xdr:rowOff>50800</xdr:rowOff>
    </xdr:from>
    <xdr:to>
      <xdr:col>16</xdr:col>
      <xdr:colOff>163650</xdr:colOff>
      <xdr:row>3</xdr:row>
      <xdr:rowOff>29800</xdr:rowOff>
    </xdr:to>
    <xdr:sp macro="[0]!ResetBridgingLoanCalculator" textlink="">
      <xdr:nvSpPr>
        <xdr:cNvPr id="3" name="btnResetCalculator">
          <a:extLst>
            <a:ext uri="{FF2B5EF4-FFF2-40B4-BE49-F238E27FC236}">
              <a16:creationId xmlns:a16="http://schemas.microsoft.com/office/drawing/2014/main" id="{00000000-0008-0000-0200-000003000000}"/>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twoCellAnchor editAs="oneCell">
    <xdr:from>
      <xdr:col>1</xdr:col>
      <xdr:colOff>51293</xdr:colOff>
      <xdr:row>1</xdr:row>
      <xdr:rowOff>65620</xdr:rowOff>
    </xdr:from>
    <xdr:to>
      <xdr:col>2</xdr:col>
      <xdr:colOff>661451</xdr:colOff>
      <xdr:row>3</xdr:row>
      <xdr:rowOff>9525</xdr:rowOff>
    </xdr:to>
    <xdr:pic>
      <xdr:nvPicPr>
        <xdr:cNvPr id="10" name="imgLogoWBC">
          <a:extLst>
            <a:ext uri="{FF2B5EF4-FFF2-40B4-BE49-F238E27FC236}">
              <a16:creationId xmlns:a16="http://schemas.microsoft.com/office/drawing/2014/main" id="{0F4C681B-70CF-42A2-BFAC-5630259D5A5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13</xdr:col>
      <xdr:colOff>561974</xdr:colOff>
      <xdr:row>1</xdr:row>
      <xdr:rowOff>50800</xdr:rowOff>
    </xdr:from>
    <xdr:ext cx="1440000" cy="360000"/>
    <xdr:sp macro="[0]!ExportWorksheetToPDF" textlink="">
      <xdr:nvSpPr>
        <xdr:cNvPr id="15" name="btnCreatePDF">
          <a:extLst>
            <a:ext uri="{FF2B5EF4-FFF2-40B4-BE49-F238E27FC236}">
              <a16:creationId xmlns:a16="http://schemas.microsoft.com/office/drawing/2014/main" id="{70FC7824-F573-40CD-BC05-C3D9C726C7B5}"/>
            </a:ext>
          </a:extLst>
        </xdr:cNvPr>
        <xdr:cNvSpPr/>
      </xdr:nvSpPr>
      <xdr:spPr>
        <a:xfrm>
          <a:off x="8191499"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17</xdr:col>
      <xdr:colOff>76200</xdr:colOff>
      <xdr:row>1</xdr:row>
      <xdr:rowOff>50800</xdr:rowOff>
    </xdr:from>
    <xdr:ext cx="1440000" cy="360000"/>
    <xdr:sp macro="[0]!ShowNavigationScreen" textlink="">
      <xdr:nvSpPr>
        <xdr:cNvPr id="8" name="btnOtherCalculators">
          <a:extLst>
            <a:ext uri="{FF2B5EF4-FFF2-40B4-BE49-F238E27FC236}">
              <a16:creationId xmlns:a16="http://schemas.microsoft.com/office/drawing/2014/main" id="{7F85701D-215E-4362-8BDD-C847F498BBF6}"/>
            </a:ext>
          </a:extLst>
        </xdr:cNvPr>
        <xdr:cNvSpPr/>
      </xdr:nvSpPr>
      <xdr:spPr>
        <a:xfrm>
          <a:off x="11268075"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5.xml><?xml version="1.0" encoding="utf-8"?>
<xdr:wsDr xmlns:xdr="http://schemas.openxmlformats.org/drawingml/2006/spreadsheetDrawing" xmlns:a="http://schemas.openxmlformats.org/drawingml/2006/main">
  <xdr:twoCellAnchor editAs="absolute">
    <xdr:from>
      <xdr:col>12</xdr:col>
      <xdr:colOff>85725</xdr:colOff>
      <xdr:row>1</xdr:row>
      <xdr:rowOff>50800</xdr:rowOff>
    </xdr:from>
    <xdr:to>
      <xdr:col>14</xdr:col>
      <xdr:colOff>1144725</xdr:colOff>
      <xdr:row>3</xdr:row>
      <xdr:rowOff>29800</xdr:rowOff>
    </xdr:to>
    <xdr:sp macro="[0]!ResetFamilyGuaranteeCalculator" textlink="">
      <xdr:nvSpPr>
        <xdr:cNvPr id="20" name="btnResetCalculator">
          <a:extLst>
            <a:ext uri="{FF2B5EF4-FFF2-40B4-BE49-F238E27FC236}">
              <a16:creationId xmlns:a16="http://schemas.microsoft.com/office/drawing/2014/main" id="{258D366E-4A83-4C87-8D65-D8669C1BA0C4}"/>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twoCellAnchor editAs="oneCell">
    <xdr:from>
      <xdr:col>1</xdr:col>
      <xdr:colOff>51293</xdr:colOff>
      <xdr:row>1</xdr:row>
      <xdr:rowOff>65620</xdr:rowOff>
    </xdr:from>
    <xdr:to>
      <xdr:col>1</xdr:col>
      <xdr:colOff>851951</xdr:colOff>
      <xdr:row>3</xdr:row>
      <xdr:rowOff>9525</xdr:rowOff>
    </xdr:to>
    <xdr:pic>
      <xdr:nvPicPr>
        <xdr:cNvPr id="10" name="imgLogoWBC">
          <a:extLst>
            <a:ext uri="{FF2B5EF4-FFF2-40B4-BE49-F238E27FC236}">
              <a16:creationId xmlns:a16="http://schemas.microsoft.com/office/drawing/2014/main" id="{558ABCE1-7AF4-4455-A0FA-D5405E45D28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11</xdr:col>
      <xdr:colOff>76200</xdr:colOff>
      <xdr:row>1</xdr:row>
      <xdr:rowOff>50800</xdr:rowOff>
    </xdr:from>
    <xdr:ext cx="1440000" cy="360000"/>
    <xdr:sp macro="[0]!ExportWorksheetToPDF" textlink="">
      <xdr:nvSpPr>
        <xdr:cNvPr id="16" name="btnCreatePDF">
          <a:extLst>
            <a:ext uri="{FF2B5EF4-FFF2-40B4-BE49-F238E27FC236}">
              <a16:creationId xmlns:a16="http://schemas.microsoft.com/office/drawing/2014/main" id="{D8AB2E81-A6C8-4B9F-8DAE-C5BFBD81E5AE}"/>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14</xdr:col>
      <xdr:colOff>1238250</xdr:colOff>
      <xdr:row>1</xdr:row>
      <xdr:rowOff>50800</xdr:rowOff>
    </xdr:from>
    <xdr:ext cx="1440000" cy="360000"/>
    <xdr:sp macro="[0]!ShowNavigationScreen" textlink="">
      <xdr:nvSpPr>
        <xdr:cNvPr id="8" name="btnOtherCalculators">
          <a:extLst>
            <a:ext uri="{FF2B5EF4-FFF2-40B4-BE49-F238E27FC236}">
              <a16:creationId xmlns:a16="http://schemas.microsoft.com/office/drawing/2014/main" id="{9D118140-27F3-4609-99A0-498E947DE341}"/>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6.xml><?xml version="1.0" encoding="utf-8"?>
<xdr:wsDr xmlns:xdr="http://schemas.openxmlformats.org/drawingml/2006/spreadsheetDrawing" xmlns:a="http://schemas.openxmlformats.org/drawingml/2006/main">
  <xdr:twoCellAnchor editAs="oneCell">
    <xdr:from>
      <xdr:col>1</xdr:col>
      <xdr:colOff>51293</xdr:colOff>
      <xdr:row>1</xdr:row>
      <xdr:rowOff>65620</xdr:rowOff>
    </xdr:from>
    <xdr:to>
      <xdr:col>1</xdr:col>
      <xdr:colOff>851951</xdr:colOff>
      <xdr:row>3</xdr:row>
      <xdr:rowOff>9525</xdr:rowOff>
    </xdr:to>
    <xdr:pic>
      <xdr:nvPicPr>
        <xdr:cNvPr id="2" name="imgLogoWBC">
          <a:extLst>
            <a:ext uri="{FF2B5EF4-FFF2-40B4-BE49-F238E27FC236}">
              <a16:creationId xmlns:a16="http://schemas.microsoft.com/office/drawing/2014/main" id="{21B43852-8335-410D-B8A1-CAFC1358110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twoCellAnchor editAs="absolute">
    <xdr:from>
      <xdr:col>9</xdr:col>
      <xdr:colOff>1019175</xdr:colOff>
      <xdr:row>1</xdr:row>
      <xdr:rowOff>50800</xdr:rowOff>
    </xdr:from>
    <xdr:to>
      <xdr:col>11</xdr:col>
      <xdr:colOff>1030425</xdr:colOff>
      <xdr:row>3</xdr:row>
      <xdr:rowOff>29800</xdr:rowOff>
    </xdr:to>
    <xdr:sp macro="[0]!ExportWorksheetToPDF" textlink="">
      <xdr:nvSpPr>
        <xdr:cNvPr id="6" name="btnCreatePDF">
          <a:extLst>
            <a:ext uri="{FF2B5EF4-FFF2-40B4-BE49-F238E27FC236}">
              <a16:creationId xmlns:a16="http://schemas.microsoft.com/office/drawing/2014/main" id="{1EA94159-C977-44AA-8123-0DB3A88784A6}"/>
            </a:ext>
          </a:extLst>
        </xdr:cNvPr>
        <xdr:cNvSpPr/>
      </xdr:nvSpPr>
      <xdr:spPr>
        <a:xfrm>
          <a:off x="9972675"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13</xdr:col>
      <xdr:colOff>1228725</xdr:colOff>
      <xdr:row>1</xdr:row>
      <xdr:rowOff>50800</xdr:rowOff>
    </xdr:from>
    <xdr:to>
      <xdr:col>16</xdr:col>
      <xdr:colOff>1725</xdr:colOff>
      <xdr:row>3</xdr:row>
      <xdr:rowOff>29800</xdr:rowOff>
    </xdr:to>
    <xdr:sp macro="[0]!ShowNavigationScreen" textlink="">
      <xdr:nvSpPr>
        <xdr:cNvPr id="7" name="btnOtherCalculators">
          <a:extLst>
            <a:ext uri="{FF2B5EF4-FFF2-40B4-BE49-F238E27FC236}">
              <a16:creationId xmlns:a16="http://schemas.microsoft.com/office/drawing/2014/main" id="{0540FC2E-2D21-4FC3-9FF0-EC578BC567F5}"/>
            </a:ext>
          </a:extLst>
        </xdr:cNvPr>
        <xdr:cNvSpPr/>
      </xdr:nvSpPr>
      <xdr:spPr>
        <a:xfrm>
          <a:off x="13039725"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11</xdr:col>
      <xdr:colOff>1133475</xdr:colOff>
      <xdr:row>1</xdr:row>
      <xdr:rowOff>50800</xdr:rowOff>
    </xdr:from>
    <xdr:to>
      <xdr:col>13</xdr:col>
      <xdr:colOff>1144725</xdr:colOff>
      <xdr:row>3</xdr:row>
      <xdr:rowOff>29800</xdr:rowOff>
    </xdr:to>
    <xdr:sp macro="[0]!ResetSharedEquityGuaranteeCalculator" textlink="">
      <xdr:nvSpPr>
        <xdr:cNvPr id="8" name="btnResetCalculator">
          <a:extLst>
            <a:ext uri="{FF2B5EF4-FFF2-40B4-BE49-F238E27FC236}">
              <a16:creationId xmlns:a16="http://schemas.microsoft.com/office/drawing/2014/main" id="{19BD34F6-7E6A-4BDE-9B13-907FA974E57C}"/>
            </a:ext>
          </a:extLst>
        </xdr:cNvPr>
        <xdr:cNvSpPr/>
      </xdr:nvSpPr>
      <xdr:spPr>
        <a:xfrm>
          <a:off x="115157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PrintsWithSheet="0"/>
  </xdr:twoCellAnchor>
  <xdr:twoCellAnchor editAs="oneCell">
    <xdr:from>
      <xdr:col>2</xdr:col>
      <xdr:colOff>95250</xdr:colOff>
      <xdr:row>8</xdr:row>
      <xdr:rowOff>38100</xdr:rowOff>
    </xdr:from>
    <xdr:to>
      <xdr:col>2</xdr:col>
      <xdr:colOff>275250</xdr:colOff>
      <xdr:row>8</xdr:row>
      <xdr:rowOff>218100</xdr:rowOff>
    </xdr:to>
    <xdr:pic macro="ShowHelpMessage">
      <xdr:nvPicPr>
        <xdr:cNvPr id="10" name="btnHelpSEGPropertyValue">
          <a:extLst>
            <a:ext uri="{FF2B5EF4-FFF2-40B4-BE49-F238E27FC236}">
              <a16:creationId xmlns:a16="http://schemas.microsoft.com/office/drawing/2014/main" id="{A19FFA6D-9913-45F6-ABC1-7A3B42366A5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1657350"/>
          <a:ext cx="180000" cy="180000"/>
        </a:xfrm>
        <a:prstGeom prst="rect">
          <a:avLst/>
        </a:prstGeom>
      </xdr:spPr>
    </xdr:pic>
    <xdr:clientData fPrintsWithSheet="0"/>
  </xdr:twoCellAnchor>
  <xdr:twoCellAnchor editAs="oneCell">
    <xdr:from>
      <xdr:col>2</xdr:col>
      <xdr:colOff>95250</xdr:colOff>
      <xdr:row>13</xdr:row>
      <xdr:rowOff>38100</xdr:rowOff>
    </xdr:from>
    <xdr:to>
      <xdr:col>2</xdr:col>
      <xdr:colOff>275250</xdr:colOff>
      <xdr:row>13</xdr:row>
      <xdr:rowOff>218100</xdr:rowOff>
    </xdr:to>
    <xdr:pic macro="ShowHelpMessage">
      <xdr:nvPicPr>
        <xdr:cNvPr id="12" name="btnHelpSEGApplicantOwnership">
          <a:extLst>
            <a:ext uri="{FF2B5EF4-FFF2-40B4-BE49-F238E27FC236}">
              <a16:creationId xmlns:a16="http://schemas.microsoft.com/office/drawing/2014/main" id="{AF81A653-02CC-4213-9D70-124E8AA0A3B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2800350"/>
          <a:ext cx="180000" cy="180000"/>
        </a:xfrm>
        <a:prstGeom prst="rect">
          <a:avLst/>
        </a:prstGeom>
      </xdr:spPr>
    </xdr:pic>
    <xdr:clientData fPrintsWithSheet="0"/>
  </xdr:twoCellAnchor>
  <xdr:twoCellAnchor editAs="oneCell">
    <xdr:from>
      <xdr:col>2</xdr:col>
      <xdr:colOff>95250</xdr:colOff>
      <xdr:row>18</xdr:row>
      <xdr:rowOff>38100</xdr:rowOff>
    </xdr:from>
    <xdr:to>
      <xdr:col>2</xdr:col>
      <xdr:colOff>275250</xdr:colOff>
      <xdr:row>18</xdr:row>
      <xdr:rowOff>218100</xdr:rowOff>
    </xdr:to>
    <xdr:pic macro="ShowHelpMessage">
      <xdr:nvPicPr>
        <xdr:cNvPr id="13" name="btnHelpSEGExistingLending">
          <a:extLst>
            <a:ext uri="{FF2B5EF4-FFF2-40B4-BE49-F238E27FC236}">
              <a16:creationId xmlns:a16="http://schemas.microsoft.com/office/drawing/2014/main" id="{838E8B16-D028-436C-B4E6-F70BAE7E033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3705225"/>
          <a:ext cx="180000" cy="180000"/>
        </a:xfrm>
        <a:prstGeom prst="rect">
          <a:avLst/>
        </a:prstGeom>
      </xdr:spPr>
    </xdr:pic>
    <xdr:clientData fPrintsWithSheet="0"/>
  </xdr:twoCellAnchor>
  <xdr:twoCellAnchor editAs="oneCell">
    <xdr:from>
      <xdr:col>2</xdr:col>
      <xdr:colOff>95250</xdr:colOff>
      <xdr:row>9</xdr:row>
      <xdr:rowOff>28575</xdr:rowOff>
    </xdr:from>
    <xdr:to>
      <xdr:col>2</xdr:col>
      <xdr:colOff>275250</xdr:colOff>
      <xdr:row>9</xdr:row>
      <xdr:rowOff>208575</xdr:rowOff>
    </xdr:to>
    <xdr:pic macro="ShowHelpMessage">
      <xdr:nvPicPr>
        <xdr:cNvPr id="9" name="btnHelpSEGMaxLVR">
          <a:extLst>
            <a:ext uri="{FF2B5EF4-FFF2-40B4-BE49-F238E27FC236}">
              <a16:creationId xmlns:a16="http://schemas.microsoft.com/office/drawing/2014/main" id="{19F0817D-311B-445B-9657-E8CEFF3BBF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1885950"/>
          <a:ext cx="180000" cy="180000"/>
        </a:xfrm>
        <a:prstGeom prst="rect">
          <a:avLst/>
        </a:prstGeom>
      </xdr:spPr>
    </xdr:pic>
    <xdr:clientData fPrintsWithSheet="0"/>
  </xdr:twoCellAnchor>
  <xdr:twoCellAnchor editAs="oneCell">
    <xdr:from>
      <xdr:col>2</xdr:col>
      <xdr:colOff>95250</xdr:colOff>
      <xdr:row>10</xdr:row>
      <xdr:rowOff>28575</xdr:rowOff>
    </xdr:from>
    <xdr:to>
      <xdr:col>2</xdr:col>
      <xdr:colOff>275250</xdr:colOff>
      <xdr:row>10</xdr:row>
      <xdr:rowOff>208575</xdr:rowOff>
    </xdr:to>
    <xdr:pic macro="ShowHelpMessage">
      <xdr:nvPicPr>
        <xdr:cNvPr id="11" name="btnHelpSEGMaxEquity">
          <a:extLst>
            <a:ext uri="{FF2B5EF4-FFF2-40B4-BE49-F238E27FC236}">
              <a16:creationId xmlns:a16="http://schemas.microsoft.com/office/drawing/2014/main" id="{3AB502D3-4B1E-4516-9DDD-AD678869759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2124075"/>
          <a:ext cx="180000" cy="180000"/>
        </a:xfrm>
        <a:prstGeom prst="rect">
          <a:avLst/>
        </a:prstGeom>
      </xdr:spPr>
    </xdr:pic>
    <xdr:clientData fPrintsWithSheet="0"/>
  </xdr:twoCellAnchor>
  <xdr:twoCellAnchor editAs="oneCell">
    <xdr:from>
      <xdr:col>2</xdr:col>
      <xdr:colOff>95250</xdr:colOff>
      <xdr:row>14</xdr:row>
      <xdr:rowOff>28575</xdr:rowOff>
    </xdr:from>
    <xdr:to>
      <xdr:col>2</xdr:col>
      <xdr:colOff>275250</xdr:colOff>
      <xdr:row>14</xdr:row>
      <xdr:rowOff>208575</xdr:rowOff>
    </xdr:to>
    <xdr:pic macro="ShowHelpMessage">
      <xdr:nvPicPr>
        <xdr:cNvPr id="14" name="btnHelpSEGBorEquity">
          <a:extLst>
            <a:ext uri="{FF2B5EF4-FFF2-40B4-BE49-F238E27FC236}">
              <a16:creationId xmlns:a16="http://schemas.microsoft.com/office/drawing/2014/main" id="{AB6CA430-7717-4B01-A09C-7BE2BD69CD6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3028950"/>
          <a:ext cx="180000" cy="180000"/>
        </a:xfrm>
        <a:prstGeom prst="rect">
          <a:avLst/>
        </a:prstGeom>
      </xdr:spPr>
    </xdr:pic>
    <xdr:clientData fPrintsWithSheet="0"/>
  </xdr:twoCellAnchor>
  <xdr:twoCellAnchor editAs="oneCell">
    <xdr:from>
      <xdr:col>2</xdr:col>
      <xdr:colOff>95250</xdr:colOff>
      <xdr:row>23</xdr:row>
      <xdr:rowOff>28575</xdr:rowOff>
    </xdr:from>
    <xdr:to>
      <xdr:col>2</xdr:col>
      <xdr:colOff>275250</xdr:colOff>
      <xdr:row>23</xdr:row>
      <xdr:rowOff>208575</xdr:rowOff>
    </xdr:to>
    <xdr:pic macro="ShowHelpMessage">
      <xdr:nvPicPr>
        <xdr:cNvPr id="15" name="btnHelpSEGTotalLending">
          <a:extLst>
            <a:ext uri="{FF2B5EF4-FFF2-40B4-BE49-F238E27FC236}">
              <a16:creationId xmlns:a16="http://schemas.microsoft.com/office/drawing/2014/main" id="{C4D5DFAC-97AC-43FD-932E-D9D5B01EB36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4838700"/>
          <a:ext cx="180000" cy="180000"/>
        </a:xfrm>
        <a:prstGeom prst="rect">
          <a:avLst/>
        </a:prstGeom>
      </xdr:spPr>
    </xdr:pic>
    <xdr:clientData fPrintsWithSheet="0"/>
  </xdr:twoCellAnchor>
  <xdr:twoCellAnchor editAs="oneCell">
    <xdr:from>
      <xdr:col>2</xdr:col>
      <xdr:colOff>95250</xdr:colOff>
      <xdr:row>28</xdr:row>
      <xdr:rowOff>28575</xdr:rowOff>
    </xdr:from>
    <xdr:to>
      <xdr:col>2</xdr:col>
      <xdr:colOff>275250</xdr:colOff>
      <xdr:row>28</xdr:row>
      <xdr:rowOff>208575</xdr:rowOff>
    </xdr:to>
    <xdr:pic macro="ShowHelpMessage">
      <xdr:nvPicPr>
        <xdr:cNvPr id="16" name="btnHelpSEGBorAvailEquity">
          <a:extLst>
            <a:ext uri="{FF2B5EF4-FFF2-40B4-BE49-F238E27FC236}">
              <a16:creationId xmlns:a16="http://schemas.microsoft.com/office/drawing/2014/main" id="{44642406-0488-4383-8D20-BF2370ED7B7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5695950"/>
          <a:ext cx="180000" cy="180000"/>
        </a:xfrm>
        <a:prstGeom prst="rect">
          <a:avLst/>
        </a:prstGeom>
      </xdr:spPr>
    </xdr:pic>
    <xdr:clientData fPrintsWithSheet="0"/>
  </xdr:twoCellAnchor>
  <xdr:twoCellAnchor editAs="oneCell">
    <xdr:from>
      <xdr:col>2</xdr:col>
      <xdr:colOff>95250</xdr:colOff>
      <xdr:row>30</xdr:row>
      <xdr:rowOff>28575</xdr:rowOff>
    </xdr:from>
    <xdr:to>
      <xdr:col>2</xdr:col>
      <xdr:colOff>275250</xdr:colOff>
      <xdr:row>30</xdr:row>
      <xdr:rowOff>208575</xdr:rowOff>
    </xdr:to>
    <xdr:pic macro="ShowHelpMessage">
      <xdr:nvPicPr>
        <xdr:cNvPr id="17" name="btnHelpSEGTotAvailEquity">
          <a:extLst>
            <a:ext uri="{FF2B5EF4-FFF2-40B4-BE49-F238E27FC236}">
              <a16:creationId xmlns:a16="http://schemas.microsoft.com/office/drawing/2014/main" id="{527FB022-7CD3-4C42-8673-690D41EEC0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6029325"/>
          <a:ext cx="180000" cy="180000"/>
        </a:xfrm>
        <a:prstGeom prst="rect">
          <a:avLst/>
        </a:prstGeom>
      </xdr:spPr>
    </xdr:pic>
    <xdr:clientData fPrintsWithSheet="0"/>
  </xdr:twoCellAnchor>
  <xdr:twoCellAnchor editAs="oneCell">
    <xdr:from>
      <xdr:col>2</xdr:col>
      <xdr:colOff>95250</xdr:colOff>
      <xdr:row>32</xdr:row>
      <xdr:rowOff>28575</xdr:rowOff>
    </xdr:from>
    <xdr:to>
      <xdr:col>2</xdr:col>
      <xdr:colOff>275250</xdr:colOff>
      <xdr:row>32</xdr:row>
      <xdr:rowOff>208575</xdr:rowOff>
    </xdr:to>
    <xdr:pic macro="ShowHelpMessage">
      <xdr:nvPicPr>
        <xdr:cNvPr id="18" name="btnHelpSEGMaxLoan">
          <a:extLst>
            <a:ext uri="{FF2B5EF4-FFF2-40B4-BE49-F238E27FC236}">
              <a16:creationId xmlns:a16="http://schemas.microsoft.com/office/drawing/2014/main" id="{A74C7BA9-65C8-4FA6-9146-BC821B6DC7D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6362700"/>
          <a:ext cx="180000" cy="180000"/>
        </a:xfrm>
        <a:prstGeom prst="rect">
          <a:avLst/>
        </a:prstGeom>
      </xdr:spPr>
    </xdr:pic>
    <xdr:clientData fPrintsWithSheet="0"/>
  </xdr:twoCellAnchor>
  <xdr:twoCellAnchor editAs="oneCell">
    <xdr:from>
      <xdr:col>3</xdr:col>
      <xdr:colOff>1047750</xdr:colOff>
      <xdr:row>19</xdr:row>
      <xdr:rowOff>0</xdr:rowOff>
    </xdr:from>
    <xdr:to>
      <xdr:col>3</xdr:col>
      <xdr:colOff>1227750</xdr:colOff>
      <xdr:row>19</xdr:row>
      <xdr:rowOff>180000</xdr:rowOff>
    </xdr:to>
    <xdr:pic macro="ShowHelpMessage">
      <xdr:nvPicPr>
        <xdr:cNvPr id="20" name="btnHelpSEGLoanAmount">
          <a:extLst>
            <a:ext uri="{FF2B5EF4-FFF2-40B4-BE49-F238E27FC236}">
              <a16:creationId xmlns:a16="http://schemas.microsoft.com/office/drawing/2014/main" id="{B23BB6CA-54FA-4182-BA59-E84914E5347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5715000" y="3952875"/>
          <a:ext cx="180000" cy="180000"/>
        </a:xfrm>
        <a:prstGeom prst="rect">
          <a:avLst/>
        </a:prstGeom>
      </xdr:spPr>
    </xdr:pic>
    <xdr:clientData fPrintsWithSheet="0"/>
  </xdr:twoCellAnchor>
</xdr:wsDr>
</file>

<file path=xl/drawings/drawing17.xml><?xml version="1.0" encoding="utf-8"?>
<xdr:wsDr xmlns:xdr="http://schemas.openxmlformats.org/drawingml/2006/spreadsheetDrawing" xmlns:a="http://schemas.openxmlformats.org/drawingml/2006/main">
  <xdr:oneCellAnchor>
    <xdr:from>
      <xdr:col>6</xdr:col>
      <xdr:colOff>4886325</xdr:colOff>
      <xdr:row>1</xdr:row>
      <xdr:rowOff>50800</xdr:rowOff>
    </xdr:from>
    <xdr:ext cx="1440000" cy="360000"/>
    <xdr:sp macro="[0]!ResetSecondMortgageCalculator" textlink="">
      <xdr:nvSpPr>
        <xdr:cNvPr id="14" name="btnResetCalculator">
          <a:extLst>
            <a:ext uri="{FF2B5EF4-FFF2-40B4-BE49-F238E27FC236}">
              <a16:creationId xmlns:a16="http://schemas.microsoft.com/office/drawing/2014/main" id="{5CD15157-6881-4AEC-9FD2-A8593465F4C9}"/>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p>
      </xdr:txBody>
    </xdr:sp>
    <xdr:clientData fLocksWithSheet="0" fPrintsWithSheet="0"/>
  </xdr:oneCellAnchor>
  <xdr:twoCellAnchor editAs="oneCell">
    <xdr:from>
      <xdr:col>1</xdr:col>
      <xdr:colOff>51293</xdr:colOff>
      <xdr:row>1</xdr:row>
      <xdr:rowOff>65620</xdr:rowOff>
    </xdr:from>
    <xdr:to>
      <xdr:col>1</xdr:col>
      <xdr:colOff>851951</xdr:colOff>
      <xdr:row>3</xdr:row>
      <xdr:rowOff>9525</xdr:rowOff>
    </xdr:to>
    <xdr:pic>
      <xdr:nvPicPr>
        <xdr:cNvPr id="10" name="imgLogoWBC">
          <a:extLst>
            <a:ext uri="{FF2B5EF4-FFF2-40B4-BE49-F238E27FC236}">
              <a16:creationId xmlns:a16="http://schemas.microsoft.com/office/drawing/2014/main" id="{9E58DB9C-030B-4411-8C5E-A340BE06DDA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6</xdr:col>
      <xdr:colOff>3352800</xdr:colOff>
      <xdr:row>1</xdr:row>
      <xdr:rowOff>50800</xdr:rowOff>
    </xdr:from>
    <xdr:ext cx="1440000" cy="360000"/>
    <xdr:sp macro="[0]!ExportWorksheetToPDF" textlink="">
      <xdr:nvSpPr>
        <xdr:cNvPr id="22" name="btnCreatePDF">
          <a:extLst>
            <a:ext uri="{FF2B5EF4-FFF2-40B4-BE49-F238E27FC236}">
              <a16:creationId xmlns:a16="http://schemas.microsoft.com/office/drawing/2014/main" id="{6CF4FD4E-83C6-4407-A6D1-99CDD629F096}"/>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6</xdr:col>
      <xdr:colOff>6419850</xdr:colOff>
      <xdr:row>1</xdr:row>
      <xdr:rowOff>50800</xdr:rowOff>
    </xdr:from>
    <xdr:ext cx="1440000" cy="360000"/>
    <xdr:sp macro="[0]!ShowNavigationScreen" textlink="">
      <xdr:nvSpPr>
        <xdr:cNvPr id="8" name="btnOtherCalculators">
          <a:extLst>
            <a:ext uri="{FF2B5EF4-FFF2-40B4-BE49-F238E27FC236}">
              <a16:creationId xmlns:a16="http://schemas.microsoft.com/office/drawing/2014/main" id="{12E0AFB6-C2E1-4E2C-9968-7BB0EA77907F}"/>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8.xml><?xml version="1.0" encoding="utf-8"?>
<xdr:wsDr xmlns:xdr="http://schemas.openxmlformats.org/drawingml/2006/spreadsheetDrawing" xmlns:a="http://schemas.openxmlformats.org/drawingml/2006/main">
  <xdr:twoCellAnchor>
    <xdr:from>
      <xdr:col>10</xdr:col>
      <xdr:colOff>1162050</xdr:colOff>
      <xdr:row>1</xdr:row>
      <xdr:rowOff>50800</xdr:rowOff>
    </xdr:from>
    <xdr:to>
      <xdr:col>11</xdr:col>
      <xdr:colOff>1173300</xdr:colOff>
      <xdr:row>3</xdr:row>
      <xdr:rowOff>29800</xdr:rowOff>
    </xdr:to>
    <xdr:sp macro="[0]!ExportLVROverrideCalculatorToPDF" textlink="">
      <xdr:nvSpPr>
        <xdr:cNvPr id="2" name="btnCreatePDF">
          <a:extLst>
            <a:ext uri="{FF2B5EF4-FFF2-40B4-BE49-F238E27FC236}">
              <a16:creationId xmlns:a16="http://schemas.microsoft.com/office/drawing/2014/main" id="{D4B8B496-0E97-48B4-A833-E8B2DEC698DE}"/>
            </a:ext>
          </a:extLst>
        </xdr:cNvPr>
        <xdr:cNvSpPr/>
      </xdr:nvSpPr>
      <xdr:spPr>
        <a:xfrm>
          <a:off x="8191500" y="241300"/>
          <a:ext cx="1440000" cy="360000"/>
        </a:xfrm>
        <a:prstGeom prst="flowChartAlternateProcess">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AU" sz="1200" b="0">
              <a:solidFill>
                <a:schemeClr val="bg1"/>
              </a:solidFill>
              <a:latin typeface="Arial" panose="020B0604020202020204" pitchFamily="34" charset="0"/>
              <a:ea typeface="+mn-ea"/>
              <a:cs typeface="Arial" panose="020B0604020202020204" pitchFamily="34" charset="0"/>
            </a:rPr>
            <a:t>Create PDF</a:t>
          </a:r>
        </a:p>
      </xdr:txBody>
    </xdr:sp>
    <xdr:clientData fPrintsWithSheet="0"/>
  </xdr:twoCellAnchor>
  <xdr:twoCellAnchor>
    <xdr:from>
      <xdr:col>11</xdr:col>
      <xdr:colOff>1266825</xdr:colOff>
      <xdr:row>1</xdr:row>
      <xdr:rowOff>50800</xdr:rowOff>
    </xdr:from>
    <xdr:to>
      <xdr:col>12</xdr:col>
      <xdr:colOff>1278075</xdr:colOff>
      <xdr:row>3</xdr:row>
      <xdr:rowOff>29800</xdr:rowOff>
    </xdr:to>
    <xdr:sp macro="[0]!ResetLVROverrideCalculator" textlink="">
      <xdr:nvSpPr>
        <xdr:cNvPr id="3" name="btnResetCalculator">
          <a:extLst>
            <a:ext uri="{FF2B5EF4-FFF2-40B4-BE49-F238E27FC236}">
              <a16:creationId xmlns:a16="http://schemas.microsoft.com/office/drawing/2014/main" id="{C254DF9B-19E1-4BC6-9F29-86904BBA1E3F}"/>
            </a:ext>
          </a:extLst>
        </xdr:cNvPr>
        <xdr:cNvSpPr/>
      </xdr:nvSpPr>
      <xdr:spPr>
        <a:xfrm>
          <a:off x="9725025" y="241300"/>
          <a:ext cx="1440000" cy="360000"/>
        </a:xfrm>
        <a:prstGeom prst="flowChartAlternateProcess">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AU"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twoCellAnchor editAs="oneCell">
    <xdr:from>
      <xdr:col>31</xdr:col>
      <xdr:colOff>23909</xdr:colOff>
      <xdr:row>39</xdr:row>
      <xdr:rowOff>14285</xdr:rowOff>
    </xdr:from>
    <xdr:to>
      <xdr:col>32</xdr:col>
      <xdr:colOff>0</xdr:colOff>
      <xdr:row>40</xdr:row>
      <xdr:rowOff>136158</xdr:rowOff>
    </xdr:to>
    <xdr:sp macro="[0]!AddLVROverrideCollateral" textlink="">
      <xdr:nvSpPr>
        <xdr:cNvPr id="4" name="btnAddCollateral">
          <a:extLst>
            <a:ext uri="{FF2B5EF4-FFF2-40B4-BE49-F238E27FC236}">
              <a16:creationId xmlns:a16="http://schemas.microsoft.com/office/drawing/2014/main" id="{E135B567-68AC-46D4-B3DD-4568A6D2AFE1}"/>
            </a:ext>
          </a:extLst>
        </xdr:cNvPr>
        <xdr:cNvSpPr/>
      </xdr:nvSpPr>
      <xdr:spPr>
        <a:xfrm>
          <a:off x="14387609" y="4652960"/>
          <a:ext cx="1621058" cy="360000"/>
        </a:xfrm>
        <a:prstGeom prst="flowChartAlternateProcess">
          <a:avLst/>
        </a:prstGeom>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AU" sz="1200">
              <a:solidFill>
                <a:schemeClr val="tx1"/>
              </a:solidFill>
              <a:latin typeface="Arial" panose="020B0604020202020204" pitchFamily="34" charset="0"/>
              <a:cs typeface="Arial" panose="020B0604020202020204" pitchFamily="34" charset="0"/>
            </a:rPr>
            <a:t>Add Collateral</a:t>
          </a:r>
        </a:p>
      </xdr:txBody>
    </xdr:sp>
    <xdr:clientData fPrintsWithSheet="0"/>
  </xdr:twoCellAnchor>
  <xdr:twoCellAnchor editAs="oneCell">
    <xdr:from>
      <xdr:col>2</xdr:col>
      <xdr:colOff>14288</xdr:colOff>
      <xdr:row>77</xdr:row>
      <xdr:rowOff>68810</xdr:rowOff>
    </xdr:from>
    <xdr:to>
      <xdr:col>3</xdr:col>
      <xdr:colOff>91238</xdr:colOff>
      <xdr:row>83</xdr:row>
      <xdr:rowOff>95436</xdr:rowOff>
    </xdr:to>
    <xdr:sp macro="[0]!AddLVROverrideAccount" textlink="">
      <xdr:nvSpPr>
        <xdr:cNvPr id="7" name="btnAddFacility">
          <a:extLst>
            <a:ext uri="{FF2B5EF4-FFF2-40B4-BE49-F238E27FC236}">
              <a16:creationId xmlns:a16="http://schemas.microsoft.com/office/drawing/2014/main" id="{328B9F53-8EAC-429D-AB62-FAA6D105A0A6}"/>
            </a:ext>
          </a:extLst>
        </xdr:cNvPr>
        <xdr:cNvSpPr/>
      </xdr:nvSpPr>
      <xdr:spPr>
        <a:xfrm>
          <a:off x="395288" y="13327610"/>
          <a:ext cx="1620000" cy="360000"/>
        </a:xfrm>
        <a:prstGeom prst="flowChartAlternateProcess">
          <a:avLst/>
        </a:prstGeom>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AU" sz="1200">
              <a:solidFill>
                <a:schemeClr val="tx1"/>
              </a:solidFill>
              <a:latin typeface="Arial" panose="020B0604020202020204" pitchFamily="34" charset="0"/>
              <a:cs typeface="Arial" panose="020B0604020202020204" pitchFamily="34" charset="0"/>
            </a:rPr>
            <a:t>Add</a:t>
          </a:r>
          <a:r>
            <a:rPr lang="en-AU" sz="1200" baseline="0">
              <a:solidFill>
                <a:schemeClr val="tx1"/>
              </a:solidFill>
              <a:latin typeface="Arial" panose="020B0604020202020204" pitchFamily="34" charset="0"/>
              <a:cs typeface="Arial" panose="020B0604020202020204" pitchFamily="34" charset="0"/>
            </a:rPr>
            <a:t> Account</a:t>
          </a:r>
          <a:endParaRPr lang="en-AU" sz="1200">
            <a:solidFill>
              <a:schemeClr val="tx1"/>
            </a:solidFill>
            <a:latin typeface="Arial" panose="020B0604020202020204" pitchFamily="34" charset="0"/>
            <a:cs typeface="Arial" panose="020B0604020202020204" pitchFamily="34" charset="0"/>
          </a:endParaRPr>
        </a:p>
      </xdr:txBody>
    </xdr:sp>
    <xdr:clientData fPrintsWithSheet="0"/>
  </xdr:twoCellAnchor>
  <xdr:oneCellAnchor>
    <xdr:from>
      <xdr:col>1</xdr:col>
      <xdr:colOff>51293</xdr:colOff>
      <xdr:row>1</xdr:row>
      <xdr:rowOff>65620</xdr:rowOff>
    </xdr:from>
    <xdr:ext cx="800658" cy="324905"/>
    <xdr:pic>
      <xdr:nvPicPr>
        <xdr:cNvPr id="9" name="imgLogoWBC">
          <a:extLst>
            <a:ext uri="{FF2B5EF4-FFF2-40B4-BE49-F238E27FC236}">
              <a16:creationId xmlns:a16="http://schemas.microsoft.com/office/drawing/2014/main" id="{3A2255B0-1726-4BB5-876C-35231D3AFE1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65645"/>
          <a:ext cx="800658" cy="324905"/>
        </a:xfrm>
        <a:prstGeom prst="rect">
          <a:avLst/>
        </a:prstGeom>
      </xdr:spPr>
    </xdr:pic>
    <xdr:clientData/>
  </xdr:oneCellAnchor>
  <xdr:oneCellAnchor>
    <xdr:from>
      <xdr:col>1</xdr:col>
      <xdr:colOff>0</xdr:colOff>
      <xdr:row>56</xdr:row>
      <xdr:rowOff>38100</xdr:rowOff>
    </xdr:from>
    <xdr:ext cx="157842" cy="157842"/>
    <xdr:pic macro="[0]!RemoveLVROverrideAccount">
      <xdr:nvPicPr>
        <xdr:cNvPr id="14" name="btnDeleteAccount1">
          <a:extLst>
            <a:ext uri="{FF2B5EF4-FFF2-40B4-BE49-F238E27FC236}">
              <a16:creationId xmlns:a16="http://schemas.microsoft.com/office/drawing/2014/main" id="{71B0FA22-8599-4269-AC1E-A722C873D028}"/>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439150"/>
          <a:ext cx="157842" cy="157842"/>
        </a:xfrm>
        <a:prstGeom prst="rect">
          <a:avLst/>
        </a:prstGeom>
      </xdr:spPr>
    </xdr:pic>
    <xdr:clientData fPrintsWithSheet="0"/>
  </xdr:oneCellAnchor>
  <xdr:oneCellAnchor>
    <xdr:from>
      <xdr:col>1</xdr:col>
      <xdr:colOff>0</xdr:colOff>
      <xdr:row>57</xdr:row>
      <xdr:rowOff>38100</xdr:rowOff>
    </xdr:from>
    <xdr:ext cx="157842" cy="157842"/>
    <xdr:pic macro="[0]!RemoveLVROverrideAccount">
      <xdr:nvPicPr>
        <xdr:cNvPr id="15" name="btnDeleteAccount2">
          <a:extLst>
            <a:ext uri="{FF2B5EF4-FFF2-40B4-BE49-F238E27FC236}">
              <a16:creationId xmlns:a16="http://schemas.microsoft.com/office/drawing/2014/main" id="{71908852-E091-430D-8258-ACD6886F6E9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677275"/>
          <a:ext cx="157842" cy="157842"/>
        </a:xfrm>
        <a:prstGeom prst="rect">
          <a:avLst/>
        </a:prstGeom>
      </xdr:spPr>
    </xdr:pic>
    <xdr:clientData fPrintsWithSheet="0"/>
  </xdr:oneCellAnchor>
  <xdr:oneCellAnchor>
    <xdr:from>
      <xdr:col>1</xdr:col>
      <xdr:colOff>0</xdr:colOff>
      <xdr:row>58</xdr:row>
      <xdr:rowOff>38100</xdr:rowOff>
    </xdr:from>
    <xdr:ext cx="157842" cy="157842"/>
    <xdr:pic macro="[0]!RemoveLVROverrideAccount">
      <xdr:nvPicPr>
        <xdr:cNvPr id="16" name="btnDeleteAccount3">
          <a:extLst>
            <a:ext uri="{FF2B5EF4-FFF2-40B4-BE49-F238E27FC236}">
              <a16:creationId xmlns:a16="http://schemas.microsoft.com/office/drawing/2014/main" id="{847ADB8D-B12E-40CD-BF09-1FB89F7B42A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915400"/>
          <a:ext cx="157842" cy="157842"/>
        </a:xfrm>
        <a:prstGeom prst="rect">
          <a:avLst/>
        </a:prstGeom>
      </xdr:spPr>
    </xdr:pic>
    <xdr:clientData fPrintsWithSheet="0"/>
  </xdr:oneCellAnchor>
  <xdr:oneCellAnchor>
    <xdr:from>
      <xdr:col>1</xdr:col>
      <xdr:colOff>0</xdr:colOff>
      <xdr:row>59</xdr:row>
      <xdr:rowOff>38100</xdr:rowOff>
    </xdr:from>
    <xdr:ext cx="157842" cy="157842"/>
    <xdr:pic macro="[0]!RemoveLVROverrideAccount">
      <xdr:nvPicPr>
        <xdr:cNvPr id="17" name="btnDeleteAccount4">
          <a:extLst>
            <a:ext uri="{FF2B5EF4-FFF2-40B4-BE49-F238E27FC236}">
              <a16:creationId xmlns:a16="http://schemas.microsoft.com/office/drawing/2014/main" id="{48A7A3A8-B901-4B22-8E9A-0F4D0614E60E}"/>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153525"/>
          <a:ext cx="157842" cy="157842"/>
        </a:xfrm>
        <a:prstGeom prst="rect">
          <a:avLst/>
        </a:prstGeom>
      </xdr:spPr>
    </xdr:pic>
    <xdr:clientData fPrintsWithSheet="0"/>
  </xdr:oneCellAnchor>
  <xdr:oneCellAnchor>
    <xdr:from>
      <xdr:col>1</xdr:col>
      <xdr:colOff>0</xdr:colOff>
      <xdr:row>60</xdr:row>
      <xdr:rowOff>38100</xdr:rowOff>
    </xdr:from>
    <xdr:ext cx="157842" cy="157842"/>
    <xdr:pic macro="[0]!RemoveLVROverrideAccount">
      <xdr:nvPicPr>
        <xdr:cNvPr id="18" name="btnDeleteAccount5">
          <a:extLst>
            <a:ext uri="{FF2B5EF4-FFF2-40B4-BE49-F238E27FC236}">
              <a16:creationId xmlns:a16="http://schemas.microsoft.com/office/drawing/2014/main" id="{1DE87575-61E2-4DD2-AE9E-446726BAFE2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391650"/>
          <a:ext cx="157842" cy="157842"/>
        </a:xfrm>
        <a:prstGeom prst="rect">
          <a:avLst/>
        </a:prstGeom>
      </xdr:spPr>
    </xdr:pic>
    <xdr:clientData fPrintsWithSheet="0"/>
  </xdr:oneCellAnchor>
  <xdr:oneCellAnchor>
    <xdr:from>
      <xdr:col>1</xdr:col>
      <xdr:colOff>0</xdr:colOff>
      <xdr:row>61</xdr:row>
      <xdr:rowOff>38100</xdr:rowOff>
    </xdr:from>
    <xdr:ext cx="157842" cy="157842"/>
    <xdr:pic macro="[0]!RemoveLVROverrideAccount">
      <xdr:nvPicPr>
        <xdr:cNvPr id="19" name="btnDeleteAccount6" hidden="1">
          <a:extLst>
            <a:ext uri="{FF2B5EF4-FFF2-40B4-BE49-F238E27FC236}">
              <a16:creationId xmlns:a16="http://schemas.microsoft.com/office/drawing/2014/main" id="{320008EF-BF87-4F15-87C8-C52E9A3EC27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629775"/>
          <a:ext cx="157842" cy="157842"/>
        </a:xfrm>
        <a:prstGeom prst="rect">
          <a:avLst/>
        </a:prstGeom>
      </xdr:spPr>
    </xdr:pic>
    <xdr:clientData fPrintsWithSheet="0"/>
  </xdr:oneCellAnchor>
  <xdr:oneCellAnchor>
    <xdr:from>
      <xdr:col>1</xdr:col>
      <xdr:colOff>0</xdr:colOff>
      <xdr:row>62</xdr:row>
      <xdr:rowOff>38100</xdr:rowOff>
    </xdr:from>
    <xdr:ext cx="157842" cy="157842"/>
    <xdr:pic macro="[0]!RemoveLVROverrideAccount">
      <xdr:nvPicPr>
        <xdr:cNvPr id="20" name="btnDeleteAccount7" hidden="1">
          <a:extLst>
            <a:ext uri="{FF2B5EF4-FFF2-40B4-BE49-F238E27FC236}">
              <a16:creationId xmlns:a16="http://schemas.microsoft.com/office/drawing/2014/main" id="{B9D26593-A5E8-465F-8181-D48A8BA3B3A3}"/>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867900"/>
          <a:ext cx="157842" cy="157842"/>
        </a:xfrm>
        <a:prstGeom prst="rect">
          <a:avLst/>
        </a:prstGeom>
      </xdr:spPr>
    </xdr:pic>
    <xdr:clientData fPrintsWithSheet="0"/>
  </xdr:oneCellAnchor>
  <xdr:oneCellAnchor>
    <xdr:from>
      <xdr:col>1</xdr:col>
      <xdr:colOff>0</xdr:colOff>
      <xdr:row>63</xdr:row>
      <xdr:rowOff>38100</xdr:rowOff>
    </xdr:from>
    <xdr:ext cx="157842" cy="157842"/>
    <xdr:pic macro="[0]!RemoveLVROverrideAccount">
      <xdr:nvPicPr>
        <xdr:cNvPr id="21" name="btnDeleteAccount8" hidden="1">
          <a:extLst>
            <a:ext uri="{FF2B5EF4-FFF2-40B4-BE49-F238E27FC236}">
              <a16:creationId xmlns:a16="http://schemas.microsoft.com/office/drawing/2014/main" id="{667FD31E-98E7-47F8-8DEA-49F090E42CC8}"/>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0106025"/>
          <a:ext cx="157842" cy="157842"/>
        </a:xfrm>
        <a:prstGeom prst="rect">
          <a:avLst/>
        </a:prstGeom>
      </xdr:spPr>
    </xdr:pic>
    <xdr:clientData fPrintsWithSheet="0"/>
  </xdr:oneCellAnchor>
  <xdr:oneCellAnchor>
    <xdr:from>
      <xdr:col>1</xdr:col>
      <xdr:colOff>0</xdr:colOff>
      <xdr:row>64</xdr:row>
      <xdr:rowOff>38100</xdr:rowOff>
    </xdr:from>
    <xdr:ext cx="157842" cy="157842"/>
    <xdr:pic macro="[0]!RemoveLVROverrideAccount">
      <xdr:nvPicPr>
        <xdr:cNvPr id="22" name="btnDeleteAccount9" hidden="1">
          <a:extLst>
            <a:ext uri="{FF2B5EF4-FFF2-40B4-BE49-F238E27FC236}">
              <a16:creationId xmlns:a16="http://schemas.microsoft.com/office/drawing/2014/main" id="{CCD3C082-00E0-4BDE-A2EC-6EE22C7E2B58}"/>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0344150"/>
          <a:ext cx="157842" cy="157842"/>
        </a:xfrm>
        <a:prstGeom prst="rect">
          <a:avLst/>
        </a:prstGeom>
      </xdr:spPr>
    </xdr:pic>
    <xdr:clientData fPrintsWithSheet="0"/>
  </xdr:oneCellAnchor>
  <xdr:oneCellAnchor>
    <xdr:from>
      <xdr:col>1</xdr:col>
      <xdr:colOff>0</xdr:colOff>
      <xdr:row>74</xdr:row>
      <xdr:rowOff>38100</xdr:rowOff>
    </xdr:from>
    <xdr:ext cx="157842" cy="157842"/>
    <xdr:pic macro="[0]!RemoveLVROverrideAccount">
      <xdr:nvPicPr>
        <xdr:cNvPr id="23" name="btnDeleteAccount19" hidden="1">
          <a:extLst>
            <a:ext uri="{FF2B5EF4-FFF2-40B4-BE49-F238E27FC236}">
              <a16:creationId xmlns:a16="http://schemas.microsoft.com/office/drawing/2014/main" id="{70B17858-4104-4FB4-A7E3-613E61B8204D}"/>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725400"/>
          <a:ext cx="157842" cy="157842"/>
        </a:xfrm>
        <a:prstGeom prst="rect">
          <a:avLst/>
        </a:prstGeom>
      </xdr:spPr>
    </xdr:pic>
    <xdr:clientData fPrintsWithSheet="0"/>
  </xdr:oneCellAnchor>
  <xdr:oneCellAnchor>
    <xdr:from>
      <xdr:col>1</xdr:col>
      <xdr:colOff>0</xdr:colOff>
      <xdr:row>75</xdr:row>
      <xdr:rowOff>38100</xdr:rowOff>
    </xdr:from>
    <xdr:ext cx="157842" cy="157842"/>
    <xdr:pic macro="[0]!RemoveLVROverrideAccount">
      <xdr:nvPicPr>
        <xdr:cNvPr id="24" name="btnDeleteAccount20" hidden="1">
          <a:extLst>
            <a:ext uri="{FF2B5EF4-FFF2-40B4-BE49-F238E27FC236}">
              <a16:creationId xmlns:a16="http://schemas.microsoft.com/office/drawing/2014/main" id="{60855180-C471-45EB-A77C-987F77E8B3A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963525"/>
          <a:ext cx="157842" cy="157842"/>
        </a:xfrm>
        <a:prstGeom prst="rect">
          <a:avLst/>
        </a:prstGeom>
      </xdr:spPr>
    </xdr:pic>
    <xdr:clientData fPrintsWithSheet="0"/>
  </xdr:oneCellAnchor>
  <xdr:oneCellAnchor>
    <xdr:from>
      <xdr:col>1</xdr:col>
      <xdr:colOff>0</xdr:colOff>
      <xdr:row>65</xdr:row>
      <xdr:rowOff>38100</xdr:rowOff>
    </xdr:from>
    <xdr:ext cx="157842" cy="157842"/>
    <xdr:pic macro="[0]!RemoveLVROverrideAccount">
      <xdr:nvPicPr>
        <xdr:cNvPr id="25" name="btnDeleteAccount10" hidden="1">
          <a:extLst>
            <a:ext uri="{FF2B5EF4-FFF2-40B4-BE49-F238E27FC236}">
              <a16:creationId xmlns:a16="http://schemas.microsoft.com/office/drawing/2014/main" id="{557A6A78-1D14-4D59-AE76-AAA3E77B4A8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0582275"/>
          <a:ext cx="157842" cy="157842"/>
        </a:xfrm>
        <a:prstGeom prst="rect">
          <a:avLst/>
        </a:prstGeom>
      </xdr:spPr>
    </xdr:pic>
    <xdr:clientData fPrintsWithSheet="0"/>
  </xdr:oneCellAnchor>
  <xdr:oneCellAnchor>
    <xdr:from>
      <xdr:col>1</xdr:col>
      <xdr:colOff>0</xdr:colOff>
      <xdr:row>66</xdr:row>
      <xdr:rowOff>38100</xdr:rowOff>
    </xdr:from>
    <xdr:ext cx="157842" cy="157842"/>
    <xdr:pic macro="[0]!RemoveLVROverrideAccount">
      <xdr:nvPicPr>
        <xdr:cNvPr id="26" name="btnDeleteAccount11" hidden="1">
          <a:extLst>
            <a:ext uri="{FF2B5EF4-FFF2-40B4-BE49-F238E27FC236}">
              <a16:creationId xmlns:a16="http://schemas.microsoft.com/office/drawing/2014/main" id="{FE3D576E-D0B2-48DE-BE15-00F701DFBE0C}"/>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0820400"/>
          <a:ext cx="157842" cy="157842"/>
        </a:xfrm>
        <a:prstGeom prst="rect">
          <a:avLst/>
        </a:prstGeom>
      </xdr:spPr>
    </xdr:pic>
    <xdr:clientData fPrintsWithSheet="0"/>
  </xdr:oneCellAnchor>
  <xdr:oneCellAnchor>
    <xdr:from>
      <xdr:col>1</xdr:col>
      <xdr:colOff>0</xdr:colOff>
      <xdr:row>67</xdr:row>
      <xdr:rowOff>38100</xdr:rowOff>
    </xdr:from>
    <xdr:ext cx="157842" cy="157842"/>
    <xdr:pic macro="[0]!RemoveLVROverrideAccount">
      <xdr:nvPicPr>
        <xdr:cNvPr id="27" name="btnDeleteAccount12" hidden="1">
          <a:extLst>
            <a:ext uri="{FF2B5EF4-FFF2-40B4-BE49-F238E27FC236}">
              <a16:creationId xmlns:a16="http://schemas.microsoft.com/office/drawing/2014/main" id="{4BD38036-67E4-4391-B786-1BBC57BEEB7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1058525"/>
          <a:ext cx="157842" cy="157842"/>
        </a:xfrm>
        <a:prstGeom prst="rect">
          <a:avLst/>
        </a:prstGeom>
      </xdr:spPr>
    </xdr:pic>
    <xdr:clientData fPrintsWithSheet="0"/>
  </xdr:oneCellAnchor>
  <xdr:oneCellAnchor>
    <xdr:from>
      <xdr:col>1</xdr:col>
      <xdr:colOff>0</xdr:colOff>
      <xdr:row>68</xdr:row>
      <xdr:rowOff>38100</xdr:rowOff>
    </xdr:from>
    <xdr:ext cx="157842" cy="157842"/>
    <xdr:pic macro="[0]!RemoveLVROverrideAccount">
      <xdr:nvPicPr>
        <xdr:cNvPr id="28" name="btnDeleteAccount13" hidden="1">
          <a:extLst>
            <a:ext uri="{FF2B5EF4-FFF2-40B4-BE49-F238E27FC236}">
              <a16:creationId xmlns:a16="http://schemas.microsoft.com/office/drawing/2014/main" id="{CD765FED-1917-43A9-A482-8AF3F79EDB1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1296650"/>
          <a:ext cx="157842" cy="157842"/>
        </a:xfrm>
        <a:prstGeom prst="rect">
          <a:avLst/>
        </a:prstGeom>
      </xdr:spPr>
    </xdr:pic>
    <xdr:clientData fPrintsWithSheet="0"/>
  </xdr:oneCellAnchor>
  <xdr:oneCellAnchor>
    <xdr:from>
      <xdr:col>1</xdr:col>
      <xdr:colOff>0</xdr:colOff>
      <xdr:row>69</xdr:row>
      <xdr:rowOff>38100</xdr:rowOff>
    </xdr:from>
    <xdr:ext cx="157842" cy="157842"/>
    <xdr:pic macro="[0]!RemoveLVROverrideAccount">
      <xdr:nvPicPr>
        <xdr:cNvPr id="29" name="btnDeleteAccount14" hidden="1">
          <a:extLst>
            <a:ext uri="{FF2B5EF4-FFF2-40B4-BE49-F238E27FC236}">
              <a16:creationId xmlns:a16="http://schemas.microsoft.com/office/drawing/2014/main" id="{EA0CE072-0257-48E4-841C-9A7F8D3EFBB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1534775"/>
          <a:ext cx="157842" cy="157842"/>
        </a:xfrm>
        <a:prstGeom prst="rect">
          <a:avLst/>
        </a:prstGeom>
      </xdr:spPr>
    </xdr:pic>
    <xdr:clientData fPrintsWithSheet="0"/>
  </xdr:oneCellAnchor>
  <xdr:oneCellAnchor>
    <xdr:from>
      <xdr:col>1</xdr:col>
      <xdr:colOff>0</xdr:colOff>
      <xdr:row>70</xdr:row>
      <xdr:rowOff>38100</xdr:rowOff>
    </xdr:from>
    <xdr:ext cx="157842" cy="157842"/>
    <xdr:pic macro="[0]!RemoveLVROverrideAccount">
      <xdr:nvPicPr>
        <xdr:cNvPr id="30" name="btnDeleteAccount15" hidden="1">
          <a:extLst>
            <a:ext uri="{FF2B5EF4-FFF2-40B4-BE49-F238E27FC236}">
              <a16:creationId xmlns:a16="http://schemas.microsoft.com/office/drawing/2014/main" id="{CD86D679-77D7-4931-9791-B101C53B945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1772900"/>
          <a:ext cx="157842" cy="157842"/>
        </a:xfrm>
        <a:prstGeom prst="rect">
          <a:avLst/>
        </a:prstGeom>
      </xdr:spPr>
    </xdr:pic>
    <xdr:clientData fPrintsWithSheet="0"/>
  </xdr:oneCellAnchor>
  <xdr:oneCellAnchor>
    <xdr:from>
      <xdr:col>1</xdr:col>
      <xdr:colOff>0</xdr:colOff>
      <xdr:row>71</xdr:row>
      <xdr:rowOff>38100</xdr:rowOff>
    </xdr:from>
    <xdr:ext cx="157842" cy="157842"/>
    <xdr:pic macro="[0]!RemoveLVROverrideAccount">
      <xdr:nvPicPr>
        <xdr:cNvPr id="31" name="btnDeleteAccount16" hidden="1">
          <a:extLst>
            <a:ext uri="{FF2B5EF4-FFF2-40B4-BE49-F238E27FC236}">
              <a16:creationId xmlns:a16="http://schemas.microsoft.com/office/drawing/2014/main" id="{D6A02C50-78EA-41A9-9277-9E15FC7656E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011025"/>
          <a:ext cx="157842" cy="157842"/>
        </a:xfrm>
        <a:prstGeom prst="rect">
          <a:avLst/>
        </a:prstGeom>
      </xdr:spPr>
    </xdr:pic>
    <xdr:clientData fPrintsWithSheet="0"/>
  </xdr:oneCellAnchor>
  <xdr:oneCellAnchor>
    <xdr:from>
      <xdr:col>1</xdr:col>
      <xdr:colOff>0</xdr:colOff>
      <xdr:row>72</xdr:row>
      <xdr:rowOff>38100</xdr:rowOff>
    </xdr:from>
    <xdr:ext cx="157842" cy="157842"/>
    <xdr:pic macro="[0]!RemoveLVROverrideAccount">
      <xdr:nvPicPr>
        <xdr:cNvPr id="32" name="btnDeleteAccount17" hidden="1">
          <a:extLst>
            <a:ext uri="{FF2B5EF4-FFF2-40B4-BE49-F238E27FC236}">
              <a16:creationId xmlns:a16="http://schemas.microsoft.com/office/drawing/2014/main" id="{B87F4516-E9A1-48DB-BC28-1CC07FB94574}"/>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249150"/>
          <a:ext cx="157842" cy="157842"/>
        </a:xfrm>
        <a:prstGeom prst="rect">
          <a:avLst/>
        </a:prstGeom>
      </xdr:spPr>
    </xdr:pic>
    <xdr:clientData fPrintsWithSheet="0"/>
  </xdr:oneCellAnchor>
  <xdr:oneCellAnchor>
    <xdr:from>
      <xdr:col>1</xdr:col>
      <xdr:colOff>0</xdr:colOff>
      <xdr:row>73</xdr:row>
      <xdr:rowOff>38100</xdr:rowOff>
    </xdr:from>
    <xdr:ext cx="157842" cy="157842"/>
    <xdr:pic macro="[0]!RemoveLVROverrideAccount">
      <xdr:nvPicPr>
        <xdr:cNvPr id="33" name="btnDeleteAccount18" hidden="1">
          <a:extLst>
            <a:ext uri="{FF2B5EF4-FFF2-40B4-BE49-F238E27FC236}">
              <a16:creationId xmlns:a16="http://schemas.microsoft.com/office/drawing/2014/main" id="{B6953CC5-92C1-47F6-B018-93E78E20C55C}"/>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487275"/>
          <a:ext cx="157842" cy="157842"/>
        </a:xfrm>
        <a:prstGeom prst="rect">
          <a:avLst/>
        </a:prstGeom>
      </xdr:spPr>
    </xdr:pic>
    <xdr:clientData fPrintsWithSheet="0"/>
  </xdr:oneCellAnchor>
  <xdr:oneCellAnchor>
    <xdr:from>
      <xdr:col>3</xdr:col>
      <xdr:colOff>19050</xdr:colOff>
      <xdr:row>12</xdr:row>
      <xdr:rowOff>28575</xdr:rowOff>
    </xdr:from>
    <xdr:ext cx="180000" cy="180000"/>
    <xdr:pic macro="ShowHelpMessage">
      <xdr:nvPicPr>
        <xdr:cNvPr id="34" name="btnHelpLMIRequired">
          <a:extLst>
            <a:ext uri="{FF2B5EF4-FFF2-40B4-BE49-F238E27FC236}">
              <a16:creationId xmlns:a16="http://schemas.microsoft.com/office/drawing/2014/main" id="{A817D1CF-DD9B-4A95-B970-34499C84AA5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43100" y="2438400"/>
          <a:ext cx="180000" cy="180000"/>
        </a:xfrm>
        <a:prstGeom prst="rect">
          <a:avLst/>
        </a:prstGeom>
      </xdr:spPr>
    </xdr:pic>
    <xdr:clientData fPrintsWithSheet="0"/>
  </xdr:oneCellAnchor>
  <xdr:oneCellAnchor>
    <xdr:from>
      <xdr:col>3</xdr:col>
      <xdr:colOff>19050</xdr:colOff>
      <xdr:row>13</xdr:row>
      <xdr:rowOff>47625</xdr:rowOff>
    </xdr:from>
    <xdr:ext cx="180000" cy="180000"/>
    <xdr:pic macro="ShowHelpMessage">
      <xdr:nvPicPr>
        <xdr:cNvPr id="39" name="btnHelpLMICapitalisedPremium">
          <a:extLst>
            <a:ext uri="{FF2B5EF4-FFF2-40B4-BE49-F238E27FC236}">
              <a16:creationId xmlns:a16="http://schemas.microsoft.com/office/drawing/2014/main" id="{5464B007-F00C-43F2-A32C-87EACB6E79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43100" y="2695575"/>
          <a:ext cx="180000" cy="180000"/>
        </a:xfrm>
        <a:prstGeom prst="rect">
          <a:avLst/>
        </a:prstGeom>
      </xdr:spPr>
    </xdr:pic>
    <xdr:clientData fPrintsWithSheet="0"/>
  </xdr:oneCellAnchor>
  <xdr:oneCellAnchor>
    <xdr:from>
      <xdr:col>10</xdr:col>
      <xdr:colOff>85725</xdr:colOff>
      <xdr:row>38</xdr:row>
      <xdr:rowOff>0</xdr:rowOff>
    </xdr:from>
    <xdr:ext cx="180000" cy="180000"/>
    <xdr:pic macro="ShowHelpMessage">
      <xdr:nvPicPr>
        <xdr:cNvPr id="40" name="btnHelpCollateralSection">
          <a:extLst>
            <a:ext uri="{FF2B5EF4-FFF2-40B4-BE49-F238E27FC236}">
              <a16:creationId xmlns:a16="http://schemas.microsoft.com/office/drawing/2014/main" id="{FD97CDB9-1DFF-4CD4-A922-B88B8E7196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115175" y="4953000"/>
          <a:ext cx="180000" cy="180000"/>
        </a:xfrm>
        <a:prstGeom prst="rect">
          <a:avLst/>
        </a:prstGeom>
      </xdr:spPr>
    </xdr:pic>
    <xdr:clientData fPrintsWithSheet="0"/>
  </xdr:oneCellAnchor>
  <xdr:oneCellAnchor>
    <xdr:from>
      <xdr:col>8</xdr:col>
      <xdr:colOff>1314450</xdr:colOff>
      <xdr:row>39</xdr:row>
      <xdr:rowOff>47625</xdr:rowOff>
    </xdr:from>
    <xdr:ext cx="180000" cy="180000"/>
    <xdr:pic macro="ShowHelpMessage">
      <xdr:nvPicPr>
        <xdr:cNvPr id="41" name="btnHelpAddress">
          <a:extLst>
            <a:ext uri="{FF2B5EF4-FFF2-40B4-BE49-F238E27FC236}">
              <a16:creationId xmlns:a16="http://schemas.microsoft.com/office/drawing/2014/main" id="{053954B3-5A36-4DA4-B39F-8F5C1FF6D81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4924425"/>
          <a:ext cx="180000" cy="180000"/>
        </a:xfrm>
        <a:prstGeom prst="rect">
          <a:avLst/>
        </a:prstGeom>
      </xdr:spPr>
    </xdr:pic>
    <xdr:clientData fPrintsWithSheet="0"/>
  </xdr:oneCellAnchor>
  <xdr:oneCellAnchor>
    <xdr:from>
      <xdr:col>8</xdr:col>
      <xdr:colOff>1314450</xdr:colOff>
      <xdr:row>42</xdr:row>
      <xdr:rowOff>57150</xdr:rowOff>
    </xdr:from>
    <xdr:ext cx="180000" cy="180000"/>
    <xdr:pic macro="ShowHelpMessage">
      <xdr:nvPicPr>
        <xdr:cNvPr id="42" name="btnHelpOwner">
          <a:extLst>
            <a:ext uri="{FF2B5EF4-FFF2-40B4-BE49-F238E27FC236}">
              <a16:creationId xmlns:a16="http://schemas.microsoft.com/office/drawing/2014/main" id="{59697BE2-27DA-4010-B6C6-EEDBDDA8C97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5648325"/>
          <a:ext cx="180000" cy="180000"/>
        </a:xfrm>
        <a:prstGeom prst="rect">
          <a:avLst/>
        </a:prstGeom>
      </xdr:spPr>
    </xdr:pic>
    <xdr:clientData fPrintsWithSheet="0"/>
  </xdr:oneCellAnchor>
  <xdr:oneCellAnchor>
    <xdr:from>
      <xdr:col>8</xdr:col>
      <xdr:colOff>1314450</xdr:colOff>
      <xdr:row>45</xdr:row>
      <xdr:rowOff>38100</xdr:rowOff>
    </xdr:from>
    <xdr:ext cx="180000" cy="180000"/>
    <xdr:pic macro="ShowHelpMessage">
      <xdr:nvPicPr>
        <xdr:cNvPr id="43" name="btnHelpMarketValue">
          <a:extLst>
            <a:ext uri="{FF2B5EF4-FFF2-40B4-BE49-F238E27FC236}">
              <a16:creationId xmlns:a16="http://schemas.microsoft.com/office/drawing/2014/main" id="{E090D927-499C-4B97-A6DF-6F364817552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6457950"/>
          <a:ext cx="180000" cy="180000"/>
        </a:xfrm>
        <a:prstGeom prst="rect">
          <a:avLst/>
        </a:prstGeom>
      </xdr:spPr>
    </xdr:pic>
    <xdr:clientData fPrintsWithSheet="0"/>
  </xdr:oneCellAnchor>
  <xdr:oneCellAnchor>
    <xdr:from>
      <xdr:col>8</xdr:col>
      <xdr:colOff>1314450</xdr:colOff>
      <xdr:row>46</xdr:row>
      <xdr:rowOff>38100</xdr:rowOff>
    </xdr:from>
    <xdr:ext cx="180000" cy="180000"/>
    <xdr:pic macro="ShowHelpMessage">
      <xdr:nvPicPr>
        <xdr:cNvPr id="44" name="btnHelpCollateralLVR">
          <a:extLst>
            <a:ext uri="{FF2B5EF4-FFF2-40B4-BE49-F238E27FC236}">
              <a16:creationId xmlns:a16="http://schemas.microsoft.com/office/drawing/2014/main" id="{9699A2F3-E729-4CFE-A0C2-DDFA98BCE8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6696075"/>
          <a:ext cx="180000" cy="180000"/>
        </a:xfrm>
        <a:prstGeom prst="rect">
          <a:avLst/>
        </a:prstGeom>
      </xdr:spPr>
    </xdr:pic>
    <xdr:clientData fPrintsWithSheet="0"/>
  </xdr:oneCellAnchor>
  <xdr:oneCellAnchor>
    <xdr:from>
      <xdr:col>8</xdr:col>
      <xdr:colOff>1314450</xdr:colOff>
      <xdr:row>50</xdr:row>
      <xdr:rowOff>28575</xdr:rowOff>
    </xdr:from>
    <xdr:ext cx="180000" cy="180000"/>
    <xdr:pic macro="ShowHelpMessage">
      <xdr:nvPicPr>
        <xdr:cNvPr id="46" name="btnHelpCollateralType">
          <a:extLst>
            <a:ext uri="{FF2B5EF4-FFF2-40B4-BE49-F238E27FC236}">
              <a16:creationId xmlns:a16="http://schemas.microsoft.com/office/drawing/2014/main" id="{5FE75DD0-DFDD-4680-A35B-28783BA56AB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7353300"/>
          <a:ext cx="180000" cy="180000"/>
        </a:xfrm>
        <a:prstGeom prst="rect">
          <a:avLst/>
        </a:prstGeom>
      </xdr:spPr>
    </xdr:pic>
    <xdr:clientData fPrintsWithSheet="0"/>
  </xdr:oneCellAnchor>
  <xdr:oneCellAnchor>
    <xdr:from>
      <xdr:col>8</xdr:col>
      <xdr:colOff>1314450</xdr:colOff>
      <xdr:row>52</xdr:row>
      <xdr:rowOff>38100</xdr:rowOff>
    </xdr:from>
    <xdr:ext cx="180000" cy="180000"/>
    <xdr:pic macro="ShowHelpMessage">
      <xdr:nvPicPr>
        <xdr:cNvPr id="47" name="btnHelpEquityRemaining">
          <a:extLst>
            <a:ext uri="{FF2B5EF4-FFF2-40B4-BE49-F238E27FC236}">
              <a16:creationId xmlns:a16="http://schemas.microsoft.com/office/drawing/2014/main" id="{27F13F63-A231-4052-A142-2EBD7798B49D}"/>
            </a:ext>
          </a:extLst>
        </xdr:cNvPr>
        <xdr:cNvPicPr>
          <a:picLocks noChangeAspect="1"/>
        </xdr:cNvPicPr>
      </xdr:nvPicPr>
      <xdr:blipFill>
        <a:blip xmlns:r="http://schemas.openxmlformats.org/officeDocument/2006/relationships" r:embed="rId4">
          <a:biLevel thresh="25000"/>
          <a:extLst>
            <a:ext uri="{28A0092B-C50C-407E-A947-70E740481C1C}">
              <a14:useLocalDpi xmlns:a14="http://schemas.microsoft.com/office/drawing/2010/main" val="0"/>
            </a:ext>
          </a:extLst>
        </a:blip>
        <a:stretch>
          <a:fillRect/>
        </a:stretch>
      </xdr:blipFill>
      <xdr:spPr>
        <a:xfrm>
          <a:off x="6629400" y="7696200"/>
          <a:ext cx="180000" cy="180000"/>
        </a:xfrm>
        <a:prstGeom prst="rect">
          <a:avLst/>
        </a:prstGeom>
      </xdr:spPr>
    </xdr:pic>
    <xdr:clientData fPrintsWithSheet="0"/>
  </xdr:oneCellAnchor>
  <xdr:oneCellAnchor>
    <xdr:from>
      <xdr:col>6</xdr:col>
      <xdr:colOff>1162050</xdr:colOff>
      <xdr:row>54</xdr:row>
      <xdr:rowOff>238125</xdr:rowOff>
    </xdr:from>
    <xdr:ext cx="180000" cy="180000"/>
    <xdr:pic macro="ShowHelpMessage">
      <xdr:nvPicPr>
        <xdr:cNvPr id="49" name="btnHelpBalanceLimit">
          <a:extLst>
            <a:ext uri="{FF2B5EF4-FFF2-40B4-BE49-F238E27FC236}">
              <a16:creationId xmlns:a16="http://schemas.microsoft.com/office/drawing/2014/main" id="{3D5FBF13-EE16-46B6-A1D2-27E6C3724A7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953000" y="8782050"/>
          <a:ext cx="180000" cy="180000"/>
        </a:xfrm>
        <a:prstGeom prst="rect">
          <a:avLst/>
        </a:prstGeom>
      </xdr:spPr>
    </xdr:pic>
    <xdr:clientData fPrintsWithSheet="0"/>
  </xdr:oneCellAnchor>
  <xdr:oneCellAnchor>
    <xdr:from>
      <xdr:col>4</xdr:col>
      <xdr:colOff>1419225</xdr:colOff>
      <xdr:row>54</xdr:row>
      <xdr:rowOff>238125</xdr:rowOff>
    </xdr:from>
    <xdr:ext cx="180000" cy="180000"/>
    <xdr:pic macro="ShowHelpMessage">
      <xdr:nvPicPr>
        <xdr:cNvPr id="50" name="btnHelpLoanAccountNumber">
          <a:extLst>
            <a:ext uri="{FF2B5EF4-FFF2-40B4-BE49-F238E27FC236}">
              <a16:creationId xmlns:a16="http://schemas.microsoft.com/office/drawing/2014/main" id="{01B9CFF1-91EF-4138-BE20-5E912B7B69E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590925" y="8782050"/>
          <a:ext cx="180000" cy="180000"/>
        </a:xfrm>
        <a:prstGeom prst="rect">
          <a:avLst/>
        </a:prstGeom>
      </xdr:spPr>
    </xdr:pic>
    <xdr:clientData fPrintsWithSheet="0"/>
  </xdr:oneCellAnchor>
  <xdr:oneCellAnchor>
    <xdr:from>
      <xdr:col>3</xdr:col>
      <xdr:colOff>19050</xdr:colOff>
      <xdr:row>54</xdr:row>
      <xdr:rowOff>238125</xdr:rowOff>
    </xdr:from>
    <xdr:ext cx="180000" cy="180000"/>
    <xdr:pic macro="ShowHelpMessage">
      <xdr:nvPicPr>
        <xdr:cNvPr id="51" name="btnHelpBorrower">
          <a:extLst>
            <a:ext uri="{FF2B5EF4-FFF2-40B4-BE49-F238E27FC236}">
              <a16:creationId xmlns:a16="http://schemas.microsoft.com/office/drawing/2014/main" id="{D0ECC1AD-0161-42EB-A239-2D0F27DECA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43100" y="8782050"/>
          <a:ext cx="180000" cy="180000"/>
        </a:xfrm>
        <a:prstGeom prst="rect">
          <a:avLst/>
        </a:prstGeom>
      </xdr:spPr>
    </xdr:pic>
    <xdr:clientData fPrintsWithSheet="0"/>
  </xdr:oneCellAnchor>
  <xdr:oneCellAnchor>
    <xdr:from>
      <xdr:col>8</xdr:col>
      <xdr:colOff>1314450</xdr:colOff>
      <xdr:row>54</xdr:row>
      <xdr:rowOff>238125</xdr:rowOff>
    </xdr:from>
    <xdr:ext cx="180000" cy="180000"/>
    <xdr:pic macro="[0]!ShowHelpMessage">
      <xdr:nvPicPr>
        <xdr:cNvPr id="52" name="btnHelpAmountRemaining">
          <a:extLst>
            <a:ext uri="{FF2B5EF4-FFF2-40B4-BE49-F238E27FC236}">
              <a16:creationId xmlns:a16="http://schemas.microsoft.com/office/drawing/2014/main" id="{B903E1EE-5CF0-5498-CCE3-E634E2E5E541}"/>
            </a:ext>
          </a:extLst>
        </xdr:cNvPr>
        <xdr:cNvPicPr>
          <a:picLocks noChangeAspect="1"/>
        </xdr:cNvPicPr>
      </xdr:nvPicPr>
      <xdr:blipFill>
        <a:blip xmlns:r="http://schemas.openxmlformats.org/officeDocument/2006/relationships" r:embed="rId4">
          <a:biLevel thresh="25000"/>
          <a:extLst>
            <a:ext uri="{28A0092B-C50C-407E-A947-70E740481C1C}">
              <a14:useLocalDpi xmlns:a14="http://schemas.microsoft.com/office/drawing/2010/main" val="0"/>
            </a:ext>
          </a:extLst>
        </a:blip>
        <a:stretch>
          <a:fillRect/>
        </a:stretch>
      </xdr:blipFill>
      <xdr:spPr>
        <a:xfrm>
          <a:off x="6629400" y="8782050"/>
          <a:ext cx="180000" cy="180000"/>
        </a:xfrm>
        <a:prstGeom prst="rect">
          <a:avLst/>
        </a:prstGeom>
      </xdr:spPr>
    </xdr:pic>
    <xdr:clientData fPrintsWithSheet="0"/>
  </xdr:oneCellAnchor>
  <xdr:oneCellAnchor>
    <xdr:from>
      <xdr:col>10</xdr:col>
      <xdr:colOff>1209675</xdr:colOff>
      <xdr:row>38</xdr:row>
      <xdr:rowOff>47625</xdr:rowOff>
    </xdr:from>
    <xdr:ext cx="157842" cy="157842"/>
    <xdr:pic macro="[0]!RemoveLVROverrideCollateral">
      <xdr:nvPicPr>
        <xdr:cNvPr id="53" name="btnDeleteCollateral1">
          <a:extLst>
            <a:ext uri="{FF2B5EF4-FFF2-40B4-BE49-F238E27FC236}">
              <a16:creationId xmlns:a16="http://schemas.microsoft.com/office/drawing/2014/main" id="{4DC8307D-CDB1-4E2F-9040-23D2C3F382D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239125" y="4448175"/>
          <a:ext cx="157842" cy="157842"/>
        </a:xfrm>
        <a:prstGeom prst="rect">
          <a:avLst/>
        </a:prstGeom>
      </xdr:spPr>
    </xdr:pic>
    <xdr:clientData fPrintsWithSheet="0"/>
  </xdr:oneCellAnchor>
  <xdr:oneCellAnchor>
    <xdr:from>
      <xdr:col>11</xdr:col>
      <xdr:colOff>1210176</xdr:colOff>
      <xdr:row>38</xdr:row>
      <xdr:rowOff>47625</xdr:rowOff>
    </xdr:from>
    <xdr:ext cx="157842" cy="157842"/>
    <xdr:pic macro="[0]!RemoveLVROverrideCollateral">
      <xdr:nvPicPr>
        <xdr:cNvPr id="54" name="btnDeleteCollateral2">
          <a:extLst>
            <a:ext uri="{FF2B5EF4-FFF2-40B4-BE49-F238E27FC236}">
              <a16:creationId xmlns:a16="http://schemas.microsoft.com/office/drawing/2014/main" id="{BC7D71F5-FAEF-4FDA-886B-94A57E306464}"/>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668376" y="4448175"/>
          <a:ext cx="157842" cy="157842"/>
        </a:xfrm>
        <a:prstGeom prst="rect">
          <a:avLst/>
        </a:prstGeom>
      </xdr:spPr>
    </xdr:pic>
    <xdr:clientData fPrintsWithSheet="0"/>
  </xdr:oneCellAnchor>
  <xdr:oneCellAnchor>
    <xdr:from>
      <xdr:col>12</xdr:col>
      <xdr:colOff>1210677</xdr:colOff>
      <xdr:row>38</xdr:row>
      <xdr:rowOff>47625</xdr:rowOff>
    </xdr:from>
    <xdr:ext cx="157842" cy="157842"/>
    <xdr:pic macro="[0]!RemoveLVROverrideCollateral">
      <xdr:nvPicPr>
        <xdr:cNvPr id="55" name="btnDeleteCollateral3">
          <a:extLst>
            <a:ext uri="{FF2B5EF4-FFF2-40B4-BE49-F238E27FC236}">
              <a16:creationId xmlns:a16="http://schemas.microsoft.com/office/drawing/2014/main" id="{CFCBCA56-C0B3-4211-A1E9-0EB5C9CEA6E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97627" y="4448175"/>
          <a:ext cx="157842" cy="157842"/>
        </a:xfrm>
        <a:prstGeom prst="rect">
          <a:avLst/>
        </a:prstGeom>
      </xdr:spPr>
    </xdr:pic>
    <xdr:clientData fPrintsWithSheet="0"/>
  </xdr:oneCellAnchor>
  <xdr:oneCellAnchor>
    <xdr:from>
      <xdr:col>13</xdr:col>
      <xdr:colOff>1211178</xdr:colOff>
      <xdr:row>38</xdr:row>
      <xdr:rowOff>47625</xdr:rowOff>
    </xdr:from>
    <xdr:ext cx="157842" cy="157842"/>
    <xdr:pic macro="[0]!RemoveLVROverrideCollateral">
      <xdr:nvPicPr>
        <xdr:cNvPr id="56" name="btnDeleteCollateral4">
          <a:extLst>
            <a:ext uri="{FF2B5EF4-FFF2-40B4-BE49-F238E27FC236}">
              <a16:creationId xmlns:a16="http://schemas.microsoft.com/office/drawing/2014/main" id="{75804282-EEE8-430B-9AB1-2AB316AECBA7}"/>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526878" y="4448175"/>
          <a:ext cx="157842" cy="157842"/>
        </a:xfrm>
        <a:prstGeom prst="rect">
          <a:avLst/>
        </a:prstGeom>
      </xdr:spPr>
    </xdr:pic>
    <xdr:clientData fPrintsWithSheet="0"/>
  </xdr:oneCellAnchor>
  <xdr:oneCellAnchor>
    <xdr:from>
      <xdr:col>14</xdr:col>
      <xdr:colOff>1211679</xdr:colOff>
      <xdr:row>38</xdr:row>
      <xdr:rowOff>47625</xdr:rowOff>
    </xdr:from>
    <xdr:ext cx="157842" cy="157842"/>
    <xdr:pic macro="[0]!RemoveLVROverrideCollateral">
      <xdr:nvPicPr>
        <xdr:cNvPr id="57" name="btnDeleteCollateral5">
          <a:extLst>
            <a:ext uri="{FF2B5EF4-FFF2-40B4-BE49-F238E27FC236}">
              <a16:creationId xmlns:a16="http://schemas.microsoft.com/office/drawing/2014/main" id="{3679A40B-3B8B-4C10-977F-FA0049ABC82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956129" y="4448175"/>
          <a:ext cx="157842" cy="157842"/>
        </a:xfrm>
        <a:prstGeom prst="rect">
          <a:avLst/>
        </a:prstGeom>
      </xdr:spPr>
    </xdr:pic>
    <xdr:clientData fPrintsWithSheet="0"/>
  </xdr:oneCellAnchor>
  <xdr:oneCellAnchor>
    <xdr:from>
      <xdr:col>15</xdr:col>
      <xdr:colOff>1212180</xdr:colOff>
      <xdr:row>38</xdr:row>
      <xdr:rowOff>47625</xdr:rowOff>
    </xdr:from>
    <xdr:ext cx="157842" cy="157842"/>
    <xdr:pic macro="[0]!RemoveLVROverrideCollateral">
      <xdr:nvPicPr>
        <xdr:cNvPr id="58" name="btnDeleteCollateral6" hidden="1">
          <a:extLst>
            <a:ext uri="{FF2B5EF4-FFF2-40B4-BE49-F238E27FC236}">
              <a16:creationId xmlns:a16="http://schemas.microsoft.com/office/drawing/2014/main" id="{DA372307-2200-4188-B8FC-3C2CBC6CD40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5385380" y="4448175"/>
          <a:ext cx="157842" cy="157842"/>
        </a:xfrm>
        <a:prstGeom prst="rect">
          <a:avLst/>
        </a:prstGeom>
      </xdr:spPr>
    </xdr:pic>
    <xdr:clientData fPrintsWithSheet="0"/>
  </xdr:oneCellAnchor>
  <xdr:oneCellAnchor>
    <xdr:from>
      <xdr:col>16</xdr:col>
      <xdr:colOff>1212681</xdr:colOff>
      <xdr:row>38</xdr:row>
      <xdr:rowOff>47625</xdr:rowOff>
    </xdr:from>
    <xdr:ext cx="157842" cy="157842"/>
    <xdr:pic macro="[0]!RemoveLVROverrideCollateral">
      <xdr:nvPicPr>
        <xdr:cNvPr id="59" name="btnDeleteCollateral7" hidden="1">
          <a:extLst>
            <a:ext uri="{FF2B5EF4-FFF2-40B4-BE49-F238E27FC236}">
              <a16:creationId xmlns:a16="http://schemas.microsoft.com/office/drawing/2014/main" id="{CAF7723B-B85D-4F7B-B53C-E9F76374B30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6814631" y="4448175"/>
          <a:ext cx="157842" cy="157842"/>
        </a:xfrm>
        <a:prstGeom prst="rect">
          <a:avLst/>
        </a:prstGeom>
      </xdr:spPr>
    </xdr:pic>
    <xdr:clientData fPrintsWithSheet="0"/>
  </xdr:oneCellAnchor>
  <xdr:oneCellAnchor>
    <xdr:from>
      <xdr:col>17</xdr:col>
      <xdr:colOff>1213182</xdr:colOff>
      <xdr:row>38</xdr:row>
      <xdr:rowOff>47625</xdr:rowOff>
    </xdr:from>
    <xdr:ext cx="157842" cy="157842"/>
    <xdr:pic macro="[0]!RemoveLVROverrideCollateral">
      <xdr:nvPicPr>
        <xdr:cNvPr id="60" name="btnDeleteCollateral8" hidden="1">
          <a:extLst>
            <a:ext uri="{FF2B5EF4-FFF2-40B4-BE49-F238E27FC236}">
              <a16:creationId xmlns:a16="http://schemas.microsoft.com/office/drawing/2014/main" id="{7859FC5F-232C-4E05-B302-EDD6AC973EE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8243882" y="4448175"/>
          <a:ext cx="157842" cy="157842"/>
        </a:xfrm>
        <a:prstGeom prst="rect">
          <a:avLst/>
        </a:prstGeom>
      </xdr:spPr>
    </xdr:pic>
    <xdr:clientData fPrintsWithSheet="0"/>
  </xdr:oneCellAnchor>
  <xdr:oneCellAnchor>
    <xdr:from>
      <xdr:col>18</xdr:col>
      <xdr:colOff>1213683</xdr:colOff>
      <xdr:row>38</xdr:row>
      <xdr:rowOff>47625</xdr:rowOff>
    </xdr:from>
    <xdr:ext cx="157842" cy="157842"/>
    <xdr:pic macro="[0]!RemoveLVROverrideCollateral">
      <xdr:nvPicPr>
        <xdr:cNvPr id="61" name="btnDeleteCollateral9" hidden="1">
          <a:extLst>
            <a:ext uri="{FF2B5EF4-FFF2-40B4-BE49-F238E27FC236}">
              <a16:creationId xmlns:a16="http://schemas.microsoft.com/office/drawing/2014/main" id="{C05DE89D-6524-43BC-AA5E-1891082858D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673133" y="4448175"/>
          <a:ext cx="157842" cy="157842"/>
        </a:xfrm>
        <a:prstGeom prst="rect">
          <a:avLst/>
        </a:prstGeom>
      </xdr:spPr>
    </xdr:pic>
    <xdr:clientData fPrintsWithSheet="0"/>
  </xdr:oneCellAnchor>
  <xdr:oneCellAnchor>
    <xdr:from>
      <xdr:col>19</xdr:col>
      <xdr:colOff>1214184</xdr:colOff>
      <xdr:row>38</xdr:row>
      <xdr:rowOff>47625</xdr:rowOff>
    </xdr:from>
    <xdr:ext cx="157842" cy="157842"/>
    <xdr:pic macro="[0]!RemoveLVROverrideCollateral">
      <xdr:nvPicPr>
        <xdr:cNvPr id="62" name="btnDeleteCollateral10" hidden="1">
          <a:extLst>
            <a:ext uri="{FF2B5EF4-FFF2-40B4-BE49-F238E27FC236}">
              <a16:creationId xmlns:a16="http://schemas.microsoft.com/office/drawing/2014/main" id="{43F7BB57-D96C-4EA6-BAD9-2F6B3A94796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1102384" y="4448175"/>
          <a:ext cx="157842" cy="157842"/>
        </a:xfrm>
        <a:prstGeom prst="rect">
          <a:avLst/>
        </a:prstGeom>
      </xdr:spPr>
    </xdr:pic>
    <xdr:clientData fPrintsWithSheet="0"/>
  </xdr:oneCellAnchor>
  <xdr:oneCellAnchor>
    <xdr:from>
      <xdr:col>20</xdr:col>
      <xdr:colOff>1214685</xdr:colOff>
      <xdr:row>38</xdr:row>
      <xdr:rowOff>47625</xdr:rowOff>
    </xdr:from>
    <xdr:ext cx="157842" cy="157842"/>
    <xdr:pic macro="[0]!RemoveLVROverrideCollateral">
      <xdr:nvPicPr>
        <xdr:cNvPr id="63" name="btnDeleteCollateral11" hidden="1">
          <a:extLst>
            <a:ext uri="{FF2B5EF4-FFF2-40B4-BE49-F238E27FC236}">
              <a16:creationId xmlns:a16="http://schemas.microsoft.com/office/drawing/2014/main" id="{61D28A23-91A8-4BAF-87BD-719C06BABEB0}"/>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2531635" y="4448175"/>
          <a:ext cx="157842" cy="157842"/>
        </a:xfrm>
        <a:prstGeom prst="rect">
          <a:avLst/>
        </a:prstGeom>
      </xdr:spPr>
    </xdr:pic>
    <xdr:clientData fPrintsWithSheet="0"/>
  </xdr:oneCellAnchor>
  <xdr:oneCellAnchor>
    <xdr:from>
      <xdr:col>21</xdr:col>
      <xdr:colOff>1215186</xdr:colOff>
      <xdr:row>38</xdr:row>
      <xdr:rowOff>47625</xdr:rowOff>
    </xdr:from>
    <xdr:ext cx="157842" cy="157842"/>
    <xdr:pic macro="[0]!RemoveLVROverrideCollateral">
      <xdr:nvPicPr>
        <xdr:cNvPr id="64" name="btnDeleteCollateral12" hidden="1">
          <a:extLst>
            <a:ext uri="{FF2B5EF4-FFF2-40B4-BE49-F238E27FC236}">
              <a16:creationId xmlns:a16="http://schemas.microsoft.com/office/drawing/2014/main" id="{C8A5ACFD-DB00-4066-806E-A9DD59F22EF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3960886" y="4448175"/>
          <a:ext cx="157842" cy="157842"/>
        </a:xfrm>
        <a:prstGeom prst="rect">
          <a:avLst/>
        </a:prstGeom>
      </xdr:spPr>
    </xdr:pic>
    <xdr:clientData fPrintsWithSheet="0"/>
  </xdr:oneCellAnchor>
  <xdr:oneCellAnchor>
    <xdr:from>
      <xdr:col>22</xdr:col>
      <xdr:colOff>1215687</xdr:colOff>
      <xdr:row>38</xdr:row>
      <xdr:rowOff>47625</xdr:rowOff>
    </xdr:from>
    <xdr:ext cx="157842" cy="157842"/>
    <xdr:pic macro="[0]!RemoveLVROverrideCollateral">
      <xdr:nvPicPr>
        <xdr:cNvPr id="65" name="btnDeleteCollateral13" hidden="1">
          <a:extLst>
            <a:ext uri="{FF2B5EF4-FFF2-40B4-BE49-F238E27FC236}">
              <a16:creationId xmlns:a16="http://schemas.microsoft.com/office/drawing/2014/main" id="{3DDE61AC-3D03-4F62-8536-5B94ACCD9DB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5390137" y="4448175"/>
          <a:ext cx="157842" cy="157842"/>
        </a:xfrm>
        <a:prstGeom prst="rect">
          <a:avLst/>
        </a:prstGeom>
      </xdr:spPr>
    </xdr:pic>
    <xdr:clientData fPrintsWithSheet="0"/>
  </xdr:oneCellAnchor>
  <xdr:oneCellAnchor>
    <xdr:from>
      <xdr:col>23</xdr:col>
      <xdr:colOff>1216188</xdr:colOff>
      <xdr:row>38</xdr:row>
      <xdr:rowOff>47625</xdr:rowOff>
    </xdr:from>
    <xdr:ext cx="157842" cy="157842"/>
    <xdr:pic macro="[0]!RemoveLVROverrideCollateral">
      <xdr:nvPicPr>
        <xdr:cNvPr id="66" name="btnDeleteCollateral14" hidden="1">
          <a:extLst>
            <a:ext uri="{FF2B5EF4-FFF2-40B4-BE49-F238E27FC236}">
              <a16:creationId xmlns:a16="http://schemas.microsoft.com/office/drawing/2014/main" id="{89C1CA85-5B61-44DE-93D4-8AC3E0E444D2}"/>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6819388" y="4448175"/>
          <a:ext cx="157842" cy="157842"/>
        </a:xfrm>
        <a:prstGeom prst="rect">
          <a:avLst/>
        </a:prstGeom>
      </xdr:spPr>
    </xdr:pic>
    <xdr:clientData fPrintsWithSheet="0"/>
  </xdr:oneCellAnchor>
  <xdr:oneCellAnchor>
    <xdr:from>
      <xdr:col>24</xdr:col>
      <xdr:colOff>1216689</xdr:colOff>
      <xdr:row>38</xdr:row>
      <xdr:rowOff>47625</xdr:rowOff>
    </xdr:from>
    <xdr:ext cx="157842" cy="157842"/>
    <xdr:pic macro="[0]!RemoveLVROverrideCollateral">
      <xdr:nvPicPr>
        <xdr:cNvPr id="67" name="btnDeleteCollateral15" hidden="1">
          <a:extLst>
            <a:ext uri="{FF2B5EF4-FFF2-40B4-BE49-F238E27FC236}">
              <a16:creationId xmlns:a16="http://schemas.microsoft.com/office/drawing/2014/main" id="{A369AC0E-C36B-4AFD-A292-FBFE1E100797}"/>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8248639" y="4448175"/>
          <a:ext cx="157842" cy="157842"/>
        </a:xfrm>
        <a:prstGeom prst="rect">
          <a:avLst/>
        </a:prstGeom>
      </xdr:spPr>
    </xdr:pic>
    <xdr:clientData fPrintsWithSheet="0"/>
  </xdr:oneCellAnchor>
  <xdr:oneCellAnchor>
    <xdr:from>
      <xdr:col>25</xdr:col>
      <xdr:colOff>1217190</xdr:colOff>
      <xdr:row>38</xdr:row>
      <xdr:rowOff>47625</xdr:rowOff>
    </xdr:from>
    <xdr:ext cx="157842" cy="157842"/>
    <xdr:pic macro="[0]!RemoveLVROverrideCollateral">
      <xdr:nvPicPr>
        <xdr:cNvPr id="68" name="btnDeleteCollateral16" hidden="1">
          <a:extLst>
            <a:ext uri="{FF2B5EF4-FFF2-40B4-BE49-F238E27FC236}">
              <a16:creationId xmlns:a16="http://schemas.microsoft.com/office/drawing/2014/main" id="{4606F353-0913-4349-8C5F-2635D2DE76F5}"/>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9677890" y="4448175"/>
          <a:ext cx="157842" cy="157842"/>
        </a:xfrm>
        <a:prstGeom prst="rect">
          <a:avLst/>
        </a:prstGeom>
      </xdr:spPr>
    </xdr:pic>
    <xdr:clientData fPrintsWithSheet="0"/>
  </xdr:oneCellAnchor>
  <xdr:oneCellAnchor>
    <xdr:from>
      <xdr:col>26</xdr:col>
      <xdr:colOff>1217691</xdr:colOff>
      <xdr:row>38</xdr:row>
      <xdr:rowOff>47625</xdr:rowOff>
    </xdr:from>
    <xdr:ext cx="157842" cy="157842"/>
    <xdr:pic macro="[0]!RemoveLVROverrideCollateral">
      <xdr:nvPicPr>
        <xdr:cNvPr id="69" name="btnDeleteCollateral17" hidden="1">
          <a:extLst>
            <a:ext uri="{FF2B5EF4-FFF2-40B4-BE49-F238E27FC236}">
              <a16:creationId xmlns:a16="http://schemas.microsoft.com/office/drawing/2014/main" id="{E0F90B12-90CE-4FDB-ACAB-6AC01D448A30}"/>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1107141" y="4448175"/>
          <a:ext cx="157842" cy="157842"/>
        </a:xfrm>
        <a:prstGeom prst="rect">
          <a:avLst/>
        </a:prstGeom>
      </xdr:spPr>
    </xdr:pic>
    <xdr:clientData fPrintsWithSheet="0"/>
  </xdr:oneCellAnchor>
  <xdr:oneCellAnchor>
    <xdr:from>
      <xdr:col>27</xdr:col>
      <xdr:colOff>1218192</xdr:colOff>
      <xdr:row>38</xdr:row>
      <xdr:rowOff>47625</xdr:rowOff>
    </xdr:from>
    <xdr:ext cx="157842" cy="157842"/>
    <xdr:pic macro="[0]!RemoveLVROverrideCollateral">
      <xdr:nvPicPr>
        <xdr:cNvPr id="70" name="btnDeleteCollateral18" hidden="1">
          <a:extLst>
            <a:ext uri="{FF2B5EF4-FFF2-40B4-BE49-F238E27FC236}">
              <a16:creationId xmlns:a16="http://schemas.microsoft.com/office/drawing/2014/main" id="{A04344E6-E25D-4DA9-B1AA-4A13036D57C4}"/>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2536392" y="4448175"/>
          <a:ext cx="157842" cy="157842"/>
        </a:xfrm>
        <a:prstGeom prst="rect">
          <a:avLst/>
        </a:prstGeom>
      </xdr:spPr>
    </xdr:pic>
    <xdr:clientData fPrintsWithSheet="0"/>
  </xdr:oneCellAnchor>
  <xdr:oneCellAnchor>
    <xdr:from>
      <xdr:col>28</xdr:col>
      <xdr:colOff>1218693</xdr:colOff>
      <xdr:row>38</xdr:row>
      <xdr:rowOff>47625</xdr:rowOff>
    </xdr:from>
    <xdr:ext cx="157842" cy="157842"/>
    <xdr:pic macro="[0]!RemoveLVROverrideCollateral">
      <xdr:nvPicPr>
        <xdr:cNvPr id="71" name="btnDeleteCollateral19" hidden="1">
          <a:extLst>
            <a:ext uri="{FF2B5EF4-FFF2-40B4-BE49-F238E27FC236}">
              <a16:creationId xmlns:a16="http://schemas.microsoft.com/office/drawing/2014/main" id="{05A0195A-7BD4-4F0E-8E77-281CEA40DB9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3965643" y="4448175"/>
          <a:ext cx="157842" cy="157842"/>
        </a:xfrm>
        <a:prstGeom prst="rect">
          <a:avLst/>
        </a:prstGeom>
      </xdr:spPr>
    </xdr:pic>
    <xdr:clientData fPrintsWithSheet="0"/>
  </xdr:oneCellAnchor>
  <xdr:oneCellAnchor>
    <xdr:from>
      <xdr:col>29</xdr:col>
      <xdr:colOff>1219200</xdr:colOff>
      <xdr:row>38</xdr:row>
      <xdr:rowOff>47625</xdr:rowOff>
    </xdr:from>
    <xdr:ext cx="157842" cy="157842"/>
    <xdr:pic macro="[0]!RemoveLVROverrideCollateral">
      <xdr:nvPicPr>
        <xdr:cNvPr id="72" name="btnDeleteCollateral20" hidden="1">
          <a:extLst>
            <a:ext uri="{FF2B5EF4-FFF2-40B4-BE49-F238E27FC236}">
              <a16:creationId xmlns:a16="http://schemas.microsoft.com/office/drawing/2014/main" id="{6DEF5539-C9F3-45F3-AB17-4E3C91ADFC3D}"/>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394900" y="4448175"/>
          <a:ext cx="157842" cy="157842"/>
        </a:xfrm>
        <a:prstGeom prst="rect">
          <a:avLst/>
        </a:prstGeom>
      </xdr:spPr>
    </xdr:pic>
    <xdr:clientData fPrintsWithSheet="0"/>
  </xdr:oneCellAnchor>
  <xdr:oneCellAnchor>
    <xdr:from>
      <xdr:col>12</xdr:col>
      <xdr:colOff>1371600</xdr:colOff>
      <xdr:row>1</xdr:row>
      <xdr:rowOff>50800</xdr:rowOff>
    </xdr:from>
    <xdr:ext cx="1440000" cy="360000"/>
    <xdr:sp macro="[0]!ShowNavigationScreen" textlink="">
      <xdr:nvSpPr>
        <xdr:cNvPr id="73" name="btnOtherCalculators">
          <a:extLst>
            <a:ext uri="{FF2B5EF4-FFF2-40B4-BE49-F238E27FC236}">
              <a16:creationId xmlns:a16="http://schemas.microsoft.com/office/drawing/2014/main" id="{97973D1E-64F4-4345-AE1D-591F61CE83A2}"/>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1076325</xdr:colOff>
      <xdr:row>1</xdr:row>
      <xdr:rowOff>50800</xdr:rowOff>
    </xdr:from>
    <xdr:to>
      <xdr:col>10</xdr:col>
      <xdr:colOff>325575</xdr:colOff>
      <xdr:row>3</xdr:row>
      <xdr:rowOff>29800</xdr:rowOff>
    </xdr:to>
    <xdr:sp macro="[0]!ResetForeignCurrencyTranslationChecklist" textlink="">
      <xdr:nvSpPr>
        <xdr:cNvPr id="2" name="btnResetCalculator">
          <a:extLst>
            <a:ext uri="{FF2B5EF4-FFF2-40B4-BE49-F238E27FC236}">
              <a16:creationId xmlns:a16="http://schemas.microsoft.com/office/drawing/2014/main" id="{1726EF6D-9AAF-493E-886F-64FEB6D5726E}"/>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p>
      </xdr:txBody>
    </xdr:sp>
    <xdr:clientData fLocksWithSheet="0" fPrintsWithSheet="0"/>
  </xdr:twoCellAnchor>
  <xdr:twoCellAnchor editAs="absolute">
    <xdr:from>
      <xdr:col>6</xdr:col>
      <xdr:colOff>1733550</xdr:colOff>
      <xdr:row>1</xdr:row>
      <xdr:rowOff>50800</xdr:rowOff>
    </xdr:from>
    <xdr:to>
      <xdr:col>8</xdr:col>
      <xdr:colOff>982800</xdr:colOff>
      <xdr:row>3</xdr:row>
      <xdr:rowOff>29800</xdr:rowOff>
    </xdr:to>
    <xdr:sp macro="[0]!ExportWorksheetToPDF" textlink="">
      <xdr:nvSpPr>
        <xdr:cNvPr id="4" name="btnCreatePDF">
          <a:extLst>
            <a:ext uri="{FF2B5EF4-FFF2-40B4-BE49-F238E27FC236}">
              <a16:creationId xmlns:a16="http://schemas.microsoft.com/office/drawing/2014/main" id="{C8AE1B2C-90F8-4842-BBA3-AB17AFEC6149}"/>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xdr:from>
      <xdr:col>1</xdr:col>
      <xdr:colOff>212913</xdr:colOff>
      <xdr:row>25</xdr:row>
      <xdr:rowOff>171451</xdr:rowOff>
    </xdr:from>
    <xdr:to>
      <xdr:col>2</xdr:col>
      <xdr:colOff>847725</xdr:colOff>
      <xdr:row>27</xdr:row>
      <xdr:rowOff>42451</xdr:rowOff>
    </xdr:to>
    <xdr:sp macro="" textlink="">
      <xdr:nvSpPr>
        <xdr:cNvPr id="7" name="btnExchangeRates">
          <a:hlinkClick xmlns:r="http://schemas.openxmlformats.org/officeDocument/2006/relationships" r:id="rId1"/>
          <a:extLst>
            <a:ext uri="{FF2B5EF4-FFF2-40B4-BE49-F238E27FC236}">
              <a16:creationId xmlns:a16="http://schemas.microsoft.com/office/drawing/2014/main" id="{968C6ACA-D2CB-4083-9653-90C70A357EE6}"/>
            </a:ext>
          </a:extLst>
        </xdr:cNvPr>
        <xdr:cNvSpPr/>
      </xdr:nvSpPr>
      <xdr:spPr>
        <a:xfrm>
          <a:off x="403413" y="4695826"/>
          <a:ext cx="2425512" cy="252000"/>
        </a:xfrm>
        <a:prstGeom prst="round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latin typeface="Arial" panose="020B0604020202020204" pitchFamily="34" charset="0"/>
              <a:cs typeface="Arial" panose="020B0604020202020204" pitchFamily="34" charset="0"/>
            </a:rPr>
            <a:t>Exchange Rates from Xe.com</a:t>
          </a:r>
        </a:p>
      </xdr:txBody>
    </xdr:sp>
    <xdr:clientData/>
  </xdr:twoCellAnchor>
  <xdr:twoCellAnchor editAs="oneCell">
    <xdr:from>
      <xdr:col>14</xdr:col>
      <xdr:colOff>1724025</xdr:colOff>
      <xdr:row>30</xdr:row>
      <xdr:rowOff>161925</xdr:rowOff>
    </xdr:from>
    <xdr:to>
      <xdr:col>16</xdr:col>
      <xdr:colOff>3137</xdr:colOff>
      <xdr:row>32</xdr:row>
      <xdr:rowOff>31712</xdr:rowOff>
    </xdr:to>
    <xdr:pic macro="ToggleSectionExpandContract">
      <xdr:nvPicPr>
        <xdr:cNvPr id="8" name="btnPAYGResidentSectionContract">
          <a:extLst>
            <a:ext uri="{FF2B5EF4-FFF2-40B4-BE49-F238E27FC236}">
              <a16:creationId xmlns:a16="http://schemas.microsoft.com/office/drawing/2014/main" id="{15A33B88-E4C6-44DF-BE8D-AA2D32FBA8F7}"/>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5543550"/>
          <a:ext cx="250787" cy="307937"/>
        </a:xfrm>
        <a:prstGeom prst="rect">
          <a:avLst/>
        </a:prstGeom>
      </xdr:spPr>
    </xdr:pic>
    <xdr:clientData fPrintsWithSheet="0"/>
  </xdr:twoCellAnchor>
  <xdr:twoCellAnchor editAs="oneCell">
    <xdr:from>
      <xdr:col>14</xdr:col>
      <xdr:colOff>1724025</xdr:colOff>
      <xdr:row>30</xdr:row>
      <xdr:rowOff>171450</xdr:rowOff>
    </xdr:from>
    <xdr:to>
      <xdr:col>16</xdr:col>
      <xdr:colOff>3137</xdr:colOff>
      <xdr:row>32</xdr:row>
      <xdr:rowOff>41237</xdr:rowOff>
    </xdr:to>
    <xdr:pic macro="ToggleSectionExpandContract">
      <xdr:nvPicPr>
        <xdr:cNvPr id="9" name="btnPAYGResidentSectionExpand" hidden="1">
          <a:extLst>
            <a:ext uri="{FF2B5EF4-FFF2-40B4-BE49-F238E27FC236}">
              <a16:creationId xmlns:a16="http://schemas.microsoft.com/office/drawing/2014/main" id="{00CBC969-4D54-4908-A4A8-335288B06A3F}"/>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5553075"/>
          <a:ext cx="250787" cy="307937"/>
        </a:xfrm>
        <a:prstGeom prst="rect">
          <a:avLst/>
        </a:prstGeom>
      </xdr:spPr>
    </xdr:pic>
    <xdr:clientData fPrintsWithSheet="0"/>
  </xdr:twoCellAnchor>
  <xdr:twoCellAnchor editAs="oneCell">
    <xdr:from>
      <xdr:col>14</xdr:col>
      <xdr:colOff>1724025</xdr:colOff>
      <xdr:row>71</xdr:row>
      <xdr:rowOff>66675</xdr:rowOff>
    </xdr:from>
    <xdr:to>
      <xdr:col>16</xdr:col>
      <xdr:colOff>3137</xdr:colOff>
      <xdr:row>73</xdr:row>
      <xdr:rowOff>41237</xdr:rowOff>
    </xdr:to>
    <xdr:pic macro="ToggleSectionExpandContract">
      <xdr:nvPicPr>
        <xdr:cNvPr id="10" name="btnRentalSectionExpand" hidden="1">
          <a:extLst>
            <a:ext uri="{FF2B5EF4-FFF2-40B4-BE49-F238E27FC236}">
              <a16:creationId xmlns:a16="http://schemas.microsoft.com/office/drawing/2014/main" id="{327CB35A-DB7B-4954-BC17-BBE89661FECB}"/>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13830300"/>
          <a:ext cx="250787" cy="307937"/>
        </a:xfrm>
        <a:prstGeom prst="rect">
          <a:avLst/>
        </a:prstGeom>
      </xdr:spPr>
    </xdr:pic>
    <xdr:clientData fPrintsWithSheet="0"/>
  </xdr:twoCellAnchor>
  <xdr:twoCellAnchor editAs="oneCell">
    <xdr:from>
      <xdr:col>14</xdr:col>
      <xdr:colOff>1724025</xdr:colOff>
      <xdr:row>87</xdr:row>
      <xdr:rowOff>66675</xdr:rowOff>
    </xdr:from>
    <xdr:to>
      <xdr:col>16</xdr:col>
      <xdr:colOff>3137</xdr:colOff>
      <xdr:row>89</xdr:row>
      <xdr:rowOff>41237</xdr:rowOff>
    </xdr:to>
    <xdr:pic macro="ToggleSectionExpandContract">
      <xdr:nvPicPr>
        <xdr:cNvPr id="11" name="btnPensionSectionExpand" hidden="1">
          <a:extLst>
            <a:ext uri="{FF2B5EF4-FFF2-40B4-BE49-F238E27FC236}">
              <a16:creationId xmlns:a16="http://schemas.microsoft.com/office/drawing/2014/main" id="{9EA366A6-9D28-47A5-859A-51D2F1AD9666}"/>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17125950"/>
          <a:ext cx="250787" cy="307937"/>
        </a:xfrm>
        <a:prstGeom prst="rect">
          <a:avLst/>
        </a:prstGeom>
      </xdr:spPr>
    </xdr:pic>
    <xdr:clientData fPrintsWithSheet="0"/>
  </xdr:twoCellAnchor>
  <xdr:twoCellAnchor editAs="oneCell">
    <xdr:from>
      <xdr:col>14</xdr:col>
      <xdr:colOff>1724025</xdr:colOff>
      <xdr:row>102</xdr:row>
      <xdr:rowOff>66675</xdr:rowOff>
    </xdr:from>
    <xdr:to>
      <xdr:col>16</xdr:col>
      <xdr:colOff>3137</xdr:colOff>
      <xdr:row>104</xdr:row>
      <xdr:rowOff>41237</xdr:rowOff>
    </xdr:to>
    <xdr:pic macro="ToggleSectionExpandContract">
      <xdr:nvPicPr>
        <xdr:cNvPr id="12" name="btnOwnFundsSectionExpand" hidden="1">
          <a:extLst>
            <a:ext uri="{FF2B5EF4-FFF2-40B4-BE49-F238E27FC236}">
              <a16:creationId xmlns:a16="http://schemas.microsoft.com/office/drawing/2014/main" id="{8A41C46C-1B1A-4C13-958F-ACDA5D4E75DE}"/>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20183475"/>
          <a:ext cx="250787" cy="307937"/>
        </a:xfrm>
        <a:prstGeom prst="rect">
          <a:avLst/>
        </a:prstGeom>
      </xdr:spPr>
    </xdr:pic>
    <xdr:clientData fPrintsWithSheet="0"/>
  </xdr:twoCellAnchor>
  <xdr:twoCellAnchor editAs="oneCell">
    <xdr:from>
      <xdr:col>14</xdr:col>
      <xdr:colOff>1724025</xdr:colOff>
      <xdr:row>119</xdr:row>
      <xdr:rowOff>66675</xdr:rowOff>
    </xdr:from>
    <xdr:to>
      <xdr:col>16</xdr:col>
      <xdr:colOff>3137</xdr:colOff>
      <xdr:row>121</xdr:row>
      <xdr:rowOff>38100</xdr:rowOff>
    </xdr:to>
    <xdr:pic macro="ToggleSectionExpandContract">
      <xdr:nvPicPr>
        <xdr:cNvPr id="13" name="btnSESectionExpand" hidden="1">
          <a:extLst>
            <a:ext uri="{FF2B5EF4-FFF2-40B4-BE49-F238E27FC236}">
              <a16:creationId xmlns:a16="http://schemas.microsoft.com/office/drawing/2014/main" id="{65139332-A131-4BF1-A47B-FFC639C8F97F}"/>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23717250"/>
          <a:ext cx="250787" cy="304800"/>
        </a:xfrm>
        <a:prstGeom prst="rect">
          <a:avLst/>
        </a:prstGeom>
      </xdr:spPr>
    </xdr:pic>
    <xdr:clientData fPrintsWithSheet="0"/>
  </xdr:twoCellAnchor>
  <xdr:twoCellAnchor editAs="oneCell">
    <xdr:from>
      <xdr:col>14</xdr:col>
      <xdr:colOff>1724025</xdr:colOff>
      <xdr:row>137</xdr:row>
      <xdr:rowOff>66675</xdr:rowOff>
    </xdr:from>
    <xdr:to>
      <xdr:col>16</xdr:col>
      <xdr:colOff>3137</xdr:colOff>
      <xdr:row>139</xdr:row>
      <xdr:rowOff>38100</xdr:rowOff>
    </xdr:to>
    <xdr:pic macro="ToggleSectionExpandContract">
      <xdr:nvPicPr>
        <xdr:cNvPr id="14" name="btnChildSupportSectionExpand" hidden="1">
          <a:extLst>
            <a:ext uri="{FF2B5EF4-FFF2-40B4-BE49-F238E27FC236}">
              <a16:creationId xmlns:a16="http://schemas.microsoft.com/office/drawing/2014/main" id="{84A82487-EA0A-4AB8-BB04-41298131F32E}"/>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27489150"/>
          <a:ext cx="250787" cy="304800"/>
        </a:xfrm>
        <a:prstGeom prst="rect">
          <a:avLst/>
        </a:prstGeom>
      </xdr:spPr>
    </xdr:pic>
    <xdr:clientData fPrintsWithSheet="0"/>
  </xdr:twoCellAnchor>
  <xdr:twoCellAnchor editAs="oneCell">
    <xdr:from>
      <xdr:col>14</xdr:col>
      <xdr:colOff>1724025</xdr:colOff>
      <xdr:row>153</xdr:row>
      <xdr:rowOff>66675</xdr:rowOff>
    </xdr:from>
    <xdr:to>
      <xdr:col>16</xdr:col>
      <xdr:colOff>3137</xdr:colOff>
      <xdr:row>155</xdr:row>
      <xdr:rowOff>38100</xdr:rowOff>
    </xdr:to>
    <xdr:pic macro="ToggleSectionExpandContract">
      <xdr:nvPicPr>
        <xdr:cNvPr id="15" name="btnLiabilitiesSectionExpand" hidden="1">
          <a:extLst>
            <a:ext uri="{FF2B5EF4-FFF2-40B4-BE49-F238E27FC236}">
              <a16:creationId xmlns:a16="http://schemas.microsoft.com/office/drawing/2014/main" id="{EA1C85F8-7C28-4752-A965-C0378DEB0C1B}"/>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30965775"/>
          <a:ext cx="250787" cy="304800"/>
        </a:xfrm>
        <a:prstGeom prst="rect">
          <a:avLst/>
        </a:prstGeom>
      </xdr:spPr>
    </xdr:pic>
    <xdr:clientData fPrintsWithSheet="0"/>
  </xdr:twoCellAnchor>
  <xdr:twoCellAnchor editAs="oneCell">
    <xdr:from>
      <xdr:col>14</xdr:col>
      <xdr:colOff>1724025</xdr:colOff>
      <xdr:row>198</xdr:row>
      <xdr:rowOff>66675</xdr:rowOff>
    </xdr:from>
    <xdr:to>
      <xdr:col>16</xdr:col>
      <xdr:colOff>3137</xdr:colOff>
      <xdr:row>200</xdr:row>
      <xdr:rowOff>38100</xdr:rowOff>
    </xdr:to>
    <xdr:pic macro="ToggleSectionExpandContract">
      <xdr:nvPicPr>
        <xdr:cNvPr id="16" name="btnRentalOutgoSectionExpand" hidden="1">
          <a:extLst>
            <a:ext uri="{FF2B5EF4-FFF2-40B4-BE49-F238E27FC236}">
              <a16:creationId xmlns:a16="http://schemas.microsoft.com/office/drawing/2014/main" id="{D6659ED5-A98E-42E8-A776-3C960FE1D5E5}"/>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41157525"/>
          <a:ext cx="250787" cy="304800"/>
        </a:xfrm>
        <a:prstGeom prst="rect">
          <a:avLst/>
        </a:prstGeom>
      </xdr:spPr>
    </xdr:pic>
    <xdr:clientData fPrintsWithSheet="0"/>
  </xdr:twoCellAnchor>
  <xdr:twoCellAnchor editAs="oneCell">
    <xdr:from>
      <xdr:col>14</xdr:col>
      <xdr:colOff>1724025</xdr:colOff>
      <xdr:row>52</xdr:row>
      <xdr:rowOff>66675</xdr:rowOff>
    </xdr:from>
    <xdr:to>
      <xdr:col>16</xdr:col>
      <xdr:colOff>3137</xdr:colOff>
      <xdr:row>54</xdr:row>
      <xdr:rowOff>41237</xdr:rowOff>
    </xdr:to>
    <xdr:pic macro="ToggleSectionExpandContract">
      <xdr:nvPicPr>
        <xdr:cNvPr id="17" name="btnPAYGNonResiSectionContract">
          <a:extLst>
            <a:ext uri="{FF2B5EF4-FFF2-40B4-BE49-F238E27FC236}">
              <a16:creationId xmlns:a16="http://schemas.microsoft.com/office/drawing/2014/main" id="{86DA0755-70EB-42CC-9846-A86202ACFA68}"/>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9896475"/>
          <a:ext cx="250787" cy="307937"/>
        </a:xfrm>
        <a:prstGeom prst="rect">
          <a:avLst/>
        </a:prstGeom>
      </xdr:spPr>
    </xdr:pic>
    <xdr:clientData fPrintsWithSheet="0"/>
  </xdr:twoCellAnchor>
  <xdr:twoCellAnchor editAs="oneCell">
    <xdr:from>
      <xdr:col>14</xdr:col>
      <xdr:colOff>1724025</xdr:colOff>
      <xdr:row>71</xdr:row>
      <xdr:rowOff>66675</xdr:rowOff>
    </xdr:from>
    <xdr:to>
      <xdr:col>16</xdr:col>
      <xdr:colOff>3137</xdr:colOff>
      <xdr:row>73</xdr:row>
      <xdr:rowOff>41237</xdr:rowOff>
    </xdr:to>
    <xdr:pic macro="ToggleSectionExpandContract">
      <xdr:nvPicPr>
        <xdr:cNvPr id="18" name="btnRentalSectionContract">
          <a:extLst>
            <a:ext uri="{FF2B5EF4-FFF2-40B4-BE49-F238E27FC236}">
              <a16:creationId xmlns:a16="http://schemas.microsoft.com/office/drawing/2014/main" id="{D6D5B230-BD7C-4E2D-B7E4-BEAD01F1B1DE}"/>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13830300"/>
          <a:ext cx="250787" cy="307937"/>
        </a:xfrm>
        <a:prstGeom prst="rect">
          <a:avLst/>
        </a:prstGeom>
      </xdr:spPr>
    </xdr:pic>
    <xdr:clientData fPrintsWithSheet="0"/>
  </xdr:twoCellAnchor>
  <xdr:twoCellAnchor editAs="oneCell">
    <xdr:from>
      <xdr:col>14</xdr:col>
      <xdr:colOff>1724025</xdr:colOff>
      <xdr:row>87</xdr:row>
      <xdr:rowOff>66675</xdr:rowOff>
    </xdr:from>
    <xdr:to>
      <xdr:col>16</xdr:col>
      <xdr:colOff>3137</xdr:colOff>
      <xdr:row>89</xdr:row>
      <xdr:rowOff>41237</xdr:rowOff>
    </xdr:to>
    <xdr:pic macro="ToggleSectionExpandContract">
      <xdr:nvPicPr>
        <xdr:cNvPr id="19" name="btnPensionSectionContract">
          <a:extLst>
            <a:ext uri="{FF2B5EF4-FFF2-40B4-BE49-F238E27FC236}">
              <a16:creationId xmlns:a16="http://schemas.microsoft.com/office/drawing/2014/main" id="{E2787B2D-5694-45C7-9B4C-181A08FE180E}"/>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17125950"/>
          <a:ext cx="250787" cy="307937"/>
        </a:xfrm>
        <a:prstGeom prst="rect">
          <a:avLst/>
        </a:prstGeom>
      </xdr:spPr>
    </xdr:pic>
    <xdr:clientData fPrintsWithSheet="0"/>
  </xdr:twoCellAnchor>
  <xdr:twoCellAnchor editAs="oneCell">
    <xdr:from>
      <xdr:col>14</xdr:col>
      <xdr:colOff>1724025</xdr:colOff>
      <xdr:row>102</xdr:row>
      <xdr:rowOff>66675</xdr:rowOff>
    </xdr:from>
    <xdr:to>
      <xdr:col>16</xdr:col>
      <xdr:colOff>3137</xdr:colOff>
      <xdr:row>104</xdr:row>
      <xdr:rowOff>41237</xdr:rowOff>
    </xdr:to>
    <xdr:pic macro="ToggleSectionExpandContract">
      <xdr:nvPicPr>
        <xdr:cNvPr id="20" name="btnOwnFundsSectionContract">
          <a:extLst>
            <a:ext uri="{FF2B5EF4-FFF2-40B4-BE49-F238E27FC236}">
              <a16:creationId xmlns:a16="http://schemas.microsoft.com/office/drawing/2014/main" id="{6907949D-6202-4115-8745-139BBDA247FA}"/>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20183475"/>
          <a:ext cx="250787" cy="307937"/>
        </a:xfrm>
        <a:prstGeom prst="rect">
          <a:avLst/>
        </a:prstGeom>
      </xdr:spPr>
    </xdr:pic>
    <xdr:clientData fPrintsWithSheet="0"/>
  </xdr:twoCellAnchor>
  <xdr:twoCellAnchor editAs="oneCell">
    <xdr:from>
      <xdr:col>14</xdr:col>
      <xdr:colOff>1724025</xdr:colOff>
      <xdr:row>119</xdr:row>
      <xdr:rowOff>66675</xdr:rowOff>
    </xdr:from>
    <xdr:to>
      <xdr:col>16</xdr:col>
      <xdr:colOff>3137</xdr:colOff>
      <xdr:row>121</xdr:row>
      <xdr:rowOff>41237</xdr:rowOff>
    </xdr:to>
    <xdr:pic macro="ToggleSectionExpandContract">
      <xdr:nvPicPr>
        <xdr:cNvPr id="21" name="btnSESectionContract">
          <a:extLst>
            <a:ext uri="{FF2B5EF4-FFF2-40B4-BE49-F238E27FC236}">
              <a16:creationId xmlns:a16="http://schemas.microsoft.com/office/drawing/2014/main" id="{911E66E8-093B-41D3-B1FB-E8A0D9DBE581}"/>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23717250"/>
          <a:ext cx="250787" cy="307937"/>
        </a:xfrm>
        <a:prstGeom prst="rect">
          <a:avLst/>
        </a:prstGeom>
      </xdr:spPr>
    </xdr:pic>
    <xdr:clientData fPrintsWithSheet="0"/>
  </xdr:twoCellAnchor>
  <xdr:twoCellAnchor editAs="oneCell">
    <xdr:from>
      <xdr:col>14</xdr:col>
      <xdr:colOff>1724025</xdr:colOff>
      <xdr:row>137</xdr:row>
      <xdr:rowOff>66675</xdr:rowOff>
    </xdr:from>
    <xdr:to>
      <xdr:col>16</xdr:col>
      <xdr:colOff>3137</xdr:colOff>
      <xdr:row>139</xdr:row>
      <xdr:rowOff>41237</xdr:rowOff>
    </xdr:to>
    <xdr:pic macro="ToggleSectionExpandContract">
      <xdr:nvPicPr>
        <xdr:cNvPr id="22" name="btnChildSupportSectionContract">
          <a:extLst>
            <a:ext uri="{FF2B5EF4-FFF2-40B4-BE49-F238E27FC236}">
              <a16:creationId xmlns:a16="http://schemas.microsoft.com/office/drawing/2014/main" id="{A8D1BC56-CC76-4BC7-8D1B-7EF7B1467078}"/>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27489150"/>
          <a:ext cx="250787" cy="307937"/>
        </a:xfrm>
        <a:prstGeom prst="rect">
          <a:avLst/>
        </a:prstGeom>
      </xdr:spPr>
    </xdr:pic>
    <xdr:clientData fPrintsWithSheet="0"/>
  </xdr:twoCellAnchor>
  <xdr:twoCellAnchor editAs="oneCell">
    <xdr:from>
      <xdr:col>14</xdr:col>
      <xdr:colOff>1724025</xdr:colOff>
      <xdr:row>153</xdr:row>
      <xdr:rowOff>66675</xdr:rowOff>
    </xdr:from>
    <xdr:to>
      <xdr:col>16</xdr:col>
      <xdr:colOff>3137</xdr:colOff>
      <xdr:row>155</xdr:row>
      <xdr:rowOff>41237</xdr:rowOff>
    </xdr:to>
    <xdr:pic macro="ToggleSectionExpandContract">
      <xdr:nvPicPr>
        <xdr:cNvPr id="23" name="btnLiabilitiesSectionContract">
          <a:extLst>
            <a:ext uri="{FF2B5EF4-FFF2-40B4-BE49-F238E27FC236}">
              <a16:creationId xmlns:a16="http://schemas.microsoft.com/office/drawing/2014/main" id="{C62CEAD5-9F8E-4782-83BE-720C0040A6AD}"/>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30965775"/>
          <a:ext cx="250787" cy="307937"/>
        </a:xfrm>
        <a:prstGeom prst="rect">
          <a:avLst/>
        </a:prstGeom>
      </xdr:spPr>
    </xdr:pic>
    <xdr:clientData fPrintsWithSheet="0"/>
  </xdr:twoCellAnchor>
  <xdr:twoCellAnchor editAs="oneCell">
    <xdr:from>
      <xdr:col>14</xdr:col>
      <xdr:colOff>1724025</xdr:colOff>
      <xdr:row>198</xdr:row>
      <xdr:rowOff>66675</xdr:rowOff>
    </xdr:from>
    <xdr:to>
      <xdr:col>16</xdr:col>
      <xdr:colOff>3137</xdr:colOff>
      <xdr:row>200</xdr:row>
      <xdr:rowOff>41237</xdr:rowOff>
    </xdr:to>
    <xdr:pic macro="ToggleSectionExpandContract">
      <xdr:nvPicPr>
        <xdr:cNvPr id="24" name="btnRentalOutgoSectionContract">
          <a:extLst>
            <a:ext uri="{FF2B5EF4-FFF2-40B4-BE49-F238E27FC236}">
              <a16:creationId xmlns:a16="http://schemas.microsoft.com/office/drawing/2014/main" id="{D0AA58DA-4257-47FC-91C4-D62712B7B32C}"/>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41157525"/>
          <a:ext cx="250787" cy="307937"/>
        </a:xfrm>
        <a:prstGeom prst="rect">
          <a:avLst/>
        </a:prstGeom>
      </xdr:spPr>
    </xdr:pic>
    <xdr:clientData fPrintsWithSheet="0"/>
  </xdr:twoCellAnchor>
  <xdr:twoCellAnchor editAs="oneCell">
    <xdr:from>
      <xdr:col>14</xdr:col>
      <xdr:colOff>1724025</xdr:colOff>
      <xdr:row>52</xdr:row>
      <xdr:rowOff>66675</xdr:rowOff>
    </xdr:from>
    <xdr:to>
      <xdr:col>16</xdr:col>
      <xdr:colOff>3137</xdr:colOff>
      <xdr:row>54</xdr:row>
      <xdr:rowOff>41237</xdr:rowOff>
    </xdr:to>
    <xdr:pic macro="ToggleSectionExpandContract">
      <xdr:nvPicPr>
        <xdr:cNvPr id="25" name="btnPAYGNonResiSectionExpand" hidden="1">
          <a:extLst>
            <a:ext uri="{FF2B5EF4-FFF2-40B4-BE49-F238E27FC236}">
              <a16:creationId xmlns:a16="http://schemas.microsoft.com/office/drawing/2014/main" id="{CD68C765-7BA2-4AB1-A2D5-ECA7D7A2F7A4}"/>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9896475"/>
          <a:ext cx="250787" cy="307937"/>
        </a:xfrm>
        <a:prstGeom prst="rect">
          <a:avLst/>
        </a:prstGeom>
      </xdr:spPr>
    </xdr:pic>
    <xdr:clientData fPrintsWithSheet="0"/>
  </xdr:twoCellAnchor>
  <xdr:oneCellAnchor>
    <xdr:from>
      <xdr:col>10</xdr:col>
      <xdr:colOff>419100</xdr:colOff>
      <xdr:row>1</xdr:row>
      <xdr:rowOff>50800</xdr:rowOff>
    </xdr:from>
    <xdr:ext cx="1440000" cy="360000"/>
    <xdr:sp macro="[0]!ShowNavigationScreen" textlink="">
      <xdr:nvSpPr>
        <xdr:cNvPr id="26" name="btnOtherCalculators">
          <a:extLst>
            <a:ext uri="{FF2B5EF4-FFF2-40B4-BE49-F238E27FC236}">
              <a16:creationId xmlns:a16="http://schemas.microsoft.com/office/drawing/2014/main" id="{E48DCA43-49A3-4A8B-ABD4-DF081AA7BE53}"/>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editAs="oneCell">
    <xdr:from>
      <xdr:col>1</xdr:col>
      <xdr:colOff>28575</xdr:colOff>
      <xdr:row>1</xdr:row>
      <xdr:rowOff>65620</xdr:rowOff>
    </xdr:from>
    <xdr:to>
      <xdr:col>1</xdr:col>
      <xdr:colOff>829233</xdr:colOff>
      <xdr:row>3</xdr:row>
      <xdr:rowOff>9525</xdr:rowOff>
    </xdr:to>
    <xdr:pic>
      <xdr:nvPicPr>
        <xdr:cNvPr id="27" name="imgLogoWBC">
          <a:extLst>
            <a:ext uri="{FF2B5EF4-FFF2-40B4-BE49-F238E27FC236}">
              <a16:creationId xmlns:a16="http://schemas.microsoft.com/office/drawing/2014/main" id="{3379BF24-828E-4FAC-BD32-3C08E3BFF63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219075" y="256120"/>
          <a:ext cx="800658" cy="32490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14</xdr:col>
      <xdr:colOff>752475</xdr:colOff>
      <xdr:row>1</xdr:row>
      <xdr:rowOff>50800</xdr:rowOff>
    </xdr:from>
    <xdr:ext cx="1440000" cy="360000"/>
    <xdr:sp macro="[0]!ResetSimpleLVRCalculator" textlink="">
      <xdr:nvSpPr>
        <xdr:cNvPr id="14" name="btnResetCalculator">
          <a:extLst>
            <a:ext uri="{FF2B5EF4-FFF2-40B4-BE49-F238E27FC236}">
              <a16:creationId xmlns:a16="http://schemas.microsoft.com/office/drawing/2014/main" id="{70BC2306-6327-4265-BE90-20B9331EEB05}"/>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oneCellAnchor>
  <xdr:twoCellAnchor editAs="oneCell">
    <xdr:from>
      <xdr:col>1</xdr:col>
      <xdr:colOff>51293</xdr:colOff>
      <xdr:row>1</xdr:row>
      <xdr:rowOff>65620</xdr:rowOff>
    </xdr:from>
    <xdr:to>
      <xdr:col>3</xdr:col>
      <xdr:colOff>70901</xdr:colOff>
      <xdr:row>3</xdr:row>
      <xdr:rowOff>9525</xdr:rowOff>
    </xdr:to>
    <xdr:pic>
      <xdr:nvPicPr>
        <xdr:cNvPr id="10" name="imgLogoWBC">
          <a:extLst>
            <a:ext uri="{FF2B5EF4-FFF2-40B4-BE49-F238E27FC236}">
              <a16:creationId xmlns:a16="http://schemas.microsoft.com/office/drawing/2014/main" id="{F5B25BFE-A140-47E5-8468-CBEDE09F5DA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12</xdr:col>
      <xdr:colOff>742950</xdr:colOff>
      <xdr:row>1</xdr:row>
      <xdr:rowOff>50800</xdr:rowOff>
    </xdr:from>
    <xdr:ext cx="1440000" cy="360000"/>
    <xdr:sp macro="[0]!ExportWorksheetToPDF" textlink="">
      <xdr:nvSpPr>
        <xdr:cNvPr id="21" name="btnCreatePDF">
          <a:extLst>
            <a:ext uri="{FF2B5EF4-FFF2-40B4-BE49-F238E27FC236}">
              <a16:creationId xmlns:a16="http://schemas.microsoft.com/office/drawing/2014/main" id="{66F4F11C-D836-4AF6-ACE0-3D0566A892F0}"/>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14</xdr:col>
      <xdr:colOff>2286000</xdr:colOff>
      <xdr:row>1</xdr:row>
      <xdr:rowOff>50800</xdr:rowOff>
    </xdr:from>
    <xdr:ext cx="1440000" cy="360000"/>
    <xdr:sp macro="[0]!ShowNavigationScreen" textlink="">
      <xdr:nvSpPr>
        <xdr:cNvPr id="8" name="btnOtherCalculators">
          <a:extLst>
            <a:ext uri="{FF2B5EF4-FFF2-40B4-BE49-F238E27FC236}">
              <a16:creationId xmlns:a16="http://schemas.microsoft.com/office/drawing/2014/main" id="{D9E164D8-383A-4EDB-B6A0-AF84B3F0E47E}"/>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21.xml><?xml version="1.0" encoding="utf-8"?>
<xdr:wsDr xmlns:xdr="http://schemas.openxmlformats.org/drawingml/2006/spreadsheetDrawing" xmlns:a="http://schemas.openxmlformats.org/drawingml/2006/main">
  <xdr:twoCellAnchor>
    <xdr:from>
      <xdr:col>6</xdr:col>
      <xdr:colOff>247649</xdr:colOff>
      <xdr:row>1</xdr:row>
      <xdr:rowOff>50800</xdr:rowOff>
    </xdr:from>
    <xdr:to>
      <xdr:col>7</xdr:col>
      <xdr:colOff>354149</xdr:colOff>
      <xdr:row>3</xdr:row>
      <xdr:rowOff>29800</xdr:rowOff>
    </xdr:to>
    <xdr:sp macro="[0]!ExportWorksheetToPDF" textlink="">
      <xdr:nvSpPr>
        <xdr:cNvPr id="9" name="btnCreatePDF">
          <a:extLst>
            <a:ext uri="{FF2B5EF4-FFF2-40B4-BE49-F238E27FC236}">
              <a16:creationId xmlns:a16="http://schemas.microsoft.com/office/drawing/2014/main" id="{66316731-7FBC-45B7-8BCA-4DC0C46343B3}"/>
            </a:ext>
          </a:extLst>
        </xdr:cNvPr>
        <xdr:cNvSpPr/>
      </xdr:nvSpPr>
      <xdr:spPr>
        <a:xfrm>
          <a:off x="7696199" y="241300"/>
          <a:ext cx="1630500" cy="360000"/>
        </a:xfrm>
        <a:prstGeom prst="flowChartAlternateProcess">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AU" sz="1200" b="0">
              <a:solidFill>
                <a:schemeClr val="bg1"/>
              </a:solidFill>
              <a:latin typeface="Arial" panose="020B0604020202020204" pitchFamily="34" charset="0"/>
              <a:ea typeface="+mn-ea"/>
              <a:cs typeface="Arial" panose="020B0604020202020204" pitchFamily="34" charset="0"/>
            </a:rPr>
            <a:t>Create PDF</a:t>
          </a:r>
        </a:p>
      </xdr:txBody>
    </xdr:sp>
    <xdr:clientData fPrintsWithSheet="0"/>
  </xdr:twoCellAnchor>
  <xdr:twoCellAnchor>
    <xdr:from>
      <xdr:col>7</xdr:col>
      <xdr:colOff>447675</xdr:colOff>
      <xdr:row>1</xdr:row>
      <xdr:rowOff>50800</xdr:rowOff>
    </xdr:from>
    <xdr:to>
      <xdr:col>10</xdr:col>
      <xdr:colOff>182700</xdr:colOff>
      <xdr:row>3</xdr:row>
      <xdr:rowOff>29800</xdr:rowOff>
    </xdr:to>
    <xdr:sp macro="[0]!ResetRepaymentPauseCalculator" textlink="">
      <xdr:nvSpPr>
        <xdr:cNvPr id="10" name="btnResetCalculator">
          <a:extLst>
            <a:ext uri="{FF2B5EF4-FFF2-40B4-BE49-F238E27FC236}">
              <a16:creationId xmlns:a16="http://schemas.microsoft.com/office/drawing/2014/main" id="{8ECC7F1B-2DF1-415D-8B58-408CE32C5B2B}"/>
            </a:ext>
          </a:extLst>
        </xdr:cNvPr>
        <xdr:cNvSpPr/>
      </xdr:nvSpPr>
      <xdr:spPr>
        <a:xfrm>
          <a:off x="9420225" y="241300"/>
          <a:ext cx="1563825" cy="360000"/>
        </a:xfrm>
        <a:prstGeom prst="flowChartAlternateProcess">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AU"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oneCellAnchor>
    <xdr:from>
      <xdr:col>1</xdr:col>
      <xdr:colOff>0</xdr:colOff>
      <xdr:row>1</xdr:row>
      <xdr:rowOff>65620</xdr:rowOff>
    </xdr:from>
    <xdr:ext cx="800658" cy="324905"/>
    <xdr:pic>
      <xdr:nvPicPr>
        <xdr:cNvPr id="11" name="imgLogoWBC">
          <a:extLst>
            <a:ext uri="{FF2B5EF4-FFF2-40B4-BE49-F238E27FC236}">
              <a16:creationId xmlns:a16="http://schemas.microsoft.com/office/drawing/2014/main" id="{D6C4607E-06D2-4B0D-87BA-3D1591131D3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90500" y="256120"/>
          <a:ext cx="800658" cy="324905"/>
        </a:xfrm>
        <a:prstGeom prst="rect">
          <a:avLst/>
        </a:prstGeom>
      </xdr:spPr>
    </xdr:pic>
    <xdr:clientData/>
  </xdr:oneCellAnchor>
  <xdr:oneCellAnchor>
    <xdr:from>
      <xdr:col>10</xdr:col>
      <xdr:colOff>276225</xdr:colOff>
      <xdr:row>1</xdr:row>
      <xdr:rowOff>50800</xdr:rowOff>
    </xdr:from>
    <xdr:ext cx="1440000" cy="360000"/>
    <xdr:sp macro="[0]!ShowNavigationScreen" textlink="">
      <xdr:nvSpPr>
        <xdr:cNvPr id="15" name="btnOtherCalculators">
          <a:extLst>
            <a:ext uri="{FF2B5EF4-FFF2-40B4-BE49-F238E27FC236}">
              <a16:creationId xmlns:a16="http://schemas.microsoft.com/office/drawing/2014/main" id="{2597492C-9D59-42AC-8C03-EA0020C46D10}"/>
            </a:ext>
          </a:extLst>
        </xdr:cNvPr>
        <xdr:cNvSpPr/>
      </xdr:nvSpPr>
      <xdr:spPr>
        <a:xfrm>
          <a:off x="11077575"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22.xml><?xml version="1.0" encoding="utf-8"?>
<xdr:wsDr xmlns:xdr="http://schemas.openxmlformats.org/drawingml/2006/spreadsheetDrawing" xmlns:a="http://schemas.openxmlformats.org/drawingml/2006/main">
  <xdr:twoCellAnchor editAs="oneCell">
    <xdr:from>
      <xdr:col>1</xdr:col>
      <xdr:colOff>51293</xdr:colOff>
      <xdr:row>1</xdr:row>
      <xdr:rowOff>65620</xdr:rowOff>
    </xdr:from>
    <xdr:to>
      <xdr:col>2</xdr:col>
      <xdr:colOff>385226</xdr:colOff>
      <xdr:row>3</xdr:row>
      <xdr:rowOff>9525</xdr:rowOff>
    </xdr:to>
    <xdr:pic>
      <xdr:nvPicPr>
        <xdr:cNvPr id="3" name="imgLogoWBC">
          <a:extLst>
            <a:ext uri="{FF2B5EF4-FFF2-40B4-BE49-F238E27FC236}">
              <a16:creationId xmlns:a16="http://schemas.microsoft.com/office/drawing/2014/main" id="{8056A39D-77BD-4A97-923F-7699E613A65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11</xdr:col>
      <xdr:colOff>238125</xdr:colOff>
      <xdr:row>1</xdr:row>
      <xdr:rowOff>60325</xdr:rowOff>
    </xdr:from>
    <xdr:ext cx="1440000" cy="360000"/>
    <xdr:sp macro="[0]!ExportWorksheetToPDF" textlink="">
      <xdr:nvSpPr>
        <xdr:cNvPr id="7" name="btnCreatePDF">
          <a:extLst>
            <a:ext uri="{FF2B5EF4-FFF2-40B4-BE49-F238E27FC236}">
              <a16:creationId xmlns:a16="http://schemas.microsoft.com/office/drawing/2014/main" id="{B0AE9DDC-4899-4AFF-B72D-EF663F404FC0}"/>
            </a:ext>
          </a:extLst>
        </xdr:cNvPr>
        <xdr:cNvSpPr/>
      </xdr:nvSpPr>
      <xdr:spPr>
        <a:xfrm>
          <a:off x="7667625" y="250825"/>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13</xdr:col>
      <xdr:colOff>323850</xdr:colOff>
      <xdr:row>1</xdr:row>
      <xdr:rowOff>60325</xdr:rowOff>
    </xdr:from>
    <xdr:ext cx="1440000" cy="360000"/>
    <xdr:sp macro="[0]!ShowServiceabilityCalculator" textlink="">
      <xdr:nvSpPr>
        <xdr:cNvPr id="8" name="btnOtherCalculators">
          <a:extLst>
            <a:ext uri="{FF2B5EF4-FFF2-40B4-BE49-F238E27FC236}">
              <a16:creationId xmlns:a16="http://schemas.microsoft.com/office/drawing/2014/main" id="{7C40CE5B-B24D-4A25-90A8-148B75EAC776}"/>
            </a:ext>
          </a:extLst>
        </xdr:cNvPr>
        <xdr:cNvSpPr/>
      </xdr:nvSpPr>
      <xdr:spPr>
        <a:xfrm>
          <a:off x="9220200" y="25082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Close</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23.xml><?xml version="1.0" encoding="utf-8"?>
<xdr:wsDr xmlns:xdr="http://schemas.openxmlformats.org/drawingml/2006/spreadsheetDrawing" xmlns:a="http://schemas.openxmlformats.org/drawingml/2006/main">
  <xdr:oneCellAnchor>
    <xdr:from>
      <xdr:col>1</xdr:col>
      <xdr:colOff>0</xdr:colOff>
      <xdr:row>18</xdr:row>
      <xdr:rowOff>9525</xdr:rowOff>
    </xdr:from>
    <xdr:ext cx="540000" cy="540000"/>
    <xdr:pic>
      <xdr:nvPicPr>
        <xdr:cNvPr id="12" name="imgNAV12WBC">
          <a:extLst>
            <a:ext uri="{FF2B5EF4-FFF2-40B4-BE49-F238E27FC236}">
              <a16:creationId xmlns:a16="http://schemas.microsoft.com/office/drawing/2014/main" id="{1338F94B-1C6B-43B1-A46F-185B856F9E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85750" y="6353175"/>
          <a:ext cx="540000" cy="540000"/>
        </a:xfrm>
        <a:prstGeom prst="rect">
          <a:avLst/>
        </a:prstGeom>
      </xdr:spPr>
    </xdr:pic>
    <xdr:clientData/>
  </xdr:oneCellAnchor>
  <xdr:twoCellAnchor editAs="oneCell">
    <xdr:from>
      <xdr:col>1</xdr:col>
      <xdr:colOff>0</xdr:colOff>
      <xdr:row>11</xdr:row>
      <xdr:rowOff>19050</xdr:rowOff>
    </xdr:from>
    <xdr:to>
      <xdr:col>1</xdr:col>
      <xdr:colOff>540000</xdr:colOff>
      <xdr:row>12</xdr:row>
      <xdr:rowOff>6600</xdr:rowOff>
    </xdr:to>
    <xdr:pic>
      <xdr:nvPicPr>
        <xdr:cNvPr id="40" name="imgNAV5WBC">
          <a:extLst>
            <a:ext uri="{FF2B5EF4-FFF2-40B4-BE49-F238E27FC236}">
              <a16:creationId xmlns:a16="http://schemas.microsoft.com/office/drawing/2014/main" id="{7325F195-E9B9-F903-D5E8-60F859A4F31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85750" y="3505200"/>
          <a:ext cx="540000" cy="540000"/>
        </a:xfrm>
        <a:prstGeom prst="rect">
          <a:avLst/>
        </a:prstGeom>
      </xdr:spPr>
    </xdr:pic>
    <xdr:clientData/>
  </xdr:twoCellAnchor>
  <xdr:twoCellAnchor editAs="oneCell">
    <xdr:from>
      <xdr:col>1</xdr:col>
      <xdr:colOff>0</xdr:colOff>
      <xdr:row>9</xdr:row>
      <xdr:rowOff>19050</xdr:rowOff>
    </xdr:from>
    <xdr:to>
      <xdr:col>1</xdr:col>
      <xdr:colOff>540000</xdr:colOff>
      <xdr:row>10</xdr:row>
      <xdr:rowOff>6600</xdr:rowOff>
    </xdr:to>
    <xdr:pic>
      <xdr:nvPicPr>
        <xdr:cNvPr id="36" name="imgNAV3WBC">
          <a:extLst>
            <a:ext uri="{FF2B5EF4-FFF2-40B4-BE49-F238E27FC236}">
              <a16:creationId xmlns:a16="http://schemas.microsoft.com/office/drawing/2014/main" id="{7B06111D-B9A6-4499-9E26-3F4511B48B4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85750" y="2400300"/>
          <a:ext cx="540000" cy="540000"/>
        </a:xfrm>
        <a:prstGeom prst="rect">
          <a:avLst/>
        </a:prstGeom>
      </xdr:spPr>
    </xdr:pic>
    <xdr:clientData/>
  </xdr:twoCellAnchor>
  <xdr:twoCellAnchor editAs="oneCell">
    <xdr:from>
      <xdr:col>1</xdr:col>
      <xdr:colOff>0</xdr:colOff>
      <xdr:row>10</xdr:row>
      <xdr:rowOff>19050</xdr:rowOff>
    </xdr:from>
    <xdr:to>
      <xdr:col>1</xdr:col>
      <xdr:colOff>540000</xdr:colOff>
      <xdr:row>11</xdr:row>
      <xdr:rowOff>6600</xdr:rowOff>
    </xdr:to>
    <xdr:pic>
      <xdr:nvPicPr>
        <xdr:cNvPr id="38" name="imgNAV4WBC">
          <a:extLst>
            <a:ext uri="{FF2B5EF4-FFF2-40B4-BE49-F238E27FC236}">
              <a16:creationId xmlns:a16="http://schemas.microsoft.com/office/drawing/2014/main" id="{E5F1EA4C-1BCA-8184-AE1F-5835C3E648B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285750" y="2952750"/>
          <a:ext cx="540000" cy="540000"/>
        </a:xfrm>
        <a:prstGeom prst="rect">
          <a:avLst/>
        </a:prstGeom>
      </xdr:spPr>
    </xdr:pic>
    <xdr:clientData/>
  </xdr:twoCellAnchor>
  <xdr:twoCellAnchor editAs="oneCell">
    <xdr:from>
      <xdr:col>1</xdr:col>
      <xdr:colOff>0</xdr:colOff>
      <xdr:row>13</xdr:row>
      <xdr:rowOff>19050</xdr:rowOff>
    </xdr:from>
    <xdr:to>
      <xdr:col>1</xdr:col>
      <xdr:colOff>540000</xdr:colOff>
      <xdr:row>14</xdr:row>
      <xdr:rowOff>0</xdr:rowOff>
    </xdr:to>
    <xdr:pic>
      <xdr:nvPicPr>
        <xdr:cNvPr id="42" name="imgNAV7WBC">
          <a:extLst>
            <a:ext uri="{FF2B5EF4-FFF2-40B4-BE49-F238E27FC236}">
              <a16:creationId xmlns:a16="http://schemas.microsoft.com/office/drawing/2014/main" id="{2AF2E3F1-D24F-51D3-2CF5-320A9F88F4A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285750" y="4057650"/>
          <a:ext cx="540000" cy="540000"/>
        </a:xfrm>
        <a:prstGeom prst="rect">
          <a:avLst/>
        </a:prstGeom>
      </xdr:spPr>
    </xdr:pic>
    <xdr:clientData/>
  </xdr:twoCellAnchor>
  <xdr:twoCellAnchor editAs="oneCell">
    <xdr:from>
      <xdr:col>1</xdr:col>
      <xdr:colOff>0</xdr:colOff>
      <xdr:row>15</xdr:row>
      <xdr:rowOff>9525</xdr:rowOff>
    </xdr:from>
    <xdr:to>
      <xdr:col>1</xdr:col>
      <xdr:colOff>540000</xdr:colOff>
      <xdr:row>15</xdr:row>
      <xdr:rowOff>549525</xdr:rowOff>
    </xdr:to>
    <xdr:pic>
      <xdr:nvPicPr>
        <xdr:cNvPr id="46" name="imgNAV9WBC">
          <a:extLst>
            <a:ext uri="{FF2B5EF4-FFF2-40B4-BE49-F238E27FC236}">
              <a16:creationId xmlns:a16="http://schemas.microsoft.com/office/drawing/2014/main" id="{C3E5096F-787B-2492-4F24-8373C4AD045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285750" y="5153025"/>
          <a:ext cx="540000" cy="540000"/>
        </a:xfrm>
        <a:prstGeom prst="rect">
          <a:avLst/>
        </a:prstGeom>
      </xdr:spPr>
    </xdr:pic>
    <xdr:clientData/>
  </xdr:twoCellAnchor>
  <xdr:twoCellAnchor editAs="oneCell">
    <xdr:from>
      <xdr:col>1</xdr:col>
      <xdr:colOff>0</xdr:colOff>
      <xdr:row>16</xdr:row>
      <xdr:rowOff>9525</xdr:rowOff>
    </xdr:from>
    <xdr:to>
      <xdr:col>1</xdr:col>
      <xdr:colOff>540000</xdr:colOff>
      <xdr:row>16</xdr:row>
      <xdr:rowOff>549525</xdr:rowOff>
    </xdr:to>
    <xdr:pic>
      <xdr:nvPicPr>
        <xdr:cNvPr id="48" name="imgNAV10WBC">
          <a:extLst>
            <a:ext uri="{FF2B5EF4-FFF2-40B4-BE49-F238E27FC236}">
              <a16:creationId xmlns:a16="http://schemas.microsoft.com/office/drawing/2014/main" id="{357DE1BF-7E00-2B82-813C-BD2DAB571FC1}"/>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285750" y="5705475"/>
          <a:ext cx="540000" cy="540000"/>
        </a:xfrm>
        <a:prstGeom prst="rect">
          <a:avLst/>
        </a:prstGeom>
      </xdr:spPr>
    </xdr:pic>
    <xdr:clientData/>
  </xdr:twoCellAnchor>
  <xdr:twoCellAnchor editAs="oneCell">
    <xdr:from>
      <xdr:col>1</xdr:col>
      <xdr:colOff>0</xdr:colOff>
      <xdr:row>8</xdr:row>
      <xdr:rowOff>19050</xdr:rowOff>
    </xdr:from>
    <xdr:to>
      <xdr:col>1</xdr:col>
      <xdr:colOff>540000</xdr:colOff>
      <xdr:row>9</xdr:row>
      <xdr:rowOff>6600</xdr:rowOff>
    </xdr:to>
    <xdr:pic>
      <xdr:nvPicPr>
        <xdr:cNvPr id="34" name="imgNAV2WBC">
          <a:extLst>
            <a:ext uri="{FF2B5EF4-FFF2-40B4-BE49-F238E27FC236}">
              <a16:creationId xmlns:a16="http://schemas.microsoft.com/office/drawing/2014/main" id="{1628F736-F3DA-3143-2B8F-D8C17A66AA7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285750" y="1847850"/>
          <a:ext cx="540000" cy="540000"/>
        </a:xfrm>
        <a:prstGeom prst="rect">
          <a:avLst/>
        </a:prstGeom>
      </xdr:spPr>
    </xdr:pic>
    <xdr:clientData/>
  </xdr:twoCellAnchor>
  <xdr:twoCellAnchor editAs="oneCell">
    <xdr:from>
      <xdr:col>1</xdr:col>
      <xdr:colOff>9525</xdr:colOff>
      <xdr:row>7</xdr:row>
      <xdr:rowOff>9525</xdr:rowOff>
    </xdr:from>
    <xdr:to>
      <xdr:col>1</xdr:col>
      <xdr:colOff>549525</xdr:colOff>
      <xdr:row>7</xdr:row>
      <xdr:rowOff>549525</xdr:rowOff>
    </xdr:to>
    <xdr:pic>
      <xdr:nvPicPr>
        <xdr:cNvPr id="32" name="imgNAV1WBC">
          <a:extLst>
            <a:ext uri="{FF2B5EF4-FFF2-40B4-BE49-F238E27FC236}">
              <a16:creationId xmlns:a16="http://schemas.microsoft.com/office/drawing/2014/main" id="{C6789B98-44EB-2694-99FA-6A1C3CE61C7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295275" y="1285875"/>
          <a:ext cx="540000" cy="540000"/>
        </a:xfrm>
        <a:prstGeom prst="rect">
          <a:avLst/>
        </a:prstGeom>
      </xdr:spPr>
    </xdr:pic>
    <xdr:clientData/>
  </xdr:twoCellAnchor>
  <xdr:oneCellAnchor>
    <xdr:from>
      <xdr:col>3</xdr:col>
      <xdr:colOff>1828800</xdr:colOff>
      <xdr:row>1</xdr:row>
      <xdr:rowOff>114300</xdr:rowOff>
    </xdr:from>
    <xdr:ext cx="1440000" cy="360000"/>
    <xdr:sp macro="[0]!SaveToolkitFile" textlink="">
      <xdr:nvSpPr>
        <xdr:cNvPr id="62" name="btnSaveToolkit">
          <a:extLst>
            <a:ext uri="{FF2B5EF4-FFF2-40B4-BE49-F238E27FC236}">
              <a16:creationId xmlns:a16="http://schemas.microsoft.com/office/drawing/2014/main" id="{5F1C36AE-0EBC-45DF-B028-1C594E134584}"/>
            </a:ext>
          </a:extLst>
        </xdr:cNvPr>
        <xdr:cNvSpPr/>
      </xdr:nvSpPr>
      <xdr:spPr>
        <a:xfrm>
          <a:off x="3514725" y="304800"/>
          <a:ext cx="1440000" cy="360000"/>
        </a:xfrm>
        <a:prstGeom prst="roundRect">
          <a:avLst>
            <a:gd name="adj" fmla="val 16667"/>
          </a:avLst>
        </a:prstGeom>
        <a:solidFill>
          <a:schemeClr val="accent2"/>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Save</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xdr:from>
      <xdr:col>0</xdr:col>
      <xdr:colOff>0</xdr:colOff>
      <xdr:row>8</xdr:row>
      <xdr:rowOff>1191</xdr:rowOff>
    </xdr:from>
    <xdr:to>
      <xdr:col>5</xdr:col>
      <xdr:colOff>0</xdr:colOff>
      <xdr:row>8</xdr:row>
      <xdr:rowOff>541191</xdr:rowOff>
    </xdr:to>
    <xdr:sp macro="[0]!ShowEmployerIncomeCalculator" textlink="">
      <xdr:nvSpPr>
        <xdr:cNvPr id="50" name="btnNav2">
          <a:extLst>
            <a:ext uri="{FF2B5EF4-FFF2-40B4-BE49-F238E27FC236}">
              <a16:creationId xmlns:a16="http://schemas.microsoft.com/office/drawing/2014/main" id="{7AB2E540-1F76-4CD0-A7B7-3BA68EAEE06C}"/>
            </a:ext>
          </a:extLst>
        </xdr:cNvPr>
        <xdr:cNvSpPr>
          <a:spLocks noChangeAspect="1"/>
        </xdr:cNvSpPr>
      </xdr:nvSpPr>
      <xdr:spPr>
        <a:xfrm>
          <a:off x="0" y="1829991"/>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7</xdr:row>
      <xdr:rowOff>0</xdr:rowOff>
    </xdr:from>
    <xdr:to>
      <xdr:col>5</xdr:col>
      <xdr:colOff>0</xdr:colOff>
      <xdr:row>7</xdr:row>
      <xdr:rowOff>540000</xdr:rowOff>
    </xdr:to>
    <xdr:sp macro="[0]!ShowServiceabilityCalculator" textlink="">
      <xdr:nvSpPr>
        <xdr:cNvPr id="49" name="btnNav1">
          <a:extLst>
            <a:ext uri="{FF2B5EF4-FFF2-40B4-BE49-F238E27FC236}">
              <a16:creationId xmlns:a16="http://schemas.microsoft.com/office/drawing/2014/main" id="{0627D5B5-8805-8E3F-D0F3-5B6427EE7AFC}"/>
            </a:ext>
          </a:extLst>
        </xdr:cNvPr>
        <xdr:cNvSpPr>
          <a:spLocks noChangeAspect="1"/>
        </xdr:cNvSpPr>
      </xdr:nvSpPr>
      <xdr:spPr>
        <a:xfrm>
          <a:off x="0" y="1276350"/>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9</xdr:row>
      <xdr:rowOff>2382</xdr:rowOff>
    </xdr:from>
    <xdr:to>
      <xdr:col>5</xdr:col>
      <xdr:colOff>0</xdr:colOff>
      <xdr:row>9</xdr:row>
      <xdr:rowOff>542382</xdr:rowOff>
    </xdr:to>
    <xdr:sp macro="[0]!ShowRemainingTermCalculator" textlink="">
      <xdr:nvSpPr>
        <xdr:cNvPr id="51" name="btnNav3">
          <a:extLst>
            <a:ext uri="{FF2B5EF4-FFF2-40B4-BE49-F238E27FC236}">
              <a16:creationId xmlns:a16="http://schemas.microsoft.com/office/drawing/2014/main" id="{D19CB2D3-C7E6-45CB-BA94-0A7E0C59D39A}"/>
            </a:ext>
          </a:extLst>
        </xdr:cNvPr>
        <xdr:cNvSpPr>
          <a:spLocks noChangeAspect="1"/>
        </xdr:cNvSpPr>
      </xdr:nvSpPr>
      <xdr:spPr>
        <a:xfrm>
          <a:off x="0" y="2383632"/>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10</xdr:row>
      <xdr:rowOff>3573</xdr:rowOff>
    </xdr:from>
    <xdr:to>
      <xdr:col>5</xdr:col>
      <xdr:colOff>0</xdr:colOff>
      <xdr:row>10</xdr:row>
      <xdr:rowOff>543573</xdr:rowOff>
    </xdr:to>
    <xdr:sp macro="[0]!ShowBridgingLoanCalculator" textlink="">
      <xdr:nvSpPr>
        <xdr:cNvPr id="52" name="btnNav4">
          <a:extLst>
            <a:ext uri="{FF2B5EF4-FFF2-40B4-BE49-F238E27FC236}">
              <a16:creationId xmlns:a16="http://schemas.microsoft.com/office/drawing/2014/main" id="{989F315A-2CFD-4A61-A334-14FA8A8B13C8}"/>
            </a:ext>
          </a:extLst>
        </xdr:cNvPr>
        <xdr:cNvSpPr>
          <a:spLocks noChangeAspect="1"/>
        </xdr:cNvSpPr>
      </xdr:nvSpPr>
      <xdr:spPr>
        <a:xfrm>
          <a:off x="0" y="2937273"/>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11</xdr:row>
      <xdr:rowOff>4764</xdr:rowOff>
    </xdr:from>
    <xdr:to>
      <xdr:col>5</xdr:col>
      <xdr:colOff>0</xdr:colOff>
      <xdr:row>11</xdr:row>
      <xdr:rowOff>544764</xdr:rowOff>
    </xdr:to>
    <xdr:sp macro="[0]!ShowFamilyGuaranteeCalculator" textlink="">
      <xdr:nvSpPr>
        <xdr:cNvPr id="53" name="btnNav5">
          <a:extLst>
            <a:ext uri="{FF2B5EF4-FFF2-40B4-BE49-F238E27FC236}">
              <a16:creationId xmlns:a16="http://schemas.microsoft.com/office/drawing/2014/main" id="{86906092-6230-4371-A1BB-BD36C06657F0}"/>
            </a:ext>
          </a:extLst>
        </xdr:cNvPr>
        <xdr:cNvSpPr>
          <a:spLocks noChangeAspect="1"/>
        </xdr:cNvSpPr>
      </xdr:nvSpPr>
      <xdr:spPr>
        <a:xfrm>
          <a:off x="0" y="3490914"/>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5955</xdr:rowOff>
    </xdr:from>
    <xdr:to>
      <xdr:col>5</xdr:col>
      <xdr:colOff>0</xdr:colOff>
      <xdr:row>13</xdr:row>
      <xdr:rowOff>545955</xdr:rowOff>
    </xdr:to>
    <xdr:sp macro="[0]!Show2ndRealMortgageCalculator" textlink="">
      <xdr:nvSpPr>
        <xdr:cNvPr id="54" name="btnNav7">
          <a:extLst>
            <a:ext uri="{FF2B5EF4-FFF2-40B4-BE49-F238E27FC236}">
              <a16:creationId xmlns:a16="http://schemas.microsoft.com/office/drawing/2014/main" id="{3785F288-CBCC-4D56-AE3E-249FC12C19C0}"/>
            </a:ext>
          </a:extLst>
        </xdr:cNvPr>
        <xdr:cNvSpPr>
          <a:spLocks noChangeAspect="1"/>
        </xdr:cNvSpPr>
      </xdr:nvSpPr>
      <xdr:spPr>
        <a:xfrm>
          <a:off x="0" y="4044555"/>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15</xdr:row>
      <xdr:rowOff>8337</xdr:rowOff>
    </xdr:from>
    <xdr:to>
      <xdr:col>5</xdr:col>
      <xdr:colOff>0</xdr:colOff>
      <xdr:row>15</xdr:row>
      <xdr:rowOff>548337</xdr:rowOff>
    </xdr:to>
    <xdr:sp macro="[0]!ShowForeignCurrencyCalculator" textlink="">
      <xdr:nvSpPr>
        <xdr:cNvPr id="57" name="btnNav9">
          <a:extLst>
            <a:ext uri="{FF2B5EF4-FFF2-40B4-BE49-F238E27FC236}">
              <a16:creationId xmlns:a16="http://schemas.microsoft.com/office/drawing/2014/main" id="{756D13FE-60CC-40D0-960C-DD1A912E0929}"/>
            </a:ext>
          </a:extLst>
        </xdr:cNvPr>
        <xdr:cNvSpPr>
          <a:spLocks noChangeAspect="1"/>
        </xdr:cNvSpPr>
      </xdr:nvSpPr>
      <xdr:spPr>
        <a:xfrm>
          <a:off x="0" y="5151837"/>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9525</xdr:rowOff>
    </xdr:from>
    <xdr:to>
      <xdr:col>5</xdr:col>
      <xdr:colOff>0</xdr:colOff>
      <xdr:row>16</xdr:row>
      <xdr:rowOff>549525</xdr:rowOff>
    </xdr:to>
    <xdr:sp macro="[0]!ShowSimpleLVRCalculator" textlink="">
      <xdr:nvSpPr>
        <xdr:cNvPr id="56" name="btnNav10">
          <a:extLst>
            <a:ext uri="{FF2B5EF4-FFF2-40B4-BE49-F238E27FC236}">
              <a16:creationId xmlns:a16="http://schemas.microsoft.com/office/drawing/2014/main" id="{8328E2E7-0A87-4B7E-913E-D49B5AEF6C3A}"/>
            </a:ext>
          </a:extLst>
        </xdr:cNvPr>
        <xdr:cNvSpPr>
          <a:spLocks noChangeAspect="1"/>
        </xdr:cNvSpPr>
      </xdr:nvSpPr>
      <xdr:spPr>
        <a:xfrm>
          <a:off x="0" y="5705475"/>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18</xdr:row>
      <xdr:rowOff>9525</xdr:rowOff>
    </xdr:from>
    <xdr:to>
      <xdr:col>5</xdr:col>
      <xdr:colOff>0</xdr:colOff>
      <xdr:row>18</xdr:row>
      <xdr:rowOff>549525</xdr:rowOff>
    </xdr:to>
    <xdr:sp macro="[0]!ShowPublicCalculators" textlink="">
      <xdr:nvSpPr>
        <xdr:cNvPr id="14" name="btnNav12">
          <a:extLst>
            <a:ext uri="{FF2B5EF4-FFF2-40B4-BE49-F238E27FC236}">
              <a16:creationId xmlns:a16="http://schemas.microsoft.com/office/drawing/2014/main" id="{C1D91904-9CB7-4F91-A007-7004FC3493C7}"/>
            </a:ext>
          </a:extLst>
        </xdr:cNvPr>
        <xdr:cNvSpPr>
          <a:spLocks noChangeAspect="1"/>
        </xdr:cNvSpPr>
      </xdr:nvSpPr>
      <xdr:spPr>
        <a:xfrm>
          <a:off x="0" y="5800725"/>
          <a:ext cx="4953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0</xdr:col>
      <xdr:colOff>219075</xdr:colOff>
      <xdr:row>1</xdr:row>
      <xdr:rowOff>84670</xdr:rowOff>
    </xdr:from>
    <xdr:to>
      <xdr:col>2</xdr:col>
      <xdr:colOff>19608</xdr:colOff>
      <xdr:row>3</xdr:row>
      <xdr:rowOff>28575</xdr:rowOff>
    </xdr:to>
    <xdr:pic>
      <xdr:nvPicPr>
        <xdr:cNvPr id="16" name="imgLogoWBC">
          <a:extLst>
            <a:ext uri="{FF2B5EF4-FFF2-40B4-BE49-F238E27FC236}">
              <a16:creationId xmlns:a16="http://schemas.microsoft.com/office/drawing/2014/main" id="{E1CC1C9B-43EB-4813-8F5D-940A56C561C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219075" y="275170"/>
          <a:ext cx="800658" cy="324905"/>
        </a:xfrm>
        <a:prstGeom prst="rect">
          <a:avLst/>
        </a:prstGeom>
      </xdr:spPr>
    </xdr:pic>
    <xdr:clientData/>
  </xdr:twoCellAnchor>
  <xdr:oneCellAnchor>
    <xdr:from>
      <xdr:col>1</xdr:col>
      <xdr:colOff>0</xdr:colOff>
      <xdr:row>12</xdr:row>
      <xdr:rowOff>19050</xdr:rowOff>
    </xdr:from>
    <xdr:ext cx="540000" cy="540000"/>
    <xdr:pic>
      <xdr:nvPicPr>
        <xdr:cNvPr id="30" name="imgNAV6WBC">
          <a:extLst>
            <a:ext uri="{FF2B5EF4-FFF2-40B4-BE49-F238E27FC236}">
              <a16:creationId xmlns:a16="http://schemas.microsoft.com/office/drawing/2014/main" id="{A50B80BE-E80B-4DFD-B037-38A226AEDC8B}"/>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rcRect/>
        <a:stretch/>
      </xdr:blipFill>
      <xdr:spPr>
        <a:xfrm>
          <a:off x="285750" y="4152900"/>
          <a:ext cx="540000" cy="540000"/>
        </a:xfrm>
        <a:prstGeom prst="rect">
          <a:avLst/>
        </a:prstGeom>
      </xdr:spPr>
    </xdr:pic>
    <xdr:clientData/>
  </xdr:oneCellAnchor>
  <xdr:twoCellAnchor>
    <xdr:from>
      <xdr:col>0</xdr:col>
      <xdr:colOff>0</xdr:colOff>
      <xdr:row>12</xdr:row>
      <xdr:rowOff>5955</xdr:rowOff>
    </xdr:from>
    <xdr:to>
      <xdr:col>5</xdr:col>
      <xdr:colOff>0</xdr:colOff>
      <xdr:row>12</xdr:row>
      <xdr:rowOff>545955</xdr:rowOff>
    </xdr:to>
    <xdr:sp macro="[0]!ShowSharedEquityGuaranteeCalculator" textlink="">
      <xdr:nvSpPr>
        <xdr:cNvPr id="33" name="btnNav6">
          <a:extLst>
            <a:ext uri="{FF2B5EF4-FFF2-40B4-BE49-F238E27FC236}">
              <a16:creationId xmlns:a16="http://schemas.microsoft.com/office/drawing/2014/main" id="{F1FB3432-9578-44DF-A723-C12E87B145BB}"/>
            </a:ext>
          </a:extLst>
        </xdr:cNvPr>
        <xdr:cNvSpPr>
          <a:spLocks noChangeAspect="1"/>
        </xdr:cNvSpPr>
      </xdr:nvSpPr>
      <xdr:spPr>
        <a:xfrm>
          <a:off x="0" y="4692255"/>
          <a:ext cx="4953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FBE880A-AB2E-4306-8C90-F2F672A8E278}" name="ApplicantList" displayName="ApplicantList" ref="B3:E9" totalsRowShown="0" headerRowDxfId="1649" dataDxfId="1648">
  <autoFilter ref="B3:E9" xr:uid="{9D0F691B-5915-4D23-94C8-485CF2D5815D}">
    <filterColumn colId="0" hiddenButton="1"/>
    <filterColumn colId="1" hiddenButton="1"/>
    <filterColumn colId="2" hiddenButton="1"/>
    <filterColumn colId="3" hiddenButton="1"/>
  </autoFilter>
  <tableColumns count="4">
    <tableColumn id="1" xr3:uid="{E9706464-199D-4326-8B51-0F0C079B821D}" name="Applicant Name" dataDxfId="1647">
      <calculatedColumnFormula array="1">IF(INDIRECT("ASSESS_App" &amp; ApplicantList[[#This Row],[Applicant Number]] &amp; "Name")="","",INDIRECT("ASSESS_App" &amp; ApplicantList[[#This Row],[Applicant Number]] &amp; "Name"))</calculatedColumnFormula>
    </tableColumn>
    <tableColumn id="2" xr3:uid="{ABE3E614-D8B1-4C65-AFED-CEFA53F817B0}" name="Applicant Number" dataDxfId="1646"/>
    <tableColumn id="3" xr3:uid="{3C17EA05-467B-416E-A341-A623DF9AEA8A}" name="Applicant Spouse" dataDxfId="1645">
      <calculatedColumnFormula array="1">IF(INDIRECT("ASSESS_App" &amp; ApplicantList[[#This Row],[Applicant Number]] &amp; "Spouse")="","",INDIRECT("ASSESS_App" &amp; ApplicantList[[#This Row],[Applicant Number]] &amp; "Spouse"))</calculatedColumnFormula>
    </tableColumn>
    <tableColumn id="4" xr3:uid="{F738B862-5A87-4C8D-A962-BE4D1782C2B5}" name="ResidingWithSpouse" dataDxfId="1644">
      <calculatedColumnFormula array="1">IF(INDIRECT("SCAApp" &amp; ApplicantList[[#This Row],[Applicant Number]] &amp; "Spouse")="","",INDIRECT("SCAApp" &amp; ApplicantList[[#This Row],[Applicant Number]] &amp; "SameHousehold"))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D91619C-F4DA-4548-A667-CB7435EF07EF}" name="Applicant1SpouseList" displayName="Applicant1SpouseList" ref="G3:G9" totalsRowShown="0" dataDxfId="1643" dataCellStyle="Normal 2">
  <autoFilter ref="G3:G9" xr:uid="{92260A25-FB5E-4706-88D8-3C5957DA0CED}">
    <filterColumn colId="0" hiddenButton="1"/>
  </autoFilter>
  <tableColumns count="1">
    <tableColumn id="1" xr3:uid="{9F2434CE-C8AB-47A0-81CA-4035811265BC}" name="Spouse" dataDxfId="1642" dataCellStyle="Normal 2">
      <calculatedColumnFormula array="1">IFERROR(INDEX(G$12:G$18,_xlfn.AGGREGATE(15,6,ROW(G$12:G$18)-ROW(G$12)+1/(G$12:G$18&lt;&gt;""),ROWS(G$4:G4))),"")</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6D3FBA6-9A1A-4F52-AB84-4508823114F6}" name="Applicant2SpouseList" displayName="Applicant2SpouseList" ref="I3:I9" totalsRowShown="0" dataDxfId="1641" dataCellStyle="Normal 2">
  <autoFilter ref="I3:I9" xr:uid="{D2EBAC14-9857-42AE-8F6D-01C00AB30349}">
    <filterColumn colId="0" hiddenButton="1"/>
  </autoFilter>
  <tableColumns count="1">
    <tableColumn id="1" xr3:uid="{6E39C9FA-0B5C-4B77-A2DD-C708A5D3F63C}" name="Spouse" dataDxfId="1640" dataCellStyle="Normal 2">
      <calculatedColumnFormula array="1">IFERROR(INDEX(I$12:I$18,_xlfn.AGGREGATE(15,6,ROW(I$12:I$18)-ROW(I$12)+1/(I$12:I$18&lt;&gt;""),ROWS(I$4:I4))),"")</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6B90425-D881-4F47-820B-3584DFA13355}" name="Applicant3SpouseList" displayName="Applicant3SpouseList" ref="K3:K9" totalsRowShown="0" dataDxfId="1639" dataCellStyle="Normal 2">
  <autoFilter ref="K3:K9" xr:uid="{594E05EB-F326-45D9-A763-AB46A3FAF1C1}">
    <filterColumn colId="0" hiddenButton="1"/>
  </autoFilter>
  <tableColumns count="1">
    <tableColumn id="1" xr3:uid="{6799734C-39D8-4E15-B5DB-351BD09FBB67}" name="Spouse" dataDxfId="1638" dataCellStyle="Normal 2">
      <calculatedColumnFormula array="1">IFERROR(INDEX(K$12:K$18,_xlfn.AGGREGATE(15,6,ROW(K$12:K$18)-ROW(K$12)+1/(K$12:K$18&lt;&gt;""),ROWS(K$4:K4))),"")</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A313388-07CD-4D91-9ECA-480BDC84719A}" name="Applicant4SpouseList" displayName="Applicant4SpouseList" ref="M3:M9" totalsRowShown="0" dataDxfId="1637" dataCellStyle="Normal 2">
  <autoFilter ref="M3:M9" xr:uid="{F16003C8-CA6F-47B9-9333-996846FACFB5}">
    <filterColumn colId="0" hiddenButton="1"/>
  </autoFilter>
  <tableColumns count="1">
    <tableColumn id="1" xr3:uid="{32D153A7-2BDE-4459-B1E0-9504F8FD67D9}" name="Spouse" dataDxfId="1636" dataCellStyle="Normal 2">
      <calculatedColumnFormula array="1">IFERROR(INDEX(M$12:M$18,_xlfn.AGGREGATE(15,6,ROW(M$12:M$18)-ROW(M$12)+1/(M$12:M$18&lt;&gt;""),ROWS(M$4:M4))),"")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AF562BB-8E40-4BC2-B3E1-35734266EDCD}" name="Applicant5SpouseList" displayName="Applicant5SpouseList" ref="O3:O9" totalsRowShown="0" dataDxfId="1635" dataCellStyle="Normal 2">
  <autoFilter ref="O3:O9" xr:uid="{741B6B97-7912-42F0-9144-AC1DE74FEDD4}">
    <filterColumn colId="0" hiddenButton="1"/>
  </autoFilter>
  <tableColumns count="1">
    <tableColumn id="1" xr3:uid="{7C4F96BC-6E1A-4616-9D69-DD7BE2AC6081}" name="Spouse" dataDxfId="1634" dataCellStyle="Normal 2">
      <calculatedColumnFormula array="1">IFERROR(INDEX(O$12:O$18,_xlfn.AGGREGATE(15,6,ROW(O$12:O$18)-ROW(O$12)+1/(O$12:O$18&lt;&gt;""),ROWS(O$4:O4))),"")</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909552A-15E7-47B9-BAB9-D53A25BFEE2F}" name="Applicant6SpouseList" displayName="Applicant6SpouseList" ref="Q3:Q9" totalsRowShown="0" dataDxfId="1633" dataCellStyle="Normal 2">
  <autoFilter ref="Q3:Q9" xr:uid="{6AE81AAC-7F8E-4986-A776-8845705650B2}">
    <filterColumn colId="0" hiddenButton="1"/>
  </autoFilter>
  <tableColumns count="1">
    <tableColumn id="1" xr3:uid="{807C95B4-D857-4DDE-9201-36DF1476725C}" name="Spouse" dataDxfId="1632" dataCellStyle="Normal 2">
      <calculatedColumnFormula array="1">IFERROR(INDEX(Q$12:Q$18,_xlfn.AGGREGATE(15,6,ROW(Q$12:Q$18)-ROW(Q$12)+1/(Q$12:Q$18&lt;&gt;""),ROWS(Q$4:Q4))),"")</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A23F58A3-A8D0-460F-BD17-BA7971CAF177}" name="BorrowerCountList1" displayName="BorrowerCountList1" ref="G24:G25" totalsRowShown="0" dataDxfId="1631">
  <autoFilter ref="G24:G25" xr:uid="{A23F58A3-A8D0-460F-BD17-BA7971CAF177}"/>
  <tableColumns count="1">
    <tableColumn id="1" xr3:uid="{D1ACF344-F74E-432B-AEDA-6822800979A9}" name="BorrowerCount" dataDxfId="163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404C77F-63C3-45FD-B338-35C3D1CC1886}" name="BorrowerCountList2" displayName="BorrowerCountList2" ref="I24:I26" totalsRowShown="0" dataDxfId="1629">
  <autoFilter ref="I24:I26" xr:uid="{A404C77F-63C3-45FD-B338-35C3D1CC1886}"/>
  <tableColumns count="1">
    <tableColumn id="1" xr3:uid="{19D2DEB3-5650-4E6E-870F-97BF45A634EA}" name="BorrowerCount" dataDxfId="162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BC88797-48AF-48F6-822A-5D58F95CEE7C}" name="BorrowerCountList3" displayName="BorrowerCountList3" ref="K24:K27" totalsRowShown="0" dataDxfId="1627">
  <autoFilter ref="K24:K27" xr:uid="{0BC88797-48AF-48F6-822A-5D58F95CEE7C}"/>
  <tableColumns count="1">
    <tableColumn id="1" xr3:uid="{CEA79F26-36CF-4291-A137-DFBAC462C27B}" name="BorrowerCount" dataDxfId="16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B432645-30DA-46D9-9FB9-4CF8676037F7}" name="BorrowerCountList4" displayName="BorrowerCountList4" ref="M24:M28" totalsRowShown="0" dataDxfId="1625">
  <autoFilter ref="M24:M28" xr:uid="{6B432645-30DA-46D9-9FB9-4CF8676037F7}"/>
  <tableColumns count="1">
    <tableColumn id="1" xr3:uid="{516CB5E3-310D-4D4E-AB68-CB0289253B89}" name="BorrowerCount" dataDxfId="162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DEEF07B3-4D20-48BD-A777-0232B0DD320C}" name="BorrowerCountList5" displayName="BorrowerCountList5" ref="O24:O29" totalsRowShown="0" dataDxfId="1623">
  <autoFilter ref="O24:O29" xr:uid="{DEEF07B3-4D20-48BD-A777-0232B0DD320C}"/>
  <tableColumns count="1">
    <tableColumn id="1" xr3:uid="{C3BF6E09-2B31-47F7-A995-3183F769536E}" name="BorrowerCount" dataDxfId="162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CC1D50A-362E-4A4B-B1E8-0B64F1B1E56E}" name="BorrowerCountList6" displayName="BorrowerCountList6" ref="Q24:Q30" totalsRowShown="0" dataDxfId="1621">
  <autoFilter ref="Q24:Q30" xr:uid="{0CC1D50A-362E-4A4B-B1E8-0B64F1B1E56E}"/>
  <tableColumns count="1">
    <tableColumn id="1" xr3:uid="{DD11FC8C-3AA3-4CF6-83A2-88A1632A757F}" name="BorrowerCount" dataDxfId="162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1E8B03C-D21B-40B5-8E83-B8B5454013E6}" name="APPAllApplicantList" displayName="APPAllApplicantList" ref="D34:E46" totalsRowShown="0" headerRowDxfId="1619" dataDxfId="1618" tableBorderDxfId="1617">
  <autoFilter ref="D34:E46" xr:uid="{F1E8B03C-D21B-40B5-8E83-B8B5454013E6}">
    <filterColumn colId="0" hiddenButton="1"/>
    <filterColumn colId="1" hiddenButton="1"/>
  </autoFilter>
  <tableColumns count="2">
    <tableColumn id="1" xr3:uid="{A96031AD-78CE-44E8-B94A-90CA27868984}" name="ApplicantName" dataDxfId="1616">
      <calculatedColumnFormula array="1">IFERROR(INDEX(B$35:B$46,_xlfn.AGGREGATE(15,6,ROW(B$35:B$46)-ROW(B$35)+1/(B$35:B$46&lt;&gt;""),ROWS(D$35:D35))),"")</calculatedColumnFormula>
    </tableColumn>
    <tableColumn id="2" xr3:uid="{A7C960AB-39C7-4B19-94E7-84D09CABBAE1}" name="ApplicantID" dataDxfId="1615">
      <calculatedColumnFormula>IFERROR(IF(APPAllApplicantList[[#This Row],[ApplicantName]]&lt;&gt;"",VLOOKUP(SUBSTITUTE(APPAllApplicantList[[#This Row],[ApplicantName]]," - non-applicant spouse",""),ApplicantList[],2,FALSE),""),RIGHT(SUBSTITUTE(APPAllApplicantList[[#This Row],[ApplicantName]]," - non-applicant spouse",""),1))</calculatedColumnFormula>
    </tableColumn>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FD9E0D4D-D7EA-4027-B7EE-5F6327D0D183}" name="APPAllApplicants" displayName="APPAllApplicants" ref="B34:B46" totalsRowShown="0" headerRowDxfId="1614" dataDxfId="1613" tableBorderDxfId="1612">
  <autoFilter ref="B34:B46" xr:uid="{FD9E0D4D-D7EA-4027-B7EE-5F6327D0D183}">
    <filterColumn colId="0" hiddenButton="1"/>
  </autoFilter>
  <tableColumns count="1">
    <tableColumn id="1" xr3:uid="{FCE144AA-FB28-4255-AF0E-3CBB50D5AA56}" name="AllApplicants" dataDxfId="1611"/>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B47B619-AD28-4124-9631-B708961F1E3A}" name="AICEmployerIncomeDataTable" displayName="AICEmployerIncomeDataTable" ref="A1:CP61" totalsRowShown="0" dataDxfId="1610">
  <autoFilter ref="A1:CP61" xr:uid="{50BD59CE-4735-471C-B949-138C24D5AF26}"/>
  <tableColumns count="94">
    <tableColumn id="45" xr3:uid="{F7E32806-78F0-4321-B04D-A29984A87806}" name="AICEmployerIncomeID" dataDxfId="1609"/>
    <tableColumn id="1" xr3:uid="{99DCFD5E-3DFA-4135-A09B-71314A326B11}" name="AICApplicantID" dataDxfId="1608"/>
    <tableColumn id="33" xr3:uid="{23D1CAD2-CC69-4911-93A6-46769D72C2BA}" name="AICSpouseIncomeFlag" dataDxfId="1607"/>
    <tableColumn id="3" xr3:uid="{1ECA6CA2-F7EC-48A0-A1D4-CEF9560D641D}" name="AICJobID" dataDxfId="1606"/>
    <tableColumn id="29" xr3:uid="{4B14E954-5B51-4D43-9866-DA0B2697D9BC}" name="HasDataFlag" dataDxfId="1605">
      <calculatedColumnFormula array="1">NOT(SUMPRODUCT(--(AICEmployerIncomeDataTable[[#This Row],[AICEmploymentBasis]:[AICEmployerName]]&lt;&gt;""))=0)</calculatedColumnFormula>
    </tableColumn>
    <tableColumn id="2" xr3:uid="{23AE844C-574E-4353-8DB4-23A0C99CB7DE}" name="AICEmploymentBasis" dataDxfId="1604"/>
    <tableColumn id="5" xr3:uid="{734446A6-84F9-4384-B289-4EE7AB10D361}" name="AICEmployerName" dataDxfId="1603"/>
    <tableColumn id="34" xr3:uid="{16AC1CF6-680D-4B88-AA1D-07A0FD027F8A}" name="AICForeignIncomeFlag" dataDxfId="1602"/>
    <tableColumn id="4" xr3:uid="{4823737A-9B07-41F8-99BC-286FD6649046}" name="AICPermanentIncomeVerificationType" dataDxfId="1601"/>
    <tableColumn id="79" xr3:uid="{7F156FED-CFA5-4D9A-A67D-B19EDA0E60FD}" name="AICPermanentBonusIncomeFlag" dataDxfId="1600"/>
    <tableColumn id="44" xr3:uid="{BEDA8424-09E5-4B0A-9E77-C8B96A242EA9}" name="AICPermanentNonBaseIncomeFlag" dataDxfId="1599"/>
    <tableColumn id="6" xr3:uid="{8D9E3838-70F0-458D-8758-885D8F63B19A}" name="AICPermanentYTDPayslipFlag" dataDxfId="1598"/>
    <tableColumn id="43" xr3:uid="{BA2ED5BB-640E-4BE6-B161-A8611F358535}" name="AICPermanentBaseIncomeIncreaseFlag" dataDxfId="1597"/>
    <tableColumn id="42" xr3:uid="{8E46462C-DE58-4980-80B8-182DD9FCBF44}" name="AICPermanentBaseIncomeIncreaseType" dataDxfId="1596"/>
    <tableColumn id="7" xr3:uid="{FF98E864-CFC8-495F-AE26-7427FE879719}" name="AICPermanentYTDPayCycle" dataDxfId="1595"/>
    <tableColumn id="8" xr3:uid="{E1DC8080-D675-44B0-A7E3-1C930FAC4EB2}" name="AICPermanentYTDStartPayDate" dataDxfId="1594"/>
    <tableColumn id="9" xr3:uid="{34F0287C-A802-4BA5-9506-D97D1F2EE380}" name="AICPermanentYTDEndPayDate" dataDxfId="1593"/>
    <tableColumn id="10" xr3:uid="{BBFB4467-BBA3-4D20-A947-151A4308BA87}" name="AICPermanentYTDBasePay" dataDxfId="1592"/>
    <tableColumn id="11" xr3:uid="{F91E6145-66C3-4E5E-A1C0-32C9BCB359F3}" name="AICPermanentYTDTotalPay" dataDxfId="1591"/>
    <tableColumn id="12" xr3:uid="{BB3361B8-35C3-4844-874D-5FC7957D20AC}" name="AICPermanentYTDTotalPayTaxStatus" dataDxfId="1590"/>
    <tableColumn id="13" xr3:uid="{D03B6AE4-6EAF-48AD-891A-53415F8340C5}" name="AICPermanentYTDStartPayDatePY" dataDxfId="1589"/>
    <tableColumn id="14" xr3:uid="{8D436343-74C9-4735-A2CE-C6B8FF7CAD70}" name="AICPermanentYTDEndPayDatePY" dataDxfId="1588"/>
    <tableColumn id="15" xr3:uid="{56D4173D-D98D-4414-B3A4-803FCBB4A49A}" name="AICPermanentYTDBasePayPY" dataDxfId="1587"/>
    <tableColumn id="16" xr3:uid="{6DF76F94-8211-410D-8718-00120D3E5FC8}" name="AICPermanentYTDTotalPayPY" dataDxfId="1586"/>
    <tableColumn id="17" xr3:uid="{BFCB3DE9-858E-4A14-8616-3DBD9A45F254}" name="AICPermanentYTDTotalPayTaxStatusPY" dataDxfId="1585"/>
    <tableColumn id="18" xr3:uid="{9E5AFD26-4282-4073-ADA4-59D5B420932B}" name="AICPermanentYTDLowerBasePayLastDate" dataDxfId="1584"/>
    <tableColumn id="19" xr3:uid="{2F0F10D9-2A21-4A24-B4C5-2205F052378D}" name="AICPermanentYTDLowerBasePay" dataDxfId="1583"/>
    <tableColumn id="20" xr3:uid="{B44EB8B9-E94A-4C2C-AF12-F17CE384815B}" name="AICPermanentYTDLowerBasePayLastDatePY" dataDxfId="1582"/>
    <tableColumn id="21" xr3:uid="{D1FC92B9-A6DA-4F5B-9EA8-F7B8EE6D3A65}" name="AICPermanentYTDLowerBasePayPY" dataDxfId="1581"/>
    <tableColumn id="22" xr3:uid="{E2111B6D-7C48-4DDD-BF50-4C60A617A1F9}" name="AICPermanentNoYTDPayCycle" dataDxfId="1580"/>
    <tableColumn id="23" xr3:uid="{54BBD511-B265-4343-86B7-0548A400FCBC}" name="AICPermanentNoYTDPayslip1BasePay" dataCellStyle="Currency"/>
    <tableColumn id="88" xr3:uid="{E46FED27-0B1D-442F-8BF2-A94B7B2BAAE3}" name="AICPermanentNoYTDPayslip1Bonus" dataDxfId="1579" dataCellStyle="Currency"/>
    <tableColumn id="24" xr3:uid="{2D45EE62-578B-477A-ADB4-86E9DC6F5412}" name="AICPermanentNoYTDPayslip1TotalPay" dataCellStyle="Currency"/>
    <tableColumn id="25" xr3:uid="{7A37A6F0-5AC2-4A0D-843F-33FCF572A7C5}" name="AICPermanentNoYTDPayslip2BasePay" dataCellStyle="Currency"/>
    <tableColumn id="46" xr3:uid="{76468310-DBFD-461C-8FCF-37189AFA3F48}" name="AICPermanentNoYTDPayslip2Bonus" dataDxfId="1578" dataCellStyle="Currency"/>
    <tableColumn id="26" xr3:uid="{6906105F-1219-4F6A-BFDF-87C282E29111}" name="AICPermanentNoYTDPayslip2TotalPay" dataCellStyle="Currency"/>
    <tableColumn id="27" xr3:uid="{4DAB2B43-23F0-4288-AAE2-7419FFB72F65}" name="AICPermanentAccountCreditPayCycle" dataDxfId="1577"/>
    <tableColumn id="28" xr3:uid="{672C16D4-9D8B-4D3F-8BF7-234F11E8E00F}" name="AICPermanentAccountCreditConsistent" dataDxfId="1576"/>
    <tableColumn id="91" xr3:uid="{2E6B8514-81DB-4359-9EEE-C7DAF9528798}" name="AICPermanentAccountCreditLowest" dataDxfId="1575"/>
    <tableColumn id="30" xr3:uid="{EDF2329F-6701-48E2-9977-EA455F792FB3}" name="AICPermanentPaidBonusLast12Months" dataDxfId="1574"/>
    <tableColumn id="31" xr3:uid="{BCA83D2C-D2F6-4CAE-A021-207F3313D583}" name="AICPermanentYTDPaidBonus" dataDxfId="1573"/>
    <tableColumn id="32" xr3:uid="{237B5B66-F2A9-4E09-ABE7-519A1D6217CD}" name="AICPermanentYTDPaidBonusPY" dataDxfId="1572"/>
    <tableColumn id="35" xr3:uid="{3DE537D8-F274-4EF5-BD29-84A3470EC3D3}" name="AICPermanentPreTaxDeductionFlag" dataDxfId="1571"/>
    <tableColumn id="36" xr3:uid="{4085871F-9DB8-483D-99F6-41B1DDFF774F}" name="AICPermanentPreTaxDeduction" dataDxfId="1570"/>
    <tableColumn id="37" xr3:uid="{A78578F0-7AD6-4463-9651-10F1F137E6EE}" name="AICPermanentLowerPreTaxDeduction" dataDxfId="1569"/>
    <tableColumn id="47" xr3:uid="{BF5EE34A-7573-4339-8DE9-5B165F448086}" name="AICPermanentPreTaxDeductionPY" dataDxfId="1568"/>
    <tableColumn id="48" xr3:uid="{F629F129-8837-4857-9713-F4FBD75F4FEC}" name="AICPermanentLowerPreTaxDeductionPY" dataDxfId="1567"/>
    <tableColumn id="50" xr3:uid="{03E78518-E893-431A-8BA8-6C9E6180D83A}" name="AICPermanentPYIncomeSummaryAmount" dataDxfId="1566"/>
    <tableColumn id="51" xr3:uid="{69BC17C8-F93A-4E57-AB25-22845E02EBE1}" name="AICCasualIncomeVerificationType" dataDxfId="1565"/>
    <tableColumn id="85" xr3:uid="{ACDA75CA-776D-4535-9ECC-175440703F16}" name="AICCasualBonusIncomeFlag" dataDxfId="1564"/>
    <tableColumn id="52" xr3:uid="{9DA8C48B-1149-4495-ADE9-B93EDC014362}" name="AICCasualYTDPayCycle" dataDxfId="1563"/>
    <tableColumn id="53" xr3:uid="{E50971FE-5078-4620-890F-2B0FE3736BE0}" name="AICCasualYTDAnnualiseWeeks" dataDxfId="1562"/>
    <tableColumn id="54" xr3:uid="{1B428B38-3EF1-4440-BCE1-EA889B8B25B8}" name="AICCasualYTDStartPayDate" dataDxfId="1561"/>
    <tableColumn id="55" xr3:uid="{38276C27-168D-41A3-9C64-6D2E70591346}" name="AICCasualYTDEndPayDate" dataDxfId="1560"/>
    <tableColumn id="56" xr3:uid="{14DAC3E7-20AF-44A2-AB57-9EDA84A1B96B}" name="AICCasualYTDTotalPay" dataDxfId="1559"/>
    <tableColumn id="57" xr3:uid="{4334C400-BB26-4761-8A2F-E6515E506D43}" name="AICCasualYTDTotalPayTaxStatus" dataDxfId="1558"/>
    <tableColumn id="58" xr3:uid="{34BA4CFF-B54E-4A35-AC1D-E340ACBC3C09}" name="AICCasualNoYTDPayCycle" dataDxfId="1557"/>
    <tableColumn id="59" xr3:uid="{BFB7DB53-2CEA-4EC4-B7BC-9A04500CED1C}" name="AICCasualNoYTDAnnualiseWeeks" dataDxfId="1556"/>
    <tableColumn id="60" xr3:uid="{251F1450-F4D9-4983-9A1B-5533418D2977}" name="AICCasualNoYTDGrossPay1" dataDxfId="1555"/>
    <tableColumn id="61" xr3:uid="{296FEA0A-0D3C-4962-8F71-CD9F61F927F5}" name="AICCasualNoYTDGrossPay2" dataDxfId="1554"/>
    <tableColumn id="90" xr3:uid="{227CA9FD-4DDD-49FE-8A88-285CE5AB2039}" name="AICCasualNoYTDBonusPay1" dataDxfId="1553"/>
    <tableColumn id="89" xr3:uid="{0E541514-4E07-4BE3-B9FA-F0691169D225}" name="AICCasualNoYTDBonusPay2" dataDxfId="1552"/>
    <tableColumn id="62" xr3:uid="{A33A806D-DA46-49D6-A166-19E017C9D624}" name="AICCasualAccountCreditPayCycle" dataDxfId="1551"/>
    <tableColumn id="63" xr3:uid="{6ECF64D9-A5DD-46F5-87E3-7AAB72EE947D}" name="AICCasualAccountCreditAnnualiseWeeks" dataDxfId="1550"/>
    <tableColumn id="64" xr3:uid="{EAB64F35-BFA1-4081-8A8C-F180F442E881}" name="AICCasualAccountCreditDeposit1" dataDxfId="1549"/>
    <tableColumn id="65" xr3:uid="{97A547FD-4CB2-4C2C-9F74-C79603DE6067}" name="AICCasualAccountCreditDeposit2" dataDxfId="1548"/>
    <tableColumn id="66" xr3:uid="{0BCBACDA-DA55-4FDE-9D7B-475029380C5D}" name="AICCasualPreTaxDeductionFlag" dataDxfId="1547"/>
    <tableColumn id="67" xr3:uid="{EEBC5924-48B7-4C84-9500-88CEB9AAE423}" name="AICCasualPreTaxDeduction" dataDxfId="1546"/>
    <tableColumn id="86" xr3:uid="{5FDDE8B1-8A52-45D8-97FA-2EF5C125C9B3}" name="AICCasualPaidBonusLast12Months" dataDxfId="1545"/>
    <tableColumn id="71" xr3:uid="{AC02E499-E8D8-4C24-9897-109487A51B64}" name="AICCasualPYIncomeSummaryAmount" dataDxfId="1544"/>
    <tableColumn id="40" xr3:uid="{6AF2314D-14B1-4064-B5CD-A107543673EF}" name="AICCasualYTDNumberofPays" dataDxfId="1543"/>
    <tableColumn id="87" xr3:uid="{0146AC00-2425-4757-A9AD-690785ECB0DF}" name="AICCasualYTDPaidBonus" dataDxfId="1542"/>
    <tableColumn id="72" xr3:uid="{A26FFAFF-9CEB-4398-A4F3-7E71323EDA8F}" name="AICAssessedAnnualBase" dataDxfId="1541"/>
    <tableColumn id="73" xr3:uid="{7C0FFDB5-9CA4-4CB4-AD7A-8236C2549B17}" name="AICAssessedAnnualNonBase" dataDxfId="1540"/>
    <tableColumn id="74" xr3:uid="{9A74883A-4F55-4761-A533-14560AE70054}" name="AICAssessedAnnualBonus" dataDxfId="1539"/>
    <tableColumn id="68" xr3:uid="{1BF074D3-E0BE-42D9-8409-DF62DBE6FBBB}" name="AICPermanentAccountCreditAnnualGrossBase" dataDxfId="1538"/>
    <tableColumn id="39" xr3:uid="{A0D3D2FB-C70B-48BE-82F1-197AA27DAA16}" name="AICCasualAccountCreditAnnualGrossBase" dataDxfId="1537"/>
    <tableColumn id="77" xr3:uid="{E5E2551D-35BA-481C-B61C-2C5F70C450CE}" name="AICPermanentHospitalEmployedDoctorFlag" dataDxfId="1536"/>
    <tableColumn id="76" xr3:uid="{FE0FAEFC-324B-4A3B-8C81-661BC6C9B60E}" name="AICPermanentFutureIncomeEmploymentState" dataDxfId="1535"/>
    <tableColumn id="70" xr3:uid="{498975C4-9592-4C6D-8A5C-B159409E8B02}" name="AICPermanentFutureIncomeEmploymentYear" dataDxfId="1534"/>
    <tableColumn id="69" xr3:uid="{32F1A25C-E8C5-4567-9500-184A3DCB8639}" name="AICPermanentFutureIncomeAnnualBase" dataDxfId="1533"/>
    <tableColumn id="78" xr3:uid="{669FCB2C-D8B1-49C5-A558-CD2AEC11D9E6}" name="AICPermanentCurrentIncomeAnnualBase" dataDxfId="1532"/>
    <tableColumn id="83" xr3:uid="{EF741360-C899-47C0-BAB5-9A53C4378DAF}" name="AICPermanentAUDForeignEmploymentDocType" dataDxfId="1531"/>
    <tableColumn id="82" xr3:uid="{67FD88E2-AD17-4581-84A0-521517F17040}" name="AICPermanentAUDForeignEmploymentPayCycle" dataDxfId="1530"/>
    <tableColumn id="81" xr3:uid="{1F290907-9A8D-4C55-A3B9-E36C3A35DE14}" name="AICPermanentAUDForeignEmploymentGrossBasePayslip1" dataDxfId="1529"/>
    <tableColumn id="80" xr3:uid="{80E925D2-B450-4C47-B8D3-9A59241C1012}" name="AICPermanentAUDForeignEmploymentGrossBasePayslip2" dataDxfId="1528"/>
    <tableColumn id="84" xr3:uid="{8DFCD6DA-AD6B-4EC9-8B45-2D178B8A867C}" name="AICPermanentAUDForeignEmploymentGrossBasePayslip3" dataDxfId="1527"/>
    <tableColumn id="93" xr3:uid="{34D97E6A-976F-4B92-A377-C9016CF8B1D3}" name="AICPermanentTransactionHistoryLowestDeposit" dataDxfId="1526"/>
    <tableColumn id="92" xr3:uid="{77C524F2-4B87-4ADC-A325-5594016D5701}" name="AICPermanentTransactionHistoryAnnualGrossBase" dataDxfId="1525"/>
    <tableColumn id="94" xr3:uid="{9F7FC5CC-EE8B-4699-9CA8-C7A09B5C4563}" name="AICCasualTransactionHistoryLowestDeposit" dataDxfId="1524"/>
    <tableColumn id="95" xr3:uid="{CF94B817-7ED0-4674-A228-E3E2331765AB}" name="AICCasualTransactionHistoryAnnualGrossBase" dataDxfId="1523"/>
    <tableColumn id="96" xr3:uid="{A2712A1E-4C5F-4301-B1FF-AFB3993833C8}" name="AICCasualYTDPayslipFlag" dataDxfId="1522"/>
    <tableColumn id="75" xr3:uid="{DC8DC127-D562-4E1D-8428-F0A5A2882C4B}" name="TotalAssessedAnnualIncome" dataDxfId="1521" dataCellStyle="Currency">
      <calculatedColumnFormula>SUM(AICEmployerIncomeDataTable[[#This Row],[AICAssessedAnnualBase]:[AICAssessedAnnualBonus]])</calculatedColumnFormula>
    </tableColumn>
    <tableColumn id="38" xr3:uid="{5C2B7E94-F462-4D68-8A47-B56651F330CF}" name="AssessedAnnualNonBaseShaded" dataDxfId="1520">
      <calculatedColumnFormula>IF(AICEmployerIncomeDataTable[[#This Row],[AICPermanentIncomeVerificationType]]="Emergency Services",AICEmployerIncomeDataTable[[#This Row],[AICAssessedAnnualNonBase]],AICEmployerIncomeDataTable[[#This Row],[AICAssessedAnnualNonBase]]*NonBaseShade)</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9368EF-F07F-426D-833F-7F70D7C720BC}" name="OICOtherIncomeDataTable" displayName="OICOtherIncomeDataTable" ref="A68:BC80" totalsRowShown="0" headerRowDxfId="1519">
  <autoFilter ref="A68:BC80" xr:uid="{789368EF-F07F-426D-833F-7F70D7C720BC}"/>
  <tableColumns count="55">
    <tableColumn id="1" xr3:uid="{669EABCF-4260-4D03-8525-36A2F6B21696}" name="OICOtherIncomeID" dataDxfId="1518"/>
    <tableColumn id="2" xr3:uid="{50C35307-B1D0-4355-8274-8A1F138A923F}" name="OICApplicantID" dataDxfId="1517"/>
    <tableColumn id="3" xr3:uid="{2D4517A1-507A-4E86-A69A-E663B78174AD}" name="OICSpouseIncomeFlag" dataDxfId="1516"/>
    <tableColumn id="31" xr3:uid="{502143D8-45E4-441E-A558-14BAECCA1F90}" name="HasDataFlag" dataDxfId="1515">
      <calculatedColumnFormula array="1">NOT(SUMPRODUCT(--(OICOtherIncomeDataTable[[#This Row],[OICInterestFrequencyLY]:[OICCompanyCarUnshadedIncome]]&lt;&gt;""))=0)</calculatedColumnFormula>
    </tableColumn>
    <tableColumn id="29" xr3:uid="{DC2EA6F0-5538-4762-BD1F-8E0D0417B1FD}" name="OICInterestFrequencyLY" dataDxfId="1514"/>
    <tableColumn id="52" xr3:uid="{88E51B3B-D944-49CD-9643-6E16053F31E7}" name="OICInterestLY" dataDxfId="1513"/>
    <tableColumn id="53" xr3:uid="{B70D6DC6-7F89-4DAC-89F0-84033373AC9A}" name="OICInterestUnshadedIncome" dataDxfId="1512"/>
    <tableColumn id="6" xr3:uid="{775D392F-127C-44E0-8269-0013317800C1}" name="OICDividendFrequencyLY"/>
    <tableColumn id="7" xr3:uid="{FAB32F3C-9662-4719-8DBE-6AFE4F8892F5}" name="OICDividendLY" dataDxfId="1511"/>
    <tableColumn id="4" xr3:uid="{9B761D46-72DF-4102-BBA3-2972FF7050DE}" name="OICFrankingCreditLY" dataDxfId="1510"/>
    <tableColumn id="28" xr3:uid="{52EC86F7-C806-4A31-90BC-C07F4B768F1F}" name="OICAssessedFrankingCredit" dataDxfId="1509"/>
    <tableColumn id="27" xr3:uid="{47A83BFB-BE30-48CC-9057-19135658D78B}" name="OICDividendFrankingCreditUnshadedIncome" dataDxfId="1508"/>
    <tableColumn id="8" xr3:uid="{B9966AEC-254B-4429-AF6C-354F9DC5462F}" name="OICSelfManagedSuperFundTaxTreatment" dataDxfId="1507"/>
    <tableColumn id="9" xr3:uid="{E722FF09-6CA5-4D0A-A034-2B09F4CFE83C}" name="OICSelfManagedSuperFundFrequencyPY" dataDxfId="1506"/>
    <tableColumn id="10" xr3:uid="{F89CBCA6-F71D-4D19-A945-B3C4684ADE10}" name="OICSelfManagedSuperFundPY" dataDxfId="1505"/>
    <tableColumn id="11" xr3:uid="{18479517-EA65-489B-AEC7-E10DB4CB9003}" name="OICSelfManagedSuperFundFrequencyLY" dataDxfId="1504"/>
    <tableColumn id="12" xr3:uid="{27E0C625-E8A0-4AA6-ADAE-34A5493D76D9}" name="OICSelfManagedSuperFundLY" dataDxfId="1503"/>
    <tableColumn id="13" xr3:uid="{5AB148B4-9321-4DF6-B30F-DC7044C7F126}" name="OICSelfManagedSuperFundNetPY" dataDxfId="1502"/>
    <tableColumn id="14" xr3:uid="{C1347CA7-5616-45A0-B9BB-55BB960421E6}" name="OICSelfManagedSuperFundNetLY" dataDxfId="1501"/>
    <tableColumn id="43" xr3:uid="{9E753DB4-F03A-4272-9F45-3013FD30EC88}" name="OICSelfManagedSuperFundAnnualIncomePY" dataDxfId="1500"/>
    <tableColumn id="42" xr3:uid="{AD796368-7B3B-4205-9B80-D6D4032CB862}" name="OICSelfManagedSuperFundAnnualIncomeLY" dataDxfId="1499"/>
    <tableColumn id="33" xr3:uid="{2EB22962-1CD5-4534-BDBA-AD852F7F1B0C}" name="OICSelfManagedSuperFundUnshadedIncome" dataDxfId="1498"/>
    <tableColumn id="15" xr3:uid="{C472BE74-CA4F-452A-8AA2-FEDE1730AB19}" name="OICInvestmentTaxTreatment" dataDxfId="1497"/>
    <tableColumn id="16" xr3:uid="{82C62DD1-3160-4534-B292-D7808F370C14}" name="OICInvestmentFrequencyLY" dataDxfId="1496"/>
    <tableColumn id="17" xr3:uid="{F7A03464-7B8C-4E99-B17D-F2E087C0CD1E}" name="OICInvestmentLY" dataDxfId="1495"/>
    <tableColumn id="18" xr3:uid="{BFE2DC8F-BDDE-4E1C-BFA4-848D3038EA31}" name="OICInvestmentNetLY" dataDxfId="1494"/>
    <tableColumn id="36" xr3:uid="{08E98F95-E9E6-4E90-B54C-3D9DEDAEB92D}" name="OICInvestmentUnshadedIncome" dataDxfId="1493"/>
    <tableColumn id="19" xr3:uid="{A78646F1-C7EB-4A2D-8F91-B3D860F25A5A}" name="OICSocialSecurityFrequencyLY" dataDxfId="1492"/>
    <tableColumn id="20" xr3:uid="{ABB9FD33-8BDB-4908-B477-2AEC9B9CFA40}" name="OICSocialSecurityLY" dataDxfId="1491" dataCellStyle="Currency"/>
    <tableColumn id="38" xr3:uid="{AD4C3817-53B8-4441-91E3-6DEB9377B714}" name="OICSocialSecurityUnshadedIncome" dataDxfId="1490" dataCellStyle="Currency"/>
    <tableColumn id="21" xr3:uid="{C9FE4CEB-019C-432B-A3C5-08E6841D9555}" name="OICForeignPensionFrequencyLY" dataDxfId="1489"/>
    <tableColumn id="22" xr3:uid="{C3A46533-8955-4294-B12F-8C54EF06DC99}" name="OICForeignPensionLY" dataDxfId="1488"/>
    <tableColumn id="39" xr3:uid="{A0ED5FB1-F386-4442-AC8A-A975B3144F34}" name="OICForeignPensionUnshadedIncome" dataDxfId="1487"/>
    <tableColumn id="23" xr3:uid="{876B9C1F-9CE4-4C92-9608-AC8E54EEECEC}" name="OICChildSupportFrequencyLY" dataDxfId="1486"/>
    <tableColumn id="24" xr3:uid="{EDD83AEA-F962-47D7-992C-98ED6A06B5FB}" name="OICChildSupportLY" dataDxfId="1485"/>
    <tableColumn id="40" xr3:uid="{9312E910-88EA-483C-8187-210A72E5EE97}" name="OICChildSupportUnshadedIncome" dataDxfId="1484"/>
    <tableColumn id="51" xr3:uid="{E29560AB-BAC1-4793-90C1-6CCC42B29543}" name="OICStipendTaxTreatment" dataDxfId="1483"/>
    <tableColumn id="25" xr3:uid="{74666520-11A9-446A-82F2-08DAD79DCD22}" name="OICStipendFrequencyLY" dataDxfId="1482"/>
    <tableColumn id="26" xr3:uid="{A8DC962B-4EAC-42C9-B276-5E2ECE403658}" name="OICStipendLY" dataDxfId="1481"/>
    <tableColumn id="41" xr3:uid="{26362CC7-2EA2-48BB-9ECC-661D9CB8B931}" name="OICStipendUnshadedIncome" dataDxfId="1480"/>
    <tableColumn id="47" xr3:uid="{1F42B35D-45EA-4D45-A879-F3708603BDC9}" name="OICFamilyTaxBenefitAFrequencyLY" dataDxfId="1479"/>
    <tableColumn id="46" xr3:uid="{5A795A42-EA25-444A-AF10-01B1A961CC16}" name="OICFamilyTaxBenefitALY" dataDxfId="1478"/>
    <tableColumn id="49" xr3:uid="{BEB505B3-1844-4257-A0BC-42EF5978E5CC}" name="OICFamilyTaxBenefitAUnshadedIncome" dataDxfId="1477"/>
    <tableColumn id="48" xr3:uid="{68220A6A-9465-44A0-8587-12E68D1D5E09}" name="OICFamilyTaxBenefitBFrequencyLY" dataDxfId="1476"/>
    <tableColumn id="35" xr3:uid="{770D5E5F-B01F-4D79-86DB-A4002F8A86C3}" name="OICFamilyTaxBenefitBLY" dataDxfId="1475"/>
    <tableColumn id="34" xr3:uid="{E6E7B7A5-E2C5-4BA5-A59B-E59645D56105}" name="OICFamilyTaxBenefitBUnshadedIncome" dataDxfId="1474"/>
    <tableColumn id="50" xr3:uid="{847C7AB3-FFBC-4CA6-BFD0-C93D7DA1929C}" name="OICFamilyTaxBenefitDependantsUnder8" dataDxfId="1473"/>
    <tableColumn id="32" xr3:uid="{C7345FD4-3865-436A-AE59-3DECCD479582}" name="OICFamilyTaxBenefitDependantsUnder11" dataDxfId="1472"/>
    <tableColumn id="54" xr3:uid="{6403A291-BA45-4963-A886-A46633902C3C}" name="OICCompanyCarLY" dataDxfId="1471"/>
    <tableColumn id="55" xr3:uid="{CDD200A1-7B40-4F3C-B22D-C4B304DB4848}" name="OICCompanyCarUnshadedIncome" dataDxfId="1470"/>
    <tableColumn id="45" xr3:uid="{7AFA0C9F-49F4-438C-8FD2-DC641551BD22}" name="SelfManagedSuperFundAnnualIncomeGrossPY" dataDxfId="1469">
      <calculatedColumnFormula>IFERROR(OICOtherIncomeDataTable[[#This Row],[OICSelfManagedSuperFundPY]]*VLOOKUP(OICOtherIncomeDataTable[[#This Row],[OICSelfManagedSuperFundFrequencyPY]],IncomeCycleData[],3,FALSE),0)</calculatedColumnFormula>
    </tableColumn>
    <tableColumn id="44" xr3:uid="{BAEF96DE-3450-4E7C-BB19-2AE2F6929CE4}" name="SelfManagedSuperFundAnnualIncomeGrossLY" dataDxfId="1468">
      <calculatedColumnFormula>IFERROR(OICOtherIncomeDataTable[[#This Row],[OICSelfManagedSuperFundLY]]*VLOOKUP(OICOtherIncomeDataTable[[#This Row],[OICSelfManagedSuperFundFrequencyLY]],IncomeCycleData[],3,FALSE),0)</calculatedColumnFormula>
    </tableColumn>
    <tableColumn id="30" xr3:uid="{1692DF8D-608B-4287-90A5-9A3959D55F0A}" name="SelfManagedSuperFundHEMIncome" dataDxfId="1467">
      <calculatedColumnFormula>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calculatedColumnFormula>
    </tableColumn>
    <tableColumn id="37" xr3:uid="{A1E5F55A-CA0D-4F7A-9B24-1BCEE3D47279}" name="InvestmentHEMIncome" dataDxfId="1466">
      <calculatedColumnFormula>IFERROR(OICOtherIncomeDataTable[[#This Row],[OICInvestmentLY]]*VLOOKUP(OICOtherIncomeDataTable[[#This Row],[OICInvestmentFrequencyLY]],IncomeCycleData[],3,FALSE),0)</calculatedColumnFormula>
    </tableColumn>
    <tableColumn id="5" xr3:uid="{EEA6FA31-7371-4294-A0C0-8DE3E80642D2}" name="FrankingCreditAnnualAmount" dataDxfId="1465">
      <calculatedColumnFormula>IFERROR(OICOtherIncomeDataTable[[#This Row],[OICAssessedFrankingCredit]]*VLOOKUP(OICOtherIncomeDataTable[[#This Row],[OICDividendFrequencyLY]],IncomeCycleData[],3,FALSE),0)</calculatedColumnFormula>
    </tableColumn>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4694757-E178-4E34-AA82-DCD56A7AC933}" name="SEAApplicantDataTable" displayName="SEAApplicantDataTable" ref="A3:P15" totalsRowShown="0" headerRowDxfId="1464" dataDxfId="1463">
  <autoFilter ref="A3:P15" xr:uid="{54694757-E178-4E34-AA82-DCD56A7AC933}"/>
  <sortState xmlns:xlrd2="http://schemas.microsoft.com/office/spreadsheetml/2017/richdata2" ref="A4:N15">
    <sortCondition ref="A3:A15"/>
  </sortState>
  <tableColumns count="16">
    <tableColumn id="1" xr3:uid="{10CF6B14-6825-4808-B46C-A6FB48CEEA7B}" name="SEAApplicantDataID" dataDxfId="1462"/>
    <tableColumn id="2" xr3:uid="{5667DD6F-0040-4D0E-BC7F-F0278A68FEDE}" name="SEAApplicantID" dataDxfId="1461"/>
    <tableColumn id="3" xr3:uid="{AFF5CBD9-609B-43E7-ABC0-4D580047D15C}" name="SEASpouseIncomeFlag" dataDxfId="1460"/>
    <tableColumn id="4" xr3:uid="{0A107567-8B65-47E5-B631-2F2438CD7C90}" name="HasDataFlag" dataDxfId="1459">
      <calculatedColumnFormula>NOT(ISBLANK(SEAApplicantDataTable[[#This Row],[SEAAssessmentType]]))</calculatedColumnFormula>
    </tableColumn>
    <tableColumn id="11" xr3:uid="{A815632F-98D8-4DC7-B99E-F0CCAD70DD7A}" name="SEAAssessmentType" dataDxfId="1458"/>
    <tableColumn id="13" xr3:uid="{95791EB4-6B57-4067-B55E-0BE64B7A078A}" name="SEAFinancialYearLY" dataDxfId="1457"/>
    <tableColumn id="12" xr3:uid="{4FC70F15-FB48-4D57-BF15-90AEBD8E1878}" name="SEAFinancialYearPY" dataDxfId="1456"/>
    <tableColumn id="6" xr3:uid="{D1625A5A-C009-475F-B690-30C61E00984D}" name="SEATaxableIncomeNoALY" dataDxfId="1455"/>
    <tableColumn id="5" xr3:uid="{681065C5-20E4-4D77-81BE-4349B7AF97DD}" name="SEATaxableIncomeNoAPY" dataDxfId="1454"/>
    <tableColumn id="15" xr3:uid="{E7F7FE01-44B7-4A82-B481-63FD01B8489C}" name="SEACapitalGainsNoALY" dataDxfId="1453"/>
    <tableColumn id="10" xr3:uid="{E0211E05-E72A-4CEC-8810-33B5E1440AEC}" name="SEACapitalGainsNoAPY" dataDxfId="1452"/>
    <tableColumn id="8" xr3:uid="{7E29D26A-FE0A-439C-AA34-944FB959C8F8}" name="SEATotalTaxableIncomeLY" dataDxfId="1451"/>
    <tableColumn id="7" xr3:uid="{AFE61AB1-FEA9-4FF0-B4F2-89112C90DC25}" name="SEATotalTaxableIncomePY" dataDxfId="1450"/>
    <tableColumn id="9" xr3:uid="{C508F125-8009-4A69-8A27-B4C96CA54F95}" name="SEATotalAssessedIncome" dataDxfId="1449"/>
    <tableColumn id="17" xr3:uid="{272FE31B-78EC-4806-9029-09B9B349B8E9}" name="SEAApplicantHasAssociatedBusiness" dataDxfId="1448"/>
    <tableColumn id="16" xr3:uid="{8C019C39-75C8-4B03-8F0E-3EC6F1BCA6BF}" name="SEAApplicantHasFullyVerifiedAssociatedBusiness" dataDxfId="1447"/>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496E99CA-6A16-4C9E-B34A-21468FED6D17}" name="SEBBusinessDataTable" displayName="SEBBusinessDataTable" ref="A19:OV79" totalsRowShown="0" headerRowDxfId="1446" dataDxfId="1445">
  <autoFilter ref="A19:OV79" xr:uid="{496E99CA-6A16-4C9E-B34A-21468FED6D17}"/>
  <tableColumns count="412">
    <tableColumn id="1" xr3:uid="{702091EB-9B54-4997-9734-0CE3716F83B5}" name="SEBBusinessID" dataDxfId="1444"/>
    <tableColumn id="2" xr3:uid="{C9217BF7-5D38-4E69-B4EA-E0FAC650A88F}" name="HasDataFlag" dataDxfId="1443">
      <calculatedColumnFormula>NOT(ISBLANK(SEBBusinessDataTable[[#This Row],[SEBBusinessType]]))</calculatedColumnFormula>
    </tableColumn>
    <tableColumn id="3" xr3:uid="{9184CE2B-4E43-471B-9B24-A59389D21C2E}" name="SEBBusinessType" dataDxfId="1442"/>
    <tableColumn id="4" xr3:uid="{58EE3AA1-7AF7-42D6-8532-62D518CAFCD4}" name="SEBAssessmentType" dataDxfId="1441"/>
    <tableColumn id="186" xr3:uid="{5A0A448D-94F8-49A3-B965-D41FBD0B39B6}" name="SEBFinancialYearLY" dataDxfId="1440"/>
    <tableColumn id="5" xr3:uid="{24D7A3EF-10B7-4DF8-B3C2-135D927EAF00}" name="SEBBusinessName" dataDxfId="1439"/>
    <tableColumn id="6" xr3:uid="{C90D494F-BCF7-4C4A-B3A7-751A874613C0}" name="SEBBusinessNumber" dataDxfId="1438"/>
    <tableColumn id="7" xr3:uid="{BAA32470-6C99-4396-A959-BE2F11B4A5E4}" name="SEBTrusteePartnerCount" dataDxfId="1437"/>
    <tableColumn id="396" xr3:uid="{9F52CC40-AD40-41AB-AAC3-6AD3AE13D133}" name="SEBApplicantAssessmentType" dataDxfId="1436"/>
    <tableColumn id="68" xr3:uid="{D480ED3B-3B8A-4563-8EC6-EA70A35F2612}" name="AssociatedApplicantCount" dataDxfId="1435">
      <calculatedColumnFormula>COUNTIF(SEBBusinessDataTable[[#This Row],[SEBAssociatedFlagApp1]:[SEBAssociatedFlagApp6]],"Yes")</calculatedColumnFormula>
    </tableColumn>
    <tableColumn id="8" xr3:uid="{67B42799-B0B3-4715-9DF2-0DB4E1BD321B}" name="SEBAssociatedFlagApp1" dataDxfId="1434"/>
    <tableColumn id="9" xr3:uid="{9101172D-F075-4EB8-AF65-B7F552AC0044}" name="SEBAssociatedFlagApp2" dataDxfId="1433"/>
    <tableColumn id="10" xr3:uid="{F9E91E9E-6A30-499F-BC69-0B60C126193A}" name="SEBAssociatedFlagApp3" dataDxfId="1432"/>
    <tableColumn id="11" xr3:uid="{6E4D5CF0-D85C-4D1A-BF79-04B667CEB60A}" name="SEBAssociatedFlagApp4" dataDxfId="1431"/>
    <tableColumn id="12" xr3:uid="{F04E85AF-DD9C-4AA0-88F3-545AB312C53C}" name="SEBAssociatedFlagApp5" dataDxfId="1430"/>
    <tableColumn id="13" xr3:uid="{9A5478F2-D3B2-4256-9B54-4A3D33CB940F}" name="SEBAssociatedFlagApp6" dataDxfId="1429"/>
    <tableColumn id="61" xr3:uid="{BC7A58A4-9E40-43FF-96A1-225F5FEDEFFA}" name="SEBAdjustedTaxableIncomeApp1" dataDxfId="1428"/>
    <tableColumn id="69" xr3:uid="{41002C35-1F7A-4A50-9715-E12167741B0D}" name="SEBAdjustedTaxableIncomeApp2" dataDxfId="1427"/>
    <tableColumn id="70" xr3:uid="{F33A4C18-96A5-4215-A030-09632B7C2059}" name="SEBAdjustedTaxableIncomeApp3" dataDxfId="1426"/>
    <tableColumn id="71" xr3:uid="{05978472-169D-497C-AC1A-55EB88FAB710}" name="SEBAdjustedTaxableIncomeApp4" dataDxfId="1425"/>
    <tableColumn id="72" xr3:uid="{4C63ABDF-3628-4F88-9EE4-08BDB2B0677C}" name="SEBAdjustedTaxableIncomeApp5" dataDxfId="1424"/>
    <tableColumn id="73" xr3:uid="{DE8D32DA-AB1E-4E63-AE7D-13732841D89C}" name="SEBAdjustedTaxableIncomeApp6" dataDxfId="1423"/>
    <tableColumn id="74" xr3:uid="{13B14C15-CB5B-416A-AA47-316E6558A8CC}" name="SEBAdjustedUntaxedIncomeApp1" dataDxfId="1422"/>
    <tableColumn id="75" xr3:uid="{23177A66-E3FE-4074-A837-E8BE6239A2F6}" name="SEBAdjustedUntaxedIncomeApp2" dataDxfId="1421"/>
    <tableColumn id="76" xr3:uid="{556B14C6-4E8F-4CA1-988E-AF45F9A63C81}" name="SEBAdjustedUntaxedIncomeApp3" dataDxfId="1420"/>
    <tableColumn id="77" xr3:uid="{3E5BEAF0-7ACF-44E1-BFF6-3C90092F5157}" name="SEBAdjustedUntaxedIncomeApp4" dataDxfId="1419"/>
    <tableColumn id="87" xr3:uid="{61EC6C41-7EC7-4D14-AEEC-80083FE59879}" name="SEBAdjustedUntaxedIncomeApp5" dataDxfId="1418"/>
    <tableColumn id="88" xr3:uid="{5D7D52B8-EF0A-4A8A-B7DD-126A63151759}" name="SEBAdjustedUntaxedIncomeApp6" dataDxfId="1417"/>
    <tableColumn id="187" xr3:uid="{64CD7AE0-C488-4918-8D98-9D382816C166}" name="SEBAdjustedBusinessLossApp1" dataDxfId="1416"/>
    <tableColumn id="188" xr3:uid="{3E930626-912A-4D3F-8967-4E9B969DE7DA}" name="SEBAdjustedBusinessLossApp2" dataDxfId="1415"/>
    <tableColumn id="189" xr3:uid="{6B5B6619-7359-4B72-BA5B-76C6850F5FB9}" name="SEBAdjustedBusinessLossApp3" dataDxfId="1414"/>
    <tableColumn id="190" xr3:uid="{B760FCC4-9FB7-4F48-AB81-1946C59D88FD}" name="SEBAdjustedBusinessLossApp4" dataDxfId="1413"/>
    <tableColumn id="191" xr3:uid="{121CBA25-75BA-4EF8-8517-359292B6CE4D}" name="SEBAdjustedBusinessLossApp5" dataDxfId="1412"/>
    <tableColumn id="192" xr3:uid="{A62AD666-D526-4CF9-B22A-9A85A36FAB33}" name="SEBAdjustedBusinessLossApp6" dataDxfId="1411"/>
    <tableColumn id="16" xr3:uid="{B0C0D8A0-A281-4AA9-92DC-5787B3E846BD}" name="SEBAdjustedFrankingCreditApp1" dataDxfId="1410"/>
    <tableColumn id="17" xr3:uid="{A5120236-7FC8-420D-BB24-7166553CD2F8}" name="SEBAdjustedFrankingCreditApp2" dataDxfId="1409"/>
    <tableColumn id="18" xr3:uid="{783020CA-5634-4C25-A3A3-8DC969C5C629}" name="SEBAdjustedFrankingCreditApp3" dataDxfId="1408"/>
    <tableColumn id="19" xr3:uid="{D204EA76-3AEC-424E-A2B7-1E47BB0E503D}" name="SEBAdjustedFrankingCreditApp4" dataDxfId="1407"/>
    <tableColumn id="278" xr3:uid="{92505802-A950-4DCB-9C4C-4D33466478D1}" name="SEBAdjustedFrankingCreditApp5" dataDxfId="1406"/>
    <tableColumn id="279" xr3:uid="{9B1BF667-BDB3-44E9-8038-23AE89060E93}" name="SEBAdjustedFrankingCreditApp6" dataDxfId="1405"/>
    <tableColumn id="125" xr3:uid="{38F0F882-4B95-40DD-8CAB-5A42B62A74C0}" name="SEBDistributionLYApp1" dataDxfId="1404"/>
    <tableColumn id="126" xr3:uid="{EBF6E783-7272-4741-9EA9-4E867FADC189}" name="SEBDistributionLYApp2" dataDxfId="1403"/>
    <tableColumn id="127" xr3:uid="{CF368F15-89DD-48B8-822A-8FFAB6179B68}" name="SEBDistributionLYApp3" dataDxfId="1402"/>
    <tableColumn id="128" xr3:uid="{EE416B88-FB13-43F6-9EEF-431582FE016A}" name="SEBDistributionLYApp4" dataDxfId="1401"/>
    <tableColumn id="129" xr3:uid="{4FC98C66-C9C8-4C69-B8F8-3122BE9B1A88}" name="SEBDistributionLYApp5" dataDxfId="1400"/>
    <tableColumn id="130" xr3:uid="{9EFC63A1-D612-48FD-97B2-9EA81FB10BBF}" name="SEBDistributionLYApp6" dataDxfId="1399"/>
    <tableColumn id="131" xr3:uid="{FD23FD6F-1A5F-4BB6-9FE1-F26C885B81E5}" name="SEBDistributionPercentageLYApp1" dataDxfId="1398"/>
    <tableColumn id="132" xr3:uid="{72093A60-2A90-46A8-87E7-4618118F84AD}" name="SEBDistributionPercentageLYApp2" dataDxfId="1397"/>
    <tableColumn id="133" xr3:uid="{F72BF4AA-7530-46A4-A5E7-D86B96B2153A}" name="SEBDistributionPercentageLYApp3" dataDxfId="1396"/>
    <tableColumn id="134" xr3:uid="{1277CF8E-B55D-4EA3-B95D-97F5BD2D8639}" name="SEBDistributionPercentageLYApp4" dataDxfId="1395"/>
    <tableColumn id="135" xr3:uid="{4E674237-685B-45BF-BB11-D8BE951CE6EE}" name="SEBDistributionPercentageLYApp5" dataDxfId="1394"/>
    <tableColumn id="136" xr3:uid="{675F7C1B-3466-41A5-82FD-916711E5198D}" name="SEBDistributionPercentageLYApp6" dataDxfId="1393"/>
    <tableColumn id="113" xr3:uid="{4AD412EA-B3A9-4219-8302-B18D942DC9A2}" name="SEBDistributionPYApp1" dataDxfId="1392"/>
    <tableColumn id="114" xr3:uid="{0DC52B19-8CF3-4408-AEFF-974444D73EBB}" name="SEBDistributionPYApp2" dataDxfId="1391"/>
    <tableColumn id="115" xr3:uid="{DB59F1AE-BDA0-4415-BB91-8485ED967FCA}" name="SEBDistributionPYApp3" dataDxfId="1390"/>
    <tableColumn id="116" xr3:uid="{EB2F5164-C20C-431A-B4B7-DEADF18BBDDF}" name="SEBDistributionPYApp4" dataDxfId="1389"/>
    <tableColumn id="117" xr3:uid="{E31B37E9-A3FF-43B6-9FF4-E91942804930}" name="SEBDistributionPYApp5" dataDxfId="1388"/>
    <tableColumn id="118" xr3:uid="{32220C9B-C595-40A4-A8A3-B553326205FA}" name="SEBDistributionPYApp6" dataDxfId="1387"/>
    <tableColumn id="119" xr3:uid="{19A328D5-AE5C-41B4-BD5E-386E8E964037}" name="SEBDistributionPercentagePYApp1" dataDxfId="1386"/>
    <tableColumn id="120" xr3:uid="{D1666CD5-5BAF-4337-BB53-FAABA5874816}" name="SEBDistributionPercentagePYApp2" dataDxfId="1385"/>
    <tableColumn id="121" xr3:uid="{115457D1-A20E-4B4D-A0B9-705B4E6D5656}" name="SEBDistributionPercentagePYApp3" dataDxfId="1384"/>
    <tableColumn id="122" xr3:uid="{056C5B69-DBBD-4372-90FB-5DE5739C575A}" name="SEBDistributionPercentagePYApp4" dataDxfId="1383"/>
    <tableColumn id="123" xr3:uid="{EE912BF0-64B4-46B1-8A87-4018E3A1D712}" name="SEBDistributionPercentagePYApp5" dataDxfId="1382"/>
    <tableColumn id="124" xr3:uid="{7091087F-FFC7-4032-A638-4057B0B6FC7A}" name="SEBDistributionPercentagePYApp6" dataDxfId="1381"/>
    <tableColumn id="199" xr3:uid="{755004A4-1F09-43B8-86F9-FA5636952871}" name="SEBDistributionAnnualIncomeApp1" dataDxfId="1380"/>
    <tableColumn id="200" xr3:uid="{DABC7B9C-5B91-46F8-BE7B-2EDC0772BBA2}" name="SEBDistributionAnnualIncomeApp2" dataDxfId="1379"/>
    <tableColumn id="201" xr3:uid="{514CA8FA-D510-4DCD-832F-D0A1F61A92CD}" name="SEBDistributionAnnualIncomeApp3" dataDxfId="1378"/>
    <tableColumn id="202" xr3:uid="{5E5B1194-4191-489F-9352-83B67A1DA09E}" name="SEBDistributionAnnualIncomeApp4" dataDxfId="1377"/>
    <tableColumn id="203" xr3:uid="{A283A71D-2C2F-45D7-A652-4E2753C4092F}" name="SEBDistributionAnnualIncomeApp5" dataDxfId="1376"/>
    <tableColumn id="204" xr3:uid="{080D8D8A-404C-4E40-8805-91ADC7741BE1}" name="SEBDistributionAnnualIncomeApp6" dataDxfId="1375"/>
    <tableColumn id="101" xr3:uid="{0ACACEFC-39F8-4037-B90F-07F9135C3C8A}" name="SEBWageDirectorFeeLYApp1" dataDxfId="1374"/>
    <tableColumn id="102" xr3:uid="{05413E9D-E143-46AD-B62F-F88DB72E34B6}" name="SEBWageDirectorFeeLYApp2" dataDxfId="1373"/>
    <tableColumn id="103" xr3:uid="{C232D248-C6B7-4EE4-9819-79EB211EB014}" name="SEBWageDirectorFeeLYApp3" dataDxfId="1372"/>
    <tableColumn id="104" xr3:uid="{C4B90926-EE75-445A-AD8B-0D9FCFDB4713}" name="SEBWageDirectorFeeLYApp4" dataDxfId="1371"/>
    <tableColumn id="105" xr3:uid="{74A2868A-39E1-45F4-BA81-4C78C74187DB}" name="SEBWageDirectorFeeLYApp5" dataDxfId="1370"/>
    <tableColumn id="106" xr3:uid="{47216C76-C0AB-4161-9443-A0D36666E686}" name="SEBWageDirectorFeeLYApp6" dataDxfId="1369"/>
    <tableColumn id="107" xr3:uid="{7CC7FC57-DC4C-48AE-9B0B-B0560A41A6D8}" name="SEBWageDirectorFeePYApp1" dataDxfId="1368"/>
    <tableColumn id="108" xr3:uid="{A22592D7-840E-426E-BF2D-0638A5E704A4}" name="SEBWageDirectorFeePYApp2" dataDxfId="1367"/>
    <tableColumn id="109" xr3:uid="{0ED5E911-5A4E-4C40-AAB2-0DA41AC4C32D}" name="SEBWageDirectorFeePYApp3" dataDxfId="1366"/>
    <tableColumn id="110" xr3:uid="{5C75861C-3824-4FAE-90D3-80F18BC4D654}" name="SEBWageDirectorFeePYApp4" dataDxfId="1365"/>
    <tableColumn id="111" xr3:uid="{C27D2E0F-E2AB-4221-87DC-2BD4261D23FB}" name="SEBWageDirectorFeePYApp5" dataDxfId="1364"/>
    <tableColumn id="112" xr3:uid="{19712811-CE9E-4BBC-8021-A54BE6B088EC}" name="SEBWageDirectorFeePYApp6" dataDxfId="1363"/>
    <tableColumn id="205" xr3:uid="{9280AD62-2C95-418C-AEE1-FB5501434D71}" name="SEBWageDirectorFeeAnnualIncomeApp1" dataDxfId="1362"/>
    <tableColumn id="206" xr3:uid="{0A2477C0-4B90-4899-8B80-0CC6DA932E25}" name="SEBWageDirectorFeeAnnualIncomeApp2" dataDxfId="1361"/>
    <tableColumn id="207" xr3:uid="{E954C496-8159-4553-9387-E1E8B5DF1FB4}" name="SEBWageDirectorFeeAnnualIncomeApp3" dataDxfId="1360"/>
    <tableColumn id="208" xr3:uid="{7B26A533-EE15-4534-A3C1-822A96025218}" name="SEBWageDirectorFeeAnnualIncomeApp4" dataDxfId="1359"/>
    <tableColumn id="209" xr3:uid="{004AF981-2F7E-45AC-93A3-9EEE6E130569}" name="SEBWageDirectorFeeAnnualIncomeApp5" dataDxfId="1358"/>
    <tableColumn id="210" xr3:uid="{F9085FDE-572B-4AF0-8668-805ADB2547A7}" name="SEBWageDirectorFeeAnnualIncomeApp6" dataDxfId="1357"/>
    <tableColumn id="211" xr3:uid="{1E711B35-80FF-4F14-BE41-4AF77469BC40}" name="SEBDividendsLYApp1" dataDxfId="1356"/>
    <tableColumn id="212" xr3:uid="{42E4D10F-4C97-4C28-8246-D84D3B18E7D3}" name="SEBDividendsLYApp2" dataDxfId="1355"/>
    <tableColumn id="213" xr3:uid="{4870B013-C25B-4B86-867E-E24457CB6BB0}" name="SEBDividendsLYApp3" dataDxfId="1354"/>
    <tableColumn id="214" xr3:uid="{867DCDA7-C11C-4D1A-8306-FA49B73BEDA0}" name="SEBDividendsLYApp4" dataDxfId="1353"/>
    <tableColumn id="215" xr3:uid="{1FAAB98B-905C-44F0-976F-B679A1A0E961}" name="SEBDividendsLYApp5" dataDxfId="1352"/>
    <tableColumn id="216" xr3:uid="{F726101E-9240-46B5-A54C-FB25FDD40274}" name="SEBDividendsLYApp6" dataDxfId="1351"/>
    <tableColumn id="217" xr3:uid="{59C13176-55ED-45CD-80D8-B649F0F3DED4}" name="SEBDividendsPYApp1" dataDxfId="1350"/>
    <tableColumn id="218" xr3:uid="{6795BE82-CA68-408E-9FDA-179A973187CA}" name="SEBDividendsPYApp2" dataDxfId="1349"/>
    <tableColumn id="219" xr3:uid="{4EC7E461-A0A8-43A9-8CB8-BF82A7B5E9BD}" name="SEBDividendsPYApp3" dataDxfId="1348"/>
    <tableColumn id="220" xr3:uid="{B83CD172-9A1C-4064-AF86-480C7C8FE807}" name="SEBDividendsPYApp4" dataDxfId="1347"/>
    <tableColumn id="221" xr3:uid="{1E5819A2-F3E3-468C-9D2B-5AFF723DCEAF}" name="SEBDividendsPYApp5" dataDxfId="1346"/>
    <tableColumn id="222" xr3:uid="{D9CF64E0-9EDF-4399-ACC3-AFBA40B5F4EC}" name="SEBDividendsPYApp6" dataDxfId="1345"/>
    <tableColumn id="223" xr3:uid="{A4FB1652-C7FD-48CC-A384-49DA307CA5F3}" name="SEBFrankingCreditLYApp1" dataDxfId="1344"/>
    <tableColumn id="224" xr3:uid="{5AF14D97-4516-4A0E-9E2D-6D6551E48F40}" name="SEBFrankingCreditLYApp2" dataDxfId="1343"/>
    <tableColumn id="225" xr3:uid="{1ACD4A70-E972-4C3D-8BC9-DE71A86AF527}" name="SEBFrankingCreditLYApp3" dataDxfId="1342"/>
    <tableColumn id="226" xr3:uid="{B874D210-EBD1-4F93-83B6-3248E33367F6}" name="SEBFrankingCreditLYApp4" dataDxfId="1341"/>
    <tableColumn id="227" xr3:uid="{59303C3A-9871-4A25-91A8-8538622D8BB1}" name="SEBFrankingCreditLYApp5" dataDxfId="1340"/>
    <tableColumn id="228" xr3:uid="{DF01E683-1971-48B7-B61B-08BFFFEBF678}" name="SEBFrankingCreditLYApp6" dataDxfId="1339"/>
    <tableColumn id="229" xr3:uid="{623C8B62-0FE9-4A35-8875-42411A816006}" name="SEBFrankingCreditPYApp1" dataDxfId="1338"/>
    <tableColumn id="230" xr3:uid="{304D4604-79F5-4610-A2C0-91EF5C36E53A}" name="SEBFrankingCreditPYApp2" dataDxfId="1337"/>
    <tableColumn id="231" xr3:uid="{9A2B8143-C27C-4B0F-BF24-432446190C5C}" name="SEBFrankingCreditPYApp3" dataDxfId="1336"/>
    <tableColumn id="232" xr3:uid="{3E74B5EA-E862-4DDD-BD07-ED0FE86A4CAD}" name="SEBFrankingCreditPYApp4" dataDxfId="1335"/>
    <tableColumn id="233" xr3:uid="{82AF7579-32DD-4888-AC65-74D46D14CFCF}" name="SEBFrankingCreditPYApp5" dataDxfId="1334"/>
    <tableColumn id="234" xr3:uid="{38F95FAB-C431-4FEC-840C-E13D1B259B54}" name="SEBFrankingCreditPYApp6" dataDxfId="1333"/>
    <tableColumn id="89" xr3:uid="{FD7E8BAF-E77C-4A68-A863-3918D2142BC5}" name="SEBDividendAnnualIncomeApp1" dataDxfId="1332"/>
    <tableColumn id="90" xr3:uid="{91365698-0213-4DD1-A198-308EEB6236CA}" name="SEBDividendAnnualIncomeApp2" dataDxfId="1331"/>
    <tableColumn id="91" xr3:uid="{41FF3877-C12F-400E-A9AC-1925A678278C}" name="SEBDividendAnnualIncomeApp3" dataDxfId="1330"/>
    <tableColumn id="92" xr3:uid="{4340498A-FB09-4370-A67F-71AE37B68901}" name="SEBDividendAnnualIncomeApp4" dataDxfId="1329"/>
    <tableColumn id="93" xr3:uid="{569E34D8-E9B9-4B69-8430-B19D80E0951C}" name="SEBDividendAnnualIncomeApp5" dataDxfId="1328"/>
    <tableColumn id="94" xr3:uid="{68EA76EA-3141-4075-ACA0-84A3F73A3484}" name="SEBDividendAnnualIncomeApp6" dataDxfId="1327"/>
    <tableColumn id="235" xr3:uid="{65326A54-E0D9-443D-81F7-6BFF43C498F6}" name="SEBCompanyShareholdingLYApp1" dataDxfId="1326"/>
    <tableColumn id="236" xr3:uid="{3A8E7C58-F8DD-41E7-B4E5-61002F09FC9C}" name="SEBCompanyShareholdingLYApp2" dataDxfId="1325"/>
    <tableColumn id="237" xr3:uid="{8181A317-009F-48F9-9E4F-2D751ED24E3C}" name="SEBCompanyShareholdingLYApp3" dataDxfId="1324"/>
    <tableColumn id="238" xr3:uid="{D437E743-9584-498B-8212-DD86AB94CCEF}" name="SEBCompanyShareholdingLYApp4" dataDxfId="1323"/>
    <tableColumn id="239" xr3:uid="{562B814B-A525-41B1-9B73-A5AD84E1D029}" name="SEBCompanyShareholdingLYApp5" dataDxfId="1322"/>
    <tableColumn id="240" xr3:uid="{10BF56B0-4DB2-4F24-880F-81F781FB6BFF}" name="SEBCompanyShareholdingLYApp6" dataDxfId="1321"/>
    <tableColumn id="241" xr3:uid="{C06EFD70-B144-4538-99FA-28D2E0F20E04}" name="SEBCompanyShareholdingPYApp1" dataDxfId="1320"/>
    <tableColumn id="242" xr3:uid="{DAC7FAC1-476D-45F7-9EF3-565E787A4409}" name="SEBCompanyShareholdingPYApp2" dataDxfId="1319"/>
    <tableColumn id="243" xr3:uid="{400E5863-8089-476B-9780-7110F5E310BA}" name="SEBCompanyShareholdingPYApp3" dataDxfId="1318"/>
    <tableColumn id="244" xr3:uid="{5B038C0F-A0E7-4002-BD33-2F368017A1B2}" name="SEBCompanyShareholdingPYApp4" dataDxfId="1317"/>
    <tableColumn id="245" xr3:uid="{70E1DF34-4B83-4A03-862C-3B2B52E4B05B}" name="SEBCompanyShareholdingPYApp5" dataDxfId="1316"/>
    <tableColumn id="246" xr3:uid="{3D522E2D-F742-4CF0-86B1-E073EE0F2CFA}" name="SEBCompanyShareholdingPYApp6" dataDxfId="1315"/>
    <tableColumn id="20" xr3:uid="{32105CC3-B188-46E0-86C7-3B002C8F1585}" name="SEBUndistributedProfitFlagApp1" dataDxfId="1314"/>
    <tableColumn id="21" xr3:uid="{51759DA8-6CC7-43DE-9317-476D544B8BC1}" name="SEBUndistributedProfitFlagApp2" dataDxfId="1313"/>
    <tableColumn id="22" xr3:uid="{6F15FD01-B539-47F8-A92C-5F6209080718}" name="SEBUndistributedProfitFlagApp3" dataDxfId="1312"/>
    <tableColumn id="23" xr3:uid="{EFF720F2-80A3-42A6-81A1-F387EE89E6DC}" name="SEBUndistributedProfitFlagApp4" dataDxfId="1311"/>
    <tableColumn id="24" xr3:uid="{62CCF62C-6887-4B47-9030-171BB56B3B69}" name="SEBUndistributedProfitFlagApp5" dataDxfId="1310"/>
    <tableColumn id="25" xr3:uid="{CAFB4D12-5DDE-4ACC-8D9E-3FC18BB5C2FE}" name="SEBUndistributedProfitFlagApp6" dataDxfId="1309"/>
    <tableColumn id="26" xr3:uid="{B4CB69E8-2FF9-4185-B738-F6B2C423D3AE}" name="SEBTrustExcessIncomeFlagApp1" dataDxfId="1308"/>
    <tableColumn id="247" xr3:uid="{8D48917D-2A85-40BE-BE86-EC8DF4048C62}" name="SEBTrustExcessIncomeFlagApp2" dataDxfId="1307"/>
    <tableColumn id="248" xr3:uid="{DCFE2294-1B06-40A3-B053-45D11614F8AC}" name="SEBTrustExcessIncomeFlagApp3" dataDxfId="1306"/>
    <tableColumn id="249" xr3:uid="{381817E9-14C8-42FA-BCB5-D081DA0FC5B9}" name="SEBTrustExcessIncomeFlagApp4" dataDxfId="1305"/>
    <tableColumn id="250" xr3:uid="{65A2A01A-33E7-4EDB-8EEE-690CD14AF6C0}" name="SEBTrustExcessIncomeFlagApp5" dataDxfId="1304"/>
    <tableColumn id="251" xr3:uid="{85792DBA-F782-40D3-A80C-28621FCB5CDD}" name="SEBTrustExcessIncomeFlagApp6" dataDxfId="1303"/>
    <tableColumn id="28" xr3:uid="{31AE60C4-3B84-488B-B735-6AC703B7CEA6}" name="SEBNetProfitLossLY" dataDxfId="1302"/>
    <tableColumn id="255" xr3:uid="{3E68F305-5305-4699-A0E4-3BD60E5D1EA8}" name="SEBNetProfitLossPY" dataDxfId="1301"/>
    <tableColumn id="29" xr3:uid="{AAA9468D-EB2B-4591-BE77-282FB845D490}" name="SEBHistoricalInterestLeaseHirePurchaseLY" dataDxfId="1300"/>
    <tableColumn id="256" xr3:uid="{51BB2BA5-E92F-413F-9209-641E68526693}" name="SEBHistoricalInterestLeaseHirePurchasePY" dataDxfId="1299"/>
    <tableColumn id="30" xr3:uid="{474C7F23-F723-4D96-947A-1C746D4A9E2D}" name="SEBDepreciationAmortisationLY" dataDxfId="1298"/>
    <tableColumn id="257" xr3:uid="{0E5D63DF-8627-40E5-9BED-244096136F80}" name="SEBDepreciationAmortisationPY" dataDxfId="1297"/>
    <tableColumn id="31" xr3:uid="{56108BC8-4DFC-400C-BD0B-799EF9E45A6A}" name="SEBOtherAdditionsName1" dataDxfId="1296"/>
    <tableColumn id="32" xr3:uid="{A3DB815E-591C-4617-902D-5DE9D8FE38C3}" name="SEBOtherAdditionsName2" dataDxfId="1295"/>
    <tableColumn id="33" xr3:uid="{1690D828-FCCC-4755-A651-5137895E00A3}" name="SEBOtherAdditionsName3" dataDxfId="1294"/>
    <tableColumn id="34" xr3:uid="{39A8EEDC-24B4-4DD4-B8C4-454306BEFCAA}" name="SEBOtherAdditionsName4" dataDxfId="1293"/>
    <tableColumn id="35" xr3:uid="{D79FAE01-B4DC-456F-A58D-53C0C49BD8AB}" name="SEBOtherAdditionsName5" dataDxfId="1292"/>
    <tableColumn id="36" xr3:uid="{4A946C39-A160-485B-BEEF-DD5FE04096CF}" name="SEBOtherAdditionsLY1" dataDxfId="1291"/>
    <tableColumn id="37" xr3:uid="{C3B4A2A0-B5DA-4CFA-9BAE-401606EF53F8}" name="SEBOtherAdditionsLY2" dataDxfId="1290"/>
    <tableColumn id="38" xr3:uid="{955DA2FF-C10D-4AE3-B876-E32C0FE63A31}" name="SEBOtherAdditionsLY3" dataDxfId="1289"/>
    <tableColumn id="39" xr3:uid="{0C707AB5-AC57-4606-B1D6-DEDFF3BADCC9}" name="SEBOtherAdditionsLY4" dataDxfId="1288"/>
    <tableColumn id="41" xr3:uid="{A54A1644-5179-4C83-AFFD-3161D23D7E12}" name="SEBOtherAdditionsLY5" dataDxfId="1287"/>
    <tableColumn id="42" xr3:uid="{336F17B4-3B45-40A5-AA82-B9005DF4D434}" name="SEBOtherAdditionsPY1" dataDxfId="1286"/>
    <tableColumn id="43" xr3:uid="{F8EBE8CF-FB1C-4F99-A557-B0BC40F650CB}" name="SEBOtherAdditionsPY2" dataDxfId="1285"/>
    <tableColumn id="44" xr3:uid="{07A4248B-79BB-412E-9667-E7F93621709D}" name="SEBOtherAdditionsPY3" dataDxfId="1284"/>
    <tableColumn id="45" xr3:uid="{0708923B-C4AF-4674-9539-7CE23CCDDCE1}" name="SEBOtherAdditionsPY4" dataDxfId="1283"/>
    <tableColumn id="46" xr3:uid="{FE5F2EE9-1EBB-43A2-B6CA-7DBBA7AE2155}" name="SEBOtherAdditionsPY5" dataDxfId="1282"/>
    <tableColumn id="47" xr3:uid="{070D0DB1-D69E-4CCE-9BE5-7A50DEB0E700}" name="SEBOtherAdditionsNote1" dataDxfId="1281"/>
    <tableColumn id="48" xr3:uid="{A623821B-8F77-45C8-AC31-07FADEA80410}" name="SEBOtherAdditionsNote2" dataDxfId="1280"/>
    <tableColumn id="49" xr3:uid="{DA78DB56-FCCC-47F1-ADE7-0739AF171F71}" name="SEBOtherAdditionsNote3" dataDxfId="1279"/>
    <tableColumn id="50" xr3:uid="{FE36829B-3A98-4E4B-BD81-C5C5907671ED}" name="SEBOtherAdditionsNote4" dataDxfId="1278"/>
    <tableColumn id="51" xr3:uid="{878302F6-D2CF-4C72-94E1-5DE67A7136A0}" name="SEBOtherAdditionsNote5" dataDxfId="1277"/>
    <tableColumn id="52" xr3:uid="{BFFB8796-CE80-4B77-91D4-97E7F888559D}" name="SEBOtherSubtractionsName1" dataDxfId="1276"/>
    <tableColumn id="84" xr3:uid="{2969A995-FF31-418A-97AE-73774336A4C1}" name="SEBOtherSubtractionsName2" dataDxfId="1275"/>
    <tableColumn id="85" xr3:uid="{74D7B8A3-9F86-4CBD-A201-C6C77185B819}" name="SEBOtherSubtractionsName3" dataDxfId="1274"/>
    <tableColumn id="86" xr3:uid="{455409D5-1892-40CC-9ECD-7917979B8FB4}" name="SEBOtherSubtractionsName4" dataDxfId="1273"/>
    <tableColumn id="58" xr3:uid="{44A0C5C3-D760-4770-833D-C3FF34AD710D}" name="SEBOtherSubtractionsName5" dataDxfId="1272"/>
    <tableColumn id="59" xr3:uid="{6F042153-397A-415E-80C8-93A34A428436}" name="SEBOtherSubtractionsLY1" dataDxfId="1271"/>
    <tableColumn id="66" xr3:uid="{C1441639-03B0-47AE-99B9-FBF035C2E71F}" name="SEBOtherSubtractionsLY2" dataDxfId="1270"/>
    <tableColumn id="67" xr3:uid="{711D63DC-313D-4459-B4CA-1E8A4ABCD07A}" name="SEBOtherSubtractionsLY3" dataDxfId="1269"/>
    <tableColumn id="64" xr3:uid="{C1FE21EE-28EC-4436-99D6-F49B7027CC53}" name="SEBOtherSubtractionsLY4" dataDxfId="1268"/>
    <tableColumn id="65" xr3:uid="{B03DDAB3-5A37-4A0F-9A4B-C093AC95C1DB}" name="SEBOtherSubtractionsLY5" dataDxfId="1267"/>
    <tableColumn id="62" xr3:uid="{193CCA4F-4AC5-4887-B9D0-37EE0C9D9AE8}" name="SEBOtherSubtractionsPY1" dataDxfId="1266"/>
    <tableColumn id="63" xr3:uid="{A63E4AE2-33B0-4F7A-8E6F-FC6268C2C96B}" name="SEBOtherSubtractionsPY2" dataDxfId="1265"/>
    <tableColumn id="57" xr3:uid="{A15CDDF7-366C-465F-8CE4-90E76DA8B7DF}" name="SEBOtherSubtractionsPY3" dataDxfId="1264"/>
    <tableColumn id="60" xr3:uid="{835382A1-A311-4E30-99EA-E391F071A42C}" name="SEBOtherSubtractionsPY4" dataDxfId="1263"/>
    <tableColumn id="78" xr3:uid="{4AD6B139-BBA7-4F61-90F0-AB5AAB284B6B}" name="SEBOtherSubtractionsPY5" dataDxfId="1262"/>
    <tableColumn id="79" xr3:uid="{A5A101E3-8DD2-4813-A8A7-48BBCD5618BF}" name="SEBOtherSubtractionsNote1" dataDxfId="1261"/>
    <tableColumn id="80" xr3:uid="{785ECF74-766A-48D6-BF06-67140BBC870A}" name="SEBOtherSubtractionsNote2" dataDxfId="1260"/>
    <tableColumn id="81" xr3:uid="{576859DD-3A80-4620-9F1C-B900C9D00A13}" name="SEBOtherSubtractionsNote3" dataDxfId="1259"/>
    <tableColumn id="82" xr3:uid="{349DD478-01B3-427A-9BFD-D4CFC87457CD}" name="SEBOtherSubtractionsNote4" dataDxfId="1258"/>
    <tableColumn id="83" xr3:uid="{74468B99-89B5-44CC-9CD0-10F62082A4C8}" name="SEBOtherSubtractionsNote5" dataDxfId="1257"/>
    <tableColumn id="258" xr3:uid="{084E8C8D-BBBA-4AE3-AE3F-7B6EA3182834}" name="SEBNetRentalIncomeAdjustmentLY" dataDxfId="1256"/>
    <tableColumn id="259" xr3:uid="{0894B025-271C-4092-8C30-C596D5160422}" name="SEBNetRentalIncomeAdjustmentPY" dataDxfId="1255"/>
    <tableColumn id="264" xr3:uid="{BA9F8B8F-9850-4E20-B927-C802FC064FF6}" name="SEBInterestLeaseCostTaxDeductibleLY" dataDxfId="1254"/>
    <tableColumn id="265" xr3:uid="{317631D0-4C2F-4F88-8384-0214F0371E40}" name="SEBInterestLeaseCostTaxDeductiblePY" dataDxfId="1253"/>
    <tableColumn id="262" xr3:uid="{832B726C-BE38-4846-884D-E416A4DB4BE2}" name="SEBInterestNonDeductibleLY" dataDxfId="1252"/>
    <tableColumn id="263" xr3:uid="{B6CBA4EF-EBED-481F-A254-A700FE250441}" name="SEBInterestNonDeductiblePY" dataDxfId="1251"/>
    <tableColumn id="261" xr3:uid="{7866C5EA-DC56-45DB-9204-914403B843D9}" name="SEBPrincipalLoanRepaymentsLY" dataDxfId="1250"/>
    <tableColumn id="260" xr3:uid="{BFFE9EC6-67CE-486B-B72F-08010FE36100}" name="SEBPrincipalLoanRepaymentsPY" dataDxfId="1249"/>
    <tableColumn id="266" xr3:uid="{AFF68754-3574-40BA-AFEE-DE340006B11D}" name="SEBTaxRateLY" dataDxfId="1248"/>
    <tableColumn id="267" xr3:uid="{442A038A-2A30-442D-9773-376748021EAB}" name="SEBTaxRatePY" dataDxfId="1247"/>
    <tableColumn id="268" xr3:uid="{6ECE25F0-F590-465A-A344-276C51B1C39C}" name="SEBTaxPayableLY" dataDxfId="1246"/>
    <tableColumn id="269" xr3:uid="{13A16123-8B5F-4FA1-A7BC-5529B51F42F8}" name="SEBTaxPayablePY" dataDxfId="1245"/>
    <tableColumn id="277" xr3:uid="{16EFB624-21B6-4071-ABBD-876C93F8D5E6}" name="SEBAdjustedNetProfitLY" dataDxfId="1244"/>
    <tableColumn id="276" xr3:uid="{C1650B5C-93AE-47DF-9E08-A148474740DD}" name="SEBAdjustedNetProfitPY" dataDxfId="1243"/>
    <tableColumn id="270" xr3:uid="{7AC8634D-579B-43F9-9DE9-3D454CE882F9}" name="SEBAdjustedNetProfitAfterTaxAndRepaymentsLY" dataDxfId="1242"/>
    <tableColumn id="271" xr3:uid="{9DCA9946-0655-481B-9B90-3BBA50A74F71}" name="SEBAdjustedNetProfitAfterTaxAndRepaymentsPY" dataDxfId="1241"/>
    <tableColumn id="272" xr3:uid="{242029F3-4FD8-4CC7-A4C0-86A748879D01}" name="SEBHistoricDividendsLY" dataDxfId="1240"/>
    <tableColumn id="273" xr3:uid="{D329390B-51CA-4D38-A65B-885CE358E484}" name="SEBHistoricDividendsPY" dataDxfId="1239"/>
    <tableColumn id="274" xr3:uid="{749A7F36-C71E-40E6-AF41-9AF256E436CF}" name="SEBUndistributedCompanyProfitsLY" dataDxfId="1238"/>
    <tableColumn id="275" xr3:uid="{7FF7566B-1468-43C5-A54F-B7EC75FC93CC}" name="SEBUndistributedCompanyProfitsPY" dataDxfId="1237"/>
    <tableColumn id="27" xr3:uid="{325EEAC3-5E2E-48C7-A94C-9BEF096F9B76}" name="SEBIncomeGrowthThresholdCheck" dataDxfId="1236"/>
    <tableColumn id="15" xr3:uid="{4D6EB3D8-BD64-450C-8B2B-535E377ACC1F}" name="SEBMessageID" dataDxfId="1235"/>
    <tableColumn id="193" xr3:uid="{CB552217-1E4D-4781-8C1E-2925671F8C8D}" name="SEBShareholdingAssociatedBusiness1" dataDxfId="1234"/>
    <tableColumn id="194" xr3:uid="{FB0AA5B7-6595-4BC4-BC9B-506BC2868B56}" name="SEBShareholdingAssociatedBusiness2" dataDxfId="1233"/>
    <tableColumn id="195" xr3:uid="{E60C7E73-6A4D-406A-A014-70D88A012318}" name="SEBShareholdingAssociatedBusiness3" dataDxfId="1232"/>
    <tableColumn id="196" xr3:uid="{EF4FBD3E-3F23-4F02-95C8-2555BAE7F3D8}" name="SEBShareholdingAssociatedBusiness4" dataDxfId="1231"/>
    <tableColumn id="197" xr3:uid="{E11A2BAE-5BA2-489B-85F4-E96F2B17B602}" name="SEBShareholdingAssociatedBusiness5" dataDxfId="1230"/>
    <tableColumn id="198" xr3:uid="{8AF7947B-EBC9-4A56-AC6A-D28E65AB09CA}" name="SEBShareholdingAssociatedBusiness6" dataDxfId="1229"/>
    <tableColumn id="282" xr3:uid="{526E0FD3-F3BD-4027-859F-AF762E8DF0CB}" name="SEBShareholdingAssociatedBusiness7" dataDxfId="1228"/>
    <tableColumn id="283" xr3:uid="{EA45516C-F988-469D-AA37-7C1EF0B6B663}" name="SEBShareholdingAssociatedBusiness8" dataDxfId="1227"/>
    <tableColumn id="284" xr3:uid="{4AEF6F85-4250-4F40-B180-864C4843EF61}" name="SEBShareholdingAssociatedBusiness9" dataDxfId="1226"/>
    <tableColumn id="285" xr3:uid="{8D202921-6F6C-498E-88DE-BA4784E2DB17}" name="SEBShareholdingAssociatedBusiness10" dataDxfId="1225"/>
    <tableColumn id="286" xr3:uid="{17CEE32E-C4B6-4DAF-B536-FD1136B8DB91}" name="SEBShareholdingAssociatedBusiness11" dataDxfId="1224"/>
    <tableColumn id="287" xr3:uid="{D3B73AA7-B642-4ECF-A808-8D665E5E0C96}" name="SEBShareholdingAssociatedBusiness12" dataDxfId="1223"/>
    <tableColumn id="288" xr3:uid="{704CEB60-C0CF-4B1F-B704-8D05A1C3CD29}" name="SEBShareholdingAssociatedBusiness13" dataDxfId="1222"/>
    <tableColumn id="289" xr3:uid="{6254B453-9586-4D70-8CC1-90675CFD1EF3}" name="SEBShareholdingAssociatedBusiness14" dataDxfId="1221"/>
    <tableColumn id="290" xr3:uid="{51D4F1D4-397D-453E-9FAF-0F130B2CA3CD}" name="SEBShareholdingAssociatedBusiness15" dataDxfId="1220"/>
    <tableColumn id="291" xr3:uid="{B77D1140-0411-4949-998D-CF50B74F0D48}" name="SEBShareholdingAssociatedBusiness16" dataDxfId="1219"/>
    <tableColumn id="292" xr3:uid="{1FB5D9A9-D187-4701-A64A-912B07449240}" name="SEBShareholdingAssociatedBusiness17" dataDxfId="1218"/>
    <tableColumn id="293" xr3:uid="{95095D6B-CAD2-4C5D-91E4-015049CB1920}" name="SEBShareholdingAssociatedBusiness18" dataDxfId="1217"/>
    <tableColumn id="294" xr3:uid="{76798DFD-F4B7-4266-A970-08A3C8DCF649}" name="SEBShareholdingAssociatedBusiness19" dataDxfId="1216"/>
    <tableColumn id="295" xr3:uid="{6FB34348-D982-499C-A18C-F9A37F52E157}" name="SEBShareholdingAssociatedBusiness20" dataDxfId="1215"/>
    <tableColumn id="296" xr3:uid="{8AB94ACE-1B02-4134-B06D-F418D6ACD8E9}" name="SEBShareholdingAssociatedBusiness21" dataDxfId="1214"/>
    <tableColumn id="297" xr3:uid="{5B9AF318-DCA3-45F8-90DC-722F33D02789}" name="SEBShareholdingAssociatedBusiness22" dataDxfId="1213"/>
    <tableColumn id="298" xr3:uid="{D3A1338E-CAF5-475E-A4F1-B8DBBF839739}" name="SEBShareholdingAssociatedBusiness23" dataDxfId="1212"/>
    <tableColumn id="299" xr3:uid="{B3070B7B-F9A7-4146-BE75-04C4BA72A397}" name="SEBShareholdingAssociatedBusiness24" dataDxfId="1211"/>
    <tableColumn id="300" xr3:uid="{DF4EC2B3-A6F6-4E9F-9C47-BDB7B2369DC4}" name="SEBShareholdingAssociatedBusiness25" dataDxfId="1210"/>
    <tableColumn id="301" xr3:uid="{90CC7D9A-D1E6-4A26-968D-604D66085C6A}" name="SEBShareholdingAssociatedBusiness26" dataDxfId="1209"/>
    <tableColumn id="302" xr3:uid="{1B6B50B1-7ABB-4FA7-B556-E65E9B07346E}" name="SEBShareholdingAssociatedBusiness27" dataDxfId="1208"/>
    <tableColumn id="303" xr3:uid="{05FDD05C-2920-4E29-8FF5-9B7393306B4D}" name="SEBShareholdingAssociatedBusiness28" dataDxfId="1207"/>
    <tableColumn id="304" xr3:uid="{F05BEA8E-1B96-4A4B-8A48-0B82A24F1E24}" name="SEBShareholdingAssociatedBusiness29" dataDxfId="1206"/>
    <tableColumn id="305" xr3:uid="{09631D69-6A36-469D-88BB-BF9841361D47}" name="SEBShareholdingAssociatedBusiness30" dataDxfId="1205"/>
    <tableColumn id="306" xr3:uid="{24D32F0B-3F74-4357-A0CE-F1B51C512AF2}" name="SEBShareholdingAssociatedBusiness31" dataDxfId="1204"/>
    <tableColumn id="307" xr3:uid="{3FD3E352-2E2D-4180-9126-5D729498655E}" name="SEBShareholdingAssociatedBusiness32" dataDxfId="1203"/>
    <tableColumn id="308" xr3:uid="{3D4E0BAB-889E-40AF-B5E8-BD7A05FF83C5}" name="SEBShareholdingAssociatedBusiness33" dataDxfId="1202"/>
    <tableColumn id="309" xr3:uid="{0C6F43A4-0F81-4733-A131-DB032F6D7408}" name="SEBShareholdingAssociatedBusiness34" dataDxfId="1201"/>
    <tableColumn id="310" xr3:uid="{36B06AA5-02FD-454C-9C2F-7F564E19121A}" name="SEBShareholdingAssociatedBusiness35" dataDxfId="1200"/>
    <tableColumn id="311" xr3:uid="{998DE0EF-382D-4181-996A-532F41269E7D}" name="SEBShareholdingAssociatedBusiness36" dataDxfId="1199"/>
    <tableColumn id="312" xr3:uid="{E2DEEB84-3EFB-4151-84D4-2D4A88D2469A}" name="SEBShareholdingAssociatedBusiness37" dataDxfId="1198"/>
    <tableColumn id="313" xr3:uid="{817AFCC7-26CD-4AEA-A893-F2AC89DAA13B}" name="SEBShareholdingAssociatedBusiness38" dataDxfId="1197"/>
    <tableColumn id="314" xr3:uid="{C71306AA-D457-477A-8C02-251701193A20}" name="SEBShareholdingAssociatedBusiness39" dataDxfId="1196"/>
    <tableColumn id="315" xr3:uid="{D286A646-DE5E-4144-AD0C-62F288BD03EC}" name="SEBShareholdingAssociatedBusiness40" dataDxfId="1195"/>
    <tableColumn id="316" xr3:uid="{75DDD02A-5A84-4677-B57C-7580595F860D}" name="SEBShareholdingAssociatedBusiness41" dataDxfId="1194"/>
    <tableColumn id="317" xr3:uid="{884F289A-E11D-47A3-9486-BFD136FD7255}" name="SEBShareholdingAssociatedBusiness42" dataDxfId="1193"/>
    <tableColumn id="318" xr3:uid="{84A75E5D-DC9D-43B8-9949-3D238E6A9BE0}" name="SEBShareholdingAssociatedBusiness43" dataDxfId="1192"/>
    <tableColumn id="319" xr3:uid="{6DAF3B07-283B-4403-905F-56F13AEC209A}" name="SEBShareholdingAssociatedBusiness44" dataDxfId="1191"/>
    <tableColumn id="320" xr3:uid="{171AE18B-46B4-4FC9-82BA-A35536177EEE}" name="SEBShareholdingAssociatedBusiness45" dataDxfId="1190"/>
    <tableColumn id="321" xr3:uid="{16DFBA5D-5149-4476-A78D-E68B6A3D15BB}" name="SEBShareholdingAssociatedBusiness46" dataDxfId="1189"/>
    <tableColumn id="322" xr3:uid="{711069CA-DD9A-4EF1-9AFA-048DBE5BA2B1}" name="SEBShareholdingAssociatedBusiness47" dataDxfId="1188"/>
    <tableColumn id="323" xr3:uid="{4F01B664-09BE-441F-BE37-1FEB9CD9708B}" name="SEBShareholdingAssociatedBusiness48" dataDxfId="1187"/>
    <tableColumn id="324" xr3:uid="{AA86C9AA-4752-4D73-9E56-F7F790DAB8B0}" name="SEBShareholdingAssociatedBusiness49" dataDxfId="1186"/>
    <tableColumn id="325" xr3:uid="{75E4407C-891B-4CE2-BD38-D9E1B74B88A2}" name="SEBShareholdingAssociatedBusiness50" dataDxfId="1185"/>
    <tableColumn id="326" xr3:uid="{F9FB3ED5-077A-435F-A301-32EA8DD655AE}" name="SEBShareholdingAssociatedBusiness51" dataDxfId="1184"/>
    <tableColumn id="327" xr3:uid="{C9935341-B4A0-4AAD-BE78-B73F3D1A491E}" name="SEBShareholdingAssociatedBusiness52" dataDxfId="1183"/>
    <tableColumn id="328" xr3:uid="{A821693E-1B00-492E-AB49-FC48CB4F76A0}" name="SEBShareholdingAssociatedBusiness53" dataDxfId="1182"/>
    <tableColumn id="329" xr3:uid="{96BB33B7-C0F2-4A73-AF82-E2DA99851819}" name="SEBShareholdingAssociatedBusiness54" dataDxfId="1181"/>
    <tableColumn id="330" xr3:uid="{A60249F9-3A19-4913-8258-33601AFFBF5E}" name="SEBShareholdingAssociatedBusiness55" dataDxfId="1180"/>
    <tableColumn id="331" xr3:uid="{396CDAE1-7CDC-4FAE-87ED-2A6E05780E94}" name="SEBShareholdingAssociatedBusiness56" dataDxfId="1179"/>
    <tableColumn id="332" xr3:uid="{C2ADF078-CE14-4120-88FC-177A1C52B0C4}" name="SEBShareholdingAssociatedBusiness57" dataDxfId="1178"/>
    <tableColumn id="333" xr3:uid="{7403B2F4-2818-463D-872B-2A63E63C443F}" name="SEBShareholdingAssociatedBusiness58" dataDxfId="1177"/>
    <tableColumn id="334" xr3:uid="{2E599004-5FB0-4950-B6EF-6A11D1740B11}" name="SEBShareholdingAssociatedBusiness59" dataDxfId="1176"/>
    <tableColumn id="335" xr3:uid="{6F05EEA9-0B91-40C5-9A7B-54C36712D477}" name="SEBShareholdingAssociatedBusiness60" dataDxfId="1175"/>
    <tableColumn id="336" xr3:uid="{FE05753D-B81C-4359-BE98-B2308C0BD2C6}" name="SEBDistributionAmountAssociatedBusiness1" dataDxfId="1174"/>
    <tableColumn id="337" xr3:uid="{2F24D8FC-9590-4AC8-BADE-3A4FF5FE97C5}" name="SEBDistributionAmountAssociatedBusiness2" dataDxfId="1173"/>
    <tableColumn id="338" xr3:uid="{DA80C060-75CA-4259-AC9E-32D06734E6E2}" name="SEBDistributionAmountAssociatedBusiness3" dataDxfId="1172"/>
    <tableColumn id="339" xr3:uid="{83B89962-046C-4445-8E9F-716E4A07293B}" name="SEBDistributionAmountAssociatedBusiness4" dataDxfId="1171"/>
    <tableColumn id="340" xr3:uid="{B7BCE542-C6E4-4BE8-903C-0AC524FC57DB}" name="SEBDistributionAmountAssociatedBusiness5" dataDxfId="1170"/>
    <tableColumn id="341" xr3:uid="{086A6AB4-24D0-4A21-99AD-D46160470C77}" name="SEBDistributionAmountAssociatedBusiness6" dataDxfId="1169"/>
    <tableColumn id="342" xr3:uid="{9EF91E24-8E1F-4F81-B225-A7E572BACB83}" name="SEBDistributionAmountAssociatedBusiness7" dataDxfId="1168"/>
    <tableColumn id="343" xr3:uid="{081523BA-7415-4569-888E-C1ABD39179A1}" name="SEBDistributionAmountAssociatedBusiness8" dataDxfId="1167"/>
    <tableColumn id="344" xr3:uid="{10D6AA93-F516-43C7-A8BA-FEA867930428}" name="SEBDistributionAmountAssociatedBusiness9" dataDxfId="1166"/>
    <tableColumn id="345" xr3:uid="{2CB67B6D-E227-443F-9885-90F5B20C7C53}" name="SEBDistributionAmountAssociatedBusiness10" dataDxfId="1165"/>
    <tableColumn id="346" xr3:uid="{87366D53-D12E-4A6D-BDE0-E09E24C44467}" name="SEBDistributionAmountAssociatedBusiness11" dataDxfId="1164"/>
    <tableColumn id="347" xr3:uid="{9EE1F64B-4C6B-4F45-9A63-C019FAD44D3C}" name="SEBDistributionAmountAssociatedBusiness12" dataDxfId="1163"/>
    <tableColumn id="348" xr3:uid="{3FB9D6A1-335A-44F2-8975-8ED5B43254A1}" name="SEBDistributionAmountAssociatedBusiness13" dataDxfId="1162"/>
    <tableColumn id="349" xr3:uid="{48FE437A-D2F9-42CC-8EC3-2A326DE55280}" name="SEBDistributionAmountAssociatedBusiness14" dataDxfId="1161"/>
    <tableColumn id="350" xr3:uid="{FD4DF7DF-1F47-4746-8462-5F8D9150100F}" name="SEBDistributionAmountAssociatedBusiness15" dataDxfId="1160"/>
    <tableColumn id="351" xr3:uid="{A6CC2722-4E58-44AA-8DC3-8FA17398555F}" name="SEBDistributionAmountAssociatedBusiness16" dataDxfId="1159"/>
    <tableColumn id="352" xr3:uid="{4BEFE6A8-57F0-4961-86B3-5655D13FD68D}" name="SEBDistributionAmountAssociatedBusiness17" dataDxfId="1158"/>
    <tableColumn id="353" xr3:uid="{E7211AA8-BEE6-4EB9-AA9F-7A9EDC8DEAF0}" name="SEBDistributionAmountAssociatedBusiness18" dataDxfId="1157"/>
    <tableColumn id="354" xr3:uid="{811359DE-34E6-47E3-A7BA-5AF93D5A07AE}" name="SEBDistributionAmountAssociatedBusiness19" dataDxfId="1156"/>
    <tableColumn id="355" xr3:uid="{F5C85E81-0B46-4CC8-8A54-92749C67953C}" name="SEBDistributionAmountAssociatedBusiness20" dataDxfId="1155"/>
    <tableColumn id="356" xr3:uid="{78B5FA8E-0107-4C30-8969-C8D8C3A6BCD6}" name="SEBDistributionAmountAssociatedBusiness21" dataDxfId="1154"/>
    <tableColumn id="357" xr3:uid="{F92E6B8B-330F-497A-A797-D891D50A018A}" name="SEBDistributionAmountAssociatedBusiness22" dataDxfId="1153"/>
    <tableColumn id="358" xr3:uid="{6536282C-18A3-4012-A6EF-286D59DD27B0}" name="SEBDistributionAmountAssociatedBusiness23" dataDxfId="1152"/>
    <tableColumn id="359" xr3:uid="{1813B7D9-995B-4BDB-9167-9AC31156EC66}" name="SEBDistributionAmountAssociatedBusiness24" dataDxfId="1151"/>
    <tableColumn id="360" xr3:uid="{7DFD3702-6CE4-4EA8-BEFC-58876378A1CA}" name="SEBDistributionAmountAssociatedBusiness25" dataDxfId="1150"/>
    <tableColumn id="361" xr3:uid="{FD0FE552-B0C8-4483-8B54-9F3524CC3474}" name="SEBDistributionAmountAssociatedBusiness26" dataDxfId="1149"/>
    <tableColumn id="362" xr3:uid="{E6290912-80F7-4B7C-A715-CBCA856CD26E}" name="SEBDistributionAmountAssociatedBusiness27" dataDxfId="1148"/>
    <tableColumn id="363" xr3:uid="{586AEE62-5DB3-4784-9D69-338355DB853E}" name="SEBDistributionAmountAssociatedBusiness28" dataDxfId="1147"/>
    <tableColumn id="364" xr3:uid="{6630B636-F3B2-4F65-9BF3-F85A099BF336}" name="SEBDistributionAmountAssociatedBusiness29" dataDxfId="1146"/>
    <tableColumn id="365" xr3:uid="{EC325C9D-F593-446B-BE32-2796123437E4}" name="SEBDistributionAmountAssociatedBusiness30" dataDxfId="1145"/>
    <tableColumn id="366" xr3:uid="{247EC688-B895-4998-B65D-843E67A0AF41}" name="SEBDistributionAmountAssociatedBusiness31" dataDxfId="1144"/>
    <tableColumn id="367" xr3:uid="{5046FC6C-6030-43FD-A35C-CAABE240ED8B}" name="SEBDistributionAmountAssociatedBusiness32" dataDxfId="1143"/>
    <tableColumn id="368" xr3:uid="{F02480D9-DADF-4D17-82A3-B036295D6FF9}" name="SEBDistributionAmountAssociatedBusiness33" dataDxfId="1142"/>
    <tableColumn id="369" xr3:uid="{72200168-17A3-465C-8EAF-25CBCE3F880E}" name="SEBDistributionAmountAssociatedBusiness34" dataDxfId="1141"/>
    <tableColumn id="370" xr3:uid="{1CE8107D-CA72-4C26-A9E8-A8BED73BD18A}" name="SEBDistributionAmountAssociatedBusiness35" dataDxfId="1140"/>
    <tableColumn id="371" xr3:uid="{CC2A67FA-DD3B-412C-921A-1D605D0D787A}" name="SEBDistributionAmountAssociatedBusiness36" dataDxfId="1139"/>
    <tableColumn id="372" xr3:uid="{82E3D299-B314-4ED5-9779-A7FC07469654}" name="SEBDistributionAmountAssociatedBusiness37" dataDxfId="1138"/>
    <tableColumn id="373" xr3:uid="{52339A1C-C6EF-4196-B4DC-E7A578E69A30}" name="SEBDistributionAmountAssociatedBusiness38" dataDxfId="1137"/>
    <tableColumn id="374" xr3:uid="{88AF227A-B97B-47C5-90B4-4B4BC596B920}" name="SEBDistributionAmountAssociatedBusiness39" dataDxfId="1136"/>
    <tableColumn id="375" xr3:uid="{B5717643-1E82-4CDC-82FA-D73D238FDBC8}" name="SEBDistributionAmountAssociatedBusiness40" dataDxfId="1135"/>
    <tableColumn id="376" xr3:uid="{63FEAAF7-5F13-47F2-9A67-98F22B02B42A}" name="SEBDistributionAmountAssociatedBusiness41" dataDxfId="1134"/>
    <tableColumn id="377" xr3:uid="{99566581-7A32-4810-B747-A97DFED272A9}" name="SEBDistributionAmountAssociatedBusiness42" dataDxfId="1133"/>
    <tableColumn id="378" xr3:uid="{B4C06D64-89CB-401B-8A81-6FEDE0C726BD}" name="SEBDistributionAmountAssociatedBusiness43" dataDxfId="1132"/>
    <tableColumn id="379" xr3:uid="{A2471D82-5F49-4E88-AD5D-84987AFDB303}" name="SEBDistributionAmountAssociatedBusiness44" dataDxfId="1131"/>
    <tableColumn id="380" xr3:uid="{6CCF9663-8B66-47EF-9894-29A79D82E523}" name="SEBDistributionAmountAssociatedBusiness45" dataDxfId="1130"/>
    <tableColumn id="381" xr3:uid="{9DDB59E7-5AE2-4CDD-8A5F-634619DC00BC}" name="SEBDistributionAmountAssociatedBusiness46" dataDxfId="1129"/>
    <tableColumn id="382" xr3:uid="{A6F555A6-7A2E-48F7-83F4-44BB77E8A74E}" name="SEBDistributionAmountAssociatedBusiness47" dataDxfId="1128"/>
    <tableColumn id="383" xr3:uid="{78E927D8-C659-4198-B0E3-AC779E70A717}" name="SEBDistributionAmountAssociatedBusiness48" dataDxfId="1127"/>
    <tableColumn id="384" xr3:uid="{68C0444D-F483-45F4-B5C0-B5569603F6CD}" name="SEBDistributionAmountAssociatedBusiness49" dataDxfId="1126"/>
    <tableColumn id="385" xr3:uid="{7B1A374C-6ADA-4686-A559-C7D565AAC070}" name="SEBDistributionAmountAssociatedBusiness50" dataDxfId="1125"/>
    <tableColumn id="386" xr3:uid="{FFF298A6-D06D-4C00-8DEF-FF193EDB431E}" name="SEBDistributionAmountAssociatedBusiness51" dataDxfId="1124"/>
    <tableColumn id="387" xr3:uid="{F6F73E8D-4604-47C1-8EB0-258B94F65A0B}" name="SEBDistributionAmountAssociatedBusiness52" dataDxfId="1123"/>
    <tableColumn id="388" xr3:uid="{E32B8294-6865-4948-9650-980735AEA91F}" name="SEBDistributionAmountAssociatedBusiness53" dataDxfId="1122"/>
    <tableColumn id="389" xr3:uid="{7EDA5871-89EA-4456-90D4-D31A97FA92A9}" name="SEBDistributionAmountAssociatedBusiness54" dataDxfId="1121"/>
    <tableColumn id="390" xr3:uid="{DABEE2E6-684D-4675-9D2D-BD57E2C778C5}" name="SEBDistributionAmountAssociatedBusiness55" dataDxfId="1120"/>
    <tableColumn id="391" xr3:uid="{3ECB356E-E9A9-49DF-A45A-B8DF3D791EE7}" name="SEBDistributionAmountAssociatedBusiness56" dataDxfId="1119"/>
    <tableColumn id="392" xr3:uid="{D34799B9-3812-47AF-AF22-AE4304879E30}" name="SEBDistributionAmountAssociatedBusiness57" dataDxfId="1118"/>
    <tableColumn id="393" xr3:uid="{126BE256-B345-461C-A6A8-346F2FF4E26C}" name="SEBDistributionAmountAssociatedBusiness58" dataDxfId="1117"/>
    <tableColumn id="394" xr3:uid="{39380391-997C-4C51-953A-7E434A05EE65}" name="SEBDistributionAmountAssociatedBusiness59" dataDxfId="1116"/>
    <tableColumn id="395" xr3:uid="{FAA66438-9105-46A4-BF59-0539B6C90FA7}" name="SEBDistributionAmountAssociatedBusiness60" dataDxfId="1115"/>
    <tableColumn id="40" xr3:uid="{58D2BEB6-ED2D-49A2-940B-4C8F023829E3}" name="SEBOwnershipAssociatedBusiness1" dataDxfId="1114"/>
    <tableColumn id="53" xr3:uid="{F4B74B5E-8855-4B7C-9F7F-FAA6B0B470AB}" name="SEBOwnershipAssociatedBusiness2" dataDxfId="1113"/>
    <tableColumn id="54" xr3:uid="{2D6DABC7-3D48-4679-8E38-80FE5CFAD2B3}" name="SEBOwnershipAssociatedBusiness3" dataDxfId="1112"/>
    <tableColumn id="55" xr3:uid="{B4CB93CC-57DB-4A78-BD93-0ED35482BBAD}" name="SEBOwnershipAssociatedBusiness4" dataDxfId="1111"/>
    <tableColumn id="56" xr3:uid="{0ECD868A-D110-49AD-940D-6F3EC773B54A}" name="SEBOwnershipAssociatedBusiness5" dataDxfId="1110"/>
    <tableColumn id="95" xr3:uid="{EB931180-6CC9-4308-85DA-E82912CC9018}" name="SEBOwnershipAssociatedBusiness6" dataDxfId="1109"/>
    <tableColumn id="96" xr3:uid="{47A8DBE8-9534-46CD-90E8-88889471DC68}" name="SEBOwnershipAssociatedBusiness7" dataDxfId="1108"/>
    <tableColumn id="97" xr3:uid="{23392B4A-41E0-4447-9C10-D20C40CF06FE}" name="SEBOwnershipAssociatedBusiness8" dataDxfId="1107"/>
    <tableColumn id="98" xr3:uid="{B24E3C41-B9B0-4A1A-ACF8-EF9AFCF023A3}" name="SEBOwnershipAssociatedBusiness9" dataDxfId="1106"/>
    <tableColumn id="99" xr3:uid="{3C66ED53-3E89-40CD-8FFD-E2C8D97533D4}" name="SEBOwnershipAssociatedBusiness10" dataDxfId="1105"/>
    <tableColumn id="100" xr3:uid="{A83A5CBD-DAF0-402E-A1EC-CA1D87B0E8B9}" name="SEBOwnershipAssociatedBusiness11" dataDxfId="1104"/>
    <tableColumn id="137" xr3:uid="{FF1D63A4-FA8F-4C69-AB79-977EDBDD2C58}" name="SEBOwnershipAssociatedBusiness12" dataDxfId="1103"/>
    <tableColumn id="138" xr3:uid="{A8318500-127B-465B-A95A-076C26A1E255}" name="SEBOwnershipAssociatedBusiness13" dataDxfId="1102"/>
    <tableColumn id="139" xr3:uid="{EF94646F-7F90-48F6-AB38-A29CDF7CA36E}" name="SEBOwnershipAssociatedBusiness14" dataDxfId="1101"/>
    <tableColumn id="140" xr3:uid="{28A07A89-7385-4F19-A425-6E4490B77765}" name="SEBOwnershipAssociatedBusiness15" dataDxfId="1100"/>
    <tableColumn id="141" xr3:uid="{5FB7FBD1-BB77-467C-977C-9ECD25244D0B}" name="SEBOwnershipAssociatedBusiness16" dataDxfId="1099"/>
    <tableColumn id="142" xr3:uid="{C9B142E4-4424-4FBC-8FA5-6AA3065980CC}" name="SEBOwnershipAssociatedBusiness17" dataDxfId="1098"/>
    <tableColumn id="143" xr3:uid="{41C0BF01-8374-472E-B0A6-A0E998CACEDA}" name="SEBOwnershipAssociatedBusiness18" dataDxfId="1097"/>
    <tableColumn id="144" xr3:uid="{F2EF8AA8-96DF-489D-8CFF-EBCC6A3C36B7}" name="SEBOwnershipAssociatedBusiness19" dataDxfId="1096"/>
    <tableColumn id="145" xr3:uid="{194885DE-E603-478A-8B24-941416B3267F}" name="SEBOwnershipAssociatedBusiness20" dataDxfId="1095"/>
    <tableColumn id="146" xr3:uid="{FB6830A1-A6B0-40BD-847C-E631434AF3D4}" name="SEBOwnershipAssociatedBusiness21" dataDxfId="1094"/>
    <tableColumn id="147" xr3:uid="{C12B5F81-B633-498E-BD53-814C4AD11CCE}" name="SEBOwnershipAssociatedBusiness22" dataDxfId="1093"/>
    <tableColumn id="148" xr3:uid="{0CB3366A-6E01-42B5-8506-5A23D578B3B1}" name="SEBOwnershipAssociatedBusiness23" dataDxfId="1092"/>
    <tableColumn id="149" xr3:uid="{84188537-2A38-4A31-AED2-E467BD3629CD}" name="SEBOwnershipAssociatedBusiness24" dataDxfId="1091"/>
    <tableColumn id="150" xr3:uid="{0AD660D1-FEDE-4F1A-98FC-B15FC0F5DA67}" name="SEBOwnershipAssociatedBusiness25" dataDxfId="1090"/>
    <tableColumn id="151" xr3:uid="{195897EC-1638-4728-AFF6-113AE67E1CD0}" name="SEBOwnershipAssociatedBusiness26" dataDxfId="1089"/>
    <tableColumn id="152" xr3:uid="{D8BCC806-D42E-46D5-890B-E7AE8A75C783}" name="SEBOwnershipAssociatedBusiness27" dataDxfId="1088"/>
    <tableColumn id="153" xr3:uid="{8E630085-DF63-44E4-AEAC-183E61C14B62}" name="SEBOwnershipAssociatedBusiness28" dataDxfId="1087"/>
    <tableColumn id="154" xr3:uid="{C14CC6B5-24FE-49C5-8E9D-88378A25DDBF}" name="SEBOwnershipAssociatedBusiness29" dataDxfId="1086"/>
    <tableColumn id="155" xr3:uid="{71B4529A-045A-4818-BAC5-997B3E6DE0B5}" name="SEBOwnershipAssociatedBusiness30" dataDxfId="1085"/>
    <tableColumn id="156" xr3:uid="{FCA847AF-9437-4D23-BB91-9EA69AD78D9B}" name="SEBOwnershipAssociatedBusiness31" dataDxfId="1084"/>
    <tableColumn id="157" xr3:uid="{00B9AD50-9B5B-40E1-AB05-8943454C6FB5}" name="SEBOwnershipAssociatedBusiness32" dataDxfId="1083"/>
    <tableColumn id="158" xr3:uid="{B32A06A0-6906-49BB-B62D-B8F9BB8E73A0}" name="SEBOwnershipAssociatedBusiness33" dataDxfId="1082"/>
    <tableColumn id="159" xr3:uid="{2A3E9C22-868A-470D-AB72-9F6886B3969C}" name="SEBOwnershipAssociatedBusiness34" dataDxfId="1081"/>
    <tableColumn id="160" xr3:uid="{05438AC5-8EE5-44B8-AB4D-B02E87FD8244}" name="SEBOwnershipAssociatedBusiness35" dataDxfId="1080"/>
    <tableColumn id="161" xr3:uid="{28F297BC-0302-41B6-9BE8-87ED47A91325}" name="SEBOwnershipAssociatedBusiness36" dataDxfId="1079"/>
    <tableColumn id="162" xr3:uid="{3D875E9B-A8CC-4250-ACD2-6B504FC061D8}" name="SEBOwnershipAssociatedBusiness37" dataDxfId="1078"/>
    <tableColumn id="163" xr3:uid="{5193F481-2257-4CDC-BE9C-A1D179F6B3DE}" name="SEBOwnershipAssociatedBusiness38" dataDxfId="1077"/>
    <tableColumn id="164" xr3:uid="{07F9D359-B7B2-44D0-82F4-AB66BE3B6AA5}" name="SEBOwnershipAssociatedBusiness39" dataDxfId="1076"/>
    <tableColumn id="165" xr3:uid="{E183E599-A035-4EB1-8B32-6987283F0D62}" name="SEBOwnershipAssociatedBusiness40" dataDxfId="1075"/>
    <tableColumn id="166" xr3:uid="{70177147-33D6-4C01-A790-1C64118CCB1F}" name="SEBOwnershipAssociatedBusiness41" dataDxfId="1074"/>
    <tableColumn id="167" xr3:uid="{08C4D73A-1690-477F-BE75-E7C3FF04FD50}" name="SEBOwnershipAssociatedBusiness42" dataDxfId="1073"/>
    <tableColumn id="168" xr3:uid="{51EF7572-AB48-48E6-B6F2-67BB96504C35}" name="SEBOwnershipAssociatedBusiness43" dataDxfId="1072"/>
    <tableColumn id="169" xr3:uid="{D37B4F6C-19B9-4669-A50C-DB532D3FD625}" name="SEBOwnershipAssociatedBusiness44" dataDxfId="1071"/>
    <tableColumn id="170" xr3:uid="{3F56278F-4EA3-43B1-9A5D-B0EC15849929}" name="SEBOwnershipAssociatedBusiness45" dataDxfId="1070"/>
    <tableColumn id="171" xr3:uid="{E85493DD-2FAB-4F9F-B8A2-DB04AFB1F216}" name="SEBOwnershipAssociatedBusiness46" dataDxfId="1069"/>
    <tableColumn id="172" xr3:uid="{00CC31ED-924B-494F-B1B6-5C9FC23F17C0}" name="SEBOwnershipAssociatedBusiness47" dataDxfId="1068"/>
    <tableColumn id="173" xr3:uid="{51418B6D-2F7D-47F0-BEE9-6F6A09B7FCAF}" name="SEBOwnershipAssociatedBusiness48" dataDxfId="1067"/>
    <tableColumn id="174" xr3:uid="{E9881D00-9475-4197-BC2B-DEAA28A9F6F3}" name="SEBOwnershipAssociatedBusiness49" dataDxfId="1066"/>
    <tableColumn id="175" xr3:uid="{184FA92D-3961-4A08-9246-6EE3C676D511}" name="SEBOwnershipAssociatedBusiness50" dataDxfId="1065"/>
    <tableColumn id="176" xr3:uid="{B1045C16-A222-4CDC-BF25-C5FB22286DC1}" name="SEBOwnershipAssociatedBusiness51" dataDxfId="1064"/>
    <tableColumn id="177" xr3:uid="{A558058C-D679-4C3A-96D4-1E5FBFA382C4}" name="SEBOwnershipAssociatedBusiness52" dataDxfId="1063"/>
    <tableColumn id="178" xr3:uid="{EBBF94C5-9841-4DE5-B110-DA1FF86F918A}" name="SEBOwnershipAssociatedBusiness53" dataDxfId="1062"/>
    <tableColumn id="179" xr3:uid="{3CE52F5F-DB1D-44FE-AACF-C3B2B7B24AE0}" name="SEBOwnershipAssociatedBusiness54" dataDxfId="1061"/>
    <tableColumn id="180" xr3:uid="{BEDB4B9A-4B02-4B40-945D-0DB2E6452FDD}" name="SEBOwnershipAssociatedBusiness55" dataDxfId="1060"/>
    <tableColumn id="181" xr3:uid="{2E224E95-D65F-4CA9-974D-E0BF65964216}" name="SEBOwnershipAssociatedBusiness56" dataDxfId="1059"/>
    <tableColumn id="182" xr3:uid="{9E82E66C-2C9A-42D5-A2D3-AD1204274DC1}" name="SEBOwnershipAssociatedBusiness57" dataDxfId="1058"/>
    <tableColumn id="183" xr3:uid="{839D77FB-3BAD-4BE1-B7A6-A6E05B2B86D1}" name="SEBOwnershipAssociatedBusiness58" dataDxfId="1057"/>
    <tableColumn id="184" xr3:uid="{E7B51804-2FE0-434A-81FE-F7692CA67A03}" name="SEBOwnershipAssociatedBusiness59" dataDxfId="1056"/>
    <tableColumn id="185" xr3:uid="{8BF6B4ED-433A-4906-987C-D3488D8913AC}" name="SEBOwnershipAssociatedBusiness60" dataDxfId="1055"/>
    <tableColumn id="252" xr3:uid="{AD16A5F9-97A8-4D8B-B044-524D6432ABAE}" name="SEBSolvencyAssetsLY" dataDxfId="1054"/>
    <tableColumn id="253" xr3:uid="{5A6EA149-6561-4A46-AAC6-DED5A9D5F589}" name="SEBSolvencyLiabilitiesLY" dataDxfId="1053"/>
    <tableColumn id="254" xr3:uid="{DEE0DE50-53FA-4AEC-90FF-96A6BBD2868E}" name="SEBSolvencyTestResult" dataDxfId="1052"/>
    <tableColumn id="281" xr3:uid="{BCBE0E8B-7671-467B-8D6D-BD823677BC7D}" name="SEBHistoricDistributionLY" dataDxfId="1051"/>
    <tableColumn id="280" xr3:uid="{5911ED97-DCAE-49F6-8B4A-68A223E73610}" name="SEBHistoricDistributionPY" dataDxfId="1050"/>
    <tableColumn id="397" xr3:uid="{4E0A4730-A3FF-4840-B6D2-CFC68634EDD2}" name="SEBBeneficialOwnershipLYApp1" dataDxfId="1049"/>
    <tableColumn id="398" xr3:uid="{6E69CF05-09DF-4F3B-97F5-9AF223BF5D93}" name="SEBBeneficialOwnershipLYApp2" dataDxfId="1048"/>
    <tableColumn id="399" xr3:uid="{6372BF11-C3D9-4229-A3D1-3FD7A8986664}" name="SEBBeneficialOwnershipLYApp3" dataDxfId="1047"/>
    <tableColumn id="400" xr3:uid="{5FF3975F-2910-4252-970B-C8A4FCDE6BCE}" name="SEBBeneficialOwnershipLYApp4" dataDxfId="1046"/>
    <tableColumn id="401" xr3:uid="{E8766996-80D3-4E32-B790-2604BAC918F5}" name="SEBBeneficialOwnershipLYApp5" dataDxfId="1045"/>
    <tableColumn id="402" xr3:uid="{128F2FBC-B861-4D1D-974F-3C0C0B899B60}" name="SEBBeneficialOwnershipLYApp6" dataDxfId="1044"/>
    <tableColumn id="403" xr3:uid="{08419949-BDBD-495E-B03B-F9D27ADBCAEE}" name="SEBBeneficialOwnershipPYApp1" dataDxfId="1043"/>
    <tableColumn id="404" xr3:uid="{1654DD60-3E40-4FF8-A66B-476A4A81D124}" name="SEBBeneficialOwnershipPYApp2" dataDxfId="1042"/>
    <tableColumn id="405" xr3:uid="{E5875DC1-35C2-4FE6-937C-B233783C1910}" name="SEBBeneficialOwnershipPYApp3" dataDxfId="1041"/>
    <tableColumn id="406" xr3:uid="{03A70B7A-3F43-4EFE-BE6D-8759D8F5DE56}" name="SEBBeneficialOwnershipPYApp4" dataDxfId="1040"/>
    <tableColumn id="407" xr3:uid="{97B44411-B40E-48D1-9271-E1855F954F82}" name="SEBBeneficialOwnershipPYApp5" dataDxfId="1039"/>
    <tableColumn id="408" xr3:uid="{3AAE6B99-FE5B-4303-B276-7A4F4931E591}" name="SEBBeneficialOwnershipPYApp6" dataDxfId="1038"/>
    <tableColumn id="14" xr3:uid="{55063BC0-1512-4B67-B39A-94A5A9B5EA3C}" name="HasDirectOwnership" dataDxfId="1037">
      <calculatedColumnFormula>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calculatedColumnFormula>
    </tableColumn>
    <tableColumn id="409" xr3:uid="{338E4F6B-5E4C-4AAD-9686-53FDE567767E}" name="SEBGeneralNotes" dataDxfId="1036"/>
    <tableColumn id="410" xr3:uid="{DFD1F644-5E63-45B1-887E-66C4425D9A33}" name="SEBIssueFlag" dataDxfId="1035"/>
    <tableColumn id="411" xr3:uid="{ABBA8D80-6483-42B1-9D35-DB81FEB4F7EF}" name="BDRowID" dataDxfId="1034"/>
    <tableColumn id="412" xr3:uid="{1D812AAE-B2C5-44AF-84F0-F6C4B529D2CA}" name="BDColumnID" dataDxfId="103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F3DED1CD-40A2-43FB-BEFD-D4C353AF19F4}" name="SERBusinessRentalIncomeDataTable" displayName="SERBusinessRentalIncomeDataTable" ref="A2:Q3" totalsRowShown="0" headerRowDxfId="1032">
  <autoFilter ref="A2:Q3" xr:uid="{F3DED1CD-40A2-43FB-BEFD-D4C353AF19F4}"/>
  <tableColumns count="17">
    <tableColumn id="1" xr3:uid="{F1C42391-7DBC-486A-8C8C-A18FC4A9FDF4}" name="SERBusinessID" dataDxfId="1031"/>
    <tableColumn id="2" xr3:uid="{FF1EED5C-F815-40FF-9370-D189AD88C0F7}" name="SERPropertyDetail" dataDxfId="1030"/>
    <tableColumn id="3" xr3:uid="{F165B3CB-3E78-43E0-807C-0964C22D7A71}" name="SERPropertyValue" dataDxfId="1029"/>
    <tableColumn id="4" xr3:uid="{7A5CF2CF-4F1E-4242-AAB6-26A11D7D317D}" name="SERPropertyState" dataDxfId="1028"/>
    <tableColumn id="5" xr3:uid="{680595E5-3EB9-4310-96BB-88B5C97FA1CC}" name="SERPropertyPostcode" dataDxfId="1027"/>
    <tableColumn id="6" xr3:uid="{96B410DD-AD0D-4690-9E21-ECE46DA00452}" name="SERPropertyRuralFlag" dataDxfId="1026"/>
    <tableColumn id="19" xr3:uid="{CC378F23-F959-4817-A79D-F1C717B0E4F5}" name="SERPropertyRentalType" dataDxfId="1025"/>
    <tableColumn id="7" xr3:uid="{A2BD0098-9872-4984-9F6D-2088C4355F7C}" name="SERPropertyType" dataDxfId="1024"/>
    <tableColumn id="8" xr3:uid="{298EE3EA-E29A-4C23-99B5-33F77D978001}" name="SERPropertyRentedDuringTaxReturnPeriodFlag" dataDxfId="1023"/>
    <tableColumn id="9" xr3:uid="{C53AAC34-A745-4D9C-AE18-D19A219B7521}" name="SERIncomeExpenseFrequency" dataDxfId="1022"/>
    <tableColumn id="10" xr3:uid="{B4CB7168-DE2F-44AB-B3A3-C7D2DBA45762}" name="SERPropertyWeeksRentedLY" dataDxfId="1021"/>
    <tableColumn id="11" xr3:uid="{890C064F-D7ED-4447-9F87-B5271A4B06B7}" name="SERPropertyRentalIncomeLY" dataDxfId="1020"/>
    <tableColumn id="12" xr3:uid="{DB50DD06-666F-44FF-867C-C9DFC4CC1E84}" name="SERPropertyExpensesLY" dataDxfId="1019"/>
    <tableColumn id="13" xr3:uid="{26424AD7-611A-411F-928D-62BA37C2B42B}" name="SERRentalIncomeAdjustmentLY" dataDxfId="1018"/>
    <tableColumn id="14" xr3:uid="{83C64428-E5BB-4EC2-BDD2-E0EC1D95B2E0}" name="SERPropertyWeeksRentedPY" dataDxfId="1017"/>
    <tableColumn id="15" xr3:uid="{DB7CDEFD-06D9-4BBC-BA17-20FF3E7158EF}" name="SERPropertyRentalIncomePY" dataDxfId="1016"/>
    <tableColumn id="16" xr3:uid="{7FECE7CC-AF25-41F8-B95A-C012ED4A8363}" name="SERRentalIncomeAdjustmentPY" dataDxfId="101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4EFA9506-6273-4112-9B7D-8DC9E7159227}" name="SELBusinessLiabilityDataTable" displayName="SELBusinessLiabilityDataTable" ref="A2:O3" totalsRowShown="0" headerRowDxfId="1014">
  <autoFilter ref="A2:O3" xr:uid="{4EFA9506-6273-4112-9B7D-8DC9E7159227}"/>
  <tableColumns count="15">
    <tableColumn id="1" xr3:uid="{D910D58B-3B12-4670-B14C-49FFFCE513A6}" name="SELBusinessID" dataDxfId="1013"/>
    <tableColumn id="2" xr3:uid="{75776139-8A49-4F7B-A79F-0B515003D83A}" name="SELLiabilityType" dataDxfId="1012"/>
    <tableColumn id="3" xr3:uid="{7EE9F833-E98D-40B8-938B-D562C36F0723}" name="SELLiabilityNotes" dataDxfId="1011"/>
    <tableColumn id="4" xr3:uid="{E28D680F-D7BF-4993-BC5D-B1731A702290}" name="SELBalance" dataDxfId="1010"/>
    <tableColumn id="5" xr3:uid="{EEC43AFA-279D-4C7D-BF38-DFAF6D10EEE8}" name="SELLimit" dataDxfId="1009"/>
    <tableColumn id="6" xr3:uid="{2DFD0D38-AF2E-48DE-8D2B-2AB5291F0629}" name="SELInterestRate" dataDxfId="1008"/>
    <tableColumn id="7" xr3:uid="{645B9F02-B92B-4A2A-BDE3-797500FC35B1}" name="SELRemainingPITermMonths" dataDxfId="1007"/>
    <tableColumn id="8" xr3:uid="{0BB69C0E-26E8-44E4-9F29-D2C87E35F65D}" name="SELMonthlyFee" dataDxfId="1006"/>
    <tableColumn id="9" xr3:uid="{D59119B7-D239-4A21-9068-A63B520417E0}" name="SELDeclaredRepayment" dataDxfId="1005"/>
    <tableColumn id="10" xr3:uid="{E8E03810-2DDF-4FB2-97A3-29D6F8000476}" name="SELPortfolioAccountNumber" dataDxfId="1004"/>
    <tableColumn id="15" xr3:uid="{1E2557C0-076E-4A3D-93AC-90CAED066361}" name="SELNotionalTerm" dataDxfId="1003"/>
    <tableColumn id="11" xr3:uid="{635C4187-A603-4121-A299-E973FBD9E939}" name="SELAssessmentRate" dataDxfId="1002"/>
    <tableColumn id="12" xr3:uid="{5E71C0E0-A267-48A3-BF01-72C7C2433467}" name="SELInterestLeaseTaxDeductible" dataDxfId="1001"/>
    <tableColumn id="13" xr3:uid="{9F03690B-DDDA-4F30-A8C7-76E1953A58FE}" name="SELInterestNonDeductible" dataDxfId="1000"/>
    <tableColumn id="14" xr3:uid="{08068860-8C33-4CA5-8D10-3CE1716685D9}" name="SELPrincipalLoanRepayment" dataDxfId="99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A122467-0396-48B8-8B07-8950140C679F}" name="HEMIncomeBandTable" displayName="HEMIncomeBandTable" ref="B18:C33" totalsRowShown="0" headerRowDxfId="998" dataDxfId="996" headerRowBorderDxfId="997" tableBorderDxfId="995" totalsRowBorderDxfId="994" dataCellStyle="Normal 2 2 2">
  <autoFilter ref="B18:C33" xr:uid="{FDAA2B39-A00F-4705-92E7-925892895F23}">
    <filterColumn colId="0" hiddenButton="1"/>
    <filterColumn colId="1" hiddenButton="1"/>
  </autoFilter>
  <tableColumns count="2">
    <tableColumn id="1" xr3:uid="{2E675B61-B0B7-4878-ACF3-EDA374AD9FA3}" name="Income" dataDxfId="993" dataCellStyle="Normal 2 2 2"/>
    <tableColumn id="2" xr3:uid="{D00E61FC-E82A-4590-88C2-06569E90ECDB}" name="Band" dataDxfId="992" dataCellStyle="Normal 2 2 2"/>
  </tableColumns>
  <tableStyleInfo name="TableStyle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79B80A3-9EF2-4B42-90E4-59C3D2192F99}" name="PostcodeRemote" displayName="PostcodeRemote" ref="B41:C352" totalsRowShown="0" headerRowDxfId="991" dataDxfId="989" headerRowBorderDxfId="990" tableBorderDxfId="988" totalsRowBorderDxfId="987">
  <autoFilter ref="B41:C352" xr:uid="{588A6538-ED85-4121-B185-C1730827CBCB}"/>
  <tableColumns count="2">
    <tableColumn id="1" xr3:uid="{DB398505-2AC6-457A-9ED6-BE02471316EC}" name="Postcode" dataDxfId="986" dataCellStyle="Normal 6 3"/>
    <tableColumn id="2" xr3:uid="{F8D2E2B3-5910-412D-94AF-EE3B9858699A}" name="ABS classification" dataDxfId="985" dataCellStyle="Normal 6 3"/>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D76D78-F046-4DE0-8D24-06F34D368D5B}" name="IncomeTaxTable" displayName="IncomeTaxTable" ref="D5:G11" totalsRowShown="0" headerRowDxfId="984">
  <autoFilter ref="D5:G11" xr:uid="{B52111F7-DA86-4D49-8C51-5741A39EEB33}">
    <filterColumn colId="0" hiddenButton="1"/>
    <filterColumn colId="1" hiddenButton="1"/>
    <filterColumn colId="2" hiddenButton="1"/>
    <filterColumn colId="3" hiddenButton="1"/>
  </autoFilter>
  <tableColumns count="4">
    <tableColumn id="1" xr3:uid="{832774D9-A731-41FF-814A-9F9DDDC48CBF}" name="MinThreshold" dataDxfId="983" dataCellStyle="Currency"/>
    <tableColumn id="4" xr3:uid="{14FB2244-1D82-4D54-9F40-2D75042F7610}" name="MaxThreshold" dataDxfId="982" dataCellStyle="Currency"/>
    <tableColumn id="3" xr3:uid="{74667441-19AD-4EDE-8EE0-F7DC813F40D0}" name="Rate" dataDxfId="981" dataCellStyle="Percent"/>
    <tableColumn id="2" xr3:uid="{426F70B5-21EA-4DB5-BA35-F8BC60375ABC}" name="Carried Amount" dataDxfId="980" dataCellStyle="Currency"/>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4E61FBA-AC62-4086-AA1F-41D7F817962E}" name="MedicareLevyTable" displayName="MedicareLevyTable" ref="I5:K8" totalsRowShown="0">
  <autoFilter ref="I5:K8" xr:uid="{41EBA200-556A-4453-8BAE-61ED749D31DA}">
    <filterColumn colId="0" hiddenButton="1"/>
    <filterColumn colId="1" hiddenButton="1"/>
    <filterColumn colId="2" hiddenButton="1"/>
  </autoFilter>
  <tableColumns count="3">
    <tableColumn id="4" xr3:uid="{8DD6F017-978F-4899-999A-30FBFC2C5622}" name="Threshold Min" dataDxfId="979" dataCellStyle="Currency"/>
    <tableColumn id="3" xr3:uid="{021509A1-D763-44E9-9ECC-7CEF33A68778}" name="Threshold Max" dataDxfId="978" dataCellStyle="Currency"/>
    <tableColumn id="2" xr3:uid="{1BE2DA49-F29E-49F7-B3CE-81049DA2A95D}" name="Rate" dataDxfId="977" dataCellStyle="Percent"/>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9288CC8-DC2A-4E5D-8E00-189D138FAC8B}" name="ExistingShareableCommitmentTypeTable" displayName="ExistingShareableCommitmentTypeTable" ref="M5:V21" totalsRowShown="0" headerRowDxfId="976">
  <autoFilter ref="M5:V21" xr:uid="{77D783D4-3406-448A-B7B9-310317C1016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FD485DE0-C2B1-42F5-852C-AE8F9E986F86}" name="CommitmentType" dataDxfId="975" dataCellStyle="Normal 2 2"/>
    <tableColumn id="2" xr3:uid="{C1F44E74-BC3F-4C76-9979-8CFEE62BCB07}" name="Rate" dataDxfId="974"/>
    <tableColumn id="3" xr3:uid="{637DAC12-428F-4A0A-A570-4A386458EF24}" name="UseInterestRate" dataDxfId="973" dataCellStyle="Normal 2 2"/>
    <tableColumn id="4" xr3:uid="{FC2E7997-13B5-438B-BCE0-5E86723AB904}" name="UseTerm" dataDxfId="972" dataCellStyle="Normal 2 2"/>
    <tableColumn id="5" xr3:uid="{4C6CD348-AA92-4FB1-9A4C-FF6B52B61442}" name="UseDeclaredRepayment" dataDxfId="971" dataCellStyle="Normal 2 2"/>
    <tableColumn id="6" xr3:uid="{E0B8A852-9E16-4375-916D-63B88B836B82}" name="RepaymentCalcType" dataDxfId="970" dataCellStyle="Normal 2 2"/>
    <tableColumn id="7" xr3:uid="{6DCF2F1F-06B7-4FA6-AE0F-80BCC5DC20A8}" name="RateCalcType" dataDxfId="969" dataCellStyle="Normal 2 2"/>
    <tableColumn id="8" xr3:uid="{D8D8AFD5-2E11-45C7-ACFF-0E16DEA506B8}" name="BalanceCalcType" dataDxfId="968" dataCellStyle="Normal 2 2"/>
    <tableColumn id="9" xr3:uid="{9ADD0404-9F68-4387-87E8-AB157E85BEF5}" name="DTIDebtCalcType" dataDxfId="967" dataCellStyle="Normal 2 2"/>
    <tableColumn id="10" xr3:uid="{B7BC40CA-40D1-41E5-A2C9-48283CDFEF32}" name="DefaultTerm" dataDxfId="966" dataCellStyle="Normal 2 2"/>
  </tableColumns>
  <tableStyleInfo name="TableStyleMedium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869BFDF-D951-416C-94B4-2524D944C5B5}" name="STSLRepaymentRateTable" displayName="STSLRepaymentRateTable" ref="Z5:AB24" totalsRowShown="0">
  <autoFilter ref="Z5:AB24" xr:uid="{0D0D4935-A954-4DCF-8BD8-5974C40A2A1E}">
    <filterColumn colId="0" hiddenButton="1"/>
    <filterColumn colId="1" hiddenButton="1"/>
    <filterColumn colId="2" hiddenButton="1"/>
  </autoFilter>
  <tableColumns count="3">
    <tableColumn id="1" xr3:uid="{F1FCFE21-BC8D-4953-9970-D6D4C19DCD38}" name="Min" dataDxfId="965" dataCellStyle="Currency 3 5"/>
    <tableColumn id="2" xr3:uid="{4495329F-4F50-4650-87BF-0080477C1E86}" name="Max" dataDxfId="964" dataCellStyle="Currency 3 5"/>
    <tableColumn id="3" xr3:uid="{2710F821-598F-433F-8C59-2F1915EE72AB}" name="Rate" dataDxfId="963" dataCellStyle="Percent"/>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421033C-F571-4272-A975-EF5D952F7A2A}" name="IncomeCycleData" displayName="IncomeCycleData" ref="AF5:AH13" totalsRowShown="0" headerRowDxfId="962" dataDxfId="961">
  <autoFilter ref="AF5:AH13" xr:uid="{C9C822B6-1CB8-483A-BF2D-17F03D36AA16}">
    <filterColumn colId="0" hiddenButton="1"/>
    <filterColumn colId="1" hiddenButton="1"/>
    <filterColumn colId="2" hiddenButton="1"/>
  </autoFilter>
  <tableColumns count="3">
    <tableColumn id="1" xr3:uid="{2AB92F7D-1047-403E-9CF1-A1078612EA00}" name="IncomeCycle" dataDxfId="960"/>
    <tableColumn id="3" xr3:uid="{447BA67C-53FC-4C6E-9D5C-D2226A17E799}" name="Days per Cycle" dataDxfId="959"/>
    <tableColumn id="2" xr3:uid="{CE6DD82E-C51E-479A-A248-2A3438766308}" name="Cycles per Year" dataDxfId="958"/>
  </tableColumns>
  <tableStyleInfo name="TableStyleMedium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59131C1-1F71-4506-806A-0381C91A972D}" name="ValidationYesNo" displayName="ValidationYesNo" ref="D16:D18" totalsRowShown="0" headerRowDxfId="957" dataDxfId="956">
  <autoFilter ref="D16:D18" xr:uid="{59E70F1A-1831-4175-82B0-342875988D6E}">
    <filterColumn colId="0" hiddenButton="1"/>
  </autoFilter>
  <tableColumns count="1">
    <tableColumn id="1" xr3:uid="{F55E832F-ECB4-4ED7-859A-506C26CD5157}" name="DisplayValue" dataDxfId="95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F7F71F3-23E7-41EC-9B77-368CE4214CE7}" name="ApplicantMaritalStatus" displayName="ApplicantMaritalStatus" ref="G16:G18" totalsRowShown="0" headerRowDxfId="954" dataDxfId="953">
  <autoFilter ref="G16:G18" xr:uid="{8300FA04-F522-4A66-8E87-11267AC79499}">
    <filterColumn colId="0" hiddenButton="1"/>
  </autoFilter>
  <tableColumns count="1">
    <tableColumn id="1" xr3:uid="{3C54CA39-BE3D-4DAB-BCF0-DA60EA48AB48}" name="MaritalStatus" dataDxfId="95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37F2591-8905-4F58-B797-B21E5F31DBC6}" name="TaxTreatmentTable" displayName="TaxTreatmentTable" ref="I15:I18" totalsRowShown="0" headerRowDxfId="951" dataDxfId="950">
  <autoFilter ref="I15:I18" xr:uid="{4BB4B3CD-4798-4E9B-A3EE-C382C1BDF01B}">
    <filterColumn colId="0" hiddenButton="1"/>
  </autoFilter>
  <tableColumns count="1">
    <tableColumn id="1" xr3:uid="{B2E25F1E-6623-4777-AC8D-6C97FA3C4640}" name="TaxTreatment" dataDxfId="949"/>
  </tableColumns>
  <tableStyleInfo name="TableStyleMedium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DA28B14-5437-4FE6-BD0C-EC4480F027D9}" name="StateTable" displayName="StateTable" ref="D23:E32" totalsRowShown="0" headerRowDxfId="948" dataDxfId="947">
  <autoFilter ref="D23:E32" xr:uid="{3DC1CD57-209E-459C-B747-29CE80BD602F}">
    <filterColumn colId="0" hiddenButton="1"/>
    <filterColumn colId="1" hiddenButton="1"/>
  </autoFilter>
  <tableColumns count="2">
    <tableColumn id="1" xr3:uid="{81269944-E05D-4DC0-AC0A-FA56F31E935D}" name="StateCode" dataDxfId="946"/>
    <tableColumn id="2" xr3:uid="{421BD0FB-8874-47CC-BC77-D5627B32A2E0}" name="PrestigePropertyValue" dataDxfId="945" dataCellStyle="Currency"/>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6DC3F63-28FC-4C33-B33A-912AEAE6AB1C}" name="RiskPostcodeTable" displayName="RiskPostcodeTable" ref="G23:G47" totalsRowShown="0" headerRowDxfId="944" dataDxfId="943" tableBorderDxfId="942">
  <autoFilter ref="G23:G47" xr:uid="{7CA8997D-FA6C-40EC-8068-5003A7E330E8}">
    <filterColumn colId="0" hiddenButton="1"/>
  </autoFilter>
  <sortState xmlns:xlrd2="http://schemas.microsoft.com/office/spreadsheetml/2017/richdata2" ref="G24:G47">
    <sortCondition ref="G23:G47"/>
  </sortState>
  <tableColumns count="1">
    <tableColumn id="1" xr3:uid="{5DAF91DB-9803-4152-B936-F6458DECF3FA}" name="RiskPostcode" dataDxfId="94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44065D0-A6EE-446C-9A0A-2F40023A5103}" name="NewLoanTypeTable" displayName="NewLoanTypeTable" ref="M38:S41" totalsRowShown="0">
  <autoFilter ref="M38:S41" xr:uid="{113E29D5-E8DC-410C-852D-070C6711D301}">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9DA98668-D313-4DE0-8212-BF75D3BD004E}" name="LoanType"/>
    <tableColumn id="2" xr3:uid="{C5B8CCB3-A3A0-410F-BC27-C01532136A4F}" name="UseTerm" dataDxfId="940"/>
    <tableColumn id="3" xr3:uid="{DC7E71CD-319F-4FF5-9FB8-8CFE9C4F8059}" name="UseIOTerm" dataDxfId="939"/>
    <tableColumn id="4" xr3:uid="{42BA68FE-FED9-4167-907D-FEF3D4E4D9EE}" name="MaxTerm" dataDxfId="938"/>
    <tableColumn id="5" xr3:uid="{96841CF5-1C66-4D5D-8E23-96B9563D1581}" name="MaxIOTerm" dataDxfId="937"/>
    <tableColumn id="6" xr3:uid="{C842BDA3-4FAA-4232-A63F-B6CD46402560}" name="RepaymentTermCalcType" dataDxfId="936"/>
    <tableColumn id="7" xr3:uid="{49806E2C-A6CE-4E95-8A57-2683311C98A5}" name="RepaymentCalcType" dataDxfId="93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A2615D1-103B-4079-BBDF-E624767E3128}" name="BaseIncomeIncreaseType" displayName="BaseIncomeIncreaseType" ref="AG83:AI87" totalsRowShown="0" headerRowDxfId="934" dataDxfId="933" tableBorderDxfId="932">
  <autoFilter ref="AG83:AI87" xr:uid="{FA2615D1-103B-4079-BBDF-E624767E3128}">
    <filterColumn colId="0" hiddenButton="1"/>
    <filterColumn colId="1" hiddenButton="1"/>
    <filterColumn colId="2" hiddenButton="1"/>
  </autoFilter>
  <tableColumns count="3">
    <tableColumn id="1" xr3:uid="{7747F3EE-5615-46FA-8998-EE5F65B7D3A1}" name="IncreaseType" dataDxfId="931"/>
    <tableColumn id="2" xr3:uid="{BA210B60-CDA3-4F1B-9D22-9D69C95531CD}" name="UsagePeriodText" dataDxfId="930"/>
    <tableColumn id="3" xr3:uid="{B3DEAF82-2894-4F01-8685-7646DEA1895A}" name="HelpText" dataDxfId="929"/>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BB2D80E-297B-4E75-8E26-146F484F3DB8}" name="PermanentIncomeVerificationTypeTable" displayName="PermanentIncomeVerificationTypeTable" ref="Z36:Z41" totalsRowShown="0" headerRowDxfId="928" dataDxfId="927" dataCellStyle="Normal 2">
  <autoFilter ref="Z36:Z41" xr:uid="{BBB2D80E-297B-4E75-8E26-146F484F3DB8}">
    <filterColumn colId="0" hiddenButton="1"/>
  </autoFilter>
  <tableColumns count="1">
    <tableColumn id="1" xr3:uid="{7C8054E3-DCDD-4A3D-81FE-A5472EB49D6B}" name="Verification Type" dataDxfId="926" dataCellStyle="Normal 2"/>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D177320-95CE-4D7D-95E1-8B91096CDE03}" name="CasualIncomeVerificationTypeTable" displayName="CasualIncomeVerificationTypeTable" ref="Z29:Z32" totalsRowShown="0" headerRowDxfId="925" dataDxfId="924" dataCellStyle="Normal 2">
  <autoFilter ref="Z29:Z32" xr:uid="{8D177320-95CE-4D7D-95E1-8B91096CDE03}">
    <filterColumn colId="0" hiddenButton="1"/>
  </autoFilter>
  <tableColumns count="1">
    <tableColumn id="1" xr3:uid="{23C18EE4-A324-4C16-BE04-F6514B444A96}" name="Verification Type" dataDxfId="923" dataCellStyle="Normal 2"/>
  </tableColumns>
  <tableStyleInfo name="TableStyleMedium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58F5B4F-C232-46F7-BD3B-2410A63714DF}" name="EmployerIncomeFrequencyList" displayName="EmployerIncomeFrequencyList" ref="AF16:AF20" totalsRowShown="0" headerRowDxfId="922" dataDxfId="921">
  <autoFilter ref="AF16:AF20" xr:uid="{458F5B4F-C232-46F7-BD3B-2410A63714DF}">
    <filterColumn colId="0" hiddenButton="1"/>
  </autoFilter>
  <tableColumns count="1">
    <tableColumn id="1" xr3:uid="{B2BFDBB6-01DE-4627-82CD-C8038E7A7100}" name="IncomeCycle" dataDxfId="920"/>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2D47DBB-502B-44BC-973D-7013023115AE}" name="SEApplicantAssessmentTypeTable" displayName="SEApplicantAssessmentTypeTable" ref="D51:D53" totalsRowShown="0">
  <autoFilter ref="D51:D53" xr:uid="{82D47DBB-502B-44BC-973D-7013023115AE}">
    <filterColumn colId="0" hiddenButton="1"/>
  </autoFilter>
  <tableColumns count="1">
    <tableColumn id="1" xr3:uid="{FE4CAB69-87E6-4BE9-848D-B1304D1F7F1F}" name="AssessmentType"/>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14EDBA3-33CD-4A66-B94D-E5EC7CA3D451}" name="SEBusinessAssessmentTypeTable" displayName="SEBusinessAssessmentTypeTable" ref="D65:E69" totalsRowShown="0" headerRowDxfId="919" dataDxfId="918" dataCellStyle="Normal 2">
  <autoFilter ref="D65:E69" xr:uid="{614EDBA3-33CD-4A66-B94D-E5EC7CA3D451}">
    <filterColumn colId="0" hiddenButton="1"/>
    <filterColumn colId="1" hiddenButton="1"/>
  </autoFilter>
  <tableColumns count="2">
    <tableColumn id="1" xr3:uid="{1DF27E87-60C6-47C6-BAC5-A6CBA16D6EC1}" name="AssessmentType" dataDxfId="917" dataCellStyle="Normal 2"/>
    <tableColumn id="2" xr3:uid="{1ACC9B87-22A8-4F88-BD26-317485E0C534}" name="CalculationMethod" dataDxfId="916" dataCellStyle="Normal 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EFA8976-26DC-4467-A9BC-6E9DF0791BAE}" name="SEIncomeCheckMessages" displayName="SEIncomeCheckMessages" ref="D74:F80" totalsRowShown="0" headerRowDxfId="915" dataDxfId="914">
  <autoFilter ref="D74:F80" xr:uid="{3EFA8976-26DC-4467-A9BC-6E9DF0791BAE}">
    <filterColumn colId="0" hiddenButton="1"/>
    <filterColumn colId="1" hiddenButton="1"/>
    <filterColumn colId="2" hiddenButton="1"/>
  </autoFilter>
  <tableColumns count="3">
    <tableColumn id="1" xr3:uid="{5CFA39D5-AF39-48C2-8BF6-984AC5EDB4FC}" name="MessageID" dataDxfId="913"/>
    <tableColumn id="2" xr3:uid="{D2A8A89C-3544-4108-81BD-050F0E9C3605}" name="MessageType" dataDxfId="912"/>
    <tableColumn id="3" xr3:uid="{1D2C26D3-3D99-463A-B61D-6E50F53DF867}" name="MessageText" dataDxfId="91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821A11F-44DF-445D-9B34-49FCAD99FCB8}" name="TaxYearTable" displayName="TaxYearTable" ref="D83:F88" totalsRowShown="0" headerRowDxfId="910" dataDxfId="909" tableBorderDxfId="908" dataCellStyle="Normal 2">
  <autoFilter ref="D83:F88" xr:uid="{1821A11F-44DF-445D-9B34-49FCAD99FCB8}">
    <filterColumn colId="0" hiddenButton="1"/>
    <filterColumn colId="1" hiddenButton="1"/>
    <filterColumn colId="2" hiddenButton="1"/>
  </autoFilter>
  <tableColumns count="3">
    <tableColumn id="4" xr3:uid="{496201AC-A8AD-4BD2-B4F4-6228C3431C5B}" name="LatestTaxYear" dataDxfId="907" dataCellStyle="Normal 2">
      <calculatedColumnFormula>IF(TaxYearTable[[#This Row],[YearsFromNow]]=0,"Projected",YEAR(SDFinancialYearEndDate)-TaxYearTable[[#This Row],[YearsFromNow]])</calculatedColumnFormula>
    </tableColumn>
    <tableColumn id="3" xr3:uid="{ED9198F6-6502-4FDD-9AC7-A3996C443A46}" name="PreviousTaxYear" dataDxfId="906" dataCellStyle="Normal 2">
      <calculatedColumnFormula>YEAR(SDFinancialYearEndDate)-(TaxYearTable[[#This Row],[YearsFromNow]]+1)</calculatedColumnFormula>
    </tableColumn>
    <tableColumn id="1" xr3:uid="{D5448BA5-A60B-48C5-9007-1A1268F1327B}" name="YearsFromNow" dataDxfId="905" dataCellStyle="Normal 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75F9AC4-89BC-4C2A-B0ED-3F84A39606F5}" name="SEBusinessTypeTable" displayName="SEBusinessTypeTable" ref="D56:D60" totalsRowShown="0">
  <autoFilter ref="D56:D60" xr:uid="{075F9AC4-89BC-4C2A-B0ED-3F84A39606F5}">
    <filterColumn colId="0" hiddenButton="1"/>
  </autoFilter>
  <tableColumns count="1">
    <tableColumn id="1" xr3:uid="{7C3EF75A-E1B2-44A5-A569-BF15B1474BE2}" name="BusinessType"/>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286686E-92BD-489A-A7EA-45F9C711C90A}" name="SEBusinessLiabilityTable" displayName="SEBusinessLiabilityTable" ref="D90:V102" totalsRowShown="0">
  <autoFilter ref="D90:V102" xr:uid="{B286686E-92BD-489A-A7EA-45F9C711C9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E3D5404F-B162-43F9-98C5-F02485A299D8}" name="LiabilityType"/>
    <tableColumn id="2" xr3:uid="{7D41D578-853D-4777-A97F-41744B928B53}" name="FloorRate" dataDxfId="904" dataCellStyle="Percent"/>
    <tableColumn id="3" xr3:uid="{694EA101-65D6-4FB7-BCBC-8ACB17AFD435}" name="Buffer" dataDxfId="903" dataCellStyle="Percent"/>
    <tableColumn id="7" xr3:uid="{4E6F964A-2A43-40BC-9CFA-ED65DD755E50}" name="RateCalcType" dataDxfId="902"/>
    <tableColumn id="13" xr3:uid="{AEC85D16-261F-4159-8FF8-C86102F7FE80}" name="DeductibleInterestBalanceCalcType" dataDxfId="901"/>
    <tableColumn id="8" xr3:uid="{ECDF4426-A27F-4514-BBA6-1A30E6E61BB8}" name="RepaymentBalanceCalcType" dataDxfId="900"/>
    <tableColumn id="9" xr3:uid="{2593F211-C5DE-4E28-90F9-7F8585077FF5}" name="InterestLeaseTaxDeductibleCalcType" dataDxfId="899"/>
    <tableColumn id="12" xr3:uid="{68CFF12C-B76D-4289-8B1E-B4D19ADBC725}" name="InterestNonDeductibleCalcType" dataDxfId="898"/>
    <tableColumn id="6" xr3:uid="{96AAE3E2-4488-4AF4-BE91-D4DEA974912A}" name="RepaymentCalcType" dataDxfId="897"/>
    <tableColumn id="10" xr3:uid="{33532BC1-FFCE-43DD-91C3-C430EA5EF504}" name="UseRepayment"/>
    <tableColumn id="4" xr3:uid="{59EA0660-D6D6-4223-9F97-A13BD22B9D82}" name="UseTerm"/>
    <tableColumn id="5" xr3:uid="{D094BEF6-89BE-4B9D-B86E-25B3AD3F02EF}" name="UseBalance"/>
    <tableColumn id="11" xr3:uid="{14829ACC-D616-47AC-BE89-A467E3A380A8}" name="UseLimit"/>
    <tableColumn id="14" xr3:uid="{4428D91E-023D-46BE-8E78-0E099221A88C}" name="UseRate"/>
    <tableColumn id="15" xr3:uid="{56955155-BAF4-48AB-8188-981D3330E8A4}" name="UseAccountNumber"/>
    <tableColumn id="16" xr3:uid="{B3510356-0942-4833-A62E-464602303C78}" name="UseNotionalTerm"/>
    <tableColumn id="17" xr3:uid="{BA5DB343-BB31-4BDC-97F5-65F3116360F8}" name="UseFee"/>
    <tableColumn id="18" xr3:uid="{C991F216-53DB-4AED-ABE3-00238A60093F}" name="DefaultNotionalTerm" dataDxfId="896"/>
    <tableColumn id="19" xr3:uid="{842E7B68-867F-47F7-A1CC-C04FDF63ED21}" name="DefaultTermMonths" dataDxfId="89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BAEC5D0-CBD8-4B22-83DB-1BBC6ED12BC1}" name="SEStateTable" displayName="SEStateTable" ref="D34:D42" totalsRowShown="0" headerRowDxfId="894" dataDxfId="892" headerRowBorderDxfId="893" tableBorderDxfId="891" totalsRowBorderDxfId="890">
  <autoFilter ref="D34:D42" xr:uid="{BBAEC5D0-CBD8-4B22-83DB-1BBC6ED12BC1}">
    <filterColumn colId="0" hiddenButton="1"/>
  </autoFilter>
  <tableColumns count="1">
    <tableColumn id="1" xr3:uid="{55CE6F88-2E2F-4B34-A1FC-CD129B30CF68}" name="StateCode" dataDxfId="88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C66633C3-D414-4037-863A-D75FB4B203C8}" name="CurrencyDataTable" displayName="CurrencyDataTable" ref="AF95:AI133" totalsRowShown="0" headerRowDxfId="888" dataDxfId="887">
  <autoFilter ref="AF95:AI133" xr:uid="{C66633C3-D414-4037-863A-D75FB4B203C8}">
    <filterColumn colId="0" hiddenButton="1"/>
    <filterColumn colId="1" hiddenButton="1"/>
    <filterColumn colId="2" hiddenButton="1"/>
    <filterColumn colId="3" hiddenButton="1"/>
  </autoFilter>
  <tableColumns count="4">
    <tableColumn id="1" xr3:uid="{F4C6E7A7-CC2D-443C-8250-1468583F57CC}" name="CurrencyDisplay" dataDxfId="886">
      <calculatedColumnFormula>CONCATENATE(CurrencyDataTable[[#This Row],[CurrencyCode]]," - ",CurrencyDataTable[[#This Row],[CurrencyName]])</calculatedColumnFormula>
    </tableColumn>
    <tableColumn id="2" xr3:uid="{E4B252AB-89E8-4A6B-AF15-07A80AF10546}" name="Symbol" dataDxfId="885"/>
    <tableColumn id="3" xr3:uid="{A6A02A7A-4E2D-4FCB-880A-FA4E03E1486D}" name="CurrencyCode" dataDxfId="884"/>
    <tableColumn id="4" xr3:uid="{A658F963-2C15-4262-BC39-C3C896DBEDCE}" name="CurrencyName" dataDxfId="883"/>
  </tableColumns>
  <tableStyleInfo name="TableStyleMedium5" showFirstColumn="1"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C8924CE-102C-4464-9E60-AC16E0FD23C6}" name="ExistingNonShareableCommitmentTypeTable" displayName="ExistingNonShareableCommitmentTypeTable" ref="M26:S31" totalsRowShown="0" headerRowDxfId="882">
  <autoFilter ref="M26:S31" xr:uid="{5C7B1447-8C6B-45AD-9CE3-B72FECEFEE6D}">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021CA52-A201-4F87-B48E-28701A7AC82E}" name="CommitmentType" dataDxfId="881" dataCellStyle="Normal 2 2"/>
    <tableColumn id="8" xr3:uid="{67261392-A340-4C46-A17D-1F75E5818D2E}" name="Rate" dataDxfId="880" dataCellStyle="Normal 2 2"/>
    <tableColumn id="2" xr3:uid="{89FD459C-6813-4E94-90DA-006B3F1A3EC2}" name="UseBalance" dataDxfId="879"/>
    <tableColumn id="5" xr3:uid="{597DAD77-8351-41FC-A374-F3C64162A784}" name="UseLimit" dataDxfId="878" dataCellStyle="Normal 2 2"/>
    <tableColumn id="3" xr3:uid="{6B4894AD-F684-4500-A6E8-C37652F64495}" name="UseDeclaredRepayment" dataDxfId="877" dataCellStyle="Normal 2 2"/>
    <tableColumn id="6" xr3:uid="{B543FA68-C082-46B1-B0E5-3A8F8945E5CA}" name="RepaymentCalcType" dataDxfId="876" dataCellStyle="Normal 2 2"/>
    <tableColumn id="7" xr3:uid="{DC85A2C6-696B-4FB2-9898-62F4DF90AEF4}" name="DTIDebtCalcType" dataDxfId="875" dataCellStyle="Normal 2 2"/>
  </tableColumns>
  <tableStyleInfo name="TableStyleMedium4"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4EAE6448-6C5E-4A79-9510-9719EF83B98C}" name="NavigationControlTable" displayName="NavigationControlTable" ref="D131:T143" totalsRowShown="0" headerRowDxfId="874" dataDxfId="873">
  <autoFilter ref="D131:T143" xr:uid="{4EAE6448-6C5E-4A79-9510-9719EF83B98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0BE1802E-DF02-4F2F-95BD-D7233DD2F188}" name="NavigationID" dataDxfId="872"/>
    <tableColumn id="2" xr3:uid="{C003C869-3033-4A0C-B805-D1060428B4F8}" name="Name" dataDxfId="871"/>
    <tableColumn id="3" xr3:uid="{68E3CC51-266E-4022-BAA9-B65486A66032}" name="FP_WBC" dataDxfId="870"/>
    <tableColumn id="4" xr3:uid="{B7438E69-FC25-4C10-91F3-8A83FCDD59E3}" name="FP_STG" dataDxfId="869"/>
    <tableColumn id="5" xr3:uid="{1EA53371-A118-4DD2-8AFF-F67EC583D46C}" name="FP_BOM" dataDxfId="868"/>
    <tableColumn id="6" xr3:uid="{993BE2E8-588C-45F4-8702-ADAFA8D552C8}" name="FP_BSA" dataDxfId="867"/>
    <tableColumn id="7" xr3:uid="{AE441148-9A36-41A8-A080-5722FC049F4E}" name="TP_WBC" dataDxfId="866"/>
    <tableColumn id="8" xr3:uid="{2F86D76F-F1D6-4EC7-9A96-19F5D541EFD2}" name="TP_STG" dataDxfId="865"/>
    <tableColumn id="9" xr3:uid="{5C9F82AB-1CDA-43AD-A9AA-1CA964075DBB}" name="TP_BOM" dataDxfId="864"/>
    <tableColumn id="10" xr3:uid="{6F6C7FE1-C5F1-46FE-8991-627B78981CDC}" name="TP_BSA" dataDxfId="863"/>
    <tableColumn id="11" xr3:uid="{4C8B28BE-A9C5-4480-8E09-715A3287B883}" name="OP_WBC" dataDxfId="862"/>
    <tableColumn id="12" xr3:uid="{A4A4D91B-AE8B-40FB-A06D-153BFF336CFC}" name="OP_STG" dataDxfId="861"/>
    <tableColumn id="13" xr3:uid="{0F48AE03-6E47-4BE4-8D7D-E593C5B0CA05}" name="OP_BOM" dataDxfId="860"/>
    <tableColumn id="14" xr3:uid="{5DEDA39A-D54B-4F7C-844C-D982A985E335}" name="OP_BSA" dataDxfId="859"/>
    <tableColumn id="15" xr3:uid="{F35978C9-08D0-408A-AB4B-5C31D0D62B02}" name="PL_WBC" dataDxfId="858"/>
    <tableColumn id="16" xr3:uid="{3B24DC9B-E42B-4F43-BD23-9CB5AA6499ED}" name="MQ_WBC" dataDxfId="857"/>
    <tableColumn id="17" xr3:uid="{5B2B0DA5-8AD1-4900-A347-0444CC68E091}" name="PW_WBC" dataDxfId="856"/>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3387363-0CBF-4EA6-A31C-E1CCE6B84DCB}" name="ProLoanFutureIncomeDataTable" displayName="ProLoanFutureIncomeDataTable" ref="Z48:AI58" totalsRowShown="0" dataDxfId="855" dataCellStyle="Currency">
  <autoFilter ref="Z48:AI58" xr:uid="{D3387363-0CBF-4EA6-A31C-E1CCE6B84D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2" xr3:uid="{3F1E220B-B801-47CC-924A-5A2EE5D73DEF}" name="DisplayYear"/>
    <tableColumn id="1" xr3:uid="{1EA8D831-C3C0-4FDF-A0B5-26AED08DE874}" name="FutureIncomeYear" dataDxfId="854" dataCellStyle="Currency 3 5"/>
    <tableColumn id="3" xr3:uid="{3F798429-BE21-48D3-AACE-E543795CA2B3}" name="VIC" dataDxfId="853" dataCellStyle="Currency"/>
    <tableColumn id="4" xr3:uid="{AF7702D4-689C-4AB4-BE58-010654DFB810}" name="NSW" dataDxfId="852" dataCellStyle="Currency"/>
    <tableColumn id="5" xr3:uid="{E02698B6-2356-4A28-8593-4DA2206302AE}" name="QLD" dataDxfId="851" dataCellStyle="Currency"/>
    <tableColumn id="6" xr3:uid="{A901EA3B-BB53-4E74-BB35-6FC49576BBED}" name="WA" dataDxfId="850" dataCellStyle="Currency"/>
    <tableColumn id="7" xr3:uid="{259CCA54-F5C4-40B6-8EE6-BB4D1B0E9E8B}" name="NT" dataDxfId="849" dataCellStyle="Currency"/>
    <tableColumn id="8" xr3:uid="{939F0C3E-1AA4-4338-BDFA-D28EC9DFFC3F}" name="ACT" dataDxfId="848" dataCellStyle="Currency"/>
    <tableColumn id="9" xr3:uid="{4E2ACF24-1C9D-4E11-A304-0B44C1F68FA2}" name="SA" dataDxfId="847" dataCellStyle="Currency"/>
    <tableColumn id="10" xr3:uid="{7A18B418-C635-4C6F-BC00-70126F456D69}" name="TAS" dataDxfId="846" dataCellStyle="Currency"/>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88835CF7-307A-40EC-B24E-3AB5E8557D6C}" name="RentalIncomePropertyTypeTable" displayName="RentalIncomePropertyTypeTable" ref="G50:G53" totalsRowShown="0" dataDxfId="845">
  <autoFilter ref="G50:G53" xr:uid="{88835CF7-307A-40EC-B24E-3AB5E8557D6C}">
    <filterColumn colId="0" hiddenButton="1"/>
  </autoFilter>
  <tableColumns count="1">
    <tableColumn id="1" xr3:uid="{18FAF621-7E14-495D-A534-7DA2F33DA70F}" name="PropertyType" dataDxfId="844"/>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EA53AD0-5FD7-48BD-B8C5-2C6F59B21A06}" name="CasualIncomeAnnualiseWeeksTable" displayName="CasualIncomeAnnualiseWeeksTable" ref="AB29:AB31" totalsRowShown="0" dataDxfId="843">
  <autoFilter ref="AB29:AB31" xr:uid="{6EA53AD0-5FD7-48BD-B8C5-2C6F59B21A06}">
    <filterColumn colId="0" hiddenButton="1"/>
  </autoFilter>
  <tableColumns count="1">
    <tableColumn id="1" xr3:uid="{E2C0BE7C-AA4D-488D-8EBD-F2E78C3B7E1A}" name="AnnualiseWeeks" dataDxfId="842"/>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B3862D56-DD49-42F1-B4EC-E5D0152032EA}" name="ServiceabilityAssessmentType" displayName="ServiceabilityAssessmentType" ref="E44:E46" totalsRowShown="0">
  <autoFilter ref="E44:E46" xr:uid="{B3862D56-DD49-42F1-B4EC-E5D0152032EA}">
    <filterColumn colId="0" hiddenButton="1"/>
  </autoFilter>
  <tableColumns count="1">
    <tableColumn id="1" xr3:uid="{4FEBD3CC-D750-4D5C-8A17-277F6D27BF36}" name="AssessmentType"/>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69641-C601-48DE-AFEE-47C6EABF6D39}" name="SESoleTraderAssessmentTypeTable" displayName="SESoleTraderAssessmentTypeTable" ref="G65:G68" totalsRowShown="0" tableBorderDxfId="841">
  <autoFilter ref="G65:G68" xr:uid="{6E569641-C601-48DE-AFEE-47C6EABF6D39}">
    <filterColumn colId="0" hiddenButton="1"/>
  </autoFilter>
  <tableColumns count="1">
    <tableColumn id="1" xr3:uid="{7D0B6B57-E223-4983-87E0-01747E0C2997}" name="AssessmentType"/>
  </tableColumns>
  <tableStyleInfo name="TableStyleMedium4"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2311E28-C481-4224-B664-8C7387C3AB71}" name="SEFastTrackBusinessTypeTable" displayName="SEFastTrackBusinessTypeTable" ref="F56:F59" totalsRowShown="0">
  <autoFilter ref="F56:F59" xr:uid="{22311E28-C481-4224-B664-8C7387C3AB71}">
    <filterColumn colId="0" hiddenButton="1"/>
  </autoFilter>
  <tableColumns count="1">
    <tableColumn id="1" xr3:uid="{C345BB2D-3C66-470C-9E34-F737C98B9E43}" name="BusinessType"/>
  </tableColumns>
  <tableStyleInfo name="TableStyleMedium4"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473BBB4D-F36A-4146-9262-91E7E9C221DF}" name="SDHelp" displayName="SDHelp" ref="AK3:AN74" totalsRowShown="0">
  <autoFilter ref="AK3:AN74" xr:uid="{473BBB4D-F36A-4146-9262-91E7E9C221DF}">
    <filterColumn colId="0" hiddenButton="1"/>
    <filterColumn colId="1" hiddenButton="1"/>
    <filterColumn colId="2" hiddenButton="1"/>
    <filterColumn colId="3" hiddenButton="1"/>
  </autoFilter>
  <tableColumns count="4">
    <tableColumn id="1" xr3:uid="{582706B6-D800-4664-80FF-94BB28A8CD74}" name="HelpID"/>
    <tableColumn id="4" xr3:uid="{33635342-309E-4F55-A038-D0DA8B079BD8}" name="Calculator"/>
    <tableColumn id="2" xr3:uid="{1710D6CE-8420-45C6-A109-48580DA6BB68}" name="HelpHeading"/>
    <tableColumn id="3" xr3:uid="{D5115DCD-E2E3-47E3-8E75-7578E2F9BCF7}" name="HelpText"/>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6D814-BAC4-41A6-B6C5-A19A2F304B8D}" name="CommercialBillNotionalTermTable" displayName="CommercialBillNotionalTermTable" ref="D104:D109" totalsRowShown="0">
  <autoFilter ref="D104:D109" xr:uid="{77E6D814-BAC4-41A6-B6C5-A19A2F304B8D}">
    <filterColumn colId="0" hiddenButton="1"/>
  </autoFilter>
  <tableColumns count="1">
    <tableColumn id="1" xr3:uid="{330B7F27-58BF-4510-8AFD-38D3487A117F}" name="NotionalTerm" dataDxfId="840"/>
  </tableColumns>
  <tableStyleInfo name="TableStyleMedium5"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8994A93-67D0-4140-BFF7-26CBCC312D57}" name="TermLoanNotionalTermTable" displayName="TermLoanNotionalTermTable" ref="F104:F128" totalsRowShown="0">
  <autoFilter ref="F104:F128" xr:uid="{38994A93-67D0-4140-BFF7-26CBCC312D57}"/>
  <tableColumns count="1">
    <tableColumn id="1" xr3:uid="{6B7DFB3B-E575-48EB-B329-263B4C69E5EE}" name="NotionalTerm" dataDxfId="839"/>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896DDD1B-F727-401B-B1EC-F0509758AD17}" name="NewLoanTypeList" displayName="NewLoanTypeList" ref="U38:U41" totalsRowShown="0">
  <autoFilter ref="U38:U41" xr:uid="{896DDD1B-F727-401B-B1EC-F0509758AD17}"/>
  <tableColumns count="1">
    <tableColumn id="1" xr3:uid="{F0A9E12A-6C1C-4D3D-B56A-32268F91CCEB}" name="NewLoanType">
      <calculatedColumnFormula array="1">IFERROR(INDEX(M$39:M$41,_xlfn.AGGREGATE(15,6,ROW(M$39:M$41)-ROW(M$39)+1/(M$39:M$41&lt;&gt;""),ROWS(U$39:U39))),"")</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86E03521-6073-4C0C-8FB5-47878A4103F4}" name="ExistingShareableCommitmentTypeList" displayName="ExistingShareableCommitmentTypeList" ref="X5:X21" totalsRowShown="0" headerRowBorderDxfId="838" tableBorderDxfId="837">
  <autoFilter ref="X5:X21" xr:uid="{86E03521-6073-4C0C-8FB5-47878A4103F4}"/>
  <tableColumns count="1">
    <tableColumn id="1" xr3:uid="{0A983486-3B74-41EC-9016-2BD71943DA1E}" name="CommitmentType">
      <calculatedColumnFormula array="1">IFERROR(INDEX(M$6:M$21,_xlfn.AGGREGATE(15,6,ROW(M$6:M$21)-ROW(M$6)+1/(M$6:M$21&lt;&gt;""),ROWS(X$6:X6))),"")</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28650E95-5D18-4364-B5A2-4EEF18D6B95E}" name="SEBusinessLiabilityList" displayName="SEBusinessLiabilityList" ref="X90:X102" totalsRowShown="0" headerRowBorderDxfId="836" tableBorderDxfId="835">
  <autoFilter ref="X90:X102" xr:uid="{28650E95-5D18-4364-B5A2-4EEF18D6B95E}"/>
  <tableColumns count="1">
    <tableColumn id="1" xr3:uid="{5A544C37-97CD-44E9-940F-63F146A2EFEB}" name="LiabilityType" dataDxfId="834">
      <calculatedColumnFormula array="1">IFERROR(INDEX(D$91:D$102,_xlfn.AGGREGATE(15,6,ROW(D$91:D$102)-ROW(D$91)+1/(D$91:D$102&lt;&gt;""),ROWS(X$91:X91))),"")</calculatedColumnFormula>
    </tableColumn>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6CF6A90-EAE4-49EE-9CAE-49AF342C2A08}" name="SEBANewBusinessDataTable" displayName="SEBANewBusinessDataTable" ref="F8:G68" totalsRowShown="0" headerRowDxfId="188" dataDxfId="187" tableBorderDxfId="186" headerRowCellStyle="2 field question 2">
  <autoFilter ref="F8:G68" xr:uid="{7C52DB39-3119-4169-AAEE-3680CED048AE}">
    <filterColumn colId="0" hiddenButton="1"/>
    <filterColumn colId="1" hiddenButton="1"/>
  </autoFilter>
  <tableColumns count="2">
    <tableColumn id="1" xr3:uid="{C6AEC02B-06EC-47B2-B3BC-FE10B1C9011F}" name="Business type" dataDxfId="185"/>
    <tableColumn id="2" xr3:uid="{DA9B2246-AE0A-4D8E-8D57-A57E3048202E}" name="Business name" dataDxfId="184"/>
  </tableColumns>
  <tableStyleInfo showFirstColumn="0" showLastColumn="0" showRowStripes="0"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F4ECF7B-638A-4C94-87C6-00F7E6224DEC}" name="BLCCurrentLendingActionList" displayName="BLCCurrentLendingActionList" ref="W8:W12" totalsRowShown="0" headerRowDxfId="73" dataDxfId="71" headerRowBorderDxfId="72" tableBorderDxfId="70" totalsRowBorderDxfId="69" headerRowCellStyle="Normal 2 21" dataCellStyle="Normal 2 20">
  <autoFilter ref="W8:W12" xr:uid="{8F4ECF7B-638A-4C94-87C6-00F7E6224DEC}">
    <filterColumn colId="0" hiddenButton="1"/>
  </autoFilter>
  <tableColumns count="1">
    <tableColumn id="1" xr3:uid="{135CE4A9-502D-4F98-BF75-5B7E6299B8A4}" name="Action" dataDxfId="68" dataCellStyle="Normal 2 20"/>
  </tableColumns>
  <tableStyleInfo name="TableStyleLight21" showFirstColumn="0" showLastColumn="0" showRowStripes="0"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D67C63C-FEE8-4166-8C65-8B97E654EC35}" name="BLCICAPRateBuffers" displayName="BLCICAPRateBuffers" ref="W25:Y29" totalsRowShown="0" headerRowDxfId="67">
  <autoFilter ref="W25:Y29" xr:uid="{7D67C63C-FEE8-4166-8C65-8B97E654EC35}">
    <filterColumn colId="0" hiddenButton="1"/>
    <filterColumn colId="1" hiddenButton="1"/>
    <filterColumn colId="2" hiddenButton="1"/>
  </autoFilter>
  <tableColumns count="3">
    <tableColumn id="1" xr3:uid="{5AFC796D-1CD3-45A3-8B20-2BD88A24318C}" name="Brand" dataDxfId="66"/>
    <tableColumn id="2" xr3:uid="{55A8A2E4-AAC1-4E65-8229-E47E5E26E7E8}" name="ICAPInterestPremiumOver3Months" dataDxfId="65" dataCellStyle="Percent"/>
    <tableColumn id="3" xr3:uid="{0A1B4000-0DD9-4222-9BCA-895EDB69A52F}" name="ICAPBufferRate"/>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B60770D2-48CE-4E01-9EBC-BF02899D5224}" name="RPCPausePeriodTable" displayName="RPCPausePeriodTable" ref="AL19:AM29" totalsRowShown="0">
  <autoFilter ref="AL19:AM29" xr:uid="{B60770D2-48CE-4E01-9EBC-BF02899D5224}">
    <filterColumn colId="0" hiddenButton="1"/>
    <filterColumn colId="1" hiddenButton="1"/>
  </autoFilter>
  <tableColumns count="2">
    <tableColumn id="1" xr3:uid="{96ABEB1C-01B2-447C-9310-246D81161BDF}" name="PausePeriod"/>
    <tableColumn id="2" xr3:uid="{F7D8D6CD-09AE-4A1A-BC2E-D947A99D551E}" name="PauseFactor"/>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52770EA8-4D64-4F21-A6CD-A83D86669907}" name="RPCPaymentDayTable" displayName="RPCPaymentDayTable" ref="AO19:AP26" totalsRowShown="0">
  <autoFilter ref="AO19:AP26" xr:uid="{52770EA8-4D64-4F21-A6CD-A83D86669907}">
    <filterColumn colId="0" hiddenButton="1"/>
    <filterColumn colId="1" hiddenButton="1"/>
  </autoFilter>
  <tableColumns count="2">
    <tableColumn id="1" xr3:uid="{52778A85-6D59-4EF6-AB0D-2C4E09D6AF23}" name="PaymentDay"/>
    <tableColumn id="2" xr3:uid="{465230FC-980A-44C7-B40D-4BC631F594D2}" name="Weekday" dataCellStyle="Normal 12 2"/>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46F20298-F3BC-48B4-BAA9-93C6F3D9C80F}" name="RPCRepaymentTypeTable" displayName="RPCRepaymentTypeTable" ref="AG19:AG21" totalsRowShown="0">
  <autoFilter ref="AG19:AG21" xr:uid="{46F20298-F3BC-48B4-BAA9-93C6F3D9C80F}">
    <filterColumn colId="0" hiddenButton="1"/>
  </autoFilter>
  <tableColumns count="1">
    <tableColumn id="1" xr3:uid="{2B66CDB9-7D85-4BC8-BDE6-AFCADEFA559C}" name="RepaymentType"/>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27203F63-BC82-4CA4-B037-14DBC130EC92}" name="RPCChargeCycleData" displayName="RPCChargeCycleData" ref="AA19:AA47" totalsRowShown="0" dataCellStyle="Normal 12">
  <autoFilter ref="AA19:AA47" xr:uid="{27203F63-BC82-4CA4-B037-14DBC130EC92}">
    <filterColumn colId="0" hiddenButton="1"/>
  </autoFilter>
  <tableColumns count="1">
    <tableColumn id="1" xr3:uid="{BC246F9C-BF0D-4B70-893A-AEA77A067B15}" name="ChargeCycle" dataCellStyle="Normal 12"/>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D1A84B85-1FA9-4F12-9BFE-1A636529BDBF}" name="RPCRepaymentFrequencyData" displayName="RPCRepaymentFrequencyData" ref="AI19:AJ22" totalsRowShown="0">
  <autoFilter ref="AI19:AJ22" xr:uid="{D1A84B85-1FA9-4F12-9BFE-1A636529BDBF}">
    <filterColumn colId="0" hiddenButton="1"/>
    <filterColumn colId="1" hiddenButton="1"/>
  </autoFilter>
  <tableColumns count="2">
    <tableColumn id="1" xr3:uid="{E1DFB23A-63E3-4D45-91ED-B8F6CA296A65}" name="RepaymentFrequency" dataDxfId="9" dataCellStyle="Normal 12"/>
    <tableColumn id="2" xr3:uid="{F7F76D0E-2E71-45D4-A247-B50BF96059CA}" name="Factor" dataCellStyle="Normal 12"/>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E9029DA-B69D-49E6-899B-FFD5FD91AD16}" name="RPCRepaymentDates" displayName="RPCRepaymentDates" ref="AC19:AC825" totalsRowShown="0" dataDxfId="8" dataCellStyle="Normal 12">
  <autoFilter ref="AC19:AC825" xr:uid="{0E9029DA-B69D-49E6-899B-FFD5FD91AD16}">
    <filterColumn colId="0" hiddenButton="1"/>
  </autoFilter>
  <tableColumns count="1">
    <tableColumn id="1" xr3:uid="{F50BBE01-48CF-4A19-9A39-7E2DAA4F49AA}" name="RepaymentDates" dataDxfId="7" dataCellStyle="Normal 12">
      <calculatedColumnFormula>IF(RPCRepaymentFrequency="Monthly",EDATE(AC19,1),IF(RPCRepaymentFrequency="Forthnightly",AC19+14,AC19+7))</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BA9D12B4-FB0C-4540-B38F-8B8DBC733C70}" name="RPCChargeCycleDates" displayName="RPCChargeCycleDates" ref="AE19:AE142" totalsRowShown="0" dataDxfId="6" dataCellStyle="Normal 12">
  <autoFilter ref="AE19:AE142" xr:uid="{BA9D12B4-FB0C-4540-B38F-8B8DBC733C70}">
    <filterColumn colId="0" hiddenButton="1"/>
  </autoFilter>
  <tableColumns count="1">
    <tableColumn id="1" xr3:uid="{5984DFCD-20F5-4F9F-BA4B-882BDF1E1660}" name="ChargeCycleDates" dataDxfId="5" dataCellStyle="Normal 12">
      <calculatedColumnFormula>IF(DAY(RPCBalanceEnquiryDate)&lt;RPCChargeCycle,DATE(YEAR(RPCBalanceEnquiryDate),MONTH(RPCBalanceEnquiryDate),RPCChargeCycle),DATE(YEAR(EDATE(RPCBalanceEnquiryDate,1)),MONTH(EDATE(RPCBalanceEnquiryDate,1)),RPCChargeCycle))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WBCTheme">
  <a:themeElements>
    <a:clrScheme name="Westpac GEL">
      <a:dk1>
        <a:srgbClr val="181B25"/>
      </a:dk1>
      <a:lt1>
        <a:srgbClr val="FFFFFF"/>
      </a:lt1>
      <a:dk2>
        <a:srgbClr val="1F1C4F"/>
      </a:dk2>
      <a:lt2>
        <a:srgbClr val="F3F4F6"/>
      </a:lt2>
      <a:accent1>
        <a:srgbClr val="1F1C4F"/>
      </a:accent1>
      <a:accent2>
        <a:srgbClr val="DA1710"/>
      </a:accent2>
      <a:accent3>
        <a:srgbClr val="E0BAF2"/>
      </a:accent3>
      <a:accent4>
        <a:srgbClr val="2A2E42"/>
      </a:accent4>
      <a:accent5>
        <a:srgbClr val="E8E8ED"/>
      </a:accent5>
      <a:accent6>
        <a:srgbClr val="9390A2"/>
      </a:accent6>
      <a:hlink>
        <a:srgbClr val="DA1710"/>
      </a:hlink>
      <a:folHlink>
        <a:srgbClr val="DA171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D5002B"/>
        </a:solidFill>
        <a:ln w="9525" cap="flat" cmpd="sng">
          <a:solidFill>
            <a:srgbClr val="D5002B"/>
          </a:solidFill>
          <a:prstDash val="solid"/>
          <a:round/>
          <a:headEnd type="none" w="sm" len="sm"/>
          <a:tailEnd type="none" w="sm" len="sm"/>
        </a:ln>
      </a:spPr>
      <a:bodyPr spcFirstLastPara="1" wrap="square" lIns="91425" tIns="91425" rIns="91425" bIns="91425" anchor="ctr" anchorCtr="0">
        <a:noAutofit/>
      </a:bodyPr>
      <a:lstStyle>
        <a:defPPr marL="0" indent="0" algn="ctr" rtl="0">
          <a:spcBef>
            <a:spcPts val="0"/>
          </a:spcBef>
          <a:spcAft>
            <a:spcPts val="0"/>
          </a:spcAft>
          <a:buNone/>
          <a:defRPr sz="1600" b="1">
            <a:solidFill>
              <a:schemeClr val="bg1"/>
            </a:solidFill>
            <a:latin typeface="Arial" panose="020B0604020202020204" pitchFamily="34" charset="0"/>
            <a:cs typeface="Arial" panose="020B0604020202020204" pitchFamily="34" charset="0"/>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1.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1" Type="http://schemas.openxmlformats.org/officeDocument/2006/relationships/printerSettings" Target="../printerSettings/printerSettings8.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comments" Target="../comments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 Id="rId8" Type="http://schemas.openxmlformats.org/officeDocument/2006/relationships/table" Target="../tables/table29.xml"/><Relationship Id="rId3" Type="http://schemas.openxmlformats.org/officeDocument/2006/relationships/table" Target="../tables/table2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61.xml"/><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62.x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table" Target="../tables/table63.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8" Type="http://schemas.openxmlformats.org/officeDocument/2006/relationships/table" Target="../tables/table69.xml"/><Relationship Id="rId3" Type="http://schemas.openxmlformats.org/officeDocument/2006/relationships/table" Target="../tables/table64.xml"/><Relationship Id="rId7" Type="http://schemas.openxmlformats.org/officeDocument/2006/relationships/table" Target="../tables/table68.xml"/><Relationship Id="rId2" Type="http://schemas.openxmlformats.org/officeDocument/2006/relationships/drawing" Target="../drawings/drawing21.xml"/><Relationship Id="rId1" Type="http://schemas.openxmlformats.org/officeDocument/2006/relationships/printerSettings" Target="../printerSettings/printerSettings29.bin"/><Relationship Id="rId6" Type="http://schemas.openxmlformats.org/officeDocument/2006/relationships/table" Target="../tables/table67.xml"/><Relationship Id="rId5" Type="http://schemas.openxmlformats.org/officeDocument/2006/relationships/table" Target="../tables/table66.xml"/><Relationship Id="rId4" Type="http://schemas.openxmlformats.org/officeDocument/2006/relationships/table" Target="../tables/table65.xml"/><Relationship Id="rId9" Type="http://schemas.openxmlformats.org/officeDocument/2006/relationships/table" Target="../tables/table70.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F16D8-9A6F-4B9C-BF49-2A253ECA6D6E}">
  <sheetPr codeName="shApplicantLists">
    <tabColor theme="5"/>
  </sheetPr>
  <dimension ref="A2:Q46"/>
  <sheetViews>
    <sheetView showRowColHeaders="0" zoomScaleNormal="100" workbookViewId="0">
      <selection activeCell="D34" sqref="D34"/>
    </sheetView>
  </sheetViews>
  <sheetFormatPr defaultRowHeight="12.75" customHeight="1" x14ac:dyDescent="0.25"/>
  <cols>
    <col min="1" max="1" width="2.81640625" customWidth="1"/>
    <col min="2" max="2" width="16" customWidth="1"/>
    <col min="3" max="3" width="17.54296875" bestFit="1" customWidth="1"/>
    <col min="4" max="4" width="17" bestFit="1" customWidth="1"/>
    <col min="5" max="5" width="14.7265625" bestFit="1" customWidth="1"/>
    <col min="6" max="6" width="14.7265625" customWidth="1"/>
    <col min="7" max="7" width="19.81640625" bestFit="1" customWidth="1"/>
    <col min="8" max="8" width="2.81640625" customWidth="1"/>
    <col min="9" max="9" width="19.81640625" bestFit="1" customWidth="1"/>
    <col min="10" max="10" width="2.81640625" customWidth="1"/>
    <col min="11" max="11" width="19.81640625" bestFit="1" customWidth="1"/>
    <col min="12" max="12" width="2.81640625" customWidth="1"/>
    <col min="13" max="13" width="19.81640625" bestFit="1" customWidth="1"/>
    <col min="14" max="14" width="2.81640625" customWidth="1"/>
    <col min="15" max="15" width="19.81640625" bestFit="1" customWidth="1"/>
    <col min="16" max="16" width="2.81640625" customWidth="1"/>
    <col min="17" max="17" width="19.81640625" bestFit="1" customWidth="1"/>
  </cols>
  <sheetData>
    <row r="2" spans="2:17" ht="12.75" customHeight="1" x14ac:dyDescent="0.3">
      <c r="B2" s="67" t="s">
        <v>214</v>
      </c>
      <c r="C2" s="68"/>
      <c r="D2" s="75"/>
      <c r="E2" s="25"/>
      <c r="F2" s="25"/>
      <c r="G2" s="69" t="s">
        <v>218</v>
      </c>
      <c r="H2" s="2"/>
      <c r="I2" s="69" t="s">
        <v>219</v>
      </c>
      <c r="J2" s="2"/>
      <c r="K2" s="69" t="s">
        <v>220</v>
      </c>
      <c r="L2" s="2"/>
      <c r="M2" s="69" t="s">
        <v>221</v>
      </c>
      <c r="N2" s="25"/>
      <c r="O2" s="69" t="s">
        <v>223</v>
      </c>
      <c r="P2" s="2"/>
      <c r="Q2" s="69" t="s">
        <v>224</v>
      </c>
    </row>
    <row r="3" spans="2:17" ht="12.75" customHeight="1" x14ac:dyDescent="0.25">
      <c r="B3" s="65" t="s">
        <v>215</v>
      </c>
      <c r="C3" s="65" t="s">
        <v>216</v>
      </c>
      <c r="D3" s="65" t="s">
        <v>217</v>
      </c>
      <c r="E3" s="65" t="s">
        <v>2355</v>
      </c>
      <c r="F3" s="25"/>
      <c r="G3" t="s">
        <v>184</v>
      </c>
      <c r="H3" s="2"/>
      <c r="I3" t="s">
        <v>184</v>
      </c>
      <c r="J3" s="2"/>
      <c r="K3" t="s">
        <v>184</v>
      </c>
      <c r="L3" s="2"/>
      <c r="M3" t="s">
        <v>184</v>
      </c>
      <c r="N3" s="25"/>
      <c r="O3" t="s">
        <v>184</v>
      </c>
      <c r="P3" s="2"/>
      <c r="Q3" t="s">
        <v>184</v>
      </c>
    </row>
    <row r="4" spans="2:17" ht="12.75" customHeight="1" x14ac:dyDescent="0.25">
      <c r="B4" s="66" t="str" cm="1">
        <f t="array" aca="1" ref="B4" ca="1">IF(INDIRECT("SCAApp" &amp; ApplicantList[[#This Row],[Applicant Number]] &amp; "Name")="","",INDIRECT("SCAApp" &amp; ApplicantList[[#This Row],[Applicant Number]] &amp; "Name"))</f>
        <v/>
      </c>
      <c r="C4" s="66">
        <v>1</v>
      </c>
      <c r="D4" s="66" t="str" cm="1">
        <f t="array" aca="1" ref="D4" ca="1">IF(INDIRECT("SCAApp" &amp; ApplicantList[[#This Row],[Applicant Number]] &amp; "Spouse")="","",INDIRECT("SCAApp" &amp; ApplicantList[[#This Row],[Applicant Number]] &amp; "Spouse"))</f>
        <v/>
      </c>
      <c r="E4" s="66" t="str" cm="1">
        <f t="array" aca="1" ref="E4" ca="1">IF(INDIRECT("SCAApp" &amp; ApplicantList[[#This Row],[Applicant Number]] &amp; "Spouse")="","",INDIRECT("SCAApp" &amp; ApplicantList[[#This Row],[Applicant Number]] &amp; "SameHousehold"))</f>
        <v/>
      </c>
      <c r="F4" s="25"/>
      <c r="G4" s="70" t="str" cm="1">
        <f t="array" aca="1" ref="G4" ca="1">IFERROR(INDEX(G$12:G$18,_xlfn.AGGREGATE(15,6,ROW(G$12:G$18)-ROW(G$12)+1/(G$12:G$18&lt;&gt;""),ROWS(G$4:G4))),"")</f>
        <v>Non-applicant</v>
      </c>
      <c r="H4" s="2"/>
      <c r="I4" s="70" t="str" cm="1">
        <f t="array" aca="1" ref="I4" ca="1">IFERROR(INDEX(I$12:I$18,_xlfn.AGGREGATE(15,6,ROW(I$12:I$18)-ROW(I$12)+1/(I$12:I$18&lt;&gt;""),ROWS(I$4:I4))),"")</f>
        <v>Non-applicant</v>
      </c>
      <c r="J4" s="2"/>
      <c r="K4" s="70" t="str" cm="1">
        <f t="array" aca="1" ref="K4" ca="1">IFERROR(INDEX(K$12:K$18,_xlfn.AGGREGATE(15,6,ROW(K$12:K$18)-ROW(K$12)+1/(K$12:K$18&lt;&gt;""),ROWS(K$4:K4))),"")</f>
        <v>Non-applicant</v>
      </c>
      <c r="L4" s="2"/>
      <c r="M4" s="70" t="str" cm="1">
        <f t="array" aca="1" ref="M4" ca="1">IFERROR(INDEX(M$12:M$18,_xlfn.AGGREGATE(15,6,ROW(M$12:M$18)-ROW(M$12)+1/(M$12:M$18&lt;&gt;""),ROWS(M$4:M4))),"")</f>
        <v>Non-applicant</v>
      </c>
      <c r="N4" s="25"/>
      <c r="O4" s="70" t="str" cm="1">
        <f t="array" aca="1" ref="O4" ca="1">IFERROR(INDEX(O$12:O$18,_xlfn.AGGREGATE(15,6,ROW(O$12:O$18)-ROW(O$12)+1/(O$12:O$18&lt;&gt;""),ROWS(O$4:O4))),"")</f>
        <v>Non-applicant</v>
      </c>
      <c r="P4" s="2"/>
      <c r="Q4" s="70" t="str" cm="1">
        <f t="array" aca="1" ref="Q4" ca="1">IFERROR(INDEX(Q$12:Q$18,_xlfn.AGGREGATE(15,6,ROW(Q$12:Q$18)-ROW(Q$12)+1/(Q$12:Q$18&lt;&gt;""),ROWS(Q$4:Q4))),"")</f>
        <v>Non-applicant</v>
      </c>
    </row>
    <row r="5" spans="2:17" ht="12.75" customHeight="1" x14ac:dyDescent="0.25">
      <c r="B5" s="66" t="str" cm="1">
        <f t="array" aca="1" ref="B5" ca="1">IF(INDIRECT("SCAApp" &amp; ApplicantList[[#This Row],[Applicant Number]] &amp; "Name")="","",INDIRECT("SCAApp" &amp; ApplicantList[[#This Row],[Applicant Number]] &amp; "Name"))</f>
        <v/>
      </c>
      <c r="C5" s="66">
        <v>2</v>
      </c>
      <c r="D5" s="66" t="str" cm="1">
        <f t="array" aca="1" ref="D5" ca="1">IF(INDIRECT("SCAApp" &amp; ApplicantList[[#This Row],[Applicant Number]] &amp; "Spouse")="","",INDIRECT("SCAApp" &amp; ApplicantList[[#This Row],[Applicant Number]] &amp; "Spouse"))</f>
        <v/>
      </c>
      <c r="E5" s="66" t="str" cm="1">
        <f t="array" aca="1" ref="E5" ca="1">IF(INDIRECT("SCAApp" &amp; ApplicantList[[#This Row],[Applicant Number]] &amp; "Spouse")="","",INDIRECT("SCAApp" &amp; ApplicantList[[#This Row],[Applicant Number]] &amp; "SameHousehold"))</f>
        <v/>
      </c>
      <c r="F5" s="25"/>
      <c r="G5" s="70" t="str" cm="1">
        <f t="array" aca="1" ref="G5" ca="1">IFERROR(INDEX(G$12:G$18,_xlfn.AGGREGATE(15,6,ROW(G$12:G$18)-ROW(G$12)+1/(G$12:G$18&lt;&gt;""),ROWS(G$4:G5))),"")</f>
        <v/>
      </c>
      <c r="H5" s="2"/>
      <c r="I5" s="70" t="str" cm="1">
        <f t="array" aca="1" ref="I5" ca="1">IFERROR(INDEX(I$12:I$18,_xlfn.AGGREGATE(15,6,ROW(I$12:I$18)-ROW(I$12)+1/(I$12:I$18&lt;&gt;""),ROWS(I$4:I5))),"")</f>
        <v/>
      </c>
      <c r="J5" s="2"/>
      <c r="K5" s="70" t="str" cm="1">
        <f t="array" aca="1" ref="K5" ca="1">IFERROR(INDEX(K$12:K$18,_xlfn.AGGREGATE(15,6,ROW(K$12:K$18)-ROW(K$12)+1/(K$12:K$18&lt;&gt;""),ROWS(K$4:K5))),"")</f>
        <v/>
      </c>
      <c r="L5" s="2"/>
      <c r="M5" s="70" t="str" cm="1">
        <f t="array" aca="1" ref="M5" ca="1">IFERROR(INDEX(M$12:M$18,_xlfn.AGGREGATE(15,6,ROW(M$12:M$18)-ROW(M$12)+1/(M$12:M$18&lt;&gt;""),ROWS(M$4:M5))),"")</f>
        <v/>
      </c>
      <c r="N5" s="25"/>
      <c r="O5" s="70" t="str" cm="1">
        <f t="array" aca="1" ref="O5" ca="1">IFERROR(INDEX(O$12:O$18,_xlfn.AGGREGATE(15,6,ROW(O$12:O$18)-ROW(O$12)+1/(O$12:O$18&lt;&gt;""),ROWS(O$4:O5))),"")</f>
        <v/>
      </c>
      <c r="P5" s="2"/>
      <c r="Q5" s="70" t="str" cm="1">
        <f t="array" aca="1" ref="Q5" ca="1">IFERROR(INDEX(Q$12:Q$18,_xlfn.AGGREGATE(15,6,ROW(Q$12:Q$18)-ROW(Q$12)+1/(Q$12:Q$18&lt;&gt;""),ROWS(Q$4:Q5))),"")</f>
        <v/>
      </c>
    </row>
    <row r="6" spans="2:17" ht="12.75" customHeight="1" x14ac:dyDescent="0.25">
      <c r="B6" s="66" t="str" cm="1">
        <f t="array" aca="1" ref="B6" ca="1">IF(INDIRECT("SCAApp" &amp; ApplicantList[[#This Row],[Applicant Number]] &amp; "Name")="","",INDIRECT("SCAApp" &amp; ApplicantList[[#This Row],[Applicant Number]] &amp; "Name"))</f>
        <v/>
      </c>
      <c r="C6" s="66">
        <v>3</v>
      </c>
      <c r="D6" s="66" t="str" cm="1">
        <f t="array" aca="1" ref="D6" ca="1">IF(INDIRECT("SCAApp" &amp; ApplicantList[[#This Row],[Applicant Number]] &amp; "Spouse")="","",INDIRECT("SCAApp" &amp; ApplicantList[[#This Row],[Applicant Number]] &amp; "Spouse"))</f>
        <v/>
      </c>
      <c r="E6" s="66" t="str" cm="1">
        <f t="array" aca="1" ref="E6" ca="1">IF(INDIRECT("SCAApp" &amp; ApplicantList[[#This Row],[Applicant Number]] &amp; "Spouse")="","",INDIRECT("SCAApp" &amp; ApplicantList[[#This Row],[Applicant Number]] &amp; "SameHousehold"))</f>
        <v/>
      </c>
      <c r="F6" s="25"/>
      <c r="G6" s="70" t="str" cm="1">
        <f t="array" aca="1" ref="G6" ca="1">IFERROR(INDEX(G$12:G$18,_xlfn.AGGREGATE(15,6,ROW(G$12:G$18)-ROW(G$12)+1/(G$12:G$18&lt;&gt;""),ROWS(G$4:G6))),"")</f>
        <v/>
      </c>
      <c r="H6" s="2"/>
      <c r="I6" s="70" t="str" cm="1">
        <f t="array" aca="1" ref="I6" ca="1">IFERROR(INDEX(I$12:I$18,_xlfn.AGGREGATE(15,6,ROW(I$12:I$18)-ROW(I$12)+1/(I$12:I$18&lt;&gt;""),ROWS(I$4:I6))),"")</f>
        <v/>
      </c>
      <c r="J6" s="2"/>
      <c r="K6" s="70" t="str" cm="1">
        <f t="array" aca="1" ref="K6" ca="1">IFERROR(INDEX(K$12:K$18,_xlfn.AGGREGATE(15,6,ROW(K$12:K$18)-ROW(K$12)+1/(K$12:K$18&lt;&gt;""),ROWS(K$4:K6))),"")</f>
        <v/>
      </c>
      <c r="L6" s="2"/>
      <c r="M6" s="70" t="str" cm="1">
        <f t="array" aca="1" ref="M6" ca="1">IFERROR(INDEX(M$12:M$18,_xlfn.AGGREGATE(15,6,ROW(M$12:M$18)-ROW(M$12)+1/(M$12:M$18&lt;&gt;""),ROWS(M$4:M6))),"")</f>
        <v/>
      </c>
      <c r="N6" s="25"/>
      <c r="O6" s="70" t="str" cm="1">
        <f t="array" aca="1" ref="O6" ca="1">IFERROR(INDEX(O$12:O$18,_xlfn.AGGREGATE(15,6,ROW(O$12:O$18)-ROW(O$12)+1/(O$12:O$18&lt;&gt;""),ROWS(O$4:O6))),"")</f>
        <v/>
      </c>
      <c r="P6" s="2"/>
      <c r="Q6" s="70" t="str" cm="1">
        <f t="array" aca="1" ref="Q6" ca="1">IFERROR(INDEX(Q$12:Q$18,_xlfn.AGGREGATE(15,6,ROW(Q$12:Q$18)-ROW(Q$12)+1/(Q$12:Q$18&lt;&gt;""),ROWS(Q$4:Q6))),"")</f>
        <v/>
      </c>
    </row>
    <row r="7" spans="2:17" ht="12.75" customHeight="1" x14ac:dyDescent="0.25">
      <c r="B7" s="66" t="str" cm="1">
        <f t="array" aca="1" ref="B7" ca="1">IF(INDIRECT("SCAApp" &amp; ApplicantList[[#This Row],[Applicant Number]] &amp; "Name")="","",INDIRECT("SCAApp" &amp; ApplicantList[[#This Row],[Applicant Number]] &amp; "Name"))</f>
        <v/>
      </c>
      <c r="C7" s="66">
        <v>4</v>
      </c>
      <c r="D7" s="66" t="str" cm="1">
        <f t="array" aca="1" ref="D7" ca="1">IF(INDIRECT("SCAApp" &amp; ApplicantList[[#This Row],[Applicant Number]] &amp; "Spouse")="","",INDIRECT("SCAApp" &amp; ApplicantList[[#This Row],[Applicant Number]] &amp; "Spouse"))</f>
        <v/>
      </c>
      <c r="E7" s="66" t="str" cm="1">
        <f t="array" aca="1" ref="E7" ca="1">IF(INDIRECT("SCAApp" &amp; ApplicantList[[#This Row],[Applicant Number]] &amp; "Spouse")="","",INDIRECT("SCAApp" &amp; ApplicantList[[#This Row],[Applicant Number]] &amp; "SameHousehold"))</f>
        <v/>
      </c>
      <c r="F7" s="25"/>
      <c r="G7" s="70" t="str" cm="1">
        <f t="array" aca="1" ref="G7" ca="1">IFERROR(INDEX(G$12:G$18,_xlfn.AGGREGATE(15,6,ROW(G$12:G$18)-ROW(G$12)+1/(G$12:G$18&lt;&gt;""),ROWS(G$4:G7))),"")</f>
        <v/>
      </c>
      <c r="H7" s="2"/>
      <c r="I7" s="70" t="str" cm="1">
        <f t="array" aca="1" ref="I7" ca="1">IFERROR(INDEX(I$12:I$18,_xlfn.AGGREGATE(15,6,ROW(I$12:I$18)-ROW(I$12)+1/(I$12:I$18&lt;&gt;""),ROWS(I$4:I7))),"")</f>
        <v/>
      </c>
      <c r="J7" s="2"/>
      <c r="K7" s="70" t="str" cm="1">
        <f t="array" aca="1" ref="K7" ca="1">IFERROR(INDEX(K$12:K$18,_xlfn.AGGREGATE(15,6,ROW(K$12:K$18)-ROW(K$12)+1/(K$12:K$18&lt;&gt;""),ROWS(K$4:K7))),"")</f>
        <v/>
      </c>
      <c r="L7" s="2"/>
      <c r="M7" s="70" t="str" cm="1">
        <f t="array" aca="1" ref="M7" ca="1">IFERROR(INDEX(M$12:M$18,_xlfn.AGGREGATE(15,6,ROW(M$12:M$18)-ROW(M$12)+1/(M$12:M$18&lt;&gt;""),ROWS(M$4:M7))),"")</f>
        <v/>
      </c>
      <c r="N7" s="25"/>
      <c r="O7" s="70" t="str" cm="1">
        <f t="array" aca="1" ref="O7" ca="1">IFERROR(INDEX(O$12:O$18,_xlfn.AGGREGATE(15,6,ROW(O$12:O$18)-ROW(O$12)+1/(O$12:O$18&lt;&gt;""),ROWS(O$4:O7))),"")</f>
        <v/>
      </c>
      <c r="P7" s="2"/>
      <c r="Q7" s="70" t="str" cm="1">
        <f t="array" aca="1" ref="Q7" ca="1">IFERROR(INDEX(Q$12:Q$18,_xlfn.AGGREGATE(15,6,ROW(Q$12:Q$18)-ROW(Q$12)+1/(Q$12:Q$18&lt;&gt;""),ROWS(Q$4:Q7))),"")</f>
        <v/>
      </c>
    </row>
    <row r="8" spans="2:17" ht="12.75" customHeight="1" x14ac:dyDescent="0.25">
      <c r="B8" s="66" t="str" cm="1">
        <f t="array" aca="1" ref="B8" ca="1">IF(INDIRECT("SCAApp" &amp; ApplicantList[[#This Row],[Applicant Number]] &amp; "Name")="","",INDIRECT("SCAApp" &amp; ApplicantList[[#This Row],[Applicant Number]] &amp; "Name"))</f>
        <v/>
      </c>
      <c r="C8" s="66">
        <v>5</v>
      </c>
      <c r="D8" s="66" t="str" cm="1">
        <f t="array" aca="1" ref="D8" ca="1">IF(INDIRECT("SCAApp" &amp; ApplicantList[[#This Row],[Applicant Number]] &amp; "Spouse")="","",INDIRECT("SCAApp" &amp; ApplicantList[[#This Row],[Applicant Number]] &amp; "Spouse"))</f>
        <v/>
      </c>
      <c r="E8" s="66" t="str" cm="1">
        <f t="array" aca="1" ref="E8" ca="1">IF(INDIRECT("SCAApp" &amp; ApplicantList[[#This Row],[Applicant Number]] &amp; "Spouse")="","",INDIRECT("SCAApp" &amp; ApplicantList[[#This Row],[Applicant Number]] &amp; "SameHousehold"))</f>
        <v/>
      </c>
      <c r="F8" s="25"/>
      <c r="G8" s="70" t="str" cm="1">
        <f t="array" aca="1" ref="G8" ca="1">IFERROR(INDEX(G$12:G$18,_xlfn.AGGREGATE(15,6,ROW(G$12:G$18)-ROW(G$12)+1/(G$12:G$18&lt;&gt;""),ROWS(G$4:G8))),"")</f>
        <v/>
      </c>
      <c r="H8" s="25"/>
      <c r="I8" s="70" t="str" cm="1">
        <f t="array" aca="1" ref="I8" ca="1">IFERROR(INDEX(I$12:I$18,_xlfn.AGGREGATE(15,6,ROW(I$12:I$18)-ROW(I$12)+1/(I$12:I$18&lt;&gt;""),ROWS(I$4:I8))),"")</f>
        <v/>
      </c>
      <c r="J8" s="25"/>
      <c r="K8" s="70" t="str" cm="1">
        <f t="array" aca="1" ref="K8" ca="1">IFERROR(INDEX(K$12:K$18,_xlfn.AGGREGATE(15,6,ROW(K$12:K$18)-ROW(K$12)+1/(K$12:K$18&lt;&gt;""),ROWS(K$4:K8))),"")</f>
        <v/>
      </c>
      <c r="L8" s="25"/>
      <c r="M8" s="70" t="str" cm="1">
        <f t="array" aca="1" ref="M8" ca="1">IFERROR(INDEX(M$12:M$18,_xlfn.AGGREGATE(15,6,ROW(M$12:M$18)-ROW(M$12)+1/(M$12:M$18&lt;&gt;""),ROWS(M$4:M8))),"")</f>
        <v/>
      </c>
      <c r="N8" s="25"/>
      <c r="O8" s="70" t="str" cm="1">
        <f t="array" aca="1" ref="O8" ca="1">IFERROR(INDEX(O$12:O$18,_xlfn.AGGREGATE(15,6,ROW(O$12:O$18)-ROW(O$12)+1/(O$12:O$18&lt;&gt;""),ROWS(O$4:O8))),"")</f>
        <v/>
      </c>
      <c r="P8" s="25"/>
      <c r="Q8" s="70" t="str" cm="1">
        <f t="array" aca="1" ref="Q8" ca="1">IFERROR(INDEX(Q$12:Q$18,_xlfn.AGGREGATE(15,6,ROW(Q$12:Q$18)-ROW(Q$12)+1/(Q$12:Q$18&lt;&gt;""),ROWS(Q$4:Q8))),"")</f>
        <v/>
      </c>
    </row>
    <row r="9" spans="2:17" ht="12.75" customHeight="1" x14ac:dyDescent="0.25">
      <c r="B9" s="66" t="str" cm="1">
        <f t="array" aca="1" ref="B9" ca="1">IF(INDIRECT("SCAApp" &amp; ApplicantList[[#This Row],[Applicant Number]] &amp; "Name")="","",INDIRECT("SCAApp" &amp; ApplicantList[[#This Row],[Applicant Number]] &amp; "Name"))</f>
        <v/>
      </c>
      <c r="C9" s="66">
        <v>6</v>
      </c>
      <c r="D9" s="66" t="str" cm="1">
        <f t="array" aca="1" ref="D9" ca="1">IF(INDIRECT("SCAApp" &amp; ApplicantList[[#This Row],[Applicant Number]] &amp; "Spouse")="","",INDIRECT("SCAApp" &amp; ApplicantList[[#This Row],[Applicant Number]] &amp; "Spouse"))</f>
        <v/>
      </c>
      <c r="E9" s="66" t="str" cm="1">
        <f t="array" aca="1" ref="E9" ca="1">IF(INDIRECT("SCAApp" &amp; ApplicantList[[#This Row],[Applicant Number]] &amp; "Spouse")="","",INDIRECT("SCAApp" &amp; ApplicantList[[#This Row],[Applicant Number]] &amp; "SameHousehold"))</f>
        <v/>
      </c>
      <c r="F9" s="25"/>
      <c r="G9" s="70" t="str" cm="1">
        <f t="array" aca="1" ref="G9" ca="1">IFERROR(INDEX(G$12:G$18,_xlfn.AGGREGATE(15,6,ROW(G$12:G$18)-ROW(G$12)+1/(G$12:G$18&lt;&gt;""),ROWS(G$4:G9))),"")</f>
        <v/>
      </c>
      <c r="H9" s="25"/>
      <c r="I9" s="70" t="str" cm="1">
        <f t="array" aca="1" ref="I9" ca="1">IFERROR(INDEX(I$12:I$18,_xlfn.AGGREGATE(15,6,ROW(I$12:I$18)-ROW(I$12)+1/(I$12:I$18&lt;&gt;""),ROWS(I$4:I9))),"")</f>
        <v/>
      </c>
      <c r="J9" s="25"/>
      <c r="K9" s="70" t="str" cm="1">
        <f t="array" aca="1" ref="K9" ca="1">IFERROR(INDEX(K$12:K$18,_xlfn.AGGREGATE(15,6,ROW(K$12:K$18)-ROW(K$12)+1/(K$12:K$18&lt;&gt;""),ROWS(K$4:K9))),"")</f>
        <v/>
      </c>
      <c r="L9" s="25"/>
      <c r="M9" s="70" t="str" cm="1">
        <f t="array" aca="1" ref="M9" ca="1">IFERROR(INDEX(M$12:M$18,_xlfn.AGGREGATE(15,6,ROW(M$12:M$18)-ROW(M$12)+1/(M$12:M$18&lt;&gt;""),ROWS(M$4:M9))),"")</f>
        <v/>
      </c>
      <c r="N9" s="25"/>
      <c r="O9" s="70" t="str" cm="1">
        <f t="array" aca="1" ref="O9" ca="1">IFERROR(INDEX(O$12:O$18,_xlfn.AGGREGATE(15,6,ROW(O$12:O$18)-ROW(O$12)+1/(O$12:O$18&lt;&gt;""),ROWS(O$4:O9))),"")</f>
        <v/>
      </c>
      <c r="P9" s="25"/>
      <c r="Q9" s="70" t="str" cm="1">
        <f t="array" aca="1" ref="Q9" ca="1">IFERROR(INDEX(Q$12:Q$18,_xlfn.AGGREGATE(15,6,ROW(Q$12:Q$18)-ROW(Q$12)+1/(Q$12:Q$18&lt;&gt;""),ROWS(Q$4:Q9))),"")</f>
        <v/>
      </c>
    </row>
    <row r="10" spans="2:17" ht="12.75" customHeight="1" x14ac:dyDescent="0.25">
      <c r="B10" s="25"/>
      <c r="C10" s="25"/>
      <c r="D10" s="25"/>
      <c r="E10" s="25"/>
      <c r="F10" s="25"/>
    </row>
    <row r="11" spans="2:17" ht="12.75" customHeight="1" x14ac:dyDescent="0.3">
      <c r="C11" s="25"/>
      <c r="D11" s="25"/>
      <c r="E11" s="25"/>
      <c r="F11" s="25"/>
      <c r="G11" s="72" t="s">
        <v>222</v>
      </c>
      <c r="H11" s="71"/>
      <c r="I11" s="72" t="s">
        <v>222</v>
      </c>
      <c r="J11" s="71"/>
      <c r="K11" s="72" t="s">
        <v>222</v>
      </c>
      <c r="L11" s="71"/>
      <c r="M11" s="72" t="s">
        <v>222</v>
      </c>
      <c r="N11" s="25"/>
      <c r="O11" s="72" t="s">
        <v>222</v>
      </c>
      <c r="P11" s="71"/>
      <c r="Q11" s="72" t="s">
        <v>222</v>
      </c>
    </row>
    <row r="12" spans="2:17" ht="12.75" customHeight="1" x14ac:dyDescent="0.25">
      <c r="C12" s="25"/>
      <c r="D12" s="25"/>
      <c r="E12" s="25"/>
      <c r="F12" s="25"/>
      <c r="G12" s="291"/>
      <c r="H12" s="2"/>
      <c r="I12" s="73" t="str">
        <f ca="1">IF(COUNTIF(ApplicantList[Applicant Spouse],$B4)=0,$B4,"")</f>
        <v/>
      </c>
      <c r="J12" s="2"/>
      <c r="K12" s="73" t="str">
        <f ca="1">IF(COUNTIF(ApplicantList[Applicant Spouse],$B4)=0,$B4,"")</f>
        <v/>
      </c>
      <c r="L12" s="2"/>
      <c r="M12" s="73" t="str">
        <f ca="1">IF(COUNTIF(ApplicantList[Applicant Spouse],$B4)=0,$B4,"")</f>
        <v/>
      </c>
      <c r="N12" s="25"/>
      <c r="O12" s="73" t="str">
        <f ca="1">IF(COUNTIF(ApplicantList[Applicant Spouse],$B4)=0,$B4,"")</f>
        <v/>
      </c>
      <c r="P12" s="2"/>
      <c r="Q12" s="73" t="str">
        <f ca="1">IF(COUNTIF(ApplicantList[Applicant Spouse],$B4)=0,$B4,"")</f>
        <v/>
      </c>
    </row>
    <row r="13" spans="2:17" ht="12.75" customHeight="1" x14ac:dyDescent="0.25">
      <c r="B13" s="25"/>
      <c r="C13" s="25"/>
      <c r="D13" s="25"/>
      <c r="E13" s="25"/>
      <c r="F13" s="25"/>
      <c r="G13" s="290" t="str">
        <f ca="1">IF(COUNTIF(ApplicantList[Applicant Spouse],$B5)=0,$B5,"")</f>
        <v/>
      </c>
      <c r="H13" s="2"/>
      <c r="I13" s="291"/>
      <c r="J13" s="2"/>
      <c r="K13" s="73" t="str">
        <f ca="1">IF(COUNTIF(ApplicantList[Applicant Spouse],$B5)=0,$B5,"")</f>
        <v/>
      </c>
      <c r="L13" s="2"/>
      <c r="M13" s="73" t="str">
        <f ca="1">IF(COUNTIF(ApplicantList[Applicant Spouse],$B5)=0,$B5,"")</f>
        <v/>
      </c>
      <c r="N13" s="25"/>
      <c r="O13" s="73" t="str">
        <f ca="1">IF(COUNTIF(ApplicantList[Applicant Spouse],$B5)=0,$B5,"")</f>
        <v/>
      </c>
      <c r="P13" s="2"/>
      <c r="Q13" s="73" t="str">
        <f ca="1">IF(COUNTIF(ApplicantList[Applicant Spouse],$B5)=0,$B5,"")</f>
        <v/>
      </c>
    </row>
    <row r="14" spans="2:17" ht="12.75" customHeight="1" x14ac:dyDescent="0.25">
      <c r="B14" s="25"/>
      <c r="C14" s="25"/>
      <c r="D14" s="25"/>
      <c r="E14" s="25"/>
      <c r="F14" s="25"/>
      <c r="G14" s="290" t="str">
        <f ca="1">IF(COUNTIF(ApplicantList[Applicant Spouse],$B6)=0,$B6,"")</f>
        <v/>
      </c>
      <c r="H14" s="2"/>
      <c r="I14" s="290" t="str">
        <f ca="1">IF(COUNTIF(ApplicantList[Applicant Spouse],$B6)=0,$B6,"")</f>
        <v/>
      </c>
      <c r="J14" s="2"/>
      <c r="K14" s="291"/>
      <c r="L14" s="2"/>
      <c r="M14" s="73" t="str">
        <f ca="1">IF(COUNTIF(ApplicantList[Applicant Spouse],$B6)=0,$B6,"")</f>
        <v/>
      </c>
      <c r="N14" s="25"/>
      <c r="O14" s="73" t="str">
        <f ca="1">IF(COUNTIF(ApplicantList[Applicant Spouse],$B6)=0,$B6,"")</f>
        <v/>
      </c>
      <c r="P14" s="2"/>
      <c r="Q14" s="73" t="str">
        <f ca="1">IF(COUNTIF(ApplicantList[Applicant Spouse],$B6)=0,$B6,"")</f>
        <v/>
      </c>
    </row>
    <row r="15" spans="2:17" ht="12.75" customHeight="1" x14ac:dyDescent="0.25">
      <c r="B15" s="25"/>
      <c r="C15" s="25"/>
      <c r="D15" s="25"/>
      <c r="E15" s="25"/>
      <c r="F15" s="25"/>
      <c r="G15" s="290" t="str">
        <f ca="1">IF(COUNTIF(ApplicantList[Applicant Spouse],$B7)=0,$B7,"")</f>
        <v/>
      </c>
      <c r="H15" s="2"/>
      <c r="I15" s="73" t="str">
        <f ca="1">IF(COUNTIF(ApplicantList[Applicant Spouse],$B7)=0,$B7,"")</f>
        <v/>
      </c>
      <c r="J15" s="2"/>
      <c r="K15" s="290" t="str">
        <f ca="1">IF(COUNTIF(ApplicantList[Applicant Spouse],$B7)=0,$B7,"")</f>
        <v/>
      </c>
      <c r="L15" s="2"/>
      <c r="M15" s="291"/>
      <c r="N15" s="25"/>
      <c r="O15" s="73" t="str">
        <f ca="1">IF(COUNTIF(ApplicantList[Applicant Spouse],$B7)=0,$B7,"")</f>
        <v/>
      </c>
      <c r="P15" s="2"/>
      <c r="Q15" s="73" t="str">
        <f ca="1">IF(COUNTIF(ApplicantList[Applicant Spouse],$B7)=0,$B7,"")</f>
        <v/>
      </c>
    </row>
    <row r="16" spans="2:17" ht="12.75" customHeight="1" x14ac:dyDescent="0.25">
      <c r="B16" s="25"/>
      <c r="C16" s="25"/>
      <c r="G16" s="290" t="str">
        <f ca="1">IF(COUNTIF(ApplicantList[Applicant Spouse],$B8)=0,$B8,"")</f>
        <v/>
      </c>
      <c r="H16" s="2"/>
      <c r="I16" s="73" t="str">
        <f ca="1">IF(COUNTIF(ApplicantList[Applicant Spouse],$B8)=0,$B8,"")</f>
        <v/>
      </c>
      <c r="J16" s="2"/>
      <c r="K16" s="73" t="str">
        <f ca="1">IF(COUNTIF(ApplicantList[Applicant Spouse],$B8)=0,$B8,"")</f>
        <v/>
      </c>
      <c r="L16" s="2"/>
      <c r="M16" s="290" t="str">
        <f ca="1">IF(COUNTIF(ApplicantList[Applicant Spouse],$B8)=0,$B8,"")</f>
        <v/>
      </c>
      <c r="N16" s="25"/>
      <c r="O16" s="291"/>
      <c r="P16" s="2"/>
      <c r="Q16" s="73" t="str">
        <f ca="1">IF(COUNTIF(ApplicantList[Applicant Spouse],$B8)=0,$B8,"")</f>
        <v/>
      </c>
    </row>
    <row r="17" spans="7:17" ht="12.75" customHeight="1" x14ac:dyDescent="0.25">
      <c r="G17" s="290" t="str">
        <f ca="1">IF(COUNTIF(ApplicantList[Applicant Spouse],$B9)=0,$B9,"")</f>
        <v/>
      </c>
      <c r="I17" s="73" t="str">
        <f ca="1">IF(COUNTIF(ApplicantList[Applicant Spouse],$B9)=0,$B9,"")</f>
        <v/>
      </c>
      <c r="K17" s="73" t="str">
        <f ca="1">IF(COUNTIF(ApplicantList[Applicant Spouse],$B9)=0,$B9,"")</f>
        <v/>
      </c>
      <c r="M17" s="73" t="str">
        <f ca="1">IF(COUNTIF(ApplicantList[Applicant Spouse],$B9)=0,$B9,"")</f>
        <v/>
      </c>
      <c r="O17" s="290" t="str">
        <f ca="1">IF(COUNTIF(ApplicantList[Applicant Spouse],$B9)=0,$B9,"")</f>
        <v/>
      </c>
      <c r="Q17" s="291"/>
    </row>
    <row r="18" spans="7:17" ht="12.75" customHeight="1" x14ac:dyDescent="0.25">
      <c r="G18" s="538" t="s">
        <v>485</v>
      </c>
      <c r="H18" s="539"/>
      <c r="I18" s="538" t="s">
        <v>485</v>
      </c>
      <c r="J18" s="539"/>
      <c r="K18" s="538" t="s">
        <v>485</v>
      </c>
      <c r="L18" s="539"/>
      <c r="M18" s="538" t="s">
        <v>485</v>
      </c>
      <c r="N18" s="539"/>
      <c r="O18" s="538" t="s">
        <v>485</v>
      </c>
      <c r="P18" s="539"/>
      <c r="Q18" s="540" t="s">
        <v>485</v>
      </c>
    </row>
    <row r="24" spans="7:17" ht="12.75" customHeight="1" x14ac:dyDescent="0.25">
      <c r="G24" t="s">
        <v>1078</v>
      </c>
      <c r="I24" t="s">
        <v>1078</v>
      </c>
      <c r="K24" t="s">
        <v>1078</v>
      </c>
      <c r="M24" t="s">
        <v>1078</v>
      </c>
      <c r="O24" t="s">
        <v>1078</v>
      </c>
      <c r="Q24" t="s">
        <v>1078</v>
      </c>
    </row>
    <row r="25" spans="7:17" ht="12.75" customHeight="1" x14ac:dyDescent="0.25">
      <c r="G25" s="25">
        <v>1</v>
      </c>
      <c r="H25" s="25"/>
      <c r="I25" s="25">
        <v>1</v>
      </c>
      <c r="J25" s="25"/>
      <c r="K25" s="25">
        <v>1</v>
      </c>
      <c r="L25" s="25"/>
      <c r="M25" s="25">
        <v>1</v>
      </c>
      <c r="N25" s="25"/>
      <c r="O25" s="25">
        <v>1</v>
      </c>
      <c r="P25" s="25"/>
      <c r="Q25" s="25">
        <v>1</v>
      </c>
    </row>
    <row r="26" spans="7:17" ht="12.75" customHeight="1" x14ac:dyDescent="0.25">
      <c r="G26" s="25"/>
      <c r="H26" s="25"/>
      <c r="I26" s="25">
        <v>2</v>
      </c>
      <c r="J26" s="25"/>
      <c r="K26" s="25">
        <v>2</v>
      </c>
      <c r="L26" s="25"/>
      <c r="M26" s="25">
        <v>2</v>
      </c>
      <c r="N26" s="25"/>
      <c r="O26" s="25">
        <v>2</v>
      </c>
      <c r="P26" s="25"/>
      <c r="Q26" s="25">
        <v>2</v>
      </c>
    </row>
    <row r="27" spans="7:17" ht="12.75" customHeight="1" x14ac:dyDescent="0.25">
      <c r="G27" s="25"/>
      <c r="H27" s="25"/>
      <c r="I27" s="25"/>
      <c r="J27" s="25"/>
      <c r="K27" s="25">
        <v>3</v>
      </c>
      <c r="L27" s="25"/>
      <c r="M27" s="25">
        <v>3</v>
      </c>
      <c r="N27" s="25"/>
      <c r="O27" s="25">
        <v>3</v>
      </c>
      <c r="P27" s="25"/>
      <c r="Q27" s="25">
        <v>3</v>
      </c>
    </row>
    <row r="28" spans="7:17" ht="12.75" customHeight="1" x14ac:dyDescent="0.25">
      <c r="G28" s="25"/>
      <c r="H28" s="25"/>
      <c r="I28" s="25"/>
      <c r="J28" s="25"/>
      <c r="K28" s="25"/>
      <c r="L28" s="25"/>
      <c r="M28" s="25">
        <v>4</v>
      </c>
      <c r="N28" s="25"/>
      <c r="O28" s="25">
        <v>4</v>
      </c>
      <c r="P28" s="25"/>
      <c r="Q28" s="25">
        <v>4</v>
      </c>
    </row>
    <row r="29" spans="7:17" ht="12.75" customHeight="1" x14ac:dyDescent="0.25">
      <c r="G29" s="25"/>
      <c r="H29" s="25"/>
      <c r="I29" s="25"/>
      <c r="J29" s="25"/>
      <c r="K29" s="25"/>
      <c r="L29" s="25"/>
      <c r="M29" s="25"/>
      <c r="N29" s="25"/>
      <c r="O29" s="25">
        <v>5</v>
      </c>
      <c r="P29" s="25"/>
      <c r="Q29" s="25">
        <v>5</v>
      </c>
    </row>
    <row r="30" spans="7:17" ht="12.5" x14ac:dyDescent="0.25">
      <c r="G30" s="25"/>
      <c r="H30" s="25"/>
      <c r="I30" s="25"/>
      <c r="J30" s="25"/>
      <c r="K30" s="25"/>
      <c r="L30" s="25"/>
      <c r="M30" s="25"/>
      <c r="N30" s="25"/>
      <c r="O30" s="25"/>
      <c r="P30" s="25"/>
      <c r="Q30" s="25">
        <v>6</v>
      </c>
    </row>
    <row r="31" spans="7:17" ht="12.5" x14ac:dyDescent="0.25"/>
    <row r="32" spans="7:17" ht="12.5" x14ac:dyDescent="0.25"/>
    <row r="33" spans="1:5" ht="12.5" x14ac:dyDescent="0.25">
      <c r="A33" s="611"/>
      <c r="B33" s="611"/>
      <c r="C33" s="611"/>
      <c r="D33" s="1225" t="s">
        <v>2290</v>
      </c>
      <c r="E33" s="611"/>
    </row>
    <row r="34" spans="1:5" ht="13" x14ac:dyDescent="0.25">
      <c r="A34" s="611"/>
      <c r="B34" s="1225" t="s">
        <v>2292</v>
      </c>
      <c r="C34" s="611"/>
      <c r="D34" s="1266" t="s">
        <v>2289</v>
      </c>
      <c r="E34" s="1266" t="s">
        <v>2291</v>
      </c>
    </row>
    <row r="35" spans="1:5" ht="12.5" x14ac:dyDescent="0.25">
      <c r="A35" s="619">
        <v>1</v>
      </c>
      <c r="B35" s="611" t="str">
        <f ca="1">IF(SCAApplicantCount&gt;=A35,IF(B4&lt;&gt;"",B4,"Applicant "&amp;A35),"")</f>
        <v>Applicant 1</v>
      </c>
      <c r="C35" s="611"/>
      <c r="D35" s="611" t="str" cm="1">
        <f t="array" aca="1" ref="D35" ca="1">IFERROR(INDEX(B$35:B$46,_xlfn.AGGREGATE(15,6,ROW(B$35:B$46)-ROW(B$35)+1/(B$35:B$46&lt;&gt;""),ROWS(D$35:D35))),"")</f>
        <v>Applicant 1</v>
      </c>
      <c r="E35" s="1267" t="str">
        <f ca="1">IFERROR(IF(APPAllApplicantList[[#This Row],[ApplicantName]]&lt;&gt;"",VLOOKUP(SUBSTITUTE(APPAllApplicantList[[#This Row],[ApplicantName]]," - non-applicant spouse",""),ApplicantList[],2,FALSE),""),RIGHT(SUBSTITUTE(APPAllApplicantList[[#This Row],[ApplicantName]]," - non-applicant spouse",""),1))</f>
        <v>1</v>
      </c>
    </row>
    <row r="36" spans="1:5" ht="12.5" x14ac:dyDescent="0.25">
      <c r="A36" s="619">
        <v>1</v>
      </c>
      <c r="B36" s="611" t="str">
        <f ca="1">IF(SCAApplicantCount&gt;=A35,IF(AND(D4="Non-applicant",E4="Yes"),B35&amp;" - non-applicant spouse",""),"")</f>
        <v/>
      </c>
      <c r="C36" s="611"/>
      <c r="D36" s="611" t="str" cm="1">
        <f t="array" aca="1" ref="D36" ca="1">IFERROR(INDEX(B$35:B$46,_xlfn.AGGREGATE(15,6,ROW(B$35:B$46)-ROW(B$35)+1/(B$35:B$46&lt;&gt;""),ROWS(D$35:D36))),"")</f>
        <v>Applicant 2</v>
      </c>
      <c r="E36" s="1267" t="str">
        <f ca="1">IFERROR(IF(APPAllApplicantList[[#This Row],[ApplicantName]]&lt;&gt;"",VLOOKUP(SUBSTITUTE(APPAllApplicantList[[#This Row],[ApplicantName]]," - non-applicant spouse",""),ApplicantList[],2,FALSE),""),RIGHT(SUBSTITUTE(APPAllApplicantList[[#This Row],[ApplicantName]]," - non-applicant spouse",""),1))</f>
        <v>2</v>
      </c>
    </row>
    <row r="37" spans="1:5" ht="12.5" x14ac:dyDescent="0.25">
      <c r="A37" s="619">
        <v>2</v>
      </c>
      <c r="B37" s="611" t="str">
        <f ca="1">IF(SCAApplicantCount&gt;=A37,IF(B5&lt;&gt;"",B5,"Applicant "&amp;A37),"")</f>
        <v>Applicant 2</v>
      </c>
      <c r="C37" s="611"/>
      <c r="D37" s="611" t="str" cm="1">
        <f t="array" aca="1" ref="D37" ca="1">IFERROR(INDEX(B$35:B$46,_xlfn.AGGREGATE(15,6,ROW(B$35:B$46)-ROW(B$35)+1/(B$35:B$46&lt;&gt;""),ROWS(D$35:D37))),"")</f>
        <v/>
      </c>
      <c r="E37" s="1267" t="str">
        <f ca="1">IFERROR(IF(APPAllApplicantList[[#This Row],[ApplicantName]]&lt;&gt;"",VLOOKUP(SUBSTITUTE(APPAllApplicantList[[#This Row],[ApplicantName]]," - non-applicant spouse",""),ApplicantList[],2,FALSE),""),RIGHT(SUBSTITUTE(APPAllApplicantList[[#This Row],[ApplicantName]]," - non-applicant spouse",""),1))</f>
        <v/>
      </c>
    </row>
    <row r="38" spans="1:5" ht="12.5" x14ac:dyDescent="0.25">
      <c r="A38" s="619">
        <v>2</v>
      </c>
      <c r="B38" s="611" t="str">
        <f ca="1">IF(SCAApplicantCount&gt;=A37,IF(AND(D5="Non-applicant",E5="Yes"),B37&amp;" - non-applicant spouse",""),"")</f>
        <v/>
      </c>
      <c r="C38" s="611"/>
      <c r="D38" s="611" t="str" cm="1">
        <f t="array" aca="1" ref="D38" ca="1">IFERROR(INDEX(B$35:B$46,_xlfn.AGGREGATE(15,6,ROW(B$35:B$46)-ROW(B$35)+1/(B$35:B$46&lt;&gt;""),ROWS(D$35:D38))),"")</f>
        <v/>
      </c>
      <c r="E38" s="1267" t="str">
        <f ca="1">IFERROR(IF(APPAllApplicantList[[#This Row],[ApplicantName]]&lt;&gt;"",VLOOKUP(SUBSTITUTE(APPAllApplicantList[[#This Row],[ApplicantName]]," - non-applicant spouse",""),ApplicantList[],2,FALSE),""),RIGHT(SUBSTITUTE(APPAllApplicantList[[#This Row],[ApplicantName]]," - non-applicant spouse",""),1))</f>
        <v/>
      </c>
    </row>
    <row r="39" spans="1:5" ht="12.5" x14ac:dyDescent="0.25">
      <c r="A39" s="619">
        <v>3</v>
      </c>
      <c r="B39" s="611" t="str">
        <f>IF(SCAApplicantCount&gt;=A39,IF(B6&lt;&gt;"",B6,"Applicant "&amp;A39),"")</f>
        <v/>
      </c>
      <c r="C39" s="611"/>
      <c r="D39" s="611" t="str" cm="1">
        <f t="array" aca="1" ref="D39" ca="1">IFERROR(INDEX(B$35:B$46,_xlfn.AGGREGATE(15,6,ROW(B$35:B$46)-ROW(B$35)+1/(B$35:B$46&lt;&gt;""),ROWS(D$35:D39))),"")</f>
        <v/>
      </c>
      <c r="E39" s="1267" t="str">
        <f ca="1">IFERROR(IF(APPAllApplicantList[[#This Row],[ApplicantName]]&lt;&gt;"",VLOOKUP(SUBSTITUTE(APPAllApplicantList[[#This Row],[ApplicantName]]," - non-applicant spouse",""),ApplicantList[],2,FALSE),""),RIGHT(SUBSTITUTE(APPAllApplicantList[[#This Row],[ApplicantName]]," - non-applicant spouse",""),1))</f>
        <v/>
      </c>
    </row>
    <row r="40" spans="1:5" ht="12.5" x14ac:dyDescent="0.25">
      <c r="A40" s="619">
        <v>3</v>
      </c>
      <c r="B40" s="611" t="str">
        <f>IF(SCAApplicantCount&gt;=A39,IF(AND(D6="Non-applicant",E6="Yes"),B39&amp;" - non-applicant spouse",""),"")</f>
        <v/>
      </c>
      <c r="C40" s="611"/>
      <c r="D40" s="611" t="str" cm="1">
        <f t="array" aca="1" ref="D40" ca="1">IFERROR(INDEX(B$35:B$46,_xlfn.AGGREGATE(15,6,ROW(B$35:B$46)-ROW(B$35)+1/(B$35:B$46&lt;&gt;""),ROWS(D$35:D40))),"")</f>
        <v/>
      </c>
      <c r="E40" s="1267" t="str">
        <f ca="1">IFERROR(IF(APPAllApplicantList[[#This Row],[ApplicantName]]&lt;&gt;"",VLOOKUP(SUBSTITUTE(APPAllApplicantList[[#This Row],[ApplicantName]]," - non-applicant spouse",""),ApplicantList[],2,FALSE),""),RIGHT(SUBSTITUTE(APPAllApplicantList[[#This Row],[ApplicantName]]," - non-applicant spouse",""),1))</f>
        <v/>
      </c>
    </row>
    <row r="41" spans="1:5" ht="12.5" x14ac:dyDescent="0.25">
      <c r="A41" s="619">
        <v>4</v>
      </c>
      <c r="B41" s="611" t="str">
        <f>IF(SCAApplicantCount&gt;=A41,IF(B7&lt;&gt;"",B7,"Applicant "&amp;A41),"")</f>
        <v/>
      </c>
      <c r="C41" s="611"/>
      <c r="D41" s="611" t="str" cm="1">
        <f t="array" aca="1" ref="D41" ca="1">IFERROR(INDEX(B$35:B$46,_xlfn.AGGREGATE(15,6,ROW(B$35:B$46)-ROW(B$35)+1/(B$35:B$46&lt;&gt;""),ROWS(D$35:D41))),"")</f>
        <v/>
      </c>
      <c r="E41" s="1267" t="str">
        <f ca="1">IFERROR(IF(APPAllApplicantList[[#This Row],[ApplicantName]]&lt;&gt;"",VLOOKUP(SUBSTITUTE(APPAllApplicantList[[#This Row],[ApplicantName]]," - non-applicant spouse",""),ApplicantList[],2,FALSE),""),RIGHT(SUBSTITUTE(APPAllApplicantList[[#This Row],[ApplicantName]]," - non-applicant spouse",""),1))</f>
        <v/>
      </c>
    </row>
    <row r="42" spans="1:5" ht="12.5" x14ac:dyDescent="0.25">
      <c r="A42" s="619">
        <v>4</v>
      </c>
      <c r="B42" s="611" t="str">
        <f>IF(SCAApplicantCount&gt;=A41,IF(AND(D7="Non-applicant",E7="Yes"),B41&amp;" - non-applicant spouse",""),"")</f>
        <v/>
      </c>
      <c r="C42" s="611"/>
      <c r="D42" s="611" t="str" cm="1">
        <f t="array" aca="1" ref="D42" ca="1">IFERROR(INDEX(B$35:B$46,_xlfn.AGGREGATE(15,6,ROW(B$35:B$46)-ROW(B$35)+1/(B$35:B$46&lt;&gt;""),ROWS(D$35:D42))),"")</f>
        <v/>
      </c>
      <c r="E42" s="1267" t="str">
        <f ca="1">IFERROR(IF(APPAllApplicantList[[#This Row],[ApplicantName]]&lt;&gt;"",VLOOKUP(SUBSTITUTE(APPAllApplicantList[[#This Row],[ApplicantName]]," - non-applicant spouse",""),ApplicantList[],2,FALSE),""),RIGHT(SUBSTITUTE(APPAllApplicantList[[#This Row],[ApplicantName]]," - non-applicant spouse",""),1))</f>
        <v/>
      </c>
    </row>
    <row r="43" spans="1:5" ht="12.5" x14ac:dyDescent="0.25">
      <c r="A43" s="619">
        <v>5</v>
      </c>
      <c r="B43" s="611" t="str">
        <f>IF(SCAApplicantCount&gt;=A43,IF(B8&lt;&gt;"",B8,"Applicant "&amp;A43),"")</f>
        <v/>
      </c>
      <c r="C43" s="611"/>
      <c r="D43" s="611" t="str" cm="1">
        <f t="array" aca="1" ref="D43" ca="1">IFERROR(INDEX(B$35:B$46,_xlfn.AGGREGATE(15,6,ROW(B$35:B$46)-ROW(B$35)+1/(B$35:B$46&lt;&gt;""),ROWS(D$35:D43))),"")</f>
        <v/>
      </c>
      <c r="E43" s="1267" t="str">
        <f ca="1">IFERROR(IF(APPAllApplicantList[[#This Row],[ApplicantName]]&lt;&gt;"",VLOOKUP(SUBSTITUTE(APPAllApplicantList[[#This Row],[ApplicantName]]," - non-applicant spouse",""),ApplicantList[],2,FALSE),""),RIGHT(SUBSTITUTE(APPAllApplicantList[[#This Row],[ApplicantName]]," - non-applicant spouse",""),1))</f>
        <v/>
      </c>
    </row>
    <row r="44" spans="1:5" ht="12.5" x14ac:dyDescent="0.25">
      <c r="A44" s="619">
        <v>5</v>
      </c>
      <c r="B44" s="611" t="str">
        <f>IF(SCAApplicantCount&gt;=A43,IF(AND(D8="Non-applicant",E8="Yes"),B43&amp;" - non-applicant spouse",""),"")</f>
        <v/>
      </c>
      <c r="C44" s="611"/>
      <c r="D44" s="611" t="str" cm="1">
        <f t="array" aca="1" ref="D44" ca="1">IFERROR(INDEX(B$35:B$46,_xlfn.AGGREGATE(15,6,ROW(B$35:B$46)-ROW(B$35)+1/(B$35:B$46&lt;&gt;""),ROWS(D$35:D44))),"")</f>
        <v/>
      </c>
      <c r="E44" s="1267" t="str">
        <f ca="1">IFERROR(IF(APPAllApplicantList[[#This Row],[ApplicantName]]&lt;&gt;"",VLOOKUP(SUBSTITUTE(APPAllApplicantList[[#This Row],[ApplicantName]]," - non-applicant spouse",""),ApplicantList[],2,FALSE),""),RIGHT(SUBSTITUTE(APPAllApplicantList[[#This Row],[ApplicantName]]," - non-applicant spouse",""),1))</f>
        <v/>
      </c>
    </row>
    <row r="45" spans="1:5" ht="12.5" x14ac:dyDescent="0.25">
      <c r="A45" s="619">
        <v>6</v>
      </c>
      <c r="B45" s="611" t="str">
        <f>IF(SCAApplicantCount&gt;=A45,IF(B9&lt;&gt;"",B9,"Applicant "&amp;A45),"")</f>
        <v/>
      </c>
      <c r="C45" s="611"/>
      <c r="D45" s="611" t="str" cm="1">
        <f t="array" aca="1" ref="D45" ca="1">IFERROR(INDEX(B$35:B$46,_xlfn.AGGREGATE(15,6,ROW(B$35:B$46)-ROW(B$35)+1/(B$35:B$46&lt;&gt;""),ROWS(D$35:D45))),"")</f>
        <v/>
      </c>
      <c r="E45" s="1267" t="str">
        <f ca="1">IFERROR(IF(APPAllApplicantList[[#This Row],[ApplicantName]]&lt;&gt;"",VLOOKUP(SUBSTITUTE(APPAllApplicantList[[#This Row],[ApplicantName]]," - non-applicant spouse",""),ApplicantList[],2,FALSE),""),RIGHT(SUBSTITUTE(APPAllApplicantList[[#This Row],[ApplicantName]]," - non-applicant spouse",""),1))</f>
        <v/>
      </c>
    </row>
    <row r="46" spans="1:5" ht="12.5" x14ac:dyDescent="0.25">
      <c r="A46" s="619">
        <v>6</v>
      </c>
      <c r="B46" s="611" t="str">
        <f>IF(SCAApplicantCount&gt;=A45,IF(AND(D9="Non-applicant",E9="Yes"),B45&amp;" - non-applicant spouse",""),"")</f>
        <v/>
      </c>
      <c r="C46" s="611"/>
      <c r="D46" s="611" t="str" cm="1">
        <f t="array" aca="1" ref="D46" ca="1">IFERROR(INDEX(B$35:B$46,_xlfn.AGGREGATE(15,6,ROW(B$35:B$46)-ROW(B$35)+1/(B$35:B$46&lt;&gt;""),ROWS(D$35:D46))),"")</f>
        <v/>
      </c>
      <c r="E46" s="1267" t="str">
        <f ca="1">IFERROR(IF(APPAllApplicantList[[#This Row],[ApplicantName]]&lt;&gt;"",VLOOKUP(SUBSTITUTE(APPAllApplicantList[[#This Row],[ApplicantName]]," - non-applicant spouse",""),ApplicantList[],2,FALSE),""),RIGHT(SUBSTITUTE(APPAllApplicantList[[#This Row],[ApplicantName]]," - non-applicant spouse",""),1))</f>
        <v/>
      </c>
    </row>
  </sheetData>
  <sheetProtection algorithmName="SHA-512" hashValue="aQEF33DHEqUyd9sdtMXNI5rwMjRBOUBLvqmTBL9MvddQbe/3CeHuv18iGWgwKsn0NL/PP1SsaU9NjN/bPZ8W2A==" saltValue="fPK+5SLa6uSMDydSR6jpEw==" spinCount="100000" sheet="1" objects="1" scenarios="1" selectLockedCells="1"/>
  <dataConsolidate link="1"/>
  <pageMargins left="0.25" right="0.25" top="0.75" bottom="0.75" header="0.3" footer="0.3"/>
  <pageSetup paperSize="9" scale="51" fitToWidth="0" fitToHeight="0"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IncomeCalculation">
    <tabColor rgb="FF0074C4"/>
  </sheetPr>
  <dimension ref="A1:AC116"/>
  <sheetViews>
    <sheetView showGridLines="0" showRowColHeaders="0" zoomScaleNormal="100" workbookViewId="0">
      <selection activeCell="B90" sqref="B90:D90"/>
    </sheetView>
  </sheetViews>
  <sheetFormatPr defaultColWidth="9.1796875" defaultRowHeight="12.75" customHeight="1" x14ac:dyDescent="0.25"/>
  <cols>
    <col min="1" max="1" width="3" customWidth="1"/>
    <col min="2" max="2" width="31.81640625" customWidth="1"/>
    <col min="3" max="3" width="34.453125" bestFit="1" customWidth="1"/>
    <col min="4" max="4" width="48.1796875" customWidth="1"/>
    <col min="5" max="16" width="14.81640625" customWidth="1"/>
    <col min="17" max="17" width="3.26953125" customWidth="1"/>
    <col min="19" max="19" width="15.7265625" bestFit="1" customWidth="1"/>
    <col min="20" max="20" width="31.1796875" bestFit="1" customWidth="1"/>
    <col min="21" max="21" width="12.7265625" bestFit="1" customWidth="1"/>
    <col min="22" max="22" width="11.54296875" bestFit="1" customWidth="1"/>
    <col min="23" max="23" width="11.26953125" bestFit="1" customWidth="1"/>
    <col min="26" max="26" width="17.54296875" bestFit="1" customWidth="1"/>
    <col min="27" max="27" width="16.7265625" bestFit="1" customWidth="1"/>
    <col min="28" max="28" width="14.26953125" bestFit="1" customWidth="1"/>
    <col min="29" max="29" width="12.54296875" bestFit="1" customWidth="1"/>
  </cols>
  <sheetData>
    <row r="1" spans="1:29" ht="12.5" x14ac:dyDescent="0.25">
      <c r="A1" s="25"/>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row>
    <row r="2" spans="1:29" ht="20" x14ac:dyDescent="0.4">
      <c r="A2" s="25"/>
      <c r="B2" s="25"/>
      <c r="C2" s="25"/>
      <c r="D2" s="74" t="s">
        <v>213</v>
      </c>
      <c r="E2" s="25"/>
      <c r="F2" s="25"/>
      <c r="G2" s="25"/>
      <c r="H2" s="25"/>
      <c r="I2" s="25"/>
      <c r="J2" s="25"/>
      <c r="K2" s="25"/>
      <c r="L2" s="25"/>
      <c r="M2" s="25"/>
      <c r="N2" s="25"/>
      <c r="O2" s="25"/>
      <c r="P2" s="25"/>
      <c r="Q2" s="25"/>
      <c r="R2" s="25"/>
      <c r="S2" s="639" t="s">
        <v>527</v>
      </c>
      <c r="T2" s="448"/>
      <c r="U2" s="448"/>
      <c r="V2" s="448"/>
      <c r="W2" s="448"/>
      <c r="X2" s="448"/>
      <c r="Y2" s="448"/>
      <c r="Z2" s="448"/>
      <c r="AA2" s="448"/>
      <c r="AB2" s="448"/>
      <c r="AC2" s="448"/>
    </row>
    <row r="3" spans="1:29" ht="12.5" x14ac:dyDescent="0.25">
      <c r="C3" t="s">
        <v>51</v>
      </c>
    </row>
    <row r="4" spans="1:29" ht="14" x14ac:dyDescent="0.3">
      <c r="A4" s="25"/>
      <c r="B4" s="25"/>
      <c r="C4" s="25"/>
      <c r="D4" s="451" t="s">
        <v>751</v>
      </c>
      <c r="E4" s="322">
        <v>1</v>
      </c>
      <c r="F4" s="52"/>
      <c r="G4" s="322">
        <v>2</v>
      </c>
      <c r="H4" s="52"/>
      <c r="I4" s="322">
        <v>3</v>
      </c>
      <c r="J4" s="52"/>
      <c r="K4" s="322">
        <v>4</v>
      </c>
      <c r="L4" s="52"/>
      <c r="M4" s="322">
        <v>5</v>
      </c>
      <c r="N4" s="52"/>
      <c r="O4" s="322">
        <v>6</v>
      </c>
      <c r="P4" s="25"/>
      <c r="Q4" s="25"/>
      <c r="R4" s="25"/>
      <c r="S4" s="316"/>
      <c r="T4" s="1453" t="s">
        <v>22</v>
      </c>
      <c r="U4" s="316"/>
      <c r="V4" s="316"/>
      <c r="W4" s="316"/>
      <c r="X4" s="316"/>
      <c r="Y4" s="315"/>
      <c r="Z4" s="1454" t="s">
        <v>193</v>
      </c>
      <c r="AA4" s="1454"/>
      <c r="AB4" s="1454"/>
      <c r="AC4" s="1454"/>
    </row>
    <row r="5" spans="1:29" ht="12.75" customHeight="1" x14ac:dyDescent="0.3">
      <c r="A5" s="25"/>
      <c r="B5" s="25"/>
      <c r="C5" s="25"/>
      <c r="D5" s="235" t="s">
        <v>186</v>
      </c>
      <c r="E5" s="236" t="s">
        <v>750</v>
      </c>
      <c r="F5" s="236" t="s">
        <v>60</v>
      </c>
      <c r="G5" s="236" t="s">
        <v>750</v>
      </c>
      <c r="H5" s="236" t="s">
        <v>60</v>
      </c>
      <c r="I5" s="236" t="s">
        <v>750</v>
      </c>
      <c r="J5" s="236" t="s">
        <v>60</v>
      </c>
      <c r="K5" s="236" t="s">
        <v>750</v>
      </c>
      <c r="L5" s="236" t="s">
        <v>60</v>
      </c>
      <c r="M5" s="236" t="s">
        <v>750</v>
      </c>
      <c r="N5" s="236" t="s">
        <v>60</v>
      </c>
      <c r="O5" s="236" t="s">
        <v>750</v>
      </c>
      <c r="P5" s="236" t="s">
        <v>60</v>
      </c>
      <c r="Q5" s="25"/>
      <c r="R5" s="25"/>
      <c r="S5" s="317" t="s">
        <v>21</v>
      </c>
      <c r="T5" s="1453"/>
      <c r="U5" s="317" t="s">
        <v>16</v>
      </c>
      <c r="V5" s="317" t="s">
        <v>17</v>
      </c>
      <c r="W5" s="317" t="s">
        <v>23</v>
      </c>
      <c r="X5" s="317" t="s">
        <v>20</v>
      </c>
      <c r="Y5" s="315"/>
      <c r="Z5" s="318" t="s">
        <v>330</v>
      </c>
      <c r="AA5" s="318" t="s">
        <v>195</v>
      </c>
      <c r="AB5" s="318" t="s">
        <v>18</v>
      </c>
      <c r="AC5" s="318" t="s">
        <v>19</v>
      </c>
    </row>
    <row r="6" spans="1:29" ht="12.5" x14ac:dyDescent="0.25">
      <c r="A6" s="25"/>
      <c r="B6" s="558"/>
      <c r="C6" s="558" t="s">
        <v>745</v>
      </c>
      <c r="D6" s="237" t="s">
        <v>232</v>
      </c>
      <c r="E6" s="996">
        <f>IF(SCAIncomeVerificationType="Estimate",SCAApp1EstimateBaseIncome,SUMIFS(AICEmployerIncomeDataTable[AICAssessedAnnualBase],AICEmployerIncomeDataTable[AICApplicantID],E$4,AICEmployerIncomeDataTable[AICSpouseIncomeFlag],"No",AICEmployerIncomeDataTable[AICEmploymentBasis],$C6))</f>
        <v>300000</v>
      </c>
      <c r="F6" s="996">
        <f>E6*BaseShade</f>
        <v>300000</v>
      </c>
      <c r="G6" s="996">
        <f>IF(SCAIncomeVerificationType="Estimate",SCAApp2EstimateBaseIncome,SUMIFS(AICEmployerIncomeDataTable[AICAssessedAnnualBase],AICEmployerIncomeDataTable[AICApplicantID],G$4,AICEmployerIncomeDataTable[AICSpouseIncomeFlag],"No",AICEmployerIncomeDataTable[AICEmploymentBasis],$C6))</f>
        <v>0</v>
      </c>
      <c r="H6" s="996">
        <f>G6*BaseShade</f>
        <v>0</v>
      </c>
      <c r="I6" s="996">
        <f>IF(SCAIncomeVerificationType="Estimate",SCAApp3EstimateBaseIncome,SUMIFS(AICEmployerIncomeDataTable[AICAssessedAnnualBase],AICEmployerIncomeDataTable[AICApplicantID],I$4,AICEmployerIncomeDataTable[AICSpouseIncomeFlag],"No",AICEmployerIncomeDataTable[AICEmploymentBasis],$C6))</f>
        <v>0</v>
      </c>
      <c r="J6" s="996">
        <f>I6*BaseShade</f>
        <v>0</v>
      </c>
      <c r="K6" s="996">
        <f>IF(SCAIncomeVerificationType="Estimate",SCAApp4EstimateBaseIncome,SUMIFS(AICEmployerIncomeDataTable[AICAssessedAnnualBase],AICEmployerIncomeDataTable[AICApplicantID],K$4,AICEmployerIncomeDataTable[AICSpouseIncomeFlag],"No",AICEmployerIncomeDataTable[AICEmploymentBasis],$C6))</f>
        <v>0</v>
      </c>
      <c r="L6" s="996">
        <f>K6*BaseShade</f>
        <v>0</v>
      </c>
      <c r="M6" s="996">
        <f>IF(SCAIncomeVerificationType="Estimate",SCAApp5EstimateBaseIncome,SUMIFS(AICEmployerIncomeDataTable[AICAssessedAnnualBase],AICEmployerIncomeDataTable[AICApplicantID],M$4,AICEmployerIncomeDataTable[AICSpouseIncomeFlag],"No",AICEmployerIncomeDataTable[AICEmploymentBasis],$C6))</f>
        <v>0</v>
      </c>
      <c r="N6" s="996">
        <f>M6*BaseShade</f>
        <v>0</v>
      </c>
      <c r="O6" s="996">
        <f>IF(SCAIncomeVerificationType="Estimate",SCAApp6EstimateBaseIncome,SUMIFS(AICEmployerIncomeDataTable[AICAssessedAnnualBase],AICEmployerIncomeDataTable[AICApplicantID],O$4,AICEmployerIncomeDataTable[AICSpouseIncomeFlag],"No",AICEmployerIncomeDataTable[AICEmploymentBasis],$C6))</f>
        <v>0</v>
      </c>
      <c r="P6" s="996">
        <f>O6*BaseShade</f>
        <v>0</v>
      </c>
      <c r="Q6" s="25"/>
      <c r="R6" s="25"/>
      <c r="S6" s="1043">
        <v>0</v>
      </c>
      <c r="T6" s="1043">
        <v>0</v>
      </c>
      <c r="U6" s="1043">
        <f>IFERROR(IF(AND(AICEmploymentBasis="Permanent",AICPermanentIncomeVerificationType="Account credits"),'Employer Income'!C66,IF(AND(AICEmploymentBasis="Permanent",AICPermanentIncomeVerificationType="Family employee"),'Employer Income'!C98,IF(AND(AICEmploymentBasis="Casual",AICCasualIncomeVerificationType="Account credits"),MIN('Employer Income'!C138:D138),IF(AND(AICEmploymentBasis="Casual",AICCasualIncomeVerificationType="Family employee"),'Employer Income'!C153,0)))),0)</f>
        <v>0</v>
      </c>
      <c r="V6" s="1040">
        <v>0</v>
      </c>
      <c r="W6" s="1040">
        <v>0</v>
      </c>
      <c r="X6" s="1043">
        <f>IF(AND($U$6&gt;=$T$6,$U$6&lt;$T$7),1,0)</f>
        <v>1</v>
      </c>
      <c r="Y6" s="305"/>
      <c r="Z6" s="1046"/>
      <c r="AA6" s="1046"/>
      <c r="AB6" s="1046"/>
      <c r="AC6" s="1046"/>
    </row>
    <row r="7" spans="1:29" ht="12.5" x14ac:dyDescent="0.25">
      <c r="A7" s="25"/>
      <c r="B7" s="558"/>
      <c r="C7" s="558" t="s">
        <v>746</v>
      </c>
      <c r="D7" s="237" t="s">
        <v>227</v>
      </c>
      <c r="E7" s="996">
        <f>SUMIFS(AICEmployerIncomeDataTable[AICAssessedAnnualBase],AICEmployerIncomeDataTable[AICApplicantID],E$4,AICEmployerIncomeDataTable[AICSpouseIncomeFlag],"No",AICEmployerIncomeDataTable[AICEmploymentBasis],$C7)</f>
        <v>0</v>
      </c>
      <c r="F7" s="996">
        <f>E7*CasualIncomeShade</f>
        <v>0</v>
      </c>
      <c r="G7" s="996">
        <f>SUMIFS(AICEmployerIncomeDataTable[AICAssessedAnnualBase],AICEmployerIncomeDataTable[AICApplicantID],G$4,AICEmployerIncomeDataTable[AICSpouseIncomeFlag],"No",AICEmployerIncomeDataTable[AICEmploymentBasis],$C7)</f>
        <v>0</v>
      </c>
      <c r="H7" s="996">
        <f>G7*CasualIncomeShade</f>
        <v>0</v>
      </c>
      <c r="I7" s="996">
        <f>SUMIFS(AICEmployerIncomeDataTable[AICAssessedAnnualBase],AICEmployerIncomeDataTable[AICApplicantID],I$4,AICEmployerIncomeDataTable[AICSpouseIncomeFlag],"No",AICEmployerIncomeDataTable[AICEmploymentBasis],$C7)</f>
        <v>0</v>
      </c>
      <c r="J7" s="996">
        <f>I7*CasualIncomeShade</f>
        <v>0</v>
      </c>
      <c r="K7" s="996">
        <f>SUMIFS(AICEmployerIncomeDataTable[AICAssessedAnnualBase],AICEmployerIncomeDataTable[AICApplicantID],K$4,AICEmployerIncomeDataTable[AICSpouseIncomeFlag],"No",AICEmployerIncomeDataTable[AICEmploymentBasis],$C7)</f>
        <v>0</v>
      </c>
      <c r="L7" s="996">
        <f>K7*CasualIncomeShade</f>
        <v>0</v>
      </c>
      <c r="M7" s="996">
        <f>SUMIFS(AICEmployerIncomeDataTable[AICAssessedAnnualBase],AICEmployerIncomeDataTable[AICApplicantID],M$4,AICEmployerIncomeDataTable[AICSpouseIncomeFlag],"No",AICEmployerIncomeDataTable[AICEmploymentBasis],$C7)</f>
        <v>0</v>
      </c>
      <c r="N7" s="996">
        <f>M7*CasualIncomeShade</f>
        <v>0</v>
      </c>
      <c r="O7" s="996">
        <f>SUMIFS(AICEmployerIncomeDataTable[AICAssessedAnnualBase],AICEmployerIncomeDataTable[AICApplicantID],O$4,AICEmployerIncomeDataTable[AICSpouseIncomeFlag],"No",AICEmployerIncomeDataTable[AICEmploymentBasis],$C7)</f>
        <v>0</v>
      </c>
      <c r="P7" s="996">
        <f>O7*CasualIncomeShade</f>
        <v>0</v>
      </c>
      <c r="Q7" s="25"/>
      <c r="R7" s="25"/>
      <c r="S7" s="1043">
        <f>V29</f>
        <v>18201</v>
      </c>
      <c r="T7" s="1043">
        <f>T21</f>
        <v>18200.84</v>
      </c>
      <c r="U7" s="1043">
        <f>(U6-(Z8*AB8))/(1-AB8)</f>
        <v>-3466.8571428571427</v>
      </c>
      <c r="V7" s="1040">
        <f>(ROUNDDOWN(T16,0)-AA7)*AB8</f>
        <v>-2912</v>
      </c>
      <c r="W7" s="1040">
        <v>0</v>
      </c>
      <c r="X7" s="1043">
        <f>IF(AND($U$6&gt;=$T$7,$U$6&lt;$T$8),1,0)</f>
        <v>0</v>
      </c>
      <c r="Y7" s="305"/>
      <c r="Z7" s="312">
        <f>'Static Data'!D7</f>
        <v>0</v>
      </c>
      <c r="AA7" s="312">
        <f>'Static Data'!E7</f>
        <v>18200</v>
      </c>
      <c r="AB7" s="312">
        <f>'Static Data'!F7</f>
        <v>0</v>
      </c>
      <c r="AC7" s="312">
        <f>'Static Data'!G7</f>
        <v>0</v>
      </c>
    </row>
    <row r="8" spans="1:29" ht="12.5" x14ac:dyDescent="0.25">
      <c r="A8" s="25"/>
      <c r="B8" s="558"/>
      <c r="C8" s="558"/>
      <c r="D8" s="237" t="s">
        <v>1519</v>
      </c>
      <c r="E8" s="996">
        <f>SUM(SEBBusinessDataTable[SEBAdjustedTaxableIncomeApp1])</f>
        <v>0</v>
      </c>
      <c r="F8" s="996">
        <f t="shared" ref="F8:F9" si="0">E8*SelfEmployedIncomeShade</f>
        <v>0</v>
      </c>
      <c r="G8" s="996">
        <f>SUM(SEBBusinessDataTable[SEBAdjustedTaxableIncomeApp2])</f>
        <v>0</v>
      </c>
      <c r="H8" s="996">
        <f t="shared" ref="H8:H9" si="1">G8*SelfEmployedIncomeShade</f>
        <v>0</v>
      </c>
      <c r="I8" s="996">
        <f>SUM(SEBBusinessDataTable[SEBAdjustedTaxableIncomeApp3])</f>
        <v>0</v>
      </c>
      <c r="J8" s="996">
        <f t="shared" ref="J8:J9" si="2">I8*SelfEmployedIncomeShade</f>
        <v>0</v>
      </c>
      <c r="K8" s="996">
        <f>SUM(SEBBusinessDataTable[SEBAdjustedTaxableIncomeApp4])</f>
        <v>0</v>
      </c>
      <c r="L8" s="996">
        <f t="shared" ref="L8:L9" si="3">K8*SelfEmployedIncomeShade</f>
        <v>0</v>
      </c>
      <c r="M8" s="996">
        <f>SUM(SEBBusinessDataTable[SEBAdjustedTaxableIncomeApp5])</f>
        <v>0</v>
      </c>
      <c r="N8" s="996">
        <f t="shared" ref="N8:N9" si="4">M8*SelfEmployedIncomeShade</f>
        <v>0</v>
      </c>
      <c r="O8" s="996">
        <f>SUM(SEBBusinessDataTable[SEBAdjustedTaxableIncomeApp6])</f>
        <v>0</v>
      </c>
      <c r="P8" s="996">
        <f t="shared" ref="P8:P9" si="5">O8*SelfEmployedIncomeShade</f>
        <v>0</v>
      </c>
      <c r="Q8" s="25"/>
      <c r="R8" s="25"/>
      <c r="S8" s="1043">
        <f t="shared" ref="S8:S12" si="6">V30</f>
        <v>26000</v>
      </c>
      <c r="T8" s="1043">
        <f t="shared" ref="T8:T11" si="7">T22</f>
        <v>24752</v>
      </c>
      <c r="U8" s="1043">
        <f>(U6-(Z8*AB8)-(Z21*AB21))/(1-AB8-AB21)</f>
        <v>-7448.864864864865</v>
      </c>
      <c r="V8" s="1040">
        <f>(ROUNDDOWN(T16,0)-AA7)*AB8</f>
        <v>-2912</v>
      </c>
      <c r="W8" s="1042">
        <f>MAX(0,(ROUNDDOWN(T16,0)-Z21))*AB21</f>
        <v>0</v>
      </c>
      <c r="X8" s="1043">
        <f>IF(AND($U$6&gt;=$T$8,$U$6&lt;$T$9),1,0)</f>
        <v>0</v>
      </c>
      <c r="Y8" s="305"/>
      <c r="Z8" s="312">
        <f>'Static Data'!D8</f>
        <v>18201</v>
      </c>
      <c r="AA8" s="312">
        <f>'Static Data'!E8</f>
        <v>45000</v>
      </c>
      <c r="AB8" s="312">
        <f>'Static Data'!F8</f>
        <v>0.16</v>
      </c>
      <c r="AC8" s="312">
        <f>'Static Data'!G8</f>
        <v>0</v>
      </c>
    </row>
    <row r="9" spans="1:29" ht="12.5" x14ac:dyDescent="0.25">
      <c r="A9" s="25"/>
      <c r="B9" s="558"/>
      <c r="C9" s="558"/>
      <c r="D9" s="237" t="s">
        <v>1047</v>
      </c>
      <c r="E9" s="996">
        <f>VLOOKUP(E$4&amp;"No",SEAApplicantDataTable[],MATCH("SEATotalAssessedIncome",SEAApplicantDataTable[#Headers],0),FALSE)</f>
        <v>0</v>
      </c>
      <c r="F9" s="996">
        <f t="shared" si="0"/>
        <v>0</v>
      </c>
      <c r="G9" s="996">
        <f>VLOOKUP(G$4&amp;"No",SEAApplicantDataTable[],MATCH("SEATotalAssessedIncome",SEAApplicantDataTable[#Headers],0),FALSE)</f>
        <v>0</v>
      </c>
      <c r="H9" s="996">
        <f t="shared" si="1"/>
        <v>0</v>
      </c>
      <c r="I9" s="996">
        <f>VLOOKUP(I$4&amp;"No",SEAApplicantDataTable[],MATCH("SEATotalAssessedIncome",SEAApplicantDataTable[#Headers],0),FALSE)</f>
        <v>0</v>
      </c>
      <c r="J9" s="996">
        <f t="shared" si="2"/>
        <v>0</v>
      </c>
      <c r="K9" s="996">
        <f>VLOOKUP(K$4&amp;"No",SEAApplicantDataTable[],MATCH("SEATotalAssessedIncome",SEAApplicantDataTable[#Headers],0),FALSE)</f>
        <v>0</v>
      </c>
      <c r="L9" s="996">
        <f t="shared" si="3"/>
        <v>0</v>
      </c>
      <c r="M9" s="996">
        <f>VLOOKUP(M$4&amp;"No",SEAApplicantDataTable[],MATCH("SEATotalAssessedIncome",SEAApplicantDataTable[#Headers],0),FALSE)</f>
        <v>0</v>
      </c>
      <c r="N9" s="996">
        <f t="shared" si="4"/>
        <v>0</v>
      </c>
      <c r="O9" s="996">
        <f>VLOOKUP(O$4&amp;"No",SEAApplicantDataTable[],MATCH("SEATotalAssessedIncome",SEAApplicantDataTable[#Headers],0),FALSE)</f>
        <v>0</v>
      </c>
      <c r="P9" s="996">
        <f t="shared" si="5"/>
        <v>0</v>
      </c>
      <c r="Q9" s="25"/>
      <c r="R9" s="25"/>
      <c r="S9" s="1043">
        <f t="shared" si="6"/>
        <v>32500</v>
      </c>
      <c r="T9" s="1043">
        <f t="shared" si="7"/>
        <v>29562</v>
      </c>
      <c r="U9" s="1043">
        <f>(U6-(Z8*AB8))/(1-AB8-AB22)</f>
        <v>-3551.4146341463415</v>
      </c>
      <c r="V9" s="1040">
        <f>(ROUNDDOWN(T16,0)-AA7)*AB8</f>
        <v>-2912</v>
      </c>
      <c r="W9" s="1040">
        <f>ROUNDDOWN(T16,0)*AB22</f>
        <v>0</v>
      </c>
      <c r="X9" s="1043">
        <f>IF(AND($U$6&gt;=$T$9,$U$6&lt;$T$10),1,0)</f>
        <v>0</v>
      </c>
      <c r="Y9" s="305"/>
      <c r="Z9" s="312">
        <f>'Static Data'!D9</f>
        <v>45001</v>
      </c>
      <c r="AA9" s="312">
        <f>'Static Data'!E9</f>
        <v>135000</v>
      </c>
      <c r="AB9" s="312">
        <f>'Static Data'!F9</f>
        <v>0.3</v>
      </c>
      <c r="AC9" s="312">
        <f>'Static Data'!G9</f>
        <v>4288</v>
      </c>
    </row>
    <row r="10" spans="1:29" ht="13" x14ac:dyDescent="0.3">
      <c r="A10" s="25"/>
      <c r="B10" s="558"/>
      <c r="C10" s="558"/>
      <c r="D10" s="239" t="s">
        <v>188</v>
      </c>
      <c r="E10" s="996">
        <f t="shared" ref="E10:P10" si="8">SUM(E6:E9)</f>
        <v>300000</v>
      </c>
      <c r="F10" s="996">
        <f t="shared" si="8"/>
        <v>300000</v>
      </c>
      <c r="G10" s="996">
        <f t="shared" si="8"/>
        <v>0</v>
      </c>
      <c r="H10" s="996">
        <f t="shared" si="8"/>
        <v>0</v>
      </c>
      <c r="I10" s="996">
        <f t="shared" si="8"/>
        <v>0</v>
      </c>
      <c r="J10" s="996">
        <f t="shared" si="8"/>
        <v>0</v>
      </c>
      <c r="K10" s="996">
        <f t="shared" si="8"/>
        <v>0</v>
      </c>
      <c r="L10" s="996">
        <f t="shared" si="8"/>
        <v>0</v>
      </c>
      <c r="M10" s="996">
        <f t="shared" si="8"/>
        <v>0</v>
      </c>
      <c r="N10" s="996">
        <f t="shared" si="8"/>
        <v>0</v>
      </c>
      <c r="O10" s="996">
        <f t="shared" si="8"/>
        <v>0</v>
      </c>
      <c r="P10" s="996">
        <f t="shared" si="8"/>
        <v>0</v>
      </c>
      <c r="Q10" s="25"/>
      <c r="R10" s="25"/>
      <c r="S10" s="1043">
        <f t="shared" si="6"/>
        <v>45001</v>
      </c>
      <c r="T10" s="1043">
        <f t="shared" si="7"/>
        <v>39812.68</v>
      </c>
      <c r="U10" s="1043">
        <f>(U6-(Z9*AB9)+AC9)/(1-AB9-AB22)</f>
        <v>-13547.5</v>
      </c>
      <c r="V10" s="1040">
        <f>(ROUNDDOWN(T16,0)-AA8)*AB9+AC9</f>
        <v>-9212</v>
      </c>
      <c r="W10" s="1040">
        <f>ROUNDDOWN(T16,0)*AB22</f>
        <v>0</v>
      </c>
      <c r="X10" s="1043">
        <f>IF(AND($U$6&gt;=$T$10,$U$6&lt;$T$11),1,0)</f>
        <v>0</v>
      </c>
      <c r="Y10" s="305"/>
      <c r="Z10" s="312">
        <f>'Static Data'!D10</f>
        <v>135001</v>
      </c>
      <c r="AA10" s="312">
        <f>'Static Data'!E10</f>
        <v>190000</v>
      </c>
      <c r="AB10" s="312">
        <f>'Static Data'!F10</f>
        <v>0.37</v>
      </c>
      <c r="AC10" s="312">
        <f>'Static Data'!G10</f>
        <v>31288</v>
      </c>
    </row>
    <row r="11" spans="1:29" ht="12.5" x14ac:dyDescent="0.25">
      <c r="A11" s="25"/>
      <c r="B11" s="558"/>
      <c r="C11" s="558"/>
      <c r="D11" s="237" t="s">
        <v>52</v>
      </c>
      <c r="E11" s="996">
        <f>IF(SCAIncomeVerificationType="Estimate",SCAApp1EstimateNonBaseIncome,SUMIFS(AICEmployerIncomeDataTable[AICAssessedAnnualNonBase],AICEmployerIncomeDataTable[AICApplicantID],E$4,AICEmployerIncomeDataTable[AICSpouseIncomeFlag],"No"))</f>
        <v>0</v>
      </c>
      <c r="F11" s="996">
        <f>IF(SCAIncomeVerificationType="Estimate",SCAApp1EstimateNonBaseIncome*NonBaseShade,SUMIFS(AICEmployerIncomeDataTable[AssessedAnnualNonBaseShaded],AICEmployerIncomeDataTable[AICApplicantID],E$4,AICEmployerIncomeDataTable[AICSpouseIncomeFlag],"No"))</f>
        <v>0</v>
      </c>
      <c r="G11" s="996">
        <f>IF(SCAIncomeVerificationType="Estimate",SCAApp2EstimateNonBaseIncome,SUMIFS(AICEmployerIncomeDataTable[AICAssessedAnnualNonBase],AICEmployerIncomeDataTable[AICApplicantID],G$4,AICEmployerIncomeDataTable[AICSpouseIncomeFlag],"No"))</f>
        <v>0</v>
      </c>
      <c r="H11" s="996">
        <f>IF(SCAIncomeVerificationType="Estimate",SCAApp2EstimateNonBaseIncome*NonBaseShade,SUMIFS(AICEmployerIncomeDataTable[AssessedAnnualNonBaseShaded],AICEmployerIncomeDataTable[AICApplicantID],G$4,AICEmployerIncomeDataTable[AICSpouseIncomeFlag],"No"))</f>
        <v>0</v>
      </c>
      <c r="I11" s="996">
        <f>IF(SCAIncomeVerificationType="Estimate",SCAApp3EstimateNonBaseIncome,SUMIFS(AICEmployerIncomeDataTable[AICAssessedAnnualNonBase],AICEmployerIncomeDataTable[AICApplicantID],I$4,AICEmployerIncomeDataTable[AICSpouseIncomeFlag],"No"))</f>
        <v>0</v>
      </c>
      <c r="J11" s="996">
        <f>IF(SCAIncomeVerificationType="Estimate",SCAApp3EstimateNonBaseIncome*NonBaseShade,SUMIFS(AICEmployerIncomeDataTable[AssessedAnnualNonBaseShaded],AICEmployerIncomeDataTable[AICApplicantID],I$4,AICEmployerIncomeDataTable[AICSpouseIncomeFlag],"No"))</f>
        <v>0</v>
      </c>
      <c r="K11" s="996">
        <f>IF(SCAIncomeVerificationType="Estimate",SCAApp4EstimateNonBaseIncome,SUMIFS(AICEmployerIncomeDataTable[AICAssessedAnnualNonBase],AICEmployerIncomeDataTable[AICApplicantID],K$4,AICEmployerIncomeDataTable[AICSpouseIncomeFlag],"No"))</f>
        <v>0</v>
      </c>
      <c r="L11" s="996">
        <f>IF(SCAIncomeVerificationType="Estimate",SCAApp4EstimateNonBaseIncome*NonBaseShade,SUMIFS(AICEmployerIncomeDataTable[AssessedAnnualNonBaseShaded],AICEmployerIncomeDataTable[AICApplicantID],K$4,AICEmployerIncomeDataTable[AICSpouseIncomeFlag],"No"))</f>
        <v>0</v>
      </c>
      <c r="M11" s="996">
        <f>IF(SCAIncomeVerificationType="Estimate",SCAApp5EstimateNonBaseIncome,SUMIFS(AICEmployerIncomeDataTable[AICAssessedAnnualNonBase],AICEmployerIncomeDataTable[AICApplicantID],M$4,AICEmployerIncomeDataTable[AICSpouseIncomeFlag],"No"))</f>
        <v>0</v>
      </c>
      <c r="N11" s="996">
        <f>IF(SCAIncomeVerificationType="Estimate",SCAApp5EstimateNonBaseIncome*NonBaseShade,SUMIFS(AICEmployerIncomeDataTable[AssessedAnnualNonBaseShaded],AICEmployerIncomeDataTable[AICApplicantID],M$4,AICEmployerIncomeDataTable[AICSpouseIncomeFlag],"No"))</f>
        <v>0</v>
      </c>
      <c r="O11" s="996">
        <f>IF(SCAIncomeVerificationType="Estimate",SCAApp6EstimateNonBaseIncome,SUMIFS(AICEmployerIncomeDataTable[AICAssessedAnnualNonBase],AICEmployerIncomeDataTable[AICApplicantID],O$4,AICEmployerIncomeDataTable[AICSpouseIncomeFlag],"No"))</f>
        <v>0</v>
      </c>
      <c r="P11" s="996">
        <f>IF(SCAIncomeVerificationType="Estimate",SCAApp6EstimateNonBaseIncome*NonBaseShade,SUMIFS(AICEmployerIncomeDataTable[AssessedAnnualNonBaseShaded],AICEmployerIncomeDataTable[AICApplicantID],O$4,AICEmployerIncomeDataTable[AICSpouseIncomeFlag],"No"))</f>
        <v>0</v>
      </c>
      <c r="Q11" s="25"/>
      <c r="R11" s="25"/>
      <c r="S11" s="1043">
        <f t="shared" si="6"/>
        <v>135001</v>
      </c>
      <c r="T11" s="1043">
        <f t="shared" si="7"/>
        <v>101012.61</v>
      </c>
      <c r="U11" s="1043">
        <f>(U6-(Z10*AB10)+AC10)/(1-AB10-AB22)</f>
        <v>-30594.049180327875</v>
      </c>
      <c r="V11" s="1040">
        <f>(ROUNDDOWN(T16,0)-AA9)*AB10+AC10</f>
        <v>-18662</v>
      </c>
      <c r="W11" s="1040">
        <f>ROUNDDOWN(T16,0)*AB22</f>
        <v>0</v>
      </c>
      <c r="X11" s="1043">
        <f>IF(AND($U$6&gt;=$T$11,$U$6&lt;$T$12),1,0)</f>
        <v>0</v>
      </c>
      <c r="Y11" s="305"/>
      <c r="Z11" s="312">
        <f>'Static Data'!D11</f>
        <v>190001</v>
      </c>
      <c r="AA11" s="312">
        <f>'Static Data'!E11</f>
        <v>0</v>
      </c>
      <c r="AB11" s="312">
        <f>'Static Data'!F11</f>
        <v>0.45</v>
      </c>
      <c r="AC11" s="312">
        <f>'Static Data'!G11</f>
        <v>51638</v>
      </c>
    </row>
    <row r="12" spans="1:29" ht="12.5" x14ac:dyDescent="0.25">
      <c r="A12" s="25"/>
      <c r="B12" s="558"/>
      <c r="C12" s="558"/>
      <c r="D12" s="237" t="s">
        <v>53</v>
      </c>
      <c r="E12" s="996">
        <f>IF(SCAIncomeVerificationType="Estimate",SCAApp1EstimateBonusIncome,SUMIFS(AICEmployerIncomeDataTable[AICAssessedAnnualBonus],AICEmployerIncomeDataTable[AICApplicantID],E$4,AICEmployerIncomeDataTable[AICSpouseIncomeFlag],"No"))</f>
        <v>0</v>
      </c>
      <c r="F12" s="996">
        <f>E12*BonusShade</f>
        <v>0</v>
      </c>
      <c r="G12" s="996">
        <f>IF(SCAIncomeVerificationType="Estimate",SCAApp2EstimateBonusIncome,SUMIFS(AICEmployerIncomeDataTable[AICAssessedAnnualBonus],AICEmployerIncomeDataTable[AICApplicantID],G$4,AICEmployerIncomeDataTable[AICSpouseIncomeFlag],"No"))</f>
        <v>0</v>
      </c>
      <c r="H12" s="996">
        <f>G12*BonusShade</f>
        <v>0</v>
      </c>
      <c r="I12" s="996">
        <f>IF(SCAIncomeVerificationType="Estimate",SCAApp3EstimateBonusIncome,SUMIFS(AICEmployerIncomeDataTable[AICAssessedAnnualBonus],AICEmployerIncomeDataTable[AICApplicantID],I$4,AICEmployerIncomeDataTable[AICSpouseIncomeFlag],"No"))</f>
        <v>0</v>
      </c>
      <c r="J12" s="996">
        <f>I12*BonusShade</f>
        <v>0</v>
      </c>
      <c r="K12" s="996">
        <f>IF(SCAIncomeVerificationType="Estimate",SCAApp4EstimateBonusIncome,SUMIFS(AICEmployerIncomeDataTable[AICAssessedAnnualBonus],AICEmployerIncomeDataTable[AICApplicantID],K$4,AICEmployerIncomeDataTable[AICSpouseIncomeFlag],"No"))</f>
        <v>0</v>
      </c>
      <c r="L12" s="996">
        <f>K12*BonusShade</f>
        <v>0</v>
      </c>
      <c r="M12" s="996">
        <f>IF(SCAIncomeVerificationType="Estimate",SCAApp5EstimateBonusIncome,SUMIFS(AICEmployerIncomeDataTable[AICAssessedAnnualBonus],AICEmployerIncomeDataTable[AICApplicantID],M$4,AICEmployerIncomeDataTable[AICSpouseIncomeFlag],"No"))</f>
        <v>0</v>
      </c>
      <c r="N12" s="996">
        <f>M12*BonusShade</f>
        <v>0</v>
      </c>
      <c r="O12" s="996">
        <f>IF(SCAIncomeVerificationType="Estimate",SCAApp6EstimateBonusIncome,SUMIFS(AICEmployerIncomeDataTable[AICAssessedAnnualBonus],AICEmployerIncomeDataTable[AICApplicantID],O$4,AICEmployerIncomeDataTable[AICSpouseIncomeFlag],"No"))</f>
        <v>0</v>
      </c>
      <c r="P12" s="996">
        <f>O12*BonusShade</f>
        <v>0</v>
      </c>
      <c r="Q12" s="25"/>
      <c r="R12" s="25"/>
      <c r="S12" s="1043">
        <f t="shared" si="6"/>
        <v>190001</v>
      </c>
      <c r="T12" s="1043">
        <f>T26</f>
        <v>134562.53</v>
      </c>
      <c r="U12" s="1043">
        <f>(U6-(Z11*AB11)+AC11)/(1-AB11-AB22)</f>
        <v>-63891.415094339616</v>
      </c>
      <c r="V12" s="1040">
        <f>(ROUNDDOWN(T16,0)-AA10)*AB11+AC11</f>
        <v>-33862</v>
      </c>
      <c r="W12" s="1040">
        <f>ROUNDDOWN(T16,0)*AB22</f>
        <v>0</v>
      </c>
      <c r="X12" s="1043">
        <f>IF($U$6&gt;=$T$12,1,0)</f>
        <v>0</v>
      </c>
      <c r="Y12" s="305"/>
      <c r="Z12" s="305"/>
      <c r="AA12" s="305"/>
      <c r="AB12" s="305"/>
      <c r="AC12" s="305"/>
    </row>
    <row r="13" spans="1:29" ht="12.75" customHeight="1" x14ac:dyDescent="0.3">
      <c r="A13" s="25"/>
      <c r="B13" s="558"/>
      <c r="C13" s="558"/>
      <c r="D13" s="239" t="s">
        <v>1003</v>
      </c>
      <c r="E13" s="996">
        <f t="shared" ref="E13:P13" si="9">SUM(E10:E12)</f>
        <v>300000</v>
      </c>
      <c r="F13" s="996">
        <f t="shared" si="9"/>
        <v>300000</v>
      </c>
      <c r="G13" s="996">
        <f t="shared" si="9"/>
        <v>0</v>
      </c>
      <c r="H13" s="996">
        <f t="shared" si="9"/>
        <v>0</v>
      </c>
      <c r="I13" s="996">
        <f t="shared" si="9"/>
        <v>0</v>
      </c>
      <c r="J13" s="996">
        <f t="shared" si="9"/>
        <v>0</v>
      </c>
      <c r="K13" s="996">
        <f t="shared" si="9"/>
        <v>0</v>
      </c>
      <c r="L13" s="996">
        <f t="shared" si="9"/>
        <v>0</v>
      </c>
      <c r="M13" s="996">
        <f t="shared" si="9"/>
        <v>0</v>
      </c>
      <c r="N13" s="996">
        <f t="shared" si="9"/>
        <v>0</v>
      </c>
      <c r="O13" s="996">
        <f t="shared" si="9"/>
        <v>0</v>
      </c>
      <c r="P13" s="996">
        <f t="shared" si="9"/>
        <v>0</v>
      </c>
      <c r="Q13" s="25"/>
      <c r="R13" s="25"/>
      <c r="S13" s="305"/>
      <c r="T13" s="305"/>
      <c r="U13" s="305"/>
      <c r="V13" s="305"/>
      <c r="W13" s="305"/>
      <c r="X13" s="305"/>
      <c r="Y13" s="305"/>
      <c r="Z13" s="305"/>
      <c r="AA13" s="305"/>
      <c r="AB13" s="305"/>
      <c r="AC13" s="305"/>
    </row>
    <row r="14" spans="1:29" ht="12.5" x14ac:dyDescent="0.25">
      <c r="A14" s="25"/>
      <c r="B14" s="558"/>
      <c r="C14" s="558"/>
      <c r="D14" s="237" t="s">
        <v>54</v>
      </c>
      <c r="E14" s="996">
        <f>RICApp1GrossTotal</f>
        <v>0</v>
      </c>
      <c r="F14" s="996">
        <f>RICApp1ShadedTotal-IF(E14=0,0,E37)</f>
        <v>0</v>
      </c>
      <c r="G14" s="996">
        <f>RICApp2GrossTotal</f>
        <v>0</v>
      </c>
      <c r="H14" s="996">
        <f>RICApp2ShadedTotal-IF(G14=0,0,G37)</f>
        <v>0</v>
      </c>
      <c r="I14" s="996">
        <f>RICApp3GrossTotal</f>
        <v>0</v>
      </c>
      <c r="J14" s="996">
        <f>RICApp3ShadedTotal-IF(I14=0,0,I37)</f>
        <v>0</v>
      </c>
      <c r="K14" s="996">
        <f>RICApp4GrossTotal</f>
        <v>0</v>
      </c>
      <c r="L14" s="996">
        <f>RICApp4ShadedTotal-IF(K14=0,0,K37)</f>
        <v>0</v>
      </c>
      <c r="M14" s="996">
        <f>RICApp5GrossTotal</f>
        <v>0</v>
      </c>
      <c r="N14" s="996">
        <f>RICApp5ShadedTotal-IF(M14=0,0,M37)</f>
        <v>0</v>
      </c>
      <c r="O14" s="996">
        <f>RICApp6GrossTotal</f>
        <v>0</v>
      </c>
      <c r="P14" s="996">
        <f>RICApp6ShadedTotal-IF(O14=0,0,O37)</f>
        <v>0</v>
      </c>
      <c r="Q14" s="25"/>
      <c r="R14" s="25"/>
      <c r="S14" s="318" t="s">
        <v>17</v>
      </c>
      <c r="T14" s="1041">
        <f>SUMPRODUCT(V6:V12,X6:X12)</f>
        <v>0</v>
      </c>
      <c r="U14" s="305"/>
      <c r="V14" s="305"/>
      <c r="W14" s="305"/>
      <c r="X14" s="305"/>
      <c r="Y14" s="305"/>
      <c r="Z14" s="305"/>
      <c r="AA14" s="305"/>
      <c r="AB14" s="305"/>
      <c r="AC14" s="305"/>
    </row>
    <row r="15" spans="1:29" ht="12.5" x14ac:dyDescent="0.25">
      <c r="A15" s="25"/>
      <c r="B15" s="558"/>
      <c r="C15" s="558" t="s">
        <v>2135</v>
      </c>
      <c r="D15" s="237" t="s">
        <v>2136</v>
      </c>
      <c r="E15" s="996">
        <f>VLOOKUP(E$4&amp;"No",OICOtherIncomeDataTable[],MATCH($C15,OICOtherIncomeDataTable[#Headers],0),FALSE)</f>
        <v>0</v>
      </c>
      <c r="F15" s="996">
        <f>E15*InterestDividendShade</f>
        <v>0</v>
      </c>
      <c r="G15" s="996">
        <f>VLOOKUP(G$4&amp;"No",OICOtherIncomeDataTable[],MATCH($C15,OICOtherIncomeDataTable[#Headers],0),FALSE)</f>
        <v>0</v>
      </c>
      <c r="H15" s="996">
        <f>G15*InterestDividendShade</f>
        <v>0</v>
      </c>
      <c r="I15" s="996">
        <f>VLOOKUP(I$4&amp;"No",OICOtherIncomeDataTable[],MATCH($C15,OICOtherIncomeDataTable[#Headers],0),FALSE)</f>
        <v>0</v>
      </c>
      <c r="J15" s="996">
        <f>I15*InterestDividendShade</f>
        <v>0</v>
      </c>
      <c r="K15" s="996">
        <f>VLOOKUP(K$4&amp;"No",OICOtherIncomeDataTable[],MATCH($C15,OICOtherIncomeDataTable[#Headers],0),FALSE)</f>
        <v>0</v>
      </c>
      <c r="L15" s="996">
        <f>K15*InterestDividendShade</f>
        <v>0</v>
      </c>
      <c r="M15" s="996">
        <f>VLOOKUP(M$4&amp;"No",OICOtherIncomeDataTable[],MATCH($C15,OICOtherIncomeDataTable[#Headers],0),FALSE)</f>
        <v>0</v>
      </c>
      <c r="N15" s="996">
        <f>M15*InterestDividendShade</f>
        <v>0</v>
      </c>
      <c r="O15" s="996">
        <f>VLOOKUP(O$4&amp;"No",OICOtherIncomeDataTable[],MATCH($C15,OICOtherIncomeDataTable[#Headers],0),FALSE)</f>
        <v>0</v>
      </c>
      <c r="P15" s="996">
        <f>O15*InterestDividendShade</f>
        <v>0</v>
      </c>
      <c r="Q15" s="25"/>
      <c r="R15" s="25"/>
      <c r="S15" s="318" t="s">
        <v>23</v>
      </c>
      <c r="T15" s="1041">
        <f>SUMPRODUCT(W6:W12,X6:X12)</f>
        <v>0</v>
      </c>
      <c r="U15" s="305"/>
      <c r="V15" s="305"/>
      <c r="W15" s="305"/>
      <c r="X15" s="305"/>
      <c r="Y15" s="305"/>
      <c r="Z15" s="305"/>
      <c r="AA15" s="305"/>
      <c r="AB15" s="305"/>
      <c r="AC15" s="305"/>
    </row>
    <row r="16" spans="1:29" ht="13" x14ac:dyDescent="0.3">
      <c r="A16" s="25"/>
      <c r="B16" s="558"/>
      <c r="C16" s="558" t="s">
        <v>2134</v>
      </c>
      <c r="D16" s="237" t="s">
        <v>2137</v>
      </c>
      <c r="E16" s="996">
        <f>VLOOKUP(E$4&amp;"No",OICOtherIncomeDataTable[],MATCH($C16,OICOtherIncomeDataTable[#Headers],0),FALSE)</f>
        <v>0</v>
      </c>
      <c r="F16" s="996">
        <f>E16*InterestDividendShade</f>
        <v>0</v>
      </c>
      <c r="G16" s="996">
        <f>VLOOKUP(G$4&amp;"No",OICOtherIncomeDataTable[],MATCH($C16,OICOtherIncomeDataTable[#Headers],0),FALSE)</f>
        <v>0</v>
      </c>
      <c r="H16" s="996">
        <f>G16*InterestDividendShade</f>
        <v>0</v>
      </c>
      <c r="I16" s="996">
        <f>VLOOKUP(I$4&amp;"No",OICOtherIncomeDataTable[],MATCH($C16,OICOtherIncomeDataTable[#Headers],0),FALSE)</f>
        <v>0</v>
      </c>
      <c r="J16" s="996">
        <f>I16*InterestDividendShade</f>
        <v>0</v>
      </c>
      <c r="K16" s="996">
        <f>VLOOKUP(K$4&amp;"No",OICOtherIncomeDataTable[],MATCH($C16,OICOtherIncomeDataTable[#Headers],0),FALSE)</f>
        <v>0</v>
      </c>
      <c r="L16" s="996">
        <f>K16*InterestDividendShade</f>
        <v>0</v>
      </c>
      <c r="M16" s="996">
        <f>VLOOKUP(M$4&amp;"No",OICOtherIncomeDataTable[],MATCH($C16,OICOtherIncomeDataTable[#Headers],0),FALSE)</f>
        <v>0</v>
      </c>
      <c r="N16" s="996">
        <f>M16*InterestDividendShade</f>
        <v>0</v>
      </c>
      <c r="O16" s="996">
        <f>VLOOKUP(O$4&amp;"No",OICOtherIncomeDataTable[],MATCH($C16,OICOtherIncomeDataTable[#Headers],0),FALSE)</f>
        <v>0</v>
      </c>
      <c r="P16" s="996">
        <f>O16*InterestDividendShade</f>
        <v>0</v>
      </c>
      <c r="Q16" s="25"/>
      <c r="R16" s="25"/>
      <c r="S16" s="318" t="s">
        <v>16</v>
      </c>
      <c r="T16" s="313">
        <f>SUMPRODUCT(U6:U12,X6:X12)</f>
        <v>0</v>
      </c>
      <c r="U16" s="305"/>
      <c r="V16" s="305"/>
      <c r="W16" s="305"/>
      <c r="X16" s="305"/>
      <c r="Y16" s="305"/>
      <c r="Z16" s="305"/>
      <c r="AA16" s="305"/>
      <c r="AB16" s="305"/>
      <c r="AC16" s="305"/>
    </row>
    <row r="17" spans="1:29" ht="12.5" x14ac:dyDescent="0.25">
      <c r="A17" s="25"/>
      <c r="B17" s="558"/>
      <c r="C17" s="558" t="s">
        <v>2359</v>
      </c>
      <c r="D17" s="237" t="s">
        <v>2361</v>
      </c>
      <c r="E17" s="996">
        <f>VLOOKUP(E$4&amp;"No",OICOtherIncomeDataTable[],MATCH($C17,OICOtherIncomeDataTable[#Headers],0),FALSE)</f>
        <v>0</v>
      </c>
      <c r="F17" s="996">
        <f>E17</f>
        <v>0</v>
      </c>
      <c r="G17" s="996">
        <f>VLOOKUP(G$4&amp;"No",OICOtherIncomeDataTable[],MATCH($C17,OICOtherIncomeDataTable[#Headers],0),FALSE)</f>
        <v>0</v>
      </c>
      <c r="H17" s="996">
        <f>G17</f>
        <v>0</v>
      </c>
      <c r="I17" s="996">
        <f>VLOOKUP(I$4&amp;"No",OICOtherIncomeDataTable[],MATCH($C17,OICOtherIncomeDataTable[#Headers],0),FALSE)</f>
        <v>0</v>
      </c>
      <c r="J17" s="996">
        <f>I17</f>
        <v>0</v>
      </c>
      <c r="K17" s="996">
        <f>VLOOKUP(K$4&amp;"No",OICOtherIncomeDataTable[],MATCH($C17,OICOtherIncomeDataTable[#Headers],0),FALSE)</f>
        <v>0</v>
      </c>
      <c r="L17" s="996">
        <f>K17</f>
        <v>0</v>
      </c>
      <c r="M17" s="996">
        <f>VLOOKUP(M$4&amp;"No",OICOtherIncomeDataTable[],MATCH($C17,OICOtherIncomeDataTable[#Headers],0),FALSE)</f>
        <v>0</v>
      </c>
      <c r="N17" s="996">
        <f>M17</f>
        <v>0</v>
      </c>
      <c r="O17" s="996">
        <f>VLOOKUP(O$4&amp;"No",OICOtherIncomeDataTable[],MATCH($C17,OICOtherIncomeDataTable[#Headers],0),FALSE)</f>
        <v>0</v>
      </c>
      <c r="P17" s="996">
        <f>O17</f>
        <v>0</v>
      </c>
      <c r="Q17" s="25"/>
      <c r="R17" s="25"/>
      <c r="S17" s="305"/>
      <c r="T17" s="305"/>
      <c r="U17" s="305"/>
      <c r="V17" s="305"/>
      <c r="W17" s="305"/>
      <c r="X17" s="305"/>
      <c r="Y17" s="305"/>
      <c r="Z17" s="305"/>
      <c r="AA17" s="305"/>
      <c r="AB17" s="305"/>
      <c r="AC17" s="25"/>
    </row>
    <row r="18" spans="1:29" ht="12.5" x14ac:dyDescent="0.25">
      <c r="A18" s="25"/>
      <c r="B18" s="558" t="s">
        <v>844</v>
      </c>
      <c r="C18" s="558" t="s">
        <v>681</v>
      </c>
      <c r="D18" s="237" t="s">
        <v>845</v>
      </c>
      <c r="E18" s="996">
        <f>IFERROR(IF(VLOOKUP(E$4&amp;"No",OICOtherIncomeDataTable[],MATCH($B18,OICOtherIncomeDataTable[#Headers],0),FALSE)="Taxable",VLOOKUP(E$4&amp;"No",OICOtherIncomeDataTable[],MATCH($C18,OICOtherIncomeDataTable[#Headers],0),FALSE),0),0)</f>
        <v>0</v>
      </c>
      <c r="F18" s="996">
        <f>E18*StipendIncomeShade</f>
        <v>0</v>
      </c>
      <c r="G18" s="996">
        <f>IFERROR(IF(VLOOKUP(G$4&amp;"No",OICOtherIncomeDataTable[],MATCH($B18,OICOtherIncomeDataTable[#Headers],0),FALSE)="Taxable",VLOOKUP(G$4&amp;"No",OICOtherIncomeDataTable[],MATCH($C18,OICOtherIncomeDataTable[#Headers],0),FALSE),0),0)</f>
        <v>0</v>
      </c>
      <c r="H18" s="996">
        <f>G18*StipendIncomeShade</f>
        <v>0</v>
      </c>
      <c r="I18" s="996">
        <f>IFERROR(IF(VLOOKUP(I$4&amp;"No",OICOtherIncomeDataTable[],MATCH($B18,OICOtherIncomeDataTable[#Headers],0),FALSE)="Taxable",VLOOKUP(I$4&amp;"No",OICOtherIncomeDataTable[],MATCH($C18,OICOtherIncomeDataTable[#Headers],0),FALSE),0),0)</f>
        <v>0</v>
      </c>
      <c r="J18" s="996">
        <f>I18*StipendIncomeShade</f>
        <v>0</v>
      </c>
      <c r="K18" s="996">
        <f>IFERROR(IF(VLOOKUP(K$4&amp;"No",OICOtherIncomeDataTable[],MATCH($B18,OICOtherIncomeDataTable[#Headers],0),FALSE)="Taxable",VLOOKUP(K$4&amp;"No",OICOtherIncomeDataTable[],MATCH($C18,OICOtherIncomeDataTable[#Headers],0),FALSE),0),0)</f>
        <v>0</v>
      </c>
      <c r="L18" s="996">
        <f>K18*StipendIncomeShade</f>
        <v>0</v>
      </c>
      <c r="M18" s="996">
        <f>IFERROR(IF(VLOOKUP(M$4&amp;"No",OICOtherIncomeDataTable[],MATCH($B18,OICOtherIncomeDataTable[#Headers],0),FALSE)="Taxable",VLOOKUP(M$4&amp;"No",OICOtherIncomeDataTable[],MATCH($C18,OICOtherIncomeDataTable[#Headers],0),FALSE),0),0)</f>
        <v>0</v>
      </c>
      <c r="N18" s="996">
        <f>M18*StipendIncomeShade</f>
        <v>0</v>
      </c>
      <c r="O18" s="996">
        <f>IFERROR(IF(VLOOKUP(O$4&amp;"No",OICOtherIncomeDataTable[],MATCH($B18,OICOtherIncomeDataTable[#Headers],0),FALSE)="Taxable",VLOOKUP(O$4&amp;"No",OICOtherIncomeDataTable[],MATCH($C18,OICOtherIncomeDataTable[#Headers],0),FALSE),0),0)</f>
        <v>0</v>
      </c>
      <c r="P18" s="996">
        <f>O18*StipendIncomeShade</f>
        <v>0</v>
      </c>
      <c r="Q18" s="25"/>
      <c r="R18" s="25"/>
      <c r="S18" s="316"/>
      <c r="T18" s="1453" t="s">
        <v>22</v>
      </c>
      <c r="U18" s="316"/>
      <c r="V18" s="316"/>
      <c r="W18" s="305"/>
      <c r="X18" s="305"/>
      <c r="Y18" s="305"/>
      <c r="Z18" s="1454" t="s">
        <v>23</v>
      </c>
      <c r="AA18" s="1454"/>
      <c r="AB18" s="1454"/>
      <c r="AC18" s="25"/>
    </row>
    <row r="19" spans="1:29" ht="12.5" x14ac:dyDescent="0.25">
      <c r="A19" s="25"/>
      <c r="B19" s="558" t="s">
        <v>688</v>
      </c>
      <c r="C19" s="558" t="s">
        <v>700</v>
      </c>
      <c r="D19" s="237" t="s">
        <v>320</v>
      </c>
      <c r="E19" s="996">
        <f>IFERROR(IF(VLOOKUP(E$4&amp;"No",OICOtherIncomeDataTable[],MATCH($B19,OICOtherIncomeDataTable[#Headers],0),FALSE)="Taxable",VLOOKUP(E$4&amp;"No",OICOtherIncomeDataTable[],MATCH($C19,OICOtherIncomeDataTable[#Headers],0),FALSE),0),0)</f>
        <v>0</v>
      </c>
      <c r="F19" s="996">
        <f>E19*InvestmentIncomeShade</f>
        <v>0</v>
      </c>
      <c r="G19" s="996">
        <f>IFERROR(IF(VLOOKUP(G$4&amp;"No",OICOtherIncomeDataTable[],MATCH($B19,OICOtherIncomeDataTable[#Headers],0),FALSE)="Taxable",VLOOKUP(G$4&amp;"No",OICOtherIncomeDataTable[],MATCH($C19,OICOtherIncomeDataTable[#Headers],0),FALSE),0),0)</f>
        <v>0</v>
      </c>
      <c r="H19" s="996">
        <f>G19*InvestmentIncomeShade</f>
        <v>0</v>
      </c>
      <c r="I19" s="996">
        <f>IFERROR(IF(VLOOKUP(I$4&amp;"No",OICOtherIncomeDataTable[],MATCH($B19,OICOtherIncomeDataTable[#Headers],0),FALSE)="Taxable",VLOOKUP(I$4&amp;"No",OICOtherIncomeDataTable[],MATCH($C19,OICOtherIncomeDataTable[#Headers],0),FALSE),0),0)</f>
        <v>0</v>
      </c>
      <c r="J19" s="996">
        <f>I19*InvestmentIncomeShade</f>
        <v>0</v>
      </c>
      <c r="K19" s="996">
        <f>IFERROR(IF(VLOOKUP(K$4&amp;"No",OICOtherIncomeDataTable[],MATCH($B19,OICOtherIncomeDataTable[#Headers],0),FALSE)="Taxable",VLOOKUP(K$4&amp;"No",OICOtherIncomeDataTable[],MATCH($C19,OICOtherIncomeDataTable[#Headers],0),FALSE),0),0)</f>
        <v>0</v>
      </c>
      <c r="L19" s="996">
        <f>K19*InvestmentIncomeShade</f>
        <v>0</v>
      </c>
      <c r="M19" s="996">
        <f>IFERROR(IF(VLOOKUP(M$4&amp;"No",OICOtherIncomeDataTable[],MATCH($B19,OICOtherIncomeDataTable[#Headers],0),FALSE)="Taxable",VLOOKUP(M$4&amp;"No",OICOtherIncomeDataTable[],MATCH($C19,OICOtherIncomeDataTable[#Headers],0),FALSE),0),0)</f>
        <v>0</v>
      </c>
      <c r="N19" s="996">
        <f>M19*InvestmentIncomeShade</f>
        <v>0</v>
      </c>
      <c r="O19" s="996">
        <f>IFERROR(IF(VLOOKUP(O$4&amp;"No",OICOtherIncomeDataTable[],MATCH($B19,OICOtherIncomeDataTable[#Headers],0),FALSE)="Taxable",VLOOKUP(O$4&amp;"No",OICOtherIncomeDataTable[],MATCH($C19,OICOtherIncomeDataTable[#Headers],0),FALSE),0),0)</f>
        <v>0</v>
      </c>
      <c r="P19" s="996">
        <f>O19*InvestmentIncomeShade</f>
        <v>0</v>
      </c>
      <c r="Q19" s="25"/>
      <c r="R19" s="25"/>
      <c r="S19" s="317" t="s">
        <v>21</v>
      </c>
      <c r="T19" s="1453"/>
      <c r="U19" s="317" t="s">
        <v>17</v>
      </c>
      <c r="V19" s="317" t="s">
        <v>23</v>
      </c>
      <c r="W19" s="305"/>
      <c r="X19" s="305"/>
      <c r="Y19" s="305"/>
      <c r="Z19" s="318" t="s">
        <v>21</v>
      </c>
      <c r="AA19" s="318" t="s">
        <v>195</v>
      </c>
      <c r="AB19" s="318" t="s">
        <v>194</v>
      </c>
      <c r="AC19" s="25"/>
    </row>
    <row r="20" spans="1:29" ht="12.75" customHeight="1" x14ac:dyDescent="0.25">
      <c r="A20" s="25"/>
      <c r="B20" s="558" t="s">
        <v>749</v>
      </c>
      <c r="C20" s="558" t="s">
        <v>701</v>
      </c>
      <c r="D20" s="237" t="s">
        <v>747</v>
      </c>
      <c r="E20" s="996">
        <f>IFERROR(IF(VLOOKUP(E$4&amp;"No",OICOtherIncomeDataTable[],MATCH($B20,OICOtherIncomeDataTable[#Headers],0),FALSE)="Taxable",VLOOKUP(E$4&amp;"No",OICOtherIncomeDataTable[],MATCH($C20,OICOtherIncomeDataTable[#Headers],0),FALSE),0),0)</f>
        <v>0</v>
      </c>
      <c r="F20" s="996">
        <f>E20*InvestmentIncomeShade</f>
        <v>0</v>
      </c>
      <c r="G20" s="996">
        <f>IFERROR(IF(VLOOKUP(G$4&amp;"No",OICOtherIncomeDataTable[],MATCH($B20,OICOtherIncomeDataTable[#Headers],0),FALSE)="Taxable",VLOOKUP(G$4&amp;"No",OICOtherIncomeDataTable[],MATCH($C20,OICOtherIncomeDataTable[#Headers],0),FALSE),0),0)</f>
        <v>0</v>
      </c>
      <c r="H20" s="996">
        <f>G20*InvestmentIncomeShade</f>
        <v>0</v>
      </c>
      <c r="I20" s="996">
        <f>IFERROR(IF(VLOOKUP(I$4&amp;"No",OICOtherIncomeDataTable[],MATCH($B20,OICOtherIncomeDataTable[#Headers],0),FALSE)="Taxable",VLOOKUP(I$4&amp;"No",OICOtherIncomeDataTable[],MATCH($C20,OICOtherIncomeDataTable[#Headers],0),FALSE),0),0)</f>
        <v>0</v>
      </c>
      <c r="J20" s="996">
        <f>I20*InvestmentIncomeShade</f>
        <v>0</v>
      </c>
      <c r="K20" s="996">
        <f>IFERROR(IF(VLOOKUP(K$4&amp;"No",OICOtherIncomeDataTable[],MATCH($B20,OICOtherIncomeDataTable[#Headers],0),FALSE)="Taxable",VLOOKUP(K$4&amp;"No",OICOtherIncomeDataTable[],MATCH($C20,OICOtherIncomeDataTable[#Headers],0),FALSE),0),0)</f>
        <v>0</v>
      </c>
      <c r="L20" s="996">
        <f>K20*InvestmentIncomeShade</f>
        <v>0</v>
      </c>
      <c r="M20" s="996">
        <f>IFERROR(IF(VLOOKUP(M$4&amp;"No",OICOtherIncomeDataTable[],MATCH($B20,OICOtherIncomeDataTable[#Headers],0),FALSE)="Taxable",VLOOKUP(M$4&amp;"No",OICOtherIncomeDataTable[],MATCH($C20,OICOtherIncomeDataTable[#Headers],0),FALSE),0),0)</f>
        <v>0</v>
      </c>
      <c r="N20" s="996">
        <f>M20*InvestmentIncomeShade</f>
        <v>0</v>
      </c>
      <c r="O20" s="996">
        <f>IFERROR(IF(VLOOKUP(O$4&amp;"No",OICOtherIncomeDataTable[],MATCH($B20,OICOtherIncomeDataTable[#Headers],0),FALSE)="Taxable",VLOOKUP(O$4&amp;"No",OICOtherIncomeDataTable[],MATCH($C20,OICOtherIncomeDataTable[#Headers],0),FALSE),0),0)</f>
        <v>0</v>
      </c>
      <c r="P20" s="996">
        <f>O20*InvestmentIncomeShade</f>
        <v>0</v>
      </c>
      <c r="Q20" s="25"/>
      <c r="R20" s="25"/>
      <c r="S20" s="312">
        <v>0</v>
      </c>
      <c r="T20" s="312">
        <v>0</v>
      </c>
      <c r="U20" s="312">
        <v>0</v>
      </c>
      <c r="V20" s="312">
        <v>0</v>
      </c>
      <c r="W20" s="305"/>
      <c r="X20" s="305"/>
      <c r="Y20" s="305"/>
      <c r="Z20" s="312">
        <f>'Static Data'!I6</f>
        <v>0</v>
      </c>
      <c r="AA20" s="312">
        <f>'Static Data'!J6</f>
        <v>26000</v>
      </c>
      <c r="AB20" s="312">
        <f>'Static Data'!K6</f>
        <v>0</v>
      </c>
      <c r="AC20" s="25"/>
    </row>
    <row r="21" spans="1:29" ht="13" x14ac:dyDescent="0.3">
      <c r="A21" s="25"/>
      <c r="B21" s="558" t="s">
        <v>688</v>
      </c>
      <c r="C21" s="558" t="s">
        <v>700</v>
      </c>
      <c r="D21" s="240" t="s">
        <v>228</v>
      </c>
      <c r="E21" s="996">
        <f>IFERROR(IF(VLOOKUP(E$4&amp;"No",OICOtherIncomeDataTable[],MATCH($B21,OICOtherIncomeDataTable[#Headers],0),FALSE)&lt;&gt;"Taxable",VLOOKUP(E$4&amp;"No",OICOtherIncomeDataTable[],MATCH($C21,OICOtherIncomeDataTable[#Headers],0),FALSE),0),0)</f>
        <v>0</v>
      </c>
      <c r="F21" s="996">
        <f>E21*InvestmentIncomeShade</f>
        <v>0</v>
      </c>
      <c r="G21" s="996">
        <f>IFERROR(IF(VLOOKUP(G$4&amp;"No",OICOtherIncomeDataTable[],MATCH($B21,OICOtherIncomeDataTable[#Headers],0),FALSE)&lt;&gt;"Taxable",VLOOKUP(G$4&amp;"No",OICOtherIncomeDataTable[],MATCH($C21,OICOtherIncomeDataTable[#Headers],0),FALSE),0),0)</f>
        <v>0</v>
      </c>
      <c r="H21" s="996">
        <f>G21*InvestmentIncomeShade</f>
        <v>0</v>
      </c>
      <c r="I21" s="996">
        <f>IFERROR(IF(VLOOKUP(I$4&amp;"No",OICOtherIncomeDataTable[],MATCH($B21,OICOtherIncomeDataTable[#Headers],0),FALSE)&lt;&gt;"Taxable",VLOOKUP(I$4&amp;"No",OICOtherIncomeDataTable[],MATCH($C21,OICOtherIncomeDataTable[#Headers],0),FALSE),0),0)</f>
        <v>0</v>
      </c>
      <c r="J21" s="996">
        <f>I21*InvestmentIncomeShade</f>
        <v>0</v>
      </c>
      <c r="K21" s="996">
        <f>IFERROR(IF(VLOOKUP(K$4&amp;"No",OICOtherIncomeDataTable[],MATCH($B21,OICOtherIncomeDataTable[#Headers],0),FALSE)&lt;&gt;"Taxable",VLOOKUP(K$4&amp;"No",OICOtherIncomeDataTable[],MATCH($C21,OICOtherIncomeDataTable[#Headers],0),FALSE),0),0)</f>
        <v>0</v>
      </c>
      <c r="L21" s="996">
        <f>K21*InvestmentIncomeShade</f>
        <v>0</v>
      </c>
      <c r="M21" s="996">
        <f>IFERROR(IF(VLOOKUP(M$4&amp;"No",OICOtherIncomeDataTable[],MATCH($B21,OICOtherIncomeDataTable[#Headers],0),FALSE)&lt;&gt;"Taxable",VLOOKUP(M$4&amp;"No",OICOtherIncomeDataTable[],MATCH($C21,OICOtherIncomeDataTable[#Headers],0),FALSE),0),0)</f>
        <v>0</v>
      </c>
      <c r="N21" s="996">
        <f>M21*InvestmentIncomeShade</f>
        <v>0</v>
      </c>
      <c r="O21" s="996">
        <f>IFERROR(IF(VLOOKUP(O$4&amp;"No",OICOtherIncomeDataTable[],MATCH($B21,OICOtherIncomeDataTable[#Headers],0),FALSE)&lt;&gt;"Taxable",VLOOKUP(O$4&amp;"No",OICOtherIncomeDataTable[],MATCH($C21,OICOtherIncomeDataTable[#Headers],0),FALSE),0),0)</f>
        <v>0</v>
      </c>
      <c r="P21" s="996">
        <f>O21*InvestmentIncomeShade</f>
        <v>0</v>
      </c>
      <c r="Q21" s="25"/>
      <c r="R21" s="25"/>
      <c r="S21" s="312">
        <f t="shared" ref="S21:S26" si="10">V29</f>
        <v>18201</v>
      </c>
      <c r="T21" s="312">
        <f>S21-U21-V21</f>
        <v>18200.84</v>
      </c>
      <c r="U21" s="312" cm="1">
        <f t="array" ref="U21">SUMPRODUCT('Static Data'!$F$7:$F$11-'Static Data'!$F$6:$F$10,S21-'Static Data'!$E$6:$E$10,--(S21&gt;'Static Data'!$E$6:$E$10))</f>
        <v>0.16</v>
      </c>
      <c r="V21" s="312">
        <v>0</v>
      </c>
      <c r="W21" s="305"/>
      <c r="X21" s="305"/>
      <c r="Y21" s="305"/>
      <c r="Z21" s="312">
        <f>'Static Data'!I7</f>
        <v>26000</v>
      </c>
      <c r="AA21" s="312">
        <f>'Static Data'!J7</f>
        <v>32500</v>
      </c>
      <c r="AB21" s="312">
        <f>'Static Data'!K7</f>
        <v>0.1</v>
      </c>
      <c r="AC21" s="25"/>
    </row>
    <row r="22" spans="1:29" ht="13" x14ac:dyDescent="0.3">
      <c r="A22" s="25"/>
      <c r="B22" s="558" t="s">
        <v>749</v>
      </c>
      <c r="C22" s="558" t="s">
        <v>701</v>
      </c>
      <c r="D22" s="240" t="s">
        <v>748</v>
      </c>
      <c r="E22" s="996">
        <f>IFERROR(IF(VLOOKUP(E$4&amp;"No",OICOtherIncomeDataTable[],MATCH($B22,OICOtherIncomeDataTable[#Headers],0),FALSE)&lt;&gt;"Taxable",VLOOKUP(E$4&amp;"No",OICOtherIncomeDataTable[],MATCH($C22,OICOtherIncomeDataTable[#Headers],0),FALSE),0),0)</f>
        <v>0</v>
      </c>
      <c r="F22" s="996">
        <f>E22*InvestmentIncomeShade</f>
        <v>0</v>
      </c>
      <c r="G22" s="996">
        <f>IFERROR(IF(VLOOKUP(G$4&amp;"No",OICOtherIncomeDataTable[],MATCH($B22,OICOtherIncomeDataTable[#Headers],0),FALSE)&lt;&gt;"Taxable",VLOOKUP(G$4&amp;"No",OICOtherIncomeDataTable[],MATCH($C22,OICOtherIncomeDataTable[#Headers],0),FALSE),0),0)</f>
        <v>0</v>
      </c>
      <c r="H22" s="996">
        <f>G22*InvestmentIncomeShade</f>
        <v>0</v>
      </c>
      <c r="I22" s="996">
        <f>IFERROR(IF(VLOOKUP(I$4&amp;"No",OICOtherIncomeDataTable[],MATCH($B22,OICOtherIncomeDataTable[#Headers],0),FALSE)&lt;&gt;"Taxable",VLOOKUP(I$4&amp;"No",OICOtherIncomeDataTable[],MATCH($C22,OICOtherIncomeDataTable[#Headers],0),FALSE),0),0)</f>
        <v>0</v>
      </c>
      <c r="J22" s="996">
        <f>I22*InvestmentIncomeShade</f>
        <v>0</v>
      </c>
      <c r="K22" s="996">
        <f>IFERROR(IF(VLOOKUP(K$4&amp;"No",OICOtherIncomeDataTable[],MATCH($B22,OICOtherIncomeDataTable[#Headers],0),FALSE)&lt;&gt;"Taxable",VLOOKUP(K$4&amp;"No",OICOtherIncomeDataTable[],MATCH($C22,OICOtherIncomeDataTable[#Headers],0),FALSE),0),0)</f>
        <v>0</v>
      </c>
      <c r="L22" s="996">
        <f>K22*InvestmentIncomeShade</f>
        <v>0</v>
      </c>
      <c r="M22" s="996">
        <f>IFERROR(IF(VLOOKUP(M$4&amp;"No",OICOtherIncomeDataTable[],MATCH($B22,OICOtherIncomeDataTable[#Headers],0),FALSE)&lt;&gt;"Taxable",VLOOKUP(M$4&amp;"No",OICOtherIncomeDataTable[],MATCH($C22,OICOtherIncomeDataTable[#Headers],0),FALSE),0),0)</f>
        <v>0</v>
      </c>
      <c r="N22" s="996">
        <f>M22*InvestmentIncomeShade</f>
        <v>0</v>
      </c>
      <c r="O22" s="996">
        <f>IFERROR(IF(VLOOKUP(O$4&amp;"No",OICOtherIncomeDataTable[],MATCH($B22,OICOtherIncomeDataTable[#Headers],0),FALSE)&lt;&gt;"Taxable",VLOOKUP(O$4&amp;"No",OICOtherIncomeDataTable[],MATCH($C22,OICOtherIncomeDataTable[#Headers],0),FALSE),0),0)</f>
        <v>0</v>
      </c>
      <c r="P22" s="996">
        <f>O22*InvestmentIncomeShade</f>
        <v>0</v>
      </c>
      <c r="Q22" s="25"/>
      <c r="R22" s="25"/>
      <c r="S22" s="312">
        <f t="shared" si="10"/>
        <v>26000</v>
      </c>
      <c r="T22" s="312">
        <f t="shared" ref="T22:T26" si="11">S22-U22-V22</f>
        <v>24752</v>
      </c>
      <c r="U22" s="312" cm="1">
        <f t="array" ref="U22">SUMPRODUCT('Static Data'!$F$7:$F$11-'Static Data'!$F$6:$F$10,S22-'Static Data'!$E$6:$E$10,--(S22&gt;'Static Data'!$E$6:$E$10))</f>
        <v>1248</v>
      </c>
      <c r="V22" s="312">
        <v>0</v>
      </c>
      <c r="W22" s="305"/>
      <c r="X22" s="305"/>
      <c r="Y22" s="305"/>
      <c r="Z22" s="312">
        <f>'Static Data'!I8</f>
        <v>0</v>
      </c>
      <c r="AA22" s="314">
        <f>'Static Data'!J8</f>
        <v>999999999999</v>
      </c>
      <c r="AB22" s="312">
        <f>'Static Data'!K8</f>
        <v>0.02</v>
      </c>
      <c r="AC22" s="25"/>
    </row>
    <row r="23" spans="1:29" ht="13" x14ac:dyDescent="0.3">
      <c r="A23" s="25"/>
      <c r="B23" s="558"/>
      <c r="C23" s="558" t="s">
        <v>678</v>
      </c>
      <c r="D23" s="240" t="s">
        <v>182</v>
      </c>
      <c r="E23" s="996">
        <f>VLOOKUP(E$4&amp;"No",OICOtherIncomeDataTable[],MATCH($C23,OICOtherIncomeDataTable[#Headers],0),FALSE)</f>
        <v>0</v>
      </c>
      <c r="F23" s="996">
        <f>E23*SocialSecurityIncomeShade</f>
        <v>0</v>
      </c>
      <c r="G23" s="996">
        <f>VLOOKUP(G$4&amp;"No",OICOtherIncomeDataTable[],MATCH($C23,OICOtherIncomeDataTable[#Headers],0),FALSE)</f>
        <v>0</v>
      </c>
      <c r="H23" s="996">
        <f>G23*SocialSecurityIncomeShade</f>
        <v>0</v>
      </c>
      <c r="I23" s="996">
        <f>VLOOKUP(I$4&amp;"No",OICOtherIncomeDataTable[],MATCH($C23,OICOtherIncomeDataTable[#Headers],0),FALSE)</f>
        <v>0</v>
      </c>
      <c r="J23" s="996">
        <f>I23*SocialSecurityIncomeShade</f>
        <v>0</v>
      </c>
      <c r="K23" s="996">
        <f>VLOOKUP(K$4&amp;"No",OICOtherIncomeDataTable[],MATCH($C23,OICOtherIncomeDataTable[#Headers],0),FALSE)</f>
        <v>0</v>
      </c>
      <c r="L23" s="996">
        <f>K23*SocialSecurityIncomeShade</f>
        <v>0</v>
      </c>
      <c r="M23" s="996">
        <f>VLOOKUP(M$4&amp;"No",OICOtherIncomeDataTable[],MATCH($C23,OICOtherIncomeDataTable[#Headers],0),FALSE)</f>
        <v>0</v>
      </c>
      <c r="N23" s="996">
        <f>M23*SocialSecurityIncomeShade</f>
        <v>0</v>
      </c>
      <c r="O23" s="996">
        <f>VLOOKUP(O$4&amp;"No",OICOtherIncomeDataTable[],MATCH($C23,OICOtherIncomeDataTable[#Headers],0),FALSE)</f>
        <v>0</v>
      </c>
      <c r="P23" s="996">
        <f>O23*SocialSecurityIncomeShade</f>
        <v>0</v>
      </c>
      <c r="Q23" s="25"/>
      <c r="R23" s="25"/>
      <c r="S23" s="312">
        <f t="shared" si="10"/>
        <v>32500</v>
      </c>
      <c r="T23" s="312">
        <f t="shared" si="11"/>
        <v>29562</v>
      </c>
      <c r="U23" s="312" cm="1">
        <f t="array" ref="U23">SUMPRODUCT('Static Data'!$F$7:$F$11-'Static Data'!$F$6:$F$10,S23-'Static Data'!$E$6:$E$10,--(S23&gt;'Static Data'!$E$6:$E$10))</f>
        <v>2288</v>
      </c>
      <c r="V23" s="312">
        <f>(AA21-Z21)*AB21</f>
        <v>650</v>
      </c>
      <c r="W23" s="305"/>
      <c r="X23" s="305"/>
      <c r="Y23" s="305"/>
      <c r="Z23" s="305"/>
      <c r="AA23" s="305"/>
      <c r="AB23" s="305"/>
      <c r="AC23" s="25"/>
    </row>
    <row r="24" spans="1:29" ht="13" x14ac:dyDescent="0.3">
      <c r="A24" s="25"/>
      <c r="B24" s="558"/>
      <c r="C24" s="558" t="s">
        <v>831</v>
      </c>
      <c r="D24" s="240" t="s">
        <v>829</v>
      </c>
      <c r="E24" s="996">
        <f>VLOOKUP(E$4&amp;"No",OICOtherIncomeDataTable[],MATCH($C24,OICOtherIncomeDataTable[#Headers],0),FALSE)</f>
        <v>0</v>
      </c>
      <c r="F24" s="996">
        <f>E24*F33</f>
        <v>0</v>
      </c>
      <c r="G24" s="996">
        <f>VLOOKUP(G$4&amp;"No",OICOtherIncomeDataTable[],MATCH($C24,OICOtherIncomeDataTable[#Headers],0),FALSE)</f>
        <v>0</v>
      </c>
      <c r="H24" s="996">
        <f>G24*H33</f>
        <v>0</v>
      </c>
      <c r="I24" s="996">
        <f>VLOOKUP(I$4&amp;"No",OICOtherIncomeDataTable[],MATCH($C24,OICOtherIncomeDataTable[#Headers],0),FALSE)</f>
        <v>0</v>
      </c>
      <c r="J24" s="996">
        <f>I24*J33</f>
        <v>0</v>
      </c>
      <c r="K24" s="996">
        <f>VLOOKUP(K$4&amp;"No",OICOtherIncomeDataTable[],MATCH($C24,OICOtherIncomeDataTable[#Headers],0),FALSE)</f>
        <v>0</v>
      </c>
      <c r="L24" s="996">
        <f>K24*L33</f>
        <v>0</v>
      </c>
      <c r="M24" s="996">
        <f>VLOOKUP(M$4&amp;"No",OICOtherIncomeDataTable[],MATCH($C24,OICOtherIncomeDataTable[#Headers],0),FALSE)</f>
        <v>0</v>
      </c>
      <c r="N24" s="996">
        <f>M24*N33</f>
        <v>0</v>
      </c>
      <c r="O24" s="996">
        <f>VLOOKUP(O$4&amp;"No",OICOtherIncomeDataTable[],MATCH($C24,OICOtherIncomeDataTable[#Headers],0),FALSE)</f>
        <v>0</v>
      </c>
      <c r="P24" s="996">
        <f>O24*P33</f>
        <v>0</v>
      </c>
      <c r="Q24" s="25"/>
      <c r="R24" s="25"/>
      <c r="S24" s="312">
        <f t="shared" si="10"/>
        <v>45001</v>
      </c>
      <c r="T24" s="312">
        <f t="shared" si="11"/>
        <v>39812.68</v>
      </c>
      <c r="U24" s="312" cm="1">
        <f t="array" ref="U24">SUMPRODUCT('Static Data'!$F$7:$F$11-'Static Data'!$F$6:$F$10,S24-'Static Data'!$E$6:$E$10,--(S24&gt;'Static Data'!$E$6:$E$10))</f>
        <v>4288.3</v>
      </c>
      <c r="V24" s="312">
        <f>S24*$AB$22</f>
        <v>900.02</v>
      </c>
      <c r="W24" s="305"/>
      <c r="X24" s="305"/>
      <c r="Y24" s="305"/>
      <c r="Z24" s="305"/>
      <c r="AA24" s="305"/>
      <c r="AB24" s="305"/>
      <c r="AC24" s="25"/>
    </row>
    <row r="25" spans="1:29" ht="13" x14ac:dyDescent="0.3">
      <c r="A25" s="25"/>
      <c r="B25" s="558"/>
      <c r="C25" s="558" t="s">
        <v>832</v>
      </c>
      <c r="D25" s="240" t="s">
        <v>830</v>
      </c>
      <c r="E25" s="996">
        <f>VLOOKUP(E$4&amp;"No",OICOtherIncomeDataTable[],MATCH($C25,OICOtherIncomeDataTable[#Headers],0),FALSE)</f>
        <v>0</v>
      </c>
      <c r="F25" s="996">
        <f>E25*IF(SCAApp1Marital="Not married",F33,F32)</f>
        <v>0</v>
      </c>
      <c r="G25" s="996">
        <f>VLOOKUP(G$4&amp;"No",OICOtherIncomeDataTable[],MATCH($C25,OICOtherIncomeDataTable[#Headers],0),FALSE)</f>
        <v>0</v>
      </c>
      <c r="H25" s="996">
        <f>G25*IF(SCAApp2Marital="Not married",H33,H32)</f>
        <v>0</v>
      </c>
      <c r="I25" s="996">
        <f>VLOOKUP(I$4&amp;"No",OICOtherIncomeDataTable[],MATCH($C25,OICOtherIncomeDataTable[#Headers],0),FALSE)</f>
        <v>0</v>
      </c>
      <c r="J25" s="996">
        <f>I25*IF(SCAApp3Marital="Not married",J33,J32)</f>
        <v>0</v>
      </c>
      <c r="K25" s="996">
        <f>VLOOKUP(K$4&amp;"No",OICOtherIncomeDataTable[],MATCH($C25,OICOtherIncomeDataTable[#Headers],0),FALSE)</f>
        <v>0</v>
      </c>
      <c r="L25" s="996">
        <f>K25*IF(SCAApp4Marital="Not married",L33,L32)</f>
        <v>0</v>
      </c>
      <c r="M25" s="996">
        <f>VLOOKUP(M$4&amp;"No",OICOtherIncomeDataTable[],MATCH($C25,OICOtherIncomeDataTable[#Headers],0),FALSE)</f>
        <v>0</v>
      </c>
      <c r="N25" s="996">
        <f>M25*IF(SCAApp5Marital="Not married",N33,N32)</f>
        <v>0</v>
      </c>
      <c r="O25" s="996">
        <f>VLOOKUP(O$4&amp;"No",OICOtherIncomeDataTable[],MATCH($C25,OICOtherIncomeDataTable[#Headers],0),FALSE)</f>
        <v>0</v>
      </c>
      <c r="P25" s="996">
        <f>O25*IF(SCAApp6Marital="Not married",P33,P32)</f>
        <v>0</v>
      </c>
      <c r="Q25" s="25"/>
      <c r="R25" s="25"/>
      <c r="S25" s="312">
        <f t="shared" si="10"/>
        <v>135001</v>
      </c>
      <c r="T25" s="312">
        <f t="shared" si="11"/>
        <v>101012.61</v>
      </c>
      <c r="U25" s="312" cm="1">
        <f t="array" ref="U25">SUMPRODUCT('Static Data'!$F$7:$F$11-'Static Data'!$F$6:$F$10,S25-'Static Data'!$E$6:$E$10,--(S25&gt;'Static Data'!$E$6:$E$10))</f>
        <v>31288.37</v>
      </c>
      <c r="V25" s="312">
        <f>S25*$AB$22</f>
        <v>2700.02</v>
      </c>
      <c r="W25" s="305"/>
      <c r="X25" s="305"/>
      <c r="Y25" s="305"/>
      <c r="Z25" s="305"/>
      <c r="AA25" s="305"/>
      <c r="AB25" s="305"/>
      <c r="AC25" s="25"/>
    </row>
    <row r="26" spans="1:29" ht="13" x14ac:dyDescent="0.3">
      <c r="A26" s="25"/>
      <c r="B26" s="558"/>
      <c r="C26" s="558" t="s">
        <v>680</v>
      </c>
      <c r="D26" s="240" t="s">
        <v>454</v>
      </c>
      <c r="E26" s="996">
        <f>VLOOKUP(E$4&amp;"No",OICOtherIncomeDataTable[],MATCH($C26,OICOtherIncomeDataTable[#Headers],0),FALSE)</f>
        <v>0</v>
      </c>
      <c r="F26" s="996">
        <f>E26*ChildSupportShade</f>
        <v>0</v>
      </c>
      <c r="G26" s="996">
        <f>VLOOKUP(G$4&amp;"No",OICOtherIncomeDataTable[],MATCH($C26,OICOtherIncomeDataTable[#Headers],0),FALSE)</f>
        <v>0</v>
      </c>
      <c r="H26" s="996">
        <f>G26*ChildSupportShade</f>
        <v>0</v>
      </c>
      <c r="I26" s="996">
        <f>VLOOKUP(I$4&amp;"No",OICOtherIncomeDataTable[],MATCH($C26,OICOtherIncomeDataTable[#Headers],0),FALSE)</f>
        <v>0</v>
      </c>
      <c r="J26" s="996">
        <f>I26*ChildSupportShade</f>
        <v>0</v>
      </c>
      <c r="K26" s="996">
        <f>VLOOKUP(K$4&amp;"No",OICOtherIncomeDataTable[],MATCH($C26,OICOtherIncomeDataTable[#Headers],0),FALSE)</f>
        <v>0</v>
      </c>
      <c r="L26" s="996">
        <f>K26*ChildSupportShade</f>
        <v>0</v>
      </c>
      <c r="M26" s="996">
        <f>VLOOKUP(M$4&amp;"No",OICOtherIncomeDataTable[],MATCH($C26,OICOtherIncomeDataTable[#Headers],0),FALSE)</f>
        <v>0</v>
      </c>
      <c r="N26" s="996">
        <f>M26*ChildSupportShade</f>
        <v>0</v>
      </c>
      <c r="O26" s="996">
        <f>VLOOKUP(O$4&amp;"No",OICOtherIncomeDataTable[],MATCH($C26,OICOtherIncomeDataTable[#Headers],0),FALSE)</f>
        <v>0</v>
      </c>
      <c r="P26" s="996">
        <f>O26*ChildSupportShade</f>
        <v>0</v>
      </c>
      <c r="Q26" s="25"/>
      <c r="R26" s="25"/>
      <c r="S26" s="312">
        <f t="shared" si="10"/>
        <v>190001</v>
      </c>
      <c r="T26" s="312">
        <f t="shared" si="11"/>
        <v>134562.53</v>
      </c>
      <c r="U26" s="312" cm="1">
        <f t="array" ref="U26">SUMPRODUCT('Static Data'!$F$7:$F$11-'Static Data'!$F$6:$F$10,S26-'Static Data'!$E$6:$E$10,--(S26&gt;'Static Data'!$E$6:$E$10))</f>
        <v>51638.450000000004</v>
      </c>
      <c r="V26" s="312">
        <f>S26*$AB$22</f>
        <v>3800.02</v>
      </c>
      <c r="W26" s="305"/>
      <c r="X26" s="305"/>
      <c r="Y26" s="305"/>
      <c r="Z26" s="305"/>
      <c r="AA26" s="305"/>
      <c r="AB26" s="305"/>
      <c r="AC26" s="25"/>
    </row>
    <row r="27" spans="1:29" ht="12.75" customHeight="1" x14ac:dyDescent="0.3">
      <c r="A27" s="25"/>
      <c r="B27" s="558"/>
      <c r="C27" s="558" t="s">
        <v>679</v>
      </c>
      <c r="D27" s="240" t="s">
        <v>451</v>
      </c>
      <c r="E27" s="996">
        <f>VLOOKUP(E$4&amp;"No",OICOtherIncomeDataTable[],MATCH($C27,OICOtherIncomeDataTable[#Headers],0),FALSE)</f>
        <v>0</v>
      </c>
      <c r="F27" s="996">
        <f>E27*ForeignPensionShade</f>
        <v>0</v>
      </c>
      <c r="G27" s="996">
        <f>VLOOKUP(G$4&amp;"No",OICOtherIncomeDataTable[],MATCH($C27,OICOtherIncomeDataTable[#Headers],0),FALSE)</f>
        <v>0</v>
      </c>
      <c r="H27" s="996">
        <f>G27*ForeignPensionShade</f>
        <v>0</v>
      </c>
      <c r="I27" s="996">
        <f>VLOOKUP(I$4&amp;"No",OICOtherIncomeDataTable[],MATCH($C27,OICOtherIncomeDataTable[#Headers],0),FALSE)</f>
        <v>0</v>
      </c>
      <c r="J27" s="996">
        <f>I27*ForeignPensionShade</f>
        <v>0</v>
      </c>
      <c r="K27" s="996">
        <f>VLOOKUP(K$4&amp;"No",OICOtherIncomeDataTable[],MATCH($C27,OICOtherIncomeDataTable[#Headers],0),FALSE)</f>
        <v>0</v>
      </c>
      <c r="L27" s="996">
        <f>K27*ForeignPensionShade</f>
        <v>0</v>
      </c>
      <c r="M27" s="996">
        <f>VLOOKUP(M$4&amp;"No",OICOtherIncomeDataTable[],MATCH($C27,OICOtherIncomeDataTable[#Headers],0),FALSE)</f>
        <v>0</v>
      </c>
      <c r="N27" s="996">
        <f>M27*ForeignPensionShade</f>
        <v>0</v>
      </c>
      <c r="O27" s="996">
        <f>VLOOKUP(O$4&amp;"No",OICOtherIncomeDataTable[],MATCH($C27,OICOtherIncomeDataTable[#Headers],0),FALSE)</f>
        <v>0</v>
      </c>
      <c r="P27" s="996">
        <f>O27*ForeignPensionShade</f>
        <v>0</v>
      </c>
      <c r="Q27" s="25"/>
      <c r="R27" s="25"/>
      <c r="S27" s="305"/>
      <c r="T27" s="305"/>
      <c r="U27" s="305"/>
      <c r="V27" s="305"/>
      <c r="W27" s="305"/>
      <c r="X27" s="305"/>
      <c r="Y27" s="305"/>
      <c r="Z27" s="305"/>
      <c r="AA27" s="305"/>
      <c r="AB27" s="305"/>
      <c r="AC27" s="25"/>
    </row>
    <row r="28" spans="1:29" ht="13" x14ac:dyDescent="0.3">
      <c r="A28" s="25"/>
      <c r="B28" s="558" t="s">
        <v>844</v>
      </c>
      <c r="C28" s="558" t="s">
        <v>681</v>
      </c>
      <c r="D28" s="240" t="s">
        <v>455</v>
      </c>
      <c r="E28" s="996">
        <f>IFERROR(IF(VLOOKUP(E$4&amp;"No",OICOtherIncomeDataTable[],MATCH($B28,OICOtherIncomeDataTable[#Headers],0),FALSE)&lt;&gt;"Taxable",VLOOKUP(E$4&amp;"No",OICOtherIncomeDataTable[],MATCH($C28,OICOtherIncomeDataTable[#Headers],0),FALSE),0),0)</f>
        <v>0</v>
      </c>
      <c r="F28" s="996">
        <f>E28*StipendIncomeShade</f>
        <v>0</v>
      </c>
      <c r="G28" s="996">
        <f>IFERROR(IF(VLOOKUP(G$4&amp;"No",OICOtherIncomeDataTable[],MATCH($B28,OICOtherIncomeDataTable[#Headers],0),FALSE)&lt;&gt;"Taxable",VLOOKUP(G$4&amp;"No",OICOtherIncomeDataTable[],MATCH($C28,OICOtherIncomeDataTable[#Headers],0),FALSE),0),0)</f>
        <v>0</v>
      </c>
      <c r="H28" s="996">
        <f>G28*StipendIncomeShade</f>
        <v>0</v>
      </c>
      <c r="I28" s="996">
        <f>IFERROR(IF(VLOOKUP(I$4&amp;"No",OICOtherIncomeDataTable[],MATCH($B28,OICOtherIncomeDataTable[#Headers],0),FALSE)&lt;&gt;"Taxable",VLOOKUP(I$4&amp;"No",OICOtherIncomeDataTable[],MATCH($C28,OICOtherIncomeDataTable[#Headers],0),FALSE),0),0)</f>
        <v>0</v>
      </c>
      <c r="J28" s="996">
        <f>I28*StipendIncomeShade</f>
        <v>0</v>
      </c>
      <c r="K28" s="996">
        <f>IFERROR(IF(VLOOKUP(K$4&amp;"No",OICOtherIncomeDataTable[],MATCH($B28,OICOtherIncomeDataTable[#Headers],0),FALSE)&lt;&gt;"Taxable",VLOOKUP(K$4&amp;"No",OICOtherIncomeDataTable[],MATCH($C28,OICOtherIncomeDataTable[#Headers],0),FALSE),0),0)</f>
        <v>0</v>
      </c>
      <c r="L28" s="996">
        <f>K28*StipendIncomeShade</f>
        <v>0</v>
      </c>
      <c r="M28" s="996">
        <f>IFERROR(IF(VLOOKUP(M$4&amp;"No",OICOtherIncomeDataTable[],MATCH($B28,OICOtherIncomeDataTable[#Headers],0),FALSE)&lt;&gt;"Taxable",VLOOKUP(M$4&amp;"No",OICOtherIncomeDataTable[],MATCH($C28,OICOtherIncomeDataTable[#Headers],0),FALSE),0),0)</f>
        <v>0</v>
      </c>
      <c r="N28" s="996">
        <f>M28*StipendIncomeShade</f>
        <v>0</v>
      </c>
      <c r="O28" s="996">
        <f>IFERROR(IF(VLOOKUP(O$4&amp;"No",OICOtherIncomeDataTable[],MATCH($B28,OICOtherIncomeDataTable[#Headers],0),FALSE)&lt;&gt;"Taxable",VLOOKUP(O$4&amp;"No",OICOtherIncomeDataTable[],MATCH($C28,OICOtherIncomeDataTable[#Headers],0),FALSE),0),0)</f>
        <v>0</v>
      </c>
      <c r="P28" s="996">
        <f>O28*StipendIncomeShade</f>
        <v>0</v>
      </c>
      <c r="Q28" s="25"/>
      <c r="R28" s="25"/>
      <c r="S28" s="1455" t="s">
        <v>196</v>
      </c>
      <c r="T28" s="1455"/>
      <c r="U28" s="1455"/>
      <c r="V28" s="1455"/>
      <c r="W28" s="305"/>
      <c r="X28" s="305"/>
      <c r="Y28" s="305"/>
      <c r="Z28" s="305"/>
      <c r="AA28" s="305"/>
      <c r="AB28" s="305"/>
      <c r="AC28" s="25"/>
    </row>
    <row r="29" spans="1:29" ht="13" x14ac:dyDescent="0.3">
      <c r="A29" s="25"/>
      <c r="B29" s="558"/>
      <c r="C29" s="558"/>
      <c r="D29" s="240" t="s">
        <v>1004</v>
      </c>
      <c r="E29" s="996">
        <f>SUM(SEBBusinessDataTable[SEBAdjustedUntaxedIncomeApp1])</f>
        <v>0</v>
      </c>
      <c r="F29" s="996">
        <f t="shared" ref="F29" si="12">E29*SelfEmployedIncomeShade</f>
        <v>0</v>
      </c>
      <c r="G29" s="996">
        <f>SUM(SEBBusinessDataTable[SEBAdjustedUntaxedIncomeApp2])</f>
        <v>0</v>
      </c>
      <c r="H29" s="996">
        <f t="shared" ref="H29" si="13">G29*SelfEmployedIncomeShade</f>
        <v>0</v>
      </c>
      <c r="I29" s="996">
        <f>SUM(SEBBusinessDataTable[SEBAdjustedUntaxedIncomeApp3])</f>
        <v>0</v>
      </c>
      <c r="J29" s="996">
        <f t="shared" ref="J29" si="14">I29*SelfEmployedIncomeShade</f>
        <v>0</v>
      </c>
      <c r="K29" s="996">
        <f>SUM(SEBBusinessDataTable[SEBAdjustedUntaxedIncomeApp4])</f>
        <v>0</v>
      </c>
      <c r="L29" s="996">
        <f t="shared" ref="L29" si="15">K29*SelfEmployedIncomeShade</f>
        <v>0</v>
      </c>
      <c r="M29" s="996">
        <f>SUM(SEBBusinessDataTable[SEBAdjustedUntaxedIncomeApp5])</f>
        <v>0</v>
      </c>
      <c r="N29" s="996">
        <f t="shared" ref="N29" si="16">M29*SelfEmployedIncomeShade</f>
        <v>0</v>
      </c>
      <c r="O29" s="996">
        <f>SUM(SEBBusinessDataTable[SEBAdjustedUntaxedIncomeApp6])</f>
        <v>0</v>
      </c>
      <c r="P29" s="996">
        <f t="shared" ref="P29" si="17">O29*SelfEmployedIncomeShade</f>
        <v>0</v>
      </c>
      <c r="Q29" s="25"/>
      <c r="R29" s="25"/>
      <c r="S29" s="312">
        <v>1</v>
      </c>
      <c r="T29" s="312">
        <f>Z8</f>
        <v>18201</v>
      </c>
      <c r="U29" s="312">
        <f t="shared" ref="U29:U34" si="18">RANK(T29,$T$29:$T$34,1)</f>
        <v>1</v>
      </c>
      <c r="V29" s="312">
        <f t="shared" ref="V29:V34" si="19">INDEX($S$29:$T$34,MATCH(S29,$U$29:$U$34,0),2)</f>
        <v>18201</v>
      </c>
      <c r="W29" s="305"/>
      <c r="X29" s="305"/>
      <c r="Y29" s="305"/>
      <c r="Z29" s="305"/>
      <c r="AA29" s="305"/>
      <c r="AB29" s="305"/>
      <c r="AC29" s="25"/>
    </row>
    <row r="30" spans="1:29" ht="13" x14ac:dyDescent="0.3">
      <c r="A30" s="25"/>
      <c r="B30" s="558"/>
      <c r="C30" s="558"/>
      <c r="D30" s="240" t="s">
        <v>2003</v>
      </c>
      <c r="E30" s="238">
        <f>-SUM(SEBBusinessDataTable[SEBAdjustedBusinessLossApp1])</f>
        <v>0</v>
      </c>
      <c r="F30" s="238">
        <f t="shared" ref="F30" si="20">E30*SelfEmployedIncomeShade</f>
        <v>0</v>
      </c>
      <c r="G30" s="238">
        <f>-SUM(SEBBusinessDataTable[SEBAdjustedBusinessLossApp2])</f>
        <v>0</v>
      </c>
      <c r="H30" s="238">
        <f t="shared" ref="H30" si="21">G30*SelfEmployedIncomeShade</f>
        <v>0</v>
      </c>
      <c r="I30" s="238">
        <f>-SUM(SEBBusinessDataTable[SEBAdjustedBusinessLossApp3])</f>
        <v>0</v>
      </c>
      <c r="J30" s="238">
        <f t="shared" ref="J30" si="22">I30*SelfEmployedIncomeShade</f>
        <v>0</v>
      </c>
      <c r="K30" s="238">
        <f>-SUM(SEBBusinessDataTable[SEBAdjustedBusinessLossApp4])</f>
        <v>0</v>
      </c>
      <c r="L30" s="238">
        <f t="shared" ref="L30" si="23">K30*SelfEmployedIncomeShade</f>
        <v>0</v>
      </c>
      <c r="M30" s="238">
        <f>-SUM(SEBBusinessDataTable[SEBAdjustedBusinessLossApp5])</f>
        <v>0</v>
      </c>
      <c r="N30" s="238">
        <f t="shared" ref="N30" si="24">M30*SelfEmployedIncomeShade</f>
        <v>0</v>
      </c>
      <c r="O30" s="238">
        <f>-SUM(SEBBusinessDataTable[SEBAdjustedBusinessLossApp6])</f>
        <v>0</v>
      </c>
      <c r="P30" s="238">
        <f t="shared" ref="P30" si="25">O30*SelfEmployedIncomeShade</f>
        <v>0</v>
      </c>
      <c r="Q30" s="25"/>
      <c r="R30" s="25"/>
      <c r="S30" s="312">
        <v>2</v>
      </c>
      <c r="T30" s="312">
        <f>Z9</f>
        <v>45001</v>
      </c>
      <c r="U30" s="312">
        <f t="shared" si="18"/>
        <v>4</v>
      </c>
      <c r="V30" s="312">
        <f t="shared" si="19"/>
        <v>26000</v>
      </c>
      <c r="W30" s="305"/>
      <c r="X30" s="305"/>
      <c r="Y30" s="305"/>
      <c r="Z30" s="305"/>
      <c r="AA30" s="305"/>
      <c r="AB30" s="305"/>
      <c r="AC30" s="25"/>
    </row>
    <row r="31" spans="1:29" ht="12.5" x14ac:dyDescent="0.25">
      <c r="A31" s="25"/>
      <c r="B31" s="558"/>
      <c r="C31" s="558"/>
      <c r="D31" s="556" t="s">
        <v>842</v>
      </c>
      <c r="E31" s="997">
        <f>SCAApp1Dependants</f>
        <v>0</v>
      </c>
      <c r="F31" s="998"/>
      <c r="G31" s="997">
        <f>SCAApp2Dependants</f>
        <v>0</v>
      </c>
      <c r="H31" s="998"/>
      <c r="I31" s="997">
        <f>SCAApp3Dependants</f>
        <v>0</v>
      </c>
      <c r="J31" s="998"/>
      <c r="K31" s="997">
        <f>SCAApp4Dependants</f>
        <v>0</v>
      </c>
      <c r="L31" s="998"/>
      <c r="M31" s="997">
        <f>SCAApp5Dependants</f>
        <v>0</v>
      </c>
      <c r="N31" s="998"/>
      <c r="O31" s="997">
        <f>SCAApp6Dependants</f>
        <v>0</v>
      </c>
      <c r="P31" s="998"/>
      <c r="Q31" s="25"/>
      <c r="R31" s="25"/>
      <c r="S31" s="312">
        <v>3</v>
      </c>
      <c r="T31" s="312">
        <f>Z10</f>
        <v>135001</v>
      </c>
      <c r="U31" s="312">
        <f t="shared" si="18"/>
        <v>5</v>
      </c>
      <c r="V31" s="312">
        <f t="shared" si="19"/>
        <v>32500</v>
      </c>
      <c r="W31" s="305"/>
      <c r="X31" s="305"/>
      <c r="Y31" s="305"/>
      <c r="Z31" s="305"/>
      <c r="AA31" s="305"/>
      <c r="AB31" s="305"/>
      <c r="AC31" s="25"/>
    </row>
    <row r="32" spans="1:29" ht="12.5" x14ac:dyDescent="0.25">
      <c r="A32" s="25"/>
      <c r="B32" s="66"/>
      <c r="C32" s="558" t="s">
        <v>840</v>
      </c>
      <c r="D32" s="557" t="s">
        <v>827</v>
      </c>
      <c r="E32" s="997">
        <f>VLOOKUP(E$4&amp;"No",OICOtherIncomeDataTable[],MATCH($C32,OICOtherIncomeDataTable[#Headers],0),FALSE)</f>
        <v>0</v>
      </c>
      <c r="F32" s="997">
        <f>IFERROR(E32/E31,0)</f>
        <v>0</v>
      </c>
      <c r="G32" s="997">
        <f>VLOOKUP(G$4&amp;"No",OICOtherIncomeDataTable[],MATCH($C32,OICOtherIncomeDataTable[#Headers],0),FALSE)</f>
        <v>0</v>
      </c>
      <c r="H32" s="997">
        <f>IFERROR(G32/G31,0)</f>
        <v>0</v>
      </c>
      <c r="I32" s="997">
        <f>VLOOKUP(I$4&amp;"No",OICOtherIncomeDataTable[],MATCH($C32,OICOtherIncomeDataTable[#Headers],0),FALSE)</f>
        <v>0</v>
      </c>
      <c r="J32" s="997">
        <f>IFERROR(I32/I31,0)</f>
        <v>0</v>
      </c>
      <c r="K32" s="997">
        <f>VLOOKUP(K$4&amp;"No",OICOtherIncomeDataTable[],MATCH($C32,OICOtherIncomeDataTable[#Headers],0),FALSE)</f>
        <v>0</v>
      </c>
      <c r="L32" s="997">
        <f>IFERROR(K32/K31,0)</f>
        <v>0</v>
      </c>
      <c r="M32" s="997">
        <f>VLOOKUP(M$4&amp;"No",OICOtherIncomeDataTable[],MATCH($C32,OICOtherIncomeDataTable[#Headers],0),FALSE)</f>
        <v>0</v>
      </c>
      <c r="N32" s="997">
        <f>IFERROR(M32/M31,0)</f>
        <v>0</v>
      </c>
      <c r="O32" s="997">
        <f>VLOOKUP(O$4&amp;"No",OICOtherIncomeDataTable[],MATCH($C32,OICOtherIncomeDataTable[#Headers],0),FALSE)</f>
        <v>0</v>
      </c>
      <c r="P32" s="997">
        <f>IFERROR(O32/O31,0)</f>
        <v>0</v>
      </c>
      <c r="Q32" s="25"/>
      <c r="R32" s="25"/>
      <c r="S32" s="312">
        <v>4</v>
      </c>
      <c r="T32" s="312">
        <f>Z11</f>
        <v>190001</v>
      </c>
      <c r="U32" s="312">
        <f t="shared" si="18"/>
        <v>6</v>
      </c>
      <c r="V32" s="312">
        <f t="shared" si="19"/>
        <v>45001</v>
      </c>
      <c r="W32" s="305"/>
      <c r="X32" s="305"/>
      <c r="Y32" s="305"/>
      <c r="Z32" s="305"/>
      <c r="AA32" s="305"/>
      <c r="AB32" s="305"/>
      <c r="AC32" s="25"/>
    </row>
    <row r="33" spans="1:29" ht="12.5" x14ac:dyDescent="0.25">
      <c r="A33" s="25"/>
      <c r="B33" s="66"/>
      <c r="C33" s="558" t="s">
        <v>841</v>
      </c>
      <c r="D33" s="557" t="s">
        <v>828</v>
      </c>
      <c r="E33" s="997">
        <f>VLOOKUP(E$4&amp;"No",OICOtherIncomeDataTable[],MATCH($C33,OICOtherIncomeDataTable[#Headers],0),FALSE)</f>
        <v>0</v>
      </c>
      <c r="F33" s="997">
        <f>IFERROR(E33/E31,0)</f>
        <v>0</v>
      </c>
      <c r="G33" s="997">
        <f>VLOOKUP(G$4&amp;"No",OICOtherIncomeDataTable[],MATCH($C33,OICOtherIncomeDataTable[#Headers],0),FALSE)</f>
        <v>0</v>
      </c>
      <c r="H33" s="997">
        <f>IFERROR(G33/G31,0)</f>
        <v>0</v>
      </c>
      <c r="I33" s="997">
        <f>VLOOKUP(I$4&amp;"No",OICOtherIncomeDataTable[],MATCH($C33,OICOtherIncomeDataTable[#Headers],0),FALSE)</f>
        <v>0</v>
      </c>
      <c r="J33" s="997">
        <f>IFERROR(I33/I31,0)</f>
        <v>0</v>
      </c>
      <c r="K33" s="997">
        <f>VLOOKUP(K$4&amp;"No",OICOtherIncomeDataTable[],MATCH($C33,OICOtherIncomeDataTable[#Headers],0),FALSE)</f>
        <v>0</v>
      </c>
      <c r="L33" s="997">
        <f>IFERROR(K33/K31,0)</f>
        <v>0</v>
      </c>
      <c r="M33" s="997">
        <f>VLOOKUP(M$4&amp;"No",OICOtherIncomeDataTable[],MATCH($C33,OICOtherIncomeDataTable[#Headers],0),FALSE)</f>
        <v>0</v>
      </c>
      <c r="N33" s="997">
        <f>IFERROR(M33/M31,0)</f>
        <v>0</v>
      </c>
      <c r="O33" s="997">
        <f>VLOOKUP(O$4&amp;"No",OICOtherIncomeDataTable[],MATCH($C33,OICOtherIncomeDataTable[#Headers],0),FALSE)</f>
        <v>0</v>
      </c>
      <c r="P33" s="997">
        <f>IFERROR(O33/O31,0)</f>
        <v>0</v>
      </c>
      <c r="Q33" s="25"/>
      <c r="R33" s="25"/>
      <c r="S33" s="312">
        <v>5</v>
      </c>
      <c r="T33" s="312">
        <f>AA20</f>
        <v>26000</v>
      </c>
      <c r="U33" s="312">
        <f t="shared" si="18"/>
        <v>2</v>
      </c>
      <c r="V33" s="312">
        <f t="shared" si="19"/>
        <v>135001</v>
      </c>
      <c r="W33" s="25"/>
      <c r="X33" s="25"/>
      <c r="Y33" s="25"/>
      <c r="Z33" s="25"/>
      <c r="AA33" s="25"/>
      <c r="AB33" s="25"/>
      <c r="AC33" s="25"/>
    </row>
    <row r="34" spans="1:29" ht="13" x14ac:dyDescent="0.25">
      <c r="A34" s="25"/>
      <c r="B34" s="66"/>
      <c r="C34" s="66"/>
      <c r="D34" s="237" t="s">
        <v>763</v>
      </c>
      <c r="E34" s="999"/>
      <c r="F34" s="1000">
        <f>SUM(F13:F28)</f>
        <v>300000</v>
      </c>
      <c r="G34" s="999"/>
      <c r="H34" s="1000">
        <f>SUM(H13:H28)</f>
        <v>0</v>
      </c>
      <c r="I34" s="999"/>
      <c r="J34" s="1000">
        <f>SUM(J13:J28)</f>
        <v>0</v>
      </c>
      <c r="K34" s="999"/>
      <c r="L34" s="1000">
        <f>SUM(L13:L28)</f>
        <v>0</v>
      </c>
      <c r="M34" s="999"/>
      <c r="N34" s="1000">
        <f>SUM(N13:N28)</f>
        <v>0</v>
      </c>
      <c r="O34" s="999"/>
      <c r="P34" s="1000">
        <f>SUM(P13:P28)</f>
        <v>0</v>
      </c>
      <c r="Q34" s="25"/>
      <c r="R34" s="25"/>
      <c r="S34" s="312">
        <v>6</v>
      </c>
      <c r="T34" s="312">
        <f>AA21</f>
        <v>32500</v>
      </c>
      <c r="U34" s="312">
        <f t="shared" si="18"/>
        <v>3</v>
      </c>
      <c r="V34" s="312">
        <f t="shared" si="19"/>
        <v>190001</v>
      </c>
      <c r="W34" s="25"/>
      <c r="X34" s="25"/>
      <c r="Y34" s="25"/>
      <c r="Z34" s="25"/>
      <c r="AA34" s="25"/>
      <c r="AB34" s="25"/>
      <c r="AC34" s="25"/>
    </row>
    <row r="35" spans="1:29" ht="13" x14ac:dyDescent="0.25">
      <c r="A35" s="25"/>
      <c r="B35" s="66"/>
      <c r="C35" s="66"/>
      <c r="D35" s="237" t="s">
        <v>756</v>
      </c>
      <c r="E35" s="1001"/>
      <c r="F35" s="1000">
        <f>SUM(F13:F20)</f>
        <v>300000</v>
      </c>
      <c r="G35" s="1001"/>
      <c r="H35" s="1000">
        <f>SUM(H13:H20)</f>
        <v>0</v>
      </c>
      <c r="I35" s="1001"/>
      <c r="J35" s="1000">
        <f>SUM(J13:J20)</f>
        <v>0</v>
      </c>
      <c r="K35" s="1001"/>
      <c r="L35" s="1000">
        <f>SUM(L13:L20)</f>
        <v>0</v>
      </c>
      <c r="M35" s="1001"/>
      <c r="N35" s="1000">
        <f>SUM(N13:N20)</f>
        <v>0</v>
      </c>
      <c r="O35" s="1001"/>
      <c r="P35" s="1000">
        <f>SUM(P13:P20)</f>
        <v>0</v>
      </c>
      <c r="Q35" s="25"/>
      <c r="R35" s="25"/>
      <c r="S35" s="25"/>
      <c r="T35" s="25"/>
      <c r="U35" s="25"/>
      <c r="V35" s="25"/>
      <c r="W35" s="25"/>
      <c r="X35" s="25"/>
      <c r="Y35" s="25"/>
      <c r="Z35" s="25"/>
      <c r="AA35" s="25"/>
      <c r="AB35" s="25"/>
      <c r="AC35" s="25"/>
    </row>
    <row r="36" spans="1:29" ht="12.5" x14ac:dyDescent="0.25">
      <c r="A36" s="25"/>
      <c r="B36" s="66"/>
      <c r="C36" s="66"/>
      <c r="D36" s="237" t="s">
        <v>672</v>
      </c>
      <c r="E36" s="996">
        <f>RITDApp1DeductionTotal</f>
        <v>0</v>
      </c>
      <c r="F36" s="1002"/>
      <c r="G36" s="996">
        <f>RITDApp2DeductionTotal</f>
        <v>0</v>
      </c>
      <c r="H36" s="1002"/>
      <c r="I36" s="996">
        <f>RITDApp3DeductionTotal</f>
        <v>0</v>
      </c>
      <c r="J36" s="1002"/>
      <c r="K36" s="996">
        <f>RITDApp4DeductionTotal</f>
        <v>0</v>
      </c>
      <c r="L36" s="1002"/>
      <c r="M36" s="996">
        <f>RITDApp5DeductionTotal</f>
        <v>0</v>
      </c>
      <c r="N36" s="1002"/>
      <c r="O36" s="996">
        <f>RITDApp6DeductionTotal</f>
        <v>0</v>
      </c>
      <c r="P36" s="1002"/>
      <c r="Q36" s="25"/>
      <c r="R36" s="25"/>
      <c r="S36" s="25"/>
      <c r="T36" s="25"/>
      <c r="U36" s="25"/>
      <c r="V36" s="25"/>
      <c r="W36" s="25"/>
      <c r="X36" s="25"/>
      <c r="Y36" s="25"/>
      <c r="Z36" s="25"/>
      <c r="AA36" s="25"/>
      <c r="AB36" s="25"/>
      <c r="AC36" s="25"/>
    </row>
    <row r="37" spans="1:29" ht="13" x14ac:dyDescent="0.3">
      <c r="A37" s="25"/>
      <c r="B37" s="66"/>
      <c r="C37" s="66"/>
      <c r="D37" s="708" t="s">
        <v>673</v>
      </c>
      <c r="E37" s="996">
        <f>RICApp1ExpenseTotal</f>
        <v>0</v>
      </c>
      <c r="F37" s="1002"/>
      <c r="G37" s="996">
        <f>RICApp2ExpenseTotal</f>
        <v>0</v>
      </c>
      <c r="H37" s="1002"/>
      <c r="I37" s="996">
        <f>RICApp3ExpenseTotal</f>
        <v>0</v>
      </c>
      <c r="J37" s="1002"/>
      <c r="K37" s="996">
        <f>RICApp4ExpenseTotal</f>
        <v>0</v>
      </c>
      <c r="L37" s="1002"/>
      <c r="M37" s="996">
        <f>RICApp5ExpenseTotal</f>
        <v>0</v>
      </c>
      <c r="N37" s="1002"/>
      <c r="O37" s="996">
        <f>RICApp6ExpenseTotal</f>
        <v>0</v>
      </c>
      <c r="P37" s="1002"/>
      <c r="Q37" s="25"/>
      <c r="R37" s="25"/>
      <c r="S37" s="25"/>
      <c r="T37" s="25"/>
      <c r="U37" s="25"/>
      <c r="V37" s="25"/>
      <c r="W37" s="25"/>
      <c r="X37" s="25"/>
      <c r="Y37" s="25"/>
      <c r="Z37" s="25"/>
      <c r="AA37" s="25"/>
      <c r="AB37" s="25"/>
      <c r="AC37" s="25"/>
    </row>
    <row r="38" spans="1:29" ht="12.5" x14ac:dyDescent="0.25">
      <c r="A38" s="25"/>
      <c r="B38" s="66"/>
      <c r="C38" s="66"/>
      <c r="D38" s="237" t="s">
        <v>762</v>
      </c>
      <c r="E38" s="996">
        <f>IF(E14=0,0,SUM(E36:E37))</f>
        <v>0</v>
      </c>
      <c r="F38" s="1002"/>
      <c r="G38" s="996">
        <f>IF(G14=0,0,SUM(G36:G37))</f>
        <v>0</v>
      </c>
      <c r="H38" s="1002"/>
      <c r="I38" s="996">
        <f>IF(I14=0,0,SUM(I36:I37))</f>
        <v>0</v>
      </c>
      <c r="J38" s="1002"/>
      <c r="K38" s="996">
        <f>IF(K14=0,0,SUM(K36:K37))</f>
        <v>0</v>
      </c>
      <c r="L38" s="1002"/>
      <c r="M38" s="996">
        <f>IF(M14=0,0,SUM(M36:M37))</f>
        <v>0</v>
      </c>
      <c r="N38" s="1002"/>
      <c r="O38" s="996">
        <f>IF(O14=0,0,SUM(O36:O37))</f>
        <v>0</v>
      </c>
      <c r="P38" s="1002"/>
      <c r="Q38" s="25"/>
      <c r="R38" s="25"/>
      <c r="S38" s="25"/>
      <c r="T38" s="25"/>
      <c r="U38" s="25"/>
      <c r="V38" s="25"/>
      <c r="W38" s="25"/>
      <c r="X38" s="25"/>
      <c r="Y38" s="25"/>
      <c r="Z38" s="25"/>
      <c r="AA38" s="25"/>
      <c r="AB38" s="25"/>
      <c r="AC38" s="25"/>
    </row>
    <row r="39" spans="1:29" ht="12.5" x14ac:dyDescent="0.25">
      <c r="A39" s="25"/>
      <c r="B39" s="66"/>
      <c r="C39" s="66"/>
      <c r="D39" s="237" t="s">
        <v>757</v>
      </c>
      <c r="E39" s="996">
        <f>ROUNDDOWN(IF(E14=0,F35,MAX(F35-E36,0)),0)</f>
        <v>300000</v>
      </c>
      <c r="F39" s="1002"/>
      <c r="G39" s="996">
        <f>ROUNDDOWN(IF(G14=0,H35,MAX(H35-G36,0)),0)</f>
        <v>0</v>
      </c>
      <c r="H39" s="1002"/>
      <c r="I39" s="996">
        <f>ROUNDDOWN(IF(I14=0,J35,MAX(J35-I36,0)),0)</f>
        <v>0</v>
      </c>
      <c r="J39" s="1002"/>
      <c r="K39" s="996">
        <f>ROUNDDOWN(IF(K14=0,L35,MAX(L35-K36,0)),0)</f>
        <v>0</v>
      </c>
      <c r="L39" s="1002"/>
      <c r="M39" s="996">
        <f>ROUNDDOWN(IF(M14=0,N35,MAX(N35-M36,0)),0)</f>
        <v>0</v>
      </c>
      <c r="N39" s="1002"/>
      <c r="O39" s="996">
        <f>ROUNDDOWN(IF(O14=0,P35,MAX(P35-O36,0)),0)</f>
        <v>0</v>
      </c>
      <c r="P39" s="1002"/>
      <c r="Q39" s="25"/>
      <c r="R39" s="25"/>
      <c r="S39" s="25"/>
      <c r="T39" s="25"/>
      <c r="U39" s="25"/>
      <c r="V39" s="25"/>
      <c r="W39" s="25"/>
      <c r="X39" s="25"/>
      <c r="Y39" s="25"/>
      <c r="Z39" s="25"/>
      <c r="AA39" s="25"/>
      <c r="AB39" s="25"/>
      <c r="AC39" s="25"/>
    </row>
    <row r="40" spans="1:29" ht="12.5" x14ac:dyDescent="0.25">
      <c r="A40" s="25"/>
      <c r="B40" s="66"/>
      <c r="C40" s="66"/>
      <c r="D40" s="237" t="s">
        <v>193</v>
      </c>
      <c r="E40" s="996" cm="1">
        <f t="array" ref="E40">SUMPRODUCT('Static Data'!$F$7:$F$11-'Static Data'!$F$6:$F$10,E39-'Static Data'!$E$6:$E$10,--(E39&gt;'Static Data'!$E$6:$E$10))</f>
        <v>101138</v>
      </c>
      <c r="F40" s="1002"/>
      <c r="G40" s="996" cm="1">
        <f t="array" ref="G40">SUMPRODUCT('Static Data'!$F$7:$F$11-'Static Data'!$F$6:$F$10,G39-'Static Data'!$E$6:$E$10,--(G39&gt;'Static Data'!$E$6:$E$10))</f>
        <v>0</v>
      </c>
      <c r="H40" s="1002"/>
      <c r="I40" s="996" cm="1">
        <f t="array" ref="I40">SUMPRODUCT('Static Data'!$F$7:$F$11-'Static Data'!$F$6:$F$10,I39-'Static Data'!$E$6:$E$10,--(I39&gt;'Static Data'!$E$6:$E$10))</f>
        <v>0</v>
      </c>
      <c r="J40" s="1002"/>
      <c r="K40" s="996" cm="1">
        <f t="array" ref="K40">SUMPRODUCT('Static Data'!$F$7:$F$11-'Static Data'!$F$6:$F$10,K39-'Static Data'!$E$6:$E$10,--(K39&gt;'Static Data'!$E$6:$E$10))</f>
        <v>0</v>
      </c>
      <c r="L40" s="1002"/>
      <c r="M40" s="996" cm="1">
        <f t="array" ref="M40">SUMPRODUCT('Static Data'!$F$7:$F$11-'Static Data'!$F$6:$F$10,M39-'Static Data'!$E$6:$E$10,--(M39&gt;'Static Data'!$E$6:$E$10))</f>
        <v>0</v>
      </c>
      <c r="N40" s="1002"/>
      <c r="O40" s="996" cm="1">
        <f t="array" ref="O40">SUMPRODUCT('Static Data'!$F$7:$F$11-'Static Data'!$F$6:$F$10,O39-'Static Data'!$E$6:$E$10,--(O39&gt;'Static Data'!$E$6:$E$10))</f>
        <v>0</v>
      </c>
      <c r="P40" s="1002"/>
      <c r="Q40" s="25"/>
      <c r="R40" s="25"/>
      <c r="S40" s="25"/>
      <c r="T40" s="25"/>
      <c r="U40" s="25"/>
      <c r="V40" s="25"/>
      <c r="W40" s="25"/>
      <c r="X40" s="25"/>
      <c r="Y40" s="25"/>
      <c r="Z40" s="25"/>
      <c r="AA40" s="25"/>
      <c r="AB40" s="25"/>
      <c r="AC40" s="25"/>
    </row>
    <row r="41" spans="1:29" ht="12.5" x14ac:dyDescent="0.25">
      <c r="A41" s="25"/>
      <c r="B41" s="66"/>
      <c r="C41" s="66"/>
      <c r="D41" s="237" t="s">
        <v>761</v>
      </c>
      <c r="E41" s="996">
        <f>IF(E39&gt;0,IF(E39&lt;='Static Data'!$J$6,E39*'Static Data'!$K$6,IF(AND(E39&gt;'Static Data'!$I$7,E39&lt;='Static Data'!$J$7),(E39-'Static Data'!$I$7)*'Static Data'!$K$7,E39*'Static Data'!$K$8)),0)</f>
        <v>6000</v>
      </c>
      <c r="F41" s="1002"/>
      <c r="G41" s="996">
        <f>IF(G39&gt;0,IF(G39&lt;='Static Data'!$J$6,G39*'Static Data'!$K$6,IF(AND(G39&gt;'Static Data'!$I$7,G39&lt;='Static Data'!$J$7),(G39-'Static Data'!$I$7)*'Static Data'!$K$7,G39*'Static Data'!$K$8)),0)</f>
        <v>0</v>
      </c>
      <c r="H41" s="1002"/>
      <c r="I41" s="996">
        <f>IF(I39&gt;0,IF(I39&lt;='Static Data'!$J$6,I39*'Static Data'!$K$6,IF(AND(I39&gt;'Static Data'!$I$7,I39&lt;='Static Data'!$J$7),(I39-'Static Data'!$I$7)*'Static Data'!$K$7,I39*'Static Data'!$K$8)),0)</f>
        <v>0</v>
      </c>
      <c r="J41" s="1002"/>
      <c r="K41" s="996">
        <f>IF(K39&gt;0,IF(K39&lt;='Static Data'!$J$6,K39*'Static Data'!$K$6,IF(AND(K39&gt;'Static Data'!$I$7,K39&lt;='Static Data'!$J$7),(K39-'Static Data'!$I$7)*'Static Data'!$K$7,K39*'Static Data'!$K$8)),0)</f>
        <v>0</v>
      </c>
      <c r="L41" s="1002"/>
      <c r="M41" s="996">
        <f>IF(M39&gt;0,IF(M39&lt;='Static Data'!$J$6,M39*'Static Data'!$K$6,IF(AND(M39&gt;'Static Data'!$I$7,M39&lt;='Static Data'!$J$7),(M39-'Static Data'!$I$7)*'Static Data'!$K$7,M39*'Static Data'!$K$8)),0)</f>
        <v>0</v>
      </c>
      <c r="N41" s="1002"/>
      <c r="O41" s="996">
        <f>IF(O39&gt;0,IF(O39&lt;='Static Data'!$J$6,O39*'Static Data'!$K$6,IF(AND(O39&gt;'Static Data'!$I$7,O39&lt;='Static Data'!$J$7),(O39-'Static Data'!$I$7)*'Static Data'!$K$7,O39*'Static Data'!$K$8)),0)</f>
        <v>0</v>
      </c>
      <c r="P41" s="1002"/>
      <c r="Q41" s="25"/>
      <c r="R41" s="25"/>
      <c r="S41" s="25"/>
      <c r="T41" s="25"/>
      <c r="U41" s="25"/>
      <c r="V41" s="25"/>
      <c r="W41" s="25"/>
      <c r="X41" s="25"/>
      <c r="Y41" s="25"/>
      <c r="Z41" s="25"/>
      <c r="AA41" s="25"/>
      <c r="AB41" s="25"/>
      <c r="AC41" s="25"/>
    </row>
    <row r="42" spans="1:29" ht="12.5" x14ac:dyDescent="0.25">
      <c r="A42" s="25"/>
      <c r="B42" s="66"/>
      <c r="C42" s="558" t="s">
        <v>2032</v>
      </c>
      <c r="D42" s="1106" t="s">
        <v>1808</v>
      </c>
      <c r="E42" s="996">
        <f>(VLOOKUP(E$4&amp;"No",OICOtherIncomeDataTable[],MATCH($C42,OICOtherIncomeDataTable[#Headers],0),FALSE)*InterestDividendShade)+SUM(SEBBusinessDataTable[SEBAdjustedFrankingCreditApp1])</f>
        <v>0</v>
      </c>
      <c r="F42" s="1005"/>
      <c r="G42" s="996">
        <f>(VLOOKUP(G$4&amp;"No",OICOtherIncomeDataTable[],MATCH($C42,OICOtherIncomeDataTable[#Headers],0),FALSE)*InterestDividendShade)+SUM(SEBBusinessDataTable[SEBAdjustedFrankingCreditApp2])</f>
        <v>0</v>
      </c>
      <c r="H42" s="1005"/>
      <c r="I42" s="996">
        <f>(VLOOKUP(I$4&amp;"No",OICOtherIncomeDataTable[],MATCH($C42,OICOtherIncomeDataTable[#Headers],0),FALSE)*InterestDividendShade)+SUM(SEBBusinessDataTable[SEBAdjustedFrankingCreditApp3])</f>
        <v>0</v>
      </c>
      <c r="J42" s="1005"/>
      <c r="K42" s="996">
        <f>(VLOOKUP(K$4&amp;"No",OICOtherIncomeDataTable[],MATCH($C42,OICOtherIncomeDataTable[#Headers],0),FALSE)*InterestDividendShade)+SUM(SEBBusinessDataTable[SEBAdjustedFrankingCreditApp4])</f>
        <v>0</v>
      </c>
      <c r="L42" s="1005"/>
      <c r="M42" s="996">
        <f>(VLOOKUP(M$4&amp;"No",OICOtherIncomeDataTable[],MATCH($C42,OICOtherIncomeDataTable[#Headers],0),FALSE)*InterestDividendShade)+SUM(SEBBusinessDataTable[SEBAdjustedFrankingCreditApp5])</f>
        <v>0</v>
      </c>
      <c r="N42" s="1005"/>
      <c r="O42" s="996">
        <f>(VLOOKUP(O$4&amp;"No",OICOtherIncomeDataTable[],MATCH($C42,OICOtherIncomeDataTable[#Headers],0),FALSE)*InterestDividendShade)+SUM(SEBBusinessDataTable[SEBAdjustedFrankingCreditApp6])</f>
        <v>0</v>
      </c>
      <c r="P42" s="1002"/>
      <c r="Q42" s="25"/>
      <c r="R42" s="25"/>
      <c r="S42" s="25"/>
      <c r="T42" s="25"/>
      <c r="U42" s="25"/>
      <c r="V42" s="25"/>
      <c r="W42" s="25"/>
      <c r="X42" s="25"/>
      <c r="Y42" s="25"/>
      <c r="Z42" s="25"/>
      <c r="AA42" s="25"/>
      <c r="AB42" s="25"/>
      <c r="AC42" s="25"/>
    </row>
    <row r="43" spans="1:29" ht="13" x14ac:dyDescent="0.25">
      <c r="A43" s="25"/>
      <c r="B43" s="66"/>
      <c r="C43" s="66"/>
      <c r="D43" s="237" t="s">
        <v>760</v>
      </c>
      <c r="E43" s="1000">
        <f>F35-(E40+E41)</f>
        <v>192862</v>
      </c>
      <c r="F43" s="1002"/>
      <c r="G43" s="1000">
        <f>H35-(G40+G41)</f>
        <v>0</v>
      </c>
      <c r="H43" s="1002"/>
      <c r="I43" s="1000">
        <f>J35-(I40+I41)</f>
        <v>0</v>
      </c>
      <c r="J43" s="1002"/>
      <c r="K43" s="1000">
        <f>L35-(K40+K41)</f>
        <v>0</v>
      </c>
      <c r="L43" s="1002"/>
      <c r="M43" s="1000">
        <f>N35-(M40+M41)</f>
        <v>0</v>
      </c>
      <c r="N43" s="1002"/>
      <c r="O43" s="1000">
        <f>P35-(O40+O41)</f>
        <v>0</v>
      </c>
      <c r="P43" s="1002"/>
      <c r="Q43" s="25"/>
      <c r="R43" s="25"/>
      <c r="S43" s="25"/>
      <c r="T43" s="25"/>
      <c r="U43" s="25"/>
      <c r="V43" s="25"/>
      <c r="W43" s="25"/>
      <c r="X43" s="25"/>
      <c r="Y43" s="25"/>
      <c r="Z43" s="25"/>
      <c r="AA43" s="25"/>
      <c r="AB43" s="25"/>
      <c r="AC43" s="25"/>
    </row>
    <row r="44" spans="1:29" ht="12.5" x14ac:dyDescent="0.25">
      <c r="A44" s="25"/>
      <c r="B44" s="66"/>
      <c r="C44" s="66"/>
      <c r="D44" s="462" t="s">
        <v>776</v>
      </c>
      <c r="E44" s="1003">
        <f>ROUNDUP(IF(E78=0,1,ICApp1IncomeDTI/(ICApp1IncomeDTI+E78)),4)</f>
        <v>1</v>
      </c>
      <c r="F44" s="1002"/>
      <c r="G44" s="1003">
        <f>ROUNDUP(IF(G78=0,1,ICApp2IncomeDTI/(ICApp2IncomeDTI+G78)),4)</f>
        <v>1</v>
      </c>
      <c r="H44" s="1002"/>
      <c r="I44" s="1003">
        <f>ROUNDUP(IF(I78=0,1,ICApp3IncomeDTI/(ICApp3IncomeDTI+I78)),4)</f>
        <v>1</v>
      </c>
      <c r="J44" s="1002"/>
      <c r="K44" s="1003">
        <f>ROUNDUP(IF(K78=0,1,ICApp4IncomeDTI/(ICApp4IncomeDTI+K78)),4)</f>
        <v>1</v>
      </c>
      <c r="L44" s="1002"/>
      <c r="M44" s="1003">
        <f>ROUNDUP(IF(M78=0,1,ICApp5IncomeDTI/(ICApp5IncomeDTI+M78)),4)</f>
        <v>1</v>
      </c>
      <c r="N44" s="1002"/>
      <c r="O44" s="1003">
        <f>ROUNDUP(IF(O78=0,1,ICApp6IncomeDTI/(ICApp6IncomeDTI+O78)),4)</f>
        <v>1</v>
      </c>
      <c r="P44" s="1002"/>
      <c r="Q44" s="25"/>
      <c r="R44" s="25"/>
      <c r="S44" s="25"/>
      <c r="T44" s="25"/>
      <c r="U44" s="25"/>
      <c r="V44" s="25"/>
      <c r="W44" s="25"/>
      <c r="X44" s="25"/>
      <c r="Y44" s="25"/>
      <c r="Z44" s="25"/>
      <c r="AA44" s="25"/>
      <c r="AB44" s="25"/>
      <c r="AC44" s="25"/>
    </row>
    <row r="45" spans="1:29" ht="12.5" x14ac:dyDescent="0.25">
      <c r="A45" s="25"/>
      <c r="B45" s="558" t="s">
        <v>744</v>
      </c>
      <c r="C45" s="558" t="s">
        <v>743</v>
      </c>
      <c r="D45" s="237" t="s">
        <v>1467</v>
      </c>
      <c r="E45" s="1122">
        <f>IFERROR(ROUND(SUM(E13:E18,E23:E30,VLOOKUP(E$4&amp;"No",OICOtherIncomeDataTable[],MATCH($B45,OICOtherIncomeDataTable[#Headers],0),FALSE),VLOOKUP(E$4&amp;"No",OICOtherIncomeDataTable[],MATCH($C45,OICOtherIncomeDataTable[#Headers],0),FALSE))-E38+E77,0),0)</f>
        <v>300000</v>
      </c>
      <c r="F45" s="1002"/>
      <c r="G45" s="241">
        <f>IFERROR(ROUND(SUM(G13:G18,G23:G30,VLOOKUP(G$4&amp;"No",OICOtherIncomeDataTable[],MATCH($B45,OICOtherIncomeDataTable[#Headers],0),FALSE),VLOOKUP(G$4&amp;"No",OICOtherIncomeDataTable[],MATCH($C45,OICOtherIncomeDataTable[#Headers],0),FALSE))-G38+G77,0),0)</f>
        <v>0</v>
      </c>
      <c r="H45" s="1002"/>
      <c r="I45" s="241">
        <f>IFERROR(ROUND(SUM(I13:I18,I23:I30,VLOOKUP(I$4&amp;"No",OICOtherIncomeDataTable[],MATCH($B45,OICOtherIncomeDataTable[#Headers],0),FALSE),VLOOKUP(I$4&amp;"No",OICOtherIncomeDataTable[],MATCH($C45,OICOtherIncomeDataTable[#Headers],0),FALSE))-I38+I77,0),0)</f>
        <v>0</v>
      </c>
      <c r="J45" s="1002"/>
      <c r="K45" s="241">
        <f>IFERROR(ROUND(SUM(K13:K18,K23:K30,VLOOKUP(K$4&amp;"No",OICOtherIncomeDataTable[],MATCH($B45,OICOtherIncomeDataTable[#Headers],0),FALSE),VLOOKUP(K$4&amp;"No",OICOtherIncomeDataTable[],MATCH($C45,OICOtherIncomeDataTable[#Headers],0),FALSE))-K38+K77,0),0)</f>
        <v>0</v>
      </c>
      <c r="L45" s="1002"/>
      <c r="M45" s="241">
        <f>IFERROR(ROUND(SUM(M13:M18,M23:M30,VLOOKUP(M$4&amp;"No",OICOtherIncomeDataTable[],MATCH($B45,OICOtherIncomeDataTable[#Headers],0),FALSE),VLOOKUP(M$4&amp;"No",OICOtherIncomeDataTable[],MATCH($C45,OICOtherIncomeDataTable[#Headers],0),FALSE))-M38+M77,0),0)</f>
        <v>0</v>
      </c>
      <c r="N45" s="1002"/>
      <c r="O45" s="241">
        <f>IFERROR(ROUND(SUM(O13:O18,O23:O30,VLOOKUP(O$4&amp;"No",OICOtherIncomeDataTable[],MATCH($B45,OICOtherIncomeDataTable[#Headers],0),FALSE),VLOOKUP(O$4&amp;"No",OICOtherIncomeDataTable[],MATCH($C45,OICOtherIncomeDataTable[#Headers],0),FALSE))-O38+O77,0),0)</f>
        <v>0</v>
      </c>
      <c r="P45" s="1002"/>
      <c r="Q45" s="25"/>
      <c r="R45" s="25"/>
      <c r="S45" s="25"/>
      <c r="T45" s="25"/>
      <c r="U45" s="25"/>
      <c r="V45" s="25"/>
      <c r="W45" s="25"/>
      <c r="X45" s="25"/>
      <c r="Y45" s="25"/>
      <c r="Z45" s="25"/>
      <c r="AA45" s="25"/>
      <c r="AB45" s="25"/>
      <c r="AC45" s="25"/>
    </row>
    <row r="46" spans="1:29" ht="12.5" x14ac:dyDescent="0.25">
      <c r="A46" s="25"/>
      <c r="B46" s="558" t="s">
        <v>744</v>
      </c>
      <c r="C46" s="558" t="s">
        <v>743</v>
      </c>
      <c r="D46" s="237" t="s">
        <v>352</v>
      </c>
      <c r="E46" s="372">
        <f>SUM(E13:E18,E23:E30,VLOOKUP(E$4&amp;"No",OICOtherIncomeDataTable[],MATCH($B46,OICOtherIncomeDataTable[#Headers],0),FALSE),VLOOKUP(E$4&amp;"No",OICOtherIncomeDataTable[],MATCH($C46,OICOtherIncomeDataTable[#Headers],0),FALSE))</f>
        <v>300000</v>
      </c>
      <c r="F46" s="1002"/>
      <c r="G46" s="996">
        <f>SUM(G13:G18,G23:G30,VLOOKUP(G$4&amp;"No",OICOtherIncomeDataTable[],MATCH($B46,OICOtherIncomeDataTable[#Headers],0),FALSE),VLOOKUP(G$4&amp;"No",OICOtherIncomeDataTable[],MATCH($C46,OICOtherIncomeDataTable[#Headers],0),FALSE))</f>
        <v>0</v>
      </c>
      <c r="H46" s="1002"/>
      <c r="I46" s="996">
        <f>SUM(I13:I18,I23:I30,VLOOKUP(I$4&amp;"No",OICOtherIncomeDataTable[],MATCH($B46,OICOtherIncomeDataTable[#Headers],0),FALSE),VLOOKUP(I$4&amp;"No",OICOtherIncomeDataTable[],MATCH($C46,OICOtherIncomeDataTable[#Headers],0),FALSE))</f>
        <v>0</v>
      </c>
      <c r="J46" s="1002"/>
      <c r="K46" s="996">
        <f>SUM(K13:K18,K23:K30,VLOOKUP(K$4&amp;"No",OICOtherIncomeDataTable[],MATCH($B46,OICOtherIncomeDataTable[#Headers],0),FALSE),VLOOKUP(K$4&amp;"No",OICOtherIncomeDataTable[],MATCH($C46,OICOtherIncomeDataTable[#Headers],0),FALSE))</f>
        <v>0</v>
      </c>
      <c r="L46" s="1002"/>
      <c r="M46" s="996">
        <f>SUM(M13:M18,M23:M30,VLOOKUP(M$4&amp;"No",OICOtherIncomeDataTable[],MATCH($B46,OICOtherIncomeDataTable[#Headers],0),FALSE),VLOOKUP(M$4&amp;"No",OICOtherIncomeDataTable[],MATCH($C46,OICOtherIncomeDataTable[#Headers],0),FALSE))</f>
        <v>0</v>
      </c>
      <c r="N46" s="1002"/>
      <c r="O46" s="996">
        <f>SUM(O13:O18,O23:O30,VLOOKUP(O$4&amp;"No",OICOtherIncomeDataTable[],MATCH($B46,OICOtherIncomeDataTable[#Headers],0),FALSE),VLOOKUP(O$4&amp;"No",OICOtherIncomeDataTable[],MATCH($C46,OICOtherIncomeDataTable[#Headers],0),FALSE))</f>
        <v>0</v>
      </c>
      <c r="P46" s="1002"/>
      <c r="Q46" s="25"/>
      <c r="R46" s="25"/>
      <c r="S46" s="25"/>
      <c r="T46" s="25"/>
      <c r="U46" s="25"/>
      <c r="V46" s="25"/>
      <c r="W46" s="25"/>
      <c r="X46" s="25"/>
      <c r="Y46" s="25"/>
      <c r="Z46" s="25"/>
      <c r="AA46" s="25"/>
      <c r="AB46" s="25"/>
      <c r="AC46" s="25"/>
    </row>
    <row r="47" spans="1:29" ht="12.5" x14ac:dyDescent="0.25">
      <c r="A47" s="25"/>
      <c r="B47" s="558" t="s">
        <v>744</v>
      </c>
      <c r="C47" s="558" t="s">
        <v>743</v>
      </c>
      <c r="D47" s="237" t="s">
        <v>1465</v>
      </c>
      <c r="E47" s="372">
        <f>SUM(F13:F18,IF(VLOOKUP(E$4&amp;"No",OICOtherIncomeDataTable[],MATCH($B$21,OICOtherIncomeDataTable[#Headers],0),FALSE)&lt;&gt;"Untaxed",VLOOKUP(E$4&amp;"No",OICOtherIncomeDataTable[],MATCH($B47,OICOtherIncomeDataTable[#Headers],0),FALSE)*InvestmentIncomeShade,0),IF(VLOOKUP(E$4&amp;"No",OICOtherIncomeDataTable[],MATCH($B$22,OICOtherIncomeDataTable[#Headers],0),FALSE)&lt;&gt;"Untaxed",VLOOKUP(E$4&amp;"No",OICOtherIncomeDataTable[],MATCH($C47,OICOtherIncomeDataTable[#Headers],0),FALSE)*InvestmentIncomeShade,0),F30)-IF(E14=0,0,E36)</f>
        <v>300000</v>
      </c>
      <c r="F47" s="1005"/>
      <c r="G47" s="996">
        <f>SUM(H13:H18,IF(VLOOKUP(G$4&amp;"No",OICOtherIncomeDataTable[],MATCH($B$21,OICOtherIncomeDataTable[#Headers],0),FALSE)&lt;&gt;"Untaxed",VLOOKUP(G$4&amp;"No",OICOtherIncomeDataTable[],MATCH($B47,OICOtherIncomeDataTable[#Headers],0),FALSE)*InvestmentIncomeShade,0),IF(VLOOKUP(G$4&amp;"No",OICOtherIncomeDataTable[],MATCH($B$22,OICOtherIncomeDataTable[#Headers],0),FALSE)&lt;&gt;"Untaxed",VLOOKUP(G$4&amp;"No",OICOtherIncomeDataTable[],MATCH($C47,OICOtherIncomeDataTable[#Headers],0),FALSE)*InvestmentIncomeShade,0),H30)-IF(G14=0,0,G36)</f>
        <v>0</v>
      </c>
      <c r="H47" s="1005"/>
      <c r="I47" s="996">
        <f>SUM(J13:J18,IF(VLOOKUP(I$4&amp;"No",OICOtherIncomeDataTable[],MATCH($B$21,OICOtherIncomeDataTable[#Headers],0),FALSE)&lt;&gt;"Untaxed",VLOOKUP(I$4&amp;"No",OICOtherIncomeDataTable[],MATCH($B47,OICOtherIncomeDataTable[#Headers],0),FALSE)*InvestmentIncomeShade,0),IF(VLOOKUP(I$4&amp;"No",OICOtherIncomeDataTable[],MATCH($B$22,OICOtherIncomeDataTable[#Headers],0),FALSE)&lt;&gt;"Untaxed",VLOOKUP(I$4&amp;"No",OICOtherIncomeDataTable[],MATCH($C47,OICOtherIncomeDataTable[#Headers],0),FALSE)*InvestmentIncomeShade,0),J30)-IF(I14=0,0,I36)</f>
        <v>0</v>
      </c>
      <c r="J47" s="1005"/>
      <c r="K47" s="996">
        <f>SUM(L13:L18,IF(VLOOKUP(K$4&amp;"No",OICOtherIncomeDataTable[],MATCH($B$21,OICOtherIncomeDataTable[#Headers],0),FALSE)&lt;&gt;"Untaxed",VLOOKUP(K$4&amp;"No",OICOtherIncomeDataTable[],MATCH($B47,OICOtherIncomeDataTable[#Headers],0),FALSE)*InvestmentIncomeShade,0),IF(VLOOKUP(K$4&amp;"No",OICOtherIncomeDataTable[],MATCH($B$22,OICOtherIncomeDataTable[#Headers],0),FALSE)&lt;&gt;"Untaxed",VLOOKUP(K$4&amp;"No",OICOtherIncomeDataTable[],MATCH($C47,OICOtherIncomeDataTable[#Headers],0),FALSE)*InvestmentIncomeShade,0),L30)-IF(K14=0,0,K36)</f>
        <v>0</v>
      </c>
      <c r="L47" s="1005"/>
      <c r="M47" s="996">
        <f>SUM(N13:N18,IF(VLOOKUP(M$4&amp;"No",OICOtherIncomeDataTable[],MATCH($B$21,OICOtherIncomeDataTable[#Headers],0),FALSE)&lt;&gt;"Untaxed",VLOOKUP(M$4&amp;"No",OICOtherIncomeDataTable[],MATCH($B47,OICOtherIncomeDataTable[#Headers],0),FALSE)*InvestmentIncomeShade,0),IF(VLOOKUP(M$4&amp;"No",OICOtherIncomeDataTable[],MATCH($B$22,OICOtherIncomeDataTable[#Headers],0),FALSE)&lt;&gt;"Untaxed",VLOOKUP(M$4&amp;"No",OICOtherIncomeDataTable[],MATCH($C47,OICOtherIncomeDataTable[#Headers],0),FALSE)*InvestmentIncomeShade,0),N30)-IF(M14=0,0,M36)</f>
        <v>0</v>
      </c>
      <c r="N47" s="1005"/>
      <c r="O47" s="996">
        <f>SUM(P13:P18,IF(VLOOKUP(O$4&amp;"No",OICOtherIncomeDataTable[],MATCH($B$21,OICOtherIncomeDataTable[#Headers],0),FALSE)&lt;&gt;"Untaxed",VLOOKUP(O$4&amp;"No",OICOtherIncomeDataTable[],MATCH($B47,OICOtherIncomeDataTable[#Headers],0),FALSE)*InvestmentIncomeShade,0),IF(VLOOKUP(O$4&amp;"No",OICOtherIncomeDataTable[],MATCH($B$22,OICOtherIncomeDataTable[#Headers],0),FALSE)&lt;&gt;"Untaxed",VLOOKUP(O$4&amp;"No",OICOtherIncomeDataTable[],MATCH($C47,OICOtherIncomeDataTable[#Headers],0),FALSE)*InvestmentIncomeShade,0),P30)-IF(O14=0,0,O36)</f>
        <v>0</v>
      </c>
      <c r="P47" s="1002"/>
      <c r="Q47" s="25"/>
      <c r="R47" s="25"/>
      <c r="S47" s="25"/>
      <c r="T47" s="25"/>
      <c r="U47" s="25"/>
      <c r="V47" s="25"/>
      <c r="W47" s="25"/>
      <c r="X47" s="25"/>
      <c r="Y47" s="25"/>
      <c r="Z47" s="25"/>
      <c r="AA47" s="25"/>
      <c r="AB47" s="25"/>
      <c r="AC47" s="25"/>
    </row>
    <row r="48" spans="1:29" ht="12.5" x14ac:dyDescent="0.25">
      <c r="A48" s="25"/>
      <c r="B48" s="558" t="s">
        <v>744</v>
      </c>
      <c r="C48" s="558" t="s">
        <v>743</v>
      </c>
      <c r="D48" s="237" t="s">
        <v>1466</v>
      </c>
      <c r="E48" s="1391">
        <f>SUM(E13:E18,IF(VLOOKUP(E$4&amp;"No",OICOtherIncomeDataTable[],MATCH($B$21,OICOtherIncomeDataTable[#Headers],0),FALSE)&lt;&gt;"Untaxed",VLOOKUP(E$4&amp;"No",OICOtherIncomeDataTable[],MATCH($B48,OICOtherIncomeDataTable[#Headers],0),FALSE),0),IF(VLOOKUP(E$4&amp;"No",OICOtherIncomeDataTable[],MATCH($B$22,OICOtherIncomeDataTable[#Headers],0),FALSE)&lt;&gt;"Untaxed",VLOOKUP(E$4&amp;"No",OICOtherIncomeDataTable[],MATCH($C48,OICOtherIncomeDataTable[#Headers],0),FALSE),0),E30)-SUMIFS(AICEmployerIncomeDataTable[AICAssessedAnnualBase],AICEmployerIncomeDataTable[AICApplicantID],E$4,AICEmployerIncomeDataTable[AICSpouseIncomeFlag],"No",AICEmployerIncomeDataTable[AICEmploymentBasis],$C6,AICEmployerIncomeDataTable[AICPermanentFutureIncomeAnnualBase],"&gt;0")+SUMIFS(AICEmployerIncomeDataTable[AICPermanentCurrentIncomeAnnualBase],AICEmployerIncomeDataTable[AICApplicantID],E$4,AICEmployerIncomeDataTable[AICSpouseIncomeFlag],"No",AICEmployerIncomeDataTable[AICEmploymentBasis],$C6,AICEmployerIncomeDataTable[AICPermanentFutureIncomeAnnualBase],"&gt;0")-IF(E14=0,0,E38)</f>
        <v>300000</v>
      </c>
      <c r="F48" s="1005"/>
      <c r="G48" s="996">
        <f>SUM(G13:G18,IF(VLOOKUP(G$4&amp;"No",OICOtherIncomeDataTable[],MATCH($B$21,OICOtherIncomeDataTable[#Headers],0),FALSE)&lt;&gt;"Untaxed",VLOOKUP(G$4&amp;"No",OICOtherIncomeDataTable[],MATCH($B48,OICOtherIncomeDataTable[#Headers],0),FALSE),0),IF(VLOOKUP(G$4&amp;"No",OICOtherIncomeDataTable[],MATCH($B$22,OICOtherIncomeDataTable[#Headers],0),FALSE)&lt;&gt;"Untaxed",VLOOKUP(G$4&amp;"No",OICOtherIncomeDataTable[],MATCH($C48,OICOtherIncomeDataTable[#Headers],0),FALSE),0),G30)-SUMIFS(AICEmployerIncomeDataTable[AICAssessedAnnualBase],AICEmployerIncomeDataTable[AICApplicantID],G$4,AICEmployerIncomeDataTable[AICSpouseIncomeFlag],"No",AICEmployerIncomeDataTable[AICEmploymentBasis],$C6,AICEmployerIncomeDataTable[AICPermanentFutureIncomeAnnualBase],"&gt;0")+SUMIFS(AICEmployerIncomeDataTable[AICPermanentCurrentIncomeAnnualBase],AICEmployerIncomeDataTable[AICApplicantID],G$4,AICEmployerIncomeDataTable[AICSpouseIncomeFlag],"No",AICEmployerIncomeDataTable[AICEmploymentBasis],$C6,AICEmployerIncomeDataTable[AICPermanentFutureIncomeAnnualBase],"&gt;0")-IF(G14=0,0,G38)</f>
        <v>0</v>
      </c>
      <c r="H48" s="1005"/>
      <c r="I48" s="996">
        <f>SUM(I13:I18,IF(VLOOKUP(I$4&amp;"No",OICOtherIncomeDataTable[],MATCH($B$21,OICOtherIncomeDataTable[#Headers],0),FALSE)&lt;&gt;"Untaxed",VLOOKUP(I$4&amp;"No",OICOtherIncomeDataTable[],MATCH($B48,OICOtherIncomeDataTable[#Headers],0),FALSE),0),IF(VLOOKUP(I$4&amp;"No",OICOtherIncomeDataTable[],MATCH($B$22,OICOtherIncomeDataTable[#Headers],0),FALSE)&lt;&gt;"Untaxed",VLOOKUP(I$4&amp;"No",OICOtherIncomeDataTable[],MATCH($C48,OICOtherIncomeDataTable[#Headers],0),FALSE),0),I30)-SUMIFS(AICEmployerIncomeDataTable[AICAssessedAnnualBase],AICEmployerIncomeDataTable[AICApplicantID],I$4,AICEmployerIncomeDataTable[AICSpouseIncomeFlag],"No",AICEmployerIncomeDataTable[AICEmploymentBasis],$C6,AICEmployerIncomeDataTable[AICPermanentFutureIncomeAnnualBase],"&gt;0")+SUMIFS(AICEmployerIncomeDataTable[AICPermanentCurrentIncomeAnnualBase],AICEmployerIncomeDataTable[AICApplicantID],I$4,AICEmployerIncomeDataTable[AICSpouseIncomeFlag],"No",AICEmployerIncomeDataTable[AICEmploymentBasis],$C6,AICEmployerIncomeDataTable[AICPermanentFutureIncomeAnnualBase],"&gt;0")-IF(I14=0,0,I38)</f>
        <v>0</v>
      </c>
      <c r="J48" s="1005"/>
      <c r="K48" s="996">
        <f>SUM(K13:K18,IF(VLOOKUP(K$4&amp;"No",OICOtherIncomeDataTable[],MATCH($B$21,OICOtherIncomeDataTable[#Headers],0),FALSE)&lt;&gt;"Untaxed",VLOOKUP(K$4&amp;"No",OICOtherIncomeDataTable[],MATCH($B48,OICOtherIncomeDataTable[#Headers],0),FALSE),0),IF(VLOOKUP(K$4&amp;"No",OICOtherIncomeDataTable[],MATCH($B$22,OICOtherIncomeDataTable[#Headers],0),FALSE)&lt;&gt;"Untaxed",VLOOKUP(K$4&amp;"No",OICOtherIncomeDataTable[],MATCH($C48,OICOtherIncomeDataTable[#Headers],0),FALSE),0),K30)-SUMIFS(AICEmployerIncomeDataTable[AICAssessedAnnualBase],AICEmployerIncomeDataTable[AICApplicantID],K$4,AICEmployerIncomeDataTable[AICSpouseIncomeFlag],"No",AICEmployerIncomeDataTable[AICEmploymentBasis],$C6,AICEmployerIncomeDataTable[AICPermanentFutureIncomeAnnualBase],"&gt;0")+SUMIFS(AICEmployerIncomeDataTable[AICPermanentCurrentIncomeAnnualBase],AICEmployerIncomeDataTable[AICApplicantID],K$4,AICEmployerIncomeDataTable[AICSpouseIncomeFlag],"No",AICEmployerIncomeDataTable[AICEmploymentBasis],$C6,AICEmployerIncomeDataTable[AICPermanentFutureIncomeAnnualBase],"&gt;0")-IF(K14=0,0,K38)</f>
        <v>0</v>
      </c>
      <c r="L48" s="1005"/>
      <c r="M48" s="996">
        <f>SUM(M13:M18,IF(VLOOKUP(M$4&amp;"No",OICOtherIncomeDataTable[],MATCH($B$21,OICOtherIncomeDataTable[#Headers],0),FALSE)&lt;&gt;"Untaxed",VLOOKUP(M$4&amp;"No",OICOtherIncomeDataTable[],MATCH($B48,OICOtherIncomeDataTable[#Headers],0),FALSE),0),IF(VLOOKUP(M$4&amp;"No",OICOtherIncomeDataTable[],MATCH($B$22,OICOtherIncomeDataTable[#Headers],0),FALSE)&lt;&gt;"Untaxed",VLOOKUP(M$4&amp;"No",OICOtherIncomeDataTable[],MATCH($C48,OICOtherIncomeDataTable[#Headers],0),FALSE),0),M30)-SUMIFS(AICEmployerIncomeDataTable[AICAssessedAnnualBase],AICEmployerIncomeDataTable[AICApplicantID],M$4,AICEmployerIncomeDataTable[AICSpouseIncomeFlag],"No",AICEmployerIncomeDataTable[AICEmploymentBasis],$C6,AICEmployerIncomeDataTable[AICPermanentFutureIncomeAnnualBase],"&gt;0")+SUMIFS(AICEmployerIncomeDataTable[AICPermanentCurrentIncomeAnnualBase],AICEmployerIncomeDataTable[AICApplicantID],M$4,AICEmployerIncomeDataTable[AICSpouseIncomeFlag],"No",AICEmployerIncomeDataTable[AICEmploymentBasis],$C6,AICEmployerIncomeDataTable[AICPermanentFutureIncomeAnnualBase],"&gt;0")-IF(M14=0,0,M38)</f>
        <v>0</v>
      </c>
      <c r="N48" s="1005"/>
      <c r="O48" s="996">
        <f>SUM(O13:O18,IF(VLOOKUP(O$4&amp;"No",OICOtherIncomeDataTable[],MATCH($B$21,OICOtherIncomeDataTable[#Headers],0),FALSE)&lt;&gt;"Untaxed",VLOOKUP(O$4&amp;"No",OICOtherIncomeDataTable[],MATCH($B48,OICOtherIncomeDataTable[#Headers],0),FALSE),0),IF(VLOOKUP(O$4&amp;"No",OICOtherIncomeDataTable[],MATCH($B$22,OICOtherIncomeDataTable[#Headers],0),FALSE)&lt;&gt;"Untaxed",VLOOKUP(O$4&amp;"No",OICOtherIncomeDataTable[],MATCH($C48,OICOtherIncomeDataTable[#Headers],0),FALSE),0),O30)-SUMIFS(AICEmployerIncomeDataTable[AICAssessedAnnualBase],AICEmployerIncomeDataTable[AICApplicantID],O$4,AICEmployerIncomeDataTable[AICSpouseIncomeFlag],"No",AICEmployerIncomeDataTable[AICEmploymentBasis],$C6,AICEmployerIncomeDataTable[AICPermanentFutureIncomeAnnualBase],"&gt;0")+SUMIFS(AICEmployerIncomeDataTable[AICPermanentCurrentIncomeAnnualBase],AICEmployerIncomeDataTable[AICApplicantID],O$4,AICEmployerIncomeDataTable[AICSpouseIncomeFlag],"No",AICEmployerIncomeDataTable[AICEmploymentBasis],$C6,AICEmployerIncomeDataTable[AICPermanentFutureIncomeAnnualBase],"&gt;0")-IF(O14=0,0,O38)</f>
        <v>0</v>
      </c>
      <c r="P48" s="1002"/>
      <c r="Q48" s="25"/>
      <c r="R48" s="25"/>
      <c r="S48" s="25"/>
      <c r="T48" s="25"/>
      <c r="U48" s="25"/>
      <c r="V48" s="25"/>
      <c r="W48" s="25"/>
      <c r="X48" s="25"/>
      <c r="Y48" s="25"/>
      <c r="Z48" s="25"/>
      <c r="AA48" s="25"/>
      <c r="AB48" s="25"/>
      <c r="AC48" s="25"/>
    </row>
    <row r="49" spans="1:29" ht="12.5" x14ac:dyDescent="0.25">
      <c r="A49" s="25"/>
      <c r="B49" s="66"/>
      <c r="C49" s="66"/>
      <c r="D49" s="237" t="s">
        <v>759</v>
      </c>
      <c r="E49" s="372" t="str">
        <f>IF(OR(RICApp1ForeignIncomeFlag,COUNTIFS(AICEmployerIncomeDataTable[AICApplicantID],E$4,AICEmployerIncomeDataTable[AICForeignIncomeFlag],"Yes")&gt;0,E27&gt;0,E75&gt;0),"Yes","No")</f>
        <v>No</v>
      </c>
      <c r="F49" s="1002"/>
      <c r="G49" s="372" t="str">
        <f>IF(OR(RICApp2ForeignIncomeFlag,COUNTIFS(AICEmployerIncomeDataTable[AICApplicantID],G$4,AICEmployerIncomeDataTable[AICForeignIncomeFlag],"Yes")&gt;0,G27&gt;0,G75&gt;0),"Yes","No")</f>
        <v>No</v>
      </c>
      <c r="H49" s="1002"/>
      <c r="I49" s="372" t="str">
        <f>IF(OR(RICApp3ForeignIncomeFlag,COUNTIFS(AICEmployerIncomeDataTable[AICApplicantID],I$4,AICEmployerIncomeDataTable[AICForeignIncomeFlag],"Yes")&gt;0,I27&gt;0,I75&gt;0),"Yes","No")</f>
        <v>No</v>
      </c>
      <c r="J49" s="1002"/>
      <c r="K49" s="372" t="str">
        <f>IF(OR(RICApp4ForeignIncomeFlag,COUNTIFS(AICEmployerIncomeDataTable[AICApplicantID],K$4,AICEmployerIncomeDataTable[AICForeignIncomeFlag],"Yes")&gt;0,K27&gt;0,K75&gt;0),"Yes","No")</f>
        <v>No</v>
      </c>
      <c r="L49" s="1002"/>
      <c r="M49" s="372" t="str">
        <f>IF(OR(RICApp5ForeignIncomeFlag,COUNTIFS(AICEmployerIncomeDataTable[AICApplicantID],M$4,AICEmployerIncomeDataTable[AICForeignIncomeFlag],"Yes")&gt;0,M27&gt;0,M75&gt;0),"Yes","No")</f>
        <v>No</v>
      </c>
      <c r="N49" s="1002"/>
      <c r="O49" s="372" t="str">
        <f>IF(OR(RICApp6ForeignIncomeFlag,COUNTIFS(AICEmployerIncomeDataTable[AICApplicantID],O$4,AICEmployerIncomeDataTable[AICForeignIncomeFlag],"Yes")&gt;0,O27&gt;0,O75&gt;0),"Yes","No")</f>
        <v>No</v>
      </c>
      <c r="P49" s="1002"/>
      <c r="Q49" s="25"/>
      <c r="R49" s="25"/>
      <c r="S49" s="25"/>
      <c r="T49" s="25"/>
      <c r="U49" s="25"/>
      <c r="V49" s="25"/>
      <c r="W49" s="25"/>
      <c r="X49" s="25"/>
      <c r="Y49" s="25"/>
      <c r="Z49" s="25"/>
      <c r="AA49" s="25"/>
      <c r="AB49" s="25"/>
      <c r="AC49" s="25"/>
    </row>
    <row r="50" spans="1:29" ht="13" x14ac:dyDescent="0.3">
      <c r="A50" s="25"/>
      <c r="B50" s="66"/>
      <c r="C50" s="66"/>
      <c r="D50" s="239" t="s">
        <v>758</v>
      </c>
      <c r="E50" s="1000">
        <f>SUM(E43,F21:F30)</f>
        <v>192862</v>
      </c>
      <c r="F50" s="1004"/>
      <c r="G50" s="1000">
        <f>SUM(G43,H21:H30)</f>
        <v>0</v>
      </c>
      <c r="H50" s="1004"/>
      <c r="I50" s="1000">
        <f>SUM(I43,J21:J30)</f>
        <v>0</v>
      </c>
      <c r="J50" s="1004"/>
      <c r="K50" s="1000">
        <f>SUM(K43,L21:L30)</f>
        <v>0</v>
      </c>
      <c r="L50" s="1004"/>
      <c r="M50" s="1000">
        <f>SUM(M43,N21:N30)</f>
        <v>0</v>
      </c>
      <c r="N50" s="1004"/>
      <c r="O50" s="1000">
        <f>SUM(O43,P21:P30)</f>
        <v>0</v>
      </c>
      <c r="P50" s="1002"/>
      <c r="Q50" s="25"/>
      <c r="R50" s="25"/>
      <c r="S50" s="25"/>
      <c r="T50" s="25"/>
      <c r="U50" s="25"/>
      <c r="V50" s="25"/>
      <c r="W50" s="25"/>
      <c r="X50" s="25"/>
      <c r="Y50" s="25"/>
      <c r="Z50" s="25"/>
      <c r="AA50" s="25"/>
      <c r="AB50" s="25"/>
      <c r="AC50" s="25"/>
    </row>
    <row r="51" spans="1:29" ht="12.5" x14ac:dyDescent="0.25">
      <c r="A51" s="25"/>
      <c r="B51" s="25"/>
      <c r="C51" s="25"/>
      <c r="Q51" s="25"/>
      <c r="R51" s="25"/>
      <c r="S51" s="25"/>
      <c r="T51" s="25"/>
      <c r="U51" s="25"/>
      <c r="V51" s="25"/>
      <c r="W51" s="25"/>
      <c r="X51" s="25"/>
      <c r="Y51" s="25"/>
      <c r="Z51" s="25"/>
      <c r="AA51" s="25"/>
      <c r="AB51" s="25"/>
      <c r="AC51" s="25"/>
    </row>
    <row r="52" spans="1:29" ht="12.5" x14ac:dyDescent="0.25">
      <c r="A52" s="25"/>
      <c r="B52" s="25"/>
      <c r="C52" s="25"/>
      <c r="Q52" s="25"/>
      <c r="R52" s="25"/>
      <c r="S52" s="25"/>
      <c r="T52" s="25"/>
      <c r="U52" s="25"/>
      <c r="V52" s="25"/>
      <c r="W52" s="25"/>
      <c r="X52" s="25"/>
      <c r="Y52" s="25"/>
      <c r="Z52" s="25"/>
      <c r="AA52" s="25"/>
      <c r="AB52" s="25"/>
      <c r="AC52" s="25"/>
    </row>
    <row r="53" spans="1:29" ht="14" x14ac:dyDescent="0.3">
      <c r="A53" s="25"/>
      <c r="B53" s="25"/>
      <c r="C53" s="25"/>
      <c r="D53" s="451" t="s">
        <v>752</v>
      </c>
      <c r="E53" s="322">
        <v>1</v>
      </c>
      <c r="F53" s="52"/>
      <c r="G53" s="322">
        <v>2</v>
      </c>
      <c r="H53" s="52"/>
      <c r="I53" s="322">
        <v>3</v>
      </c>
      <c r="J53" s="52"/>
      <c r="K53" s="322">
        <v>4</v>
      </c>
      <c r="L53" s="52"/>
      <c r="M53" s="322">
        <v>5</v>
      </c>
      <c r="N53" s="52"/>
      <c r="O53" s="322">
        <v>6</v>
      </c>
      <c r="P53" s="25"/>
      <c r="Q53" s="25"/>
      <c r="R53" s="25"/>
      <c r="S53" s="25"/>
      <c r="T53" s="25"/>
      <c r="U53" s="25"/>
      <c r="V53" s="25"/>
      <c r="W53" s="25"/>
      <c r="X53" s="25"/>
      <c r="Y53" s="25"/>
      <c r="Z53" s="25"/>
      <c r="AA53" s="25"/>
      <c r="AB53" s="25"/>
      <c r="AC53" s="25"/>
    </row>
    <row r="54" spans="1:29" ht="13" x14ac:dyDescent="0.3">
      <c r="A54" s="25"/>
      <c r="B54" s="25"/>
      <c r="C54" s="25"/>
      <c r="D54" s="235" t="s">
        <v>186</v>
      </c>
      <c r="E54" s="236" t="s">
        <v>750</v>
      </c>
      <c r="G54" s="236" t="s">
        <v>750</v>
      </c>
      <c r="I54" s="236" t="s">
        <v>750</v>
      </c>
      <c r="K54" s="236" t="s">
        <v>750</v>
      </c>
      <c r="M54" s="236" t="s">
        <v>750</v>
      </c>
      <c r="O54" s="236" t="s">
        <v>750</v>
      </c>
      <c r="Q54" s="25"/>
      <c r="R54" s="25"/>
      <c r="S54" s="25"/>
      <c r="T54" s="25"/>
      <c r="U54" s="25"/>
      <c r="V54" s="25"/>
      <c r="W54" s="25"/>
      <c r="X54" s="25"/>
      <c r="Y54" s="25"/>
      <c r="Z54" s="25"/>
      <c r="AA54" s="25"/>
      <c r="AB54" s="25"/>
      <c r="AC54" s="25"/>
    </row>
    <row r="55" spans="1:29" ht="12.5" x14ac:dyDescent="0.25">
      <c r="A55" s="25"/>
      <c r="B55" s="447"/>
      <c r="C55" s="447" t="s">
        <v>745</v>
      </c>
      <c r="D55" s="237" t="s">
        <v>232</v>
      </c>
      <c r="E55" s="238">
        <f>IF(SCAIncomeVerificationType="Estimate",SCAApp1SpouseEstimateBaseIncome,SUMIFS(AICEmployerIncomeDataTable[AICAssessedAnnualBase],AICEmployerIncomeDataTable[AICApplicantID],E$4,AICEmployerIncomeDataTable[AICSpouseIncomeFlag],"Yes",AICEmployerIncomeDataTable[AICEmploymentBasis],$C55))</f>
        <v>0</v>
      </c>
      <c r="G55" s="238">
        <f>IF(SCAIncomeVerificationType="Estimate",SCAApp2SpouseEstimateBaseIncome,SUMIFS(AICEmployerIncomeDataTable[AICAssessedAnnualBase],AICEmployerIncomeDataTable[AICApplicantID],G$4,AICEmployerIncomeDataTable[AICSpouseIncomeFlag],"Yes",AICEmployerIncomeDataTable[AICEmploymentBasis],$C55))</f>
        <v>0</v>
      </c>
      <c r="I55" s="238">
        <f>IF(SCAIncomeVerificationType="Estimate",SCAApp3SpouseEstimateBaseIncome,SUMIFS(AICEmployerIncomeDataTable[AICAssessedAnnualBase],AICEmployerIncomeDataTable[AICApplicantID],I$4,AICEmployerIncomeDataTable[AICSpouseIncomeFlag],"Yes",AICEmployerIncomeDataTable[AICEmploymentBasis],$C55))</f>
        <v>0</v>
      </c>
      <c r="K55" s="238">
        <f>IF(SCAIncomeVerificationType="Estimate",SCAApp4SpouseEstimateBaseIncome,SUMIFS(AICEmployerIncomeDataTable[AICAssessedAnnualBase],AICEmployerIncomeDataTable[AICApplicantID],K$4,AICEmployerIncomeDataTable[AICSpouseIncomeFlag],"Yes",AICEmployerIncomeDataTable[AICEmploymentBasis],$C55))</f>
        <v>0</v>
      </c>
      <c r="M55" s="238">
        <f>IF(SCAIncomeVerificationType="Estimate",SCAApp5SpouseEstimateBaseIncome,SUMIFS(AICEmployerIncomeDataTable[AICAssessedAnnualBase],AICEmployerIncomeDataTable[AICApplicantID],M$4,AICEmployerIncomeDataTable[AICSpouseIncomeFlag],"Yes",AICEmployerIncomeDataTable[AICEmploymentBasis],$C55))</f>
        <v>0</v>
      </c>
      <c r="O55" s="238">
        <f>IF(SCAIncomeVerificationType="Estimate",SCAApp6SpouseEstimateBaseIncome,SUMIFS(AICEmployerIncomeDataTable[AICAssessedAnnualBase],AICEmployerIncomeDataTable[AICApplicantID],O$4,AICEmployerIncomeDataTable[AICSpouseIncomeFlag],"Yes",AICEmployerIncomeDataTable[AICEmploymentBasis],$C55))</f>
        <v>0</v>
      </c>
      <c r="Q55" s="25"/>
      <c r="R55" s="25"/>
      <c r="S55" s="25"/>
      <c r="T55" s="25"/>
      <c r="U55" s="25"/>
      <c r="V55" s="25"/>
      <c r="W55" s="25"/>
      <c r="X55" s="25"/>
      <c r="Y55" s="25"/>
      <c r="Z55" s="25"/>
      <c r="AA55" s="25"/>
      <c r="AB55" s="25"/>
      <c r="AC55" s="25"/>
    </row>
    <row r="56" spans="1:29" ht="12.5" x14ac:dyDescent="0.25">
      <c r="A56" s="25"/>
      <c r="B56" s="447"/>
      <c r="C56" s="447" t="s">
        <v>746</v>
      </c>
      <c r="D56" s="237" t="s">
        <v>227</v>
      </c>
      <c r="E56" s="238">
        <f>SUMIFS(AICEmployerIncomeDataTable[AICAssessedAnnualBase],AICEmployerIncomeDataTable[AICApplicantID],E$4,AICEmployerIncomeDataTable[AICSpouseIncomeFlag],"Yes",AICEmployerIncomeDataTable[AICEmploymentBasis],$C56)</f>
        <v>0</v>
      </c>
      <c r="G56" s="238">
        <f>SUMIFS(AICEmployerIncomeDataTable[AICAssessedAnnualBase],AICEmployerIncomeDataTable[AICApplicantID],G$4,AICEmployerIncomeDataTable[AICSpouseIncomeFlag],"Yes",AICEmployerIncomeDataTable[AICEmploymentBasis],$C56)</f>
        <v>0</v>
      </c>
      <c r="I56" s="238">
        <f>SUMIFS(AICEmployerIncomeDataTable[AICAssessedAnnualBase],AICEmployerIncomeDataTable[AICApplicantID],I$4,AICEmployerIncomeDataTable[AICSpouseIncomeFlag],"Yes",AICEmployerIncomeDataTable[AICEmploymentBasis],$C56)</f>
        <v>0</v>
      </c>
      <c r="K56" s="238">
        <f>SUMIFS(AICEmployerIncomeDataTable[AICAssessedAnnualBase],AICEmployerIncomeDataTable[AICApplicantID],K$4,AICEmployerIncomeDataTable[AICSpouseIncomeFlag],"Yes",AICEmployerIncomeDataTable[AICEmploymentBasis],$C56)</f>
        <v>0</v>
      </c>
      <c r="M56" s="238">
        <f>SUMIFS(AICEmployerIncomeDataTable[AICAssessedAnnualBase],AICEmployerIncomeDataTable[AICApplicantID],M$4,AICEmployerIncomeDataTable[AICSpouseIncomeFlag],"Yes",AICEmployerIncomeDataTable[AICEmploymentBasis],$C56)</f>
        <v>0</v>
      </c>
      <c r="O56" s="238">
        <f>SUMIFS(AICEmployerIncomeDataTable[AICAssessedAnnualBase],AICEmployerIncomeDataTable[AICApplicantID],O$4,AICEmployerIncomeDataTable[AICSpouseIncomeFlag],"Yes",AICEmployerIncomeDataTable[AICEmploymentBasis],$C56)</f>
        <v>0</v>
      </c>
      <c r="Q56" s="25"/>
      <c r="R56" s="25"/>
      <c r="S56" s="25"/>
      <c r="T56" s="25"/>
      <c r="U56" s="25"/>
      <c r="V56" s="25"/>
      <c r="W56" s="25"/>
      <c r="X56" s="25"/>
      <c r="Y56" s="25"/>
      <c r="Z56" s="25"/>
      <c r="AA56" s="25"/>
      <c r="AB56" s="25"/>
      <c r="AC56" s="25"/>
    </row>
    <row r="57" spans="1:29" ht="12.5" x14ac:dyDescent="0.25">
      <c r="A57" s="25"/>
      <c r="B57" s="447"/>
      <c r="C57" s="447"/>
      <c r="D57" s="237" t="s">
        <v>783</v>
      </c>
      <c r="E57" s="238">
        <f>VLOOKUP(E$4&amp;"Yes",SEAApplicantDataTable[],MATCH("SEATotalAssessedIncome",SEAApplicantDataTable[#Headers],0),FALSE)</f>
        <v>0</v>
      </c>
      <c r="G57" s="238">
        <f>VLOOKUP(G$4&amp;"Yes",SEAApplicantDataTable[],MATCH("SEATotalAssessedIncome",SEAApplicantDataTable[#Headers],0),FALSE)</f>
        <v>0</v>
      </c>
      <c r="I57" s="238">
        <f>VLOOKUP(I$4&amp;"Yes",SEAApplicantDataTable[],MATCH("SEATotalAssessedIncome",SEAApplicantDataTable[#Headers],0),FALSE)</f>
        <v>0</v>
      </c>
      <c r="K57" s="238">
        <f>VLOOKUP(K$4&amp;"Yes",SEAApplicantDataTable[],MATCH("SEATotalAssessedIncome",SEAApplicantDataTable[#Headers],0),FALSE)</f>
        <v>0</v>
      </c>
      <c r="M57" s="238">
        <f>VLOOKUP(M$4&amp;"Yes",SEAApplicantDataTable[],MATCH("SEATotalAssessedIncome",SEAApplicantDataTable[#Headers],0),FALSE)</f>
        <v>0</v>
      </c>
      <c r="O57" s="238">
        <f>VLOOKUP(O$4&amp;"Yes",SEAApplicantDataTable[],MATCH("SEATotalAssessedIncome",SEAApplicantDataTable[#Headers],0),FALSE)</f>
        <v>0</v>
      </c>
      <c r="Q57" s="25"/>
      <c r="R57" s="25"/>
      <c r="S57" s="25"/>
      <c r="T57" s="25"/>
      <c r="U57" s="25"/>
      <c r="V57" s="25"/>
      <c r="W57" s="25"/>
      <c r="X57" s="25"/>
      <c r="Y57" s="25"/>
      <c r="Z57" s="25"/>
      <c r="AA57" s="25"/>
      <c r="AB57" s="25"/>
      <c r="AC57" s="25"/>
    </row>
    <row r="58" spans="1:29" ht="13" x14ac:dyDescent="0.3">
      <c r="A58" s="25"/>
      <c r="B58" s="447"/>
      <c r="C58" s="447"/>
      <c r="D58" s="239" t="s">
        <v>188</v>
      </c>
      <c r="E58" s="238">
        <f>SUM(E55:E57)</f>
        <v>0</v>
      </c>
      <c r="G58" s="238">
        <f t="shared" ref="G58:O58" si="26">SUM(G55:G57)</f>
        <v>0</v>
      </c>
      <c r="I58" s="238">
        <f t="shared" si="26"/>
        <v>0</v>
      </c>
      <c r="K58" s="238">
        <f t="shared" si="26"/>
        <v>0</v>
      </c>
      <c r="M58" s="238">
        <f t="shared" si="26"/>
        <v>0</v>
      </c>
      <c r="O58" s="238">
        <f t="shared" si="26"/>
        <v>0</v>
      </c>
      <c r="Q58" s="25"/>
      <c r="R58" s="25"/>
      <c r="S58" s="25"/>
      <c r="T58" s="25"/>
      <c r="U58" s="25"/>
      <c r="V58" s="25"/>
      <c r="W58" s="25"/>
      <c r="X58" s="25"/>
      <c r="Y58" s="25"/>
      <c r="Z58" s="25"/>
      <c r="AA58" s="25"/>
      <c r="AB58" s="25"/>
      <c r="AC58" s="25"/>
    </row>
    <row r="59" spans="1:29" ht="12.5" x14ac:dyDescent="0.25">
      <c r="A59" s="25"/>
      <c r="B59" s="447"/>
      <c r="C59" s="447"/>
      <c r="D59" s="237" t="s">
        <v>52</v>
      </c>
      <c r="E59" s="238">
        <f>IF(SCAIncomeVerificationType="Estimate",SCAApp1SpouseEstimateNonBaseIncome,SUMIFS(AICEmployerIncomeDataTable[AICAssessedAnnualNonBase],AICEmployerIncomeDataTable[AICApplicantID],E$4,AICEmployerIncomeDataTable[AICSpouseIncomeFlag],"Yes"))</f>
        <v>0</v>
      </c>
      <c r="G59" s="238">
        <f>IF(SCAIncomeVerificationType="Estimate",SCAApp2SpouseEstimateNonBaseIncome,SUMIFS(AICEmployerIncomeDataTable[AICAssessedAnnualNonBase],AICEmployerIncomeDataTable[AICApplicantID],G$4,AICEmployerIncomeDataTable[AICSpouseIncomeFlag],"Yes"))</f>
        <v>0</v>
      </c>
      <c r="I59" s="238">
        <f>IF(SCAIncomeVerificationType="Estimate",SCAApp3SpouseEstimateNonBaseIncome,SUMIFS(AICEmployerIncomeDataTable[AICAssessedAnnualNonBase],AICEmployerIncomeDataTable[AICApplicantID],I$4,AICEmployerIncomeDataTable[AICSpouseIncomeFlag],"Yes"))</f>
        <v>0</v>
      </c>
      <c r="K59" s="238">
        <f>IF(SCAIncomeVerificationType="Estimate",SCAApp4SpouseEstimateNonBaseIncome,SUMIFS(AICEmployerIncomeDataTable[AICAssessedAnnualNonBase],AICEmployerIncomeDataTable[AICApplicantID],K$4,AICEmployerIncomeDataTable[AICSpouseIncomeFlag],"Yes"))</f>
        <v>0</v>
      </c>
      <c r="M59" s="238">
        <f>IF(SCAIncomeVerificationType="Estimate",SCAApp5SpouseEstimateNonBaseIncome,SUMIFS(AICEmployerIncomeDataTable[AICAssessedAnnualNonBase],AICEmployerIncomeDataTable[AICApplicantID],M$4,AICEmployerIncomeDataTable[AICSpouseIncomeFlag],"Yes"))</f>
        <v>0</v>
      </c>
      <c r="O59" s="238">
        <f>IF(SCAIncomeVerificationType="Estimate",SCAApp6SpouseEstimateNonBaseIncome,SUMIFS(AICEmployerIncomeDataTable[AICAssessedAnnualNonBase],AICEmployerIncomeDataTable[AICApplicantID],O$4,AICEmployerIncomeDataTable[AICSpouseIncomeFlag],"Yes"))</f>
        <v>0</v>
      </c>
      <c r="Q59" s="25"/>
      <c r="R59" s="25"/>
      <c r="S59" s="25"/>
      <c r="T59" s="25"/>
      <c r="U59" s="25"/>
      <c r="V59" s="25"/>
      <c r="W59" s="25"/>
      <c r="X59" s="25"/>
      <c r="Y59" s="25"/>
      <c r="Z59" s="25"/>
      <c r="AA59" s="25"/>
      <c r="AB59" s="25"/>
      <c r="AC59" s="25"/>
    </row>
    <row r="60" spans="1:29" ht="12.5" x14ac:dyDescent="0.25">
      <c r="A60" s="25"/>
      <c r="B60" s="447"/>
      <c r="C60" s="447"/>
      <c r="D60" s="237" t="s">
        <v>53</v>
      </c>
      <c r="E60" s="238">
        <f>IF(SCAIncomeVerificationType="Estimate",SCAApp1SpouseEstimateBonusIncome,SUMIFS(AICEmployerIncomeDataTable[AICAssessedAnnualBonus],AICEmployerIncomeDataTable[AICApplicantID],E$4,AICEmployerIncomeDataTable[AICSpouseIncomeFlag],"Yes"))</f>
        <v>0</v>
      </c>
      <c r="G60" s="238">
        <f>IF(SCAIncomeVerificationType="Estimate",SCAApp2SpouseEstimateBonusIncome,SUMIFS(AICEmployerIncomeDataTable[AICAssessedAnnualBonus],AICEmployerIncomeDataTable[AICApplicantID],G$4,AICEmployerIncomeDataTable[AICSpouseIncomeFlag],"Yes"))</f>
        <v>0</v>
      </c>
      <c r="I60" s="238">
        <f>IF(SCAIncomeVerificationType="Estimate",SCAApp3SpouseEstimateBonusIncome,SUMIFS(AICEmployerIncomeDataTable[AICAssessedAnnualBonus],AICEmployerIncomeDataTable[AICApplicantID],I$4,AICEmployerIncomeDataTable[AICSpouseIncomeFlag],"Yes"))</f>
        <v>0</v>
      </c>
      <c r="K60" s="238">
        <f>IF(SCAIncomeVerificationType="Estimate",SCAApp4SpouseEstimateBonusIncome,SUMIFS(AICEmployerIncomeDataTable[AICAssessedAnnualBonus],AICEmployerIncomeDataTable[AICApplicantID],K$4,AICEmployerIncomeDataTable[AICSpouseIncomeFlag],"Yes"))</f>
        <v>0</v>
      </c>
      <c r="M60" s="238">
        <f>IF(SCAIncomeVerificationType="Estimate",SCAApp5SpouseEstimateBonusIncome,SUMIFS(AICEmployerIncomeDataTable[AICAssessedAnnualBonus],AICEmployerIncomeDataTable[AICApplicantID],M$4,AICEmployerIncomeDataTable[AICSpouseIncomeFlag],"Yes"))</f>
        <v>0</v>
      </c>
      <c r="O60" s="238">
        <f>IF(SCAIncomeVerificationType="Estimate",SCAApp6SpouseEstimateBonusIncome,SUMIFS(AICEmployerIncomeDataTable[AICAssessedAnnualBonus],AICEmployerIncomeDataTable[AICApplicantID],O$4,AICEmployerIncomeDataTable[AICSpouseIncomeFlag],"Yes"))</f>
        <v>0</v>
      </c>
      <c r="Q60" s="25"/>
      <c r="R60" s="25"/>
      <c r="S60" s="25"/>
      <c r="T60" s="25"/>
      <c r="U60" s="25"/>
      <c r="V60" s="25"/>
      <c r="W60" s="25"/>
      <c r="X60" s="25"/>
      <c r="Y60" s="25"/>
      <c r="Z60" s="25"/>
      <c r="AA60" s="25"/>
      <c r="AB60" s="25"/>
      <c r="AC60" s="25"/>
    </row>
    <row r="61" spans="1:29" ht="13" x14ac:dyDescent="0.3">
      <c r="A61" s="25"/>
      <c r="B61" s="447"/>
      <c r="C61" s="447"/>
      <c r="D61" s="239" t="s">
        <v>671</v>
      </c>
      <c r="E61" s="238">
        <f t="shared" ref="E61:O61" si="27">SUM(E58:E60)</f>
        <v>0</v>
      </c>
      <c r="G61" s="238">
        <f t="shared" si="27"/>
        <v>0</v>
      </c>
      <c r="I61" s="238">
        <f t="shared" si="27"/>
        <v>0</v>
      </c>
      <c r="K61" s="238">
        <f t="shared" si="27"/>
        <v>0</v>
      </c>
      <c r="M61" s="238">
        <f t="shared" si="27"/>
        <v>0</v>
      </c>
      <c r="O61" s="238">
        <f t="shared" si="27"/>
        <v>0</v>
      </c>
      <c r="Q61" s="25"/>
      <c r="R61" s="25"/>
      <c r="S61" s="25"/>
      <c r="T61" s="25"/>
      <c r="U61" s="25"/>
      <c r="V61" s="25"/>
      <c r="W61" s="25"/>
      <c r="X61" s="25"/>
      <c r="Y61" s="25"/>
      <c r="Z61" s="25"/>
      <c r="AA61" s="25"/>
      <c r="AB61" s="25"/>
      <c r="AC61" s="25"/>
    </row>
    <row r="62" spans="1:29" ht="12.5" x14ac:dyDescent="0.25">
      <c r="A62" s="25"/>
      <c r="B62" s="447"/>
      <c r="C62" s="447"/>
      <c r="D62" s="237" t="s">
        <v>54</v>
      </c>
      <c r="E62" s="238">
        <f>RICApp1SpouseGrossTotal</f>
        <v>0</v>
      </c>
      <c r="G62" s="238">
        <f>RICApp2SpouseGrossTotal</f>
        <v>0</v>
      </c>
      <c r="I62" s="238">
        <f>RICApp3SpouseGrossTotal</f>
        <v>0</v>
      </c>
      <c r="K62" s="238">
        <f>RICApp4SpouseGrossTotal</f>
        <v>0</v>
      </c>
      <c r="M62" s="238">
        <f>RICApp5SpouseGrossTotal</f>
        <v>0</v>
      </c>
      <c r="O62" s="238">
        <f>RICApp6SpouseGrossTotal</f>
        <v>0</v>
      </c>
      <c r="Q62" s="25"/>
      <c r="R62" s="25"/>
      <c r="S62" s="25"/>
      <c r="T62" s="25"/>
      <c r="U62" s="25"/>
      <c r="V62" s="25"/>
      <c r="W62" s="25"/>
      <c r="X62" s="25"/>
      <c r="Y62" s="25"/>
      <c r="Z62" s="25"/>
      <c r="AA62" s="25"/>
      <c r="AB62" s="25"/>
      <c r="AC62" s="25"/>
    </row>
    <row r="63" spans="1:29" ht="12.5" x14ac:dyDescent="0.25">
      <c r="A63" s="25"/>
      <c r="B63" s="447"/>
      <c r="C63" s="558" t="s">
        <v>2135</v>
      </c>
      <c r="D63" s="237" t="s">
        <v>2136</v>
      </c>
      <c r="E63" s="238">
        <f>VLOOKUP(E$4&amp;"Yes",OICOtherIncomeDataTable[],MATCH($C63,OICOtherIncomeDataTable[#Headers],0),FALSE)</f>
        <v>0</v>
      </c>
      <c r="G63" s="238">
        <f>VLOOKUP(G$4&amp;"Yes",OICOtherIncomeDataTable[],MATCH($C63,OICOtherIncomeDataTable[#Headers],0),FALSE)</f>
        <v>0</v>
      </c>
      <c r="I63" s="238">
        <f>VLOOKUP(I$4&amp;"Yes",OICOtherIncomeDataTable[],MATCH($C63,OICOtherIncomeDataTable[#Headers],0),FALSE)</f>
        <v>0</v>
      </c>
      <c r="K63" s="238">
        <f>VLOOKUP(K$4&amp;"Yes",OICOtherIncomeDataTable[],MATCH($C63,OICOtherIncomeDataTable[#Headers],0),FALSE)</f>
        <v>0</v>
      </c>
      <c r="M63" s="238">
        <f>VLOOKUP(M$4&amp;"Yes",OICOtherIncomeDataTable[],MATCH($C63,OICOtherIncomeDataTable[#Headers],0),FALSE)</f>
        <v>0</v>
      </c>
      <c r="O63" s="238">
        <f>VLOOKUP(O$4&amp;"Yes",OICOtherIncomeDataTable[],MATCH($C63,OICOtherIncomeDataTable[#Headers],0),FALSE)</f>
        <v>0</v>
      </c>
      <c r="Q63" s="25"/>
      <c r="R63" s="25"/>
      <c r="S63" s="25"/>
      <c r="T63" s="25"/>
      <c r="U63" s="25"/>
      <c r="V63" s="25"/>
      <c r="W63" s="25"/>
      <c r="X63" s="25"/>
      <c r="Y63" s="25"/>
      <c r="Z63" s="25"/>
      <c r="AA63" s="25"/>
      <c r="AB63" s="25"/>
      <c r="AC63" s="25"/>
    </row>
    <row r="64" spans="1:29" ht="12.5" x14ac:dyDescent="0.25">
      <c r="A64" s="25"/>
      <c r="B64" s="558"/>
      <c r="C64" s="558" t="s">
        <v>2134</v>
      </c>
      <c r="D64" s="237" t="s">
        <v>2137</v>
      </c>
      <c r="E64" s="238">
        <f>VLOOKUP(E$4&amp;"Yes",OICOtherIncomeDataTable[],MATCH($C64,OICOtherIncomeDataTable[#Headers],0),FALSE)</f>
        <v>0</v>
      </c>
      <c r="G64" s="238">
        <f>VLOOKUP(G$4&amp;"Yes",OICOtherIncomeDataTable[],MATCH($C64,OICOtherIncomeDataTable[#Headers],0),FALSE)</f>
        <v>0</v>
      </c>
      <c r="I64" s="238">
        <f>VLOOKUP(I$4&amp;"Yes",OICOtherIncomeDataTable[],MATCH($C64,OICOtherIncomeDataTable[#Headers],0),FALSE)</f>
        <v>0</v>
      </c>
      <c r="K64" s="238">
        <f>VLOOKUP(K$4&amp;"Yes",OICOtherIncomeDataTable[],MATCH($C64,OICOtherIncomeDataTable[#Headers],0),FALSE)</f>
        <v>0</v>
      </c>
      <c r="M64" s="238">
        <f>VLOOKUP(M$4&amp;"Yes",OICOtherIncomeDataTable[],MATCH($C64,OICOtherIncomeDataTable[#Headers],0),FALSE)</f>
        <v>0</v>
      </c>
      <c r="O64" s="238">
        <f>VLOOKUP(O$4&amp;"Yes",OICOtherIncomeDataTable[],MATCH($C64,OICOtherIncomeDataTable[#Headers],0),FALSE)</f>
        <v>0</v>
      </c>
      <c r="Q64" s="25"/>
      <c r="R64" s="25"/>
      <c r="S64" s="25"/>
      <c r="T64" s="25"/>
      <c r="U64" s="25"/>
      <c r="V64" s="25"/>
      <c r="W64" s="25"/>
      <c r="X64" s="25"/>
      <c r="Y64" s="25"/>
      <c r="Z64" s="25"/>
      <c r="AA64" s="25"/>
      <c r="AB64" s="25"/>
      <c r="AC64" s="25"/>
    </row>
    <row r="65" spans="1:29" ht="12.5" x14ac:dyDescent="0.25">
      <c r="A65" s="25"/>
      <c r="B65" s="558"/>
      <c r="C65" s="558" t="s">
        <v>2359</v>
      </c>
      <c r="D65" s="237" t="s">
        <v>2361</v>
      </c>
      <c r="E65" s="996">
        <f>VLOOKUP(E$4&amp;"Yes",OICOtherIncomeDataTable[],MATCH($C65,OICOtherIncomeDataTable[#Headers],0),FALSE)</f>
        <v>0</v>
      </c>
      <c r="G65" s="996">
        <f>VLOOKUP(G$4&amp;"Yes",OICOtherIncomeDataTable[],MATCH($C65,OICOtherIncomeDataTable[#Headers],0),FALSE)</f>
        <v>0</v>
      </c>
      <c r="I65" s="996">
        <f>VLOOKUP(I$4&amp;"Yes",OICOtherIncomeDataTable[],MATCH($C65,OICOtherIncomeDataTable[#Headers],0),FALSE)</f>
        <v>0</v>
      </c>
      <c r="K65" s="996">
        <f>VLOOKUP(K$4&amp;"Yes",OICOtherIncomeDataTable[],MATCH($C65,OICOtherIncomeDataTable[#Headers],0),FALSE)</f>
        <v>0</v>
      </c>
      <c r="M65" s="996">
        <f>VLOOKUP(M$4&amp;"Yes",OICOtherIncomeDataTable[],MATCH($C65,OICOtherIncomeDataTable[#Headers],0),FALSE)</f>
        <v>0</v>
      </c>
      <c r="O65" s="996">
        <f>VLOOKUP(O$4&amp;"Yes",OICOtherIncomeDataTable[],MATCH($C65,OICOtherIncomeDataTable[#Headers],0),FALSE)</f>
        <v>0</v>
      </c>
      <c r="P65" s="25"/>
      <c r="Q65" s="25"/>
      <c r="R65" s="25"/>
      <c r="S65" s="25"/>
      <c r="T65" s="25"/>
      <c r="U65" s="25"/>
      <c r="V65" s="25"/>
      <c r="W65" s="25"/>
      <c r="X65" s="25"/>
      <c r="Y65" s="25"/>
      <c r="Z65" s="25"/>
      <c r="AA65" s="25"/>
      <c r="AB65" s="25"/>
      <c r="AC65" s="25"/>
    </row>
    <row r="66" spans="1:29" ht="12.5" x14ac:dyDescent="0.25">
      <c r="A66" s="25"/>
      <c r="B66" s="558" t="s">
        <v>844</v>
      </c>
      <c r="C66" s="558" t="s">
        <v>681</v>
      </c>
      <c r="D66" s="237" t="s">
        <v>845</v>
      </c>
      <c r="E66" s="238">
        <f>IFERROR(IF(VLOOKUP(E$4&amp;"Yes",OICOtherIncomeDataTable[],MATCH($B66,OICOtherIncomeDataTable[#Headers],0),FALSE)="Taxable",VLOOKUP(E$4&amp;"Yes",OICOtherIncomeDataTable[],MATCH($C66,OICOtherIncomeDataTable[#Headers],0),FALSE),0),0)</f>
        <v>0</v>
      </c>
      <c r="G66" s="238">
        <f>IFERROR(IF(VLOOKUP(G$4&amp;"Yes",OICOtherIncomeDataTable[],MATCH($B66,OICOtherIncomeDataTable[#Headers],0),FALSE)="Taxable",VLOOKUP(G$4&amp;"Yes",OICOtherIncomeDataTable[],MATCH($C66,OICOtherIncomeDataTable[#Headers],0),FALSE),0),0)</f>
        <v>0</v>
      </c>
      <c r="I66" s="238">
        <f>IFERROR(IF(VLOOKUP(I$4&amp;"Yes",OICOtherIncomeDataTable[],MATCH($B66,OICOtherIncomeDataTable[#Headers],0),FALSE)="Taxable",VLOOKUP(I$4&amp;"Yes",OICOtherIncomeDataTable[],MATCH($C66,OICOtherIncomeDataTable[#Headers],0),FALSE),0),0)</f>
        <v>0</v>
      </c>
      <c r="K66" s="238">
        <f>IFERROR(IF(VLOOKUP(K$4&amp;"Yes",OICOtherIncomeDataTable[],MATCH($B66,OICOtherIncomeDataTable[#Headers],0),FALSE)="Taxable",VLOOKUP(K$4&amp;"Yes",OICOtherIncomeDataTable[],MATCH($C66,OICOtherIncomeDataTable[#Headers],0),FALSE),0),0)</f>
        <v>0</v>
      </c>
      <c r="M66" s="238">
        <f>IFERROR(IF(VLOOKUP(M$4&amp;"Yes",OICOtherIncomeDataTable[],MATCH($B66,OICOtherIncomeDataTable[#Headers],0),FALSE)="Taxable",VLOOKUP(M$4&amp;"Yes",OICOtherIncomeDataTable[],MATCH($C66,OICOtherIncomeDataTable[#Headers],0),FALSE),0),0)</f>
        <v>0</v>
      </c>
      <c r="O66" s="238">
        <f>IFERROR(IF(VLOOKUP(O$4&amp;"Yes",OICOtherIncomeDataTable[],MATCH($B66,OICOtherIncomeDataTable[#Headers],0),FALSE)="Taxable",VLOOKUP(O$4&amp;"Yes",OICOtherIncomeDataTable[],MATCH($C66,OICOtherIncomeDataTable[#Headers],0),FALSE),0),0)</f>
        <v>0</v>
      </c>
      <c r="P66" s="25"/>
      <c r="Q66" s="25"/>
      <c r="R66" s="25"/>
      <c r="S66" s="25"/>
      <c r="T66" s="25"/>
      <c r="U66" s="25"/>
      <c r="V66" s="25"/>
      <c r="W66" s="25"/>
      <c r="X66" s="25"/>
      <c r="Y66" s="25"/>
      <c r="Z66" s="25"/>
      <c r="AA66" s="25"/>
      <c r="AB66" s="25"/>
      <c r="AC66" s="25"/>
    </row>
    <row r="67" spans="1:29" ht="12.5" x14ac:dyDescent="0.25">
      <c r="A67" s="25"/>
      <c r="B67" s="558" t="s">
        <v>688</v>
      </c>
      <c r="C67" s="558" t="s">
        <v>700</v>
      </c>
      <c r="D67" s="237" t="s">
        <v>320</v>
      </c>
      <c r="E67" s="238">
        <f>IFERROR(IF(VLOOKUP(E$4&amp;"Yes",OICOtherIncomeDataTable[],MATCH($B67,OICOtherIncomeDataTable[#Headers],0),FALSE)="Taxable",VLOOKUP(E$4&amp;"Yes",OICOtherIncomeDataTable[],MATCH($C67,OICOtherIncomeDataTable[#Headers],0),FALSE),0),0)</f>
        <v>0</v>
      </c>
      <c r="G67" s="238">
        <f>IFERROR(IF(VLOOKUP(G$4&amp;"Yes",OICOtherIncomeDataTable[],MATCH($B67,OICOtherIncomeDataTable[#Headers],0),FALSE)="Taxable",VLOOKUP(G$4&amp;"Yes",OICOtherIncomeDataTable[],MATCH($C67,OICOtherIncomeDataTable[#Headers],0),FALSE),0),0)</f>
        <v>0</v>
      </c>
      <c r="I67" s="238">
        <f>IFERROR(IF(VLOOKUP(I$4&amp;"Yes",OICOtherIncomeDataTable[],MATCH($B67,OICOtherIncomeDataTable[#Headers],0),FALSE)="Taxable",VLOOKUP(I$4&amp;"Yes",OICOtherIncomeDataTable[],MATCH($C67,OICOtherIncomeDataTable[#Headers],0),FALSE),0),0)</f>
        <v>0</v>
      </c>
      <c r="K67" s="238">
        <f>IFERROR(IF(VLOOKUP(K$4&amp;"Yes",OICOtherIncomeDataTable[],MATCH($B67,OICOtherIncomeDataTable[#Headers],0),FALSE)="Taxable",VLOOKUP(K$4&amp;"Yes",OICOtherIncomeDataTable[],MATCH($C67,OICOtherIncomeDataTable[#Headers],0),FALSE),0),0)</f>
        <v>0</v>
      </c>
      <c r="M67" s="238">
        <f>IFERROR(IF(VLOOKUP(M$4&amp;"Yes",OICOtherIncomeDataTable[],MATCH($B67,OICOtherIncomeDataTable[#Headers],0),FALSE)="Taxable",VLOOKUP(M$4&amp;"Yes",OICOtherIncomeDataTable[],MATCH($C67,OICOtherIncomeDataTable[#Headers],0),FALSE),0),0)</f>
        <v>0</v>
      </c>
      <c r="O67" s="238">
        <f>IFERROR(IF(VLOOKUP(O$4&amp;"Yes",OICOtherIncomeDataTable[],MATCH($B67,OICOtherIncomeDataTable[#Headers],0),FALSE)="Taxable",VLOOKUP(O$4&amp;"Yes",OICOtherIncomeDataTable[],MATCH($C67,OICOtherIncomeDataTable[#Headers],0),FALSE),0),0)</f>
        <v>0</v>
      </c>
      <c r="P67" s="25"/>
      <c r="Q67" s="25"/>
      <c r="R67" s="25"/>
      <c r="S67" s="25"/>
      <c r="T67" s="25"/>
      <c r="U67" s="25"/>
      <c r="V67" s="25"/>
      <c r="W67" s="25"/>
      <c r="X67" s="25"/>
      <c r="Y67" s="25"/>
      <c r="Z67" s="25"/>
      <c r="AA67" s="25"/>
      <c r="AB67" s="25"/>
      <c r="AC67" s="25"/>
    </row>
    <row r="68" spans="1:29" ht="12.5" x14ac:dyDescent="0.25">
      <c r="A68" s="25"/>
      <c r="B68" s="558" t="s">
        <v>749</v>
      </c>
      <c r="C68" s="558" t="s">
        <v>701</v>
      </c>
      <c r="D68" s="237" t="s">
        <v>747</v>
      </c>
      <c r="E68" s="238">
        <f>IFERROR(IF(VLOOKUP(E$4&amp;"Yes",OICOtherIncomeDataTable[],MATCH($B68,OICOtherIncomeDataTable[#Headers],0),FALSE)="Taxable",VLOOKUP(E$4&amp;"Yes",OICOtherIncomeDataTable[],MATCH($C68,OICOtherIncomeDataTable[#Headers],0),FALSE),0),0)</f>
        <v>0</v>
      </c>
      <c r="G68" s="238">
        <f>IFERROR(IF(VLOOKUP(G$4&amp;"Yes",OICOtherIncomeDataTable[],MATCH($B68,OICOtherIncomeDataTable[#Headers],0),FALSE)="Taxable",VLOOKUP(G$4&amp;"Yes",OICOtherIncomeDataTable[],MATCH($C68,OICOtherIncomeDataTable[#Headers],0),FALSE),0),0)</f>
        <v>0</v>
      </c>
      <c r="I68" s="238">
        <f>IFERROR(IF(VLOOKUP(I$4&amp;"Yes",OICOtherIncomeDataTable[],MATCH($B68,OICOtherIncomeDataTable[#Headers],0),FALSE)="Taxable",VLOOKUP(I$4&amp;"Yes",OICOtherIncomeDataTable[],MATCH($C68,OICOtherIncomeDataTable[#Headers],0),FALSE),0),0)</f>
        <v>0</v>
      </c>
      <c r="K68" s="238">
        <f>IFERROR(IF(VLOOKUP(K$4&amp;"Yes",OICOtherIncomeDataTable[],MATCH($B68,OICOtherIncomeDataTable[#Headers],0),FALSE)="Taxable",VLOOKUP(K$4&amp;"Yes",OICOtherIncomeDataTable[],MATCH($C68,OICOtherIncomeDataTable[#Headers],0),FALSE),0),0)</f>
        <v>0</v>
      </c>
      <c r="M68" s="238">
        <f>IFERROR(IF(VLOOKUP(M$4&amp;"Yes",OICOtherIncomeDataTable[],MATCH($B68,OICOtherIncomeDataTable[#Headers],0),FALSE)="Taxable",VLOOKUP(M$4&amp;"Yes",OICOtherIncomeDataTable[],MATCH($C68,OICOtherIncomeDataTable[#Headers],0),FALSE),0),0)</f>
        <v>0</v>
      </c>
      <c r="O68" s="238">
        <f>IFERROR(IF(VLOOKUP(O$4&amp;"Yes",OICOtherIncomeDataTable[],MATCH($B68,OICOtherIncomeDataTable[#Headers],0),FALSE)="Taxable",VLOOKUP(O$4&amp;"Yes",OICOtherIncomeDataTable[],MATCH($C68,OICOtherIncomeDataTable[#Headers],0),FALSE),0),0)</f>
        <v>0</v>
      </c>
      <c r="P68" s="25"/>
      <c r="Q68" s="25"/>
      <c r="R68" s="25"/>
      <c r="S68" s="25"/>
      <c r="T68" s="25"/>
      <c r="U68" s="25"/>
      <c r="V68" s="25"/>
      <c r="W68" s="25"/>
      <c r="X68" s="25"/>
      <c r="Y68" s="25"/>
      <c r="Z68" s="25"/>
      <c r="AA68" s="25"/>
      <c r="AB68" s="25"/>
      <c r="AC68" s="25"/>
    </row>
    <row r="69" spans="1:29" ht="13" x14ac:dyDescent="0.3">
      <c r="A69" s="25"/>
      <c r="B69" s="558" t="s">
        <v>688</v>
      </c>
      <c r="C69" s="558" t="s">
        <v>700</v>
      </c>
      <c r="D69" s="240" t="s">
        <v>228</v>
      </c>
      <c r="E69" s="238">
        <f>IFERROR(IF(VLOOKUP(E$4&amp;"Yes",OICOtherIncomeDataTable[],MATCH($B69,OICOtherIncomeDataTable[#Headers],0),FALSE)&lt;&gt;"Taxable",VLOOKUP(E$4&amp;"Yes",OICOtherIncomeDataTable[],MATCH($C69,OICOtherIncomeDataTable[#Headers],0),FALSE),0),0)</f>
        <v>0</v>
      </c>
      <c r="G69" s="238">
        <f>IFERROR(IF(VLOOKUP(G$4&amp;"Yes",OICOtherIncomeDataTable[],MATCH($B69,OICOtherIncomeDataTable[#Headers],0),FALSE)&lt;&gt;"Taxable",VLOOKUP(G$4&amp;"Yes",OICOtherIncomeDataTable[],MATCH($C69,OICOtherIncomeDataTable[#Headers],0),FALSE),0),0)</f>
        <v>0</v>
      </c>
      <c r="I69" s="238">
        <f>IFERROR(IF(VLOOKUP(I$4&amp;"Yes",OICOtherIncomeDataTable[],MATCH($B69,OICOtherIncomeDataTable[#Headers],0),FALSE)&lt;&gt;"Taxable",VLOOKUP(I$4&amp;"Yes",OICOtherIncomeDataTable[],MATCH($C69,OICOtherIncomeDataTable[#Headers],0),FALSE),0),0)</f>
        <v>0</v>
      </c>
      <c r="K69" s="238">
        <f>IFERROR(IF(VLOOKUP(K$4&amp;"Yes",OICOtherIncomeDataTable[],MATCH($B69,OICOtherIncomeDataTable[#Headers],0),FALSE)&lt;&gt;"Taxable",VLOOKUP(K$4&amp;"Yes",OICOtherIncomeDataTable[],MATCH($C69,OICOtherIncomeDataTable[#Headers],0),FALSE),0),0)</f>
        <v>0</v>
      </c>
      <c r="M69" s="238">
        <f>IFERROR(IF(VLOOKUP(M$4&amp;"Yes",OICOtherIncomeDataTable[],MATCH($B69,OICOtherIncomeDataTable[#Headers],0),FALSE)&lt;&gt;"Taxable",VLOOKUP(M$4&amp;"Yes",OICOtherIncomeDataTable[],MATCH($C69,OICOtherIncomeDataTable[#Headers],0),FALSE),0),0)</f>
        <v>0</v>
      </c>
      <c r="O69" s="238">
        <f>IFERROR(IF(VLOOKUP(O$4&amp;"Yes",OICOtherIncomeDataTable[],MATCH($B69,OICOtherIncomeDataTable[#Headers],0),FALSE)&lt;&gt;"Taxable",VLOOKUP(O$4&amp;"Yes",OICOtherIncomeDataTable[],MATCH($C69,OICOtherIncomeDataTable[#Headers],0),FALSE),0),0)</f>
        <v>0</v>
      </c>
      <c r="P69" s="25"/>
      <c r="Q69" s="25"/>
      <c r="R69" s="25"/>
      <c r="S69" s="25"/>
      <c r="T69" s="25"/>
      <c r="U69" s="25"/>
      <c r="V69" s="25"/>
      <c r="W69" s="25"/>
      <c r="X69" s="25"/>
      <c r="Y69" s="25"/>
      <c r="Z69" s="25"/>
      <c r="AA69" s="25"/>
      <c r="AB69" s="25"/>
      <c r="AC69" s="25"/>
    </row>
    <row r="70" spans="1:29" ht="13" x14ac:dyDescent="0.3">
      <c r="A70" s="25"/>
      <c r="B70" s="558" t="s">
        <v>749</v>
      </c>
      <c r="C70" s="558" t="s">
        <v>701</v>
      </c>
      <c r="D70" s="240" t="s">
        <v>748</v>
      </c>
      <c r="E70" s="238">
        <f>IFERROR(IF(VLOOKUP(E$4&amp;"Yes",OICOtherIncomeDataTable[],MATCH($B70,OICOtherIncomeDataTable[#Headers],0),FALSE)&lt;&gt;"Taxable",VLOOKUP(E$4&amp;"Yes",OICOtherIncomeDataTable[],MATCH($C70,OICOtherIncomeDataTable[#Headers],0),FALSE),0),0)</f>
        <v>0</v>
      </c>
      <c r="G70" s="238">
        <f>IFERROR(IF(VLOOKUP(G$4&amp;"Yes",OICOtherIncomeDataTable[],MATCH($B70,OICOtherIncomeDataTable[#Headers],0),FALSE)&lt;&gt;"Taxable",VLOOKUP(G$4&amp;"Yes",OICOtherIncomeDataTable[],MATCH($C70,OICOtherIncomeDataTable[#Headers],0),FALSE),0),0)</f>
        <v>0</v>
      </c>
      <c r="I70" s="238">
        <f>IFERROR(IF(VLOOKUP(I$4&amp;"Yes",OICOtherIncomeDataTable[],MATCH($B70,OICOtherIncomeDataTable[#Headers],0),FALSE)&lt;&gt;"Taxable",VLOOKUP(I$4&amp;"Yes",OICOtherIncomeDataTable[],MATCH($C70,OICOtherIncomeDataTable[#Headers],0),FALSE),0),0)</f>
        <v>0</v>
      </c>
      <c r="K70" s="238">
        <f>IFERROR(IF(VLOOKUP(K$4&amp;"Yes",OICOtherIncomeDataTable[],MATCH($B70,OICOtherIncomeDataTable[#Headers],0),FALSE)&lt;&gt;"Taxable",VLOOKUP(K$4&amp;"Yes",OICOtherIncomeDataTable[],MATCH($C70,OICOtherIncomeDataTable[#Headers],0),FALSE),0),0)</f>
        <v>0</v>
      </c>
      <c r="M70" s="238">
        <f>IFERROR(IF(VLOOKUP(M$4&amp;"Yes",OICOtherIncomeDataTable[],MATCH($B70,OICOtherIncomeDataTable[#Headers],0),FALSE)&lt;&gt;"Taxable",VLOOKUP(M$4&amp;"Yes",OICOtherIncomeDataTable[],MATCH($C70,OICOtherIncomeDataTable[#Headers],0),FALSE),0),0)</f>
        <v>0</v>
      </c>
      <c r="O70" s="238">
        <f>IFERROR(IF(VLOOKUP(O$4&amp;"Yes",OICOtherIncomeDataTable[],MATCH($B70,OICOtherIncomeDataTable[#Headers],0),FALSE)&lt;&gt;"Taxable",VLOOKUP(O$4&amp;"Yes",OICOtherIncomeDataTable[],MATCH($C70,OICOtherIncomeDataTable[#Headers],0),FALSE),0),0)</f>
        <v>0</v>
      </c>
      <c r="P70" s="25"/>
      <c r="Q70" s="25"/>
      <c r="R70" s="25"/>
      <c r="S70" s="25"/>
      <c r="T70" s="25"/>
      <c r="U70" s="25"/>
      <c r="V70" s="25"/>
      <c r="W70" s="25"/>
      <c r="X70" s="25"/>
      <c r="Y70" s="25"/>
      <c r="Z70" s="25"/>
      <c r="AA70" s="25"/>
      <c r="AB70" s="25"/>
      <c r="AC70" s="25"/>
    </row>
    <row r="71" spans="1:29" ht="13" x14ac:dyDescent="0.3">
      <c r="A71" s="25"/>
      <c r="B71" s="558"/>
      <c r="C71" s="558" t="s">
        <v>678</v>
      </c>
      <c r="D71" s="240" t="s">
        <v>182</v>
      </c>
      <c r="E71" s="238">
        <f>VLOOKUP(E$4&amp;"Yes",OICOtherIncomeDataTable[],MATCH($C71,OICOtherIncomeDataTable[#Headers],0),FALSE)</f>
        <v>0</v>
      </c>
      <c r="G71" s="238">
        <f>VLOOKUP(G$4&amp;"Yes",OICOtherIncomeDataTable[],MATCH($C71,OICOtherIncomeDataTable[#Headers],0),FALSE)</f>
        <v>0</v>
      </c>
      <c r="I71" s="238">
        <f>VLOOKUP(I$4&amp;"Yes",OICOtherIncomeDataTable[],MATCH($C71,OICOtherIncomeDataTable[#Headers],0),FALSE)</f>
        <v>0</v>
      </c>
      <c r="K71" s="238">
        <f>VLOOKUP(K$4&amp;"Yes",OICOtherIncomeDataTable[],MATCH($C71,OICOtherIncomeDataTable[#Headers],0),FALSE)</f>
        <v>0</v>
      </c>
      <c r="M71" s="238">
        <f>VLOOKUP(M$4&amp;"Yes",OICOtherIncomeDataTable[],MATCH($C71,OICOtherIncomeDataTable[#Headers],0),FALSE)</f>
        <v>0</v>
      </c>
      <c r="O71" s="238">
        <f>VLOOKUP(O$4&amp;"Yes",OICOtherIncomeDataTable[],MATCH($C71,OICOtherIncomeDataTable[#Headers],0),FALSE)</f>
        <v>0</v>
      </c>
      <c r="P71" s="25"/>
      <c r="Q71" s="25"/>
      <c r="R71" s="25"/>
      <c r="S71" s="25"/>
      <c r="T71" s="25"/>
      <c r="U71" s="25"/>
      <c r="V71" s="25"/>
      <c r="W71" s="25"/>
      <c r="X71" s="25"/>
      <c r="Y71" s="25"/>
      <c r="Z71" s="25"/>
      <c r="AA71" s="25"/>
      <c r="AB71" s="25"/>
      <c r="AC71" s="25"/>
    </row>
    <row r="72" spans="1:29" ht="13" x14ac:dyDescent="0.3">
      <c r="A72" s="25"/>
      <c r="B72" s="558"/>
      <c r="C72" s="558" t="s">
        <v>831</v>
      </c>
      <c r="D72" s="240" t="s">
        <v>829</v>
      </c>
      <c r="E72" s="238">
        <f>VLOOKUP(E$4&amp;"Yes",OICOtherIncomeDataTable[],MATCH($C72,OICOtherIncomeDataTable[#Headers],0),FALSE)</f>
        <v>0</v>
      </c>
      <c r="G72" s="238">
        <f>VLOOKUP(G$4&amp;"Yes",OICOtherIncomeDataTable[],MATCH($C72,OICOtherIncomeDataTable[#Headers],0),FALSE)</f>
        <v>0</v>
      </c>
      <c r="I72" s="238">
        <f>VLOOKUP(I$4&amp;"Yes",OICOtherIncomeDataTable[],MATCH($C72,OICOtherIncomeDataTable[#Headers],0),FALSE)</f>
        <v>0</v>
      </c>
      <c r="K72" s="238">
        <f>VLOOKUP(K$4&amp;"Yes",OICOtherIncomeDataTable[],MATCH($C72,OICOtherIncomeDataTable[#Headers],0),FALSE)</f>
        <v>0</v>
      </c>
      <c r="M72" s="238">
        <f>VLOOKUP(M$4&amp;"Yes",OICOtherIncomeDataTable[],MATCH($C72,OICOtherIncomeDataTable[#Headers],0),FALSE)</f>
        <v>0</v>
      </c>
      <c r="O72" s="238">
        <f>VLOOKUP(O$4&amp;"Yes",OICOtherIncomeDataTable[],MATCH($C72,OICOtherIncomeDataTable[#Headers],0),FALSE)</f>
        <v>0</v>
      </c>
      <c r="P72" s="25"/>
      <c r="Q72" s="25"/>
      <c r="R72" s="25"/>
      <c r="S72" s="25"/>
      <c r="T72" s="25"/>
      <c r="U72" s="25"/>
      <c r="V72" s="25"/>
      <c r="W72" s="25"/>
      <c r="X72" s="25"/>
      <c r="Y72" s="25"/>
      <c r="Z72" s="25"/>
      <c r="AA72" s="25"/>
      <c r="AB72" s="25"/>
      <c r="AC72" s="25"/>
    </row>
    <row r="73" spans="1:29" ht="13" x14ac:dyDescent="0.3">
      <c r="A73" s="25"/>
      <c r="B73" s="558"/>
      <c r="C73" s="558" t="s">
        <v>832</v>
      </c>
      <c r="D73" s="240" t="s">
        <v>830</v>
      </c>
      <c r="E73" s="238">
        <f>VLOOKUP(E$4&amp;"Yes",OICOtherIncomeDataTable[],MATCH($C73,OICOtherIncomeDataTable[#Headers],0),FALSE)</f>
        <v>0</v>
      </c>
      <c r="G73" s="238">
        <f>VLOOKUP(G$4&amp;"Yes",OICOtherIncomeDataTable[],MATCH($C73,OICOtherIncomeDataTable[#Headers],0),FALSE)</f>
        <v>0</v>
      </c>
      <c r="I73" s="238">
        <f>VLOOKUP(I$4&amp;"Yes",OICOtherIncomeDataTable[],MATCH($C73,OICOtherIncomeDataTable[#Headers],0),FALSE)</f>
        <v>0</v>
      </c>
      <c r="K73" s="238">
        <f>VLOOKUP(K$4&amp;"Yes",OICOtherIncomeDataTable[],MATCH($C73,OICOtherIncomeDataTable[#Headers],0),FALSE)</f>
        <v>0</v>
      </c>
      <c r="M73" s="238">
        <f>VLOOKUP(M$4&amp;"Yes",OICOtherIncomeDataTable[],MATCH($C73,OICOtherIncomeDataTable[#Headers],0),FALSE)</f>
        <v>0</v>
      </c>
      <c r="O73" s="238">
        <f>VLOOKUP(O$4&amp;"Yes",OICOtherIncomeDataTable[],MATCH($C73,OICOtherIncomeDataTable[#Headers],0),FALSE)</f>
        <v>0</v>
      </c>
      <c r="P73" s="25"/>
      <c r="Q73" s="25"/>
      <c r="R73" s="25"/>
      <c r="S73" s="25"/>
      <c r="T73" s="25"/>
      <c r="U73" s="25"/>
      <c r="V73" s="25"/>
      <c r="W73" s="25"/>
      <c r="X73" s="25"/>
      <c r="Y73" s="25"/>
      <c r="Z73" s="25"/>
      <c r="AA73" s="25"/>
      <c r="AB73" s="25"/>
      <c r="AC73" s="25"/>
    </row>
    <row r="74" spans="1:29" ht="13" x14ac:dyDescent="0.3">
      <c r="A74" s="25"/>
      <c r="B74" s="558"/>
      <c r="C74" s="558" t="s">
        <v>680</v>
      </c>
      <c r="D74" s="240" t="s">
        <v>454</v>
      </c>
      <c r="E74" s="238">
        <f>VLOOKUP(E$4&amp;"Yes",OICOtherIncomeDataTable[],MATCH($C74,OICOtherIncomeDataTable[#Headers],0),FALSE)</f>
        <v>0</v>
      </c>
      <c r="G74" s="238">
        <f>VLOOKUP(G$4&amp;"Yes",OICOtherIncomeDataTable[],MATCH($C74,OICOtherIncomeDataTable[#Headers],0),FALSE)</f>
        <v>0</v>
      </c>
      <c r="I74" s="238">
        <f>VLOOKUP(I$4&amp;"Yes",OICOtherIncomeDataTable[],MATCH($C74,OICOtherIncomeDataTable[#Headers],0),FALSE)</f>
        <v>0</v>
      </c>
      <c r="K74" s="238">
        <f>VLOOKUP(K$4&amp;"Yes",OICOtherIncomeDataTable[],MATCH($C74,OICOtherIncomeDataTable[#Headers],0),FALSE)</f>
        <v>0</v>
      </c>
      <c r="M74" s="238">
        <f>VLOOKUP(M$4&amp;"Yes",OICOtherIncomeDataTable[],MATCH($C74,OICOtherIncomeDataTable[#Headers],0),FALSE)</f>
        <v>0</v>
      </c>
      <c r="O74" s="238">
        <f>VLOOKUP(O$4&amp;"Yes",OICOtherIncomeDataTable[],MATCH($C74,OICOtherIncomeDataTable[#Headers],0),FALSE)</f>
        <v>0</v>
      </c>
      <c r="P74" s="25"/>
      <c r="Q74" s="25"/>
      <c r="R74" s="25"/>
      <c r="S74" s="25"/>
      <c r="T74" s="25"/>
      <c r="U74" s="25"/>
      <c r="V74" s="25"/>
      <c r="W74" s="25"/>
      <c r="X74" s="25"/>
      <c r="Y74" s="25"/>
      <c r="Z74" s="25"/>
      <c r="AA74" s="25"/>
      <c r="AB74" s="25"/>
      <c r="AC74" s="25"/>
    </row>
    <row r="75" spans="1:29" ht="13" x14ac:dyDescent="0.3">
      <c r="A75" s="25"/>
      <c r="B75" s="558"/>
      <c r="C75" s="558" t="s">
        <v>679</v>
      </c>
      <c r="D75" s="240" t="s">
        <v>451</v>
      </c>
      <c r="E75" s="238">
        <f>VLOOKUP(E$4&amp;"Yes",OICOtherIncomeDataTable[],MATCH($C75,OICOtherIncomeDataTable[#Headers],0),FALSE)</f>
        <v>0</v>
      </c>
      <c r="G75" s="238">
        <f>VLOOKUP(G$4&amp;"Yes",OICOtherIncomeDataTable[],MATCH($C75,OICOtherIncomeDataTable[#Headers],0),FALSE)</f>
        <v>0</v>
      </c>
      <c r="I75" s="238">
        <f>VLOOKUP(I$4&amp;"Yes",OICOtherIncomeDataTable[],MATCH($C75,OICOtherIncomeDataTable[#Headers],0),FALSE)</f>
        <v>0</v>
      </c>
      <c r="K75" s="238">
        <f>VLOOKUP(K$4&amp;"Yes",OICOtherIncomeDataTable[],MATCH($C75,OICOtherIncomeDataTable[#Headers],0),FALSE)</f>
        <v>0</v>
      </c>
      <c r="M75" s="238">
        <f>VLOOKUP(M$4&amp;"Yes",OICOtherIncomeDataTable[],MATCH($C75,OICOtherIncomeDataTable[#Headers],0),FALSE)</f>
        <v>0</v>
      </c>
      <c r="O75" s="238">
        <f>VLOOKUP(O$4&amp;"Yes",OICOtherIncomeDataTable[],MATCH($C75,OICOtherIncomeDataTable[#Headers],0),FALSE)</f>
        <v>0</v>
      </c>
      <c r="P75" s="25"/>
      <c r="Q75" s="25"/>
      <c r="R75" s="25"/>
      <c r="S75" s="25"/>
      <c r="T75" s="25"/>
      <c r="U75" s="25"/>
      <c r="V75" s="25"/>
      <c r="W75" s="25"/>
      <c r="X75" s="25"/>
      <c r="Y75" s="25"/>
      <c r="Z75" s="25"/>
      <c r="AA75" s="25"/>
      <c r="AB75" s="25"/>
      <c r="AC75" s="25"/>
    </row>
    <row r="76" spans="1:29" ht="13" x14ac:dyDescent="0.3">
      <c r="A76" s="25"/>
      <c r="B76" s="558" t="s">
        <v>844</v>
      </c>
      <c r="C76" s="558" t="s">
        <v>681</v>
      </c>
      <c r="D76" s="240" t="s">
        <v>455</v>
      </c>
      <c r="E76" s="238">
        <f>IFERROR(IF(VLOOKUP(E$4&amp;"Yes",OICOtherIncomeDataTable[],MATCH($B76,OICOtherIncomeDataTable[#Headers],0),FALSE)&lt;&gt;"Taxable",VLOOKUP(E$4&amp;"Yes",OICOtherIncomeDataTable[],MATCH($C76,OICOtherIncomeDataTable[#Headers],0),FALSE),0),0)</f>
        <v>0</v>
      </c>
      <c r="G76" s="238">
        <f>IFERROR(IF(VLOOKUP(G$4&amp;"Yes",OICOtherIncomeDataTable[],MATCH($B76,OICOtherIncomeDataTable[#Headers],0),FALSE)&lt;&gt;"Taxable",VLOOKUP(G$4&amp;"Yes",OICOtherIncomeDataTable[],MATCH($C76,OICOtherIncomeDataTable[#Headers],0),FALSE),0),0)</f>
        <v>0</v>
      </c>
      <c r="I76" s="238">
        <f>IFERROR(IF(VLOOKUP(I$4&amp;"Yes",OICOtherIncomeDataTable[],MATCH($B76,OICOtherIncomeDataTable[#Headers],0),FALSE)&lt;&gt;"Taxable",VLOOKUP(I$4&amp;"Yes",OICOtherIncomeDataTable[],MATCH($C76,OICOtherIncomeDataTable[#Headers],0),FALSE),0),0)</f>
        <v>0</v>
      </c>
      <c r="K76" s="238">
        <f>IFERROR(IF(VLOOKUP(K$4&amp;"Yes",OICOtherIncomeDataTable[],MATCH($B76,OICOtherIncomeDataTable[#Headers],0),FALSE)&lt;&gt;"Taxable",VLOOKUP(K$4&amp;"Yes",OICOtherIncomeDataTable[],MATCH($C76,OICOtherIncomeDataTable[#Headers],0),FALSE),0),0)</f>
        <v>0</v>
      </c>
      <c r="M76" s="238">
        <f>IFERROR(IF(VLOOKUP(M$4&amp;"Yes",OICOtherIncomeDataTable[],MATCH($B76,OICOtherIncomeDataTable[#Headers],0),FALSE)&lt;&gt;"Taxable",VLOOKUP(M$4&amp;"Yes",OICOtherIncomeDataTable[],MATCH($C76,OICOtherIncomeDataTable[#Headers],0),FALSE),0),0)</f>
        <v>0</v>
      </c>
      <c r="O76" s="238">
        <f>IFERROR(IF(VLOOKUP(O$4&amp;"Yes",OICOtherIncomeDataTable[],MATCH($B76,OICOtherIncomeDataTable[#Headers],0),FALSE)&lt;&gt;"Taxable",VLOOKUP(O$4&amp;"Yes",OICOtherIncomeDataTable[],MATCH($C76,OICOtherIncomeDataTable[#Headers],0),FALSE),0),0)</f>
        <v>0</v>
      </c>
      <c r="P76" s="25"/>
      <c r="Q76" s="25"/>
      <c r="R76" s="25"/>
      <c r="S76" s="25"/>
      <c r="T76" s="25"/>
      <c r="U76" s="25"/>
      <c r="V76" s="25"/>
      <c r="W76" s="25"/>
      <c r="X76" s="25"/>
      <c r="Y76" s="25"/>
      <c r="Z76" s="25"/>
      <c r="AA76" s="25"/>
      <c r="AB76" s="25"/>
      <c r="AC76" s="25"/>
    </row>
    <row r="77" spans="1:29" ht="13" x14ac:dyDescent="0.3">
      <c r="A77" s="25"/>
      <c r="B77" s="558" t="s">
        <v>744</v>
      </c>
      <c r="C77" s="558" t="s">
        <v>743</v>
      </c>
      <c r="D77" s="239" t="s">
        <v>351</v>
      </c>
      <c r="E77" s="241">
        <f>IFERROR(ROUND(SUM(E61:E66,E71:E76,VLOOKUP(E$4&amp;"Yes",OICOtherIncomeDataTable[],MATCH($B77,OICOtherIncomeDataTable[#Headers],0),FALSE),VLOOKUP(E$4&amp;"Yes",OICOtherIncomeDataTable[],MATCH($C77,OICOtherIncomeDataTable[#Headers],0),FALSE)),0),0)</f>
        <v>0</v>
      </c>
      <c r="G77" s="241">
        <f>IFERROR(ROUND(SUM(G61:G66,G71:G76,VLOOKUP(G$4&amp;"Yes",OICOtherIncomeDataTable[],MATCH($B77,OICOtherIncomeDataTable[#Headers],0),FALSE),VLOOKUP(G$4&amp;"Yes",OICOtherIncomeDataTable[],MATCH($C77,OICOtherIncomeDataTable[#Headers],0),FALSE)),0),0)</f>
        <v>0</v>
      </c>
      <c r="I77" s="241">
        <f>IFERROR(ROUND(SUM(I61:I66,I71:I76,VLOOKUP(I$4&amp;"Yes",OICOtherIncomeDataTable[],MATCH($B77,OICOtherIncomeDataTable[#Headers],0),FALSE),VLOOKUP(I$4&amp;"Yes",OICOtherIncomeDataTable[],MATCH($C77,OICOtherIncomeDataTable[#Headers],0),FALSE)),0),0)</f>
        <v>0</v>
      </c>
      <c r="K77" s="241">
        <f>IFERROR(ROUND(SUM(K61:K66,K71:K76,VLOOKUP(K$4&amp;"Yes",OICOtherIncomeDataTable[],MATCH($B77,OICOtherIncomeDataTable[#Headers],0),FALSE),VLOOKUP(K$4&amp;"Yes",OICOtherIncomeDataTable[],MATCH($C77,OICOtherIncomeDataTable[#Headers],0),FALSE)),0),0)</f>
        <v>0</v>
      </c>
      <c r="M77" s="241">
        <f>IFERROR(ROUND(SUM(M61:M66,M71:M76,VLOOKUP(M$4&amp;"Yes",OICOtherIncomeDataTable[],MATCH($B77,OICOtherIncomeDataTable[#Headers],0),FALSE),VLOOKUP(M$4&amp;"Yes",OICOtherIncomeDataTable[],MATCH($C77,OICOtherIncomeDataTable[#Headers],0),FALSE)),0),0)</f>
        <v>0</v>
      </c>
      <c r="O77" s="241">
        <f>IFERROR(ROUND(SUM(O61:O66,O71:O76,VLOOKUP(O$4&amp;"Yes",OICOtherIncomeDataTable[],MATCH($B77,OICOtherIncomeDataTable[#Headers],0),FALSE),VLOOKUP(O$4&amp;"Yes",OICOtherIncomeDataTable[],MATCH($C77,OICOtherIncomeDataTable[#Headers],0),FALSE)),0),0)</f>
        <v>0</v>
      </c>
      <c r="P77" s="25"/>
      <c r="Q77" s="25"/>
      <c r="R77" s="25"/>
      <c r="S77" s="25"/>
      <c r="T77" s="25"/>
      <c r="U77" s="25"/>
      <c r="V77" s="25"/>
      <c r="W77" s="25"/>
      <c r="X77" s="25"/>
      <c r="Y77" s="25"/>
      <c r="Z77" s="25"/>
      <c r="AA77" s="25"/>
      <c r="AB77" s="25"/>
      <c r="AC77" s="25"/>
    </row>
    <row r="78" spans="1:29" ht="13" x14ac:dyDescent="0.3">
      <c r="A78" s="25"/>
      <c r="B78" s="558" t="s">
        <v>744</v>
      </c>
      <c r="C78" s="558" t="s">
        <v>743</v>
      </c>
      <c r="D78" s="239" t="s">
        <v>2033</v>
      </c>
      <c r="E78" s="238">
        <f>SUM(E61:E66,E71:E76,VLOOKUP(E$4&amp;"Yes",OICOtherIncomeDataTable[],MATCH($B78,OICOtherIncomeDataTable[#Headers],0),FALSE),VLOOKUP(E$4&amp;"Yes",OICOtherIncomeDataTable[],MATCH($C78,OICOtherIncomeDataTable[#Headers],0),FALSE))</f>
        <v>0</v>
      </c>
      <c r="G78" s="238">
        <f>SUM(G61:G66,G71:G76,VLOOKUP(G$4&amp;"Yes",OICOtherIncomeDataTable[],MATCH($B78,OICOtherIncomeDataTable[#Headers],0),FALSE),VLOOKUP(G$4&amp;"Yes",OICOtherIncomeDataTable[],MATCH($C78,OICOtherIncomeDataTable[#Headers],0),FALSE))</f>
        <v>0</v>
      </c>
      <c r="I78" s="238">
        <f>SUM(I61:I66,I71:I76,VLOOKUP(I$4&amp;"Yes",OICOtherIncomeDataTable[],MATCH($B78,OICOtherIncomeDataTable[#Headers],0),FALSE),VLOOKUP(I$4&amp;"Yes",OICOtherIncomeDataTable[],MATCH($C78,OICOtherIncomeDataTable[#Headers],0),FALSE))</f>
        <v>0</v>
      </c>
      <c r="K78" s="238">
        <f>SUM(K61:K66,K71:K76,VLOOKUP(K$4&amp;"Yes",OICOtherIncomeDataTable[],MATCH($B78,OICOtherIncomeDataTable[#Headers],0),FALSE),VLOOKUP(K$4&amp;"Yes",OICOtherIncomeDataTable[],MATCH($C78,OICOtherIncomeDataTable[#Headers],0),FALSE))</f>
        <v>0</v>
      </c>
      <c r="M78" s="238">
        <f>SUM(M61:M66,M71:M76,VLOOKUP(M$4&amp;"Yes",OICOtherIncomeDataTable[],MATCH($B78,OICOtherIncomeDataTable[#Headers],0),FALSE),VLOOKUP(M$4&amp;"Yes",OICOtherIncomeDataTable[],MATCH($C78,OICOtherIncomeDataTable[#Headers],0),FALSE))</f>
        <v>0</v>
      </c>
      <c r="O78" s="238">
        <f>SUM(O61:O66,O71:O76,VLOOKUP(O$4&amp;"Yes",OICOtherIncomeDataTable[],MATCH($B78,OICOtherIncomeDataTable[#Headers],0),FALSE),VLOOKUP(O$4&amp;"Yes",OICOtherIncomeDataTable[],MATCH($C78,OICOtherIncomeDataTable[#Headers],0),FALSE))</f>
        <v>0</v>
      </c>
      <c r="P78" s="25"/>
      <c r="Q78" s="25"/>
      <c r="R78" s="25"/>
      <c r="S78" s="25"/>
      <c r="T78" s="25"/>
      <c r="U78" s="25"/>
      <c r="V78" s="25"/>
      <c r="W78" s="25"/>
      <c r="X78" s="25"/>
      <c r="Y78" s="25"/>
      <c r="Z78" s="25"/>
      <c r="AA78" s="25"/>
      <c r="AB78" s="25"/>
      <c r="AC78" s="25"/>
    </row>
    <row r="79" spans="1:29" ht="12.5" x14ac:dyDescent="0.25">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c r="AA79" s="25"/>
      <c r="AB79" s="25"/>
      <c r="AC79" s="25"/>
    </row>
    <row r="80" spans="1:29" ht="12.5" x14ac:dyDescent="0.25">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row>
    <row r="81" spans="1:29" ht="20" x14ac:dyDescent="0.4">
      <c r="A81" s="25"/>
      <c r="B81" s="74" t="s">
        <v>2381</v>
      </c>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row>
    <row r="82" spans="1:29" ht="12.5" x14ac:dyDescent="0.25">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row>
    <row r="83" spans="1:29" ht="14.5" x14ac:dyDescent="0.35">
      <c r="A83" s="25"/>
      <c r="B83" s="1452" t="s">
        <v>1428</v>
      </c>
      <c r="C83" s="1452"/>
      <c r="D83" s="1452"/>
      <c r="E83" s="181" t="s">
        <v>434</v>
      </c>
      <c r="F83" s="182" t="s">
        <v>437</v>
      </c>
      <c r="G83" s="181" t="s">
        <v>2380</v>
      </c>
      <c r="H83" s="1456" t="s">
        <v>443</v>
      </c>
      <c r="I83" s="1457"/>
      <c r="J83" s="1457"/>
      <c r="K83" s="1457"/>
      <c r="L83" s="1457"/>
      <c r="M83" s="1457"/>
      <c r="N83" s="1457"/>
      <c r="O83" s="25"/>
      <c r="P83" s="25"/>
      <c r="Q83" s="25"/>
      <c r="R83" s="25"/>
      <c r="S83" s="25"/>
      <c r="T83" s="25"/>
      <c r="U83" s="25"/>
      <c r="V83" s="25"/>
      <c r="W83" s="25"/>
      <c r="X83" s="25"/>
      <c r="Y83" s="25"/>
      <c r="Z83" s="25"/>
      <c r="AA83" s="25"/>
      <c r="AB83" s="25"/>
      <c r="AC83" s="25"/>
    </row>
    <row r="84" spans="1:29" ht="12.5" x14ac:dyDescent="0.25">
      <c r="A84" s="25"/>
      <c r="B84" s="1444" t="str">
        <f>"Debt Service Coverage (DSC) ratio below minimum required (" &amp; TEXT(ICDSCMinRequired,"0.00") &amp; ")"</f>
        <v>Debt Service Coverage (DSC) ratio below minimum required (1.00)</v>
      </c>
      <c r="C84" s="1444"/>
      <c r="D84" s="1444"/>
      <c r="E84" s="187" t="s">
        <v>792</v>
      </c>
      <c r="F84" s="187" t="str">
        <f ca="1">IFERROR(IF(ICDSCMinRequired="N/A","",IF(SCSMeasureDSC&lt;ICDSCMinRequired,B84,"")),"")</f>
        <v/>
      </c>
      <c r="G84" s="187" t="str">
        <f t="shared" ref="G84:G100" ca="1" si="28">IFERROR(VLOOKUP(H84,B$84:E$101,4,FALSE),"")</f>
        <v/>
      </c>
      <c r="H84" s="1446" t="str" cm="1">
        <f t="array" aca="1" ref="H84" ca="1">IFERROR(INDEX($F$84:$F$101,_xlfn.AGGREGATE(15,6,ROW($F$84:$F$101)-ROW($F$84)+1/($F$84:$F$101&lt;&gt;""),ROWS(H$84:H84))),"")</f>
        <v/>
      </c>
      <c r="I84" s="1447"/>
      <c r="J84" s="1447"/>
      <c r="K84" s="1447"/>
      <c r="L84" s="1447"/>
      <c r="M84" s="1447"/>
      <c r="N84" s="1448"/>
      <c r="O84" s="25"/>
      <c r="P84" s="25"/>
      <c r="Q84" s="25"/>
      <c r="R84" s="25"/>
      <c r="S84" s="25"/>
      <c r="T84" s="25"/>
      <c r="U84" s="25"/>
      <c r="V84" s="25"/>
      <c r="W84" s="25"/>
      <c r="X84" s="25"/>
      <c r="Y84" s="25"/>
      <c r="Z84" s="25"/>
      <c r="AA84" s="25"/>
      <c r="AB84" s="25"/>
      <c r="AC84" s="25"/>
    </row>
    <row r="85" spans="1:29" ht="12.5" x14ac:dyDescent="0.25">
      <c r="A85" s="25"/>
      <c r="B85" s="1449" t="str">
        <f>"Debt to Income (DTI) ratio is equal to or exceeds the maximum (" &amp; DTIThresholdMaximum &amp; "). Application requires referral to credit"</f>
        <v>Debt to Income (DTI) ratio is equal to or exceeds the maximum (10). Application requires referral to credit</v>
      </c>
      <c r="C85" s="1450"/>
      <c r="D85" s="1451"/>
      <c r="E85" s="187"/>
      <c r="F85" s="187" t="str">
        <f>IFERROR(IF(SCSMeasureDTI&gt;=DTIThresholdMaximum,B85,""),"")</f>
        <v/>
      </c>
      <c r="G85" s="187" t="str">
        <f t="shared" ca="1" si="28"/>
        <v/>
      </c>
      <c r="H85" s="1446" t="str" cm="1">
        <f t="array" aca="1" ref="H85" ca="1">IFERROR(INDEX($F$84:$F$101,_xlfn.AGGREGATE(15,6,ROW($F$84:$F$101)-ROW($F$84)+1/($F$84:$F$101&lt;&gt;""),ROWS(H$84:H85))),"")</f>
        <v/>
      </c>
      <c r="I85" s="1447"/>
      <c r="J85" s="1447"/>
      <c r="K85" s="1447"/>
      <c r="L85" s="1447"/>
      <c r="M85" s="1447"/>
      <c r="N85" s="1448"/>
      <c r="O85" s="25"/>
      <c r="P85" s="25"/>
      <c r="Q85" s="25"/>
      <c r="R85" s="25"/>
      <c r="S85" s="25"/>
      <c r="T85" s="25"/>
      <c r="U85" s="25"/>
      <c r="V85" s="25"/>
      <c r="W85" s="25"/>
      <c r="X85" s="25"/>
      <c r="Y85" s="25"/>
      <c r="Z85" s="25"/>
      <c r="AA85" s="25"/>
      <c r="AB85" s="25"/>
      <c r="AC85" s="25"/>
    </row>
    <row r="86" spans="1:29" ht="12.5" x14ac:dyDescent="0.25">
      <c r="A86" s="25"/>
      <c r="B86" s="1449" t="str">
        <f>"Debt to Income (DTI) ratio is equal to or exceeds the high risk threshold (" &amp; DTIThresholdHighRisk &amp; ") but below the maximum (" &amp; DTIThresholdMaximum &amp; "). Application requires referral to credit if LVR &gt; 80%."</f>
        <v>Debt to Income (DTI) ratio is equal to or exceeds the high risk threshold (7) but below the maximum (10). Application requires referral to credit if LVR &gt; 80%.</v>
      </c>
      <c r="C86" s="1450"/>
      <c r="D86" s="1451"/>
      <c r="E86" s="187"/>
      <c r="F86" s="187" t="str">
        <f>IFERROR(IF(AND(SCSMeasureDTI&gt;=DTIThresholdHighRisk,SCSMeasureDTI&lt;DTIThresholdMaximum),B86,""),"")</f>
        <v/>
      </c>
      <c r="G86" s="187" t="str">
        <f t="shared" ca="1" si="28"/>
        <v/>
      </c>
      <c r="H86" s="1446" t="str" cm="1">
        <f t="array" aca="1" ref="H86" ca="1">IFERROR(INDEX($F$84:$F$101,_xlfn.AGGREGATE(15,6,ROW($F$84:$F$101)-ROW($F$84)+1/($F$84:$F$101&lt;&gt;""),ROWS(H$84:H86))),"")</f>
        <v/>
      </c>
      <c r="I86" s="1447"/>
      <c r="J86" s="1447"/>
      <c r="K86" s="1447"/>
      <c r="L86" s="1447"/>
      <c r="M86" s="1447"/>
      <c r="N86" s="1448"/>
      <c r="O86" s="25"/>
      <c r="P86" s="25"/>
      <c r="Q86" s="25"/>
      <c r="R86" s="25"/>
      <c r="S86" s="25"/>
      <c r="T86" s="25"/>
      <c r="U86" s="25"/>
      <c r="V86" s="25"/>
      <c r="W86" s="25"/>
      <c r="X86" s="25"/>
      <c r="Y86" s="25"/>
      <c r="Z86" s="25"/>
      <c r="AA86" s="25"/>
      <c r="AB86" s="25"/>
      <c r="AC86" s="25"/>
    </row>
    <row r="87" spans="1:29" ht="12.5" x14ac:dyDescent="0.25">
      <c r="A87" s="25"/>
      <c r="B87" s="1449"/>
      <c r="C87" s="1450"/>
      <c r="D87" s="1451"/>
      <c r="E87" s="187"/>
      <c r="F87" s="187"/>
      <c r="G87" s="187" t="str">
        <f t="shared" ca="1" si="28"/>
        <v/>
      </c>
      <c r="H87" s="1446" t="str" cm="1">
        <f t="array" aca="1" ref="H87" ca="1">IFERROR(INDEX($F$84:$F$101,_xlfn.AGGREGATE(15,6,ROW($F$84:$F$101)-ROW($F$84)+1/($F$84:$F$101&lt;&gt;""),ROWS(H$84:H87))),"")</f>
        <v/>
      </c>
      <c r="I87" s="1447"/>
      <c r="J87" s="1447"/>
      <c r="K87" s="1447"/>
      <c r="L87" s="1447"/>
      <c r="M87" s="1447"/>
      <c r="N87" s="1448"/>
      <c r="O87" s="25"/>
      <c r="P87" s="25"/>
      <c r="Q87" s="25"/>
      <c r="R87" s="25"/>
      <c r="S87" s="25"/>
      <c r="T87" s="25"/>
      <c r="U87" s="25"/>
      <c r="V87" s="25"/>
      <c r="W87" s="25"/>
      <c r="X87" s="25"/>
      <c r="Y87" s="25"/>
      <c r="Z87" s="25"/>
      <c r="AA87" s="25"/>
      <c r="AB87" s="25"/>
      <c r="AC87" s="25"/>
    </row>
    <row r="88" spans="1:29" ht="12.5" x14ac:dyDescent="0.25">
      <c r="A88" s="25"/>
      <c r="B88" s="1444"/>
      <c r="C88" s="1444"/>
      <c r="D88" s="1444"/>
      <c r="E88" s="187"/>
      <c r="F88" s="187"/>
      <c r="G88" s="187" t="str">
        <f t="shared" ca="1" si="28"/>
        <v/>
      </c>
      <c r="H88" s="1446" t="str" cm="1">
        <f t="array" aca="1" ref="H88" ca="1">IFERROR(INDEX($F$84:$F$101,_xlfn.AGGREGATE(15,6,ROW($F$84:$F$101)-ROW($F$84)+1/($F$84:$F$101&lt;&gt;""),ROWS(H$84:H88))),"")</f>
        <v/>
      </c>
      <c r="I88" s="1447"/>
      <c r="J88" s="1447"/>
      <c r="K88" s="1447"/>
      <c r="L88" s="1447"/>
      <c r="M88" s="1447"/>
      <c r="N88" s="1448"/>
      <c r="O88" s="25"/>
      <c r="P88" s="25"/>
      <c r="Q88" s="25"/>
      <c r="R88" s="25"/>
      <c r="S88" s="25"/>
      <c r="T88" s="25"/>
      <c r="U88" s="25"/>
      <c r="V88" s="25"/>
      <c r="W88" s="25"/>
      <c r="X88" s="25"/>
      <c r="Y88" s="25"/>
      <c r="Z88" s="25"/>
      <c r="AA88" s="25"/>
      <c r="AB88" s="25"/>
      <c r="AC88" s="25"/>
    </row>
    <row r="89" spans="1:29" ht="12.5" x14ac:dyDescent="0.25">
      <c r="A89" s="25"/>
      <c r="B89" s="1444"/>
      <c r="C89" s="1444"/>
      <c r="D89" s="1444"/>
      <c r="E89" s="187"/>
      <c r="F89" s="187"/>
      <c r="G89" s="187" t="str">
        <f ca="1">IFERROR(VLOOKUP(H89,B$84:E$101,4,FALSE),"")</f>
        <v/>
      </c>
      <c r="H89" s="1446" t="str" cm="1">
        <f t="array" aca="1" ref="H89" ca="1">IFERROR(INDEX($F$84:$F$101,_xlfn.AGGREGATE(15,6,ROW($F$84:$F$101)-ROW($F$84)+1/($F$84:$F$101&lt;&gt;""),ROWS(H$84:H89))),"")</f>
        <v/>
      </c>
      <c r="I89" s="1447"/>
      <c r="J89" s="1447"/>
      <c r="K89" s="1447"/>
      <c r="L89" s="1447"/>
      <c r="M89" s="1447"/>
      <c r="N89" s="1448"/>
      <c r="O89" s="25"/>
      <c r="P89" s="25"/>
      <c r="Q89" s="25"/>
      <c r="R89" s="25"/>
      <c r="S89" s="25"/>
      <c r="T89" s="25"/>
      <c r="U89" s="25"/>
      <c r="V89" s="25"/>
      <c r="W89" s="25"/>
      <c r="X89" s="25"/>
      <c r="Y89" s="25"/>
      <c r="Z89" s="25"/>
      <c r="AA89" s="25"/>
      <c r="AB89" s="25"/>
      <c r="AC89" s="25"/>
    </row>
    <row r="90" spans="1:29" ht="12.5" x14ac:dyDescent="0.25">
      <c r="A90" s="25"/>
      <c r="B90" s="1444" t="s">
        <v>1058</v>
      </c>
      <c r="C90" s="1444"/>
      <c r="D90" s="1444"/>
      <c r="E90" s="187"/>
      <c r="F90" s="187" t="str">
        <f>IFERROR(IF(OR(AND(ICApp1HouseholdIncomeApportioningRatio&lt;&gt;1,ICApp1ForeignIncomeFlag="Yes"),AND(ICApp2HouseholdIncomeApportioningRatio&lt;&gt;1,ICApp2ForeignIncomeFlag="Yes"),AND(ICApp3HouseholdIncomeApportioningRatio&lt;&gt;1,ICApp3ForeignIncomeFlag="Yes"),AND(ICApp4HouseholdIncomeApportioningRatio&lt;&gt;1,ICApp4ForeignIncomeFlag="Yes"),AND(ICApp5HouseholdIncomeApportioningRatio&lt;&gt;1,ICApp5ForeignIncomeFlag="Yes"),AND(ICApp6HouseholdIncomeApportioningRatio&lt;&gt;1,ICApp6ForeignIncomeFlag="Yes")),B90,""),"")</f>
        <v/>
      </c>
      <c r="G90" s="187" t="str">
        <f t="shared" ca="1" si="28"/>
        <v/>
      </c>
      <c r="H90" s="1446" t="str" cm="1">
        <f t="array" aca="1" ref="H90" ca="1">IFERROR(INDEX($F$84:$F$101,_xlfn.AGGREGATE(15,6,ROW($F$84:$F$101)-ROW($F$84)+1/($F$84:$F$101&lt;&gt;""),ROWS(H$84:H90))),"")</f>
        <v/>
      </c>
      <c r="I90" s="1447"/>
      <c r="J90" s="1447"/>
      <c r="K90" s="1447"/>
      <c r="L90" s="1447"/>
      <c r="M90" s="1447"/>
      <c r="N90" s="1448"/>
      <c r="O90" s="25"/>
      <c r="P90" s="25"/>
      <c r="Q90" s="25"/>
      <c r="R90" s="25"/>
      <c r="S90" s="25"/>
      <c r="T90" s="25"/>
      <c r="U90" s="25"/>
      <c r="V90" s="25"/>
      <c r="W90" s="25"/>
      <c r="X90" s="25"/>
      <c r="Y90" s="25"/>
      <c r="Z90" s="25"/>
      <c r="AA90" s="25"/>
      <c r="AB90" s="25"/>
      <c r="AC90" s="25"/>
    </row>
    <row r="91" spans="1:29" ht="12.5" x14ac:dyDescent="0.25">
      <c r="A91" s="25"/>
      <c r="B91" s="1444" t="s">
        <v>1059</v>
      </c>
      <c r="C91" s="1444"/>
      <c r="D91" s="1444"/>
      <c r="E91" s="187"/>
      <c r="F91" s="187" t="str">
        <f>IFERROR(IF(AND(OR(E49="Yes",G49="Yes",I49="Yes",K49="Yes",M49="Yes",O49="Yes"),COUNTIF(Serviceability!M140:M259,"Apportioned")&gt;0),B91,""),"")</f>
        <v/>
      </c>
      <c r="G91" s="187" t="str">
        <f t="shared" ca="1" si="28"/>
        <v/>
      </c>
      <c r="H91" s="1446" t="str" cm="1">
        <f t="array" aca="1" ref="H91" ca="1">IFERROR(INDEX($F$84:$F$101,_xlfn.AGGREGATE(15,6,ROW($F$84:$F$101)-ROW($F$84)+1/($F$84:$F$101&lt;&gt;""),ROWS(H$84:H91))),"")</f>
        <v/>
      </c>
      <c r="I91" s="1447"/>
      <c r="J91" s="1447"/>
      <c r="K91" s="1447"/>
      <c r="L91" s="1447"/>
      <c r="M91" s="1447"/>
      <c r="N91" s="1448"/>
      <c r="O91" s="25"/>
      <c r="P91" s="25"/>
      <c r="Q91" s="25"/>
      <c r="R91" s="25"/>
      <c r="S91" s="25"/>
      <c r="T91" s="25"/>
      <c r="U91" s="25"/>
      <c r="V91" s="25"/>
      <c r="W91" s="25"/>
      <c r="X91" s="25"/>
      <c r="Y91" s="25"/>
      <c r="Z91" s="25"/>
      <c r="AA91" s="25"/>
      <c r="AB91" s="25"/>
      <c r="AC91" s="25"/>
    </row>
    <row r="92" spans="1:29" ht="12.5" x14ac:dyDescent="0.25">
      <c r="A92" s="25"/>
      <c r="B92" s="1445" t="s">
        <v>1618</v>
      </c>
      <c r="C92" s="1445"/>
      <c r="D92" s="1445"/>
      <c r="E92" s="932"/>
      <c r="F92" s="932" t="str">
        <f>IFERROR(IF(AND(SCALMIFlag="Yes",COUNTIF(SEAApplicantDataTable[SEAAssessmentType],"Fast track")&gt;0,OR(E43="Yes",G43="Yes",I43="Yes",K43="Yes",M43="Yes",O43="Yes")),B91,""),"")</f>
        <v/>
      </c>
      <c r="G92" s="187" t="str">
        <f t="shared" ca="1" si="28"/>
        <v/>
      </c>
      <c r="H92" s="1446" t="str" cm="1">
        <f t="array" aca="1" ref="H92" ca="1">IFERROR(INDEX($F$84:$F$101,_xlfn.AGGREGATE(15,6,ROW($F$84:$F$101)-ROW($F$84)+1/($F$84:$F$101&lt;&gt;""),ROWS(H$84:H92))),"")</f>
        <v/>
      </c>
      <c r="I92" s="1447"/>
      <c r="J92" s="1447"/>
      <c r="K92" s="1447"/>
      <c r="L92" s="1447"/>
      <c r="M92" s="1447"/>
      <c r="N92" s="1448"/>
      <c r="O92" s="25"/>
      <c r="P92" s="25"/>
      <c r="Q92" s="25"/>
      <c r="R92" s="25"/>
      <c r="S92" s="25"/>
      <c r="T92" s="25"/>
      <c r="U92" s="25"/>
      <c r="V92" s="25"/>
      <c r="W92" s="25"/>
      <c r="X92" s="25"/>
      <c r="Y92" s="25"/>
      <c r="Z92" s="25"/>
      <c r="AA92" s="25"/>
      <c r="AB92" s="25"/>
      <c r="AC92" s="25"/>
    </row>
    <row r="93" spans="1:29" ht="12.5" x14ac:dyDescent="0.25">
      <c r="A93" s="25"/>
      <c r="B93" s="1445"/>
      <c r="C93" s="1445"/>
      <c r="D93" s="1445"/>
      <c r="E93" s="187"/>
      <c r="F93" s="187"/>
      <c r="G93" s="187" t="str">
        <f t="shared" ca="1" si="28"/>
        <v/>
      </c>
      <c r="H93" s="1446" t="str" cm="1">
        <f t="array" aca="1" ref="H93" ca="1">IFERROR(INDEX($F$84:$F$101,_xlfn.AGGREGATE(15,6,ROW($F$84:$F$101)-ROW($F$84)+1/($F$84:$F$101&lt;&gt;""),ROWS(H$84:H93))),"")</f>
        <v/>
      </c>
      <c r="I93" s="1447"/>
      <c r="J93" s="1447"/>
      <c r="K93" s="1447"/>
      <c r="L93" s="1447"/>
      <c r="M93" s="1447"/>
      <c r="N93" s="1448"/>
      <c r="O93" s="25"/>
      <c r="P93" s="25"/>
      <c r="Q93" s="25"/>
      <c r="R93" s="25"/>
      <c r="S93" s="25"/>
      <c r="T93" s="25"/>
      <c r="U93" s="25"/>
      <c r="V93" s="25"/>
      <c r="W93" s="25"/>
      <c r="X93" s="25"/>
      <c r="Y93" s="25"/>
      <c r="Z93" s="25"/>
      <c r="AA93" s="25"/>
      <c r="AB93" s="25"/>
      <c r="AC93" s="25"/>
    </row>
    <row r="94" spans="1:29" ht="12.5" x14ac:dyDescent="0.25">
      <c r="A94" s="25"/>
      <c r="B94" s="1444" t="s">
        <v>1442</v>
      </c>
      <c r="C94" s="1444"/>
      <c r="D94" s="1444"/>
      <c r="E94" s="187"/>
      <c r="F94" s="187" t="str">
        <f>IFERROR(IF(COUNTIF(SEBBusinessDataTable[SEBMessageID],"A")&gt;0,B94,""),"")</f>
        <v/>
      </c>
      <c r="G94" s="187" t="str">
        <f t="shared" ca="1" si="28"/>
        <v/>
      </c>
      <c r="H94" s="1446" t="str" cm="1">
        <f t="array" aca="1" ref="H94" ca="1">IFERROR(INDEX($F$84:$F$101,_xlfn.AGGREGATE(15,6,ROW($F$84:$F$101)-ROW($F$84)+1/($F$84:$F$101&lt;&gt;""),ROWS(H$84:H94))),"")</f>
        <v/>
      </c>
      <c r="I94" s="1447"/>
      <c r="J94" s="1447"/>
      <c r="K94" s="1447"/>
      <c r="L94" s="1447"/>
      <c r="M94" s="1447"/>
      <c r="N94" s="1448"/>
      <c r="O94" s="25"/>
      <c r="P94" s="25"/>
      <c r="Q94" s="25"/>
      <c r="R94" s="25"/>
      <c r="S94" s="25"/>
      <c r="T94" s="25"/>
      <c r="U94" s="25"/>
      <c r="V94" s="25"/>
      <c r="W94" s="25"/>
      <c r="X94" s="25"/>
      <c r="Y94" s="25"/>
      <c r="Z94" s="25"/>
      <c r="AA94" s="25"/>
      <c r="AB94" s="25"/>
      <c r="AC94" s="25"/>
    </row>
    <row r="95" spans="1:29" ht="12.5" x14ac:dyDescent="0.25">
      <c r="A95" s="25"/>
      <c r="B95" s="1444"/>
      <c r="C95" s="1444"/>
      <c r="D95" s="1444"/>
      <c r="E95" s="187"/>
      <c r="F95" s="187"/>
      <c r="G95" s="187" t="str">
        <f t="shared" ca="1" si="28"/>
        <v/>
      </c>
      <c r="H95" s="1446" t="str" cm="1">
        <f t="array" aca="1" ref="H95" ca="1">IFERROR(INDEX($F$84:$F$101,_xlfn.AGGREGATE(15,6,ROW($F$84:$F$101)-ROW($F$84)+1/($F$84:$F$101&lt;&gt;""),ROWS(H$84:H95))),"")</f>
        <v/>
      </c>
      <c r="I95" s="1447"/>
      <c r="J95" s="1447"/>
      <c r="K95" s="1447"/>
      <c r="L95" s="1447"/>
      <c r="M95" s="1447"/>
      <c r="N95" s="1448"/>
      <c r="O95" s="25"/>
      <c r="P95" s="25"/>
      <c r="Q95" s="25"/>
      <c r="R95" s="25"/>
      <c r="S95" s="25"/>
      <c r="T95" s="25"/>
      <c r="U95" s="25"/>
      <c r="V95" s="25"/>
      <c r="W95" s="25"/>
      <c r="X95" s="25"/>
      <c r="Y95" s="25"/>
      <c r="Z95" s="25"/>
      <c r="AA95" s="25"/>
      <c r="AB95" s="25"/>
      <c r="AC95" s="25"/>
    </row>
    <row r="96" spans="1:29" ht="12.5" x14ac:dyDescent="0.25">
      <c r="A96" s="25"/>
      <c r="B96" s="1444" t="s">
        <v>2034</v>
      </c>
      <c r="C96" s="1444"/>
      <c r="D96" s="1444"/>
      <c r="E96" s="187"/>
      <c r="F96" s="187" t="str">
        <f>IFERROR(IF(COUNTIF(SEBBusinessDataTable[SEBMessageID],"B")&gt;0,B96,""),"")</f>
        <v/>
      </c>
      <c r="G96" s="187" t="str">
        <f t="shared" ca="1" si="28"/>
        <v/>
      </c>
      <c r="H96" s="1446" t="str" cm="1">
        <f t="array" aca="1" ref="H96" ca="1">IFERROR(INDEX($F$84:$F$101,_xlfn.AGGREGATE(15,6,ROW($F$84:$F$101)-ROW($F$84)+1/($F$84:$F$101&lt;&gt;""),ROWS(H$84:H96))),"")</f>
        <v/>
      </c>
      <c r="I96" s="1447"/>
      <c r="J96" s="1447"/>
      <c r="K96" s="1447"/>
      <c r="L96" s="1447"/>
      <c r="M96" s="1447"/>
      <c r="N96" s="1448"/>
      <c r="O96" s="25"/>
      <c r="P96" s="25"/>
      <c r="Q96" s="25"/>
      <c r="R96" s="25"/>
      <c r="S96" s="25"/>
      <c r="T96" s="25"/>
      <c r="U96" s="25"/>
      <c r="V96" s="25"/>
      <c r="W96" s="25"/>
      <c r="X96" s="25"/>
      <c r="Y96" s="25"/>
      <c r="Z96" s="25"/>
      <c r="AA96" s="25"/>
      <c r="AB96" s="25"/>
      <c r="AC96" s="25"/>
    </row>
    <row r="97" spans="1:29" ht="12.5" x14ac:dyDescent="0.25">
      <c r="A97" s="25"/>
      <c r="B97" s="1444"/>
      <c r="C97" s="1444"/>
      <c r="D97" s="1444"/>
      <c r="E97" s="187"/>
      <c r="F97" s="932"/>
      <c r="G97" s="187" t="str">
        <f t="shared" ca="1" si="28"/>
        <v/>
      </c>
      <c r="H97" s="1446" t="str" cm="1">
        <f t="array" aca="1" ref="H97" ca="1">IFERROR(INDEX($F$84:$F$101,_xlfn.AGGREGATE(15,6,ROW($F$84:$F$101)-ROW($F$84)+1/($F$84:$F$101&lt;&gt;""),ROWS(H$84:H97))),"")</f>
        <v/>
      </c>
      <c r="I97" s="1447"/>
      <c r="J97" s="1447"/>
      <c r="K97" s="1447"/>
      <c r="L97" s="1447"/>
      <c r="M97" s="1447"/>
      <c r="N97" s="1448"/>
      <c r="O97" s="25"/>
      <c r="P97" s="25"/>
      <c r="Q97" s="25"/>
      <c r="R97" s="25"/>
      <c r="S97" s="25"/>
      <c r="T97" s="25"/>
      <c r="U97" s="25"/>
      <c r="V97" s="25"/>
      <c r="W97" s="25"/>
      <c r="X97" s="25"/>
      <c r="Y97" s="25"/>
      <c r="Z97" s="25"/>
      <c r="AA97" s="25"/>
      <c r="AB97" s="25"/>
      <c r="AC97" s="25"/>
    </row>
    <row r="98" spans="1:29" ht="12.5" x14ac:dyDescent="0.25">
      <c r="A98" s="25"/>
      <c r="B98" s="1445"/>
      <c r="C98" s="1445"/>
      <c r="D98" s="1445"/>
      <c r="E98" s="932"/>
      <c r="F98" s="932"/>
      <c r="G98" s="187" t="str">
        <f t="shared" ca="1" si="28"/>
        <v/>
      </c>
      <c r="H98" s="1446" t="str" cm="1">
        <f t="array" aca="1" ref="H98" ca="1">IFERROR(INDEX($F$84:$F$101,_xlfn.AGGREGATE(15,6,ROW($F$84:$F$101)-ROW($F$84)+1/($F$84:$F$101&lt;&gt;""),ROWS(H$84:H98))),"")</f>
        <v/>
      </c>
      <c r="I98" s="1447"/>
      <c r="J98" s="1447"/>
      <c r="K98" s="1447"/>
      <c r="L98" s="1447"/>
      <c r="M98" s="1447"/>
      <c r="N98" s="1448"/>
      <c r="O98" s="25"/>
      <c r="P98" s="25"/>
      <c r="Q98" s="25"/>
      <c r="R98" s="25"/>
      <c r="S98" s="25"/>
      <c r="T98" s="25"/>
      <c r="U98" s="25"/>
      <c r="V98" s="25"/>
      <c r="W98" s="25"/>
      <c r="X98" s="25"/>
      <c r="Y98" s="25"/>
      <c r="Z98" s="25"/>
      <c r="AA98" s="25"/>
      <c r="AB98" s="25"/>
      <c r="AC98" s="25"/>
    </row>
    <row r="99" spans="1:29" ht="12.5" x14ac:dyDescent="0.25">
      <c r="A99" s="25"/>
      <c r="B99" s="1444"/>
      <c r="C99" s="1444"/>
      <c r="D99" s="1444"/>
      <c r="E99" s="187"/>
      <c r="F99" s="187"/>
      <c r="G99" s="187" t="str">
        <f t="shared" ca="1" si="28"/>
        <v/>
      </c>
      <c r="H99" s="1446" t="str" cm="1">
        <f t="array" aca="1" ref="H99" ca="1">IFERROR(INDEX($F$84:$F$101,_xlfn.AGGREGATE(15,6,ROW($F$84:$F$101)-ROW($F$84)+1/($F$84:$F$101&lt;&gt;""),ROWS(H$84:H99))),"")</f>
        <v/>
      </c>
      <c r="I99" s="1447"/>
      <c r="J99" s="1447"/>
      <c r="K99" s="1447"/>
      <c r="L99" s="1447"/>
      <c r="M99" s="1447"/>
      <c r="N99" s="1448"/>
      <c r="O99" s="25"/>
      <c r="P99" s="25"/>
      <c r="Q99" s="25"/>
      <c r="R99" s="25"/>
      <c r="S99" s="25"/>
      <c r="T99" s="25"/>
      <c r="U99" s="25"/>
      <c r="V99" s="25"/>
      <c r="W99" s="25"/>
      <c r="X99" s="25"/>
      <c r="Y99" s="25"/>
      <c r="Z99" s="25"/>
      <c r="AA99" s="25"/>
      <c r="AB99" s="25"/>
      <c r="AC99" s="25"/>
    </row>
    <row r="100" spans="1:29" ht="12.5" x14ac:dyDescent="0.25">
      <c r="A100" s="25"/>
      <c r="B100" s="1445" t="s">
        <v>2373</v>
      </c>
      <c r="C100" s="1445"/>
      <c r="D100" s="1445"/>
      <c r="E100" s="187"/>
      <c r="F100" s="187" t="str">
        <f>IFERROR(IF(SUM(E18,G18,I18,K18,M18,O18,E28,G28,I28,K28,M28,O28,E66,G66,I66,K66,M66,O66,E76,G76,I76,K76,M76,O76)&gt;0,B100,""),"")</f>
        <v/>
      </c>
      <c r="G100" s="187" t="str">
        <f t="shared" ca="1" si="28"/>
        <v/>
      </c>
      <c r="H100" s="1446" t="str" cm="1">
        <f t="array" aca="1" ref="H100" ca="1">IFERROR(INDEX($F$84:$F$101,_xlfn.AGGREGATE(15,6,ROW($F$84:$F$101)-ROW($F$84)+1/($F$84:$F$101&lt;&gt;""),ROWS(H$84:H100))),"")</f>
        <v/>
      </c>
      <c r="I100" s="1447"/>
      <c r="J100" s="1447"/>
      <c r="K100" s="1447"/>
      <c r="L100" s="1447"/>
      <c r="M100" s="1447"/>
      <c r="N100" s="1448"/>
      <c r="O100" s="25"/>
      <c r="P100" s="25"/>
      <c r="Q100" s="25"/>
      <c r="R100" s="25"/>
      <c r="S100" s="25"/>
      <c r="T100" s="25"/>
      <c r="U100" s="25"/>
      <c r="V100" s="25"/>
      <c r="W100" s="25"/>
      <c r="X100" s="25"/>
      <c r="Y100" s="25"/>
      <c r="Z100" s="25"/>
      <c r="AA100" s="25"/>
      <c r="AB100" s="25"/>
      <c r="AC100" s="25"/>
    </row>
    <row r="101" spans="1:29" ht="12.5" x14ac:dyDescent="0.25">
      <c r="A101" s="25"/>
      <c r="B101" s="1444"/>
      <c r="C101" s="1444"/>
      <c r="D101" s="1444"/>
      <c r="E101" s="187"/>
      <c r="F101" s="187"/>
      <c r="G101" s="187" t="str">
        <f ca="1">IFERROR(VLOOKUP(H101,B$84:E$101,4,FALSE),"")</f>
        <v/>
      </c>
      <c r="H101" s="1446" t="str" cm="1">
        <f t="array" aca="1" ref="H101" ca="1">IFERROR(INDEX($F$84:$F$101,_xlfn.AGGREGATE(15,6,ROW($F$84:$F$101)-ROW($F$84)+1/($F$84:$F$101&lt;&gt;""),ROWS(H$84:H101))),"")</f>
        <v/>
      </c>
      <c r="I101" s="1447"/>
      <c r="J101" s="1447"/>
      <c r="K101" s="1447"/>
      <c r="L101" s="1447"/>
      <c r="M101" s="1447"/>
      <c r="N101" s="1448"/>
      <c r="O101" s="25"/>
      <c r="P101" s="25"/>
      <c r="Q101" s="25"/>
      <c r="R101" s="25"/>
      <c r="S101" s="25"/>
      <c r="T101" s="25"/>
      <c r="U101" s="25"/>
      <c r="V101" s="25"/>
      <c r="W101" s="25"/>
      <c r="X101" s="25"/>
      <c r="Y101" s="25"/>
      <c r="Z101" s="25"/>
      <c r="AA101" s="25"/>
      <c r="AB101" s="25"/>
      <c r="AC101" s="25"/>
    </row>
    <row r="102" spans="1:29" ht="12.5" x14ac:dyDescent="0.25">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row>
    <row r="103" spans="1:29" ht="12.5" x14ac:dyDescent="0.25">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row>
    <row r="104" spans="1:29" ht="12.5" x14ac:dyDescent="0.25">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row>
    <row r="105" spans="1:29" ht="13" x14ac:dyDescent="0.25">
      <c r="A105" s="25"/>
      <c r="B105" s="183" t="s">
        <v>438</v>
      </c>
      <c r="C105" s="933">
        <f>IF(COUNTIF(RICPropertyTypeAll,"Student accommodation")&gt;0,C110,IF(OR(E49="Yes",G49="Yes",I49="Yes",K49="Yes",M49="Yes",O49="Yes"),C109,C108))</f>
        <v>1</v>
      </c>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row>
    <row r="106" spans="1:29" ht="12.5" x14ac:dyDescent="0.25">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row>
    <row r="107" spans="1:29" ht="13" x14ac:dyDescent="0.25">
      <c r="A107" s="25"/>
      <c r="B107" s="183" t="s">
        <v>439</v>
      </c>
      <c r="C107" s="183" t="s">
        <v>440</v>
      </c>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row>
    <row r="108" spans="1:29" ht="12.5" x14ac:dyDescent="0.25">
      <c r="A108" s="25"/>
      <c r="B108" s="184" t="s">
        <v>42</v>
      </c>
      <c r="C108" s="186">
        <v>1</v>
      </c>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row>
    <row r="109" spans="1:29" ht="12.5" x14ac:dyDescent="0.25">
      <c r="A109" s="25"/>
      <c r="B109" s="184" t="s">
        <v>441</v>
      </c>
      <c r="C109" s="185">
        <v>1.1499999999999999</v>
      </c>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row>
    <row r="110" spans="1:29" ht="12.5" x14ac:dyDescent="0.25">
      <c r="A110" s="25"/>
      <c r="B110" s="184" t="s">
        <v>1434</v>
      </c>
      <c r="C110" s="185">
        <v>1.25</v>
      </c>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row>
    <row r="111" spans="1:29" ht="12.5" x14ac:dyDescent="0.25">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row>
    <row r="112" spans="1:29" ht="20" x14ac:dyDescent="0.4">
      <c r="A112" s="25"/>
      <c r="B112" s="74" t="s">
        <v>813</v>
      </c>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row>
    <row r="113" spans="1:29" ht="12.5" x14ac:dyDescent="0.25">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row>
    <row r="114" spans="1:29" ht="13" x14ac:dyDescent="0.25">
      <c r="A114" s="25"/>
      <c r="B114" s="183" t="s">
        <v>814</v>
      </c>
      <c r="C114" s="183" t="s">
        <v>15</v>
      </c>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row>
    <row r="115" spans="1:29" ht="12.5" x14ac:dyDescent="0.25">
      <c r="A115" s="25"/>
      <c r="B115" s="184" t="s">
        <v>1048</v>
      </c>
      <c r="C115" s="534">
        <f>COUNTIF(SERBusinessRentalIncomeDataTable[SERPropertyRuralFlag],"Yes")</f>
        <v>0</v>
      </c>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row>
    <row r="116" spans="1:29" ht="12.5" x14ac:dyDescent="0.25">
      <c r="A116" s="25"/>
      <c r="B116" s="184" t="s">
        <v>1406</v>
      </c>
      <c r="C116" s="534">
        <f>COUNTIF(AICEmployerIncomeDataTable[AICPermanentHospitalEmployedDoctorFlag],"Yes")</f>
        <v>0</v>
      </c>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row>
  </sheetData>
  <sheetProtection algorithmName="SHA-512" hashValue="HxD87BrGRziUNhzLVOXOZVBmctMHEVdACk4ZLwidcKNS7COGCIrC3H3xgnRZPYoXtrFZFx8mKo9vwrr8a0vM4Q==" saltValue="y8xUFL5iCYdqAczhbJ6naw==" spinCount="100000" sheet="1" objects="1" scenarios="1" selectLockedCells="1"/>
  <dataConsolidate link="1"/>
  <mergeCells count="43">
    <mergeCell ref="B83:D83"/>
    <mergeCell ref="T4:T5"/>
    <mergeCell ref="B91:D91"/>
    <mergeCell ref="H94:N94"/>
    <mergeCell ref="Z4:AC4"/>
    <mergeCell ref="T18:T19"/>
    <mergeCell ref="Z18:AB18"/>
    <mergeCell ref="S28:V28"/>
    <mergeCell ref="H83:N83"/>
    <mergeCell ref="H86:N86"/>
    <mergeCell ref="B86:D86"/>
    <mergeCell ref="B101:D101"/>
    <mergeCell ref="H84:N84"/>
    <mergeCell ref="H85:N85"/>
    <mergeCell ref="H87:N87"/>
    <mergeCell ref="H88:N88"/>
    <mergeCell ref="B84:D84"/>
    <mergeCell ref="B85:D85"/>
    <mergeCell ref="B87:D87"/>
    <mergeCell ref="B88:D88"/>
    <mergeCell ref="H101:N101"/>
    <mergeCell ref="H89:N89"/>
    <mergeCell ref="B89:D89"/>
    <mergeCell ref="H99:N99"/>
    <mergeCell ref="H100:N100"/>
    <mergeCell ref="H95:N95"/>
    <mergeCell ref="B92:D92"/>
    <mergeCell ref="B99:D99"/>
    <mergeCell ref="B100:D100"/>
    <mergeCell ref="H91:N91"/>
    <mergeCell ref="B90:D90"/>
    <mergeCell ref="H90:N90"/>
    <mergeCell ref="B97:D97"/>
    <mergeCell ref="H97:N97"/>
    <mergeCell ref="H96:N96"/>
    <mergeCell ref="B96:D96"/>
    <mergeCell ref="B95:D95"/>
    <mergeCell ref="B98:D98"/>
    <mergeCell ref="H98:N98"/>
    <mergeCell ref="B93:D93"/>
    <mergeCell ref="B94:D94"/>
    <mergeCell ref="H92:N92"/>
    <mergeCell ref="H93:N93"/>
  </mergeCells>
  <pageMargins left="0.25" right="0.25" top="0.75" bottom="0.75" header="0.3" footer="0.3"/>
  <pageSetup paperSize="9" scale="22" fitToWidth="0"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8115B-ECAF-4EB9-AB6D-4B2340AD2B6C}">
  <sheetPr codeName="shIncomeData">
    <tabColor rgb="FF00B0F0"/>
  </sheetPr>
  <dimension ref="A1:CP80"/>
  <sheetViews>
    <sheetView showRowColHeaders="0" zoomScaleNormal="100" workbookViewId="0">
      <selection activeCell="E2" sqref="E2"/>
    </sheetView>
  </sheetViews>
  <sheetFormatPr defaultRowHeight="12.75" customHeight="1" x14ac:dyDescent="0.25"/>
  <cols>
    <col min="1" max="1" width="26" customWidth="1"/>
    <col min="2" max="2" width="16.81640625" customWidth="1"/>
    <col min="3" max="3" width="23.81640625" customWidth="1"/>
    <col min="4" max="4" width="14.54296875" customWidth="1"/>
    <col min="5" max="5" width="33.1796875" customWidth="1"/>
    <col min="6" max="6" width="23.54296875" customWidth="1"/>
    <col min="7" max="7" width="33" customWidth="1"/>
    <col min="8" max="8" width="23.453125" customWidth="1"/>
    <col min="9" max="9" width="18.54296875" bestFit="1" customWidth="1"/>
    <col min="10" max="10" width="10.81640625" bestFit="1" customWidth="1"/>
    <col min="11" max="11" width="9.54296875" customWidth="1"/>
    <col min="12" max="12" width="27" bestFit="1" customWidth="1"/>
    <col min="13" max="13" width="15.453125" bestFit="1" customWidth="1"/>
    <col min="14" max="14" width="22.1796875" bestFit="1" customWidth="1"/>
    <col min="15" max="15" width="21.26953125" bestFit="1" customWidth="1"/>
    <col min="16" max="16" width="14.7265625" bestFit="1" customWidth="1"/>
    <col min="17" max="17" width="14.81640625" bestFit="1" customWidth="1"/>
    <col min="18" max="18" width="14.7265625" bestFit="1" customWidth="1"/>
    <col min="19" max="19" width="24.54296875" bestFit="1" customWidth="1"/>
    <col min="20" max="20" width="17.81640625" bestFit="1" customWidth="1"/>
    <col min="21" max="21" width="21.26953125" bestFit="1" customWidth="1"/>
    <col min="22" max="22" width="18.26953125" bestFit="1" customWidth="1"/>
    <col min="23" max="23" width="18.453125" bestFit="1" customWidth="1"/>
    <col min="24" max="24" width="21.26953125" bestFit="1" customWidth="1"/>
    <col min="25" max="25" width="18.26953125" bestFit="1" customWidth="1"/>
    <col min="26" max="26" width="18.453125" bestFit="1" customWidth="1"/>
    <col min="27" max="27" width="27" bestFit="1" customWidth="1"/>
    <col min="28" max="28" width="24.81640625" bestFit="1" customWidth="1"/>
    <col min="29" max="29" width="28.453125" bestFit="1" customWidth="1"/>
    <col min="30" max="30" width="31.26953125" bestFit="1" customWidth="1"/>
    <col min="31" max="31" width="28.453125" bestFit="1" customWidth="1"/>
    <col min="32" max="32" width="31.26953125" bestFit="1" customWidth="1"/>
    <col min="33" max="33" width="34" bestFit="1" customWidth="1"/>
    <col min="34" max="34" width="26.453125" bestFit="1" customWidth="1"/>
    <col min="35" max="35" width="23.26953125" bestFit="1" customWidth="1"/>
    <col min="36" max="36" width="24.453125" bestFit="1" customWidth="1"/>
    <col min="37" max="37" width="24.7265625" bestFit="1" customWidth="1"/>
    <col min="38" max="38" width="27" bestFit="1" customWidth="1"/>
    <col min="39" max="39" width="22.81640625" bestFit="1" customWidth="1"/>
    <col min="40" max="40" width="26.54296875" bestFit="1" customWidth="1"/>
    <col min="41" max="41" width="24.1796875" bestFit="1" customWidth="1"/>
    <col min="42" max="42" width="10.1796875" bestFit="1" customWidth="1"/>
    <col min="45" max="45" width="14.7265625" customWidth="1"/>
    <col min="50" max="50" width="30.7265625" bestFit="1" customWidth="1"/>
    <col min="63" max="63" width="15" customWidth="1"/>
    <col min="64" max="64" width="11.26953125" bestFit="1" customWidth="1"/>
    <col min="65" max="65" width="16.453125" customWidth="1"/>
    <col min="66" max="67" width="20.1796875" customWidth="1"/>
    <col min="68" max="68" width="27.1796875" bestFit="1" customWidth="1"/>
    <col min="69" max="80" width="27.1796875" customWidth="1"/>
    <col min="81" max="81" width="29.7265625" bestFit="1" customWidth="1"/>
    <col min="82" max="82" width="33.54296875" bestFit="1" customWidth="1"/>
    <col min="83" max="83" width="24.26953125" customWidth="1"/>
    <col min="86" max="86" width="33" bestFit="1" customWidth="1"/>
    <col min="88" max="88" width="58.26953125" bestFit="1" customWidth="1"/>
    <col min="89" max="89" width="48.7265625" bestFit="1" customWidth="1"/>
    <col min="90" max="90" width="51.453125" bestFit="1" customWidth="1"/>
    <col min="91" max="91" width="44.7265625" bestFit="1" customWidth="1"/>
    <col min="92" max="92" width="47.453125" bestFit="1" customWidth="1"/>
    <col min="93" max="93" width="25.81640625" customWidth="1"/>
    <col min="94" max="94" width="30.81640625" bestFit="1" customWidth="1"/>
    <col min="95" max="96" width="9.1796875" customWidth="1"/>
  </cols>
  <sheetData>
    <row r="1" spans="1:94" ht="12.75" customHeight="1" x14ac:dyDescent="0.25">
      <c r="A1" t="s">
        <v>588</v>
      </c>
      <c r="B1" t="s">
        <v>589</v>
      </c>
      <c r="C1" t="s">
        <v>644</v>
      </c>
      <c r="D1" t="s">
        <v>590</v>
      </c>
      <c r="E1" t="s">
        <v>755</v>
      </c>
      <c r="F1" t="s">
        <v>591</v>
      </c>
      <c r="G1" t="s">
        <v>592</v>
      </c>
      <c r="H1" t="s">
        <v>593</v>
      </c>
      <c r="I1" t="s">
        <v>594</v>
      </c>
      <c r="J1" t="s">
        <v>1577</v>
      </c>
      <c r="K1" t="s">
        <v>595</v>
      </c>
      <c r="L1" t="s">
        <v>596</v>
      </c>
      <c r="M1" t="s">
        <v>597</v>
      </c>
      <c r="N1" t="s">
        <v>598</v>
      </c>
      <c r="O1" t="s">
        <v>599</v>
      </c>
      <c r="P1" t="s">
        <v>600</v>
      </c>
      <c r="Q1" t="s">
        <v>601</v>
      </c>
      <c r="R1" t="s">
        <v>602</v>
      </c>
      <c r="S1" t="s">
        <v>603</v>
      </c>
      <c r="T1" t="s">
        <v>604</v>
      </c>
      <c r="U1" t="s">
        <v>605</v>
      </c>
      <c r="V1" t="s">
        <v>606</v>
      </c>
      <c r="W1" t="s">
        <v>607</v>
      </c>
      <c r="X1" t="s">
        <v>608</v>
      </c>
      <c r="Y1" t="s">
        <v>609</v>
      </c>
      <c r="Z1" t="s">
        <v>610</v>
      </c>
      <c r="AA1" t="s">
        <v>611</v>
      </c>
      <c r="AB1" t="s">
        <v>612</v>
      </c>
      <c r="AC1" t="s">
        <v>613</v>
      </c>
      <c r="AD1" t="s">
        <v>614</v>
      </c>
      <c r="AE1" s="53" t="s">
        <v>615</v>
      </c>
      <c r="AF1" s="53" t="s">
        <v>1594</v>
      </c>
      <c r="AG1" s="53" t="s">
        <v>616</v>
      </c>
      <c r="AH1" s="53" t="s">
        <v>617</v>
      </c>
      <c r="AI1" s="53" t="s">
        <v>1593</v>
      </c>
      <c r="AJ1" s="53" t="s">
        <v>618</v>
      </c>
      <c r="AK1" t="s">
        <v>619</v>
      </c>
      <c r="AL1" t="s">
        <v>2116</v>
      </c>
      <c r="AM1" t="s">
        <v>2115</v>
      </c>
      <c r="AN1" t="s">
        <v>1578</v>
      </c>
      <c r="AO1" t="s">
        <v>1579</v>
      </c>
      <c r="AP1" t="s">
        <v>1580</v>
      </c>
      <c r="AQ1" t="s">
        <v>620</v>
      </c>
      <c r="AR1" t="s">
        <v>621</v>
      </c>
      <c r="AS1" t="s">
        <v>622</v>
      </c>
      <c r="AT1" t="s">
        <v>623</v>
      </c>
      <c r="AU1" t="s">
        <v>624</v>
      </c>
      <c r="AV1" s="508" t="s">
        <v>625</v>
      </c>
      <c r="AW1" t="s">
        <v>626</v>
      </c>
      <c r="AX1" t="s">
        <v>1581</v>
      </c>
      <c r="AY1" t="s">
        <v>627</v>
      </c>
      <c r="AZ1" t="s">
        <v>628</v>
      </c>
      <c r="BA1" t="s">
        <v>629</v>
      </c>
      <c r="BB1" t="s">
        <v>630</v>
      </c>
      <c r="BC1" t="s">
        <v>631</v>
      </c>
      <c r="BD1" t="s">
        <v>632</v>
      </c>
      <c r="BE1" t="s">
        <v>633</v>
      </c>
      <c r="BF1" t="s">
        <v>634</v>
      </c>
      <c r="BG1" t="s">
        <v>635</v>
      </c>
      <c r="BH1" t="s">
        <v>636</v>
      </c>
      <c r="BI1" t="s">
        <v>1595</v>
      </c>
      <c r="BJ1" t="s">
        <v>1596</v>
      </c>
      <c r="BK1" t="s">
        <v>637</v>
      </c>
      <c r="BL1" t="s">
        <v>638</v>
      </c>
      <c r="BM1" t="s">
        <v>639</v>
      </c>
      <c r="BN1" t="s">
        <v>640</v>
      </c>
      <c r="BO1" t="s">
        <v>641</v>
      </c>
      <c r="BP1" t="s">
        <v>642</v>
      </c>
      <c r="BQ1" t="s">
        <v>1582</v>
      </c>
      <c r="BR1" t="s">
        <v>643</v>
      </c>
      <c r="BS1" s="533" t="s">
        <v>812</v>
      </c>
      <c r="BT1" s="533" t="s">
        <v>1583</v>
      </c>
      <c r="BU1" s="508" t="s">
        <v>645</v>
      </c>
      <c r="BV1" s="508" t="s">
        <v>646</v>
      </c>
      <c r="BW1" s="508" t="s">
        <v>647</v>
      </c>
      <c r="BX1" s="508" t="s">
        <v>1049</v>
      </c>
      <c r="BY1" s="508" t="s">
        <v>1050</v>
      </c>
      <c r="BZ1" s="508" t="s">
        <v>1402</v>
      </c>
      <c r="CA1" s="508" t="s">
        <v>1403</v>
      </c>
      <c r="CB1" s="508" t="s">
        <v>1404</v>
      </c>
      <c r="CC1" s="508" t="s">
        <v>1405</v>
      </c>
      <c r="CD1" s="509" t="s">
        <v>1468</v>
      </c>
      <c r="CE1" s="509" t="s">
        <v>1523</v>
      </c>
      <c r="CF1" s="509" t="s">
        <v>1524</v>
      </c>
      <c r="CG1" s="509" t="s">
        <v>1526</v>
      </c>
      <c r="CH1" s="509" t="s">
        <v>1527</v>
      </c>
      <c r="CI1" s="509" t="s">
        <v>1531</v>
      </c>
      <c r="CJ1" s="509" t="s">
        <v>2168</v>
      </c>
      <c r="CK1" s="509" t="s">
        <v>2167</v>
      </c>
      <c r="CL1" s="509" t="s">
        <v>2169</v>
      </c>
      <c r="CM1" s="509" t="s">
        <v>2170</v>
      </c>
      <c r="CN1" s="509" t="s">
        <v>2171</v>
      </c>
      <c r="CO1" s="509" t="s">
        <v>648</v>
      </c>
      <c r="CP1" s="508" t="s">
        <v>655</v>
      </c>
    </row>
    <row r="2" spans="1:94" ht="12.75" customHeight="1" x14ac:dyDescent="0.25">
      <c r="A2" s="25" t="s">
        <v>528</v>
      </c>
      <c r="B2" s="25">
        <v>1</v>
      </c>
      <c r="C2" s="81" t="s">
        <v>9</v>
      </c>
      <c r="D2" s="25">
        <v>1</v>
      </c>
      <c r="E2" s="25" t="b" cm="1">
        <f t="array" ref="E2">NOT(SUMPRODUCT(--(AICEmployerIncomeDataTable[[#This Row],[AICEmploymentBasis]:[AICEmployerName]]&lt;&gt;""))=0)</f>
        <v>1</v>
      </c>
      <c r="F2" s="25" t="s">
        <v>745</v>
      </c>
      <c r="G2" s="25"/>
      <c r="H2" s="25" t="s">
        <v>9</v>
      </c>
      <c r="I2" s="25" t="s">
        <v>11</v>
      </c>
      <c r="J2" s="25" t="s">
        <v>9</v>
      </c>
      <c r="K2" s="25" t="s">
        <v>9</v>
      </c>
      <c r="L2" s="25" t="s">
        <v>12</v>
      </c>
      <c r="M2" s="25"/>
      <c r="N2" s="25"/>
      <c r="O2" s="25" t="s">
        <v>7</v>
      </c>
      <c r="P2" s="319">
        <v>45474</v>
      </c>
      <c r="Q2" s="319">
        <v>45687</v>
      </c>
      <c r="R2" s="320">
        <v>25000</v>
      </c>
      <c r="S2" s="320">
        <v>175000</v>
      </c>
      <c r="T2" s="25" t="s">
        <v>6</v>
      </c>
      <c r="U2" s="319">
        <v>45108</v>
      </c>
      <c r="V2" s="25"/>
      <c r="W2" s="25"/>
      <c r="X2" s="25"/>
      <c r="Y2" s="25" t="s">
        <v>6</v>
      </c>
      <c r="Z2" s="25"/>
      <c r="AA2" s="25"/>
      <c r="AB2" s="25"/>
      <c r="AC2" s="25"/>
      <c r="AD2" s="25"/>
      <c r="AE2" s="56"/>
      <c r="AF2" s="56"/>
      <c r="AG2" s="56"/>
      <c r="AH2" s="56"/>
      <c r="AI2" s="56"/>
      <c r="AJ2" s="56"/>
      <c r="AK2" s="25"/>
      <c r="AL2" s="320"/>
      <c r="AM2" s="320"/>
      <c r="AN2" s="320"/>
      <c r="AO2" s="320"/>
      <c r="AP2" s="25"/>
      <c r="AQ2" s="25"/>
      <c r="AR2" s="320"/>
      <c r="AS2" s="25"/>
      <c r="AT2" s="25"/>
      <c r="AU2" s="25"/>
      <c r="AV2" s="320"/>
      <c r="AW2" s="25"/>
      <c r="AX2" s="25"/>
      <c r="AY2" s="25"/>
      <c r="AZ2" s="25">
        <v>48</v>
      </c>
      <c r="BA2" s="319">
        <v>45474</v>
      </c>
      <c r="BB2" s="319"/>
      <c r="BC2" s="320"/>
      <c r="BD2" s="25" t="s">
        <v>6</v>
      </c>
      <c r="BE2" s="25"/>
      <c r="BF2" s="25">
        <v>48</v>
      </c>
      <c r="BG2" s="25"/>
      <c r="BH2" s="25"/>
      <c r="BI2" s="25"/>
      <c r="BJ2" s="25"/>
      <c r="BK2" s="25"/>
      <c r="BL2" s="25">
        <v>48</v>
      </c>
      <c r="BM2" s="320"/>
      <c r="BN2" s="320"/>
      <c r="BO2" s="25"/>
      <c r="BP2" s="25"/>
      <c r="BQ2" s="320"/>
      <c r="BR2" s="320"/>
      <c r="BS2" s="533"/>
      <c r="BT2" s="533"/>
      <c r="BU2" s="508">
        <v>300000</v>
      </c>
      <c r="BV2" s="508">
        <v>0</v>
      </c>
      <c r="BW2" s="508">
        <v>0</v>
      </c>
      <c r="BX2" s="320">
        <v>0</v>
      </c>
      <c r="BY2" s="320">
        <v>0</v>
      </c>
      <c r="BZ2" s="320"/>
      <c r="CA2" s="320"/>
      <c r="CB2" s="320"/>
      <c r="CC2" s="320">
        <v>0</v>
      </c>
      <c r="CD2" s="320">
        <v>0</v>
      </c>
      <c r="CE2" s="320"/>
      <c r="CF2" s="320"/>
      <c r="CG2" s="320"/>
      <c r="CH2" s="320"/>
      <c r="CI2" s="320"/>
      <c r="CJ2" s="320"/>
      <c r="CK2" s="320">
        <v>0</v>
      </c>
      <c r="CL2" s="320"/>
      <c r="CM2" s="320">
        <v>0</v>
      </c>
      <c r="CN2" s="320"/>
      <c r="CO2" s="56">
        <f>SUM(AICEmployerIncomeDataTable[[#This Row],[AICAssessedAnnualBase]:[AICAssessedAnnualBonus]])</f>
        <v>300000</v>
      </c>
      <c r="CP2" s="508">
        <f>IF(AICEmployerIncomeDataTable[[#This Row],[AICPermanentIncomeVerificationType]]="Emergency Services",AICEmployerIncomeDataTable[[#This Row],[AICAssessedAnnualNonBase]],AICEmployerIncomeDataTable[[#This Row],[AICAssessedAnnualNonBase]]*NonBaseShade)</f>
        <v>0</v>
      </c>
    </row>
    <row r="3" spans="1:94" ht="12.75" customHeight="1" x14ac:dyDescent="0.25">
      <c r="A3" s="25" t="s">
        <v>529</v>
      </c>
      <c r="B3" s="25">
        <v>1</v>
      </c>
      <c r="C3" s="81" t="s">
        <v>9</v>
      </c>
      <c r="D3" s="25">
        <v>2</v>
      </c>
      <c r="E3" s="25" t="b" cm="1">
        <f t="array" ref="E3">NOT(SUMPRODUCT(--(AICEmployerIncomeDataTable[[#This Row],[AICEmploymentBasis]:[AICEmployerName]]&lt;&gt;""))=0)</f>
        <v>0</v>
      </c>
      <c r="F3" s="25"/>
      <c r="G3" s="25"/>
      <c r="H3" s="25"/>
      <c r="I3" s="25"/>
      <c r="J3" s="25"/>
      <c r="K3" s="25"/>
      <c r="L3" s="25"/>
      <c r="M3" s="25"/>
      <c r="N3" s="25"/>
      <c r="O3" s="25"/>
      <c r="P3" s="319"/>
      <c r="Q3" s="25"/>
      <c r="R3" s="25"/>
      <c r="S3" s="25"/>
      <c r="T3" s="25"/>
      <c r="U3" s="319"/>
      <c r="V3" s="25"/>
      <c r="W3" s="25"/>
      <c r="X3" s="25"/>
      <c r="Y3" s="25"/>
      <c r="Z3" s="25"/>
      <c r="AA3" s="25"/>
      <c r="AB3" s="25"/>
      <c r="AC3" s="25"/>
      <c r="AD3" s="25"/>
      <c r="AE3" s="56"/>
      <c r="AF3" s="56"/>
      <c r="AG3" s="56"/>
      <c r="AH3" s="56"/>
      <c r="AI3" s="56"/>
      <c r="AJ3" s="56"/>
      <c r="AK3" s="25"/>
      <c r="AL3" s="320"/>
      <c r="AM3" s="320"/>
      <c r="AN3" s="25"/>
      <c r="AO3" s="25"/>
      <c r="AP3" s="25"/>
      <c r="AQ3" s="25"/>
      <c r="AR3" s="25"/>
      <c r="AS3" s="25"/>
      <c r="AT3" s="25"/>
      <c r="AU3" s="25"/>
      <c r="AV3" s="508"/>
      <c r="AW3" s="25"/>
      <c r="AX3" s="25"/>
      <c r="AY3" s="25"/>
      <c r="AZ3" s="25"/>
      <c r="BA3" s="319"/>
      <c r="BB3" s="25"/>
      <c r="BC3" s="25"/>
      <c r="BD3" s="25"/>
      <c r="BE3" s="25"/>
      <c r="BF3" s="25"/>
      <c r="BG3" s="25"/>
      <c r="BH3" s="25"/>
      <c r="BI3" s="25"/>
      <c r="BJ3" s="25"/>
      <c r="BK3" s="25"/>
      <c r="BL3" s="25"/>
      <c r="BM3" s="320"/>
      <c r="BN3" s="320"/>
      <c r="BO3" s="25"/>
      <c r="BP3" s="25"/>
      <c r="BQ3" s="25"/>
      <c r="BR3" s="320"/>
      <c r="BS3" s="533"/>
      <c r="BT3" s="533"/>
      <c r="BU3" s="508"/>
      <c r="BV3" s="508"/>
      <c r="BW3" s="508"/>
      <c r="BX3" s="508"/>
      <c r="BY3" s="508"/>
      <c r="BZ3" s="508"/>
      <c r="CA3" s="508"/>
      <c r="CB3" s="508"/>
      <c r="CC3" s="508"/>
      <c r="CD3" s="508"/>
      <c r="CE3" s="508"/>
      <c r="CF3" s="508"/>
      <c r="CG3" s="508"/>
      <c r="CH3" s="508"/>
      <c r="CI3" s="508"/>
      <c r="CJ3" s="508"/>
      <c r="CK3" s="508"/>
      <c r="CL3" s="508"/>
      <c r="CM3" s="508"/>
      <c r="CN3" s="508"/>
      <c r="CO3" s="56">
        <f>SUM(AICEmployerIncomeDataTable[[#This Row],[AICAssessedAnnualBase]:[AICAssessedAnnualBonus]])</f>
        <v>0</v>
      </c>
      <c r="CP3" s="508">
        <f>IF(AICEmployerIncomeDataTable[[#This Row],[AICPermanentIncomeVerificationType]]="Emergency Services",AICEmployerIncomeDataTable[[#This Row],[AICAssessedAnnualNonBase]],AICEmployerIncomeDataTable[[#This Row],[AICAssessedAnnualNonBase]]*NonBaseShade)</f>
        <v>0</v>
      </c>
    </row>
    <row r="4" spans="1:94" ht="12.75" customHeight="1" x14ac:dyDescent="0.25">
      <c r="A4" s="25" t="s">
        <v>530</v>
      </c>
      <c r="B4" s="25">
        <v>1</v>
      </c>
      <c r="C4" s="81" t="s">
        <v>9</v>
      </c>
      <c r="D4" s="25">
        <v>3</v>
      </c>
      <c r="E4" s="25" t="b" cm="1">
        <f t="array" ref="E4">NOT(SUMPRODUCT(--(AICEmployerIncomeDataTable[[#This Row],[AICEmploymentBasis]:[AICEmployerName]]&lt;&gt;""))=0)</f>
        <v>0</v>
      </c>
      <c r="F4" s="25"/>
      <c r="G4" s="25"/>
      <c r="H4" s="25"/>
      <c r="I4" s="25"/>
      <c r="J4" s="25"/>
      <c r="K4" s="25"/>
      <c r="L4" s="25"/>
      <c r="M4" s="25"/>
      <c r="N4" s="25"/>
      <c r="O4" s="25"/>
      <c r="P4" s="25"/>
      <c r="Q4" s="25"/>
      <c r="R4" s="25"/>
      <c r="S4" s="25"/>
      <c r="T4" s="25"/>
      <c r="U4" s="25"/>
      <c r="V4" s="25"/>
      <c r="W4" s="25"/>
      <c r="X4" s="25"/>
      <c r="Y4" s="25"/>
      <c r="Z4" s="25"/>
      <c r="AA4" s="25"/>
      <c r="AB4" s="25"/>
      <c r="AC4" s="25"/>
      <c r="AD4" s="25"/>
      <c r="AE4" s="56"/>
      <c r="AF4" s="56"/>
      <c r="AG4" s="56"/>
      <c r="AH4" s="56"/>
      <c r="AI4" s="56"/>
      <c r="AJ4" s="56"/>
      <c r="AK4" s="25"/>
      <c r="AL4" s="25"/>
      <c r="AM4" s="25"/>
      <c r="AN4" s="25"/>
      <c r="AO4" s="25"/>
      <c r="AP4" s="25"/>
      <c r="AQ4" s="25"/>
      <c r="AR4" s="25"/>
      <c r="AS4" s="25"/>
      <c r="AT4" s="25"/>
      <c r="AU4" s="25"/>
      <c r="AV4" s="508"/>
      <c r="AW4" s="25"/>
      <c r="AX4" s="25"/>
      <c r="AY4" s="25"/>
      <c r="AZ4" s="25"/>
      <c r="BA4" s="25"/>
      <c r="BB4" s="25"/>
      <c r="BC4" s="25"/>
      <c r="BD4" s="25"/>
      <c r="BE4" s="25"/>
      <c r="BF4" s="25"/>
      <c r="BG4" s="25"/>
      <c r="BH4" s="25"/>
      <c r="BI4" s="25"/>
      <c r="BJ4" s="25"/>
      <c r="BK4" s="25"/>
      <c r="BL4" s="25"/>
      <c r="BM4" s="25"/>
      <c r="BN4" s="25"/>
      <c r="BO4" s="25"/>
      <c r="BP4" s="25"/>
      <c r="BQ4" s="25"/>
      <c r="BR4" s="25"/>
      <c r="BS4" s="533"/>
      <c r="BT4" s="533"/>
      <c r="BU4" s="508"/>
      <c r="BV4" s="508"/>
      <c r="BW4" s="508"/>
      <c r="BX4" s="508"/>
      <c r="BY4" s="508"/>
      <c r="BZ4" s="508"/>
      <c r="CA4" s="508"/>
      <c r="CB4" s="508"/>
      <c r="CC4" s="508"/>
      <c r="CD4" s="508"/>
      <c r="CE4" s="508"/>
      <c r="CF4" s="508"/>
      <c r="CG4" s="508"/>
      <c r="CH4" s="508"/>
      <c r="CI4" s="508"/>
      <c r="CJ4" s="508"/>
      <c r="CK4" s="508"/>
      <c r="CL4" s="508"/>
      <c r="CM4" s="508"/>
      <c r="CN4" s="508"/>
      <c r="CO4" s="56">
        <f>SUM(AICEmployerIncomeDataTable[[#This Row],[AICAssessedAnnualBase]:[AICAssessedAnnualBonus]])</f>
        <v>0</v>
      </c>
      <c r="CP4" s="508">
        <f>IF(AICEmployerIncomeDataTable[[#This Row],[AICPermanentIncomeVerificationType]]="Emergency Services",AICEmployerIncomeDataTable[[#This Row],[AICAssessedAnnualNonBase]],AICEmployerIncomeDataTable[[#This Row],[AICAssessedAnnualNonBase]]*NonBaseShade)</f>
        <v>0</v>
      </c>
    </row>
    <row r="5" spans="1:94" ht="12.75" customHeight="1" x14ac:dyDescent="0.25">
      <c r="A5" s="25" t="s">
        <v>531</v>
      </c>
      <c r="B5" s="25">
        <v>1</v>
      </c>
      <c r="C5" s="81" t="s">
        <v>9</v>
      </c>
      <c r="D5" s="25">
        <v>4</v>
      </c>
      <c r="E5" s="25" t="b" cm="1">
        <f t="array" ref="E5">NOT(SUMPRODUCT(--(AICEmployerIncomeDataTable[[#This Row],[AICEmploymentBasis]:[AICEmployerName]]&lt;&gt;""))=0)</f>
        <v>0</v>
      </c>
      <c r="F5" s="25"/>
      <c r="G5" s="25"/>
      <c r="H5" s="25"/>
      <c r="I5" s="25"/>
      <c r="J5" s="25"/>
      <c r="K5" s="25"/>
      <c r="L5" s="25"/>
      <c r="M5" s="25"/>
      <c r="N5" s="25"/>
      <c r="O5" s="25"/>
      <c r="P5" s="25"/>
      <c r="Q5" s="25"/>
      <c r="R5" s="25"/>
      <c r="S5" s="25"/>
      <c r="T5" s="25"/>
      <c r="U5" s="25"/>
      <c r="V5" s="25"/>
      <c r="W5" s="25"/>
      <c r="X5" s="25"/>
      <c r="Y5" s="25"/>
      <c r="Z5" s="25"/>
      <c r="AA5" s="25"/>
      <c r="AB5" s="25"/>
      <c r="AC5" s="25"/>
      <c r="AD5" s="25"/>
      <c r="AE5" s="56"/>
      <c r="AF5" s="56"/>
      <c r="AG5" s="56"/>
      <c r="AH5" s="56"/>
      <c r="AI5" s="56"/>
      <c r="AJ5" s="56"/>
      <c r="AK5" s="25"/>
      <c r="AL5" s="25"/>
      <c r="AM5" s="25"/>
      <c r="AN5" s="25"/>
      <c r="AO5" s="25"/>
      <c r="AP5" s="25"/>
      <c r="AQ5" s="25"/>
      <c r="AR5" s="25"/>
      <c r="AS5" s="25"/>
      <c r="AT5" s="25"/>
      <c r="AU5" s="25"/>
      <c r="AV5" s="508"/>
      <c r="AW5" s="25"/>
      <c r="AX5" s="25"/>
      <c r="AY5" s="25"/>
      <c r="AZ5" s="25"/>
      <c r="BA5" s="25"/>
      <c r="BB5" s="25"/>
      <c r="BC5" s="25"/>
      <c r="BD5" s="25"/>
      <c r="BE5" s="25"/>
      <c r="BF5" s="25"/>
      <c r="BG5" s="25"/>
      <c r="BH5" s="25"/>
      <c r="BI5" s="25"/>
      <c r="BJ5" s="25"/>
      <c r="BK5" s="25"/>
      <c r="BL5" s="25"/>
      <c r="BM5" s="25"/>
      <c r="BN5" s="25"/>
      <c r="BO5" s="25"/>
      <c r="BP5" s="25"/>
      <c r="BQ5" s="25"/>
      <c r="BR5" s="25"/>
      <c r="BS5" s="533"/>
      <c r="BT5" s="533"/>
      <c r="BU5" s="508"/>
      <c r="BV5" s="508"/>
      <c r="BW5" s="508"/>
      <c r="BX5" s="508"/>
      <c r="BY5" s="508"/>
      <c r="BZ5" s="508"/>
      <c r="CA5" s="508"/>
      <c r="CB5" s="508"/>
      <c r="CC5" s="508"/>
      <c r="CD5" s="508"/>
      <c r="CE5" s="508"/>
      <c r="CF5" s="508"/>
      <c r="CG5" s="508"/>
      <c r="CH5" s="508"/>
      <c r="CI5" s="508"/>
      <c r="CJ5" s="508"/>
      <c r="CK5" s="508"/>
      <c r="CL5" s="508"/>
      <c r="CM5" s="508"/>
      <c r="CN5" s="508"/>
      <c r="CO5" s="56">
        <f>SUM(AICEmployerIncomeDataTable[[#This Row],[AICAssessedAnnualBase]:[AICAssessedAnnualBonus]])</f>
        <v>0</v>
      </c>
      <c r="CP5" s="508">
        <f>IF(AICEmployerIncomeDataTable[[#This Row],[AICPermanentIncomeVerificationType]]="Emergency Services",AICEmployerIncomeDataTable[[#This Row],[AICAssessedAnnualNonBase]],AICEmployerIncomeDataTable[[#This Row],[AICAssessedAnnualNonBase]]*NonBaseShade)</f>
        <v>0</v>
      </c>
    </row>
    <row r="6" spans="1:94" ht="12.75" customHeight="1" x14ac:dyDescent="0.25">
      <c r="A6" s="25" t="s">
        <v>532</v>
      </c>
      <c r="B6" s="25">
        <v>1</v>
      </c>
      <c r="C6" s="81" t="s">
        <v>9</v>
      </c>
      <c r="D6" s="25">
        <v>5</v>
      </c>
      <c r="E6" s="25" t="b" cm="1">
        <f t="array" ref="E6">NOT(SUMPRODUCT(--(AICEmployerIncomeDataTable[[#This Row],[AICEmploymentBasis]:[AICEmployerName]]&lt;&gt;""))=0)</f>
        <v>0</v>
      </c>
      <c r="F6" s="25"/>
      <c r="G6" s="25"/>
      <c r="H6" s="25"/>
      <c r="I6" s="25"/>
      <c r="J6" s="25"/>
      <c r="K6" s="25"/>
      <c r="L6" s="25"/>
      <c r="M6" s="25"/>
      <c r="N6" s="25"/>
      <c r="O6" s="25"/>
      <c r="P6" s="25"/>
      <c r="Q6" s="25"/>
      <c r="R6" s="25"/>
      <c r="S6" s="25"/>
      <c r="T6" s="25"/>
      <c r="U6" s="25"/>
      <c r="V6" s="25"/>
      <c r="W6" s="25"/>
      <c r="X6" s="25"/>
      <c r="Y6" s="25"/>
      <c r="Z6" s="25"/>
      <c r="AA6" s="25"/>
      <c r="AB6" s="25"/>
      <c r="AC6" s="25"/>
      <c r="AD6" s="25"/>
      <c r="AE6" s="56"/>
      <c r="AF6" s="56"/>
      <c r="AG6" s="56"/>
      <c r="AH6" s="56"/>
      <c r="AI6" s="56"/>
      <c r="AJ6" s="56"/>
      <c r="AK6" s="25"/>
      <c r="AL6" s="25"/>
      <c r="AM6" s="25"/>
      <c r="AN6" s="25"/>
      <c r="AO6" s="25"/>
      <c r="AP6" s="25"/>
      <c r="AQ6" s="25"/>
      <c r="AR6" s="25"/>
      <c r="AS6" s="25"/>
      <c r="AT6" s="25"/>
      <c r="AU6" s="25"/>
      <c r="AV6" s="508"/>
      <c r="AW6" s="25"/>
      <c r="AX6" s="25"/>
      <c r="AY6" s="25"/>
      <c r="AZ6" s="25"/>
      <c r="BA6" s="25"/>
      <c r="BB6" s="25"/>
      <c r="BC6" s="25"/>
      <c r="BD6" s="25"/>
      <c r="BE6" s="25"/>
      <c r="BF6" s="25"/>
      <c r="BG6" s="25"/>
      <c r="BH6" s="25"/>
      <c r="BI6" s="25"/>
      <c r="BJ6" s="25"/>
      <c r="BK6" s="25"/>
      <c r="BL6" s="25"/>
      <c r="BM6" s="25"/>
      <c r="BN6" s="25"/>
      <c r="BO6" s="25"/>
      <c r="BP6" s="25"/>
      <c r="BQ6" s="25"/>
      <c r="BR6" s="25"/>
      <c r="BS6" s="533"/>
      <c r="BT6" s="533"/>
      <c r="BU6" s="508"/>
      <c r="BV6" s="508"/>
      <c r="BW6" s="508"/>
      <c r="BX6" s="508"/>
      <c r="BY6" s="508"/>
      <c r="BZ6" s="508"/>
      <c r="CA6" s="508"/>
      <c r="CB6" s="508"/>
      <c r="CC6" s="508"/>
      <c r="CD6" s="508"/>
      <c r="CE6" s="508"/>
      <c r="CF6" s="508"/>
      <c r="CG6" s="508"/>
      <c r="CH6" s="508"/>
      <c r="CI6" s="508"/>
      <c r="CJ6" s="508"/>
      <c r="CK6" s="508"/>
      <c r="CL6" s="508"/>
      <c r="CM6" s="508"/>
      <c r="CN6" s="508"/>
      <c r="CO6" s="56">
        <f>SUM(AICEmployerIncomeDataTable[[#This Row],[AICAssessedAnnualBase]:[AICAssessedAnnualBonus]])</f>
        <v>0</v>
      </c>
      <c r="CP6" s="508">
        <f>IF(AICEmployerIncomeDataTable[[#This Row],[AICPermanentIncomeVerificationType]]="Emergency Services",AICEmployerIncomeDataTable[[#This Row],[AICAssessedAnnualNonBase]],AICEmployerIncomeDataTable[[#This Row],[AICAssessedAnnualNonBase]]*NonBaseShade)</f>
        <v>0</v>
      </c>
    </row>
    <row r="7" spans="1:94" ht="12.75" customHeight="1" x14ac:dyDescent="0.25">
      <c r="A7" s="25" t="s">
        <v>533</v>
      </c>
      <c r="B7" s="25">
        <v>1</v>
      </c>
      <c r="C7" s="81" t="s">
        <v>12</v>
      </c>
      <c r="D7" s="25">
        <v>1</v>
      </c>
      <c r="E7" s="25" t="b" cm="1">
        <f t="array" ref="E7">NOT(SUMPRODUCT(--(AICEmployerIncomeDataTable[[#This Row],[AICEmploymentBasis]:[AICEmployerName]]&lt;&gt;""))=0)</f>
        <v>0</v>
      </c>
      <c r="F7" s="25"/>
      <c r="G7" s="25"/>
      <c r="H7" s="25"/>
      <c r="I7" s="25"/>
      <c r="J7" s="25"/>
      <c r="K7" s="25"/>
      <c r="L7" s="25"/>
      <c r="M7" s="25"/>
      <c r="N7" s="25"/>
      <c r="O7" s="25"/>
      <c r="P7" s="319"/>
      <c r="Q7" s="25"/>
      <c r="R7" s="25"/>
      <c r="S7" s="25"/>
      <c r="T7" s="25"/>
      <c r="U7" s="319"/>
      <c r="V7" s="25"/>
      <c r="W7" s="25"/>
      <c r="X7" s="25"/>
      <c r="Y7" s="25"/>
      <c r="Z7" s="25"/>
      <c r="AA7" s="25"/>
      <c r="AB7" s="25"/>
      <c r="AC7" s="25"/>
      <c r="AD7" s="25"/>
      <c r="AE7" s="56"/>
      <c r="AF7" s="56"/>
      <c r="AG7" s="56"/>
      <c r="AH7" s="56"/>
      <c r="AI7" s="56"/>
      <c r="AJ7" s="56"/>
      <c r="AK7" s="25"/>
      <c r="AL7" s="320"/>
      <c r="AM7" s="320"/>
      <c r="AN7" s="25"/>
      <c r="AO7" s="25"/>
      <c r="AP7" s="25"/>
      <c r="AQ7" s="25"/>
      <c r="AR7" s="25"/>
      <c r="AS7" s="25"/>
      <c r="AT7" s="25"/>
      <c r="AU7" s="25"/>
      <c r="AV7" s="508"/>
      <c r="AW7" s="25"/>
      <c r="AX7" s="25"/>
      <c r="AY7" s="25"/>
      <c r="AZ7" s="25"/>
      <c r="BA7" s="319"/>
      <c r="BB7" s="25"/>
      <c r="BC7" s="25"/>
      <c r="BD7" s="25"/>
      <c r="BE7" s="25"/>
      <c r="BF7" s="25"/>
      <c r="BG7" s="25"/>
      <c r="BH7" s="25"/>
      <c r="BI7" s="25"/>
      <c r="BJ7" s="25"/>
      <c r="BK7" s="25"/>
      <c r="BL7" s="25"/>
      <c r="BM7" s="320"/>
      <c r="BN7" s="320"/>
      <c r="BO7" s="25"/>
      <c r="BP7" s="25"/>
      <c r="BQ7" s="25"/>
      <c r="BR7" s="320"/>
      <c r="BS7" s="533"/>
      <c r="BT7" s="533"/>
      <c r="BU7" s="508"/>
      <c r="BV7" s="508"/>
      <c r="BW7" s="508"/>
      <c r="BX7" s="320"/>
      <c r="BY7" s="320"/>
      <c r="BZ7" s="320"/>
      <c r="CA7" s="320"/>
      <c r="CB7" s="320"/>
      <c r="CC7" s="320"/>
      <c r="CD7" s="320"/>
      <c r="CE7" s="320"/>
      <c r="CF7" s="320"/>
      <c r="CG7" s="320"/>
      <c r="CH7" s="320"/>
      <c r="CI7" s="320"/>
      <c r="CJ7" s="320"/>
      <c r="CK7" s="320"/>
      <c r="CL7" s="320"/>
      <c r="CM7" s="320"/>
      <c r="CN7" s="320"/>
      <c r="CO7" s="56">
        <f>SUM(AICEmployerIncomeDataTable[[#This Row],[AICAssessedAnnualBase]:[AICAssessedAnnualBonus]])</f>
        <v>0</v>
      </c>
      <c r="CP7" s="508">
        <f>IF(AICEmployerIncomeDataTable[[#This Row],[AICPermanentIncomeVerificationType]]="Emergency Services",AICEmployerIncomeDataTable[[#This Row],[AICAssessedAnnualNonBase]],AICEmployerIncomeDataTable[[#This Row],[AICAssessedAnnualNonBase]]*NonBaseShade)</f>
        <v>0</v>
      </c>
    </row>
    <row r="8" spans="1:94" ht="12.75" customHeight="1" x14ac:dyDescent="0.25">
      <c r="A8" s="25" t="s">
        <v>534</v>
      </c>
      <c r="B8" s="25">
        <v>1</v>
      </c>
      <c r="C8" s="81" t="s">
        <v>12</v>
      </c>
      <c r="D8" s="25">
        <v>2</v>
      </c>
      <c r="E8" s="25" t="b" cm="1">
        <f t="array" ref="E8">NOT(SUMPRODUCT(--(AICEmployerIncomeDataTable[[#This Row],[AICEmploymentBasis]:[AICEmployerName]]&lt;&gt;""))=0)</f>
        <v>0</v>
      </c>
      <c r="F8" s="25"/>
      <c r="G8" s="25"/>
      <c r="H8" s="25"/>
      <c r="I8" s="25"/>
      <c r="J8" s="25"/>
      <c r="K8" s="25"/>
      <c r="L8" s="25"/>
      <c r="M8" s="25"/>
      <c r="N8" s="25"/>
      <c r="O8" s="25"/>
      <c r="P8" s="25"/>
      <c r="Q8" s="25"/>
      <c r="R8" s="25"/>
      <c r="S8" s="25"/>
      <c r="T8" s="25"/>
      <c r="U8" s="25"/>
      <c r="V8" s="25"/>
      <c r="W8" s="25"/>
      <c r="X8" s="25"/>
      <c r="Y8" s="25"/>
      <c r="Z8" s="25"/>
      <c r="AA8" s="25"/>
      <c r="AB8" s="25"/>
      <c r="AC8" s="25"/>
      <c r="AD8" s="25"/>
      <c r="AE8" s="56"/>
      <c r="AF8" s="56"/>
      <c r="AG8" s="56"/>
      <c r="AH8" s="56"/>
      <c r="AI8" s="56"/>
      <c r="AJ8" s="56"/>
      <c r="AK8" s="25"/>
      <c r="AL8" s="25"/>
      <c r="AM8" s="25"/>
      <c r="AN8" s="25"/>
      <c r="AO8" s="25"/>
      <c r="AP8" s="25"/>
      <c r="AQ8" s="25"/>
      <c r="AR8" s="25"/>
      <c r="AS8" s="25"/>
      <c r="AT8" s="25"/>
      <c r="AU8" s="25"/>
      <c r="AV8" s="508"/>
      <c r="AW8" s="25"/>
      <c r="AX8" s="25"/>
      <c r="AY8" s="25"/>
      <c r="AZ8" s="25"/>
      <c r="BA8" s="25"/>
      <c r="BB8" s="25"/>
      <c r="BC8" s="25"/>
      <c r="BD8" s="25"/>
      <c r="BE8" s="25"/>
      <c r="BF8" s="25"/>
      <c r="BG8" s="25"/>
      <c r="BH8" s="25"/>
      <c r="BI8" s="25"/>
      <c r="BJ8" s="25"/>
      <c r="BK8" s="25"/>
      <c r="BL8" s="25"/>
      <c r="BM8" s="25"/>
      <c r="BN8" s="25"/>
      <c r="BO8" s="25"/>
      <c r="BP8" s="25"/>
      <c r="BQ8" s="25"/>
      <c r="BR8" s="25"/>
      <c r="BS8" s="533"/>
      <c r="BT8" s="533"/>
      <c r="BU8" s="508"/>
      <c r="BV8" s="508"/>
      <c r="BW8" s="508"/>
      <c r="BX8" s="508"/>
      <c r="BY8" s="508"/>
      <c r="BZ8" s="508"/>
      <c r="CA8" s="508"/>
      <c r="CB8" s="508"/>
      <c r="CC8" s="508"/>
      <c r="CD8" s="508"/>
      <c r="CE8" s="508"/>
      <c r="CF8" s="508"/>
      <c r="CG8" s="508"/>
      <c r="CH8" s="508"/>
      <c r="CI8" s="508"/>
      <c r="CJ8" s="508"/>
      <c r="CK8" s="508"/>
      <c r="CL8" s="508"/>
      <c r="CM8" s="508"/>
      <c r="CN8" s="508"/>
      <c r="CO8" s="56">
        <f>SUM(AICEmployerIncomeDataTable[[#This Row],[AICAssessedAnnualBase]:[AICAssessedAnnualBonus]])</f>
        <v>0</v>
      </c>
      <c r="CP8" s="508">
        <f>IF(AICEmployerIncomeDataTable[[#This Row],[AICPermanentIncomeVerificationType]]="Emergency Services",AICEmployerIncomeDataTable[[#This Row],[AICAssessedAnnualNonBase]],AICEmployerIncomeDataTable[[#This Row],[AICAssessedAnnualNonBase]]*NonBaseShade)</f>
        <v>0</v>
      </c>
    </row>
    <row r="9" spans="1:94" ht="12.75" customHeight="1" x14ac:dyDescent="0.25">
      <c r="A9" s="25" t="s">
        <v>535</v>
      </c>
      <c r="B9" s="25">
        <v>1</v>
      </c>
      <c r="C9" s="81" t="s">
        <v>12</v>
      </c>
      <c r="D9" s="25">
        <v>3</v>
      </c>
      <c r="E9" s="25" t="b" cm="1">
        <f t="array" ref="E9">NOT(SUMPRODUCT(--(AICEmployerIncomeDataTable[[#This Row],[AICEmploymentBasis]:[AICEmployerName]]&lt;&gt;""))=0)</f>
        <v>0</v>
      </c>
      <c r="F9" s="25"/>
      <c r="G9" s="25"/>
      <c r="H9" s="25"/>
      <c r="I9" s="25"/>
      <c r="J9" s="25"/>
      <c r="K9" s="25"/>
      <c r="L9" s="25"/>
      <c r="M9" s="25"/>
      <c r="N9" s="25"/>
      <c r="O9" s="25"/>
      <c r="P9" s="319"/>
      <c r="Q9" s="25"/>
      <c r="R9" s="25"/>
      <c r="S9" s="25"/>
      <c r="T9" s="25"/>
      <c r="U9" s="319"/>
      <c r="V9" s="25"/>
      <c r="W9" s="25"/>
      <c r="X9" s="25"/>
      <c r="Y9" s="25"/>
      <c r="Z9" s="25"/>
      <c r="AA9" s="25"/>
      <c r="AB9" s="25"/>
      <c r="AC9" s="25"/>
      <c r="AD9" s="25"/>
      <c r="AE9" s="56"/>
      <c r="AF9" s="56"/>
      <c r="AG9" s="56"/>
      <c r="AH9" s="56"/>
      <c r="AI9" s="56"/>
      <c r="AJ9" s="56"/>
      <c r="AK9" s="25"/>
      <c r="AL9" s="25"/>
      <c r="AM9" s="25"/>
      <c r="AN9" s="25"/>
      <c r="AO9" s="25"/>
      <c r="AP9" s="25"/>
      <c r="AQ9" s="25"/>
      <c r="AR9" s="25"/>
      <c r="AS9" s="25"/>
      <c r="AT9" s="25"/>
      <c r="AU9" s="25"/>
      <c r="AV9" s="508"/>
      <c r="AW9" s="25"/>
      <c r="AX9" s="25"/>
      <c r="AY9" s="25"/>
      <c r="AZ9" s="25"/>
      <c r="BA9" s="319"/>
      <c r="BB9" s="25"/>
      <c r="BC9" s="25"/>
      <c r="BD9" s="25"/>
      <c r="BE9" s="25"/>
      <c r="BF9" s="25"/>
      <c r="BG9" s="25"/>
      <c r="BH9" s="25"/>
      <c r="BI9" s="25"/>
      <c r="BJ9" s="25"/>
      <c r="BK9" s="25"/>
      <c r="BL9" s="25"/>
      <c r="BM9" s="25"/>
      <c r="BN9" s="25"/>
      <c r="BO9" s="25"/>
      <c r="BP9" s="25"/>
      <c r="BQ9" s="25"/>
      <c r="BR9" s="25"/>
      <c r="BS9" s="533"/>
      <c r="BT9" s="533"/>
      <c r="BU9" s="508"/>
      <c r="BV9" s="508"/>
      <c r="BW9" s="508"/>
      <c r="BX9" s="508"/>
      <c r="BY9" s="508"/>
      <c r="BZ9" s="508"/>
      <c r="CA9" s="508"/>
      <c r="CB9" s="508"/>
      <c r="CC9" s="508"/>
      <c r="CD9" s="508"/>
      <c r="CE9" s="508"/>
      <c r="CF9" s="508"/>
      <c r="CG9" s="508"/>
      <c r="CH9" s="508"/>
      <c r="CI9" s="508"/>
      <c r="CJ9" s="508"/>
      <c r="CK9" s="508"/>
      <c r="CL9" s="508"/>
      <c r="CM9" s="508"/>
      <c r="CN9" s="508"/>
      <c r="CO9" s="56">
        <f>SUM(AICEmployerIncomeDataTable[[#This Row],[AICAssessedAnnualBase]:[AICAssessedAnnualBonus]])</f>
        <v>0</v>
      </c>
      <c r="CP9" s="508">
        <f>IF(AICEmployerIncomeDataTable[[#This Row],[AICPermanentIncomeVerificationType]]="Emergency Services",AICEmployerIncomeDataTable[[#This Row],[AICAssessedAnnualNonBase]],AICEmployerIncomeDataTable[[#This Row],[AICAssessedAnnualNonBase]]*NonBaseShade)</f>
        <v>0</v>
      </c>
    </row>
    <row r="10" spans="1:94" ht="12.75" customHeight="1" x14ac:dyDescent="0.25">
      <c r="A10" s="25" t="s">
        <v>536</v>
      </c>
      <c r="B10" s="25">
        <v>1</v>
      </c>
      <c r="C10" s="81" t="s">
        <v>12</v>
      </c>
      <c r="D10" s="25">
        <v>4</v>
      </c>
      <c r="E10" s="25" t="b" cm="1">
        <f t="array" ref="E10">NOT(SUMPRODUCT(--(AICEmployerIncomeDataTable[[#This Row],[AICEmploymentBasis]:[AICEmployerName]]&lt;&gt;""))=0)</f>
        <v>0</v>
      </c>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56"/>
      <c r="AF10" s="56"/>
      <c r="AG10" s="56"/>
      <c r="AH10" s="56"/>
      <c r="AI10" s="56"/>
      <c r="AJ10" s="56"/>
      <c r="AK10" s="25"/>
      <c r="AL10" s="25"/>
      <c r="AM10" s="25"/>
      <c r="AN10" s="25"/>
      <c r="AO10" s="25"/>
      <c r="AP10" s="25"/>
      <c r="AQ10" s="25"/>
      <c r="AR10" s="25"/>
      <c r="AS10" s="25"/>
      <c r="AT10" s="25"/>
      <c r="AU10" s="25"/>
      <c r="AV10" s="508"/>
      <c r="AW10" s="25"/>
      <c r="AX10" s="25"/>
      <c r="AY10" s="25"/>
      <c r="AZ10" s="25"/>
      <c r="BA10" s="25"/>
      <c r="BB10" s="25"/>
      <c r="BC10" s="25"/>
      <c r="BD10" s="25"/>
      <c r="BE10" s="25"/>
      <c r="BF10" s="25"/>
      <c r="BG10" s="25"/>
      <c r="BH10" s="25"/>
      <c r="BI10" s="25"/>
      <c r="BJ10" s="25"/>
      <c r="BK10" s="25"/>
      <c r="BL10" s="25"/>
      <c r="BM10" s="25"/>
      <c r="BN10" s="25"/>
      <c r="BO10" s="25"/>
      <c r="BP10" s="25"/>
      <c r="BQ10" s="25"/>
      <c r="BR10" s="25"/>
      <c r="BS10" s="533"/>
      <c r="BT10" s="533"/>
      <c r="BU10" s="508"/>
      <c r="BV10" s="508"/>
      <c r="BW10" s="508"/>
      <c r="BX10" s="508"/>
      <c r="BY10" s="508"/>
      <c r="BZ10" s="508"/>
      <c r="CA10" s="508"/>
      <c r="CB10" s="508"/>
      <c r="CC10" s="508"/>
      <c r="CD10" s="508"/>
      <c r="CE10" s="508"/>
      <c r="CF10" s="508"/>
      <c r="CG10" s="508"/>
      <c r="CH10" s="508"/>
      <c r="CI10" s="508"/>
      <c r="CJ10" s="508"/>
      <c r="CK10" s="508"/>
      <c r="CL10" s="508"/>
      <c r="CM10" s="508"/>
      <c r="CN10" s="508"/>
      <c r="CO10" s="56">
        <f>SUM(AICEmployerIncomeDataTable[[#This Row],[AICAssessedAnnualBase]:[AICAssessedAnnualBonus]])</f>
        <v>0</v>
      </c>
      <c r="CP10" s="508">
        <f>IF(AICEmployerIncomeDataTable[[#This Row],[AICPermanentIncomeVerificationType]]="Emergency Services",AICEmployerIncomeDataTable[[#This Row],[AICAssessedAnnualNonBase]],AICEmployerIncomeDataTable[[#This Row],[AICAssessedAnnualNonBase]]*NonBaseShade)</f>
        <v>0</v>
      </c>
    </row>
    <row r="11" spans="1:94" ht="12.75" customHeight="1" x14ac:dyDescent="0.25">
      <c r="A11" s="25" t="s">
        <v>537</v>
      </c>
      <c r="B11" s="25">
        <v>1</v>
      </c>
      <c r="C11" s="81" t="s">
        <v>12</v>
      </c>
      <c r="D11" s="25">
        <v>5</v>
      </c>
      <c r="E11" s="25" t="b" cm="1">
        <f t="array" ref="E11">NOT(SUMPRODUCT(--(AICEmployerIncomeDataTable[[#This Row],[AICEmploymentBasis]:[AICEmployerName]]&lt;&gt;""))=0)</f>
        <v>0</v>
      </c>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56"/>
      <c r="AF11" s="56"/>
      <c r="AG11" s="56"/>
      <c r="AH11" s="56"/>
      <c r="AI11" s="56"/>
      <c r="AJ11" s="56"/>
      <c r="AK11" s="25"/>
      <c r="AL11" s="25"/>
      <c r="AM11" s="25"/>
      <c r="AN11" s="25"/>
      <c r="AO11" s="25"/>
      <c r="AP11" s="25"/>
      <c r="AQ11" s="25"/>
      <c r="AR11" s="25"/>
      <c r="AS11" s="25"/>
      <c r="AT11" s="25"/>
      <c r="AU11" s="25"/>
      <c r="AV11" s="508"/>
      <c r="AW11" s="25"/>
      <c r="AX11" s="25"/>
      <c r="AY11" s="25"/>
      <c r="AZ11" s="25"/>
      <c r="BA11" s="25"/>
      <c r="BB11" s="25"/>
      <c r="BC11" s="25"/>
      <c r="BD11" s="25"/>
      <c r="BE11" s="25"/>
      <c r="BF11" s="25"/>
      <c r="BG11" s="25"/>
      <c r="BH11" s="25"/>
      <c r="BI11" s="25"/>
      <c r="BJ11" s="25"/>
      <c r="BK11" s="25"/>
      <c r="BL11" s="25"/>
      <c r="BM11" s="25"/>
      <c r="BN11" s="25"/>
      <c r="BO11" s="25"/>
      <c r="BP11" s="25"/>
      <c r="BQ11" s="25"/>
      <c r="BR11" s="25"/>
      <c r="BS11" s="533"/>
      <c r="BT11" s="533"/>
      <c r="BU11" s="508"/>
      <c r="BV11" s="508"/>
      <c r="BW11" s="508"/>
      <c r="BX11" s="508"/>
      <c r="BY11" s="508"/>
      <c r="BZ11" s="508"/>
      <c r="CA11" s="508"/>
      <c r="CB11" s="508"/>
      <c r="CC11" s="508"/>
      <c r="CD11" s="508"/>
      <c r="CE11" s="508"/>
      <c r="CF11" s="508"/>
      <c r="CG11" s="508"/>
      <c r="CH11" s="508"/>
      <c r="CI11" s="508"/>
      <c r="CJ11" s="508"/>
      <c r="CK11" s="508"/>
      <c r="CL11" s="508"/>
      <c r="CM11" s="508"/>
      <c r="CN11" s="508"/>
      <c r="CO11" s="56">
        <f>SUM(AICEmployerIncomeDataTable[[#This Row],[AICAssessedAnnualBase]:[AICAssessedAnnualBonus]])</f>
        <v>0</v>
      </c>
      <c r="CP11" s="508">
        <f>IF(AICEmployerIncomeDataTable[[#This Row],[AICPermanentIncomeVerificationType]]="Emergency Services",AICEmployerIncomeDataTable[[#This Row],[AICAssessedAnnualNonBase]],AICEmployerIncomeDataTable[[#This Row],[AICAssessedAnnualNonBase]]*NonBaseShade)</f>
        <v>0</v>
      </c>
    </row>
    <row r="12" spans="1:94" ht="12.75" customHeight="1" x14ac:dyDescent="0.25">
      <c r="A12" s="25" t="s">
        <v>538</v>
      </c>
      <c r="B12" s="25">
        <v>2</v>
      </c>
      <c r="C12" s="81" t="s">
        <v>9</v>
      </c>
      <c r="D12" s="25">
        <v>1</v>
      </c>
      <c r="E12" s="25" t="b" cm="1">
        <f t="array" ref="E12">NOT(SUMPRODUCT(--(AICEmployerIncomeDataTable[[#This Row],[AICEmploymentBasis]:[AICEmployerName]]&lt;&gt;""))=0)</f>
        <v>0</v>
      </c>
      <c r="F12" s="25"/>
      <c r="G12" s="25"/>
      <c r="H12" s="25"/>
      <c r="I12" s="25"/>
      <c r="J12" s="25"/>
      <c r="K12" s="25"/>
      <c r="L12" s="25"/>
      <c r="M12" s="25"/>
      <c r="N12" s="25"/>
      <c r="O12" s="25"/>
      <c r="P12" s="319"/>
      <c r="Q12" s="25"/>
      <c r="R12" s="25"/>
      <c r="S12" s="25"/>
      <c r="T12" s="25"/>
      <c r="U12" s="319"/>
      <c r="V12" s="25"/>
      <c r="W12" s="25"/>
      <c r="X12" s="25"/>
      <c r="Y12" s="25"/>
      <c r="Z12" s="25"/>
      <c r="AA12" s="25"/>
      <c r="AB12" s="25"/>
      <c r="AC12" s="25"/>
      <c r="AD12" s="25"/>
      <c r="AE12" s="56"/>
      <c r="AF12" s="56"/>
      <c r="AG12" s="56"/>
      <c r="AH12" s="56"/>
      <c r="AI12" s="56"/>
      <c r="AJ12" s="56"/>
      <c r="AK12" s="25"/>
      <c r="AL12" s="320"/>
      <c r="AM12" s="320"/>
      <c r="AN12" s="25"/>
      <c r="AO12" s="25"/>
      <c r="AP12" s="25"/>
      <c r="AQ12" s="25"/>
      <c r="AR12" s="25"/>
      <c r="AS12" s="25"/>
      <c r="AT12" s="25"/>
      <c r="AU12" s="25"/>
      <c r="AV12" s="508"/>
      <c r="AW12" s="25"/>
      <c r="AX12" s="25"/>
      <c r="AY12" s="25"/>
      <c r="AZ12" s="25"/>
      <c r="BA12" s="319"/>
      <c r="BB12" s="319"/>
      <c r="BC12" s="320"/>
      <c r="BD12" s="25"/>
      <c r="BE12" s="25"/>
      <c r="BF12" s="25"/>
      <c r="BG12" s="25"/>
      <c r="BH12" s="25"/>
      <c r="BI12" s="25"/>
      <c r="BJ12" s="25"/>
      <c r="BK12" s="25"/>
      <c r="BL12" s="25"/>
      <c r="BM12" s="25"/>
      <c r="BN12" s="25"/>
      <c r="BO12" s="25"/>
      <c r="BP12" s="25"/>
      <c r="BQ12" s="25"/>
      <c r="BR12" s="25"/>
      <c r="BS12" s="533"/>
      <c r="BT12" s="533"/>
      <c r="BU12" s="508"/>
      <c r="BV12" s="508"/>
      <c r="BW12" s="508"/>
      <c r="BX12" s="508"/>
      <c r="BY12" s="508"/>
      <c r="BZ12" s="508"/>
      <c r="CA12" s="508"/>
      <c r="CB12" s="508"/>
      <c r="CC12" s="508"/>
      <c r="CD12" s="508"/>
      <c r="CE12" s="508"/>
      <c r="CF12" s="508"/>
      <c r="CG12" s="508"/>
      <c r="CH12" s="508"/>
      <c r="CI12" s="508"/>
      <c r="CJ12" s="508"/>
      <c r="CK12" s="508"/>
      <c r="CL12" s="508"/>
      <c r="CM12" s="508"/>
      <c r="CN12" s="508"/>
      <c r="CO12" s="56">
        <f>SUM(AICEmployerIncomeDataTable[[#This Row],[AICAssessedAnnualBase]:[AICAssessedAnnualBonus]])</f>
        <v>0</v>
      </c>
      <c r="CP12" s="508">
        <f>IF(AICEmployerIncomeDataTable[[#This Row],[AICPermanentIncomeVerificationType]]="Emergency Services",AICEmployerIncomeDataTable[[#This Row],[AICAssessedAnnualNonBase]],AICEmployerIncomeDataTable[[#This Row],[AICAssessedAnnualNonBase]]*NonBaseShade)</f>
        <v>0</v>
      </c>
    </row>
    <row r="13" spans="1:94" ht="12.75" customHeight="1" x14ac:dyDescent="0.25">
      <c r="A13" s="25" t="s">
        <v>539</v>
      </c>
      <c r="B13" s="25">
        <v>2</v>
      </c>
      <c r="C13" s="81" t="s">
        <v>9</v>
      </c>
      <c r="D13" s="25">
        <v>2</v>
      </c>
      <c r="E13" s="25" t="b" cm="1">
        <f t="array" ref="E13">NOT(SUMPRODUCT(--(AICEmployerIncomeDataTable[[#This Row],[AICEmploymentBasis]:[AICEmployerName]]&lt;&gt;""))=0)</f>
        <v>0</v>
      </c>
      <c r="F13" s="25"/>
      <c r="G13" s="25"/>
      <c r="H13" s="25"/>
      <c r="I13" s="25"/>
      <c r="J13" s="25"/>
      <c r="K13" s="25"/>
      <c r="L13" s="25"/>
      <c r="M13" s="25"/>
      <c r="N13" s="25"/>
      <c r="O13" s="25"/>
      <c r="P13" s="319"/>
      <c r="Q13" s="25"/>
      <c r="R13" s="25"/>
      <c r="S13" s="25"/>
      <c r="T13" s="25"/>
      <c r="U13" s="319"/>
      <c r="V13" s="25"/>
      <c r="W13" s="25"/>
      <c r="X13" s="25"/>
      <c r="Y13" s="25"/>
      <c r="Z13" s="25"/>
      <c r="AA13" s="25"/>
      <c r="AB13" s="25"/>
      <c r="AC13" s="25"/>
      <c r="AD13" s="25"/>
      <c r="AE13" s="56"/>
      <c r="AF13" s="56"/>
      <c r="AG13" s="56"/>
      <c r="AH13" s="56"/>
      <c r="AI13" s="56"/>
      <c r="AJ13" s="56"/>
      <c r="AK13" s="25"/>
      <c r="AL13" s="25"/>
      <c r="AM13" s="25"/>
      <c r="AN13" s="25"/>
      <c r="AO13" s="25"/>
      <c r="AP13" s="25"/>
      <c r="AQ13" s="25"/>
      <c r="AR13" s="25"/>
      <c r="AS13" s="25"/>
      <c r="AT13" s="25"/>
      <c r="AU13" s="25"/>
      <c r="AV13" s="508"/>
      <c r="AW13" s="25"/>
      <c r="AX13" s="25"/>
      <c r="AY13" s="25"/>
      <c r="AZ13" s="25"/>
      <c r="BA13" s="319"/>
      <c r="BB13" s="25"/>
      <c r="BC13" s="25"/>
      <c r="BD13" s="25"/>
      <c r="BE13" s="25"/>
      <c r="BF13" s="25"/>
      <c r="BG13" s="25"/>
      <c r="BH13" s="25"/>
      <c r="BI13" s="25"/>
      <c r="BJ13" s="25"/>
      <c r="BK13" s="25"/>
      <c r="BL13" s="25"/>
      <c r="BM13" s="25"/>
      <c r="BN13" s="25"/>
      <c r="BO13" s="25"/>
      <c r="BP13" s="25"/>
      <c r="BQ13" s="25"/>
      <c r="BR13" s="25"/>
      <c r="BS13" s="533"/>
      <c r="BT13" s="533"/>
      <c r="BU13" s="508"/>
      <c r="BV13" s="508"/>
      <c r="BW13" s="508"/>
      <c r="BX13" s="508"/>
      <c r="BY13" s="508"/>
      <c r="BZ13" s="508"/>
      <c r="CA13" s="508"/>
      <c r="CB13" s="508"/>
      <c r="CC13" s="508"/>
      <c r="CD13" s="508"/>
      <c r="CE13" s="508"/>
      <c r="CF13" s="508"/>
      <c r="CG13" s="508"/>
      <c r="CH13" s="508"/>
      <c r="CI13" s="508"/>
      <c r="CJ13" s="508"/>
      <c r="CK13" s="508"/>
      <c r="CL13" s="508"/>
      <c r="CM13" s="508"/>
      <c r="CN13" s="508"/>
      <c r="CO13" s="56">
        <f>SUM(AICEmployerIncomeDataTable[[#This Row],[AICAssessedAnnualBase]:[AICAssessedAnnualBonus]])</f>
        <v>0</v>
      </c>
      <c r="CP13" s="508">
        <f>IF(AICEmployerIncomeDataTable[[#This Row],[AICPermanentIncomeVerificationType]]="Emergency Services",AICEmployerIncomeDataTable[[#This Row],[AICAssessedAnnualNonBase]],AICEmployerIncomeDataTable[[#This Row],[AICAssessedAnnualNonBase]]*NonBaseShade)</f>
        <v>0</v>
      </c>
    </row>
    <row r="14" spans="1:94" ht="12.75" customHeight="1" x14ac:dyDescent="0.25">
      <c r="A14" s="25" t="s">
        <v>540</v>
      </c>
      <c r="B14" s="25">
        <v>2</v>
      </c>
      <c r="C14" s="81" t="s">
        <v>9</v>
      </c>
      <c r="D14" s="25">
        <v>3</v>
      </c>
      <c r="E14" s="25" t="b" cm="1">
        <f t="array" ref="E14">NOT(SUMPRODUCT(--(AICEmployerIncomeDataTable[[#This Row],[AICEmploymentBasis]:[AICEmployerName]]&lt;&gt;""))=0)</f>
        <v>0</v>
      </c>
      <c r="F14" s="25"/>
      <c r="G14" s="25"/>
      <c r="H14" s="25"/>
      <c r="I14" s="25"/>
      <c r="J14" s="25"/>
      <c r="K14" s="25"/>
      <c r="L14" s="25"/>
      <c r="M14" s="25"/>
      <c r="N14" s="25"/>
      <c r="O14" s="25"/>
      <c r="P14" s="319"/>
      <c r="Q14" s="319"/>
      <c r="R14" s="320"/>
      <c r="S14" s="320"/>
      <c r="T14" s="25"/>
      <c r="U14" s="319"/>
      <c r="V14" s="25"/>
      <c r="W14" s="25"/>
      <c r="X14" s="25"/>
      <c r="Y14" s="25"/>
      <c r="Z14" s="25"/>
      <c r="AA14" s="25"/>
      <c r="AB14" s="25"/>
      <c r="AC14" s="25"/>
      <c r="AD14" s="25"/>
      <c r="AE14" s="56"/>
      <c r="AF14" s="56"/>
      <c r="AG14" s="56"/>
      <c r="AH14" s="56"/>
      <c r="AI14" s="56"/>
      <c r="AJ14" s="56"/>
      <c r="AK14" s="25"/>
      <c r="AL14" s="320"/>
      <c r="AM14" s="320"/>
      <c r="AN14" s="25"/>
      <c r="AO14" s="25"/>
      <c r="AP14" s="25"/>
      <c r="AQ14" s="25"/>
      <c r="AR14" s="25"/>
      <c r="AS14" s="25"/>
      <c r="AT14" s="25"/>
      <c r="AU14" s="25"/>
      <c r="AV14" s="508"/>
      <c r="AW14" s="25"/>
      <c r="AX14" s="25"/>
      <c r="AY14" s="25"/>
      <c r="AZ14" s="25"/>
      <c r="BA14" s="319"/>
      <c r="BB14" s="25"/>
      <c r="BC14" s="25"/>
      <c r="BD14" s="25"/>
      <c r="BE14" s="25"/>
      <c r="BF14" s="25"/>
      <c r="BG14" s="25"/>
      <c r="BH14" s="25"/>
      <c r="BI14" s="25"/>
      <c r="BJ14" s="25"/>
      <c r="BK14" s="25"/>
      <c r="BL14" s="25"/>
      <c r="BM14" s="25"/>
      <c r="BN14" s="25"/>
      <c r="BO14" s="25"/>
      <c r="BP14" s="25"/>
      <c r="BQ14" s="25"/>
      <c r="BR14" s="25"/>
      <c r="BS14" s="533"/>
      <c r="BT14" s="533"/>
      <c r="BU14" s="508"/>
      <c r="BV14" s="508"/>
      <c r="BW14" s="508"/>
      <c r="BX14" s="508"/>
      <c r="BY14" s="508"/>
      <c r="BZ14" s="508"/>
      <c r="CA14" s="508"/>
      <c r="CB14" s="508"/>
      <c r="CC14" s="508"/>
      <c r="CD14" s="508"/>
      <c r="CE14" s="508"/>
      <c r="CF14" s="508"/>
      <c r="CG14" s="508"/>
      <c r="CH14" s="508"/>
      <c r="CI14" s="508"/>
      <c r="CJ14" s="508"/>
      <c r="CK14" s="508"/>
      <c r="CL14" s="508"/>
      <c r="CM14" s="508"/>
      <c r="CN14" s="508"/>
      <c r="CO14" s="56">
        <f>SUM(AICEmployerIncomeDataTable[[#This Row],[AICAssessedAnnualBase]:[AICAssessedAnnualBonus]])</f>
        <v>0</v>
      </c>
      <c r="CP14" s="508">
        <f>IF(AICEmployerIncomeDataTable[[#This Row],[AICPermanentIncomeVerificationType]]="Emergency Services",AICEmployerIncomeDataTable[[#This Row],[AICAssessedAnnualNonBase]],AICEmployerIncomeDataTable[[#This Row],[AICAssessedAnnualNonBase]]*NonBaseShade)</f>
        <v>0</v>
      </c>
    </row>
    <row r="15" spans="1:94" ht="12.75" customHeight="1" x14ac:dyDescent="0.25">
      <c r="A15" s="25" t="s">
        <v>541</v>
      </c>
      <c r="B15" s="25">
        <v>2</v>
      </c>
      <c r="C15" s="81" t="s">
        <v>9</v>
      </c>
      <c r="D15" s="25">
        <v>4</v>
      </c>
      <c r="E15" s="25" t="b" cm="1">
        <f t="array" ref="E15">NOT(SUMPRODUCT(--(AICEmployerIncomeDataTable[[#This Row],[AICEmploymentBasis]:[AICEmployerName]]&lt;&gt;""))=0)</f>
        <v>0</v>
      </c>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56"/>
      <c r="AF15" s="56"/>
      <c r="AG15" s="56"/>
      <c r="AH15" s="56"/>
      <c r="AI15" s="56"/>
      <c r="AJ15" s="56"/>
      <c r="AK15" s="25"/>
      <c r="AL15" s="25"/>
      <c r="AM15" s="25"/>
      <c r="AN15" s="25"/>
      <c r="AO15" s="25"/>
      <c r="AP15" s="25"/>
      <c r="AQ15" s="25"/>
      <c r="AR15" s="25"/>
      <c r="AS15" s="25"/>
      <c r="AT15" s="25"/>
      <c r="AU15" s="25"/>
      <c r="AV15" s="508"/>
      <c r="AW15" s="25"/>
      <c r="AX15" s="25"/>
      <c r="AY15" s="25"/>
      <c r="AZ15" s="25"/>
      <c r="BA15" s="25"/>
      <c r="BB15" s="25"/>
      <c r="BC15" s="25"/>
      <c r="BD15" s="25"/>
      <c r="BE15" s="25"/>
      <c r="BF15" s="25"/>
      <c r="BG15" s="25"/>
      <c r="BH15" s="25"/>
      <c r="BI15" s="25"/>
      <c r="BJ15" s="25"/>
      <c r="BK15" s="25"/>
      <c r="BL15" s="25"/>
      <c r="BM15" s="25"/>
      <c r="BN15" s="25"/>
      <c r="BO15" s="25"/>
      <c r="BP15" s="25"/>
      <c r="BQ15" s="25"/>
      <c r="BR15" s="25"/>
      <c r="BS15" s="533"/>
      <c r="BT15" s="533"/>
      <c r="BU15" s="508"/>
      <c r="BV15" s="508"/>
      <c r="BW15" s="508"/>
      <c r="BX15" s="508"/>
      <c r="BY15" s="508"/>
      <c r="BZ15" s="508"/>
      <c r="CA15" s="508"/>
      <c r="CB15" s="508"/>
      <c r="CC15" s="508"/>
      <c r="CD15" s="508"/>
      <c r="CE15" s="508"/>
      <c r="CF15" s="508"/>
      <c r="CG15" s="508"/>
      <c r="CH15" s="508"/>
      <c r="CI15" s="508"/>
      <c r="CJ15" s="508"/>
      <c r="CK15" s="508"/>
      <c r="CL15" s="508"/>
      <c r="CM15" s="508"/>
      <c r="CN15" s="508"/>
      <c r="CO15" s="56">
        <f>SUM(AICEmployerIncomeDataTable[[#This Row],[AICAssessedAnnualBase]:[AICAssessedAnnualBonus]])</f>
        <v>0</v>
      </c>
      <c r="CP15" s="508">
        <f>IF(AICEmployerIncomeDataTable[[#This Row],[AICPermanentIncomeVerificationType]]="Emergency Services",AICEmployerIncomeDataTable[[#This Row],[AICAssessedAnnualNonBase]],AICEmployerIncomeDataTable[[#This Row],[AICAssessedAnnualNonBase]]*NonBaseShade)</f>
        <v>0</v>
      </c>
    </row>
    <row r="16" spans="1:94" ht="12.75" customHeight="1" x14ac:dyDescent="0.25">
      <c r="A16" s="25" t="s">
        <v>542</v>
      </c>
      <c r="B16" s="25">
        <v>2</v>
      </c>
      <c r="C16" s="81" t="s">
        <v>9</v>
      </c>
      <c r="D16" s="25">
        <v>5</v>
      </c>
      <c r="E16" s="25" t="b" cm="1">
        <f t="array" ref="E16">NOT(SUMPRODUCT(--(AICEmployerIncomeDataTable[[#This Row],[AICEmploymentBasis]:[AICEmployerName]]&lt;&gt;""))=0)</f>
        <v>0</v>
      </c>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56"/>
      <c r="AF16" s="56"/>
      <c r="AG16" s="56"/>
      <c r="AH16" s="56"/>
      <c r="AI16" s="56"/>
      <c r="AJ16" s="56"/>
      <c r="AK16" s="25"/>
      <c r="AL16" s="25"/>
      <c r="AM16" s="25"/>
      <c r="AN16" s="25"/>
      <c r="AO16" s="25"/>
      <c r="AP16" s="25"/>
      <c r="AQ16" s="25"/>
      <c r="AR16" s="25"/>
      <c r="AS16" s="25"/>
      <c r="AT16" s="25"/>
      <c r="AU16" s="25"/>
      <c r="AV16" s="508"/>
      <c r="AW16" s="25"/>
      <c r="AX16" s="25"/>
      <c r="AY16" s="25"/>
      <c r="AZ16" s="25"/>
      <c r="BA16" s="25"/>
      <c r="BB16" s="25"/>
      <c r="BC16" s="25"/>
      <c r="BD16" s="25"/>
      <c r="BE16" s="25"/>
      <c r="BF16" s="25"/>
      <c r="BG16" s="25"/>
      <c r="BH16" s="25"/>
      <c r="BI16" s="25"/>
      <c r="BJ16" s="25"/>
      <c r="BK16" s="25"/>
      <c r="BL16" s="25"/>
      <c r="BM16" s="25"/>
      <c r="BN16" s="25"/>
      <c r="BO16" s="25"/>
      <c r="BP16" s="25"/>
      <c r="BQ16" s="25"/>
      <c r="BR16" s="25"/>
      <c r="BS16" s="533"/>
      <c r="BT16" s="533"/>
      <c r="BU16" s="508"/>
      <c r="BV16" s="508"/>
      <c r="BW16" s="508"/>
      <c r="BX16" s="508"/>
      <c r="BY16" s="508"/>
      <c r="BZ16" s="508"/>
      <c r="CA16" s="508"/>
      <c r="CB16" s="508"/>
      <c r="CC16" s="508"/>
      <c r="CD16" s="508"/>
      <c r="CE16" s="508"/>
      <c r="CF16" s="508"/>
      <c r="CG16" s="508"/>
      <c r="CH16" s="508"/>
      <c r="CI16" s="508"/>
      <c r="CJ16" s="508"/>
      <c r="CK16" s="508"/>
      <c r="CL16" s="508"/>
      <c r="CM16" s="508"/>
      <c r="CN16" s="508"/>
      <c r="CO16" s="56">
        <f>SUM(AICEmployerIncomeDataTable[[#This Row],[AICAssessedAnnualBase]:[AICAssessedAnnualBonus]])</f>
        <v>0</v>
      </c>
      <c r="CP16" s="508">
        <f>IF(AICEmployerIncomeDataTable[[#This Row],[AICPermanentIncomeVerificationType]]="Emergency Services",AICEmployerIncomeDataTable[[#This Row],[AICAssessedAnnualNonBase]],AICEmployerIncomeDataTable[[#This Row],[AICAssessedAnnualNonBase]]*NonBaseShade)</f>
        <v>0</v>
      </c>
    </row>
    <row r="17" spans="1:94" ht="12.75" customHeight="1" x14ac:dyDescent="0.25">
      <c r="A17" s="25" t="s">
        <v>543</v>
      </c>
      <c r="B17" s="25">
        <v>2</v>
      </c>
      <c r="C17" s="81" t="s">
        <v>12</v>
      </c>
      <c r="D17" s="25">
        <v>1</v>
      </c>
      <c r="E17" s="25" t="b" cm="1">
        <f t="array" ref="E17">NOT(SUMPRODUCT(--(AICEmployerIncomeDataTable[[#This Row],[AICEmploymentBasis]:[AICEmployerName]]&lt;&gt;""))=0)</f>
        <v>0</v>
      </c>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56"/>
      <c r="AF17" s="56"/>
      <c r="AG17" s="56"/>
      <c r="AH17" s="56"/>
      <c r="AI17" s="56"/>
      <c r="AJ17" s="56"/>
      <c r="AK17" s="25"/>
      <c r="AL17" s="25"/>
      <c r="AM17" s="25"/>
      <c r="AN17" s="25"/>
      <c r="AO17" s="25"/>
      <c r="AP17" s="25"/>
      <c r="AQ17" s="25"/>
      <c r="AR17" s="25"/>
      <c r="AS17" s="25"/>
      <c r="AT17" s="25"/>
      <c r="AU17" s="25"/>
      <c r="AV17" s="508"/>
      <c r="AW17" s="25"/>
      <c r="AX17" s="25"/>
      <c r="AY17" s="25"/>
      <c r="AZ17" s="25"/>
      <c r="BA17" s="25"/>
      <c r="BB17" s="25"/>
      <c r="BC17" s="25"/>
      <c r="BD17" s="25"/>
      <c r="BE17" s="25"/>
      <c r="BF17" s="25"/>
      <c r="BG17" s="25"/>
      <c r="BH17" s="25"/>
      <c r="BI17" s="25"/>
      <c r="BJ17" s="25"/>
      <c r="BK17" s="25"/>
      <c r="BL17" s="25"/>
      <c r="BM17" s="25"/>
      <c r="BN17" s="25"/>
      <c r="BO17" s="25"/>
      <c r="BP17" s="25"/>
      <c r="BQ17" s="25"/>
      <c r="BR17" s="25"/>
      <c r="BS17" s="533"/>
      <c r="BT17" s="533"/>
      <c r="BU17" s="508"/>
      <c r="BV17" s="508"/>
      <c r="BW17" s="508"/>
      <c r="BX17" s="508"/>
      <c r="BY17" s="508"/>
      <c r="BZ17" s="508"/>
      <c r="CA17" s="508"/>
      <c r="CB17" s="508"/>
      <c r="CC17" s="508"/>
      <c r="CD17" s="508"/>
      <c r="CE17" s="508"/>
      <c r="CF17" s="508"/>
      <c r="CG17" s="508"/>
      <c r="CH17" s="508"/>
      <c r="CI17" s="508"/>
      <c r="CJ17" s="508"/>
      <c r="CK17" s="508"/>
      <c r="CL17" s="508"/>
      <c r="CM17" s="508"/>
      <c r="CN17" s="508"/>
      <c r="CO17" s="56">
        <f>SUM(AICEmployerIncomeDataTable[[#This Row],[AICAssessedAnnualBase]:[AICAssessedAnnualBonus]])</f>
        <v>0</v>
      </c>
      <c r="CP17" s="508">
        <f>IF(AICEmployerIncomeDataTable[[#This Row],[AICPermanentIncomeVerificationType]]="Emergency Services",AICEmployerIncomeDataTable[[#This Row],[AICAssessedAnnualNonBase]],AICEmployerIncomeDataTable[[#This Row],[AICAssessedAnnualNonBase]]*NonBaseShade)</f>
        <v>0</v>
      </c>
    </row>
    <row r="18" spans="1:94" ht="12.75" customHeight="1" x14ac:dyDescent="0.25">
      <c r="A18" s="25" t="s">
        <v>544</v>
      </c>
      <c r="B18" s="25">
        <v>2</v>
      </c>
      <c r="C18" s="81" t="s">
        <v>12</v>
      </c>
      <c r="D18" s="25">
        <v>2</v>
      </c>
      <c r="E18" s="25" t="b" cm="1">
        <f t="array" ref="E18">NOT(SUMPRODUCT(--(AICEmployerIncomeDataTable[[#This Row],[AICEmploymentBasis]:[AICEmployerName]]&lt;&gt;""))=0)</f>
        <v>0</v>
      </c>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56"/>
      <c r="AF18" s="56"/>
      <c r="AG18" s="56"/>
      <c r="AH18" s="56"/>
      <c r="AI18" s="56"/>
      <c r="AJ18" s="56"/>
      <c r="AK18" s="25"/>
      <c r="AL18" s="25"/>
      <c r="AM18" s="25"/>
      <c r="AN18" s="25"/>
      <c r="AO18" s="25"/>
      <c r="AP18" s="25"/>
      <c r="AQ18" s="25"/>
      <c r="AR18" s="25"/>
      <c r="AS18" s="25"/>
      <c r="AT18" s="25"/>
      <c r="AU18" s="25"/>
      <c r="AV18" s="508"/>
      <c r="AW18" s="25"/>
      <c r="AX18" s="25"/>
      <c r="AY18" s="25"/>
      <c r="AZ18" s="25"/>
      <c r="BA18" s="25"/>
      <c r="BB18" s="25"/>
      <c r="BC18" s="25"/>
      <c r="BD18" s="25"/>
      <c r="BE18" s="25"/>
      <c r="BF18" s="25"/>
      <c r="BG18" s="25"/>
      <c r="BH18" s="25"/>
      <c r="BI18" s="25"/>
      <c r="BJ18" s="25"/>
      <c r="BK18" s="25"/>
      <c r="BL18" s="25"/>
      <c r="BM18" s="25"/>
      <c r="BN18" s="25"/>
      <c r="BO18" s="25"/>
      <c r="BP18" s="25"/>
      <c r="BQ18" s="25"/>
      <c r="BR18" s="25"/>
      <c r="BS18" s="533"/>
      <c r="BT18" s="533"/>
      <c r="BU18" s="508"/>
      <c r="BV18" s="508"/>
      <c r="BW18" s="508"/>
      <c r="BX18" s="508"/>
      <c r="BY18" s="508"/>
      <c r="BZ18" s="508"/>
      <c r="CA18" s="508"/>
      <c r="CB18" s="508"/>
      <c r="CC18" s="508"/>
      <c r="CD18" s="508"/>
      <c r="CE18" s="508"/>
      <c r="CF18" s="508"/>
      <c r="CG18" s="508"/>
      <c r="CH18" s="508"/>
      <c r="CI18" s="508"/>
      <c r="CJ18" s="508"/>
      <c r="CK18" s="508"/>
      <c r="CL18" s="508"/>
      <c r="CM18" s="508"/>
      <c r="CN18" s="508"/>
      <c r="CO18" s="56">
        <f>SUM(AICEmployerIncomeDataTable[[#This Row],[AICAssessedAnnualBase]:[AICAssessedAnnualBonus]])</f>
        <v>0</v>
      </c>
      <c r="CP18" s="508">
        <f>IF(AICEmployerIncomeDataTable[[#This Row],[AICPermanentIncomeVerificationType]]="Emergency Services",AICEmployerIncomeDataTable[[#This Row],[AICAssessedAnnualNonBase]],AICEmployerIncomeDataTable[[#This Row],[AICAssessedAnnualNonBase]]*NonBaseShade)</f>
        <v>0</v>
      </c>
    </row>
    <row r="19" spans="1:94" ht="12.75" customHeight="1" x14ac:dyDescent="0.25">
      <c r="A19" s="25" t="s">
        <v>545</v>
      </c>
      <c r="B19" s="25">
        <v>2</v>
      </c>
      <c r="C19" s="81" t="s">
        <v>12</v>
      </c>
      <c r="D19" s="25">
        <v>3</v>
      </c>
      <c r="E19" s="25" t="b" cm="1">
        <f t="array" ref="E19">NOT(SUMPRODUCT(--(AICEmployerIncomeDataTable[[#This Row],[AICEmploymentBasis]:[AICEmployerName]]&lt;&gt;""))=0)</f>
        <v>0</v>
      </c>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56"/>
      <c r="AF19" s="56"/>
      <c r="AG19" s="56"/>
      <c r="AH19" s="56"/>
      <c r="AI19" s="56"/>
      <c r="AJ19" s="56"/>
      <c r="AK19" s="25"/>
      <c r="AL19" s="25"/>
      <c r="AM19" s="25"/>
      <c r="AN19" s="25"/>
      <c r="AO19" s="25"/>
      <c r="AP19" s="25"/>
      <c r="AQ19" s="25"/>
      <c r="AR19" s="25"/>
      <c r="AS19" s="25"/>
      <c r="AT19" s="25"/>
      <c r="AU19" s="25"/>
      <c r="AV19" s="508"/>
      <c r="AW19" s="25"/>
      <c r="AX19" s="25"/>
      <c r="AY19" s="25"/>
      <c r="AZ19" s="25"/>
      <c r="BA19" s="25"/>
      <c r="BB19" s="25"/>
      <c r="BC19" s="25"/>
      <c r="BD19" s="25"/>
      <c r="BE19" s="25"/>
      <c r="BF19" s="25"/>
      <c r="BG19" s="25"/>
      <c r="BH19" s="25"/>
      <c r="BI19" s="25"/>
      <c r="BJ19" s="25"/>
      <c r="BK19" s="25"/>
      <c r="BL19" s="25"/>
      <c r="BM19" s="25"/>
      <c r="BN19" s="25"/>
      <c r="BO19" s="25"/>
      <c r="BP19" s="25"/>
      <c r="BQ19" s="25"/>
      <c r="BR19" s="25"/>
      <c r="BS19" s="533"/>
      <c r="BT19" s="533"/>
      <c r="BU19" s="508"/>
      <c r="BV19" s="508"/>
      <c r="BW19" s="508"/>
      <c r="BX19" s="508"/>
      <c r="BY19" s="508"/>
      <c r="BZ19" s="508"/>
      <c r="CA19" s="508"/>
      <c r="CB19" s="508"/>
      <c r="CC19" s="508"/>
      <c r="CD19" s="508"/>
      <c r="CE19" s="508"/>
      <c r="CF19" s="508"/>
      <c r="CG19" s="508"/>
      <c r="CH19" s="508"/>
      <c r="CI19" s="508"/>
      <c r="CJ19" s="508"/>
      <c r="CK19" s="508"/>
      <c r="CL19" s="508"/>
      <c r="CM19" s="508"/>
      <c r="CN19" s="508"/>
      <c r="CO19" s="56">
        <f>SUM(AICEmployerIncomeDataTable[[#This Row],[AICAssessedAnnualBase]:[AICAssessedAnnualBonus]])</f>
        <v>0</v>
      </c>
      <c r="CP19" s="508">
        <f>IF(AICEmployerIncomeDataTable[[#This Row],[AICPermanentIncomeVerificationType]]="Emergency Services",AICEmployerIncomeDataTable[[#This Row],[AICAssessedAnnualNonBase]],AICEmployerIncomeDataTable[[#This Row],[AICAssessedAnnualNonBase]]*NonBaseShade)</f>
        <v>0</v>
      </c>
    </row>
    <row r="20" spans="1:94" ht="12.75" customHeight="1" x14ac:dyDescent="0.25">
      <c r="A20" s="25" t="s">
        <v>546</v>
      </c>
      <c r="B20" s="25">
        <v>2</v>
      </c>
      <c r="C20" s="81" t="s">
        <v>12</v>
      </c>
      <c r="D20" s="25">
        <v>4</v>
      </c>
      <c r="E20" s="25" t="b" cm="1">
        <f t="array" ref="E20">NOT(SUMPRODUCT(--(AICEmployerIncomeDataTable[[#This Row],[AICEmploymentBasis]:[AICEmployerName]]&lt;&gt;""))=0)</f>
        <v>0</v>
      </c>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56"/>
      <c r="AF20" s="56"/>
      <c r="AG20" s="56"/>
      <c r="AH20" s="56"/>
      <c r="AI20" s="56"/>
      <c r="AJ20" s="56"/>
      <c r="AK20" s="25"/>
      <c r="AL20" s="25"/>
      <c r="AM20" s="25"/>
      <c r="AN20" s="25"/>
      <c r="AO20" s="25"/>
      <c r="AP20" s="25"/>
      <c r="AQ20" s="25"/>
      <c r="AR20" s="25"/>
      <c r="AS20" s="25"/>
      <c r="AT20" s="25"/>
      <c r="AU20" s="25"/>
      <c r="AV20" s="508"/>
      <c r="AW20" s="25"/>
      <c r="AX20" s="25"/>
      <c r="AY20" s="25"/>
      <c r="AZ20" s="25"/>
      <c r="BA20" s="25"/>
      <c r="BB20" s="25"/>
      <c r="BC20" s="25"/>
      <c r="BD20" s="25"/>
      <c r="BE20" s="25"/>
      <c r="BF20" s="25"/>
      <c r="BG20" s="25"/>
      <c r="BH20" s="25"/>
      <c r="BI20" s="25"/>
      <c r="BJ20" s="25"/>
      <c r="BK20" s="25"/>
      <c r="BL20" s="25"/>
      <c r="BM20" s="25"/>
      <c r="BN20" s="25"/>
      <c r="BO20" s="25"/>
      <c r="BP20" s="25"/>
      <c r="BQ20" s="25"/>
      <c r="BR20" s="25"/>
      <c r="BS20" s="533"/>
      <c r="BT20" s="533"/>
      <c r="BU20" s="508"/>
      <c r="BV20" s="508"/>
      <c r="BW20" s="508"/>
      <c r="BX20" s="508"/>
      <c r="BY20" s="508"/>
      <c r="BZ20" s="508"/>
      <c r="CA20" s="508"/>
      <c r="CB20" s="508"/>
      <c r="CC20" s="508"/>
      <c r="CD20" s="508"/>
      <c r="CE20" s="508"/>
      <c r="CF20" s="508"/>
      <c r="CG20" s="508"/>
      <c r="CH20" s="508"/>
      <c r="CI20" s="508"/>
      <c r="CJ20" s="508"/>
      <c r="CK20" s="508"/>
      <c r="CL20" s="508"/>
      <c r="CM20" s="508"/>
      <c r="CN20" s="508"/>
      <c r="CO20" s="56">
        <f>SUM(AICEmployerIncomeDataTable[[#This Row],[AICAssessedAnnualBase]:[AICAssessedAnnualBonus]])</f>
        <v>0</v>
      </c>
      <c r="CP20" s="508">
        <f>IF(AICEmployerIncomeDataTable[[#This Row],[AICPermanentIncomeVerificationType]]="Emergency Services",AICEmployerIncomeDataTable[[#This Row],[AICAssessedAnnualNonBase]],AICEmployerIncomeDataTable[[#This Row],[AICAssessedAnnualNonBase]]*NonBaseShade)</f>
        <v>0</v>
      </c>
    </row>
    <row r="21" spans="1:94" ht="12.75" customHeight="1" x14ac:dyDescent="0.25">
      <c r="A21" s="25" t="s">
        <v>547</v>
      </c>
      <c r="B21" s="25">
        <v>2</v>
      </c>
      <c r="C21" s="81" t="s">
        <v>12</v>
      </c>
      <c r="D21" s="25">
        <v>5</v>
      </c>
      <c r="E21" s="25" t="b" cm="1">
        <f t="array" ref="E21">NOT(SUMPRODUCT(--(AICEmployerIncomeDataTable[[#This Row],[AICEmploymentBasis]:[AICEmployerName]]&lt;&gt;""))=0)</f>
        <v>0</v>
      </c>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56"/>
      <c r="AF21" s="56"/>
      <c r="AG21" s="56"/>
      <c r="AH21" s="56"/>
      <c r="AI21" s="56"/>
      <c r="AJ21" s="56"/>
      <c r="AK21" s="25"/>
      <c r="AL21" s="25"/>
      <c r="AM21" s="25"/>
      <c r="AN21" s="25"/>
      <c r="AO21" s="25"/>
      <c r="AP21" s="25"/>
      <c r="AQ21" s="25"/>
      <c r="AR21" s="25"/>
      <c r="AS21" s="25"/>
      <c r="AT21" s="25"/>
      <c r="AU21" s="25"/>
      <c r="AV21" s="508"/>
      <c r="AW21" s="25"/>
      <c r="AX21" s="25"/>
      <c r="AY21" s="25"/>
      <c r="AZ21" s="25"/>
      <c r="BA21" s="25"/>
      <c r="BB21" s="25"/>
      <c r="BC21" s="25"/>
      <c r="BD21" s="25"/>
      <c r="BE21" s="25"/>
      <c r="BF21" s="25"/>
      <c r="BG21" s="25"/>
      <c r="BH21" s="25"/>
      <c r="BI21" s="25"/>
      <c r="BJ21" s="25"/>
      <c r="BK21" s="25"/>
      <c r="BL21" s="25"/>
      <c r="BM21" s="25"/>
      <c r="BN21" s="25"/>
      <c r="BO21" s="25"/>
      <c r="BP21" s="25"/>
      <c r="BQ21" s="25"/>
      <c r="BR21" s="25"/>
      <c r="BS21" s="533"/>
      <c r="BT21" s="533"/>
      <c r="BU21" s="508"/>
      <c r="BV21" s="508"/>
      <c r="BW21" s="508"/>
      <c r="BX21" s="508"/>
      <c r="BY21" s="508"/>
      <c r="BZ21" s="508"/>
      <c r="CA21" s="508"/>
      <c r="CB21" s="508"/>
      <c r="CC21" s="508"/>
      <c r="CD21" s="508"/>
      <c r="CE21" s="508"/>
      <c r="CF21" s="508"/>
      <c r="CG21" s="508"/>
      <c r="CH21" s="508"/>
      <c r="CI21" s="508"/>
      <c r="CJ21" s="508"/>
      <c r="CK21" s="508"/>
      <c r="CL21" s="508"/>
      <c r="CM21" s="508"/>
      <c r="CN21" s="508"/>
      <c r="CO21" s="56">
        <f>SUM(AICEmployerIncomeDataTable[[#This Row],[AICAssessedAnnualBase]:[AICAssessedAnnualBonus]])</f>
        <v>0</v>
      </c>
      <c r="CP21" s="508">
        <f>IF(AICEmployerIncomeDataTable[[#This Row],[AICPermanentIncomeVerificationType]]="Emergency Services",AICEmployerIncomeDataTable[[#This Row],[AICAssessedAnnualNonBase]],AICEmployerIncomeDataTable[[#This Row],[AICAssessedAnnualNonBase]]*NonBaseShade)</f>
        <v>0</v>
      </c>
    </row>
    <row r="22" spans="1:94" ht="12.75" customHeight="1" x14ac:dyDescent="0.25">
      <c r="A22" s="25" t="s">
        <v>548</v>
      </c>
      <c r="B22" s="25">
        <v>3</v>
      </c>
      <c r="C22" s="81" t="s">
        <v>9</v>
      </c>
      <c r="D22" s="25">
        <v>1</v>
      </c>
      <c r="E22" s="25" t="b" cm="1">
        <f t="array" ref="E22">NOT(SUMPRODUCT(--(AICEmployerIncomeDataTable[[#This Row],[AICEmploymentBasis]:[AICEmployerName]]&lt;&gt;""))=0)</f>
        <v>0</v>
      </c>
      <c r="F22" s="25"/>
      <c r="G22" s="25"/>
      <c r="H22" s="25"/>
      <c r="I22" s="25"/>
      <c r="J22" s="25"/>
      <c r="K22" s="25"/>
      <c r="L22" s="25"/>
      <c r="M22" s="25"/>
      <c r="N22" s="25"/>
      <c r="O22" s="25"/>
      <c r="P22" s="319"/>
      <c r="Q22" s="25"/>
      <c r="R22" s="25"/>
      <c r="S22" s="25"/>
      <c r="T22" s="25"/>
      <c r="U22" s="319"/>
      <c r="V22" s="25"/>
      <c r="W22" s="25"/>
      <c r="X22" s="25"/>
      <c r="Y22" s="25"/>
      <c r="Z22" s="25"/>
      <c r="AA22" s="25"/>
      <c r="AB22" s="25"/>
      <c r="AC22" s="25"/>
      <c r="AD22" s="25"/>
      <c r="AE22" s="56"/>
      <c r="AF22" s="56"/>
      <c r="AG22" s="56"/>
      <c r="AH22" s="56"/>
      <c r="AI22" s="56"/>
      <c r="AJ22" s="56"/>
      <c r="AK22" s="25"/>
      <c r="AL22" s="320"/>
      <c r="AM22" s="320"/>
      <c r="AN22" s="25"/>
      <c r="AO22" s="25"/>
      <c r="AP22" s="25"/>
      <c r="AQ22" s="25"/>
      <c r="AR22" s="25"/>
      <c r="AS22" s="25"/>
      <c r="AT22" s="25"/>
      <c r="AU22" s="25"/>
      <c r="AV22" s="508"/>
      <c r="AW22" s="25"/>
      <c r="AX22" s="25"/>
      <c r="AY22" s="25"/>
      <c r="AZ22" s="25"/>
      <c r="BA22" s="319"/>
      <c r="BB22" s="25"/>
      <c r="BC22" s="25"/>
      <c r="BD22" s="25"/>
      <c r="BE22" s="25"/>
      <c r="BF22" s="25"/>
      <c r="BG22" s="25"/>
      <c r="BH22" s="25"/>
      <c r="BI22" s="25"/>
      <c r="BJ22" s="25"/>
      <c r="BK22" s="25"/>
      <c r="BL22" s="25"/>
      <c r="BM22" s="25"/>
      <c r="BN22" s="25"/>
      <c r="BO22" s="25"/>
      <c r="BP22" s="25"/>
      <c r="BQ22" s="25"/>
      <c r="BR22" s="25"/>
      <c r="BS22" s="533"/>
      <c r="BT22" s="533"/>
      <c r="BU22" s="508"/>
      <c r="BV22" s="508"/>
      <c r="BW22" s="508"/>
      <c r="BX22" s="508"/>
      <c r="BY22" s="508"/>
      <c r="BZ22" s="508"/>
      <c r="CA22" s="508"/>
      <c r="CB22" s="508"/>
      <c r="CC22" s="508"/>
      <c r="CD22" s="508"/>
      <c r="CE22" s="508"/>
      <c r="CF22" s="508"/>
      <c r="CG22" s="508"/>
      <c r="CH22" s="508"/>
      <c r="CI22" s="508"/>
      <c r="CJ22" s="508"/>
      <c r="CK22" s="508"/>
      <c r="CL22" s="508"/>
      <c r="CM22" s="508"/>
      <c r="CN22" s="508"/>
      <c r="CO22" s="56">
        <f>SUM(AICEmployerIncomeDataTable[[#This Row],[AICAssessedAnnualBase]:[AICAssessedAnnualBonus]])</f>
        <v>0</v>
      </c>
      <c r="CP22" s="508">
        <f>IF(AICEmployerIncomeDataTable[[#This Row],[AICPermanentIncomeVerificationType]]="Emergency Services",AICEmployerIncomeDataTable[[#This Row],[AICAssessedAnnualNonBase]],AICEmployerIncomeDataTable[[#This Row],[AICAssessedAnnualNonBase]]*NonBaseShade)</f>
        <v>0</v>
      </c>
    </row>
    <row r="23" spans="1:94" ht="12.75" customHeight="1" x14ac:dyDescent="0.25">
      <c r="A23" s="25" t="s">
        <v>549</v>
      </c>
      <c r="B23" s="25">
        <v>3</v>
      </c>
      <c r="C23" s="81" t="s">
        <v>9</v>
      </c>
      <c r="D23" s="25">
        <v>2</v>
      </c>
      <c r="E23" s="25" t="b" cm="1">
        <f t="array" ref="E23">NOT(SUMPRODUCT(--(AICEmployerIncomeDataTable[[#This Row],[AICEmploymentBasis]:[AICEmployerName]]&lt;&gt;""))=0)</f>
        <v>0</v>
      </c>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56"/>
      <c r="AF23" s="56"/>
      <c r="AG23" s="56"/>
      <c r="AH23" s="56"/>
      <c r="AI23" s="56"/>
      <c r="AJ23" s="56"/>
      <c r="AK23" s="25"/>
      <c r="AL23" s="25"/>
      <c r="AM23" s="25"/>
      <c r="AN23" s="25"/>
      <c r="AO23" s="25"/>
      <c r="AP23" s="25"/>
      <c r="AQ23" s="25"/>
      <c r="AR23" s="25"/>
      <c r="AS23" s="25"/>
      <c r="AT23" s="25"/>
      <c r="AU23" s="25"/>
      <c r="AV23" s="508"/>
      <c r="AW23" s="25"/>
      <c r="AX23" s="25"/>
      <c r="AY23" s="25"/>
      <c r="AZ23" s="25"/>
      <c r="BA23" s="25"/>
      <c r="BB23" s="25"/>
      <c r="BC23" s="25"/>
      <c r="BD23" s="25"/>
      <c r="BE23" s="25"/>
      <c r="BF23" s="25"/>
      <c r="BG23" s="25"/>
      <c r="BH23" s="25"/>
      <c r="BI23" s="25"/>
      <c r="BJ23" s="25"/>
      <c r="BK23" s="25"/>
      <c r="BL23" s="25"/>
      <c r="BM23" s="25"/>
      <c r="BN23" s="25"/>
      <c r="BO23" s="25"/>
      <c r="BP23" s="25"/>
      <c r="BQ23" s="25"/>
      <c r="BR23" s="25"/>
      <c r="BS23" s="533"/>
      <c r="BT23" s="533"/>
      <c r="BU23" s="508"/>
      <c r="BV23" s="508"/>
      <c r="BW23" s="508"/>
      <c r="BX23" s="508"/>
      <c r="BY23" s="508"/>
      <c r="BZ23" s="508"/>
      <c r="CA23" s="508"/>
      <c r="CB23" s="508"/>
      <c r="CC23" s="508"/>
      <c r="CD23" s="508"/>
      <c r="CE23" s="508"/>
      <c r="CF23" s="508"/>
      <c r="CG23" s="508"/>
      <c r="CH23" s="508"/>
      <c r="CI23" s="508"/>
      <c r="CJ23" s="508"/>
      <c r="CK23" s="508"/>
      <c r="CL23" s="508"/>
      <c r="CM23" s="508"/>
      <c r="CN23" s="508"/>
      <c r="CO23" s="56">
        <f>SUM(AICEmployerIncomeDataTable[[#This Row],[AICAssessedAnnualBase]:[AICAssessedAnnualBonus]])</f>
        <v>0</v>
      </c>
      <c r="CP23" s="508">
        <f>IF(AICEmployerIncomeDataTable[[#This Row],[AICPermanentIncomeVerificationType]]="Emergency Services",AICEmployerIncomeDataTable[[#This Row],[AICAssessedAnnualNonBase]],AICEmployerIncomeDataTable[[#This Row],[AICAssessedAnnualNonBase]]*NonBaseShade)</f>
        <v>0</v>
      </c>
    </row>
    <row r="24" spans="1:94" ht="12.75" customHeight="1" x14ac:dyDescent="0.25">
      <c r="A24" s="25" t="s">
        <v>550</v>
      </c>
      <c r="B24" s="25">
        <v>3</v>
      </c>
      <c r="C24" s="81" t="s">
        <v>9</v>
      </c>
      <c r="D24" s="25">
        <v>3</v>
      </c>
      <c r="E24" s="25" t="b" cm="1">
        <f t="array" ref="E24">NOT(SUMPRODUCT(--(AICEmployerIncomeDataTable[[#This Row],[AICEmploymentBasis]:[AICEmployerName]]&lt;&gt;""))=0)</f>
        <v>0</v>
      </c>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56"/>
      <c r="AF24" s="56"/>
      <c r="AG24" s="56"/>
      <c r="AH24" s="56"/>
      <c r="AI24" s="56"/>
      <c r="AJ24" s="56"/>
      <c r="AK24" s="25"/>
      <c r="AL24" s="25"/>
      <c r="AM24" s="25"/>
      <c r="AN24" s="25"/>
      <c r="AO24" s="25"/>
      <c r="AP24" s="25"/>
      <c r="AQ24" s="25"/>
      <c r="AR24" s="25"/>
      <c r="AS24" s="25"/>
      <c r="AT24" s="25"/>
      <c r="AU24" s="25"/>
      <c r="AV24" s="508"/>
      <c r="AW24" s="25"/>
      <c r="AX24" s="25"/>
      <c r="AY24" s="25"/>
      <c r="AZ24" s="25"/>
      <c r="BA24" s="25"/>
      <c r="BB24" s="25"/>
      <c r="BC24" s="25"/>
      <c r="BD24" s="25"/>
      <c r="BE24" s="25"/>
      <c r="BF24" s="25"/>
      <c r="BG24" s="25"/>
      <c r="BH24" s="25"/>
      <c r="BI24" s="25"/>
      <c r="BJ24" s="25"/>
      <c r="BK24" s="25"/>
      <c r="BL24" s="25"/>
      <c r="BM24" s="25"/>
      <c r="BN24" s="25"/>
      <c r="BO24" s="25"/>
      <c r="BP24" s="25"/>
      <c r="BQ24" s="25"/>
      <c r="BR24" s="25"/>
      <c r="BS24" s="533"/>
      <c r="BT24" s="533"/>
      <c r="BU24" s="508"/>
      <c r="BV24" s="508"/>
      <c r="BW24" s="508"/>
      <c r="BX24" s="508"/>
      <c r="BY24" s="508"/>
      <c r="BZ24" s="508"/>
      <c r="CA24" s="508"/>
      <c r="CB24" s="508"/>
      <c r="CC24" s="508"/>
      <c r="CD24" s="508"/>
      <c r="CE24" s="508"/>
      <c r="CF24" s="508"/>
      <c r="CG24" s="508"/>
      <c r="CH24" s="508"/>
      <c r="CI24" s="508"/>
      <c r="CJ24" s="508"/>
      <c r="CK24" s="508"/>
      <c r="CL24" s="508"/>
      <c r="CM24" s="508"/>
      <c r="CN24" s="508"/>
      <c r="CO24" s="56">
        <f>SUM(AICEmployerIncomeDataTable[[#This Row],[AICAssessedAnnualBase]:[AICAssessedAnnualBonus]])</f>
        <v>0</v>
      </c>
      <c r="CP24" s="508">
        <f>IF(AICEmployerIncomeDataTable[[#This Row],[AICPermanentIncomeVerificationType]]="Emergency Services",AICEmployerIncomeDataTable[[#This Row],[AICAssessedAnnualNonBase]],AICEmployerIncomeDataTable[[#This Row],[AICAssessedAnnualNonBase]]*NonBaseShade)</f>
        <v>0</v>
      </c>
    </row>
    <row r="25" spans="1:94" ht="12.75" customHeight="1" x14ac:dyDescent="0.25">
      <c r="A25" s="25" t="s">
        <v>551</v>
      </c>
      <c r="B25" s="25">
        <v>3</v>
      </c>
      <c r="C25" s="81" t="s">
        <v>9</v>
      </c>
      <c r="D25" s="25">
        <v>4</v>
      </c>
      <c r="E25" s="25" t="b" cm="1">
        <f t="array" ref="E25">NOT(SUMPRODUCT(--(AICEmployerIncomeDataTable[[#This Row],[AICEmploymentBasis]:[AICEmployerName]]&lt;&gt;""))=0)</f>
        <v>0</v>
      </c>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56"/>
      <c r="AF25" s="56"/>
      <c r="AG25" s="56"/>
      <c r="AH25" s="56"/>
      <c r="AI25" s="56"/>
      <c r="AJ25" s="56"/>
      <c r="AK25" s="25"/>
      <c r="AL25" s="25"/>
      <c r="AM25" s="25"/>
      <c r="AN25" s="25"/>
      <c r="AO25" s="25"/>
      <c r="AP25" s="25"/>
      <c r="AQ25" s="25"/>
      <c r="AR25" s="25"/>
      <c r="AS25" s="25"/>
      <c r="AT25" s="25"/>
      <c r="AU25" s="25"/>
      <c r="AV25" s="508"/>
      <c r="AW25" s="25"/>
      <c r="AX25" s="25"/>
      <c r="AY25" s="25"/>
      <c r="AZ25" s="25"/>
      <c r="BA25" s="25"/>
      <c r="BB25" s="25"/>
      <c r="BC25" s="25"/>
      <c r="BD25" s="25"/>
      <c r="BE25" s="25"/>
      <c r="BF25" s="25"/>
      <c r="BG25" s="25"/>
      <c r="BH25" s="25"/>
      <c r="BI25" s="25"/>
      <c r="BJ25" s="25"/>
      <c r="BK25" s="25"/>
      <c r="BL25" s="25"/>
      <c r="BM25" s="320"/>
      <c r="BN25" s="320"/>
      <c r="BO25" s="25"/>
      <c r="BP25" s="25"/>
      <c r="BQ25" s="25"/>
      <c r="BR25" s="320"/>
      <c r="BS25" s="533"/>
      <c r="BT25" s="533"/>
      <c r="BU25" s="508"/>
      <c r="BV25" s="508"/>
      <c r="BW25" s="508"/>
      <c r="BX25" s="508"/>
      <c r="BY25" s="508"/>
      <c r="BZ25" s="508"/>
      <c r="CA25" s="508"/>
      <c r="CB25" s="508"/>
      <c r="CC25" s="508"/>
      <c r="CD25" s="508"/>
      <c r="CE25" s="508"/>
      <c r="CF25" s="508"/>
      <c r="CG25" s="508"/>
      <c r="CH25" s="508"/>
      <c r="CI25" s="508"/>
      <c r="CJ25" s="508"/>
      <c r="CK25" s="508"/>
      <c r="CL25" s="508"/>
      <c r="CM25" s="508"/>
      <c r="CN25" s="508"/>
      <c r="CO25" s="56">
        <f>SUM(AICEmployerIncomeDataTable[[#This Row],[AICAssessedAnnualBase]:[AICAssessedAnnualBonus]])</f>
        <v>0</v>
      </c>
      <c r="CP25" s="508">
        <f>IF(AICEmployerIncomeDataTable[[#This Row],[AICPermanentIncomeVerificationType]]="Emergency Services",AICEmployerIncomeDataTable[[#This Row],[AICAssessedAnnualNonBase]],AICEmployerIncomeDataTable[[#This Row],[AICAssessedAnnualNonBase]]*NonBaseShade)</f>
        <v>0</v>
      </c>
    </row>
    <row r="26" spans="1:94" ht="12.75" customHeight="1" x14ac:dyDescent="0.25">
      <c r="A26" s="25" t="s">
        <v>552</v>
      </c>
      <c r="B26" s="25">
        <v>3</v>
      </c>
      <c r="C26" s="81" t="s">
        <v>9</v>
      </c>
      <c r="D26" s="25">
        <v>5</v>
      </c>
      <c r="E26" s="25" t="b" cm="1">
        <f t="array" ref="E26">NOT(SUMPRODUCT(--(AICEmployerIncomeDataTable[[#This Row],[AICEmploymentBasis]:[AICEmployerName]]&lt;&gt;""))=0)</f>
        <v>0</v>
      </c>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56"/>
      <c r="AF26" s="56"/>
      <c r="AG26" s="56"/>
      <c r="AH26" s="56"/>
      <c r="AI26" s="56"/>
      <c r="AJ26" s="56"/>
      <c r="AK26" s="25"/>
      <c r="AL26" s="25"/>
      <c r="AM26" s="25"/>
      <c r="AN26" s="25"/>
      <c r="AO26" s="25"/>
      <c r="AP26" s="25"/>
      <c r="AQ26" s="25"/>
      <c r="AR26" s="25"/>
      <c r="AS26" s="25"/>
      <c r="AT26" s="25"/>
      <c r="AU26" s="25"/>
      <c r="AV26" s="508"/>
      <c r="AW26" s="25"/>
      <c r="AX26" s="25"/>
      <c r="AY26" s="25"/>
      <c r="AZ26" s="25"/>
      <c r="BA26" s="25"/>
      <c r="BB26" s="25"/>
      <c r="BC26" s="25"/>
      <c r="BD26" s="25"/>
      <c r="BE26" s="25"/>
      <c r="BF26" s="25"/>
      <c r="BG26" s="25"/>
      <c r="BH26" s="25"/>
      <c r="BI26" s="25"/>
      <c r="BJ26" s="25"/>
      <c r="BK26" s="25"/>
      <c r="BL26" s="25"/>
      <c r="BM26" s="25"/>
      <c r="BN26" s="25"/>
      <c r="BO26" s="25"/>
      <c r="BP26" s="25"/>
      <c r="BQ26" s="25"/>
      <c r="BR26" s="25"/>
      <c r="BS26" s="533"/>
      <c r="BT26" s="533"/>
      <c r="BU26" s="508"/>
      <c r="BV26" s="508"/>
      <c r="BW26" s="508"/>
      <c r="BX26" s="508"/>
      <c r="BY26" s="508"/>
      <c r="BZ26" s="508"/>
      <c r="CA26" s="508"/>
      <c r="CB26" s="508"/>
      <c r="CC26" s="508"/>
      <c r="CD26" s="508"/>
      <c r="CE26" s="508"/>
      <c r="CF26" s="508"/>
      <c r="CG26" s="508"/>
      <c r="CH26" s="508"/>
      <c r="CI26" s="508"/>
      <c r="CJ26" s="508"/>
      <c r="CK26" s="508"/>
      <c r="CL26" s="508"/>
      <c r="CM26" s="508"/>
      <c r="CN26" s="508"/>
      <c r="CO26" s="56">
        <f>SUM(AICEmployerIncomeDataTable[[#This Row],[AICAssessedAnnualBase]:[AICAssessedAnnualBonus]])</f>
        <v>0</v>
      </c>
      <c r="CP26" s="508">
        <f>IF(AICEmployerIncomeDataTable[[#This Row],[AICPermanentIncomeVerificationType]]="Emergency Services",AICEmployerIncomeDataTable[[#This Row],[AICAssessedAnnualNonBase]],AICEmployerIncomeDataTable[[#This Row],[AICAssessedAnnualNonBase]]*NonBaseShade)</f>
        <v>0</v>
      </c>
    </row>
    <row r="27" spans="1:94" ht="12.75" customHeight="1" x14ac:dyDescent="0.25">
      <c r="A27" s="25" t="s">
        <v>553</v>
      </c>
      <c r="B27" s="25">
        <v>3</v>
      </c>
      <c r="C27" s="81" t="s">
        <v>12</v>
      </c>
      <c r="D27" s="25">
        <v>1</v>
      </c>
      <c r="E27" s="25" t="b" cm="1">
        <f t="array" ref="E27">NOT(SUMPRODUCT(--(AICEmployerIncomeDataTable[[#This Row],[AICEmploymentBasis]:[AICEmployerName]]&lt;&gt;""))=0)</f>
        <v>0</v>
      </c>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56"/>
      <c r="AF27" s="56"/>
      <c r="AG27" s="56"/>
      <c r="AH27" s="56"/>
      <c r="AI27" s="56"/>
      <c r="AJ27" s="56"/>
      <c r="AK27" s="25"/>
      <c r="AL27" s="25"/>
      <c r="AM27" s="25"/>
      <c r="AN27" s="25"/>
      <c r="AO27" s="25"/>
      <c r="AP27" s="25"/>
      <c r="AQ27" s="25"/>
      <c r="AR27" s="25"/>
      <c r="AS27" s="25"/>
      <c r="AT27" s="25"/>
      <c r="AU27" s="25"/>
      <c r="AV27" s="508"/>
      <c r="AW27" s="25"/>
      <c r="AX27" s="25"/>
      <c r="AY27" s="25"/>
      <c r="AZ27" s="25"/>
      <c r="BA27" s="25"/>
      <c r="BB27" s="25"/>
      <c r="BC27" s="25"/>
      <c r="BD27" s="25"/>
      <c r="BE27" s="25"/>
      <c r="BF27" s="25"/>
      <c r="BG27" s="25"/>
      <c r="BH27" s="25"/>
      <c r="BI27" s="25"/>
      <c r="BJ27" s="25"/>
      <c r="BK27" s="25"/>
      <c r="BL27" s="25"/>
      <c r="BM27" s="25"/>
      <c r="BN27" s="25"/>
      <c r="BO27" s="25"/>
      <c r="BP27" s="25"/>
      <c r="BQ27" s="25"/>
      <c r="BR27" s="25"/>
      <c r="BS27" s="533"/>
      <c r="BT27" s="533"/>
      <c r="BU27" s="508"/>
      <c r="BV27" s="508"/>
      <c r="BW27" s="508"/>
      <c r="BX27" s="508"/>
      <c r="BY27" s="508"/>
      <c r="BZ27" s="508"/>
      <c r="CA27" s="508"/>
      <c r="CB27" s="508"/>
      <c r="CC27" s="508"/>
      <c r="CD27" s="508"/>
      <c r="CE27" s="508"/>
      <c r="CF27" s="508"/>
      <c r="CG27" s="508"/>
      <c r="CH27" s="508"/>
      <c r="CI27" s="508"/>
      <c r="CJ27" s="508"/>
      <c r="CK27" s="508"/>
      <c r="CL27" s="508"/>
      <c r="CM27" s="508"/>
      <c r="CN27" s="508"/>
      <c r="CO27" s="56">
        <f>SUM(AICEmployerIncomeDataTable[[#This Row],[AICAssessedAnnualBase]:[AICAssessedAnnualBonus]])</f>
        <v>0</v>
      </c>
      <c r="CP27" s="508">
        <f>IF(AICEmployerIncomeDataTable[[#This Row],[AICPermanentIncomeVerificationType]]="Emergency Services",AICEmployerIncomeDataTable[[#This Row],[AICAssessedAnnualNonBase]],AICEmployerIncomeDataTable[[#This Row],[AICAssessedAnnualNonBase]]*NonBaseShade)</f>
        <v>0</v>
      </c>
    </row>
    <row r="28" spans="1:94" ht="12.75" customHeight="1" x14ac:dyDescent="0.25">
      <c r="A28" s="25" t="s">
        <v>554</v>
      </c>
      <c r="B28" s="25">
        <v>3</v>
      </c>
      <c r="C28" s="81" t="s">
        <v>12</v>
      </c>
      <c r="D28" s="25">
        <v>2</v>
      </c>
      <c r="E28" s="25" t="b" cm="1">
        <f t="array" ref="E28">NOT(SUMPRODUCT(--(AICEmployerIncomeDataTable[[#This Row],[AICEmploymentBasis]:[AICEmployerName]]&lt;&gt;""))=0)</f>
        <v>0</v>
      </c>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56"/>
      <c r="AF28" s="56"/>
      <c r="AG28" s="56"/>
      <c r="AH28" s="56"/>
      <c r="AI28" s="56"/>
      <c r="AJ28" s="56"/>
      <c r="AK28" s="25"/>
      <c r="AL28" s="25"/>
      <c r="AM28" s="25"/>
      <c r="AN28" s="25"/>
      <c r="AO28" s="25"/>
      <c r="AP28" s="25"/>
      <c r="AQ28" s="25"/>
      <c r="AR28" s="25"/>
      <c r="AS28" s="25"/>
      <c r="AT28" s="25"/>
      <c r="AU28" s="25"/>
      <c r="AV28" s="508"/>
      <c r="AW28" s="25"/>
      <c r="AX28" s="25"/>
      <c r="AY28" s="25"/>
      <c r="AZ28" s="25"/>
      <c r="BA28" s="25"/>
      <c r="BB28" s="25"/>
      <c r="BC28" s="25"/>
      <c r="BD28" s="25"/>
      <c r="BE28" s="25"/>
      <c r="BF28" s="25"/>
      <c r="BG28" s="25"/>
      <c r="BH28" s="25"/>
      <c r="BI28" s="25"/>
      <c r="BJ28" s="25"/>
      <c r="BK28" s="25"/>
      <c r="BL28" s="25"/>
      <c r="BM28" s="25"/>
      <c r="BN28" s="25"/>
      <c r="BO28" s="25"/>
      <c r="BP28" s="25"/>
      <c r="BQ28" s="25"/>
      <c r="BR28" s="25"/>
      <c r="BS28" s="533"/>
      <c r="BT28" s="533"/>
      <c r="BU28" s="508"/>
      <c r="BV28" s="508"/>
      <c r="BW28" s="508"/>
      <c r="BX28" s="508"/>
      <c r="BY28" s="508"/>
      <c r="BZ28" s="508"/>
      <c r="CA28" s="508"/>
      <c r="CB28" s="508"/>
      <c r="CC28" s="508"/>
      <c r="CD28" s="508"/>
      <c r="CE28" s="508"/>
      <c r="CF28" s="508"/>
      <c r="CG28" s="508"/>
      <c r="CH28" s="508"/>
      <c r="CI28" s="508"/>
      <c r="CJ28" s="508"/>
      <c r="CK28" s="508"/>
      <c r="CL28" s="508"/>
      <c r="CM28" s="508"/>
      <c r="CN28" s="508"/>
      <c r="CO28" s="56">
        <f>SUM(AICEmployerIncomeDataTable[[#This Row],[AICAssessedAnnualBase]:[AICAssessedAnnualBonus]])</f>
        <v>0</v>
      </c>
      <c r="CP28" s="508">
        <f>IF(AICEmployerIncomeDataTable[[#This Row],[AICPermanentIncomeVerificationType]]="Emergency Services",AICEmployerIncomeDataTable[[#This Row],[AICAssessedAnnualNonBase]],AICEmployerIncomeDataTable[[#This Row],[AICAssessedAnnualNonBase]]*NonBaseShade)</f>
        <v>0</v>
      </c>
    </row>
    <row r="29" spans="1:94" ht="12.75" customHeight="1" x14ac:dyDescent="0.25">
      <c r="A29" s="25" t="s">
        <v>555</v>
      </c>
      <c r="B29" s="25">
        <v>3</v>
      </c>
      <c r="C29" s="81" t="s">
        <v>12</v>
      </c>
      <c r="D29" s="25">
        <v>3</v>
      </c>
      <c r="E29" s="25" t="b" cm="1">
        <f t="array" ref="E29">NOT(SUMPRODUCT(--(AICEmployerIncomeDataTable[[#This Row],[AICEmploymentBasis]:[AICEmployerName]]&lt;&gt;""))=0)</f>
        <v>0</v>
      </c>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56"/>
      <c r="AF29" s="56"/>
      <c r="AG29" s="56"/>
      <c r="AH29" s="56"/>
      <c r="AI29" s="56"/>
      <c r="AJ29" s="56"/>
      <c r="AK29" s="25"/>
      <c r="AL29" s="25"/>
      <c r="AM29" s="25"/>
      <c r="AN29" s="25"/>
      <c r="AO29" s="25"/>
      <c r="AP29" s="25"/>
      <c r="AQ29" s="25"/>
      <c r="AR29" s="25"/>
      <c r="AS29" s="25"/>
      <c r="AT29" s="25"/>
      <c r="AU29" s="25"/>
      <c r="AV29" s="508"/>
      <c r="AW29" s="25"/>
      <c r="AX29" s="25"/>
      <c r="AY29" s="25"/>
      <c r="AZ29" s="25"/>
      <c r="BA29" s="25"/>
      <c r="BB29" s="25"/>
      <c r="BC29" s="25"/>
      <c r="BD29" s="25"/>
      <c r="BE29" s="25"/>
      <c r="BF29" s="25"/>
      <c r="BG29" s="25"/>
      <c r="BH29" s="25"/>
      <c r="BI29" s="25"/>
      <c r="BJ29" s="25"/>
      <c r="BK29" s="25"/>
      <c r="BL29" s="25"/>
      <c r="BM29" s="25"/>
      <c r="BN29" s="25"/>
      <c r="BO29" s="25"/>
      <c r="BP29" s="25"/>
      <c r="BQ29" s="25"/>
      <c r="BR29" s="25"/>
      <c r="BS29" s="533"/>
      <c r="BT29" s="533"/>
      <c r="BU29" s="508"/>
      <c r="BV29" s="508"/>
      <c r="BW29" s="508"/>
      <c r="BX29" s="508"/>
      <c r="BY29" s="508"/>
      <c r="BZ29" s="508"/>
      <c r="CA29" s="508"/>
      <c r="CB29" s="508"/>
      <c r="CC29" s="508"/>
      <c r="CD29" s="508"/>
      <c r="CE29" s="508"/>
      <c r="CF29" s="508"/>
      <c r="CG29" s="508"/>
      <c r="CH29" s="508"/>
      <c r="CI29" s="508"/>
      <c r="CJ29" s="508"/>
      <c r="CK29" s="508"/>
      <c r="CL29" s="508"/>
      <c r="CM29" s="508"/>
      <c r="CN29" s="508"/>
      <c r="CO29" s="56">
        <f>SUM(AICEmployerIncomeDataTable[[#This Row],[AICAssessedAnnualBase]:[AICAssessedAnnualBonus]])</f>
        <v>0</v>
      </c>
      <c r="CP29" s="508">
        <f>IF(AICEmployerIncomeDataTable[[#This Row],[AICPermanentIncomeVerificationType]]="Emergency Services",AICEmployerIncomeDataTable[[#This Row],[AICAssessedAnnualNonBase]],AICEmployerIncomeDataTable[[#This Row],[AICAssessedAnnualNonBase]]*NonBaseShade)</f>
        <v>0</v>
      </c>
    </row>
    <row r="30" spans="1:94" ht="12.5" x14ac:dyDescent="0.25">
      <c r="A30" s="25" t="s">
        <v>556</v>
      </c>
      <c r="B30" s="25">
        <v>3</v>
      </c>
      <c r="C30" s="81" t="s">
        <v>12</v>
      </c>
      <c r="D30" s="25">
        <v>4</v>
      </c>
      <c r="E30" s="25" t="b" cm="1">
        <f t="array" ref="E30">NOT(SUMPRODUCT(--(AICEmployerIncomeDataTable[[#This Row],[AICEmploymentBasis]:[AICEmployerName]]&lt;&gt;""))=0)</f>
        <v>0</v>
      </c>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56"/>
      <c r="AF30" s="56"/>
      <c r="AG30" s="56"/>
      <c r="AH30" s="56"/>
      <c r="AI30" s="56"/>
      <c r="AJ30" s="56"/>
      <c r="AK30" s="25"/>
      <c r="AL30" s="25"/>
      <c r="AM30" s="25"/>
      <c r="AN30" s="25"/>
      <c r="AO30" s="25"/>
      <c r="AP30" s="25"/>
      <c r="AQ30" s="25"/>
      <c r="AR30" s="25"/>
      <c r="AS30" s="25"/>
      <c r="AT30" s="25"/>
      <c r="AU30" s="25"/>
      <c r="AV30" s="508"/>
      <c r="AW30" s="25"/>
      <c r="AX30" s="25"/>
      <c r="AY30" s="25"/>
      <c r="AZ30" s="25"/>
      <c r="BA30" s="25"/>
      <c r="BB30" s="25"/>
      <c r="BC30" s="25"/>
      <c r="BD30" s="25"/>
      <c r="BE30" s="25"/>
      <c r="BF30" s="25"/>
      <c r="BG30" s="25"/>
      <c r="BH30" s="25"/>
      <c r="BI30" s="25"/>
      <c r="BJ30" s="25"/>
      <c r="BK30" s="25"/>
      <c r="BL30" s="25"/>
      <c r="BM30" s="25"/>
      <c r="BN30" s="25"/>
      <c r="BO30" s="25"/>
      <c r="BP30" s="25"/>
      <c r="BQ30" s="25"/>
      <c r="BR30" s="25"/>
      <c r="BS30" s="533"/>
      <c r="BT30" s="533"/>
      <c r="BU30" s="508"/>
      <c r="BV30" s="508"/>
      <c r="BW30" s="508"/>
      <c r="BX30" s="508"/>
      <c r="BY30" s="508"/>
      <c r="BZ30" s="508"/>
      <c r="CA30" s="508"/>
      <c r="CB30" s="508"/>
      <c r="CC30" s="508"/>
      <c r="CD30" s="508"/>
      <c r="CE30" s="508"/>
      <c r="CF30" s="508"/>
      <c r="CG30" s="508"/>
      <c r="CH30" s="508"/>
      <c r="CI30" s="508"/>
      <c r="CJ30" s="508"/>
      <c r="CK30" s="508"/>
      <c r="CL30" s="508"/>
      <c r="CM30" s="508"/>
      <c r="CN30" s="508"/>
      <c r="CO30" s="56">
        <f>SUM(AICEmployerIncomeDataTable[[#This Row],[AICAssessedAnnualBase]:[AICAssessedAnnualBonus]])</f>
        <v>0</v>
      </c>
      <c r="CP30" s="508">
        <f>IF(AICEmployerIncomeDataTable[[#This Row],[AICPermanentIncomeVerificationType]]="Emergency Services",AICEmployerIncomeDataTable[[#This Row],[AICAssessedAnnualNonBase]],AICEmployerIncomeDataTable[[#This Row],[AICAssessedAnnualNonBase]]*NonBaseShade)</f>
        <v>0</v>
      </c>
    </row>
    <row r="31" spans="1:94" ht="12.5" x14ac:dyDescent="0.25">
      <c r="A31" s="25" t="s">
        <v>557</v>
      </c>
      <c r="B31" s="25">
        <v>3</v>
      </c>
      <c r="C31" s="81" t="s">
        <v>12</v>
      </c>
      <c r="D31" s="25">
        <v>5</v>
      </c>
      <c r="E31" s="25" t="b" cm="1">
        <f t="array" ref="E31">NOT(SUMPRODUCT(--(AICEmployerIncomeDataTable[[#This Row],[AICEmploymentBasis]:[AICEmployerName]]&lt;&gt;""))=0)</f>
        <v>0</v>
      </c>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56"/>
      <c r="AF31" s="56"/>
      <c r="AG31" s="56"/>
      <c r="AH31" s="56"/>
      <c r="AI31" s="56"/>
      <c r="AJ31" s="56"/>
      <c r="AK31" s="25"/>
      <c r="AL31" s="25"/>
      <c r="AM31" s="25"/>
      <c r="AN31" s="25"/>
      <c r="AO31" s="25"/>
      <c r="AP31" s="25"/>
      <c r="AQ31" s="25"/>
      <c r="AR31" s="25"/>
      <c r="AS31" s="25"/>
      <c r="AT31" s="25"/>
      <c r="AU31" s="25"/>
      <c r="AV31" s="508"/>
      <c r="AW31" s="25"/>
      <c r="AX31" s="25"/>
      <c r="AY31" s="25"/>
      <c r="AZ31" s="25"/>
      <c r="BA31" s="25"/>
      <c r="BB31" s="25"/>
      <c r="BC31" s="25"/>
      <c r="BD31" s="25"/>
      <c r="BE31" s="25"/>
      <c r="BF31" s="25"/>
      <c r="BG31" s="25"/>
      <c r="BH31" s="25"/>
      <c r="BI31" s="25"/>
      <c r="BJ31" s="25"/>
      <c r="BK31" s="25"/>
      <c r="BL31" s="25"/>
      <c r="BM31" s="25"/>
      <c r="BN31" s="25"/>
      <c r="BO31" s="25"/>
      <c r="BP31" s="25"/>
      <c r="BQ31" s="25"/>
      <c r="BR31" s="25"/>
      <c r="BS31" s="533"/>
      <c r="BT31" s="533"/>
      <c r="BU31" s="508"/>
      <c r="BV31" s="508"/>
      <c r="BW31" s="508"/>
      <c r="BX31" s="508"/>
      <c r="BY31" s="508"/>
      <c r="BZ31" s="508"/>
      <c r="CA31" s="508"/>
      <c r="CB31" s="508"/>
      <c r="CC31" s="508"/>
      <c r="CD31" s="508"/>
      <c r="CE31" s="508"/>
      <c r="CF31" s="508"/>
      <c r="CG31" s="508"/>
      <c r="CH31" s="508"/>
      <c r="CI31" s="508"/>
      <c r="CJ31" s="508"/>
      <c r="CK31" s="508"/>
      <c r="CL31" s="508"/>
      <c r="CM31" s="508"/>
      <c r="CN31" s="508"/>
      <c r="CO31" s="56">
        <f>SUM(AICEmployerIncomeDataTable[[#This Row],[AICAssessedAnnualBase]:[AICAssessedAnnualBonus]])</f>
        <v>0</v>
      </c>
      <c r="CP31" s="508">
        <f>IF(AICEmployerIncomeDataTable[[#This Row],[AICPermanentIncomeVerificationType]]="Emergency Services",AICEmployerIncomeDataTable[[#This Row],[AICAssessedAnnualNonBase]],AICEmployerIncomeDataTable[[#This Row],[AICAssessedAnnualNonBase]]*NonBaseShade)</f>
        <v>0</v>
      </c>
    </row>
    <row r="32" spans="1:94" ht="12.5" x14ac:dyDescent="0.25">
      <c r="A32" s="25" t="s">
        <v>558</v>
      </c>
      <c r="B32" s="25">
        <v>4</v>
      </c>
      <c r="C32" s="81" t="s">
        <v>9</v>
      </c>
      <c r="D32" s="25">
        <v>1</v>
      </c>
      <c r="E32" s="25" t="b" cm="1">
        <f t="array" ref="E32">NOT(SUMPRODUCT(--(AICEmployerIncomeDataTable[[#This Row],[AICEmploymentBasis]:[AICEmployerName]]&lt;&gt;""))=0)</f>
        <v>0</v>
      </c>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56"/>
      <c r="AF32" s="56"/>
      <c r="AG32" s="56"/>
      <c r="AH32" s="56"/>
      <c r="AI32" s="56"/>
      <c r="AJ32" s="56"/>
      <c r="AK32" s="25"/>
      <c r="AL32" s="25"/>
      <c r="AM32" s="25"/>
      <c r="AN32" s="25"/>
      <c r="AO32" s="25"/>
      <c r="AP32" s="25"/>
      <c r="AQ32" s="25"/>
      <c r="AR32" s="25"/>
      <c r="AS32" s="25"/>
      <c r="AT32" s="25"/>
      <c r="AU32" s="25"/>
      <c r="AV32" s="508"/>
      <c r="AW32" s="25"/>
      <c r="AX32" s="25"/>
      <c r="AY32" s="25"/>
      <c r="AZ32" s="25"/>
      <c r="BA32" s="25"/>
      <c r="BB32" s="25"/>
      <c r="BC32" s="25"/>
      <c r="BD32" s="25"/>
      <c r="BE32" s="25"/>
      <c r="BF32" s="25"/>
      <c r="BG32" s="320"/>
      <c r="BH32" s="320"/>
      <c r="BI32" s="320"/>
      <c r="BJ32" s="320"/>
      <c r="BK32" s="25"/>
      <c r="BL32" s="25"/>
      <c r="BM32" s="25"/>
      <c r="BN32" s="25"/>
      <c r="BO32" s="25"/>
      <c r="BP32" s="25"/>
      <c r="BQ32" s="25"/>
      <c r="BR32" s="320"/>
      <c r="BS32" s="533"/>
      <c r="BT32" s="533"/>
      <c r="BU32" s="508"/>
      <c r="BV32" s="508"/>
      <c r="BW32" s="508"/>
      <c r="BX32" s="508"/>
      <c r="BY32" s="508"/>
      <c r="BZ32" s="508"/>
      <c r="CA32" s="508"/>
      <c r="CB32" s="508"/>
      <c r="CC32" s="508"/>
      <c r="CD32" s="508"/>
      <c r="CE32" s="508"/>
      <c r="CF32" s="508"/>
      <c r="CG32" s="508"/>
      <c r="CH32" s="508"/>
      <c r="CI32" s="508"/>
      <c r="CJ32" s="508"/>
      <c r="CK32" s="508"/>
      <c r="CL32" s="508"/>
      <c r="CM32" s="508"/>
      <c r="CN32" s="508"/>
      <c r="CO32" s="56">
        <f>SUM(AICEmployerIncomeDataTable[[#This Row],[AICAssessedAnnualBase]:[AICAssessedAnnualBonus]])</f>
        <v>0</v>
      </c>
      <c r="CP32" s="508">
        <f>IF(AICEmployerIncomeDataTable[[#This Row],[AICPermanentIncomeVerificationType]]="Emergency Services",AICEmployerIncomeDataTable[[#This Row],[AICAssessedAnnualNonBase]],AICEmployerIncomeDataTable[[#This Row],[AICAssessedAnnualNonBase]]*NonBaseShade)</f>
        <v>0</v>
      </c>
    </row>
    <row r="33" spans="1:94" ht="12.5" x14ac:dyDescent="0.25">
      <c r="A33" s="25" t="s">
        <v>559</v>
      </c>
      <c r="B33" s="25">
        <v>4</v>
      </c>
      <c r="C33" s="81" t="s">
        <v>9</v>
      </c>
      <c r="D33" s="25">
        <v>2</v>
      </c>
      <c r="E33" s="25" t="b" cm="1">
        <f t="array" ref="E33">NOT(SUMPRODUCT(--(AICEmployerIncomeDataTable[[#This Row],[AICEmploymentBasis]:[AICEmployerName]]&lt;&gt;""))=0)</f>
        <v>0</v>
      </c>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56"/>
      <c r="AF33" s="56"/>
      <c r="AG33" s="56"/>
      <c r="AH33" s="56"/>
      <c r="AI33" s="56"/>
      <c r="AJ33" s="56"/>
      <c r="AK33" s="25"/>
      <c r="AL33" s="25"/>
      <c r="AM33" s="25"/>
      <c r="AN33" s="25"/>
      <c r="AO33" s="25"/>
      <c r="AP33" s="25"/>
      <c r="AQ33" s="25"/>
      <c r="AR33" s="25"/>
      <c r="AS33" s="25"/>
      <c r="AT33" s="25"/>
      <c r="AU33" s="25"/>
      <c r="AV33" s="508"/>
      <c r="AW33" s="25"/>
      <c r="AX33" s="25"/>
      <c r="AY33" s="25"/>
      <c r="AZ33" s="25"/>
      <c r="BA33" s="25"/>
      <c r="BB33" s="25"/>
      <c r="BC33" s="25"/>
      <c r="BD33" s="25"/>
      <c r="BE33" s="25"/>
      <c r="BF33" s="25"/>
      <c r="BG33" s="25"/>
      <c r="BH33" s="25"/>
      <c r="BI33" s="25"/>
      <c r="BJ33" s="25"/>
      <c r="BK33" s="25"/>
      <c r="BL33" s="25"/>
      <c r="BM33" s="25"/>
      <c r="BN33" s="25"/>
      <c r="BO33" s="25"/>
      <c r="BP33" s="25"/>
      <c r="BQ33" s="25"/>
      <c r="BR33" s="25"/>
      <c r="BS33" s="533"/>
      <c r="BT33" s="533"/>
      <c r="BU33" s="508"/>
      <c r="BV33" s="508"/>
      <c r="BW33" s="508"/>
      <c r="BX33" s="508"/>
      <c r="BY33" s="508"/>
      <c r="BZ33" s="508"/>
      <c r="CA33" s="508"/>
      <c r="CB33" s="508"/>
      <c r="CC33" s="508"/>
      <c r="CD33" s="508"/>
      <c r="CE33" s="508"/>
      <c r="CF33" s="508"/>
      <c r="CG33" s="508"/>
      <c r="CH33" s="508"/>
      <c r="CI33" s="508"/>
      <c r="CJ33" s="508"/>
      <c r="CK33" s="508"/>
      <c r="CL33" s="508"/>
      <c r="CM33" s="508"/>
      <c r="CN33" s="508"/>
      <c r="CO33" s="56">
        <f>SUM(AICEmployerIncomeDataTable[[#This Row],[AICAssessedAnnualBase]:[AICAssessedAnnualBonus]])</f>
        <v>0</v>
      </c>
      <c r="CP33" s="508">
        <f>IF(AICEmployerIncomeDataTable[[#This Row],[AICPermanentIncomeVerificationType]]="Emergency Services",AICEmployerIncomeDataTable[[#This Row],[AICAssessedAnnualNonBase]],AICEmployerIncomeDataTable[[#This Row],[AICAssessedAnnualNonBase]]*NonBaseShade)</f>
        <v>0</v>
      </c>
    </row>
    <row r="34" spans="1:94" ht="12.5" x14ac:dyDescent="0.25">
      <c r="A34" s="25" t="s">
        <v>560</v>
      </c>
      <c r="B34" s="25">
        <v>4</v>
      </c>
      <c r="C34" s="81" t="s">
        <v>9</v>
      </c>
      <c r="D34" s="25">
        <v>3</v>
      </c>
      <c r="E34" s="25" t="b" cm="1">
        <f t="array" ref="E34">NOT(SUMPRODUCT(--(AICEmployerIncomeDataTable[[#This Row],[AICEmploymentBasis]:[AICEmployerName]]&lt;&gt;""))=0)</f>
        <v>0</v>
      </c>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56"/>
      <c r="AF34" s="56"/>
      <c r="AG34" s="56"/>
      <c r="AH34" s="56"/>
      <c r="AI34" s="56"/>
      <c r="AJ34" s="56"/>
      <c r="AK34" s="25"/>
      <c r="AL34" s="25"/>
      <c r="AM34" s="25"/>
      <c r="AN34" s="25"/>
      <c r="AO34" s="25"/>
      <c r="AP34" s="25"/>
      <c r="AQ34" s="25"/>
      <c r="AR34" s="25"/>
      <c r="AS34" s="25"/>
      <c r="AT34" s="25"/>
      <c r="AU34" s="25"/>
      <c r="AV34" s="508"/>
      <c r="AW34" s="25"/>
      <c r="AX34" s="25"/>
      <c r="AY34" s="25"/>
      <c r="AZ34" s="25"/>
      <c r="BA34" s="25"/>
      <c r="BB34" s="25"/>
      <c r="BC34" s="25"/>
      <c r="BD34" s="25"/>
      <c r="BE34" s="25"/>
      <c r="BF34" s="25"/>
      <c r="BG34" s="25"/>
      <c r="BH34" s="25"/>
      <c r="BI34" s="25"/>
      <c r="BJ34" s="25"/>
      <c r="BK34" s="25"/>
      <c r="BL34" s="25"/>
      <c r="BM34" s="25"/>
      <c r="BN34" s="25"/>
      <c r="BO34" s="25"/>
      <c r="BP34" s="25"/>
      <c r="BQ34" s="25"/>
      <c r="BR34" s="25"/>
      <c r="BS34" s="533"/>
      <c r="BT34" s="533"/>
      <c r="BU34" s="508"/>
      <c r="BV34" s="508"/>
      <c r="BW34" s="508"/>
      <c r="BX34" s="508"/>
      <c r="BY34" s="508"/>
      <c r="BZ34" s="508"/>
      <c r="CA34" s="508"/>
      <c r="CB34" s="508"/>
      <c r="CC34" s="508"/>
      <c r="CD34" s="508"/>
      <c r="CE34" s="508"/>
      <c r="CF34" s="508"/>
      <c r="CG34" s="508"/>
      <c r="CH34" s="508"/>
      <c r="CI34" s="508"/>
      <c r="CJ34" s="508"/>
      <c r="CK34" s="508"/>
      <c r="CL34" s="508"/>
      <c r="CM34" s="508"/>
      <c r="CN34" s="508"/>
      <c r="CO34" s="56">
        <f>SUM(AICEmployerIncomeDataTable[[#This Row],[AICAssessedAnnualBase]:[AICAssessedAnnualBonus]])</f>
        <v>0</v>
      </c>
      <c r="CP34" s="508">
        <f>IF(AICEmployerIncomeDataTable[[#This Row],[AICPermanentIncomeVerificationType]]="Emergency Services",AICEmployerIncomeDataTable[[#This Row],[AICAssessedAnnualNonBase]],AICEmployerIncomeDataTable[[#This Row],[AICAssessedAnnualNonBase]]*NonBaseShade)</f>
        <v>0</v>
      </c>
    </row>
    <row r="35" spans="1:94" ht="12.5" x14ac:dyDescent="0.25">
      <c r="A35" s="25" t="s">
        <v>561</v>
      </c>
      <c r="B35" s="25">
        <v>4</v>
      </c>
      <c r="C35" s="81" t="s">
        <v>9</v>
      </c>
      <c r="D35" s="25">
        <v>4</v>
      </c>
      <c r="E35" s="25" t="b" cm="1">
        <f t="array" ref="E35">NOT(SUMPRODUCT(--(AICEmployerIncomeDataTable[[#This Row],[AICEmploymentBasis]:[AICEmployerName]]&lt;&gt;""))=0)</f>
        <v>0</v>
      </c>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56"/>
      <c r="AF35" s="56"/>
      <c r="AG35" s="56"/>
      <c r="AH35" s="56"/>
      <c r="AI35" s="56"/>
      <c r="AJ35" s="56"/>
      <c r="AK35" s="25"/>
      <c r="AL35" s="25"/>
      <c r="AM35" s="25"/>
      <c r="AN35" s="25"/>
      <c r="AO35" s="25"/>
      <c r="AP35" s="25"/>
      <c r="AQ35" s="25"/>
      <c r="AR35" s="25"/>
      <c r="AS35" s="25"/>
      <c r="AT35" s="25"/>
      <c r="AU35" s="25"/>
      <c r="AV35" s="508"/>
      <c r="AW35" s="25"/>
      <c r="AX35" s="25"/>
      <c r="AY35" s="25"/>
      <c r="AZ35" s="25"/>
      <c r="BA35" s="25"/>
      <c r="BB35" s="25"/>
      <c r="BC35" s="25"/>
      <c r="BD35" s="25"/>
      <c r="BE35" s="25"/>
      <c r="BF35" s="25"/>
      <c r="BG35" s="25"/>
      <c r="BH35" s="25"/>
      <c r="BI35" s="25"/>
      <c r="BJ35" s="25"/>
      <c r="BK35" s="25"/>
      <c r="BL35" s="25"/>
      <c r="BM35" s="25"/>
      <c r="BN35" s="25"/>
      <c r="BO35" s="25"/>
      <c r="BP35" s="25"/>
      <c r="BQ35" s="25"/>
      <c r="BR35" s="25"/>
      <c r="BS35" s="533"/>
      <c r="BT35" s="533"/>
      <c r="BU35" s="508"/>
      <c r="BV35" s="508"/>
      <c r="BW35" s="508"/>
      <c r="BX35" s="508"/>
      <c r="BY35" s="508"/>
      <c r="BZ35" s="508"/>
      <c r="CA35" s="508"/>
      <c r="CB35" s="508"/>
      <c r="CC35" s="508"/>
      <c r="CD35" s="508"/>
      <c r="CE35" s="508"/>
      <c r="CF35" s="508"/>
      <c r="CG35" s="508"/>
      <c r="CH35" s="508"/>
      <c r="CI35" s="508"/>
      <c r="CJ35" s="508"/>
      <c r="CK35" s="508"/>
      <c r="CL35" s="508"/>
      <c r="CM35" s="508"/>
      <c r="CN35" s="508"/>
      <c r="CO35" s="56">
        <f>SUM(AICEmployerIncomeDataTable[[#This Row],[AICAssessedAnnualBase]:[AICAssessedAnnualBonus]])</f>
        <v>0</v>
      </c>
      <c r="CP35" s="508">
        <f>IF(AICEmployerIncomeDataTable[[#This Row],[AICPermanentIncomeVerificationType]]="Emergency Services",AICEmployerIncomeDataTable[[#This Row],[AICAssessedAnnualNonBase]],AICEmployerIncomeDataTable[[#This Row],[AICAssessedAnnualNonBase]]*NonBaseShade)</f>
        <v>0</v>
      </c>
    </row>
    <row r="36" spans="1:94" ht="12.5" x14ac:dyDescent="0.25">
      <c r="A36" s="25" t="s">
        <v>562</v>
      </c>
      <c r="B36" s="25">
        <v>4</v>
      </c>
      <c r="C36" s="81" t="s">
        <v>9</v>
      </c>
      <c r="D36" s="25">
        <v>5</v>
      </c>
      <c r="E36" s="25" t="b" cm="1">
        <f t="array" ref="E36">NOT(SUMPRODUCT(--(AICEmployerIncomeDataTable[[#This Row],[AICEmploymentBasis]:[AICEmployerName]]&lt;&gt;""))=0)</f>
        <v>0</v>
      </c>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56"/>
      <c r="AF36" s="56"/>
      <c r="AG36" s="56"/>
      <c r="AH36" s="56"/>
      <c r="AI36" s="56"/>
      <c r="AJ36" s="56"/>
      <c r="AK36" s="25"/>
      <c r="AL36" s="25"/>
      <c r="AM36" s="25"/>
      <c r="AN36" s="25"/>
      <c r="AO36" s="25"/>
      <c r="AP36" s="25"/>
      <c r="AQ36" s="25"/>
      <c r="AR36" s="25"/>
      <c r="AS36" s="25"/>
      <c r="AT36" s="25"/>
      <c r="AU36" s="25"/>
      <c r="AV36" s="508"/>
      <c r="AW36" s="25"/>
      <c r="AX36" s="25"/>
      <c r="AY36" s="25"/>
      <c r="AZ36" s="25"/>
      <c r="BA36" s="25"/>
      <c r="BB36" s="25"/>
      <c r="BC36" s="25"/>
      <c r="BD36" s="25"/>
      <c r="BE36" s="25"/>
      <c r="BF36" s="25"/>
      <c r="BG36" s="25"/>
      <c r="BH36" s="25"/>
      <c r="BI36" s="25"/>
      <c r="BJ36" s="25"/>
      <c r="BK36" s="25"/>
      <c r="BL36" s="25"/>
      <c r="BM36" s="25"/>
      <c r="BN36" s="25"/>
      <c r="BO36" s="25"/>
      <c r="BP36" s="25"/>
      <c r="BQ36" s="25"/>
      <c r="BR36" s="25"/>
      <c r="BS36" s="533"/>
      <c r="BT36" s="533"/>
      <c r="BU36" s="508"/>
      <c r="BV36" s="508"/>
      <c r="BW36" s="508"/>
      <c r="BX36" s="508"/>
      <c r="BY36" s="508"/>
      <c r="BZ36" s="508"/>
      <c r="CA36" s="508"/>
      <c r="CB36" s="508"/>
      <c r="CC36" s="508"/>
      <c r="CD36" s="508"/>
      <c r="CE36" s="508"/>
      <c r="CF36" s="508"/>
      <c r="CG36" s="508"/>
      <c r="CH36" s="508"/>
      <c r="CI36" s="508"/>
      <c r="CJ36" s="508"/>
      <c r="CK36" s="508"/>
      <c r="CL36" s="508"/>
      <c r="CM36" s="508"/>
      <c r="CN36" s="508"/>
      <c r="CO36" s="56">
        <f>SUM(AICEmployerIncomeDataTable[[#This Row],[AICAssessedAnnualBase]:[AICAssessedAnnualBonus]])</f>
        <v>0</v>
      </c>
      <c r="CP36" s="508">
        <f>IF(AICEmployerIncomeDataTable[[#This Row],[AICPermanentIncomeVerificationType]]="Emergency Services",AICEmployerIncomeDataTable[[#This Row],[AICAssessedAnnualNonBase]],AICEmployerIncomeDataTable[[#This Row],[AICAssessedAnnualNonBase]]*NonBaseShade)</f>
        <v>0</v>
      </c>
    </row>
    <row r="37" spans="1:94" ht="12.5" x14ac:dyDescent="0.25">
      <c r="A37" s="25" t="s">
        <v>563</v>
      </c>
      <c r="B37" s="25">
        <v>4</v>
      </c>
      <c r="C37" s="81" t="s">
        <v>12</v>
      </c>
      <c r="D37" s="25">
        <v>1</v>
      </c>
      <c r="E37" s="25" t="b" cm="1">
        <f t="array" ref="E37">NOT(SUMPRODUCT(--(AICEmployerIncomeDataTable[[#This Row],[AICEmploymentBasis]:[AICEmployerName]]&lt;&gt;""))=0)</f>
        <v>0</v>
      </c>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56"/>
      <c r="AF37" s="56"/>
      <c r="AG37" s="56"/>
      <c r="AH37" s="56"/>
      <c r="AI37" s="56"/>
      <c r="AJ37" s="56"/>
      <c r="AK37" s="25"/>
      <c r="AL37" s="25"/>
      <c r="AM37" s="25"/>
      <c r="AN37" s="25"/>
      <c r="AO37" s="25"/>
      <c r="AP37" s="25"/>
      <c r="AQ37" s="25"/>
      <c r="AR37" s="25"/>
      <c r="AS37" s="25"/>
      <c r="AT37" s="25"/>
      <c r="AU37" s="25"/>
      <c r="AV37" s="508"/>
      <c r="AW37" s="25"/>
      <c r="AX37" s="25"/>
      <c r="AY37" s="25"/>
      <c r="AZ37" s="25"/>
      <c r="BA37" s="25"/>
      <c r="BB37" s="25"/>
      <c r="BC37" s="25"/>
      <c r="BD37" s="25"/>
      <c r="BE37" s="25"/>
      <c r="BF37" s="25"/>
      <c r="BG37" s="25"/>
      <c r="BH37" s="25"/>
      <c r="BI37" s="25"/>
      <c r="BJ37" s="25"/>
      <c r="BK37" s="25"/>
      <c r="BL37" s="25"/>
      <c r="BM37" s="25"/>
      <c r="BN37" s="25"/>
      <c r="BO37" s="25"/>
      <c r="BP37" s="25"/>
      <c r="BQ37" s="25"/>
      <c r="BR37" s="25"/>
      <c r="BS37" s="533"/>
      <c r="BT37" s="533"/>
      <c r="BU37" s="508"/>
      <c r="BV37" s="508"/>
      <c r="BW37" s="508"/>
      <c r="BX37" s="508"/>
      <c r="BY37" s="508"/>
      <c r="BZ37" s="508"/>
      <c r="CA37" s="508"/>
      <c r="CB37" s="508"/>
      <c r="CC37" s="508"/>
      <c r="CD37" s="508"/>
      <c r="CE37" s="508"/>
      <c r="CF37" s="508"/>
      <c r="CG37" s="508"/>
      <c r="CH37" s="508"/>
      <c r="CI37" s="508"/>
      <c r="CJ37" s="508"/>
      <c r="CK37" s="508"/>
      <c r="CL37" s="508"/>
      <c r="CM37" s="508"/>
      <c r="CN37" s="508"/>
      <c r="CO37" s="56">
        <f>SUM(AICEmployerIncomeDataTable[[#This Row],[AICAssessedAnnualBase]:[AICAssessedAnnualBonus]])</f>
        <v>0</v>
      </c>
      <c r="CP37" s="508">
        <f>IF(AICEmployerIncomeDataTable[[#This Row],[AICPermanentIncomeVerificationType]]="Emergency Services",AICEmployerIncomeDataTable[[#This Row],[AICAssessedAnnualNonBase]],AICEmployerIncomeDataTable[[#This Row],[AICAssessedAnnualNonBase]]*NonBaseShade)</f>
        <v>0</v>
      </c>
    </row>
    <row r="38" spans="1:94" ht="12.5" x14ac:dyDescent="0.25">
      <c r="A38" s="25" t="s">
        <v>564</v>
      </c>
      <c r="B38" s="25">
        <v>4</v>
      </c>
      <c r="C38" s="81" t="s">
        <v>12</v>
      </c>
      <c r="D38" s="25">
        <v>2</v>
      </c>
      <c r="E38" s="25" t="b" cm="1">
        <f t="array" ref="E38">NOT(SUMPRODUCT(--(AICEmployerIncomeDataTable[[#This Row],[AICEmploymentBasis]:[AICEmployerName]]&lt;&gt;""))=0)</f>
        <v>0</v>
      </c>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56"/>
      <c r="AF38" s="56"/>
      <c r="AG38" s="56"/>
      <c r="AH38" s="56"/>
      <c r="AI38" s="56"/>
      <c r="AJ38" s="56"/>
      <c r="AK38" s="25"/>
      <c r="AL38" s="25"/>
      <c r="AM38" s="25"/>
      <c r="AN38" s="25"/>
      <c r="AO38" s="25"/>
      <c r="AP38" s="25"/>
      <c r="AQ38" s="25"/>
      <c r="AR38" s="25"/>
      <c r="AS38" s="25"/>
      <c r="AT38" s="25"/>
      <c r="AU38" s="25"/>
      <c r="AV38" s="508"/>
      <c r="AW38" s="25"/>
      <c r="AX38" s="25"/>
      <c r="AY38" s="25"/>
      <c r="AZ38" s="25"/>
      <c r="BA38" s="25"/>
      <c r="BB38" s="25"/>
      <c r="BC38" s="25"/>
      <c r="BD38" s="25"/>
      <c r="BE38" s="25"/>
      <c r="BF38" s="25"/>
      <c r="BG38" s="25"/>
      <c r="BH38" s="25"/>
      <c r="BI38" s="25"/>
      <c r="BJ38" s="25"/>
      <c r="BK38" s="25"/>
      <c r="BL38" s="25"/>
      <c r="BM38" s="25"/>
      <c r="BN38" s="25"/>
      <c r="BO38" s="25"/>
      <c r="BP38" s="25"/>
      <c r="BQ38" s="25"/>
      <c r="BR38" s="25"/>
      <c r="BS38" s="533"/>
      <c r="BT38" s="533"/>
      <c r="BU38" s="508"/>
      <c r="BV38" s="508"/>
      <c r="BW38" s="508"/>
      <c r="BX38" s="508"/>
      <c r="BY38" s="508"/>
      <c r="BZ38" s="508"/>
      <c r="CA38" s="508"/>
      <c r="CB38" s="508"/>
      <c r="CC38" s="508"/>
      <c r="CD38" s="508"/>
      <c r="CE38" s="508"/>
      <c r="CF38" s="508"/>
      <c r="CG38" s="508"/>
      <c r="CH38" s="508"/>
      <c r="CI38" s="508"/>
      <c r="CJ38" s="508"/>
      <c r="CK38" s="508"/>
      <c r="CL38" s="508"/>
      <c r="CM38" s="508"/>
      <c r="CN38" s="508"/>
      <c r="CO38" s="56">
        <f>SUM(AICEmployerIncomeDataTable[[#This Row],[AICAssessedAnnualBase]:[AICAssessedAnnualBonus]])</f>
        <v>0</v>
      </c>
      <c r="CP38" s="508">
        <f>IF(AICEmployerIncomeDataTable[[#This Row],[AICPermanentIncomeVerificationType]]="Emergency Services",AICEmployerIncomeDataTable[[#This Row],[AICAssessedAnnualNonBase]],AICEmployerIncomeDataTable[[#This Row],[AICAssessedAnnualNonBase]]*NonBaseShade)</f>
        <v>0</v>
      </c>
    </row>
    <row r="39" spans="1:94" ht="12.5" x14ac:dyDescent="0.25">
      <c r="A39" s="25" t="s">
        <v>565</v>
      </c>
      <c r="B39" s="25">
        <v>4</v>
      </c>
      <c r="C39" s="81" t="s">
        <v>12</v>
      </c>
      <c r="D39" s="25">
        <v>3</v>
      </c>
      <c r="E39" s="25" t="b" cm="1">
        <f t="array" ref="E39">NOT(SUMPRODUCT(--(AICEmployerIncomeDataTable[[#This Row],[AICEmploymentBasis]:[AICEmployerName]]&lt;&gt;""))=0)</f>
        <v>0</v>
      </c>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56"/>
      <c r="AF39" s="56"/>
      <c r="AG39" s="56"/>
      <c r="AH39" s="56"/>
      <c r="AI39" s="56"/>
      <c r="AJ39" s="56"/>
      <c r="AK39" s="25"/>
      <c r="AL39" s="25"/>
      <c r="AM39" s="25"/>
      <c r="AN39" s="25"/>
      <c r="AO39" s="25"/>
      <c r="AP39" s="25"/>
      <c r="AQ39" s="25"/>
      <c r="AR39" s="25"/>
      <c r="AS39" s="25"/>
      <c r="AT39" s="25"/>
      <c r="AU39" s="25"/>
      <c r="AV39" s="508"/>
      <c r="AW39" s="25"/>
      <c r="AX39" s="25"/>
      <c r="AY39" s="25"/>
      <c r="AZ39" s="25"/>
      <c r="BA39" s="25"/>
      <c r="BB39" s="25"/>
      <c r="BC39" s="25"/>
      <c r="BD39" s="25"/>
      <c r="BE39" s="25"/>
      <c r="BF39" s="25"/>
      <c r="BG39" s="25"/>
      <c r="BH39" s="25"/>
      <c r="BI39" s="25"/>
      <c r="BJ39" s="25"/>
      <c r="BK39" s="25"/>
      <c r="BL39" s="25"/>
      <c r="BM39" s="25"/>
      <c r="BN39" s="25"/>
      <c r="BO39" s="25"/>
      <c r="BP39" s="25"/>
      <c r="BQ39" s="25"/>
      <c r="BR39" s="25"/>
      <c r="BS39" s="533"/>
      <c r="BT39" s="533"/>
      <c r="BU39" s="508"/>
      <c r="BV39" s="508"/>
      <c r="BW39" s="508"/>
      <c r="BX39" s="508"/>
      <c r="BY39" s="508"/>
      <c r="BZ39" s="508"/>
      <c r="CA39" s="508"/>
      <c r="CB39" s="508"/>
      <c r="CC39" s="508"/>
      <c r="CD39" s="508"/>
      <c r="CE39" s="508"/>
      <c r="CF39" s="508"/>
      <c r="CG39" s="508"/>
      <c r="CH39" s="508"/>
      <c r="CI39" s="508"/>
      <c r="CJ39" s="508"/>
      <c r="CK39" s="508"/>
      <c r="CL39" s="508"/>
      <c r="CM39" s="508"/>
      <c r="CN39" s="508"/>
      <c r="CO39" s="56">
        <f>SUM(AICEmployerIncomeDataTable[[#This Row],[AICAssessedAnnualBase]:[AICAssessedAnnualBonus]])</f>
        <v>0</v>
      </c>
      <c r="CP39" s="508">
        <f>IF(AICEmployerIncomeDataTable[[#This Row],[AICPermanentIncomeVerificationType]]="Emergency Services",AICEmployerIncomeDataTable[[#This Row],[AICAssessedAnnualNonBase]],AICEmployerIncomeDataTable[[#This Row],[AICAssessedAnnualNonBase]]*NonBaseShade)</f>
        <v>0</v>
      </c>
    </row>
    <row r="40" spans="1:94" ht="12.5" x14ac:dyDescent="0.25">
      <c r="A40" s="25" t="s">
        <v>566</v>
      </c>
      <c r="B40" s="25">
        <v>4</v>
      </c>
      <c r="C40" s="81" t="s">
        <v>12</v>
      </c>
      <c r="D40" s="25">
        <v>4</v>
      </c>
      <c r="E40" s="25" t="b" cm="1">
        <f t="array" ref="E40">NOT(SUMPRODUCT(--(AICEmployerIncomeDataTable[[#This Row],[AICEmploymentBasis]:[AICEmployerName]]&lt;&gt;""))=0)</f>
        <v>0</v>
      </c>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56"/>
      <c r="AF40" s="56"/>
      <c r="AG40" s="56"/>
      <c r="AH40" s="56"/>
      <c r="AI40" s="56"/>
      <c r="AJ40" s="56"/>
      <c r="AK40" s="25"/>
      <c r="AL40" s="25"/>
      <c r="AM40" s="25"/>
      <c r="AN40" s="25"/>
      <c r="AO40" s="25"/>
      <c r="AP40" s="25"/>
      <c r="AQ40" s="25"/>
      <c r="AR40" s="25"/>
      <c r="AS40" s="25"/>
      <c r="AT40" s="25"/>
      <c r="AU40" s="25"/>
      <c r="AV40" s="508"/>
      <c r="AW40" s="25"/>
      <c r="AX40" s="25"/>
      <c r="AY40" s="25"/>
      <c r="AZ40" s="25"/>
      <c r="BA40" s="25"/>
      <c r="BB40" s="25"/>
      <c r="BC40" s="25"/>
      <c r="BD40" s="25"/>
      <c r="BE40" s="25"/>
      <c r="BF40" s="25"/>
      <c r="BG40" s="25"/>
      <c r="BH40" s="25"/>
      <c r="BI40" s="25"/>
      <c r="BJ40" s="25"/>
      <c r="BK40" s="25"/>
      <c r="BL40" s="25"/>
      <c r="BM40" s="25"/>
      <c r="BN40" s="25"/>
      <c r="BO40" s="25"/>
      <c r="BP40" s="25"/>
      <c r="BQ40" s="25"/>
      <c r="BR40" s="25"/>
      <c r="BS40" s="533"/>
      <c r="BT40" s="533"/>
      <c r="BU40" s="508"/>
      <c r="BV40" s="508"/>
      <c r="BW40" s="508"/>
      <c r="BX40" s="508"/>
      <c r="BY40" s="508"/>
      <c r="BZ40" s="508"/>
      <c r="CA40" s="508"/>
      <c r="CB40" s="508"/>
      <c r="CC40" s="508"/>
      <c r="CD40" s="508"/>
      <c r="CE40" s="508"/>
      <c r="CF40" s="508"/>
      <c r="CG40" s="508"/>
      <c r="CH40" s="508"/>
      <c r="CI40" s="508"/>
      <c r="CJ40" s="508"/>
      <c r="CK40" s="508"/>
      <c r="CL40" s="508"/>
      <c r="CM40" s="508"/>
      <c r="CN40" s="508"/>
      <c r="CO40" s="56">
        <f>SUM(AICEmployerIncomeDataTable[[#This Row],[AICAssessedAnnualBase]:[AICAssessedAnnualBonus]])</f>
        <v>0</v>
      </c>
      <c r="CP40" s="508">
        <f>IF(AICEmployerIncomeDataTable[[#This Row],[AICPermanentIncomeVerificationType]]="Emergency Services",AICEmployerIncomeDataTable[[#This Row],[AICAssessedAnnualNonBase]],AICEmployerIncomeDataTable[[#This Row],[AICAssessedAnnualNonBase]]*NonBaseShade)</f>
        <v>0</v>
      </c>
    </row>
    <row r="41" spans="1:94" ht="12.5" x14ac:dyDescent="0.25">
      <c r="A41" s="25" t="s">
        <v>567</v>
      </c>
      <c r="B41" s="25">
        <v>4</v>
      </c>
      <c r="C41" s="81" t="s">
        <v>12</v>
      </c>
      <c r="D41" s="25">
        <v>5</v>
      </c>
      <c r="E41" s="25" t="b" cm="1">
        <f t="array" ref="E41">NOT(SUMPRODUCT(--(AICEmployerIncomeDataTable[[#This Row],[AICEmploymentBasis]:[AICEmployerName]]&lt;&gt;""))=0)</f>
        <v>0</v>
      </c>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56"/>
      <c r="AF41" s="56"/>
      <c r="AG41" s="56"/>
      <c r="AH41" s="56"/>
      <c r="AI41" s="56"/>
      <c r="AJ41" s="56"/>
      <c r="AK41" s="25"/>
      <c r="AL41" s="25"/>
      <c r="AM41" s="25"/>
      <c r="AN41" s="25"/>
      <c r="AO41" s="25"/>
      <c r="AP41" s="25"/>
      <c r="AQ41" s="25"/>
      <c r="AR41" s="25"/>
      <c r="AS41" s="25"/>
      <c r="AT41" s="25"/>
      <c r="AU41" s="25"/>
      <c r="AV41" s="508"/>
      <c r="AW41" s="25"/>
      <c r="AX41" s="25"/>
      <c r="AY41" s="25"/>
      <c r="AZ41" s="25"/>
      <c r="BA41" s="25"/>
      <c r="BB41" s="25"/>
      <c r="BC41" s="25"/>
      <c r="BD41" s="25"/>
      <c r="BE41" s="25"/>
      <c r="BF41" s="25"/>
      <c r="BG41" s="25"/>
      <c r="BH41" s="25"/>
      <c r="BI41" s="25"/>
      <c r="BJ41" s="25"/>
      <c r="BK41" s="25"/>
      <c r="BL41" s="25"/>
      <c r="BM41" s="25"/>
      <c r="BN41" s="25"/>
      <c r="BO41" s="25"/>
      <c r="BP41" s="25"/>
      <c r="BQ41" s="25"/>
      <c r="BR41" s="25"/>
      <c r="BS41" s="533"/>
      <c r="BT41" s="533"/>
      <c r="BU41" s="508"/>
      <c r="BV41" s="508"/>
      <c r="BW41" s="508"/>
      <c r="BX41" s="508"/>
      <c r="BY41" s="508"/>
      <c r="BZ41" s="508"/>
      <c r="CA41" s="508"/>
      <c r="CB41" s="508"/>
      <c r="CC41" s="508"/>
      <c r="CD41" s="508"/>
      <c r="CE41" s="508"/>
      <c r="CF41" s="508"/>
      <c r="CG41" s="508"/>
      <c r="CH41" s="508"/>
      <c r="CI41" s="508"/>
      <c r="CJ41" s="508"/>
      <c r="CK41" s="508"/>
      <c r="CL41" s="508"/>
      <c r="CM41" s="508"/>
      <c r="CN41" s="508"/>
      <c r="CO41" s="56">
        <f>SUM(AICEmployerIncomeDataTable[[#This Row],[AICAssessedAnnualBase]:[AICAssessedAnnualBonus]])</f>
        <v>0</v>
      </c>
      <c r="CP41" s="508">
        <f>IF(AICEmployerIncomeDataTable[[#This Row],[AICPermanentIncomeVerificationType]]="Emergency Services",AICEmployerIncomeDataTable[[#This Row],[AICAssessedAnnualNonBase]],AICEmployerIncomeDataTable[[#This Row],[AICAssessedAnnualNonBase]]*NonBaseShade)</f>
        <v>0</v>
      </c>
    </row>
    <row r="42" spans="1:94" ht="12.5" x14ac:dyDescent="0.25">
      <c r="A42" s="25" t="s">
        <v>568</v>
      </c>
      <c r="B42" s="25">
        <v>5</v>
      </c>
      <c r="C42" s="81" t="s">
        <v>9</v>
      </c>
      <c r="D42" s="25">
        <v>1</v>
      </c>
      <c r="E42" s="25" t="b" cm="1">
        <f t="array" ref="E42">NOT(SUMPRODUCT(--(AICEmployerIncomeDataTable[[#This Row],[AICEmploymentBasis]:[AICEmployerName]]&lt;&gt;""))=0)</f>
        <v>0</v>
      </c>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56"/>
      <c r="AF42" s="56"/>
      <c r="AG42" s="56"/>
      <c r="AH42" s="56"/>
      <c r="AI42" s="56"/>
      <c r="AJ42" s="56"/>
      <c r="AK42" s="25"/>
      <c r="AL42" s="25"/>
      <c r="AM42" s="25"/>
      <c r="AN42" s="25"/>
      <c r="AO42" s="25"/>
      <c r="AP42" s="25"/>
      <c r="AQ42" s="25"/>
      <c r="AR42" s="25"/>
      <c r="AS42" s="25"/>
      <c r="AT42" s="25"/>
      <c r="AU42" s="25"/>
      <c r="AV42" s="508"/>
      <c r="AW42" s="25"/>
      <c r="AX42" s="25"/>
      <c r="AY42" s="25"/>
      <c r="AZ42" s="25"/>
      <c r="BA42" s="25"/>
      <c r="BB42" s="25"/>
      <c r="BC42" s="25"/>
      <c r="BD42" s="25"/>
      <c r="BE42" s="25"/>
      <c r="BF42" s="25"/>
      <c r="BG42" s="25"/>
      <c r="BH42" s="25"/>
      <c r="BI42" s="25"/>
      <c r="BJ42" s="25"/>
      <c r="BK42" s="25"/>
      <c r="BL42" s="25"/>
      <c r="BM42" s="25"/>
      <c r="BN42" s="25"/>
      <c r="BO42" s="25"/>
      <c r="BP42" s="25"/>
      <c r="BQ42" s="25"/>
      <c r="BR42" s="25"/>
      <c r="BS42" s="533"/>
      <c r="BT42" s="533"/>
      <c r="BU42" s="508"/>
      <c r="BV42" s="508"/>
      <c r="BW42" s="508"/>
      <c r="BX42" s="508"/>
      <c r="BY42" s="508"/>
      <c r="BZ42" s="508"/>
      <c r="CA42" s="508"/>
      <c r="CB42" s="508"/>
      <c r="CC42" s="508"/>
      <c r="CD42" s="508"/>
      <c r="CE42" s="508"/>
      <c r="CF42" s="508"/>
      <c r="CG42" s="508"/>
      <c r="CH42" s="508"/>
      <c r="CI42" s="508"/>
      <c r="CJ42" s="508"/>
      <c r="CK42" s="508"/>
      <c r="CL42" s="508"/>
      <c r="CM42" s="508"/>
      <c r="CN42" s="508"/>
      <c r="CO42" s="56">
        <f>SUM(AICEmployerIncomeDataTable[[#This Row],[AICAssessedAnnualBase]:[AICAssessedAnnualBonus]])</f>
        <v>0</v>
      </c>
      <c r="CP42" s="508">
        <f>IF(AICEmployerIncomeDataTable[[#This Row],[AICPermanentIncomeVerificationType]]="Emergency Services",AICEmployerIncomeDataTable[[#This Row],[AICAssessedAnnualNonBase]],AICEmployerIncomeDataTable[[#This Row],[AICAssessedAnnualNonBase]]*NonBaseShade)</f>
        <v>0</v>
      </c>
    </row>
    <row r="43" spans="1:94" ht="12.5" x14ac:dyDescent="0.25">
      <c r="A43" s="25" t="s">
        <v>569</v>
      </c>
      <c r="B43" s="25">
        <v>5</v>
      </c>
      <c r="C43" s="81" t="s">
        <v>9</v>
      </c>
      <c r="D43" s="25">
        <v>2</v>
      </c>
      <c r="E43" s="25" t="b" cm="1">
        <f t="array" ref="E43">NOT(SUMPRODUCT(--(AICEmployerIncomeDataTable[[#This Row],[AICEmploymentBasis]:[AICEmployerName]]&lt;&gt;""))=0)</f>
        <v>0</v>
      </c>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56"/>
      <c r="AF43" s="56"/>
      <c r="AG43" s="56"/>
      <c r="AH43" s="56"/>
      <c r="AI43" s="56"/>
      <c r="AJ43" s="56"/>
      <c r="AK43" s="25"/>
      <c r="AL43" s="25"/>
      <c r="AM43" s="25"/>
      <c r="AN43" s="25"/>
      <c r="AO43" s="25"/>
      <c r="AP43" s="25"/>
      <c r="AQ43" s="25"/>
      <c r="AR43" s="25"/>
      <c r="AS43" s="25"/>
      <c r="AT43" s="25"/>
      <c r="AU43" s="25"/>
      <c r="AV43" s="508"/>
      <c r="AW43" s="25"/>
      <c r="AX43" s="25"/>
      <c r="AY43" s="25"/>
      <c r="AZ43" s="25"/>
      <c r="BA43" s="25"/>
      <c r="BB43" s="25"/>
      <c r="BC43" s="25"/>
      <c r="BD43" s="25"/>
      <c r="BE43" s="25"/>
      <c r="BF43" s="25"/>
      <c r="BG43" s="25"/>
      <c r="BH43" s="25"/>
      <c r="BI43" s="25"/>
      <c r="BJ43" s="25"/>
      <c r="BK43" s="25"/>
      <c r="BL43" s="25"/>
      <c r="BM43" s="25"/>
      <c r="BN43" s="25"/>
      <c r="BO43" s="25"/>
      <c r="BP43" s="25"/>
      <c r="BQ43" s="25"/>
      <c r="BR43" s="25"/>
      <c r="BS43" s="533"/>
      <c r="BT43" s="533"/>
      <c r="BU43" s="508"/>
      <c r="BV43" s="508"/>
      <c r="BW43" s="508"/>
      <c r="BX43" s="508"/>
      <c r="BY43" s="508"/>
      <c r="BZ43" s="508"/>
      <c r="CA43" s="508"/>
      <c r="CB43" s="508"/>
      <c r="CC43" s="508"/>
      <c r="CD43" s="508"/>
      <c r="CE43" s="508"/>
      <c r="CF43" s="508"/>
      <c r="CG43" s="508"/>
      <c r="CH43" s="508"/>
      <c r="CI43" s="508"/>
      <c r="CJ43" s="508"/>
      <c r="CK43" s="508"/>
      <c r="CL43" s="508"/>
      <c r="CM43" s="508"/>
      <c r="CN43" s="508"/>
      <c r="CO43" s="56">
        <f>SUM(AICEmployerIncomeDataTable[[#This Row],[AICAssessedAnnualBase]:[AICAssessedAnnualBonus]])</f>
        <v>0</v>
      </c>
      <c r="CP43" s="508">
        <f>IF(AICEmployerIncomeDataTable[[#This Row],[AICPermanentIncomeVerificationType]]="Emergency Services",AICEmployerIncomeDataTable[[#This Row],[AICAssessedAnnualNonBase]],AICEmployerIncomeDataTable[[#This Row],[AICAssessedAnnualNonBase]]*NonBaseShade)</f>
        <v>0</v>
      </c>
    </row>
    <row r="44" spans="1:94" ht="12.5" x14ac:dyDescent="0.25">
      <c r="A44" s="25" t="s">
        <v>570</v>
      </c>
      <c r="B44" s="25">
        <v>5</v>
      </c>
      <c r="C44" s="81" t="s">
        <v>9</v>
      </c>
      <c r="D44" s="25">
        <v>3</v>
      </c>
      <c r="E44" s="25" t="b" cm="1">
        <f t="array" ref="E44">NOT(SUMPRODUCT(--(AICEmployerIncomeDataTable[[#This Row],[AICEmploymentBasis]:[AICEmployerName]]&lt;&gt;""))=0)</f>
        <v>0</v>
      </c>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56"/>
      <c r="AF44" s="56"/>
      <c r="AG44" s="56"/>
      <c r="AH44" s="56"/>
      <c r="AI44" s="56"/>
      <c r="AJ44" s="56"/>
      <c r="AK44" s="25"/>
      <c r="AL44" s="25"/>
      <c r="AM44" s="25"/>
      <c r="AN44" s="25"/>
      <c r="AO44" s="25"/>
      <c r="AP44" s="25"/>
      <c r="AQ44" s="25"/>
      <c r="AR44" s="25"/>
      <c r="AS44" s="25"/>
      <c r="AT44" s="25"/>
      <c r="AU44" s="25"/>
      <c r="AV44" s="508"/>
      <c r="AW44" s="25"/>
      <c r="AX44" s="25"/>
      <c r="AY44" s="25"/>
      <c r="AZ44" s="25"/>
      <c r="BA44" s="25"/>
      <c r="BB44" s="25"/>
      <c r="BC44" s="25"/>
      <c r="BD44" s="25"/>
      <c r="BE44" s="25"/>
      <c r="BF44" s="25"/>
      <c r="BG44" s="25"/>
      <c r="BH44" s="25"/>
      <c r="BI44" s="25"/>
      <c r="BJ44" s="25"/>
      <c r="BK44" s="25"/>
      <c r="BL44" s="25"/>
      <c r="BM44" s="25"/>
      <c r="BN44" s="25"/>
      <c r="BO44" s="25"/>
      <c r="BP44" s="25"/>
      <c r="BQ44" s="25"/>
      <c r="BR44" s="25"/>
      <c r="BS44" s="533"/>
      <c r="BT44" s="533"/>
      <c r="BU44" s="508"/>
      <c r="BV44" s="508"/>
      <c r="BW44" s="508"/>
      <c r="BX44" s="508"/>
      <c r="BY44" s="508"/>
      <c r="BZ44" s="508"/>
      <c r="CA44" s="508"/>
      <c r="CB44" s="508"/>
      <c r="CC44" s="508"/>
      <c r="CD44" s="508"/>
      <c r="CE44" s="508"/>
      <c r="CF44" s="508"/>
      <c r="CG44" s="508"/>
      <c r="CH44" s="508"/>
      <c r="CI44" s="508"/>
      <c r="CJ44" s="508"/>
      <c r="CK44" s="508"/>
      <c r="CL44" s="508"/>
      <c r="CM44" s="508"/>
      <c r="CN44" s="508"/>
      <c r="CO44" s="56">
        <f>SUM(AICEmployerIncomeDataTable[[#This Row],[AICAssessedAnnualBase]:[AICAssessedAnnualBonus]])</f>
        <v>0</v>
      </c>
      <c r="CP44" s="508">
        <f>IF(AICEmployerIncomeDataTable[[#This Row],[AICPermanentIncomeVerificationType]]="Emergency Services",AICEmployerIncomeDataTable[[#This Row],[AICAssessedAnnualNonBase]],AICEmployerIncomeDataTable[[#This Row],[AICAssessedAnnualNonBase]]*NonBaseShade)</f>
        <v>0</v>
      </c>
    </row>
    <row r="45" spans="1:94" ht="12.5" x14ac:dyDescent="0.25">
      <c r="A45" s="25" t="s">
        <v>571</v>
      </c>
      <c r="B45" s="25">
        <v>5</v>
      </c>
      <c r="C45" s="81" t="s">
        <v>9</v>
      </c>
      <c r="D45" s="25">
        <v>4</v>
      </c>
      <c r="E45" s="25" t="b" cm="1">
        <f t="array" ref="E45">NOT(SUMPRODUCT(--(AICEmployerIncomeDataTable[[#This Row],[AICEmploymentBasis]:[AICEmployerName]]&lt;&gt;""))=0)</f>
        <v>0</v>
      </c>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56"/>
      <c r="AF45" s="56"/>
      <c r="AG45" s="56"/>
      <c r="AH45" s="56"/>
      <c r="AI45" s="56"/>
      <c r="AJ45" s="56"/>
      <c r="AK45" s="25"/>
      <c r="AL45" s="25"/>
      <c r="AM45" s="25"/>
      <c r="AN45" s="25"/>
      <c r="AO45" s="25"/>
      <c r="AP45" s="25"/>
      <c r="AQ45" s="25"/>
      <c r="AR45" s="25"/>
      <c r="AS45" s="25"/>
      <c r="AT45" s="25"/>
      <c r="AU45" s="25"/>
      <c r="AV45" s="508"/>
      <c r="AW45" s="25"/>
      <c r="AX45" s="25"/>
      <c r="AY45" s="25"/>
      <c r="AZ45" s="25"/>
      <c r="BA45" s="25"/>
      <c r="BB45" s="25"/>
      <c r="BC45" s="25"/>
      <c r="BD45" s="25"/>
      <c r="BE45" s="25"/>
      <c r="BF45" s="25"/>
      <c r="BG45" s="25"/>
      <c r="BH45" s="25"/>
      <c r="BI45" s="25"/>
      <c r="BJ45" s="25"/>
      <c r="BK45" s="25"/>
      <c r="BL45" s="25"/>
      <c r="BM45" s="25"/>
      <c r="BN45" s="25"/>
      <c r="BO45" s="25"/>
      <c r="BP45" s="25"/>
      <c r="BQ45" s="25"/>
      <c r="BR45" s="25"/>
      <c r="BS45" s="533"/>
      <c r="BT45" s="533"/>
      <c r="BU45" s="508"/>
      <c r="BV45" s="508"/>
      <c r="BW45" s="508"/>
      <c r="BX45" s="508"/>
      <c r="BY45" s="508"/>
      <c r="BZ45" s="508"/>
      <c r="CA45" s="508"/>
      <c r="CB45" s="508"/>
      <c r="CC45" s="508"/>
      <c r="CD45" s="508"/>
      <c r="CE45" s="508"/>
      <c r="CF45" s="508"/>
      <c r="CG45" s="508"/>
      <c r="CH45" s="508"/>
      <c r="CI45" s="508"/>
      <c r="CJ45" s="508"/>
      <c r="CK45" s="508"/>
      <c r="CL45" s="508"/>
      <c r="CM45" s="508"/>
      <c r="CN45" s="508"/>
      <c r="CO45" s="56">
        <f>SUM(AICEmployerIncomeDataTable[[#This Row],[AICAssessedAnnualBase]:[AICAssessedAnnualBonus]])</f>
        <v>0</v>
      </c>
      <c r="CP45" s="508">
        <f>IF(AICEmployerIncomeDataTable[[#This Row],[AICPermanentIncomeVerificationType]]="Emergency Services",AICEmployerIncomeDataTable[[#This Row],[AICAssessedAnnualNonBase]],AICEmployerIncomeDataTable[[#This Row],[AICAssessedAnnualNonBase]]*NonBaseShade)</f>
        <v>0</v>
      </c>
    </row>
    <row r="46" spans="1:94" ht="12.5" x14ac:dyDescent="0.25">
      <c r="A46" s="25" t="s">
        <v>572</v>
      </c>
      <c r="B46" s="25">
        <v>5</v>
      </c>
      <c r="C46" s="81" t="s">
        <v>9</v>
      </c>
      <c r="D46" s="25">
        <v>5</v>
      </c>
      <c r="E46" s="25" t="b" cm="1">
        <f t="array" ref="E46">NOT(SUMPRODUCT(--(AICEmployerIncomeDataTable[[#This Row],[AICEmploymentBasis]:[AICEmployerName]]&lt;&gt;""))=0)</f>
        <v>0</v>
      </c>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56"/>
      <c r="AF46" s="56"/>
      <c r="AG46" s="56"/>
      <c r="AH46" s="56"/>
      <c r="AI46" s="56"/>
      <c r="AJ46" s="56"/>
      <c r="AK46" s="25"/>
      <c r="AL46" s="25"/>
      <c r="AM46" s="25"/>
      <c r="AN46" s="25"/>
      <c r="AO46" s="25"/>
      <c r="AP46" s="25"/>
      <c r="AQ46" s="25"/>
      <c r="AR46" s="25"/>
      <c r="AS46" s="25"/>
      <c r="AT46" s="25"/>
      <c r="AU46" s="25"/>
      <c r="AV46" s="508"/>
      <c r="AW46" s="25"/>
      <c r="AX46" s="25"/>
      <c r="AY46" s="25"/>
      <c r="AZ46" s="25"/>
      <c r="BA46" s="25"/>
      <c r="BB46" s="25"/>
      <c r="BC46" s="25"/>
      <c r="BD46" s="25"/>
      <c r="BE46" s="25"/>
      <c r="BF46" s="25"/>
      <c r="BG46" s="25"/>
      <c r="BH46" s="25"/>
      <c r="BI46" s="25"/>
      <c r="BJ46" s="25"/>
      <c r="BK46" s="25"/>
      <c r="BL46" s="25"/>
      <c r="BM46" s="25"/>
      <c r="BN46" s="25"/>
      <c r="BO46" s="25"/>
      <c r="BP46" s="25"/>
      <c r="BQ46" s="25"/>
      <c r="BR46" s="25"/>
      <c r="BS46" s="533"/>
      <c r="BT46" s="533"/>
      <c r="BU46" s="508"/>
      <c r="BV46" s="508"/>
      <c r="BW46" s="508"/>
      <c r="BX46" s="508"/>
      <c r="BY46" s="508"/>
      <c r="BZ46" s="508"/>
      <c r="CA46" s="508"/>
      <c r="CB46" s="508"/>
      <c r="CC46" s="508"/>
      <c r="CD46" s="508"/>
      <c r="CE46" s="508"/>
      <c r="CF46" s="508"/>
      <c r="CG46" s="508"/>
      <c r="CH46" s="508"/>
      <c r="CI46" s="508"/>
      <c r="CJ46" s="508"/>
      <c r="CK46" s="508"/>
      <c r="CL46" s="508"/>
      <c r="CM46" s="508"/>
      <c r="CN46" s="508"/>
      <c r="CO46" s="56">
        <f>SUM(AICEmployerIncomeDataTable[[#This Row],[AICAssessedAnnualBase]:[AICAssessedAnnualBonus]])</f>
        <v>0</v>
      </c>
      <c r="CP46" s="508">
        <f>IF(AICEmployerIncomeDataTable[[#This Row],[AICPermanentIncomeVerificationType]]="Emergency Services",AICEmployerIncomeDataTable[[#This Row],[AICAssessedAnnualNonBase]],AICEmployerIncomeDataTable[[#This Row],[AICAssessedAnnualNonBase]]*NonBaseShade)</f>
        <v>0</v>
      </c>
    </row>
    <row r="47" spans="1:94" ht="12.5" x14ac:dyDescent="0.25">
      <c r="A47" s="25" t="s">
        <v>573</v>
      </c>
      <c r="B47" s="25">
        <v>5</v>
      </c>
      <c r="C47" s="81" t="s">
        <v>12</v>
      </c>
      <c r="D47" s="25">
        <v>1</v>
      </c>
      <c r="E47" s="25" t="b" cm="1">
        <f t="array" ref="E47">NOT(SUMPRODUCT(--(AICEmployerIncomeDataTable[[#This Row],[AICEmploymentBasis]:[AICEmployerName]]&lt;&gt;""))=0)</f>
        <v>0</v>
      </c>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56"/>
      <c r="AF47" s="56"/>
      <c r="AG47" s="56"/>
      <c r="AH47" s="56"/>
      <c r="AI47" s="56"/>
      <c r="AJ47" s="56"/>
      <c r="AK47" s="25"/>
      <c r="AL47" s="25"/>
      <c r="AM47" s="25"/>
      <c r="AN47" s="25"/>
      <c r="AO47" s="25"/>
      <c r="AP47" s="25"/>
      <c r="AQ47" s="25"/>
      <c r="AR47" s="25"/>
      <c r="AS47" s="25"/>
      <c r="AT47" s="25"/>
      <c r="AU47" s="25"/>
      <c r="AV47" s="508"/>
      <c r="AW47" s="25"/>
      <c r="AX47" s="25"/>
      <c r="AY47" s="25"/>
      <c r="AZ47" s="25"/>
      <c r="BA47" s="25"/>
      <c r="BB47" s="25"/>
      <c r="BC47" s="25"/>
      <c r="BD47" s="25"/>
      <c r="BE47" s="25"/>
      <c r="BF47" s="25"/>
      <c r="BG47" s="25"/>
      <c r="BH47" s="25"/>
      <c r="BI47" s="25"/>
      <c r="BJ47" s="25"/>
      <c r="BK47" s="25"/>
      <c r="BL47" s="25"/>
      <c r="BM47" s="25"/>
      <c r="BN47" s="25"/>
      <c r="BO47" s="25"/>
      <c r="BP47" s="25"/>
      <c r="BQ47" s="25"/>
      <c r="BR47" s="25"/>
      <c r="BS47" s="533"/>
      <c r="BT47" s="533"/>
      <c r="BU47" s="508"/>
      <c r="BV47" s="508"/>
      <c r="BW47" s="508"/>
      <c r="BX47" s="508"/>
      <c r="BY47" s="508"/>
      <c r="BZ47" s="508"/>
      <c r="CA47" s="508"/>
      <c r="CB47" s="508"/>
      <c r="CC47" s="508"/>
      <c r="CD47" s="508"/>
      <c r="CE47" s="508"/>
      <c r="CF47" s="508"/>
      <c r="CG47" s="508"/>
      <c r="CH47" s="508"/>
      <c r="CI47" s="508"/>
      <c r="CJ47" s="508"/>
      <c r="CK47" s="508"/>
      <c r="CL47" s="508"/>
      <c r="CM47" s="508"/>
      <c r="CN47" s="508"/>
      <c r="CO47" s="56">
        <f>SUM(AICEmployerIncomeDataTable[[#This Row],[AICAssessedAnnualBase]:[AICAssessedAnnualBonus]])</f>
        <v>0</v>
      </c>
      <c r="CP47" s="508">
        <f>IF(AICEmployerIncomeDataTable[[#This Row],[AICPermanentIncomeVerificationType]]="Emergency Services",AICEmployerIncomeDataTable[[#This Row],[AICAssessedAnnualNonBase]],AICEmployerIncomeDataTable[[#This Row],[AICAssessedAnnualNonBase]]*NonBaseShade)</f>
        <v>0</v>
      </c>
    </row>
    <row r="48" spans="1:94" ht="12.5" x14ac:dyDescent="0.25">
      <c r="A48" s="25" t="s">
        <v>574</v>
      </c>
      <c r="B48" s="25">
        <v>5</v>
      </c>
      <c r="C48" s="81" t="s">
        <v>12</v>
      </c>
      <c r="D48" s="25">
        <v>2</v>
      </c>
      <c r="E48" s="25" t="b" cm="1">
        <f t="array" ref="E48">NOT(SUMPRODUCT(--(AICEmployerIncomeDataTable[[#This Row],[AICEmploymentBasis]:[AICEmployerName]]&lt;&gt;""))=0)</f>
        <v>0</v>
      </c>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56"/>
      <c r="AF48" s="56"/>
      <c r="AG48" s="56"/>
      <c r="AH48" s="56"/>
      <c r="AI48" s="56"/>
      <c r="AJ48" s="56"/>
      <c r="AK48" s="25"/>
      <c r="AL48" s="25"/>
      <c r="AM48" s="25"/>
      <c r="AN48" s="25"/>
      <c r="AO48" s="25"/>
      <c r="AP48" s="25"/>
      <c r="AQ48" s="25"/>
      <c r="AR48" s="25"/>
      <c r="AS48" s="25"/>
      <c r="AT48" s="25"/>
      <c r="AU48" s="25"/>
      <c r="AV48" s="508"/>
      <c r="AW48" s="25"/>
      <c r="AX48" s="25"/>
      <c r="AY48" s="25"/>
      <c r="AZ48" s="25"/>
      <c r="BA48" s="25"/>
      <c r="BB48" s="25"/>
      <c r="BC48" s="25"/>
      <c r="BD48" s="25"/>
      <c r="BE48" s="25"/>
      <c r="BF48" s="25"/>
      <c r="BG48" s="25"/>
      <c r="BH48" s="25"/>
      <c r="BI48" s="25"/>
      <c r="BJ48" s="25"/>
      <c r="BK48" s="25"/>
      <c r="BL48" s="25"/>
      <c r="BM48" s="25"/>
      <c r="BN48" s="25"/>
      <c r="BO48" s="25"/>
      <c r="BP48" s="25"/>
      <c r="BQ48" s="25"/>
      <c r="BR48" s="25"/>
      <c r="BS48" s="533"/>
      <c r="BT48" s="533"/>
      <c r="BU48" s="508"/>
      <c r="BV48" s="508"/>
      <c r="BW48" s="508"/>
      <c r="BX48" s="508"/>
      <c r="BY48" s="508"/>
      <c r="BZ48" s="508"/>
      <c r="CA48" s="508"/>
      <c r="CB48" s="508"/>
      <c r="CC48" s="508"/>
      <c r="CD48" s="508"/>
      <c r="CE48" s="508"/>
      <c r="CF48" s="508"/>
      <c r="CG48" s="508"/>
      <c r="CH48" s="508"/>
      <c r="CI48" s="508"/>
      <c r="CJ48" s="508"/>
      <c r="CK48" s="508"/>
      <c r="CL48" s="508"/>
      <c r="CM48" s="508"/>
      <c r="CN48" s="508"/>
      <c r="CO48" s="56">
        <f>SUM(AICEmployerIncomeDataTable[[#This Row],[AICAssessedAnnualBase]:[AICAssessedAnnualBonus]])</f>
        <v>0</v>
      </c>
      <c r="CP48" s="508">
        <f>IF(AICEmployerIncomeDataTable[[#This Row],[AICPermanentIncomeVerificationType]]="Emergency Services",AICEmployerIncomeDataTable[[#This Row],[AICAssessedAnnualNonBase]],AICEmployerIncomeDataTable[[#This Row],[AICAssessedAnnualNonBase]]*NonBaseShade)</f>
        <v>0</v>
      </c>
    </row>
    <row r="49" spans="1:94" ht="12.5" x14ac:dyDescent="0.25">
      <c r="A49" s="25" t="s">
        <v>575</v>
      </c>
      <c r="B49" s="25">
        <v>5</v>
      </c>
      <c r="C49" s="81" t="s">
        <v>12</v>
      </c>
      <c r="D49" s="25">
        <v>3</v>
      </c>
      <c r="E49" s="25" t="b" cm="1">
        <f t="array" ref="E49">NOT(SUMPRODUCT(--(AICEmployerIncomeDataTable[[#This Row],[AICEmploymentBasis]:[AICEmployerName]]&lt;&gt;""))=0)</f>
        <v>0</v>
      </c>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56"/>
      <c r="AF49" s="56"/>
      <c r="AG49" s="56"/>
      <c r="AH49" s="56"/>
      <c r="AI49" s="56"/>
      <c r="AJ49" s="56"/>
      <c r="AK49" s="25"/>
      <c r="AL49" s="25"/>
      <c r="AM49" s="25"/>
      <c r="AN49" s="25"/>
      <c r="AO49" s="25"/>
      <c r="AP49" s="25"/>
      <c r="AQ49" s="25"/>
      <c r="AR49" s="25"/>
      <c r="AS49" s="25"/>
      <c r="AT49" s="25"/>
      <c r="AU49" s="25"/>
      <c r="AV49" s="508"/>
      <c r="AW49" s="25"/>
      <c r="AX49" s="25"/>
      <c r="AY49" s="25"/>
      <c r="AZ49" s="25"/>
      <c r="BA49" s="25"/>
      <c r="BB49" s="25"/>
      <c r="BC49" s="25"/>
      <c r="BD49" s="25"/>
      <c r="BE49" s="25"/>
      <c r="BF49" s="25"/>
      <c r="BG49" s="25"/>
      <c r="BH49" s="25"/>
      <c r="BI49" s="25"/>
      <c r="BJ49" s="25"/>
      <c r="BK49" s="25"/>
      <c r="BL49" s="25"/>
      <c r="BM49" s="25"/>
      <c r="BN49" s="25"/>
      <c r="BO49" s="25"/>
      <c r="BP49" s="25"/>
      <c r="BQ49" s="25"/>
      <c r="BR49" s="25"/>
      <c r="BS49" s="533"/>
      <c r="BT49" s="533"/>
      <c r="BU49" s="508"/>
      <c r="BV49" s="508"/>
      <c r="BW49" s="508"/>
      <c r="BX49" s="508"/>
      <c r="BY49" s="508"/>
      <c r="BZ49" s="508"/>
      <c r="CA49" s="508"/>
      <c r="CB49" s="508"/>
      <c r="CC49" s="508"/>
      <c r="CD49" s="508"/>
      <c r="CE49" s="508"/>
      <c r="CF49" s="508"/>
      <c r="CG49" s="508"/>
      <c r="CH49" s="508"/>
      <c r="CI49" s="508"/>
      <c r="CJ49" s="508"/>
      <c r="CK49" s="508"/>
      <c r="CL49" s="508"/>
      <c r="CM49" s="508"/>
      <c r="CN49" s="508"/>
      <c r="CO49" s="56">
        <f>SUM(AICEmployerIncomeDataTable[[#This Row],[AICAssessedAnnualBase]:[AICAssessedAnnualBonus]])</f>
        <v>0</v>
      </c>
      <c r="CP49" s="508">
        <f>IF(AICEmployerIncomeDataTable[[#This Row],[AICPermanentIncomeVerificationType]]="Emergency Services",AICEmployerIncomeDataTable[[#This Row],[AICAssessedAnnualNonBase]],AICEmployerIncomeDataTable[[#This Row],[AICAssessedAnnualNonBase]]*NonBaseShade)</f>
        <v>0</v>
      </c>
    </row>
    <row r="50" spans="1:94" ht="12.5" x14ac:dyDescent="0.25">
      <c r="A50" s="25" t="s">
        <v>576</v>
      </c>
      <c r="B50" s="25">
        <v>5</v>
      </c>
      <c r="C50" s="81" t="s">
        <v>12</v>
      </c>
      <c r="D50" s="25">
        <v>4</v>
      </c>
      <c r="E50" s="25" t="b" cm="1">
        <f t="array" ref="E50">NOT(SUMPRODUCT(--(AICEmployerIncomeDataTable[[#This Row],[AICEmploymentBasis]:[AICEmployerName]]&lt;&gt;""))=0)</f>
        <v>0</v>
      </c>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56"/>
      <c r="AF50" s="56"/>
      <c r="AG50" s="56"/>
      <c r="AH50" s="56"/>
      <c r="AI50" s="56"/>
      <c r="AJ50" s="56"/>
      <c r="AK50" s="25"/>
      <c r="AL50" s="25"/>
      <c r="AM50" s="25"/>
      <c r="AN50" s="25"/>
      <c r="AO50" s="25"/>
      <c r="AP50" s="25"/>
      <c r="AQ50" s="25"/>
      <c r="AR50" s="25"/>
      <c r="AS50" s="25"/>
      <c r="AT50" s="25"/>
      <c r="AU50" s="25"/>
      <c r="AV50" s="508"/>
      <c r="AW50" s="25"/>
      <c r="AX50" s="25"/>
      <c r="AY50" s="25"/>
      <c r="AZ50" s="25"/>
      <c r="BA50" s="25"/>
      <c r="BB50" s="25"/>
      <c r="BC50" s="25"/>
      <c r="BD50" s="25"/>
      <c r="BE50" s="25"/>
      <c r="BF50" s="25"/>
      <c r="BG50" s="25"/>
      <c r="BH50" s="25"/>
      <c r="BI50" s="25"/>
      <c r="BJ50" s="25"/>
      <c r="BK50" s="25"/>
      <c r="BL50" s="25"/>
      <c r="BM50" s="25"/>
      <c r="BN50" s="25"/>
      <c r="BO50" s="25"/>
      <c r="BP50" s="25"/>
      <c r="BQ50" s="25"/>
      <c r="BR50" s="25"/>
      <c r="BS50" s="533"/>
      <c r="BT50" s="533"/>
      <c r="BU50" s="508"/>
      <c r="BV50" s="508"/>
      <c r="BW50" s="508"/>
      <c r="BX50" s="508"/>
      <c r="BY50" s="508"/>
      <c r="BZ50" s="508"/>
      <c r="CA50" s="508"/>
      <c r="CB50" s="508"/>
      <c r="CC50" s="508"/>
      <c r="CD50" s="508"/>
      <c r="CE50" s="508"/>
      <c r="CF50" s="508"/>
      <c r="CG50" s="508"/>
      <c r="CH50" s="508"/>
      <c r="CI50" s="508"/>
      <c r="CJ50" s="508"/>
      <c r="CK50" s="508"/>
      <c r="CL50" s="508"/>
      <c r="CM50" s="508"/>
      <c r="CN50" s="508"/>
      <c r="CO50" s="56">
        <f>SUM(AICEmployerIncomeDataTable[[#This Row],[AICAssessedAnnualBase]:[AICAssessedAnnualBonus]])</f>
        <v>0</v>
      </c>
      <c r="CP50" s="508">
        <f>IF(AICEmployerIncomeDataTable[[#This Row],[AICPermanentIncomeVerificationType]]="Emergency Services",AICEmployerIncomeDataTable[[#This Row],[AICAssessedAnnualNonBase]],AICEmployerIncomeDataTable[[#This Row],[AICAssessedAnnualNonBase]]*NonBaseShade)</f>
        <v>0</v>
      </c>
    </row>
    <row r="51" spans="1:94" ht="12.5" x14ac:dyDescent="0.25">
      <c r="A51" s="25" t="s">
        <v>577</v>
      </c>
      <c r="B51" s="25">
        <v>5</v>
      </c>
      <c r="C51" s="81" t="s">
        <v>12</v>
      </c>
      <c r="D51" s="25">
        <v>5</v>
      </c>
      <c r="E51" s="25" t="b" cm="1">
        <f t="array" ref="E51">NOT(SUMPRODUCT(--(AICEmployerIncomeDataTable[[#This Row],[AICEmploymentBasis]:[AICEmployerName]]&lt;&gt;""))=0)</f>
        <v>0</v>
      </c>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56"/>
      <c r="AF51" s="56"/>
      <c r="AG51" s="56"/>
      <c r="AH51" s="56"/>
      <c r="AI51" s="56"/>
      <c r="AJ51" s="56"/>
      <c r="AK51" s="25"/>
      <c r="AL51" s="25"/>
      <c r="AM51" s="25"/>
      <c r="AN51" s="25"/>
      <c r="AO51" s="25"/>
      <c r="AP51" s="25"/>
      <c r="AQ51" s="25"/>
      <c r="AR51" s="25"/>
      <c r="AS51" s="25"/>
      <c r="AT51" s="25"/>
      <c r="AU51" s="25"/>
      <c r="AV51" s="508"/>
      <c r="AW51" s="25"/>
      <c r="AX51" s="25"/>
      <c r="AY51" s="25"/>
      <c r="AZ51" s="25"/>
      <c r="BA51" s="25"/>
      <c r="BB51" s="25"/>
      <c r="BC51" s="25"/>
      <c r="BD51" s="25"/>
      <c r="BE51" s="25"/>
      <c r="BF51" s="25"/>
      <c r="BG51" s="25"/>
      <c r="BH51" s="25"/>
      <c r="BI51" s="25"/>
      <c r="BJ51" s="25"/>
      <c r="BK51" s="25"/>
      <c r="BL51" s="25"/>
      <c r="BM51" s="25"/>
      <c r="BN51" s="25"/>
      <c r="BO51" s="25"/>
      <c r="BP51" s="25"/>
      <c r="BQ51" s="25"/>
      <c r="BR51" s="25"/>
      <c r="BS51" s="533"/>
      <c r="BT51" s="533"/>
      <c r="BU51" s="508"/>
      <c r="BV51" s="508"/>
      <c r="BW51" s="508"/>
      <c r="BX51" s="508"/>
      <c r="BY51" s="508"/>
      <c r="BZ51" s="508"/>
      <c r="CA51" s="508"/>
      <c r="CB51" s="508"/>
      <c r="CC51" s="508"/>
      <c r="CD51" s="508"/>
      <c r="CE51" s="508"/>
      <c r="CF51" s="508"/>
      <c r="CG51" s="508"/>
      <c r="CH51" s="508"/>
      <c r="CI51" s="508"/>
      <c r="CJ51" s="508"/>
      <c r="CK51" s="508"/>
      <c r="CL51" s="508"/>
      <c r="CM51" s="508"/>
      <c r="CN51" s="508"/>
      <c r="CO51" s="56">
        <f>SUM(AICEmployerIncomeDataTable[[#This Row],[AICAssessedAnnualBase]:[AICAssessedAnnualBonus]])</f>
        <v>0</v>
      </c>
      <c r="CP51" s="508">
        <f>IF(AICEmployerIncomeDataTable[[#This Row],[AICPermanentIncomeVerificationType]]="Emergency Services",AICEmployerIncomeDataTable[[#This Row],[AICAssessedAnnualNonBase]],AICEmployerIncomeDataTable[[#This Row],[AICAssessedAnnualNonBase]]*NonBaseShade)</f>
        <v>0</v>
      </c>
    </row>
    <row r="52" spans="1:94" ht="12.5" x14ac:dyDescent="0.25">
      <c r="A52" s="25" t="s">
        <v>578</v>
      </c>
      <c r="B52" s="25">
        <v>6</v>
      </c>
      <c r="C52" s="81" t="s">
        <v>9</v>
      </c>
      <c r="D52" s="25">
        <v>1</v>
      </c>
      <c r="E52" s="25" t="b" cm="1">
        <f t="array" ref="E52">NOT(SUMPRODUCT(--(AICEmployerIncomeDataTable[[#This Row],[AICEmploymentBasis]:[AICEmployerName]]&lt;&gt;""))=0)</f>
        <v>0</v>
      </c>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56"/>
      <c r="AF52" s="56"/>
      <c r="AG52" s="56"/>
      <c r="AH52" s="56"/>
      <c r="AI52" s="56"/>
      <c r="AJ52" s="56"/>
      <c r="AK52" s="25"/>
      <c r="AL52" s="25"/>
      <c r="AM52" s="25"/>
      <c r="AN52" s="25"/>
      <c r="AO52" s="25"/>
      <c r="AP52" s="25"/>
      <c r="AQ52" s="25"/>
      <c r="AR52" s="25"/>
      <c r="AS52" s="25"/>
      <c r="AT52" s="25"/>
      <c r="AU52" s="25"/>
      <c r="AV52" s="508"/>
      <c r="AW52" s="25"/>
      <c r="AX52" s="25"/>
      <c r="AY52" s="25"/>
      <c r="AZ52" s="25"/>
      <c r="BA52" s="25"/>
      <c r="BB52" s="25"/>
      <c r="BC52" s="25"/>
      <c r="BD52" s="25"/>
      <c r="BE52" s="25"/>
      <c r="BF52" s="25"/>
      <c r="BG52" s="25"/>
      <c r="BH52" s="25"/>
      <c r="BI52" s="25"/>
      <c r="BJ52" s="25"/>
      <c r="BK52" s="25"/>
      <c r="BL52" s="25"/>
      <c r="BM52" s="25"/>
      <c r="BN52" s="25"/>
      <c r="BO52" s="25"/>
      <c r="BP52" s="25"/>
      <c r="BQ52" s="25"/>
      <c r="BR52" s="25"/>
      <c r="BS52" s="533"/>
      <c r="BT52" s="533"/>
      <c r="BU52" s="508"/>
      <c r="BV52" s="508"/>
      <c r="BW52" s="508"/>
      <c r="BX52" s="508"/>
      <c r="BY52" s="508"/>
      <c r="BZ52" s="508"/>
      <c r="CA52" s="508"/>
      <c r="CB52" s="508"/>
      <c r="CC52" s="508"/>
      <c r="CD52" s="508"/>
      <c r="CE52" s="508"/>
      <c r="CF52" s="508"/>
      <c r="CG52" s="508"/>
      <c r="CH52" s="508"/>
      <c r="CI52" s="508"/>
      <c r="CJ52" s="508"/>
      <c r="CK52" s="508"/>
      <c r="CL52" s="508"/>
      <c r="CM52" s="508"/>
      <c r="CN52" s="508"/>
      <c r="CO52" s="56">
        <f>SUM(AICEmployerIncomeDataTable[[#This Row],[AICAssessedAnnualBase]:[AICAssessedAnnualBonus]])</f>
        <v>0</v>
      </c>
      <c r="CP52" s="508">
        <f>IF(AICEmployerIncomeDataTable[[#This Row],[AICPermanentIncomeVerificationType]]="Emergency Services",AICEmployerIncomeDataTable[[#This Row],[AICAssessedAnnualNonBase]],AICEmployerIncomeDataTable[[#This Row],[AICAssessedAnnualNonBase]]*NonBaseShade)</f>
        <v>0</v>
      </c>
    </row>
    <row r="53" spans="1:94" ht="12.5" x14ac:dyDescent="0.25">
      <c r="A53" s="25" t="s">
        <v>579</v>
      </c>
      <c r="B53" s="25">
        <v>6</v>
      </c>
      <c r="C53" s="81" t="s">
        <v>9</v>
      </c>
      <c r="D53" s="25">
        <v>2</v>
      </c>
      <c r="E53" s="25" t="b" cm="1">
        <f t="array" ref="E53">NOT(SUMPRODUCT(--(AICEmployerIncomeDataTable[[#This Row],[AICEmploymentBasis]:[AICEmployerName]]&lt;&gt;""))=0)</f>
        <v>0</v>
      </c>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56"/>
      <c r="AF53" s="56"/>
      <c r="AG53" s="56"/>
      <c r="AH53" s="56"/>
      <c r="AI53" s="56"/>
      <c r="AJ53" s="56"/>
      <c r="AK53" s="25"/>
      <c r="AL53" s="25"/>
      <c r="AM53" s="25"/>
      <c r="AN53" s="25"/>
      <c r="AO53" s="25"/>
      <c r="AP53" s="25"/>
      <c r="AQ53" s="25"/>
      <c r="AR53" s="25"/>
      <c r="AS53" s="25"/>
      <c r="AT53" s="25"/>
      <c r="AU53" s="25"/>
      <c r="AV53" s="508"/>
      <c r="AW53" s="25"/>
      <c r="AX53" s="25"/>
      <c r="AY53" s="25"/>
      <c r="AZ53" s="25"/>
      <c r="BA53" s="25"/>
      <c r="BB53" s="25"/>
      <c r="BC53" s="25"/>
      <c r="BD53" s="25"/>
      <c r="BE53" s="25"/>
      <c r="BF53" s="25"/>
      <c r="BG53" s="25"/>
      <c r="BH53" s="25"/>
      <c r="BI53" s="25"/>
      <c r="BJ53" s="25"/>
      <c r="BK53" s="25"/>
      <c r="BL53" s="25"/>
      <c r="BM53" s="25"/>
      <c r="BN53" s="25"/>
      <c r="BO53" s="25"/>
      <c r="BP53" s="25"/>
      <c r="BQ53" s="25"/>
      <c r="BR53" s="25"/>
      <c r="BS53" s="533"/>
      <c r="BT53" s="533"/>
      <c r="BU53" s="508"/>
      <c r="BV53" s="508"/>
      <c r="BW53" s="508"/>
      <c r="BX53" s="508"/>
      <c r="BY53" s="508"/>
      <c r="BZ53" s="508"/>
      <c r="CA53" s="508"/>
      <c r="CB53" s="508"/>
      <c r="CC53" s="508"/>
      <c r="CD53" s="508"/>
      <c r="CE53" s="508"/>
      <c r="CF53" s="508"/>
      <c r="CG53" s="508"/>
      <c r="CH53" s="508"/>
      <c r="CI53" s="508"/>
      <c r="CJ53" s="508"/>
      <c r="CK53" s="508"/>
      <c r="CL53" s="508"/>
      <c r="CM53" s="508"/>
      <c r="CN53" s="508"/>
      <c r="CO53" s="56">
        <f>SUM(AICEmployerIncomeDataTable[[#This Row],[AICAssessedAnnualBase]:[AICAssessedAnnualBonus]])</f>
        <v>0</v>
      </c>
      <c r="CP53" s="508">
        <f>IF(AICEmployerIncomeDataTable[[#This Row],[AICPermanentIncomeVerificationType]]="Emergency Services",AICEmployerIncomeDataTable[[#This Row],[AICAssessedAnnualNonBase]],AICEmployerIncomeDataTable[[#This Row],[AICAssessedAnnualNonBase]]*NonBaseShade)</f>
        <v>0</v>
      </c>
    </row>
    <row r="54" spans="1:94" ht="12.5" x14ac:dyDescent="0.25">
      <c r="A54" s="25" t="s">
        <v>580</v>
      </c>
      <c r="B54" s="25">
        <v>6</v>
      </c>
      <c r="C54" s="81" t="s">
        <v>9</v>
      </c>
      <c r="D54" s="25">
        <v>3</v>
      </c>
      <c r="E54" s="25" t="b" cm="1">
        <f t="array" ref="E54">NOT(SUMPRODUCT(--(AICEmployerIncomeDataTable[[#This Row],[AICEmploymentBasis]:[AICEmployerName]]&lt;&gt;""))=0)</f>
        <v>0</v>
      </c>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56"/>
      <c r="AF54" s="56"/>
      <c r="AG54" s="56"/>
      <c r="AH54" s="56"/>
      <c r="AI54" s="56"/>
      <c r="AJ54" s="56"/>
      <c r="AK54" s="25"/>
      <c r="AL54" s="25"/>
      <c r="AM54" s="25"/>
      <c r="AN54" s="25"/>
      <c r="AO54" s="25"/>
      <c r="AP54" s="25"/>
      <c r="AQ54" s="25"/>
      <c r="AR54" s="25"/>
      <c r="AS54" s="25"/>
      <c r="AT54" s="25"/>
      <c r="AU54" s="25"/>
      <c r="AV54" s="508"/>
      <c r="AW54" s="25"/>
      <c r="AX54" s="25"/>
      <c r="AY54" s="25"/>
      <c r="AZ54" s="25"/>
      <c r="BA54" s="25"/>
      <c r="BB54" s="25"/>
      <c r="BC54" s="25"/>
      <c r="BD54" s="25"/>
      <c r="BE54" s="25"/>
      <c r="BF54" s="25"/>
      <c r="BG54" s="25"/>
      <c r="BH54" s="25"/>
      <c r="BI54" s="25"/>
      <c r="BJ54" s="25"/>
      <c r="BK54" s="25"/>
      <c r="BL54" s="25"/>
      <c r="BM54" s="25"/>
      <c r="BN54" s="25"/>
      <c r="BO54" s="25"/>
      <c r="BP54" s="25"/>
      <c r="BQ54" s="25"/>
      <c r="BR54" s="25"/>
      <c r="BS54" s="533"/>
      <c r="BT54" s="533"/>
      <c r="BU54" s="508"/>
      <c r="BV54" s="508"/>
      <c r="BW54" s="508"/>
      <c r="BX54" s="508"/>
      <c r="BY54" s="508"/>
      <c r="BZ54" s="508"/>
      <c r="CA54" s="508"/>
      <c r="CB54" s="508"/>
      <c r="CC54" s="508"/>
      <c r="CD54" s="508"/>
      <c r="CE54" s="508"/>
      <c r="CF54" s="508"/>
      <c r="CG54" s="508"/>
      <c r="CH54" s="508"/>
      <c r="CI54" s="508"/>
      <c r="CJ54" s="508"/>
      <c r="CK54" s="508"/>
      <c r="CL54" s="508"/>
      <c r="CM54" s="508"/>
      <c r="CN54" s="508"/>
      <c r="CO54" s="56">
        <f>SUM(AICEmployerIncomeDataTable[[#This Row],[AICAssessedAnnualBase]:[AICAssessedAnnualBonus]])</f>
        <v>0</v>
      </c>
      <c r="CP54" s="508">
        <f>IF(AICEmployerIncomeDataTable[[#This Row],[AICPermanentIncomeVerificationType]]="Emergency Services",AICEmployerIncomeDataTable[[#This Row],[AICAssessedAnnualNonBase]],AICEmployerIncomeDataTable[[#This Row],[AICAssessedAnnualNonBase]]*NonBaseShade)</f>
        <v>0</v>
      </c>
    </row>
    <row r="55" spans="1:94" ht="12.5" x14ac:dyDescent="0.25">
      <c r="A55" s="25" t="s">
        <v>581</v>
      </c>
      <c r="B55" s="25">
        <v>6</v>
      </c>
      <c r="C55" s="81" t="s">
        <v>9</v>
      </c>
      <c r="D55" s="25">
        <v>4</v>
      </c>
      <c r="E55" s="25" t="b" cm="1">
        <f t="array" ref="E55">NOT(SUMPRODUCT(--(AICEmployerIncomeDataTable[[#This Row],[AICEmploymentBasis]:[AICEmployerName]]&lt;&gt;""))=0)</f>
        <v>0</v>
      </c>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56"/>
      <c r="AF55" s="56"/>
      <c r="AG55" s="56"/>
      <c r="AH55" s="56"/>
      <c r="AI55" s="56"/>
      <c r="AJ55" s="56"/>
      <c r="AK55" s="25"/>
      <c r="AL55" s="25"/>
      <c r="AM55" s="25"/>
      <c r="AN55" s="25"/>
      <c r="AO55" s="25"/>
      <c r="AP55" s="25"/>
      <c r="AQ55" s="25"/>
      <c r="AR55" s="25"/>
      <c r="AS55" s="25"/>
      <c r="AT55" s="25"/>
      <c r="AU55" s="25"/>
      <c r="AV55" s="508"/>
      <c r="AW55" s="25"/>
      <c r="AX55" s="25"/>
      <c r="AY55" s="25"/>
      <c r="AZ55" s="25"/>
      <c r="BA55" s="25"/>
      <c r="BB55" s="25"/>
      <c r="BC55" s="25"/>
      <c r="BD55" s="25"/>
      <c r="BE55" s="25"/>
      <c r="BF55" s="25"/>
      <c r="BG55" s="25"/>
      <c r="BH55" s="25"/>
      <c r="BI55" s="25"/>
      <c r="BJ55" s="25"/>
      <c r="BK55" s="25"/>
      <c r="BL55" s="25"/>
      <c r="BM55" s="25"/>
      <c r="BN55" s="25"/>
      <c r="BO55" s="25"/>
      <c r="BP55" s="25"/>
      <c r="BQ55" s="25"/>
      <c r="BR55" s="25"/>
      <c r="BS55" s="533"/>
      <c r="BT55" s="533"/>
      <c r="BU55" s="508"/>
      <c r="BV55" s="508"/>
      <c r="BW55" s="508"/>
      <c r="BX55" s="508"/>
      <c r="BY55" s="508"/>
      <c r="BZ55" s="508"/>
      <c r="CA55" s="508"/>
      <c r="CB55" s="508"/>
      <c r="CC55" s="508"/>
      <c r="CD55" s="508"/>
      <c r="CE55" s="508"/>
      <c r="CF55" s="508"/>
      <c r="CG55" s="508"/>
      <c r="CH55" s="508"/>
      <c r="CI55" s="508"/>
      <c r="CJ55" s="508"/>
      <c r="CK55" s="508"/>
      <c r="CL55" s="508"/>
      <c r="CM55" s="508"/>
      <c r="CN55" s="508"/>
      <c r="CO55" s="56">
        <f>SUM(AICEmployerIncomeDataTable[[#This Row],[AICAssessedAnnualBase]:[AICAssessedAnnualBonus]])</f>
        <v>0</v>
      </c>
      <c r="CP55" s="508">
        <f>IF(AICEmployerIncomeDataTable[[#This Row],[AICPermanentIncomeVerificationType]]="Emergency Services",AICEmployerIncomeDataTable[[#This Row],[AICAssessedAnnualNonBase]],AICEmployerIncomeDataTable[[#This Row],[AICAssessedAnnualNonBase]]*NonBaseShade)</f>
        <v>0</v>
      </c>
    </row>
    <row r="56" spans="1:94" ht="12.5" x14ac:dyDescent="0.25">
      <c r="A56" s="25" t="s">
        <v>582</v>
      </c>
      <c r="B56" s="25">
        <v>6</v>
      </c>
      <c r="C56" s="81" t="s">
        <v>9</v>
      </c>
      <c r="D56" s="25">
        <v>5</v>
      </c>
      <c r="E56" s="25" t="b" cm="1">
        <f t="array" ref="E56">NOT(SUMPRODUCT(--(AICEmployerIncomeDataTable[[#This Row],[AICEmploymentBasis]:[AICEmployerName]]&lt;&gt;""))=0)</f>
        <v>0</v>
      </c>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56"/>
      <c r="AF56" s="56"/>
      <c r="AG56" s="56"/>
      <c r="AH56" s="56"/>
      <c r="AI56" s="56"/>
      <c r="AJ56" s="56"/>
      <c r="AK56" s="25"/>
      <c r="AL56" s="25"/>
      <c r="AM56" s="25"/>
      <c r="AN56" s="25"/>
      <c r="AO56" s="25"/>
      <c r="AP56" s="25"/>
      <c r="AQ56" s="25"/>
      <c r="AR56" s="25"/>
      <c r="AS56" s="25"/>
      <c r="AT56" s="25"/>
      <c r="AU56" s="25"/>
      <c r="AV56" s="508"/>
      <c r="AW56" s="25"/>
      <c r="AX56" s="25"/>
      <c r="AY56" s="25"/>
      <c r="AZ56" s="25"/>
      <c r="BA56" s="25"/>
      <c r="BB56" s="25"/>
      <c r="BC56" s="25"/>
      <c r="BD56" s="25"/>
      <c r="BE56" s="25"/>
      <c r="BF56" s="25"/>
      <c r="BG56" s="25"/>
      <c r="BH56" s="25"/>
      <c r="BI56" s="25"/>
      <c r="BJ56" s="25"/>
      <c r="BK56" s="25"/>
      <c r="BL56" s="25"/>
      <c r="BM56" s="25"/>
      <c r="BN56" s="25"/>
      <c r="BO56" s="25"/>
      <c r="BP56" s="25"/>
      <c r="BQ56" s="25"/>
      <c r="BR56" s="25"/>
      <c r="BS56" s="533"/>
      <c r="BT56" s="533"/>
      <c r="BU56" s="508"/>
      <c r="BV56" s="508"/>
      <c r="BW56" s="508"/>
      <c r="BX56" s="508"/>
      <c r="BY56" s="508"/>
      <c r="BZ56" s="508"/>
      <c r="CA56" s="508"/>
      <c r="CB56" s="508"/>
      <c r="CC56" s="508"/>
      <c r="CD56" s="508"/>
      <c r="CE56" s="508"/>
      <c r="CF56" s="508"/>
      <c r="CG56" s="508"/>
      <c r="CH56" s="508"/>
      <c r="CI56" s="508"/>
      <c r="CJ56" s="508"/>
      <c r="CK56" s="508"/>
      <c r="CL56" s="508"/>
      <c r="CM56" s="508"/>
      <c r="CN56" s="508"/>
      <c r="CO56" s="56">
        <f>SUM(AICEmployerIncomeDataTable[[#This Row],[AICAssessedAnnualBase]:[AICAssessedAnnualBonus]])</f>
        <v>0</v>
      </c>
      <c r="CP56" s="508">
        <f>IF(AICEmployerIncomeDataTable[[#This Row],[AICPermanentIncomeVerificationType]]="Emergency Services",AICEmployerIncomeDataTable[[#This Row],[AICAssessedAnnualNonBase]],AICEmployerIncomeDataTable[[#This Row],[AICAssessedAnnualNonBase]]*NonBaseShade)</f>
        <v>0</v>
      </c>
    </row>
    <row r="57" spans="1:94" ht="12.5" x14ac:dyDescent="0.25">
      <c r="A57" s="25" t="s">
        <v>583</v>
      </c>
      <c r="B57" s="25">
        <v>6</v>
      </c>
      <c r="C57" s="81" t="s">
        <v>12</v>
      </c>
      <c r="D57" s="25">
        <v>1</v>
      </c>
      <c r="E57" s="25" t="b" cm="1">
        <f t="array" ref="E57">NOT(SUMPRODUCT(--(AICEmployerIncomeDataTable[[#This Row],[AICEmploymentBasis]:[AICEmployerName]]&lt;&gt;""))=0)</f>
        <v>0</v>
      </c>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56"/>
      <c r="AF57" s="56"/>
      <c r="AG57" s="56"/>
      <c r="AH57" s="56"/>
      <c r="AI57" s="56"/>
      <c r="AJ57" s="56"/>
      <c r="AK57" s="25"/>
      <c r="AL57" s="25"/>
      <c r="AM57" s="25"/>
      <c r="AN57" s="25"/>
      <c r="AO57" s="25"/>
      <c r="AP57" s="25"/>
      <c r="AQ57" s="25"/>
      <c r="AR57" s="25"/>
      <c r="AS57" s="25"/>
      <c r="AT57" s="25"/>
      <c r="AU57" s="25"/>
      <c r="AV57" s="508"/>
      <c r="AW57" s="25"/>
      <c r="AX57" s="25"/>
      <c r="AY57" s="25"/>
      <c r="AZ57" s="25"/>
      <c r="BA57" s="25"/>
      <c r="BB57" s="25"/>
      <c r="BC57" s="25"/>
      <c r="BD57" s="25"/>
      <c r="BE57" s="25"/>
      <c r="BF57" s="25"/>
      <c r="BG57" s="25"/>
      <c r="BH57" s="25"/>
      <c r="BI57" s="25"/>
      <c r="BJ57" s="25"/>
      <c r="BK57" s="25"/>
      <c r="BL57" s="25"/>
      <c r="BM57" s="25"/>
      <c r="BN57" s="25"/>
      <c r="BO57" s="25"/>
      <c r="BP57" s="25"/>
      <c r="BQ57" s="25"/>
      <c r="BR57" s="25"/>
      <c r="BS57" s="533"/>
      <c r="BT57" s="533"/>
      <c r="BU57" s="508"/>
      <c r="BV57" s="508"/>
      <c r="BW57" s="508"/>
      <c r="BX57" s="508"/>
      <c r="BY57" s="508"/>
      <c r="BZ57" s="508"/>
      <c r="CA57" s="508"/>
      <c r="CB57" s="508"/>
      <c r="CC57" s="508"/>
      <c r="CD57" s="508"/>
      <c r="CE57" s="508"/>
      <c r="CF57" s="508"/>
      <c r="CG57" s="508"/>
      <c r="CH57" s="508"/>
      <c r="CI57" s="508"/>
      <c r="CJ57" s="508"/>
      <c r="CK57" s="508"/>
      <c r="CL57" s="508"/>
      <c r="CM57" s="508"/>
      <c r="CN57" s="508"/>
      <c r="CO57" s="56">
        <f>SUM(AICEmployerIncomeDataTable[[#This Row],[AICAssessedAnnualBase]:[AICAssessedAnnualBonus]])</f>
        <v>0</v>
      </c>
      <c r="CP57" s="508">
        <f>IF(AICEmployerIncomeDataTable[[#This Row],[AICPermanentIncomeVerificationType]]="Emergency Services",AICEmployerIncomeDataTable[[#This Row],[AICAssessedAnnualNonBase]],AICEmployerIncomeDataTable[[#This Row],[AICAssessedAnnualNonBase]]*NonBaseShade)</f>
        <v>0</v>
      </c>
    </row>
    <row r="58" spans="1:94" ht="12.5" x14ac:dyDescent="0.25">
      <c r="A58" s="25" t="s">
        <v>584</v>
      </c>
      <c r="B58" s="25">
        <v>6</v>
      </c>
      <c r="C58" s="81" t="s">
        <v>12</v>
      </c>
      <c r="D58" s="25">
        <v>2</v>
      </c>
      <c r="E58" s="25" t="b" cm="1">
        <f t="array" ref="E58">NOT(SUMPRODUCT(--(AICEmployerIncomeDataTable[[#This Row],[AICEmploymentBasis]:[AICEmployerName]]&lt;&gt;""))=0)</f>
        <v>0</v>
      </c>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56"/>
      <c r="AF58" s="56"/>
      <c r="AG58" s="56"/>
      <c r="AH58" s="56"/>
      <c r="AI58" s="56"/>
      <c r="AJ58" s="56"/>
      <c r="AK58" s="25"/>
      <c r="AL58" s="25"/>
      <c r="AM58" s="25"/>
      <c r="AN58" s="25"/>
      <c r="AO58" s="25"/>
      <c r="AP58" s="25"/>
      <c r="AQ58" s="25"/>
      <c r="AR58" s="25"/>
      <c r="AS58" s="25"/>
      <c r="AT58" s="25"/>
      <c r="AU58" s="25"/>
      <c r="AV58" s="508"/>
      <c r="AW58" s="25"/>
      <c r="AX58" s="25"/>
      <c r="AY58" s="25"/>
      <c r="AZ58" s="25"/>
      <c r="BA58" s="25"/>
      <c r="BB58" s="25"/>
      <c r="BC58" s="25"/>
      <c r="BD58" s="25"/>
      <c r="BE58" s="25"/>
      <c r="BF58" s="25"/>
      <c r="BG58" s="25"/>
      <c r="BH58" s="25"/>
      <c r="BI58" s="25"/>
      <c r="BJ58" s="25"/>
      <c r="BK58" s="25"/>
      <c r="BL58" s="25"/>
      <c r="BM58" s="25"/>
      <c r="BN58" s="25"/>
      <c r="BO58" s="25"/>
      <c r="BP58" s="25"/>
      <c r="BQ58" s="25"/>
      <c r="BR58" s="25"/>
      <c r="BS58" s="533"/>
      <c r="BT58" s="533"/>
      <c r="BU58" s="508"/>
      <c r="BV58" s="508"/>
      <c r="BW58" s="508"/>
      <c r="BX58" s="508"/>
      <c r="BY58" s="508"/>
      <c r="BZ58" s="508"/>
      <c r="CA58" s="508"/>
      <c r="CB58" s="508"/>
      <c r="CC58" s="508"/>
      <c r="CD58" s="508"/>
      <c r="CE58" s="508"/>
      <c r="CF58" s="508"/>
      <c r="CG58" s="508"/>
      <c r="CH58" s="508"/>
      <c r="CI58" s="508"/>
      <c r="CJ58" s="508"/>
      <c r="CK58" s="508"/>
      <c r="CL58" s="508"/>
      <c r="CM58" s="508"/>
      <c r="CN58" s="508"/>
      <c r="CO58" s="56">
        <f>SUM(AICEmployerIncomeDataTable[[#This Row],[AICAssessedAnnualBase]:[AICAssessedAnnualBonus]])</f>
        <v>0</v>
      </c>
      <c r="CP58" s="508">
        <f>IF(AICEmployerIncomeDataTable[[#This Row],[AICPermanentIncomeVerificationType]]="Emergency Services",AICEmployerIncomeDataTable[[#This Row],[AICAssessedAnnualNonBase]],AICEmployerIncomeDataTable[[#This Row],[AICAssessedAnnualNonBase]]*NonBaseShade)</f>
        <v>0</v>
      </c>
    </row>
    <row r="59" spans="1:94" ht="12.5" x14ac:dyDescent="0.25">
      <c r="A59" s="25" t="s">
        <v>585</v>
      </c>
      <c r="B59" s="25">
        <v>6</v>
      </c>
      <c r="C59" s="81" t="s">
        <v>12</v>
      </c>
      <c r="D59" s="25">
        <v>3</v>
      </c>
      <c r="E59" s="25" t="b" cm="1">
        <f t="array" ref="E59">NOT(SUMPRODUCT(--(AICEmployerIncomeDataTable[[#This Row],[AICEmploymentBasis]:[AICEmployerName]]&lt;&gt;""))=0)</f>
        <v>0</v>
      </c>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56"/>
      <c r="AF59" s="56"/>
      <c r="AG59" s="56"/>
      <c r="AH59" s="56"/>
      <c r="AI59" s="56"/>
      <c r="AJ59" s="56"/>
      <c r="AK59" s="25"/>
      <c r="AL59" s="25"/>
      <c r="AM59" s="25"/>
      <c r="AN59" s="25"/>
      <c r="AO59" s="25"/>
      <c r="AP59" s="25"/>
      <c r="AQ59" s="25"/>
      <c r="AR59" s="25"/>
      <c r="AS59" s="25"/>
      <c r="AT59" s="25"/>
      <c r="AU59" s="25"/>
      <c r="AV59" s="508"/>
      <c r="AW59" s="25"/>
      <c r="AX59" s="25"/>
      <c r="AY59" s="25"/>
      <c r="AZ59" s="25"/>
      <c r="BA59" s="25"/>
      <c r="BB59" s="25"/>
      <c r="BC59" s="25"/>
      <c r="BD59" s="25"/>
      <c r="BE59" s="25"/>
      <c r="BF59" s="25"/>
      <c r="BG59" s="25"/>
      <c r="BH59" s="25"/>
      <c r="BI59" s="25"/>
      <c r="BJ59" s="25"/>
      <c r="BK59" s="25"/>
      <c r="BL59" s="25"/>
      <c r="BM59" s="25"/>
      <c r="BN59" s="25"/>
      <c r="BO59" s="25"/>
      <c r="BP59" s="25"/>
      <c r="BQ59" s="25"/>
      <c r="BR59" s="25"/>
      <c r="BS59" s="533"/>
      <c r="BT59" s="533"/>
      <c r="BU59" s="508"/>
      <c r="BV59" s="508"/>
      <c r="BW59" s="508"/>
      <c r="BX59" s="508"/>
      <c r="BY59" s="508"/>
      <c r="BZ59" s="508"/>
      <c r="CA59" s="508"/>
      <c r="CB59" s="508"/>
      <c r="CC59" s="508"/>
      <c r="CD59" s="508"/>
      <c r="CE59" s="508"/>
      <c r="CF59" s="508"/>
      <c r="CG59" s="508"/>
      <c r="CH59" s="508"/>
      <c r="CI59" s="508"/>
      <c r="CJ59" s="508"/>
      <c r="CK59" s="508"/>
      <c r="CL59" s="508"/>
      <c r="CM59" s="508"/>
      <c r="CN59" s="508"/>
      <c r="CO59" s="56">
        <f>SUM(AICEmployerIncomeDataTable[[#This Row],[AICAssessedAnnualBase]:[AICAssessedAnnualBonus]])</f>
        <v>0</v>
      </c>
      <c r="CP59" s="508">
        <f>IF(AICEmployerIncomeDataTable[[#This Row],[AICPermanentIncomeVerificationType]]="Emergency Services",AICEmployerIncomeDataTable[[#This Row],[AICAssessedAnnualNonBase]],AICEmployerIncomeDataTable[[#This Row],[AICAssessedAnnualNonBase]]*NonBaseShade)</f>
        <v>0</v>
      </c>
    </row>
    <row r="60" spans="1:94" ht="12.5" x14ac:dyDescent="0.25">
      <c r="A60" s="25" t="s">
        <v>586</v>
      </c>
      <c r="B60" s="25">
        <v>6</v>
      </c>
      <c r="C60" s="81" t="s">
        <v>12</v>
      </c>
      <c r="D60" s="25">
        <v>4</v>
      </c>
      <c r="E60" s="25" t="b" cm="1">
        <f t="array" ref="E60">NOT(SUMPRODUCT(--(AICEmployerIncomeDataTable[[#This Row],[AICEmploymentBasis]:[AICEmployerName]]&lt;&gt;""))=0)</f>
        <v>0</v>
      </c>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56"/>
      <c r="AF60" s="56"/>
      <c r="AG60" s="56"/>
      <c r="AH60" s="56"/>
      <c r="AI60" s="56"/>
      <c r="AJ60" s="56"/>
      <c r="AK60" s="25"/>
      <c r="AL60" s="25"/>
      <c r="AM60" s="25"/>
      <c r="AN60" s="25"/>
      <c r="AO60" s="25"/>
      <c r="AP60" s="25"/>
      <c r="AQ60" s="25"/>
      <c r="AR60" s="25"/>
      <c r="AS60" s="25"/>
      <c r="AT60" s="25"/>
      <c r="AU60" s="25"/>
      <c r="AV60" s="508"/>
      <c r="AW60" s="25"/>
      <c r="AX60" s="25"/>
      <c r="AY60" s="25"/>
      <c r="AZ60" s="25"/>
      <c r="BA60" s="25"/>
      <c r="BB60" s="25"/>
      <c r="BC60" s="25"/>
      <c r="BD60" s="25"/>
      <c r="BE60" s="25"/>
      <c r="BF60" s="25"/>
      <c r="BG60" s="25"/>
      <c r="BH60" s="25"/>
      <c r="BI60" s="25"/>
      <c r="BJ60" s="25"/>
      <c r="BK60" s="25"/>
      <c r="BL60" s="25"/>
      <c r="BM60" s="25"/>
      <c r="BN60" s="25"/>
      <c r="BO60" s="25"/>
      <c r="BP60" s="25"/>
      <c r="BQ60" s="25"/>
      <c r="BR60" s="25"/>
      <c r="BS60" s="533"/>
      <c r="BT60" s="533"/>
      <c r="BU60" s="508"/>
      <c r="BV60" s="508"/>
      <c r="BW60" s="508"/>
      <c r="BX60" s="508"/>
      <c r="BY60" s="508"/>
      <c r="BZ60" s="508"/>
      <c r="CA60" s="508"/>
      <c r="CB60" s="508"/>
      <c r="CC60" s="508"/>
      <c r="CD60" s="508"/>
      <c r="CE60" s="508"/>
      <c r="CF60" s="508"/>
      <c r="CG60" s="508"/>
      <c r="CH60" s="508"/>
      <c r="CI60" s="508"/>
      <c r="CJ60" s="508"/>
      <c r="CK60" s="508"/>
      <c r="CL60" s="508"/>
      <c r="CM60" s="508"/>
      <c r="CN60" s="508"/>
      <c r="CO60" s="56">
        <f>SUM(AICEmployerIncomeDataTable[[#This Row],[AICAssessedAnnualBase]:[AICAssessedAnnualBonus]])</f>
        <v>0</v>
      </c>
      <c r="CP60" s="508">
        <f>IF(AICEmployerIncomeDataTable[[#This Row],[AICPermanentIncomeVerificationType]]="Emergency Services",AICEmployerIncomeDataTable[[#This Row],[AICAssessedAnnualNonBase]],AICEmployerIncomeDataTable[[#This Row],[AICAssessedAnnualNonBase]]*NonBaseShade)</f>
        <v>0</v>
      </c>
    </row>
    <row r="61" spans="1:94" ht="12.5" x14ac:dyDescent="0.25">
      <c r="A61" s="25" t="s">
        <v>587</v>
      </c>
      <c r="B61" s="25">
        <v>6</v>
      </c>
      <c r="C61" s="81" t="s">
        <v>12</v>
      </c>
      <c r="D61" s="25">
        <v>5</v>
      </c>
      <c r="E61" s="25" t="b" cm="1">
        <f t="array" ref="E61">NOT(SUMPRODUCT(--(AICEmployerIncomeDataTable[[#This Row],[AICEmploymentBasis]:[AICEmployerName]]&lt;&gt;""))=0)</f>
        <v>0</v>
      </c>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56"/>
      <c r="AF61" s="56"/>
      <c r="AG61" s="56"/>
      <c r="AH61" s="56"/>
      <c r="AI61" s="56"/>
      <c r="AJ61" s="56"/>
      <c r="AK61" s="25"/>
      <c r="AL61" s="25"/>
      <c r="AM61" s="25"/>
      <c r="AN61" s="25"/>
      <c r="AO61" s="25"/>
      <c r="AP61" s="25"/>
      <c r="AQ61" s="25"/>
      <c r="AR61" s="25"/>
      <c r="AS61" s="25"/>
      <c r="AT61" s="25"/>
      <c r="AU61" s="25"/>
      <c r="AV61" s="508"/>
      <c r="AW61" s="25"/>
      <c r="AX61" s="25"/>
      <c r="AY61" s="25"/>
      <c r="AZ61" s="25"/>
      <c r="BA61" s="25"/>
      <c r="BB61" s="25"/>
      <c r="BC61" s="25"/>
      <c r="BD61" s="25"/>
      <c r="BE61" s="25"/>
      <c r="BF61" s="25"/>
      <c r="BG61" s="25"/>
      <c r="BH61" s="25"/>
      <c r="BI61" s="25"/>
      <c r="BJ61" s="25"/>
      <c r="BK61" s="25"/>
      <c r="BL61" s="25"/>
      <c r="BM61" s="25"/>
      <c r="BN61" s="25"/>
      <c r="BO61" s="25"/>
      <c r="BP61" s="25"/>
      <c r="BQ61" s="25"/>
      <c r="BR61" s="25"/>
      <c r="BS61" s="533"/>
      <c r="BT61" s="533"/>
      <c r="BU61" s="508"/>
      <c r="BV61" s="508"/>
      <c r="BW61" s="508"/>
      <c r="BX61" s="508"/>
      <c r="BY61" s="508"/>
      <c r="BZ61" s="508"/>
      <c r="CA61" s="508"/>
      <c r="CB61" s="508"/>
      <c r="CC61" s="508"/>
      <c r="CD61" s="508"/>
      <c r="CE61" s="508"/>
      <c r="CF61" s="508"/>
      <c r="CG61" s="508"/>
      <c r="CH61" s="508"/>
      <c r="CI61" s="508"/>
      <c r="CJ61" s="508"/>
      <c r="CK61" s="508"/>
      <c r="CL61" s="508"/>
      <c r="CM61" s="508"/>
      <c r="CN61" s="508"/>
      <c r="CO61" s="56">
        <f>SUM(AICEmployerIncomeDataTable[[#This Row],[AICAssessedAnnualBase]:[AICAssessedAnnualBonus]])</f>
        <v>0</v>
      </c>
      <c r="CP61" s="508">
        <f>IF(AICEmployerIncomeDataTable[[#This Row],[AICPermanentIncomeVerificationType]]="Emergency Services",AICEmployerIncomeDataTable[[#This Row],[AICAssessedAnnualNonBase]],AICEmployerIncomeDataTable[[#This Row],[AICAssessedAnnualNonBase]]*NonBaseShade)</f>
        <v>0</v>
      </c>
    </row>
    <row r="62" spans="1:94" ht="12.5" x14ac:dyDescent="0.25"/>
    <row r="63" spans="1:94" ht="12.5" x14ac:dyDescent="0.25"/>
    <row r="64" spans="1:94" ht="12.5" x14ac:dyDescent="0.25"/>
    <row r="65" spans="1:55" ht="12.5" x14ac:dyDescent="0.25"/>
    <row r="66" spans="1:55" ht="12.5" x14ac:dyDescent="0.25"/>
    <row r="67" spans="1:55" ht="12.5" x14ac:dyDescent="0.25"/>
    <row r="68" spans="1:55" ht="12.5" x14ac:dyDescent="0.25">
      <c r="A68" s="88" t="s">
        <v>653</v>
      </c>
      <c r="B68" s="88" t="s">
        <v>652</v>
      </c>
      <c r="C68" s="88" t="s">
        <v>651</v>
      </c>
      <c r="D68" s="88" t="s">
        <v>755</v>
      </c>
      <c r="E68" s="88" t="s">
        <v>2130</v>
      </c>
      <c r="F68" s="88" t="s">
        <v>2131</v>
      </c>
      <c r="G68" s="88" t="s">
        <v>2135</v>
      </c>
      <c r="H68" s="88" t="s">
        <v>2132</v>
      </c>
      <c r="I68" s="88" t="s">
        <v>2133</v>
      </c>
      <c r="J68" s="88" t="s">
        <v>1807</v>
      </c>
      <c r="K68" s="88" t="s">
        <v>2122</v>
      </c>
      <c r="L68" s="88" t="s">
        <v>2134</v>
      </c>
      <c r="M68" s="88" t="s">
        <v>749</v>
      </c>
      <c r="N68" s="88" t="s">
        <v>682</v>
      </c>
      <c r="O68" s="88" t="s">
        <v>683</v>
      </c>
      <c r="P68" s="88" t="s">
        <v>684</v>
      </c>
      <c r="Q68" s="88" t="s">
        <v>685</v>
      </c>
      <c r="R68" s="88" t="s">
        <v>686</v>
      </c>
      <c r="S68" s="88" t="s">
        <v>687</v>
      </c>
      <c r="T68" s="88" t="s">
        <v>703</v>
      </c>
      <c r="U68" s="88" t="s">
        <v>702</v>
      </c>
      <c r="V68" s="88" t="s">
        <v>701</v>
      </c>
      <c r="W68" s="88" t="s">
        <v>688</v>
      </c>
      <c r="X68" s="88" t="s">
        <v>689</v>
      </c>
      <c r="Y68" s="88" t="s">
        <v>690</v>
      </c>
      <c r="Z68" s="88" t="s">
        <v>691</v>
      </c>
      <c r="AA68" s="88" t="s">
        <v>700</v>
      </c>
      <c r="AB68" s="88" t="s">
        <v>692</v>
      </c>
      <c r="AC68" s="88" t="s">
        <v>693</v>
      </c>
      <c r="AD68" s="88" t="s">
        <v>678</v>
      </c>
      <c r="AE68" s="88" t="s">
        <v>699</v>
      </c>
      <c r="AF68" s="88" t="s">
        <v>694</v>
      </c>
      <c r="AG68" s="88" t="s">
        <v>679</v>
      </c>
      <c r="AH68" s="88" t="s">
        <v>695</v>
      </c>
      <c r="AI68" s="88" t="s">
        <v>696</v>
      </c>
      <c r="AJ68" s="88" t="s">
        <v>680</v>
      </c>
      <c r="AK68" s="88" t="s">
        <v>844</v>
      </c>
      <c r="AL68" s="88" t="s">
        <v>697</v>
      </c>
      <c r="AM68" s="88" t="s">
        <v>698</v>
      </c>
      <c r="AN68" s="88" t="s">
        <v>681</v>
      </c>
      <c r="AO68" s="88" t="s">
        <v>836</v>
      </c>
      <c r="AP68" s="88" t="s">
        <v>837</v>
      </c>
      <c r="AQ68" s="88" t="s">
        <v>831</v>
      </c>
      <c r="AR68" s="88" t="s">
        <v>838</v>
      </c>
      <c r="AS68" s="88" t="s">
        <v>839</v>
      </c>
      <c r="AT68" s="88" t="s">
        <v>832</v>
      </c>
      <c r="AU68" s="88" t="s">
        <v>840</v>
      </c>
      <c r="AV68" s="88" t="s">
        <v>841</v>
      </c>
      <c r="AW68" s="88" t="s">
        <v>2358</v>
      </c>
      <c r="AX68" s="88" t="s">
        <v>2359</v>
      </c>
      <c r="AY68" s="88" t="s">
        <v>741</v>
      </c>
      <c r="AZ68" s="88" t="s">
        <v>742</v>
      </c>
      <c r="BA68" s="88" t="s">
        <v>743</v>
      </c>
      <c r="BB68" s="88" t="s">
        <v>744</v>
      </c>
      <c r="BC68" s="88" t="s">
        <v>2032</v>
      </c>
    </row>
    <row r="69" spans="1:55" ht="12.5" x14ac:dyDescent="0.25">
      <c r="A69" s="25" t="s">
        <v>659</v>
      </c>
      <c r="B69" s="25">
        <v>1</v>
      </c>
      <c r="C69" s="81" t="s">
        <v>9</v>
      </c>
      <c r="D69" s="81" t="b" cm="1">
        <f t="array" ref="D69">NOT(SUMPRODUCT(--(OICOtherIncomeDataTable[[#This Row],[OICInterestFrequencyLY]:[OICCompanyCarUnshadedIncome]]&lt;&gt;""))=0)</f>
        <v>0</v>
      </c>
      <c r="E69" s="81"/>
      <c r="F69" s="587"/>
      <c r="G69" s="587"/>
      <c r="I69" s="320"/>
      <c r="J69" s="320"/>
      <c r="K69" s="320"/>
      <c r="L69" s="320"/>
      <c r="M69" s="25"/>
      <c r="N69" s="25"/>
      <c r="O69" s="25"/>
      <c r="P69" s="25"/>
      <c r="Q69" s="25"/>
      <c r="R69" s="25"/>
      <c r="S69" s="25"/>
      <c r="T69" s="25"/>
      <c r="U69" s="25"/>
      <c r="V69" s="320"/>
      <c r="W69" s="25"/>
      <c r="X69" s="25"/>
      <c r="Y69" s="25"/>
      <c r="Z69" s="25"/>
      <c r="AA69" s="320"/>
      <c r="AB69" s="25"/>
      <c r="AC69" s="1114"/>
      <c r="AD69" s="1114"/>
      <c r="AE69" s="25"/>
      <c r="AF69" s="25"/>
      <c r="AG69" s="1114"/>
      <c r="AH69" s="25"/>
      <c r="AI69" s="320"/>
      <c r="AJ69" s="1114"/>
      <c r="AK69" s="1105"/>
      <c r="AL69" s="25"/>
      <c r="AM69" s="320"/>
      <c r="AN69" s="1114"/>
      <c r="AO69" s="1105"/>
      <c r="AP69" s="1114"/>
      <c r="AQ69" s="1114"/>
      <c r="AR69" s="1105"/>
      <c r="AS69" s="1114"/>
      <c r="AT69" s="1114"/>
      <c r="AU69" s="1105"/>
      <c r="AV69" s="1105"/>
      <c r="AW69" s="587"/>
      <c r="AX69" s="587"/>
      <c r="AY69" s="25">
        <f>IFERROR(OICOtherIncomeDataTable[[#This Row],[OICSelfManagedSuperFundPY]]*VLOOKUP(OICOtherIncomeDataTable[[#This Row],[OICSelfManagedSuperFundFrequencyPY]],IncomeCycleData[],3,FALSE),0)</f>
        <v>0</v>
      </c>
      <c r="AZ69" s="25">
        <f>IFERROR(OICOtherIncomeDataTable[[#This Row],[OICSelfManagedSuperFundLY]]*VLOOKUP(OICOtherIncomeDataTable[[#This Row],[OICSelfManagedSuperFundFrequencyLY]],IncomeCycleData[],3,FALSE),0)</f>
        <v>0</v>
      </c>
      <c r="BA69"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69" s="25">
        <f>IFERROR(OICOtherIncomeDataTable[[#This Row],[OICInvestmentLY]]*VLOOKUP(OICOtherIncomeDataTable[[#This Row],[OICInvestmentFrequencyLY]],IncomeCycleData[],3,FALSE),0)</f>
        <v>0</v>
      </c>
      <c r="BC69" s="81">
        <f>IFERROR(OICOtherIncomeDataTable[[#This Row],[OICAssessedFrankingCredit]]*VLOOKUP(OICOtherIncomeDataTable[[#This Row],[OICDividendFrequencyLY]],IncomeCycleData[],3,FALSE),0)</f>
        <v>0</v>
      </c>
    </row>
    <row r="70" spans="1:55" ht="12.5" x14ac:dyDescent="0.25">
      <c r="A70" s="25" t="s">
        <v>660</v>
      </c>
      <c r="B70" s="25">
        <v>2</v>
      </c>
      <c r="C70" s="81" t="s">
        <v>9</v>
      </c>
      <c r="D70" s="81" t="b" cm="1">
        <f t="array" ref="D70">NOT(SUMPRODUCT(--(OICOtherIncomeDataTable[[#This Row],[OICInterestFrequencyLY]:[OICCompanyCarUnshadedIncome]]&lt;&gt;""))=0)</f>
        <v>0</v>
      </c>
      <c r="E70" s="81"/>
      <c r="F70" s="81"/>
      <c r="G70" s="587"/>
      <c r="I70" s="25"/>
      <c r="J70" s="25"/>
      <c r="K70" s="25"/>
      <c r="L70" s="320"/>
      <c r="M70" s="25"/>
      <c r="N70" s="25"/>
      <c r="O70" s="25"/>
      <c r="P70" s="25"/>
      <c r="Q70" s="25"/>
      <c r="R70" s="25"/>
      <c r="S70" s="25"/>
      <c r="T70" s="25"/>
      <c r="U70" s="25"/>
      <c r="V70" s="320"/>
      <c r="W70" s="25"/>
      <c r="X70" s="25"/>
      <c r="Y70" s="25"/>
      <c r="Z70" s="25"/>
      <c r="AA70" s="320"/>
      <c r="AB70" s="25"/>
      <c r="AC70" s="1105"/>
      <c r="AD70" s="1114"/>
      <c r="AE70" s="25"/>
      <c r="AF70" s="25"/>
      <c r="AG70" s="320"/>
      <c r="AH70" s="25"/>
      <c r="AI70" s="25"/>
      <c r="AJ70" s="320"/>
      <c r="AK70" s="25"/>
      <c r="AL70" s="25"/>
      <c r="AM70" s="25"/>
      <c r="AN70" s="320"/>
      <c r="AO70" s="25"/>
      <c r="AP70" s="25"/>
      <c r="AQ70" s="320"/>
      <c r="AR70" s="25"/>
      <c r="AS70" s="25"/>
      <c r="AT70" s="320"/>
      <c r="AU70" s="25"/>
      <c r="AV70" s="25"/>
      <c r="AW70" s="587"/>
      <c r="AX70" s="587"/>
      <c r="AY70" s="25">
        <f>IFERROR(OICOtherIncomeDataTable[[#This Row],[OICSelfManagedSuperFundPY]]*VLOOKUP(OICOtherIncomeDataTable[[#This Row],[OICSelfManagedSuperFundFrequencyPY]],IncomeCycleData[],3,FALSE),0)</f>
        <v>0</v>
      </c>
      <c r="AZ70" s="25">
        <f>IFERROR(OICOtherIncomeDataTable[[#This Row],[OICSelfManagedSuperFundLY]]*VLOOKUP(OICOtherIncomeDataTable[[#This Row],[OICSelfManagedSuperFundFrequencyLY]],IncomeCycleData[],3,FALSE),0)</f>
        <v>0</v>
      </c>
      <c r="BA70"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0" s="25">
        <f>IFERROR(OICOtherIncomeDataTable[[#This Row],[OICInvestmentLY]]*VLOOKUP(OICOtherIncomeDataTable[[#This Row],[OICInvestmentFrequencyLY]],IncomeCycleData[],3,FALSE),0)</f>
        <v>0</v>
      </c>
      <c r="BC70" s="81">
        <f>IFERROR(OICOtherIncomeDataTable[[#This Row],[OICAssessedFrankingCredit]]*VLOOKUP(OICOtherIncomeDataTable[[#This Row],[OICDividendFrequencyLY]],IncomeCycleData[],3,FALSE),0)</f>
        <v>0</v>
      </c>
    </row>
    <row r="71" spans="1:55" ht="12.5" x14ac:dyDescent="0.25">
      <c r="A71" s="25" t="s">
        <v>661</v>
      </c>
      <c r="B71" s="25">
        <v>3</v>
      </c>
      <c r="C71" s="81" t="s">
        <v>9</v>
      </c>
      <c r="D71" s="81" t="b" cm="1">
        <f t="array" ref="D71">NOT(SUMPRODUCT(--(OICOtherIncomeDataTable[[#This Row],[OICInterestFrequencyLY]:[OICCompanyCarUnshadedIncome]]&lt;&gt;""))=0)</f>
        <v>0</v>
      </c>
      <c r="E71" s="81"/>
      <c r="F71" s="81"/>
      <c r="G71" s="81"/>
      <c r="I71" s="25"/>
      <c r="J71" s="25"/>
      <c r="K71" s="25"/>
      <c r="L71" s="25"/>
      <c r="M71" s="25"/>
      <c r="N71" s="25"/>
      <c r="O71" s="25"/>
      <c r="P71" s="25"/>
      <c r="Q71" s="25"/>
      <c r="R71" s="25"/>
      <c r="S71" s="25"/>
      <c r="T71" s="25"/>
      <c r="U71" s="25"/>
      <c r="V71" s="25"/>
      <c r="W71" s="25"/>
      <c r="X71" s="25"/>
      <c r="Y71" s="25"/>
      <c r="Z71" s="25"/>
      <c r="AA71" s="25"/>
      <c r="AB71" s="25"/>
      <c r="AC71" s="1105"/>
      <c r="AD71" s="1105"/>
      <c r="AE71" s="25"/>
      <c r="AF71" s="25"/>
      <c r="AG71" s="25"/>
      <c r="AH71" s="25"/>
      <c r="AI71" s="25"/>
      <c r="AJ71" s="25"/>
      <c r="AK71" s="25"/>
      <c r="AL71" s="25"/>
      <c r="AM71" s="25"/>
      <c r="AN71" s="25"/>
      <c r="AO71" s="25"/>
      <c r="AP71" s="25"/>
      <c r="AQ71" s="25"/>
      <c r="AR71" s="25"/>
      <c r="AS71" s="25"/>
      <c r="AT71" s="25"/>
      <c r="AU71" s="25"/>
      <c r="AV71" s="25"/>
      <c r="AW71" s="81"/>
      <c r="AX71" s="81"/>
      <c r="AY71" s="25">
        <f>IFERROR(OICOtherIncomeDataTable[[#This Row],[OICSelfManagedSuperFundPY]]*VLOOKUP(OICOtherIncomeDataTable[[#This Row],[OICSelfManagedSuperFundFrequencyPY]],IncomeCycleData[],3,FALSE),0)</f>
        <v>0</v>
      </c>
      <c r="AZ71" s="25">
        <f>IFERROR(OICOtherIncomeDataTable[[#This Row],[OICSelfManagedSuperFundLY]]*VLOOKUP(OICOtherIncomeDataTable[[#This Row],[OICSelfManagedSuperFundFrequencyLY]],IncomeCycleData[],3,FALSE),0)</f>
        <v>0</v>
      </c>
      <c r="BA71"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1" s="25">
        <f>IFERROR(OICOtherIncomeDataTable[[#This Row],[OICInvestmentLY]]*VLOOKUP(OICOtherIncomeDataTable[[#This Row],[OICInvestmentFrequencyLY]],IncomeCycleData[],3,FALSE),0)</f>
        <v>0</v>
      </c>
      <c r="BC71" s="81">
        <f>IFERROR(OICOtherIncomeDataTable[[#This Row],[OICAssessedFrankingCredit]]*VLOOKUP(OICOtherIncomeDataTable[[#This Row],[OICDividendFrequencyLY]],IncomeCycleData[],3,FALSE),0)</f>
        <v>0</v>
      </c>
    </row>
    <row r="72" spans="1:55" ht="12.5" x14ac:dyDescent="0.25">
      <c r="A72" s="25" t="s">
        <v>662</v>
      </c>
      <c r="B72" s="25">
        <v>4</v>
      </c>
      <c r="C72" s="81" t="s">
        <v>9</v>
      </c>
      <c r="D72" s="81" t="b" cm="1">
        <f t="array" ref="D72">NOT(SUMPRODUCT(--(OICOtherIncomeDataTable[[#This Row],[OICInterestFrequencyLY]:[OICCompanyCarUnshadedIncome]]&lt;&gt;""))=0)</f>
        <v>0</v>
      </c>
      <c r="E72" s="81"/>
      <c r="F72" s="81"/>
      <c r="G72" s="81"/>
      <c r="I72" s="25"/>
      <c r="J72" s="25"/>
      <c r="K72" s="25"/>
      <c r="L72" s="25"/>
      <c r="M72" s="25"/>
      <c r="N72" s="25"/>
      <c r="O72" s="25"/>
      <c r="P72" s="25"/>
      <c r="Q72" s="25"/>
      <c r="R72" s="25"/>
      <c r="S72" s="25"/>
      <c r="T72" s="25"/>
      <c r="U72" s="25"/>
      <c r="V72" s="25"/>
      <c r="W72" s="25"/>
      <c r="X72" s="25"/>
      <c r="Y72" s="25"/>
      <c r="Z72" s="25"/>
      <c r="AA72" s="25"/>
      <c r="AB72" s="25"/>
      <c r="AC72" s="1105"/>
      <c r="AD72" s="1105"/>
      <c r="AE72" s="25"/>
      <c r="AF72" s="25"/>
      <c r="AG72" s="25"/>
      <c r="AH72" s="25"/>
      <c r="AI72" s="25"/>
      <c r="AJ72" s="25"/>
      <c r="AK72" s="25"/>
      <c r="AL72" s="25"/>
      <c r="AM72" s="25"/>
      <c r="AN72" s="25"/>
      <c r="AO72" s="25"/>
      <c r="AP72" s="25"/>
      <c r="AQ72" s="25"/>
      <c r="AR72" s="25"/>
      <c r="AS72" s="25"/>
      <c r="AT72" s="25"/>
      <c r="AU72" s="25"/>
      <c r="AV72" s="25"/>
      <c r="AW72" s="81"/>
      <c r="AX72" s="81"/>
      <c r="AY72" s="25">
        <f>IFERROR(OICOtherIncomeDataTable[[#This Row],[OICSelfManagedSuperFundPY]]*VLOOKUP(OICOtherIncomeDataTable[[#This Row],[OICSelfManagedSuperFundFrequencyPY]],IncomeCycleData[],3,FALSE),0)</f>
        <v>0</v>
      </c>
      <c r="AZ72" s="25">
        <f>IFERROR(OICOtherIncomeDataTable[[#This Row],[OICSelfManagedSuperFundLY]]*VLOOKUP(OICOtherIncomeDataTable[[#This Row],[OICSelfManagedSuperFundFrequencyLY]],IncomeCycleData[],3,FALSE),0)</f>
        <v>0</v>
      </c>
      <c r="BA72"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2" s="25">
        <f>IFERROR(OICOtherIncomeDataTable[[#This Row],[OICInvestmentLY]]*VLOOKUP(OICOtherIncomeDataTable[[#This Row],[OICInvestmentFrequencyLY]],IncomeCycleData[],3,FALSE),0)</f>
        <v>0</v>
      </c>
      <c r="BC72" s="81">
        <f>IFERROR(OICOtherIncomeDataTable[[#This Row],[OICAssessedFrankingCredit]]*VLOOKUP(OICOtherIncomeDataTable[[#This Row],[OICDividendFrequencyLY]],IncomeCycleData[],3,FALSE),0)</f>
        <v>0</v>
      </c>
    </row>
    <row r="73" spans="1:55" ht="12.5" x14ac:dyDescent="0.25">
      <c r="A73" s="25" t="s">
        <v>663</v>
      </c>
      <c r="B73" s="25">
        <v>5</v>
      </c>
      <c r="C73" s="81" t="s">
        <v>9</v>
      </c>
      <c r="D73" s="81" t="b" cm="1">
        <f t="array" ref="D73">NOT(SUMPRODUCT(--(OICOtherIncomeDataTable[[#This Row],[OICInterestFrequencyLY]:[OICCompanyCarUnshadedIncome]]&lt;&gt;""))=0)</f>
        <v>0</v>
      </c>
      <c r="E73" s="81"/>
      <c r="F73" s="81"/>
      <c r="G73" s="81"/>
      <c r="I73" s="25"/>
      <c r="J73" s="25"/>
      <c r="K73" s="25"/>
      <c r="L73" s="25"/>
      <c r="M73" s="25"/>
      <c r="N73" s="25"/>
      <c r="O73" s="25"/>
      <c r="P73" s="25"/>
      <c r="Q73" s="25"/>
      <c r="R73" s="25"/>
      <c r="S73" s="25"/>
      <c r="T73" s="25"/>
      <c r="U73" s="25"/>
      <c r="V73" s="25"/>
      <c r="W73" s="25"/>
      <c r="X73" s="25"/>
      <c r="Y73" s="25"/>
      <c r="Z73" s="25"/>
      <c r="AA73" s="25"/>
      <c r="AB73" s="25"/>
      <c r="AC73" s="1105"/>
      <c r="AD73" s="1105"/>
      <c r="AE73" s="25"/>
      <c r="AF73" s="25"/>
      <c r="AG73" s="25"/>
      <c r="AH73" s="25"/>
      <c r="AI73" s="25"/>
      <c r="AJ73" s="25"/>
      <c r="AK73" s="25"/>
      <c r="AL73" s="25"/>
      <c r="AM73" s="25"/>
      <c r="AN73" s="25"/>
      <c r="AO73" s="25"/>
      <c r="AP73" s="25"/>
      <c r="AQ73" s="25"/>
      <c r="AR73" s="25"/>
      <c r="AS73" s="25"/>
      <c r="AT73" s="25"/>
      <c r="AU73" s="25"/>
      <c r="AV73" s="25"/>
      <c r="AW73" s="81"/>
      <c r="AX73" s="81"/>
      <c r="AY73" s="25">
        <f>IFERROR(OICOtherIncomeDataTable[[#This Row],[OICSelfManagedSuperFundPY]]*VLOOKUP(OICOtherIncomeDataTable[[#This Row],[OICSelfManagedSuperFundFrequencyPY]],IncomeCycleData[],3,FALSE),0)</f>
        <v>0</v>
      </c>
      <c r="AZ73" s="25">
        <f>IFERROR(OICOtherIncomeDataTable[[#This Row],[OICSelfManagedSuperFundLY]]*VLOOKUP(OICOtherIncomeDataTable[[#This Row],[OICSelfManagedSuperFundFrequencyLY]],IncomeCycleData[],3,FALSE),0)</f>
        <v>0</v>
      </c>
      <c r="BA73"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3" s="25">
        <f>IFERROR(OICOtherIncomeDataTable[[#This Row],[OICInvestmentLY]]*VLOOKUP(OICOtherIncomeDataTable[[#This Row],[OICInvestmentFrequencyLY]],IncomeCycleData[],3,FALSE),0)</f>
        <v>0</v>
      </c>
      <c r="BC73" s="81">
        <f>IFERROR(OICOtherIncomeDataTable[[#This Row],[OICAssessedFrankingCredit]]*VLOOKUP(OICOtherIncomeDataTable[[#This Row],[OICDividendFrequencyLY]],IncomeCycleData[],3,FALSE),0)</f>
        <v>0</v>
      </c>
    </row>
    <row r="74" spans="1:55" ht="12.5" x14ac:dyDescent="0.25">
      <c r="A74" s="25" t="s">
        <v>664</v>
      </c>
      <c r="B74" s="25">
        <v>6</v>
      </c>
      <c r="C74" s="81" t="s">
        <v>9</v>
      </c>
      <c r="D74" s="81" t="b" cm="1">
        <f t="array" ref="D74">NOT(SUMPRODUCT(--(OICOtherIncomeDataTable[[#This Row],[OICInterestFrequencyLY]:[OICCompanyCarUnshadedIncome]]&lt;&gt;""))=0)</f>
        <v>0</v>
      </c>
      <c r="E74" s="81"/>
      <c r="F74" s="81"/>
      <c r="G74" s="81"/>
      <c r="I74" s="25"/>
      <c r="J74" s="25"/>
      <c r="K74" s="25"/>
      <c r="L74" s="25"/>
      <c r="M74" s="25"/>
      <c r="N74" s="25"/>
      <c r="O74" s="25"/>
      <c r="P74" s="25"/>
      <c r="Q74" s="25"/>
      <c r="R74" s="25"/>
      <c r="S74" s="25"/>
      <c r="T74" s="25"/>
      <c r="U74" s="25"/>
      <c r="V74" s="25"/>
      <c r="W74" s="25"/>
      <c r="X74" s="25"/>
      <c r="Y74" s="25"/>
      <c r="Z74" s="25"/>
      <c r="AA74" s="25"/>
      <c r="AB74" s="25"/>
      <c r="AC74" s="1105"/>
      <c r="AD74" s="1105"/>
      <c r="AE74" s="25"/>
      <c r="AF74" s="25"/>
      <c r="AG74" s="25"/>
      <c r="AH74" s="25"/>
      <c r="AI74" s="25"/>
      <c r="AJ74" s="25"/>
      <c r="AK74" s="25"/>
      <c r="AL74" s="25"/>
      <c r="AM74" s="25"/>
      <c r="AN74" s="25"/>
      <c r="AO74" s="25"/>
      <c r="AP74" s="25"/>
      <c r="AQ74" s="25"/>
      <c r="AR74" s="25"/>
      <c r="AS74" s="25"/>
      <c r="AT74" s="25"/>
      <c r="AU74" s="25"/>
      <c r="AV74" s="25"/>
      <c r="AW74" s="81"/>
      <c r="AX74" s="81"/>
      <c r="AY74" s="25">
        <f>IFERROR(OICOtherIncomeDataTable[[#This Row],[OICSelfManagedSuperFundPY]]*VLOOKUP(OICOtherIncomeDataTable[[#This Row],[OICSelfManagedSuperFundFrequencyPY]],IncomeCycleData[],3,FALSE),0)</f>
        <v>0</v>
      </c>
      <c r="AZ74" s="25">
        <f>IFERROR(OICOtherIncomeDataTable[[#This Row],[OICSelfManagedSuperFundLY]]*VLOOKUP(OICOtherIncomeDataTable[[#This Row],[OICSelfManagedSuperFundFrequencyLY]],IncomeCycleData[],3,FALSE),0)</f>
        <v>0</v>
      </c>
      <c r="BA74"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4" s="25">
        <f>IFERROR(OICOtherIncomeDataTable[[#This Row],[OICInvestmentLY]]*VLOOKUP(OICOtherIncomeDataTable[[#This Row],[OICInvestmentFrequencyLY]],IncomeCycleData[],3,FALSE),0)</f>
        <v>0</v>
      </c>
      <c r="BC74" s="81">
        <f>IFERROR(OICOtherIncomeDataTable[[#This Row],[OICAssessedFrankingCredit]]*VLOOKUP(OICOtherIncomeDataTable[[#This Row],[OICDividendFrequencyLY]],IncomeCycleData[],3,FALSE),0)</f>
        <v>0</v>
      </c>
    </row>
    <row r="75" spans="1:55" ht="12.5" x14ac:dyDescent="0.25">
      <c r="A75" s="25" t="s">
        <v>665</v>
      </c>
      <c r="B75" s="25">
        <v>1</v>
      </c>
      <c r="C75" s="81" t="s">
        <v>12</v>
      </c>
      <c r="D75" s="81" t="b" cm="1">
        <f t="array" ref="D75">NOT(SUMPRODUCT(--(OICOtherIncomeDataTable[[#This Row],[OICInterestFrequencyLY]:[OICCompanyCarUnshadedIncome]]&lt;&gt;""))=0)</f>
        <v>0</v>
      </c>
      <c r="E75" s="81"/>
      <c r="F75" s="81"/>
      <c r="G75" s="587"/>
      <c r="I75" s="320"/>
      <c r="J75" s="320"/>
      <c r="K75" s="25"/>
      <c r="L75" s="320"/>
      <c r="M75" s="25"/>
      <c r="N75" s="25"/>
      <c r="O75" s="25"/>
      <c r="P75" s="25"/>
      <c r="Q75" s="25"/>
      <c r="R75" s="25"/>
      <c r="S75" s="25"/>
      <c r="T75" s="25"/>
      <c r="U75" s="25"/>
      <c r="V75" s="320"/>
      <c r="W75" s="25"/>
      <c r="X75" s="25"/>
      <c r="Y75" s="25"/>
      <c r="Z75" s="25"/>
      <c r="AA75" s="320"/>
      <c r="AB75" s="25"/>
      <c r="AC75" s="1105"/>
      <c r="AD75" s="1114"/>
      <c r="AE75" s="25"/>
      <c r="AF75" s="25"/>
      <c r="AG75" s="320"/>
      <c r="AH75" s="25"/>
      <c r="AI75" s="25"/>
      <c r="AJ75" s="320"/>
      <c r="AK75" s="25"/>
      <c r="AL75" s="25"/>
      <c r="AM75" s="25"/>
      <c r="AN75" s="320"/>
      <c r="AO75" s="25"/>
      <c r="AP75" s="25"/>
      <c r="AQ75" s="320"/>
      <c r="AR75" s="25"/>
      <c r="AS75" s="25"/>
      <c r="AT75" s="320"/>
      <c r="AU75" s="25"/>
      <c r="AV75" s="25"/>
      <c r="AW75" s="587"/>
      <c r="AX75" s="587"/>
      <c r="AY75" s="25">
        <f>IFERROR(OICOtherIncomeDataTable[[#This Row],[OICSelfManagedSuperFundPY]]*VLOOKUP(OICOtherIncomeDataTable[[#This Row],[OICSelfManagedSuperFundFrequencyPY]],IncomeCycleData[],3,FALSE),0)</f>
        <v>0</v>
      </c>
      <c r="AZ75" s="25">
        <f>IFERROR(OICOtherIncomeDataTable[[#This Row],[OICSelfManagedSuperFundLY]]*VLOOKUP(OICOtherIncomeDataTable[[#This Row],[OICSelfManagedSuperFundFrequencyLY]],IncomeCycleData[],3,FALSE),0)</f>
        <v>0</v>
      </c>
      <c r="BA75"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5" s="25">
        <f>IFERROR(OICOtherIncomeDataTable[[#This Row],[OICInvestmentLY]]*VLOOKUP(OICOtherIncomeDataTable[[#This Row],[OICInvestmentFrequencyLY]],IncomeCycleData[],3,FALSE),0)</f>
        <v>0</v>
      </c>
      <c r="BC75" s="81">
        <f>IFERROR(OICOtherIncomeDataTable[[#This Row],[OICAssessedFrankingCredit]]*VLOOKUP(OICOtherIncomeDataTable[[#This Row],[OICDividendFrequencyLY]],IncomeCycleData[],3,FALSE),0)</f>
        <v>0</v>
      </c>
    </row>
    <row r="76" spans="1:55" ht="12.5" x14ac:dyDescent="0.25">
      <c r="A76" s="25" t="s">
        <v>666</v>
      </c>
      <c r="B76" s="25">
        <v>2</v>
      </c>
      <c r="C76" s="81" t="s">
        <v>12</v>
      </c>
      <c r="D76" s="81" t="b" cm="1">
        <f t="array" ref="D76">NOT(SUMPRODUCT(--(OICOtherIncomeDataTable[[#This Row],[OICInterestFrequencyLY]:[OICCompanyCarUnshadedIncome]]&lt;&gt;""))=0)</f>
        <v>0</v>
      </c>
      <c r="E76" s="81"/>
      <c r="F76" s="81"/>
      <c r="G76" s="81"/>
      <c r="I76" s="25"/>
      <c r="J76" s="25"/>
      <c r="K76" s="25"/>
      <c r="L76" s="25"/>
      <c r="M76" s="25"/>
      <c r="N76" s="25"/>
      <c r="O76" s="25"/>
      <c r="P76" s="25"/>
      <c r="Q76" s="25"/>
      <c r="R76" s="25"/>
      <c r="S76" s="25"/>
      <c r="T76" s="25"/>
      <c r="U76" s="25"/>
      <c r="V76" s="25"/>
      <c r="W76" s="25"/>
      <c r="X76" s="25"/>
      <c r="Y76" s="25"/>
      <c r="Z76" s="25"/>
      <c r="AA76" s="25"/>
      <c r="AB76" s="25"/>
      <c r="AC76" s="1105"/>
      <c r="AD76" s="1105"/>
      <c r="AE76" s="25"/>
      <c r="AF76" s="25"/>
      <c r="AG76" s="25"/>
      <c r="AH76" s="25"/>
      <c r="AI76" s="25"/>
      <c r="AJ76" s="25"/>
      <c r="AK76" s="25"/>
      <c r="AL76" s="25"/>
      <c r="AM76" s="25"/>
      <c r="AN76" s="25"/>
      <c r="AO76" s="25"/>
      <c r="AP76" s="25"/>
      <c r="AQ76" s="25"/>
      <c r="AR76" s="25"/>
      <c r="AS76" s="25"/>
      <c r="AT76" s="25"/>
      <c r="AU76" s="25"/>
      <c r="AV76" s="25"/>
      <c r="AW76" s="81"/>
      <c r="AX76" s="81"/>
      <c r="AY76" s="25">
        <f>IFERROR(OICOtherIncomeDataTable[[#This Row],[OICSelfManagedSuperFundPY]]*VLOOKUP(OICOtherIncomeDataTable[[#This Row],[OICSelfManagedSuperFundFrequencyPY]],IncomeCycleData[],3,FALSE),0)</f>
        <v>0</v>
      </c>
      <c r="AZ76" s="25">
        <f>IFERROR(OICOtherIncomeDataTable[[#This Row],[OICSelfManagedSuperFundLY]]*VLOOKUP(OICOtherIncomeDataTable[[#This Row],[OICSelfManagedSuperFundFrequencyLY]],IncomeCycleData[],3,FALSE),0)</f>
        <v>0</v>
      </c>
      <c r="BA76"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6" s="25">
        <f>IFERROR(OICOtherIncomeDataTable[[#This Row],[OICInvestmentLY]]*VLOOKUP(OICOtherIncomeDataTable[[#This Row],[OICInvestmentFrequencyLY]],IncomeCycleData[],3,FALSE),0)</f>
        <v>0</v>
      </c>
      <c r="BC76" s="81">
        <f>IFERROR(OICOtherIncomeDataTable[[#This Row],[OICAssessedFrankingCredit]]*VLOOKUP(OICOtherIncomeDataTable[[#This Row],[OICDividendFrequencyLY]],IncomeCycleData[],3,FALSE),0)</f>
        <v>0</v>
      </c>
    </row>
    <row r="77" spans="1:55" ht="12.5" x14ac:dyDescent="0.25">
      <c r="A77" s="25" t="s">
        <v>667</v>
      </c>
      <c r="B77" s="25">
        <v>3</v>
      </c>
      <c r="C77" s="81" t="s">
        <v>12</v>
      </c>
      <c r="D77" s="81" t="b" cm="1">
        <f t="array" ref="D77">NOT(SUMPRODUCT(--(OICOtherIncomeDataTable[[#This Row],[OICInterestFrequencyLY]:[OICCompanyCarUnshadedIncome]]&lt;&gt;""))=0)</f>
        <v>0</v>
      </c>
      <c r="E77" s="81"/>
      <c r="F77" s="81"/>
      <c r="G77" s="81"/>
      <c r="I77" s="25"/>
      <c r="J77" s="25"/>
      <c r="K77" s="25"/>
      <c r="L77" s="25"/>
      <c r="M77" s="25"/>
      <c r="N77" s="25"/>
      <c r="O77" s="25"/>
      <c r="P77" s="25"/>
      <c r="Q77" s="25"/>
      <c r="R77" s="25"/>
      <c r="S77" s="25"/>
      <c r="T77" s="25"/>
      <c r="U77" s="25"/>
      <c r="V77" s="25"/>
      <c r="W77" s="25"/>
      <c r="X77" s="25"/>
      <c r="Y77" s="25"/>
      <c r="Z77" s="25"/>
      <c r="AA77" s="25"/>
      <c r="AB77" s="25"/>
      <c r="AC77" s="1105"/>
      <c r="AD77" s="1105"/>
      <c r="AE77" s="25"/>
      <c r="AF77" s="25"/>
      <c r="AG77" s="25"/>
      <c r="AH77" s="25"/>
      <c r="AI77" s="25"/>
      <c r="AJ77" s="25"/>
      <c r="AK77" s="25"/>
      <c r="AL77" s="25"/>
      <c r="AM77" s="25"/>
      <c r="AN77" s="25"/>
      <c r="AO77" s="25"/>
      <c r="AP77" s="25"/>
      <c r="AQ77" s="25"/>
      <c r="AR77" s="25"/>
      <c r="AS77" s="25"/>
      <c r="AT77" s="25"/>
      <c r="AU77" s="25"/>
      <c r="AV77" s="25"/>
      <c r="AW77" s="81"/>
      <c r="AX77" s="81"/>
      <c r="AY77" s="25">
        <f>IFERROR(OICOtherIncomeDataTable[[#This Row],[OICSelfManagedSuperFundPY]]*VLOOKUP(OICOtherIncomeDataTable[[#This Row],[OICSelfManagedSuperFundFrequencyPY]],IncomeCycleData[],3,FALSE),0)</f>
        <v>0</v>
      </c>
      <c r="AZ77" s="25">
        <f>IFERROR(OICOtherIncomeDataTable[[#This Row],[OICSelfManagedSuperFundLY]]*VLOOKUP(OICOtherIncomeDataTable[[#This Row],[OICSelfManagedSuperFundFrequencyLY]],IncomeCycleData[],3,FALSE),0)</f>
        <v>0</v>
      </c>
      <c r="BA77"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7" s="25">
        <f>IFERROR(OICOtherIncomeDataTable[[#This Row],[OICInvestmentLY]]*VLOOKUP(OICOtherIncomeDataTable[[#This Row],[OICInvestmentFrequencyLY]],IncomeCycleData[],3,FALSE),0)</f>
        <v>0</v>
      </c>
      <c r="BC77" s="81">
        <f>IFERROR(OICOtherIncomeDataTable[[#This Row],[OICAssessedFrankingCredit]]*VLOOKUP(OICOtherIncomeDataTable[[#This Row],[OICDividendFrequencyLY]],IncomeCycleData[],3,FALSE),0)</f>
        <v>0</v>
      </c>
    </row>
    <row r="78" spans="1:55" ht="12.5" x14ac:dyDescent="0.25">
      <c r="A78" s="25" t="s">
        <v>668</v>
      </c>
      <c r="B78" s="25">
        <v>4</v>
      </c>
      <c r="C78" s="81" t="s">
        <v>12</v>
      </c>
      <c r="D78" s="81" t="b" cm="1">
        <f t="array" ref="D78">NOT(SUMPRODUCT(--(OICOtherIncomeDataTable[[#This Row],[OICInterestFrequencyLY]:[OICCompanyCarUnshadedIncome]]&lt;&gt;""))=0)</f>
        <v>0</v>
      </c>
      <c r="E78" s="81"/>
      <c r="F78" s="81"/>
      <c r="G78" s="81"/>
      <c r="I78" s="25"/>
      <c r="J78" s="25"/>
      <c r="K78" s="25"/>
      <c r="L78" s="25"/>
      <c r="M78" s="25"/>
      <c r="N78" s="25"/>
      <c r="O78" s="25"/>
      <c r="P78" s="25"/>
      <c r="Q78" s="25"/>
      <c r="R78" s="25"/>
      <c r="S78" s="25"/>
      <c r="T78" s="25"/>
      <c r="U78" s="25"/>
      <c r="V78" s="25"/>
      <c r="W78" s="25"/>
      <c r="X78" s="25"/>
      <c r="Y78" s="25"/>
      <c r="Z78" s="25"/>
      <c r="AA78" s="25"/>
      <c r="AB78" s="25"/>
      <c r="AC78" s="1105"/>
      <c r="AD78" s="1105"/>
      <c r="AE78" s="25"/>
      <c r="AF78" s="25"/>
      <c r="AG78" s="25"/>
      <c r="AH78" s="25"/>
      <c r="AI78" s="25"/>
      <c r="AJ78" s="25"/>
      <c r="AK78" s="25"/>
      <c r="AL78" s="25"/>
      <c r="AM78" s="25"/>
      <c r="AN78" s="25"/>
      <c r="AO78" s="25"/>
      <c r="AP78" s="25"/>
      <c r="AQ78" s="25"/>
      <c r="AR78" s="25"/>
      <c r="AS78" s="25"/>
      <c r="AT78" s="25"/>
      <c r="AU78" s="25"/>
      <c r="AV78" s="25"/>
      <c r="AW78" s="81"/>
      <c r="AX78" s="81"/>
      <c r="AY78" s="25">
        <f>IFERROR(OICOtherIncomeDataTable[[#This Row],[OICSelfManagedSuperFundPY]]*VLOOKUP(OICOtherIncomeDataTable[[#This Row],[OICSelfManagedSuperFundFrequencyPY]],IncomeCycleData[],3,FALSE),0)</f>
        <v>0</v>
      </c>
      <c r="AZ78" s="25">
        <f>IFERROR(OICOtherIncomeDataTable[[#This Row],[OICSelfManagedSuperFundLY]]*VLOOKUP(OICOtherIncomeDataTable[[#This Row],[OICSelfManagedSuperFundFrequencyLY]],IncomeCycleData[],3,FALSE),0)</f>
        <v>0</v>
      </c>
      <c r="BA78"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8" s="25">
        <f>IFERROR(OICOtherIncomeDataTable[[#This Row],[OICInvestmentLY]]*VLOOKUP(OICOtherIncomeDataTable[[#This Row],[OICInvestmentFrequencyLY]],IncomeCycleData[],3,FALSE),0)</f>
        <v>0</v>
      </c>
      <c r="BC78" s="81">
        <f>IFERROR(OICOtherIncomeDataTable[[#This Row],[OICAssessedFrankingCredit]]*VLOOKUP(OICOtherIncomeDataTable[[#This Row],[OICDividendFrequencyLY]],IncomeCycleData[],3,FALSE),0)</f>
        <v>0</v>
      </c>
    </row>
    <row r="79" spans="1:55" ht="12.5" x14ac:dyDescent="0.25">
      <c r="A79" s="25" t="s">
        <v>669</v>
      </c>
      <c r="B79" s="25">
        <v>5</v>
      </c>
      <c r="C79" s="81" t="s">
        <v>12</v>
      </c>
      <c r="D79" s="81" t="b" cm="1">
        <f t="array" ref="D79">NOT(SUMPRODUCT(--(OICOtherIncomeDataTable[[#This Row],[OICInterestFrequencyLY]:[OICCompanyCarUnshadedIncome]]&lt;&gt;""))=0)</f>
        <v>0</v>
      </c>
      <c r="E79" s="81"/>
      <c r="F79" s="81"/>
      <c r="G79" s="81"/>
      <c r="I79" s="25"/>
      <c r="J79" s="25"/>
      <c r="K79" s="25"/>
      <c r="L79" s="25"/>
      <c r="M79" s="25"/>
      <c r="N79" s="25"/>
      <c r="O79" s="25"/>
      <c r="P79" s="25"/>
      <c r="Q79" s="25"/>
      <c r="R79" s="25"/>
      <c r="S79" s="25"/>
      <c r="T79" s="25"/>
      <c r="U79" s="25"/>
      <c r="V79" s="25"/>
      <c r="W79" s="25"/>
      <c r="X79" s="25"/>
      <c r="Y79" s="25"/>
      <c r="Z79" s="25"/>
      <c r="AA79" s="25"/>
      <c r="AB79" s="25"/>
      <c r="AC79" s="1105"/>
      <c r="AD79" s="1105"/>
      <c r="AE79" s="25"/>
      <c r="AF79" s="25"/>
      <c r="AG79" s="25"/>
      <c r="AH79" s="25"/>
      <c r="AI79" s="25"/>
      <c r="AJ79" s="25"/>
      <c r="AK79" s="25"/>
      <c r="AL79" s="25"/>
      <c r="AM79" s="25"/>
      <c r="AN79" s="25"/>
      <c r="AO79" s="25"/>
      <c r="AP79" s="25"/>
      <c r="AQ79" s="25"/>
      <c r="AR79" s="25"/>
      <c r="AS79" s="25"/>
      <c r="AT79" s="25"/>
      <c r="AU79" s="25"/>
      <c r="AV79" s="25"/>
      <c r="AW79" s="81"/>
      <c r="AX79" s="81"/>
      <c r="AY79" s="25">
        <f>IFERROR(OICOtherIncomeDataTable[[#This Row],[OICSelfManagedSuperFundPY]]*VLOOKUP(OICOtherIncomeDataTable[[#This Row],[OICSelfManagedSuperFundFrequencyPY]],IncomeCycleData[],3,FALSE),0)</f>
        <v>0</v>
      </c>
      <c r="AZ79" s="25">
        <f>IFERROR(OICOtherIncomeDataTable[[#This Row],[OICSelfManagedSuperFundLY]]*VLOOKUP(OICOtherIncomeDataTable[[#This Row],[OICSelfManagedSuperFundFrequencyLY]],IncomeCycleData[],3,FALSE),0)</f>
        <v>0</v>
      </c>
      <c r="BA79"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9" s="25">
        <f>IFERROR(OICOtherIncomeDataTable[[#This Row],[OICInvestmentLY]]*VLOOKUP(OICOtherIncomeDataTable[[#This Row],[OICInvestmentFrequencyLY]],IncomeCycleData[],3,FALSE),0)</f>
        <v>0</v>
      </c>
      <c r="BC79" s="81">
        <f>IFERROR(OICOtherIncomeDataTable[[#This Row],[OICAssessedFrankingCredit]]*VLOOKUP(OICOtherIncomeDataTable[[#This Row],[OICDividendFrequencyLY]],IncomeCycleData[],3,FALSE),0)</f>
        <v>0</v>
      </c>
    </row>
    <row r="80" spans="1:55" ht="12.5" x14ac:dyDescent="0.25">
      <c r="A80" s="25" t="s">
        <v>670</v>
      </c>
      <c r="B80" s="25">
        <v>6</v>
      </c>
      <c r="C80" s="81" t="s">
        <v>12</v>
      </c>
      <c r="D80" s="81" t="b" cm="1">
        <f t="array" ref="D80">NOT(SUMPRODUCT(--(OICOtherIncomeDataTable[[#This Row],[OICInterestFrequencyLY]:[OICCompanyCarUnshadedIncome]]&lt;&gt;""))=0)</f>
        <v>0</v>
      </c>
      <c r="E80" s="81"/>
      <c r="F80" s="81"/>
      <c r="G80" s="81"/>
      <c r="I80" s="25"/>
      <c r="J80" s="25"/>
      <c r="K80" s="25"/>
      <c r="L80" s="25"/>
      <c r="M80" s="25"/>
      <c r="N80" s="25"/>
      <c r="O80" s="25"/>
      <c r="P80" s="25"/>
      <c r="Q80" s="25"/>
      <c r="R80" s="25"/>
      <c r="S80" s="25"/>
      <c r="T80" s="25"/>
      <c r="U80" s="25"/>
      <c r="V80" s="25"/>
      <c r="W80" s="25"/>
      <c r="X80" s="25"/>
      <c r="Y80" s="25"/>
      <c r="Z80" s="25"/>
      <c r="AA80" s="25"/>
      <c r="AB80" s="25"/>
      <c r="AC80" s="1105"/>
      <c r="AD80" s="1105"/>
      <c r="AE80" s="25"/>
      <c r="AF80" s="25"/>
      <c r="AG80" s="25"/>
      <c r="AH80" s="25"/>
      <c r="AI80" s="25"/>
      <c r="AJ80" s="25"/>
      <c r="AK80" s="25"/>
      <c r="AL80" s="25"/>
      <c r="AM80" s="25"/>
      <c r="AN80" s="25"/>
      <c r="AO80" s="25"/>
      <c r="AP80" s="25"/>
      <c r="AQ80" s="25"/>
      <c r="AR80" s="25"/>
      <c r="AS80" s="25"/>
      <c r="AT80" s="25"/>
      <c r="AU80" s="25"/>
      <c r="AV80" s="25"/>
      <c r="AW80" s="81"/>
      <c r="AX80" s="81"/>
      <c r="AY80" s="25">
        <f>IFERROR(OICOtherIncomeDataTable[[#This Row],[OICSelfManagedSuperFundPY]]*VLOOKUP(OICOtherIncomeDataTable[[#This Row],[OICSelfManagedSuperFundFrequencyPY]],IncomeCycleData[],3,FALSE),0)</f>
        <v>0</v>
      </c>
      <c r="AZ80" s="25">
        <f>IFERROR(OICOtherIncomeDataTable[[#This Row],[OICSelfManagedSuperFundLY]]*VLOOKUP(OICOtherIncomeDataTable[[#This Row],[OICSelfManagedSuperFundFrequencyLY]],IncomeCycleData[],3,FALSE),0)</f>
        <v>0</v>
      </c>
      <c r="BA80"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80" s="25">
        <f>IFERROR(OICOtherIncomeDataTable[[#This Row],[OICInvestmentLY]]*VLOOKUP(OICOtherIncomeDataTable[[#This Row],[OICInvestmentFrequencyLY]],IncomeCycleData[],3,FALSE),0)</f>
        <v>0</v>
      </c>
      <c r="BC80" s="81">
        <f>IFERROR(OICOtherIncomeDataTable[[#This Row],[OICAssessedFrankingCredit]]*VLOOKUP(OICOtherIncomeDataTable[[#This Row],[OICDividendFrequencyLY]],IncomeCycleData[],3,FALSE),0)</f>
        <v>0</v>
      </c>
    </row>
  </sheetData>
  <sheetProtection algorithmName="SHA-512" hashValue="2i8At4tEXqudV8wE7ZsJiNZF+DXV7C5KMqVy5yQsrrvALNU4jMS3LNyk2YmpDMUXYJJph4zFA94+LfV/6OXxmA==" saltValue="zBcPmMqucS/ubo1RfZ+rCA==" spinCount="100000" sheet="1" objects="1" scenarios="1" selectLockedCells="1"/>
  <phoneticPr fontId="174" type="noConversion"/>
  <pageMargins left="0.25" right="0.25" top="0.75" bottom="0.75" header="0.3" footer="0.3"/>
  <pageSetup paperSize="9" scale="10" fitToWidth="0" fitToHeight="0" orientation="portrait" horizontalDpi="90" verticalDpi="9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9363A-8984-43A6-8A27-00BCEEED6222}">
  <sheetPr codeName="shSEApplicantBusinessData">
    <tabColor theme="6" tint="-0.749992370372631"/>
  </sheetPr>
  <dimension ref="A1:OV79"/>
  <sheetViews>
    <sheetView showGridLines="0" showRowColHeaders="0" zoomScaleNormal="100" workbookViewId="0">
      <selection activeCell="B17" sqref="B17"/>
    </sheetView>
  </sheetViews>
  <sheetFormatPr defaultRowHeight="12.75" customHeight="1" x14ac:dyDescent="0.25"/>
  <cols>
    <col min="1" max="1" width="28.7265625" bestFit="1" customWidth="1"/>
    <col min="2" max="2" width="19.81640625" customWidth="1"/>
    <col min="3" max="3" width="24.81640625" bestFit="1" customWidth="1"/>
    <col min="4" max="4" width="21.7265625" customWidth="1"/>
    <col min="5" max="5" width="28.453125" customWidth="1"/>
    <col min="6" max="6" width="40.81640625" customWidth="1"/>
    <col min="7" max="7" width="29.7265625" customWidth="1"/>
    <col min="8" max="8" width="46.453125" customWidth="1"/>
    <col min="9" max="9" width="30.81640625" customWidth="1"/>
    <col min="10" max="10" width="29.26953125" customWidth="1"/>
    <col min="11" max="11" width="29.453125" customWidth="1"/>
    <col min="12" max="12" width="32.1796875" customWidth="1"/>
    <col min="13" max="13" width="35.1796875" bestFit="1" customWidth="1"/>
    <col min="14" max="55" width="32.26953125" customWidth="1"/>
    <col min="56" max="148" width="21.7265625" customWidth="1"/>
    <col min="149" max="149" width="33.453125" bestFit="1" customWidth="1"/>
    <col min="150" max="160" width="21.7265625" customWidth="1"/>
    <col min="161" max="166" width="29.7265625" bestFit="1" customWidth="1"/>
    <col min="167" max="172" width="30.81640625" bestFit="1" customWidth="1"/>
    <col min="173" max="173" width="21" customWidth="1"/>
    <col min="174" max="174" width="24.26953125" customWidth="1"/>
    <col min="175" max="175" width="35.1796875" customWidth="1"/>
    <col min="176" max="176" width="33" customWidth="1"/>
    <col min="177" max="177" width="30.1796875" customWidth="1"/>
    <col min="178" max="179" width="28.26953125" customWidth="1"/>
    <col min="180" max="180" width="25.453125" customWidth="1"/>
    <col min="181" max="181" width="16.7265625" customWidth="1"/>
    <col min="182" max="182" width="20.7265625" customWidth="1"/>
    <col min="183" max="183" width="38.453125" customWidth="1"/>
    <col min="184" max="184" width="28.453125" customWidth="1"/>
    <col min="185" max="185" width="21.1796875" customWidth="1"/>
    <col min="186" max="186" width="24.453125" customWidth="1"/>
    <col min="187" max="208" width="35.26953125" customWidth="1"/>
    <col min="209" max="330" width="33.1796875" customWidth="1"/>
    <col min="331" max="331" width="30.26953125" customWidth="1"/>
    <col min="332" max="332" width="36.7265625" customWidth="1"/>
    <col min="333" max="333" width="28.453125" customWidth="1"/>
    <col min="334" max="334" width="25.54296875" customWidth="1"/>
    <col min="335" max="335" width="16.81640625" customWidth="1"/>
    <col min="336" max="336" width="20.81640625" customWidth="1"/>
    <col min="337" max="337" width="38.54296875" customWidth="1"/>
    <col min="338" max="342" width="28.54296875" customWidth="1"/>
    <col min="343" max="343" width="35.81640625" bestFit="1" customWidth="1"/>
    <col min="344" max="350" width="35.81640625" customWidth="1"/>
    <col min="351" max="351" width="28.54296875" customWidth="1"/>
    <col min="352" max="352" width="35.81640625" customWidth="1"/>
    <col min="411" max="411" width="14.7265625" bestFit="1" customWidth="1"/>
  </cols>
  <sheetData>
    <row r="1" spans="1:332" ht="12.75" customHeight="1" x14ac:dyDescent="0.25">
      <c r="A1" s="25"/>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row>
    <row r="2" spans="1:332" ht="12.75" customHeight="1" x14ac:dyDescent="0.3">
      <c r="A2" s="446" t="s">
        <v>900</v>
      </c>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W2" s="25"/>
      <c r="EX2" s="25"/>
      <c r="EY2" s="25"/>
      <c r="EZ2" s="25"/>
      <c r="FA2" s="25"/>
      <c r="FB2" s="25"/>
      <c r="FC2" s="25"/>
      <c r="FD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X2" s="25"/>
      <c r="HY2" s="25"/>
      <c r="HZ2" s="25"/>
      <c r="IA2" s="25"/>
      <c r="IB2" s="25"/>
      <c r="IC2" s="25"/>
      <c r="ID2" s="25"/>
      <c r="IE2" s="25"/>
      <c r="IF2" s="25"/>
      <c r="IG2" s="25"/>
      <c r="IH2" s="25"/>
      <c r="II2" s="25"/>
      <c r="IJ2" s="25"/>
      <c r="IK2" s="25"/>
      <c r="IL2" s="25"/>
      <c r="IM2" s="25"/>
      <c r="IN2" s="25"/>
      <c r="IO2" s="25"/>
      <c r="IP2" s="25"/>
      <c r="IQ2" s="25"/>
      <c r="IR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c r="KA2" s="25"/>
      <c r="KB2" s="25"/>
      <c r="KC2" s="25"/>
      <c r="KD2" s="25"/>
      <c r="KE2" s="25"/>
      <c r="KF2" s="25"/>
      <c r="KG2" s="25"/>
      <c r="KH2" s="25"/>
      <c r="KI2" s="25"/>
      <c r="KJ2" s="25"/>
      <c r="KK2" s="25"/>
      <c r="KL2" s="25"/>
      <c r="KM2" s="25"/>
      <c r="KN2" s="25"/>
      <c r="KO2" s="25"/>
      <c r="KP2" s="25"/>
      <c r="KQ2" s="25"/>
      <c r="KR2" s="25"/>
      <c r="KS2" s="25"/>
      <c r="KT2" s="25"/>
      <c r="KU2" s="25"/>
      <c r="KV2" s="25"/>
      <c r="KW2" s="25"/>
      <c r="KX2" s="25"/>
      <c r="KY2" s="25"/>
      <c r="KZ2" s="25"/>
      <c r="LA2" s="25"/>
      <c r="LB2" s="25"/>
      <c r="LC2" s="25"/>
      <c r="LD2" s="25"/>
      <c r="LE2" s="25"/>
      <c r="LF2" s="25"/>
      <c r="LG2" s="25"/>
      <c r="LH2" s="25"/>
      <c r="LI2" s="25"/>
      <c r="LJ2" s="25"/>
      <c r="LK2" s="25"/>
      <c r="LL2" s="25"/>
      <c r="LM2" s="25"/>
      <c r="LN2" s="25"/>
      <c r="LO2" s="25"/>
      <c r="LP2" s="25"/>
      <c r="LQ2" s="25"/>
      <c r="LR2" s="25"/>
      <c r="LS2" s="25"/>
      <c r="LT2" s="25"/>
    </row>
    <row r="3" spans="1:332" ht="12.75" customHeight="1" x14ac:dyDescent="0.25">
      <c r="A3" s="81" t="s">
        <v>902</v>
      </c>
      <c r="B3" s="81" t="s">
        <v>875</v>
      </c>
      <c r="C3" s="81" t="s">
        <v>876</v>
      </c>
      <c r="D3" s="25" t="s">
        <v>755</v>
      </c>
      <c r="E3" s="81" t="s">
        <v>896</v>
      </c>
      <c r="F3" s="81" t="s">
        <v>898</v>
      </c>
      <c r="G3" s="81" t="s">
        <v>899</v>
      </c>
      <c r="H3" s="81" t="s">
        <v>878</v>
      </c>
      <c r="I3" s="81" t="s">
        <v>877</v>
      </c>
      <c r="J3" s="81" t="s">
        <v>1610</v>
      </c>
      <c r="K3" s="81" t="s">
        <v>1611</v>
      </c>
      <c r="L3" s="81" t="s">
        <v>880</v>
      </c>
      <c r="M3" s="81" t="s">
        <v>879</v>
      </c>
      <c r="N3" s="81" t="s">
        <v>881</v>
      </c>
      <c r="O3" s="81" t="s">
        <v>1783</v>
      </c>
      <c r="P3" s="81" t="s">
        <v>1782</v>
      </c>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row>
    <row r="4" spans="1:332" ht="12.75" customHeight="1" x14ac:dyDescent="0.25">
      <c r="A4" s="81" t="s">
        <v>659</v>
      </c>
      <c r="B4" s="25">
        <v>1</v>
      </c>
      <c r="C4" s="81" t="s">
        <v>9</v>
      </c>
      <c r="D4" s="25" t="b">
        <f>NOT(ISBLANK(SEAApplicantDataTable[[#This Row],[SEAAssessmentType]]))</f>
        <v>0</v>
      </c>
      <c r="E4" s="25"/>
      <c r="F4" s="25"/>
      <c r="G4" s="25"/>
      <c r="H4" s="587"/>
      <c r="I4" s="587"/>
      <c r="J4" s="587"/>
      <c r="K4" s="587"/>
      <c r="L4" s="587"/>
      <c r="M4" s="587"/>
      <c r="N4" s="587"/>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HY4" s="25"/>
      <c r="HZ4" s="25"/>
      <c r="IA4" s="25"/>
      <c r="IB4" s="25"/>
      <c r="IC4" s="25"/>
      <c r="ID4" s="25"/>
      <c r="IE4" s="25"/>
      <c r="IF4" s="25"/>
      <c r="IG4" s="25"/>
      <c r="IH4" s="25"/>
      <c r="II4" s="25"/>
      <c r="IJ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G4" s="25"/>
      <c r="KH4" s="25"/>
      <c r="KI4" s="25"/>
      <c r="KJ4" s="25"/>
      <c r="KK4" s="25"/>
      <c r="KL4" s="25"/>
      <c r="KM4" s="25"/>
      <c r="KN4" s="25"/>
      <c r="KO4" s="25"/>
      <c r="KP4" s="25"/>
      <c r="KQ4" s="25"/>
      <c r="KR4" s="25"/>
      <c r="KS4" s="25"/>
      <c r="KT4" s="25"/>
      <c r="KU4" s="25"/>
      <c r="KV4" s="25"/>
      <c r="KW4" s="25"/>
      <c r="KX4" s="25"/>
      <c r="KY4" s="25"/>
      <c r="KZ4" s="25"/>
      <c r="LA4" s="25"/>
      <c r="LB4" s="25"/>
      <c r="LC4" s="25"/>
      <c r="LD4" s="25"/>
      <c r="LE4" s="25"/>
      <c r="LF4" s="25"/>
      <c r="LG4" s="25"/>
      <c r="LH4" s="25"/>
      <c r="LI4" s="25"/>
      <c r="LJ4" s="25"/>
      <c r="LK4" s="25"/>
      <c r="LL4" s="25"/>
      <c r="LM4" s="25"/>
      <c r="LN4" s="25"/>
      <c r="LO4" s="25"/>
      <c r="LP4" s="25"/>
      <c r="LQ4" s="25"/>
      <c r="LR4" s="25"/>
      <c r="LS4" s="25"/>
      <c r="LT4" s="25"/>
    </row>
    <row r="5" spans="1:332" ht="12.75" customHeight="1" x14ac:dyDescent="0.25">
      <c r="A5" s="25" t="s">
        <v>665</v>
      </c>
      <c r="B5" s="25">
        <v>1</v>
      </c>
      <c r="C5" s="25" t="s">
        <v>12</v>
      </c>
      <c r="D5" s="25" t="b">
        <f>NOT(ISBLANK(SEAApplicantDataTable[[#This Row],[SEAAssessmentType]]))</f>
        <v>0</v>
      </c>
      <c r="E5" s="81"/>
      <c r="F5" s="25"/>
      <c r="G5" s="25"/>
      <c r="H5" s="320"/>
      <c r="I5" s="320"/>
      <c r="J5" s="320"/>
      <c r="K5" s="320"/>
      <c r="L5" s="320"/>
      <c r="M5" s="320"/>
      <c r="N5" s="320"/>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c r="EQ5" s="25"/>
      <c r="ER5" s="25"/>
      <c r="ES5" s="25"/>
      <c r="ET5" s="25"/>
      <c r="EU5" s="25"/>
      <c r="EV5" s="25"/>
      <c r="EW5" s="25"/>
      <c r="EX5" s="25"/>
      <c r="EY5" s="25"/>
      <c r="EZ5" s="25"/>
      <c r="FA5" s="25"/>
      <c r="FB5" s="25"/>
      <c r="FC5" s="25"/>
      <c r="FD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K5" s="25"/>
      <c r="HL5" s="25"/>
      <c r="HM5" s="25"/>
      <c r="HN5" s="25"/>
      <c r="HO5" s="25"/>
      <c r="HP5" s="25"/>
      <c r="HQ5" s="25"/>
      <c r="HR5" s="25"/>
      <c r="HS5" s="25"/>
      <c r="HT5" s="25"/>
      <c r="HU5" s="25"/>
      <c r="HV5" s="25"/>
      <c r="HW5" s="25"/>
      <c r="HX5" s="25"/>
      <c r="HY5" s="25"/>
      <c r="HZ5" s="25"/>
      <c r="IA5" s="25"/>
      <c r="IB5" s="25"/>
      <c r="IC5" s="25"/>
      <c r="ID5" s="25"/>
      <c r="IE5" s="25"/>
      <c r="IF5" s="25"/>
      <c r="IG5" s="25"/>
      <c r="IH5" s="25"/>
      <c r="II5" s="25"/>
      <c r="IJ5" s="25"/>
      <c r="IK5" s="25"/>
      <c r="IL5" s="25"/>
      <c r="IM5" s="25"/>
      <c r="IN5" s="25"/>
      <c r="IO5" s="25"/>
      <c r="IP5" s="25"/>
      <c r="IQ5" s="25"/>
      <c r="IR5" s="25"/>
      <c r="IS5" s="25"/>
      <c r="IT5" s="25"/>
      <c r="IU5" s="25"/>
      <c r="IV5" s="25"/>
      <c r="IW5" s="25"/>
      <c r="IX5" s="25"/>
      <c r="IY5" s="25"/>
      <c r="IZ5" s="25"/>
      <c r="JA5" s="25"/>
      <c r="JB5" s="25"/>
      <c r="JC5" s="25"/>
      <c r="JD5" s="25"/>
      <c r="JE5" s="25"/>
      <c r="JF5" s="25"/>
      <c r="JG5" s="25"/>
      <c r="JH5" s="25"/>
      <c r="JI5" s="25"/>
      <c r="JJ5" s="25"/>
      <c r="JK5" s="25"/>
      <c r="JL5" s="25"/>
      <c r="JM5" s="25"/>
      <c r="JN5" s="25"/>
      <c r="JO5" s="25"/>
      <c r="JP5" s="25"/>
      <c r="JQ5" s="25"/>
      <c r="JR5" s="25"/>
      <c r="JS5" s="25"/>
      <c r="JT5" s="25"/>
      <c r="JU5" s="25"/>
      <c r="JV5" s="25"/>
      <c r="JW5" s="25"/>
      <c r="JX5" s="25"/>
      <c r="JY5" s="25"/>
      <c r="JZ5" s="25"/>
      <c r="KA5" s="25"/>
      <c r="KB5" s="25"/>
      <c r="KC5" s="25"/>
      <c r="KD5" s="25"/>
      <c r="KE5" s="25"/>
      <c r="KF5" s="25"/>
      <c r="KG5" s="25"/>
      <c r="KH5" s="25"/>
      <c r="KI5" s="25"/>
      <c r="KJ5" s="25"/>
      <c r="KK5" s="25"/>
      <c r="KL5" s="25"/>
      <c r="KM5" s="25"/>
      <c r="KN5" s="25"/>
      <c r="KO5" s="25"/>
      <c r="KP5" s="25"/>
      <c r="KQ5" s="25"/>
      <c r="KR5" s="25"/>
      <c r="KS5" s="25"/>
      <c r="KT5" s="25"/>
      <c r="KU5" s="25"/>
      <c r="KV5" s="25"/>
      <c r="KW5" s="25"/>
      <c r="KX5" s="25"/>
      <c r="KY5" s="25"/>
      <c r="KZ5" s="25"/>
      <c r="LA5" s="25"/>
      <c r="LB5" s="25"/>
      <c r="LC5" s="25"/>
      <c r="LD5" s="25"/>
      <c r="LE5" s="25"/>
      <c r="LF5" s="25"/>
      <c r="LG5" s="25"/>
      <c r="LH5" s="25"/>
      <c r="LI5" s="25"/>
      <c r="LJ5" s="25"/>
      <c r="LK5" s="25"/>
      <c r="LL5" s="25"/>
      <c r="LM5" s="25"/>
      <c r="LN5" s="25"/>
      <c r="LO5" s="25"/>
      <c r="LP5" s="25"/>
      <c r="LQ5" s="25"/>
      <c r="LR5" s="25"/>
      <c r="LS5" s="25"/>
      <c r="LT5" s="25"/>
    </row>
    <row r="6" spans="1:332" ht="12.75" customHeight="1" x14ac:dyDescent="0.25">
      <c r="A6" s="81" t="s">
        <v>660</v>
      </c>
      <c r="B6" s="25">
        <v>2</v>
      </c>
      <c r="C6" s="81" t="s">
        <v>9</v>
      </c>
      <c r="D6" s="25" t="b">
        <f>NOT(ISBLANK(SEAApplicantDataTable[[#This Row],[SEAAssessmentType]]))</f>
        <v>0</v>
      </c>
      <c r="E6" s="81"/>
      <c r="F6" s="25"/>
      <c r="G6" s="25"/>
      <c r="H6" s="587"/>
      <c r="I6" s="587"/>
      <c r="J6" s="587"/>
      <c r="K6" s="587"/>
      <c r="L6" s="587"/>
      <c r="M6" s="587"/>
      <c r="N6" s="587"/>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c r="EQ6" s="25"/>
      <c r="ER6" s="25"/>
      <c r="ES6" s="25"/>
      <c r="ET6" s="25"/>
      <c r="EU6" s="25"/>
      <c r="EV6" s="25"/>
      <c r="EW6" s="25"/>
      <c r="EX6" s="25"/>
      <c r="EY6" s="25"/>
      <c r="EZ6" s="25"/>
      <c r="FA6" s="25"/>
      <c r="FB6" s="25"/>
      <c r="FC6" s="25"/>
      <c r="FD6" s="25"/>
      <c r="FQ6" s="25"/>
      <c r="FR6" s="25"/>
      <c r="FS6" s="25"/>
      <c r="FT6" s="25"/>
      <c r="FU6" s="25"/>
      <c r="FV6" s="25"/>
      <c r="FW6" s="25"/>
      <c r="FX6" s="25"/>
      <c r="FY6" s="25"/>
      <c r="FZ6" s="25"/>
      <c r="GA6" s="25"/>
      <c r="GB6" s="25"/>
      <c r="GC6" s="25"/>
      <c r="GD6" s="25"/>
      <c r="GE6" s="25"/>
      <c r="GF6" s="25"/>
      <c r="GG6" s="25"/>
      <c r="GH6" s="25"/>
      <c r="GI6" s="25"/>
      <c r="GJ6" s="25"/>
      <c r="GK6" s="25"/>
      <c r="GL6" s="25"/>
      <c r="GM6" s="25"/>
      <c r="GN6" s="25"/>
      <c r="GO6" s="25"/>
      <c r="GP6" s="25"/>
      <c r="GQ6" s="25"/>
      <c r="GR6" s="25"/>
      <c r="GS6" s="25"/>
      <c r="GT6" s="25"/>
      <c r="GU6" s="25"/>
      <c r="GV6" s="25"/>
      <c r="GW6" s="25"/>
      <c r="GX6" s="25"/>
      <c r="GY6" s="25"/>
      <c r="GZ6" s="25"/>
      <c r="HA6" s="25"/>
      <c r="HB6" s="25"/>
      <c r="HC6" s="25"/>
      <c r="HD6" s="25"/>
      <c r="HE6" s="25"/>
      <c r="HF6" s="25"/>
      <c r="HG6" s="25"/>
      <c r="HH6" s="25"/>
      <c r="HI6" s="25"/>
      <c r="HJ6" s="25"/>
      <c r="HK6" s="25"/>
      <c r="HL6" s="25"/>
      <c r="HM6" s="25"/>
      <c r="HN6" s="25"/>
      <c r="HO6" s="25"/>
      <c r="HP6" s="25"/>
      <c r="HQ6" s="25"/>
      <c r="HR6" s="25"/>
      <c r="HS6" s="25"/>
      <c r="HT6" s="25"/>
      <c r="HU6" s="25"/>
      <c r="HV6" s="25"/>
      <c r="HW6" s="25"/>
      <c r="HX6" s="25"/>
      <c r="HY6" s="25"/>
      <c r="HZ6" s="25"/>
      <c r="IA6" s="25"/>
      <c r="IB6" s="25"/>
      <c r="IC6" s="25"/>
      <c r="ID6" s="25"/>
      <c r="IE6" s="25"/>
      <c r="IF6" s="25"/>
      <c r="IG6" s="25"/>
      <c r="IH6" s="25"/>
      <c r="II6" s="25"/>
      <c r="IJ6" s="25"/>
      <c r="IK6" s="25"/>
      <c r="IL6" s="25"/>
      <c r="IM6" s="25"/>
      <c r="IN6" s="25"/>
      <c r="IO6" s="25"/>
      <c r="IP6" s="25"/>
      <c r="IQ6" s="25"/>
      <c r="IR6" s="25"/>
      <c r="IS6" s="25"/>
      <c r="IT6" s="25"/>
      <c r="IU6" s="25"/>
      <c r="IV6" s="25"/>
      <c r="IW6" s="25"/>
      <c r="IX6" s="25"/>
      <c r="IY6" s="25"/>
      <c r="IZ6" s="25"/>
      <c r="JA6" s="25"/>
      <c r="JB6" s="25"/>
      <c r="JC6" s="25"/>
      <c r="JD6" s="25"/>
      <c r="JE6" s="25"/>
      <c r="JF6" s="25"/>
      <c r="JG6" s="25"/>
      <c r="JH6" s="25"/>
      <c r="JI6" s="25"/>
      <c r="JJ6" s="25"/>
      <c r="JK6" s="25"/>
      <c r="JL6" s="25"/>
      <c r="JM6" s="25"/>
      <c r="JN6" s="25"/>
      <c r="JO6" s="25"/>
      <c r="JP6" s="25"/>
      <c r="JQ6" s="25"/>
      <c r="JR6" s="25"/>
      <c r="JS6" s="25"/>
      <c r="JT6" s="25"/>
      <c r="JU6" s="25"/>
      <c r="JV6" s="25"/>
      <c r="JW6" s="25"/>
      <c r="JX6" s="25"/>
      <c r="JY6" s="25"/>
      <c r="JZ6" s="25"/>
      <c r="KA6" s="25"/>
      <c r="KB6" s="25"/>
      <c r="KC6" s="25"/>
      <c r="KD6" s="25"/>
      <c r="KE6" s="25"/>
      <c r="KF6" s="25"/>
      <c r="KG6" s="25"/>
      <c r="KH6" s="25"/>
      <c r="KI6" s="25"/>
      <c r="KJ6" s="25"/>
      <c r="KK6" s="25"/>
      <c r="KL6" s="25"/>
      <c r="KM6" s="25"/>
      <c r="KN6" s="25"/>
      <c r="KO6" s="25"/>
      <c r="KP6" s="25"/>
      <c r="KQ6" s="25"/>
      <c r="KR6" s="25"/>
      <c r="KS6" s="25"/>
      <c r="KT6" s="25"/>
      <c r="KU6" s="25"/>
      <c r="KV6" s="25"/>
      <c r="KW6" s="25"/>
      <c r="KX6" s="25"/>
      <c r="KY6" s="25"/>
      <c r="KZ6" s="25"/>
      <c r="LA6" s="25"/>
      <c r="LB6" s="25"/>
      <c r="LC6" s="25"/>
      <c r="LD6" s="25"/>
      <c r="LE6" s="25"/>
      <c r="LF6" s="25"/>
      <c r="LG6" s="25"/>
      <c r="LH6" s="25"/>
      <c r="LI6" s="25"/>
      <c r="LJ6" s="25"/>
      <c r="LK6" s="25"/>
      <c r="LL6" s="25"/>
      <c r="LM6" s="25"/>
      <c r="LN6" s="25"/>
      <c r="LO6" s="25"/>
      <c r="LP6" s="25"/>
      <c r="LQ6" s="25"/>
      <c r="LR6" s="25"/>
      <c r="LS6" s="25"/>
      <c r="LT6" s="25"/>
    </row>
    <row r="7" spans="1:332" ht="12.75" customHeight="1" x14ac:dyDescent="0.25">
      <c r="A7" s="25" t="s">
        <v>666</v>
      </c>
      <c r="B7" s="25">
        <v>2</v>
      </c>
      <c r="C7" s="25" t="s">
        <v>12</v>
      </c>
      <c r="D7" s="25" t="b">
        <f>NOT(ISBLANK(SEAApplicantDataTable[[#This Row],[SEAAssessmentType]]))</f>
        <v>0</v>
      </c>
      <c r="E7" s="81"/>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K7" s="25"/>
      <c r="HL7" s="25"/>
      <c r="HM7" s="25"/>
      <c r="HN7" s="25"/>
      <c r="HO7" s="25"/>
      <c r="HP7" s="25"/>
      <c r="HQ7" s="25"/>
      <c r="HR7" s="25"/>
      <c r="HS7" s="25"/>
      <c r="HT7" s="25"/>
      <c r="HU7" s="25"/>
      <c r="HV7" s="25"/>
      <c r="HW7" s="25"/>
      <c r="HX7" s="25"/>
      <c r="HY7" s="25"/>
      <c r="HZ7" s="25"/>
      <c r="IA7" s="25"/>
      <c r="IB7" s="25"/>
      <c r="IC7" s="25"/>
      <c r="ID7" s="25"/>
      <c r="IE7" s="25"/>
      <c r="IF7" s="25"/>
      <c r="IG7" s="25"/>
      <c r="IH7" s="25"/>
      <c r="II7" s="25"/>
      <c r="IJ7" s="25"/>
      <c r="IK7" s="25"/>
      <c r="IL7" s="25"/>
      <c r="IM7" s="25"/>
      <c r="IN7" s="25"/>
      <c r="IO7" s="25"/>
      <c r="IP7" s="25"/>
      <c r="IQ7" s="25"/>
      <c r="IR7" s="25"/>
      <c r="IS7" s="25"/>
      <c r="IT7" s="25"/>
      <c r="IU7" s="25"/>
      <c r="IV7" s="25"/>
      <c r="IW7" s="25"/>
      <c r="IX7" s="25"/>
      <c r="IY7" s="25"/>
      <c r="IZ7" s="25"/>
      <c r="JA7" s="25"/>
      <c r="JB7" s="25"/>
      <c r="JC7" s="25"/>
      <c r="JD7" s="25"/>
      <c r="JE7" s="25"/>
      <c r="JF7" s="25"/>
      <c r="JG7" s="25"/>
      <c r="JH7" s="25"/>
      <c r="JI7" s="25"/>
      <c r="JJ7" s="25"/>
      <c r="JK7" s="25"/>
      <c r="JL7" s="25"/>
      <c r="JM7" s="25"/>
      <c r="JN7" s="25"/>
      <c r="JO7" s="25"/>
      <c r="JP7" s="25"/>
      <c r="JQ7" s="25"/>
      <c r="JR7" s="25"/>
      <c r="JS7" s="25"/>
      <c r="JT7" s="25"/>
      <c r="JU7" s="25"/>
      <c r="JV7" s="25"/>
      <c r="JW7" s="25"/>
      <c r="JX7" s="25"/>
      <c r="JY7" s="25"/>
      <c r="JZ7" s="25"/>
      <c r="KA7" s="25"/>
      <c r="KB7" s="25"/>
      <c r="KC7" s="25"/>
      <c r="KD7" s="25"/>
      <c r="KE7" s="25"/>
      <c r="KF7" s="25"/>
      <c r="KG7" s="25"/>
      <c r="KH7" s="25"/>
      <c r="KI7" s="25"/>
      <c r="KJ7" s="25"/>
      <c r="KK7" s="25"/>
      <c r="KL7" s="25"/>
      <c r="KM7" s="25"/>
      <c r="KN7" s="25"/>
      <c r="KO7" s="25"/>
      <c r="KP7" s="25"/>
      <c r="KQ7" s="25"/>
      <c r="KR7" s="25"/>
      <c r="KS7" s="25"/>
      <c r="KT7" s="25"/>
      <c r="KU7" s="25"/>
      <c r="KV7" s="25"/>
      <c r="KW7" s="25"/>
      <c r="KX7" s="25"/>
      <c r="KY7" s="25"/>
      <c r="KZ7" s="25"/>
      <c r="LA7" s="25"/>
      <c r="LB7" s="25"/>
      <c r="LC7" s="25"/>
      <c r="LD7" s="25"/>
      <c r="LE7" s="25"/>
      <c r="LF7" s="25"/>
      <c r="LG7" s="25"/>
      <c r="LH7" s="25"/>
      <c r="LI7" s="25"/>
      <c r="LJ7" s="25"/>
      <c r="LK7" s="25"/>
      <c r="LL7" s="25"/>
      <c r="LM7" s="25"/>
      <c r="LN7" s="25"/>
      <c r="LO7" s="25"/>
      <c r="LP7" s="25"/>
      <c r="LQ7" s="25"/>
      <c r="LR7" s="25"/>
      <c r="LS7" s="25"/>
      <c r="LT7" s="25"/>
    </row>
    <row r="8" spans="1:332" ht="12.75" customHeight="1" x14ac:dyDescent="0.25">
      <c r="A8" s="81" t="s">
        <v>661</v>
      </c>
      <c r="B8" s="25">
        <v>3</v>
      </c>
      <c r="C8" s="81" t="s">
        <v>9</v>
      </c>
      <c r="D8" s="25" t="b">
        <f>NOT(ISBLANK(SEAApplicantDataTable[[#This Row],[SEAAssessmentType]]))</f>
        <v>0</v>
      </c>
      <c r="E8" s="25"/>
      <c r="F8" s="25"/>
      <c r="G8" s="25"/>
      <c r="H8" s="587"/>
      <c r="I8" s="587"/>
      <c r="J8" s="81"/>
      <c r="K8" s="81"/>
      <c r="L8" s="587"/>
      <c r="M8" s="587"/>
      <c r="N8" s="587"/>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K8" s="25"/>
      <c r="HL8" s="25"/>
      <c r="HM8" s="25"/>
      <c r="HN8" s="25"/>
      <c r="HO8" s="25"/>
      <c r="HP8" s="25"/>
      <c r="HQ8" s="25"/>
      <c r="HR8" s="25"/>
      <c r="HS8" s="25"/>
      <c r="HT8" s="25"/>
      <c r="HU8" s="25"/>
      <c r="HV8" s="25"/>
      <c r="HW8" s="25"/>
      <c r="HX8" s="25"/>
      <c r="HY8" s="25"/>
      <c r="HZ8" s="25"/>
      <c r="IA8" s="25"/>
      <c r="IB8" s="25"/>
      <c r="IC8" s="25"/>
      <c r="ID8" s="25"/>
      <c r="IE8" s="25"/>
      <c r="IF8" s="25"/>
      <c r="IG8" s="25"/>
      <c r="IH8" s="25"/>
      <c r="II8" s="25"/>
      <c r="IJ8" s="25"/>
      <c r="IK8" s="25"/>
      <c r="IL8" s="25"/>
      <c r="IM8" s="25"/>
      <c r="IN8" s="25"/>
      <c r="IO8" s="25"/>
      <c r="IP8" s="25"/>
      <c r="IQ8" s="25"/>
      <c r="IR8" s="25"/>
      <c r="IS8" s="25"/>
      <c r="IT8" s="25"/>
      <c r="IU8" s="25"/>
      <c r="IV8" s="25"/>
      <c r="IW8" s="25"/>
      <c r="IX8" s="25"/>
      <c r="IY8" s="25"/>
      <c r="IZ8" s="25"/>
      <c r="JA8" s="25"/>
      <c r="JB8" s="25"/>
      <c r="JC8" s="25"/>
      <c r="JD8" s="25"/>
      <c r="JE8" s="25"/>
      <c r="JF8" s="25"/>
      <c r="JG8" s="25"/>
      <c r="JH8" s="25"/>
      <c r="JI8" s="25"/>
      <c r="JJ8" s="25"/>
      <c r="JK8" s="25"/>
      <c r="JL8" s="25"/>
      <c r="JM8" s="25"/>
      <c r="JN8" s="25"/>
      <c r="JO8" s="25"/>
      <c r="JP8" s="25"/>
      <c r="JQ8" s="25"/>
      <c r="JR8" s="25"/>
      <c r="JS8" s="25"/>
      <c r="JT8" s="25"/>
      <c r="JU8" s="25"/>
      <c r="JV8" s="25"/>
      <c r="JW8" s="25"/>
      <c r="JX8" s="25"/>
      <c r="JY8" s="25"/>
      <c r="JZ8" s="25"/>
      <c r="KA8" s="25"/>
      <c r="KB8" s="25"/>
      <c r="KC8" s="25"/>
      <c r="KD8" s="25"/>
      <c r="KE8" s="25"/>
      <c r="KF8" s="25"/>
      <c r="KG8" s="25"/>
      <c r="KH8" s="25"/>
      <c r="KI8" s="25"/>
      <c r="KJ8" s="25"/>
      <c r="KK8" s="25"/>
      <c r="KL8" s="25"/>
      <c r="KM8" s="25"/>
      <c r="KN8" s="25"/>
      <c r="KO8" s="25"/>
      <c r="KP8" s="25"/>
      <c r="KQ8" s="25"/>
      <c r="KR8" s="25"/>
      <c r="KS8" s="25"/>
      <c r="KT8" s="25"/>
      <c r="KU8" s="25"/>
      <c r="KV8" s="25"/>
      <c r="KW8" s="25"/>
      <c r="KX8" s="25"/>
      <c r="KY8" s="25"/>
      <c r="KZ8" s="25"/>
      <c r="LA8" s="25"/>
      <c r="LB8" s="25"/>
      <c r="LC8" s="25"/>
      <c r="LD8" s="25"/>
      <c r="LE8" s="25"/>
      <c r="LF8" s="25"/>
      <c r="LG8" s="25"/>
      <c r="LH8" s="25"/>
      <c r="LI8" s="25"/>
      <c r="LJ8" s="25"/>
      <c r="LK8" s="25"/>
      <c r="LL8" s="25"/>
      <c r="LM8" s="25"/>
      <c r="LN8" s="25"/>
      <c r="LO8" s="25"/>
      <c r="LP8" s="25"/>
      <c r="LQ8" s="25"/>
      <c r="LR8" s="25"/>
      <c r="LS8" s="25"/>
      <c r="LT8" s="25"/>
    </row>
    <row r="9" spans="1:332" ht="12.75" customHeight="1" x14ac:dyDescent="0.25">
      <c r="A9" s="25" t="s">
        <v>667</v>
      </c>
      <c r="B9" s="25">
        <v>3</v>
      </c>
      <c r="C9" s="25" t="s">
        <v>12</v>
      </c>
      <c r="D9" s="25" t="b">
        <f>NOT(ISBLANK(SEAApplicantDataTable[[#This Row],[SEAAssessmentType]]))</f>
        <v>0</v>
      </c>
      <c r="E9" s="81"/>
      <c r="F9" s="25"/>
      <c r="G9" s="25"/>
      <c r="H9" s="25"/>
      <c r="I9" s="25"/>
      <c r="J9" s="25"/>
      <c r="K9" s="25"/>
      <c r="L9" s="320"/>
      <c r="M9" s="320"/>
      <c r="N9" s="320"/>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5"/>
      <c r="HS9" s="25"/>
      <c r="HT9" s="25"/>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25"/>
      <c r="IX9" s="25"/>
      <c r="IY9" s="25"/>
      <c r="IZ9" s="25"/>
      <c r="JA9" s="25"/>
      <c r="JB9" s="25"/>
      <c r="JC9" s="25"/>
      <c r="JD9" s="25"/>
      <c r="JE9" s="25"/>
      <c r="JF9" s="25"/>
      <c r="JG9" s="25"/>
      <c r="JH9" s="25"/>
      <c r="JI9" s="25"/>
      <c r="JJ9" s="25"/>
      <c r="JK9" s="25"/>
      <c r="JL9" s="25"/>
      <c r="JM9" s="25"/>
      <c r="JN9" s="25"/>
      <c r="JO9" s="25"/>
      <c r="JP9" s="25"/>
      <c r="JQ9" s="25"/>
      <c r="JR9" s="25"/>
      <c r="JS9" s="25"/>
      <c r="JT9" s="25"/>
      <c r="JU9" s="25"/>
      <c r="JV9" s="25"/>
      <c r="JW9" s="25"/>
      <c r="JX9" s="25"/>
      <c r="JY9" s="25"/>
      <c r="JZ9" s="25"/>
      <c r="KA9" s="25"/>
      <c r="KB9" s="25"/>
      <c r="KC9" s="25"/>
      <c r="KD9" s="25"/>
      <c r="KE9" s="25"/>
      <c r="KF9" s="25"/>
      <c r="KG9" s="25"/>
      <c r="KH9" s="25"/>
      <c r="KI9" s="25"/>
      <c r="KJ9" s="25"/>
      <c r="KK9" s="25"/>
      <c r="KL9" s="25"/>
      <c r="KM9" s="25"/>
      <c r="KN9" s="25"/>
      <c r="KO9" s="25"/>
      <c r="KP9" s="25"/>
      <c r="KQ9" s="25"/>
      <c r="KR9" s="25"/>
      <c r="KS9" s="25"/>
      <c r="KT9" s="25"/>
      <c r="KU9" s="25"/>
      <c r="KV9" s="25"/>
      <c r="KW9" s="25"/>
      <c r="KX9" s="25"/>
      <c r="KY9" s="25"/>
      <c r="KZ9" s="25"/>
      <c r="LA9" s="25"/>
      <c r="LB9" s="25"/>
      <c r="LC9" s="25"/>
      <c r="LD9" s="25"/>
      <c r="LE9" s="25"/>
      <c r="LF9" s="25"/>
      <c r="LG9" s="25"/>
      <c r="LH9" s="25"/>
      <c r="LI9" s="25"/>
      <c r="LJ9" s="25"/>
      <c r="LK9" s="25"/>
      <c r="LL9" s="25"/>
      <c r="LM9" s="25"/>
      <c r="LN9" s="25"/>
      <c r="LO9" s="25"/>
      <c r="LP9" s="25"/>
      <c r="LQ9" s="25"/>
      <c r="LR9" s="25"/>
      <c r="LS9" s="25"/>
      <c r="LT9" s="25"/>
    </row>
    <row r="10" spans="1:332" ht="12.75" customHeight="1" x14ac:dyDescent="0.25">
      <c r="A10" s="81" t="s">
        <v>662</v>
      </c>
      <c r="B10" s="25">
        <v>4</v>
      </c>
      <c r="C10" s="81" t="s">
        <v>9</v>
      </c>
      <c r="D10" s="25" t="b">
        <f>NOT(ISBLANK(SEAApplicantDataTable[[#This Row],[SEAAssessmentType]]))</f>
        <v>0</v>
      </c>
      <c r="E10" s="25"/>
      <c r="F10" s="25"/>
      <c r="G10" s="25"/>
      <c r="H10" s="587"/>
      <c r="I10" s="587"/>
      <c r="J10" s="587"/>
      <c r="K10" s="587"/>
      <c r="L10" s="587"/>
      <c r="M10" s="587"/>
      <c r="N10" s="587"/>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25"/>
      <c r="EX10" s="25"/>
      <c r="EY10" s="25"/>
      <c r="EZ10" s="25"/>
      <c r="FA10" s="25"/>
      <c r="FB10" s="25"/>
      <c r="FC10" s="25"/>
      <c r="FD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25"/>
      <c r="HL10" s="25"/>
      <c r="HM10" s="25"/>
      <c r="HN10" s="25"/>
      <c r="HO10" s="25"/>
      <c r="HP10" s="25"/>
      <c r="HQ10" s="25"/>
      <c r="HR10" s="25"/>
      <c r="HS10" s="25"/>
      <c r="HT10" s="25"/>
      <c r="HU10" s="25"/>
      <c r="HV10" s="25"/>
      <c r="HW10" s="25"/>
      <c r="HX10" s="25"/>
      <c r="HY10" s="25"/>
      <c r="HZ10" s="25"/>
      <c r="IA10" s="25"/>
      <c r="IB10" s="25"/>
      <c r="IC10" s="25"/>
      <c r="ID10" s="25"/>
      <c r="IE10" s="25"/>
      <c r="IF10" s="25"/>
      <c r="IG10" s="25"/>
      <c r="IH10" s="25"/>
      <c r="II10" s="25"/>
      <c r="IJ10" s="25"/>
      <c r="IK10" s="25"/>
      <c r="IL10" s="25"/>
      <c r="IM10" s="25"/>
      <c r="IN10" s="25"/>
      <c r="IO10" s="25"/>
      <c r="IP10" s="25"/>
      <c r="IQ10" s="25"/>
      <c r="IR10" s="25"/>
      <c r="IS10" s="25"/>
      <c r="IT10" s="25"/>
      <c r="IU10" s="25"/>
      <c r="IV10" s="25"/>
      <c r="IW10" s="25"/>
      <c r="IX10" s="25"/>
      <c r="IY10" s="25"/>
      <c r="IZ10" s="25"/>
      <c r="JA10" s="25"/>
      <c r="JB10" s="25"/>
      <c r="JC10" s="25"/>
      <c r="JD10" s="25"/>
      <c r="JE10" s="25"/>
      <c r="JF10" s="25"/>
      <c r="JG10" s="25"/>
      <c r="JH10" s="25"/>
      <c r="JI10" s="25"/>
      <c r="JJ10" s="25"/>
      <c r="JK10" s="25"/>
      <c r="JL10" s="25"/>
      <c r="JM10" s="25"/>
      <c r="JN10" s="25"/>
      <c r="JO10" s="25"/>
      <c r="JP10" s="25"/>
      <c r="JQ10" s="25"/>
      <c r="JR10" s="25"/>
      <c r="JS10" s="25"/>
      <c r="JT10" s="25"/>
      <c r="JU10" s="25"/>
      <c r="JV10" s="25"/>
      <c r="JW10" s="25"/>
      <c r="JX10" s="25"/>
      <c r="JY10" s="25"/>
      <c r="JZ10" s="25"/>
      <c r="KA10" s="25"/>
      <c r="KB10" s="25"/>
      <c r="KC10" s="25"/>
      <c r="KD10" s="25"/>
      <c r="KE10" s="25"/>
      <c r="KF10" s="25"/>
      <c r="KG10" s="25"/>
      <c r="KH10" s="25"/>
      <c r="KI10" s="25"/>
      <c r="KJ10" s="25"/>
      <c r="KK10" s="25"/>
      <c r="KL10" s="25"/>
      <c r="KM10" s="25"/>
      <c r="KN10" s="25"/>
      <c r="KO10" s="25"/>
      <c r="KP10" s="25"/>
      <c r="KQ10" s="25"/>
      <c r="KR10" s="25"/>
      <c r="KS10" s="25"/>
      <c r="KT10" s="25"/>
      <c r="KU10" s="25"/>
      <c r="KV10" s="25"/>
      <c r="KW10" s="25"/>
      <c r="KX10" s="25"/>
      <c r="KY10" s="25"/>
      <c r="KZ10" s="25"/>
      <c r="LA10" s="25"/>
      <c r="LB10" s="25"/>
      <c r="LC10" s="25"/>
      <c r="LD10" s="25"/>
      <c r="LE10" s="25"/>
      <c r="LF10" s="25"/>
      <c r="LG10" s="25"/>
      <c r="LH10" s="25"/>
      <c r="LI10" s="25"/>
      <c r="LJ10" s="25"/>
      <c r="LK10" s="25"/>
      <c r="LL10" s="25"/>
      <c r="LM10" s="25"/>
      <c r="LN10" s="25"/>
      <c r="LO10" s="25"/>
      <c r="LP10" s="25"/>
      <c r="LQ10" s="25"/>
      <c r="LR10" s="25"/>
      <c r="LS10" s="25"/>
      <c r="LT10" s="25"/>
    </row>
    <row r="11" spans="1:332" ht="12.75" customHeight="1" x14ac:dyDescent="0.25">
      <c r="A11" s="25" t="s">
        <v>668</v>
      </c>
      <c r="B11" s="25">
        <v>4</v>
      </c>
      <c r="C11" s="25" t="s">
        <v>12</v>
      </c>
      <c r="D11" s="25" t="b">
        <f>NOT(ISBLANK(SEAApplicantDataTable[[#This Row],[SEAAssessmentType]]))</f>
        <v>0</v>
      </c>
      <c r="E11" s="81"/>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JD11" s="25"/>
      <c r="JE11" s="25"/>
      <c r="JF11" s="25"/>
      <c r="JG11" s="25"/>
      <c r="JH11" s="25"/>
      <c r="JI11" s="25"/>
      <c r="JJ11" s="25"/>
      <c r="JK11" s="25"/>
      <c r="JL11" s="25"/>
      <c r="JM11" s="25"/>
      <c r="JN11" s="25"/>
      <c r="JO11" s="25"/>
      <c r="JP11" s="25"/>
      <c r="JQ11" s="25"/>
      <c r="JR11" s="25"/>
      <c r="JS11" s="25"/>
      <c r="JT11" s="25"/>
      <c r="JU11" s="25"/>
      <c r="JV11" s="25"/>
      <c r="JW11" s="25"/>
      <c r="JX11" s="25"/>
      <c r="JY11" s="25"/>
      <c r="JZ11" s="25"/>
      <c r="KA11" s="25"/>
      <c r="KB11" s="25"/>
      <c r="KC11" s="25"/>
      <c r="KD11" s="25"/>
      <c r="KE11" s="25"/>
      <c r="KF11" s="25"/>
      <c r="KG11" s="25"/>
      <c r="KH11" s="25"/>
      <c r="KI11" s="25"/>
      <c r="KJ11" s="25"/>
      <c r="KK11" s="25"/>
      <c r="KL11" s="25"/>
      <c r="KM11" s="25"/>
      <c r="KN11" s="25"/>
      <c r="KO11" s="25"/>
      <c r="KP11" s="25"/>
      <c r="KQ11" s="25"/>
      <c r="KR11" s="25"/>
      <c r="KS11" s="25"/>
      <c r="KT11" s="25"/>
      <c r="KU11" s="25"/>
      <c r="KV11" s="25"/>
      <c r="KW11" s="25"/>
      <c r="KX11" s="25"/>
      <c r="KY11" s="25"/>
      <c r="KZ11" s="25"/>
      <c r="LA11" s="25"/>
      <c r="LB11" s="25"/>
      <c r="LC11" s="25"/>
      <c r="LD11" s="25"/>
      <c r="LE11" s="25"/>
      <c r="LF11" s="25"/>
      <c r="LG11" s="25"/>
      <c r="LH11" s="25"/>
      <c r="LI11" s="25"/>
      <c r="LJ11" s="25"/>
      <c r="LK11" s="25"/>
      <c r="LL11" s="25"/>
      <c r="LM11" s="25"/>
      <c r="LN11" s="25"/>
      <c r="LO11" s="25"/>
      <c r="LP11" s="25"/>
      <c r="LQ11" s="25"/>
      <c r="LR11" s="25"/>
      <c r="LS11" s="25"/>
      <c r="LT11" s="25"/>
    </row>
    <row r="12" spans="1:332" ht="12.75" customHeight="1" x14ac:dyDescent="0.25">
      <c r="A12" s="81" t="s">
        <v>663</v>
      </c>
      <c r="B12" s="25">
        <v>5</v>
      </c>
      <c r="C12" s="81" t="s">
        <v>9</v>
      </c>
      <c r="D12" s="25" t="b">
        <f>NOT(ISBLANK(SEAApplicantDataTable[[#This Row],[SEAAssessmentType]]))</f>
        <v>0</v>
      </c>
      <c r="E12" s="25"/>
      <c r="F12" s="25"/>
      <c r="G12" s="25"/>
      <c r="H12" s="81"/>
      <c r="I12" s="81"/>
      <c r="J12" s="81"/>
      <c r="K12" s="81"/>
      <c r="L12" s="587"/>
      <c r="M12" s="587"/>
      <c r="N12" s="587"/>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IZ12" s="25"/>
      <c r="JA12" s="25"/>
      <c r="JB12" s="25"/>
      <c r="JC12" s="25"/>
      <c r="JD12" s="25"/>
      <c r="JE12" s="25"/>
      <c r="JF12" s="25"/>
      <c r="JG12" s="25"/>
      <c r="JH12" s="25"/>
      <c r="JI12" s="25"/>
      <c r="JJ12" s="25"/>
      <c r="JK12" s="25"/>
      <c r="JL12" s="25"/>
      <c r="JM12" s="25"/>
      <c r="JN12" s="25"/>
      <c r="JO12" s="25"/>
      <c r="JP12" s="25"/>
      <c r="JQ12" s="25"/>
      <c r="JR12" s="25"/>
      <c r="JS12" s="25"/>
      <c r="JT12" s="25"/>
      <c r="JU12" s="25"/>
      <c r="JV12" s="25"/>
      <c r="JW12" s="25"/>
      <c r="JX12" s="25"/>
      <c r="JY12" s="25"/>
      <c r="JZ12" s="25"/>
      <c r="KA12" s="25"/>
      <c r="KB12" s="25"/>
      <c r="KC12" s="25"/>
      <c r="KD12" s="25"/>
      <c r="KE12" s="25"/>
      <c r="KF12" s="25"/>
      <c r="KG12" s="25"/>
      <c r="KH12" s="25"/>
      <c r="KI12" s="25"/>
      <c r="KJ12" s="25"/>
      <c r="KK12" s="25"/>
      <c r="KL12" s="25"/>
      <c r="KM12" s="25"/>
      <c r="KN12" s="25"/>
      <c r="KO12" s="25"/>
      <c r="KP12" s="25"/>
      <c r="KQ12" s="25"/>
      <c r="KR12" s="25"/>
      <c r="KS12" s="25"/>
      <c r="KT12" s="25"/>
      <c r="KU12" s="25"/>
      <c r="KV12" s="25"/>
      <c r="KW12" s="25"/>
      <c r="KX12" s="25"/>
      <c r="KY12" s="25"/>
      <c r="KZ12" s="25"/>
      <c r="LA12" s="25"/>
      <c r="LB12" s="25"/>
      <c r="LC12" s="25"/>
      <c r="LD12" s="25"/>
      <c r="LE12" s="25"/>
      <c r="LF12" s="25"/>
      <c r="LG12" s="25"/>
      <c r="LH12" s="25"/>
      <c r="LI12" s="25"/>
      <c r="LJ12" s="25"/>
      <c r="LK12" s="25"/>
      <c r="LL12" s="25"/>
      <c r="LM12" s="25"/>
      <c r="LN12" s="25"/>
      <c r="LO12" s="25"/>
      <c r="LP12" s="25"/>
      <c r="LQ12" s="25"/>
      <c r="LR12" s="25"/>
      <c r="LS12" s="25"/>
      <c r="LT12" s="25"/>
    </row>
    <row r="13" spans="1:332" ht="12.75" customHeight="1" x14ac:dyDescent="0.25">
      <c r="A13" s="25" t="s">
        <v>669</v>
      </c>
      <c r="B13" s="25">
        <v>5</v>
      </c>
      <c r="C13" s="25" t="s">
        <v>12</v>
      </c>
      <c r="D13" s="25" t="b">
        <f>NOT(ISBLANK(SEAApplicantDataTable[[#This Row],[SEAAssessmentType]]))</f>
        <v>0</v>
      </c>
      <c r="E13" s="81"/>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IZ13" s="25"/>
      <c r="JA13" s="25"/>
      <c r="JB13" s="25"/>
      <c r="JC13" s="25"/>
      <c r="JD13" s="25"/>
      <c r="JE13" s="25"/>
      <c r="JF13" s="25"/>
      <c r="JG13" s="25"/>
      <c r="JH13" s="25"/>
      <c r="JI13" s="25"/>
      <c r="JJ13" s="25"/>
      <c r="JK13" s="25"/>
      <c r="JL13" s="25"/>
      <c r="JM13" s="25"/>
      <c r="JN13" s="25"/>
      <c r="JO13" s="25"/>
      <c r="JP13" s="25"/>
      <c r="JQ13" s="25"/>
      <c r="JR13" s="25"/>
      <c r="JS13" s="25"/>
      <c r="JT13" s="25"/>
      <c r="JU13" s="25"/>
      <c r="JV13" s="25"/>
      <c r="JW13" s="25"/>
      <c r="JX13" s="25"/>
      <c r="JY13" s="25"/>
      <c r="JZ13" s="25"/>
      <c r="KA13" s="25"/>
      <c r="KB13" s="25"/>
      <c r="KC13" s="25"/>
      <c r="KD13" s="25"/>
      <c r="KE13" s="25"/>
      <c r="KF13" s="25"/>
      <c r="KG13" s="25"/>
      <c r="KH13" s="25"/>
      <c r="KI13" s="25"/>
      <c r="KJ13" s="25"/>
      <c r="KK13" s="25"/>
      <c r="KL13" s="25"/>
      <c r="KM13" s="25"/>
      <c r="KN13" s="25"/>
      <c r="KO13" s="25"/>
      <c r="KP13" s="25"/>
      <c r="KQ13" s="25"/>
      <c r="KR13" s="25"/>
      <c r="KS13" s="25"/>
      <c r="KT13" s="25"/>
      <c r="KU13" s="25"/>
      <c r="KV13" s="25"/>
      <c r="KW13" s="25"/>
      <c r="KX13" s="25"/>
      <c r="KY13" s="25"/>
      <c r="KZ13" s="25"/>
      <c r="LA13" s="25"/>
      <c r="LB13" s="25"/>
      <c r="LC13" s="25"/>
      <c r="LD13" s="25"/>
      <c r="LE13" s="25"/>
      <c r="LF13" s="25"/>
      <c r="LG13" s="25"/>
      <c r="LH13" s="25"/>
      <c r="LI13" s="25"/>
      <c r="LJ13" s="25"/>
      <c r="LK13" s="25"/>
      <c r="LL13" s="25"/>
      <c r="LM13" s="25"/>
      <c r="LN13" s="25"/>
      <c r="LO13" s="25"/>
      <c r="LP13" s="25"/>
      <c r="LQ13" s="25"/>
      <c r="LR13" s="25"/>
      <c r="LS13" s="25"/>
      <c r="LT13" s="25"/>
    </row>
    <row r="14" spans="1:332" ht="12.75" customHeight="1" x14ac:dyDescent="0.25">
      <c r="A14" s="81" t="s">
        <v>664</v>
      </c>
      <c r="B14" s="25">
        <v>6</v>
      </c>
      <c r="C14" s="81" t="s">
        <v>9</v>
      </c>
      <c r="D14" s="25" t="b">
        <f>NOT(ISBLANK(SEAApplicantDataTable[[#This Row],[SEAAssessmentType]]))</f>
        <v>0</v>
      </c>
      <c r="E14" s="25"/>
      <c r="F14" s="25"/>
      <c r="G14" s="25"/>
      <c r="H14" s="81"/>
      <c r="I14" s="81"/>
      <c r="J14" s="81"/>
      <c r="K14" s="81"/>
      <c r="L14" s="81"/>
      <c r="M14" s="81"/>
      <c r="N14" s="81"/>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IZ14" s="25"/>
      <c r="JA14" s="25"/>
      <c r="JB14" s="25"/>
      <c r="JC14" s="25"/>
      <c r="JD14" s="25"/>
      <c r="JE14" s="25"/>
      <c r="JF14" s="25"/>
      <c r="JG14" s="25"/>
      <c r="JH14" s="25"/>
      <c r="JI14" s="25"/>
      <c r="JJ14" s="25"/>
      <c r="JK14" s="25"/>
      <c r="JL14" s="25"/>
      <c r="JM14" s="25"/>
      <c r="JN14" s="25"/>
      <c r="JO14" s="25"/>
      <c r="JP14" s="25"/>
      <c r="JQ14" s="25"/>
      <c r="JR14" s="25"/>
      <c r="JS14" s="25"/>
      <c r="JT14" s="25"/>
      <c r="JU14" s="25"/>
      <c r="JV14" s="25"/>
      <c r="JW14" s="25"/>
      <c r="JX14" s="25"/>
      <c r="JY14" s="25"/>
      <c r="JZ14" s="25"/>
      <c r="KA14" s="25"/>
      <c r="KB14" s="25"/>
      <c r="KC14" s="25"/>
      <c r="KD14" s="25"/>
      <c r="KE14" s="25"/>
      <c r="KF14" s="25"/>
      <c r="KG14" s="25"/>
      <c r="KH14" s="25"/>
      <c r="KI14" s="25"/>
      <c r="KJ14" s="25"/>
      <c r="KK14" s="25"/>
      <c r="KL14" s="25"/>
      <c r="KM14" s="25"/>
      <c r="KN14" s="25"/>
      <c r="KO14" s="25"/>
      <c r="KP14" s="25"/>
      <c r="KQ14" s="25"/>
      <c r="KR14" s="25"/>
      <c r="KS14" s="25"/>
      <c r="KT14" s="25"/>
      <c r="KU14" s="25"/>
      <c r="KV14" s="25"/>
      <c r="KW14" s="25"/>
      <c r="KX14" s="25"/>
      <c r="KY14" s="25"/>
      <c r="KZ14" s="25"/>
      <c r="LA14" s="25"/>
      <c r="LB14" s="25"/>
      <c r="LC14" s="25"/>
      <c r="LD14" s="25"/>
      <c r="LE14" s="25"/>
      <c r="LF14" s="25"/>
      <c r="LG14" s="25"/>
      <c r="LH14" s="25"/>
      <c r="LI14" s="25"/>
      <c r="LJ14" s="25"/>
      <c r="LK14" s="25"/>
      <c r="LL14" s="25"/>
      <c r="LM14" s="25"/>
      <c r="LN14" s="25"/>
      <c r="LO14" s="25"/>
      <c r="LP14" s="25"/>
      <c r="LQ14" s="25"/>
      <c r="LR14" s="25"/>
      <c r="LS14" s="25"/>
      <c r="LT14" s="25"/>
    </row>
    <row r="15" spans="1:332" ht="12.75" customHeight="1" x14ac:dyDescent="0.25">
      <c r="A15" s="25" t="s">
        <v>670</v>
      </c>
      <c r="B15" s="25">
        <v>6</v>
      </c>
      <c r="C15" s="25" t="s">
        <v>12</v>
      </c>
      <c r="D15" s="25" t="b">
        <f>NOT(ISBLANK(SEAApplicantDataTable[[#This Row],[SEAAssessmentType]]))</f>
        <v>0</v>
      </c>
      <c r="E15" s="81"/>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IZ15" s="25"/>
      <c r="JA15" s="25"/>
      <c r="JB15" s="25"/>
      <c r="JC15" s="25"/>
      <c r="JD15" s="25"/>
      <c r="JE15" s="25"/>
      <c r="JF15" s="25"/>
      <c r="JG15" s="25"/>
      <c r="JH15" s="25"/>
      <c r="JI15" s="25"/>
      <c r="JJ15" s="25"/>
      <c r="JK15" s="25"/>
      <c r="JL15" s="25"/>
      <c r="JM15" s="25"/>
      <c r="JN15" s="25"/>
      <c r="JO15" s="25"/>
      <c r="JP15" s="25"/>
      <c r="JQ15" s="25"/>
      <c r="JR15" s="25"/>
      <c r="JS15" s="25"/>
      <c r="JT15" s="25"/>
      <c r="JU15" s="25"/>
      <c r="JV15" s="25"/>
      <c r="JW15" s="25"/>
      <c r="JX15" s="25"/>
      <c r="JY15" s="25"/>
      <c r="JZ15" s="25"/>
      <c r="KA15" s="25"/>
      <c r="KB15" s="25"/>
      <c r="KC15" s="25"/>
      <c r="KD15" s="25"/>
      <c r="KE15" s="25"/>
      <c r="KF15" s="25"/>
      <c r="KG15" s="25"/>
      <c r="KH15" s="25"/>
      <c r="KI15" s="25"/>
      <c r="KJ15" s="25"/>
      <c r="KK15" s="25"/>
      <c r="KL15" s="25"/>
      <c r="KM15" s="25"/>
      <c r="KN15" s="25"/>
      <c r="KO15" s="25"/>
      <c r="KP15" s="25"/>
      <c r="KQ15" s="25"/>
      <c r="KR15" s="25"/>
      <c r="KS15" s="25"/>
      <c r="KT15" s="25"/>
      <c r="KU15" s="25"/>
      <c r="KV15" s="25"/>
      <c r="KW15" s="25"/>
      <c r="KX15" s="25"/>
      <c r="KY15" s="25"/>
      <c r="KZ15" s="25"/>
      <c r="LA15" s="25"/>
      <c r="LB15" s="25"/>
      <c r="LC15" s="25"/>
      <c r="LD15" s="25"/>
      <c r="LE15" s="25"/>
      <c r="LF15" s="25"/>
      <c r="LG15" s="25"/>
      <c r="LH15" s="25"/>
      <c r="LI15" s="25"/>
      <c r="LJ15" s="25"/>
      <c r="LK15" s="25"/>
      <c r="LL15" s="25"/>
      <c r="LM15" s="25"/>
      <c r="LN15" s="25"/>
      <c r="LO15" s="25"/>
      <c r="LP15" s="25"/>
      <c r="LQ15" s="25"/>
      <c r="LR15" s="25"/>
      <c r="LS15" s="25"/>
      <c r="LT15" s="25"/>
    </row>
    <row r="16" spans="1:332" ht="12.75" customHeight="1"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IZ16" s="25"/>
      <c r="JA16" s="25"/>
      <c r="JB16" s="25"/>
      <c r="JC16" s="25"/>
      <c r="JD16" s="25"/>
      <c r="JE16" s="25"/>
      <c r="JF16" s="25"/>
      <c r="JG16" s="25"/>
      <c r="JH16" s="25"/>
      <c r="JI16" s="25"/>
      <c r="JJ16" s="25"/>
      <c r="JK16" s="25"/>
      <c r="JL16" s="25"/>
      <c r="JM16" s="25"/>
      <c r="JN16" s="25"/>
      <c r="JO16" s="25"/>
      <c r="JP16" s="25"/>
      <c r="JQ16" s="25"/>
      <c r="JR16" s="25"/>
      <c r="JS16" s="25"/>
      <c r="JT16" s="25"/>
      <c r="JU16" s="25"/>
      <c r="JV16" s="25"/>
      <c r="JW16" s="25"/>
      <c r="JX16" s="25"/>
      <c r="JY16" s="25"/>
      <c r="JZ16" s="25"/>
      <c r="KA16" s="25"/>
      <c r="KB16" s="25"/>
      <c r="KC16" s="25"/>
      <c r="KD16" s="25"/>
      <c r="KE16" s="25"/>
      <c r="KF16" s="25"/>
      <c r="KG16" s="25"/>
      <c r="KH16" s="25"/>
      <c r="KI16" s="25"/>
      <c r="KJ16" s="25"/>
      <c r="KK16" s="25"/>
      <c r="KL16" s="25"/>
      <c r="KM16" s="25"/>
      <c r="KN16" s="25"/>
      <c r="KO16" s="25"/>
      <c r="KP16" s="25"/>
      <c r="KQ16" s="25"/>
      <c r="KR16" s="25"/>
      <c r="KS16" s="25"/>
      <c r="KT16" s="25"/>
      <c r="KU16" s="25"/>
      <c r="KV16" s="25"/>
      <c r="KW16" s="25"/>
      <c r="KX16" s="25"/>
      <c r="KY16" s="25"/>
      <c r="KZ16" s="25"/>
      <c r="LA16" s="25"/>
      <c r="LB16" s="25"/>
      <c r="LC16" s="25"/>
      <c r="LD16" s="25"/>
      <c r="LE16" s="25"/>
      <c r="LF16" s="25"/>
      <c r="LG16" s="25"/>
      <c r="LH16" s="25"/>
      <c r="LI16" s="25"/>
      <c r="LJ16" s="25"/>
      <c r="LK16" s="25"/>
      <c r="LL16" s="25"/>
      <c r="LM16" s="25"/>
      <c r="LN16" s="25"/>
      <c r="LO16" s="25"/>
      <c r="LP16" s="25"/>
      <c r="LQ16" s="25"/>
      <c r="LR16" s="25"/>
      <c r="LS16" s="25"/>
      <c r="LT16" s="25"/>
    </row>
    <row r="17" spans="1:412" ht="12.75" customHeight="1" x14ac:dyDescent="0.3">
      <c r="A17" s="588" t="s">
        <v>926</v>
      </c>
      <c r="B17" s="589">
        <f t="array" ref="B17">MIN(IF(NOT(SEBBusinessDataTable[HasDataFlag]),SEBBusinessDataTable[SEBBusinessID]))</f>
        <v>1</v>
      </c>
      <c r="C17" s="588" t="s">
        <v>1052</v>
      </c>
      <c r="D17" s="589">
        <f>COUNTIF(SEBBusinessDataTable[HasDataFlag],TRUE)</f>
        <v>0</v>
      </c>
      <c r="F17" s="25"/>
    </row>
    <row r="18" spans="1:412" ht="12.75" customHeight="1" x14ac:dyDescent="0.3">
      <c r="A18" s="446" t="s">
        <v>901</v>
      </c>
    </row>
    <row r="19" spans="1:412" ht="12.75" customHeight="1" x14ac:dyDescent="0.25">
      <c r="A19" s="81" t="s">
        <v>903</v>
      </c>
      <c r="B19" s="81" t="s">
        <v>755</v>
      </c>
      <c r="C19" s="81" t="s">
        <v>904</v>
      </c>
      <c r="D19" s="25" t="s">
        <v>905</v>
      </c>
      <c r="E19" s="81" t="s">
        <v>910</v>
      </c>
      <c r="F19" s="25" t="s">
        <v>906</v>
      </c>
      <c r="G19" s="25" t="s">
        <v>907</v>
      </c>
      <c r="H19" s="81" t="s">
        <v>1644</v>
      </c>
      <c r="I19" s="81" t="s">
        <v>2004</v>
      </c>
      <c r="J19" s="25" t="s">
        <v>956</v>
      </c>
      <c r="K19" s="25" t="s">
        <v>908</v>
      </c>
      <c r="L19" s="25" t="s">
        <v>911</v>
      </c>
      <c r="M19" s="25" t="s">
        <v>912</v>
      </c>
      <c r="N19" s="25" t="s">
        <v>913</v>
      </c>
      <c r="O19" s="25" t="s">
        <v>914</v>
      </c>
      <c r="P19" s="25" t="s">
        <v>915</v>
      </c>
      <c r="Q19" s="25" t="s">
        <v>1005</v>
      </c>
      <c r="R19" s="25" t="s">
        <v>1006</v>
      </c>
      <c r="S19" s="25" t="s">
        <v>1007</v>
      </c>
      <c r="T19" s="25" t="s">
        <v>1008</v>
      </c>
      <c r="U19" s="25" t="s">
        <v>1009</v>
      </c>
      <c r="V19" s="25" t="s">
        <v>1010</v>
      </c>
      <c r="W19" s="25" t="s">
        <v>1011</v>
      </c>
      <c r="X19" s="25" t="s">
        <v>1012</v>
      </c>
      <c r="Y19" s="25" t="s">
        <v>1013</v>
      </c>
      <c r="Z19" s="25" t="s">
        <v>1014</v>
      </c>
      <c r="AA19" s="25" t="s">
        <v>1015</v>
      </c>
      <c r="AB19" s="25" t="s">
        <v>1016</v>
      </c>
      <c r="AC19" s="81" t="s">
        <v>1645</v>
      </c>
      <c r="AD19" s="81" t="s">
        <v>1646</v>
      </c>
      <c r="AE19" s="81" t="s">
        <v>1647</v>
      </c>
      <c r="AF19" s="81" t="s">
        <v>1648</v>
      </c>
      <c r="AG19" s="81" t="s">
        <v>1649</v>
      </c>
      <c r="AH19" s="81" t="s">
        <v>1650</v>
      </c>
      <c r="AI19" s="81" t="s">
        <v>1775</v>
      </c>
      <c r="AJ19" s="81" t="s">
        <v>1776</v>
      </c>
      <c r="AK19" s="81" t="s">
        <v>1777</v>
      </c>
      <c r="AL19" s="81" t="s">
        <v>1778</v>
      </c>
      <c r="AM19" s="81" t="s">
        <v>1779</v>
      </c>
      <c r="AN19" s="81" t="s">
        <v>1780</v>
      </c>
      <c r="AO19" s="25" t="s">
        <v>1017</v>
      </c>
      <c r="AP19" s="25" t="s">
        <v>1018</v>
      </c>
      <c r="AQ19" s="25" t="s">
        <v>1019</v>
      </c>
      <c r="AR19" s="25" t="s">
        <v>1020</v>
      </c>
      <c r="AS19" s="25" t="s">
        <v>1021</v>
      </c>
      <c r="AT19" s="25" t="s">
        <v>1022</v>
      </c>
      <c r="AU19" s="25" t="s">
        <v>1023</v>
      </c>
      <c r="AV19" s="25" t="s">
        <v>1024</v>
      </c>
      <c r="AW19" s="25" t="s">
        <v>1025</v>
      </c>
      <c r="AX19" s="25" t="s">
        <v>1026</v>
      </c>
      <c r="AY19" s="25" t="s">
        <v>1027</v>
      </c>
      <c r="AZ19" s="25" t="s">
        <v>1028</v>
      </c>
      <c r="BA19" s="25" t="s">
        <v>1029</v>
      </c>
      <c r="BB19" s="25" t="s">
        <v>1030</v>
      </c>
      <c r="BC19" s="25" t="s">
        <v>1031</v>
      </c>
      <c r="BD19" s="25" t="s">
        <v>1032</v>
      </c>
      <c r="BE19" s="25" t="s">
        <v>1033</v>
      </c>
      <c r="BF19" s="25" t="s">
        <v>1034</v>
      </c>
      <c r="BG19" s="25" t="s">
        <v>1035</v>
      </c>
      <c r="BH19" s="25" t="s">
        <v>1036</v>
      </c>
      <c r="BI19" s="25" t="s">
        <v>1037</v>
      </c>
      <c r="BJ19" s="25" t="s">
        <v>1038</v>
      </c>
      <c r="BK19" s="25" t="s">
        <v>1039</v>
      </c>
      <c r="BL19" s="25" t="s">
        <v>1040</v>
      </c>
      <c r="BM19" s="25" t="s">
        <v>1651</v>
      </c>
      <c r="BN19" s="25" t="s">
        <v>1652</v>
      </c>
      <c r="BO19" s="25" t="s">
        <v>1653</v>
      </c>
      <c r="BP19" s="25" t="s">
        <v>1654</v>
      </c>
      <c r="BQ19" s="25" t="s">
        <v>1655</v>
      </c>
      <c r="BR19" s="25" t="s">
        <v>1656</v>
      </c>
      <c r="BS19" s="25" t="s">
        <v>1657</v>
      </c>
      <c r="BT19" s="25" t="s">
        <v>1658</v>
      </c>
      <c r="BU19" s="25" t="s">
        <v>1659</v>
      </c>
      <c r="BV19" s="25" t="s">
        <v>1660</v>
      </c>
      <c r="BW19" s="25" t="s">
        <v>1661</v>
      </c>
      <c r="BX19" s="25" t="s">
        <v>1662</v>
      </c>
      <c r="BY19" s="25" t="s">
        <v>1663</v>
      </c>
      <c r="BZ19" s="25" t="s">
        <v>1664</v>
      </c>
      <c r="CA19" s="25" t="s">
        <v>1665</v>
      </c>
      <c r="CB19" s="25" t="s">
        <v>1666</v>
      </c>
      <c r="CC19" s="25" t="s">
        <v>1667</v>
      </c>
      <c r="CD19" s="25" t="s">
        <v>1668</v>
      </c>
      <c r="CE19" s="25" t="s">
        <v>1669</v>
      </c>
      <c r="CF19" s="25" t="s">
        <v>1670</v>
      </c>
      <c r="CG19" s="25" t="s">
        <v>1671</v>
      </c>
      <c r="CH19" s="25" t="s">
        <v>1672</v>
      </c>
      <c r="CI19" s="25" t="s">
        <v>1673</v>
      </c>
      <c r="CJ19" s="25" t="s">
        <v>1674</v>
      </c>
      <c r="CK19" s="25" t="s">
        <v>1675</v>
      </c>
      <c r="CL19" s="25" t="s">
        <v>1676</v>
      </c>
      <c r="CM19" s="25" t="s">
        <v>1677</v>
      </c>
      <c r="CN19" s="25" t="s">
        <v>1678</v>
      </c>
      <c r="CO19" s="25" t="s">
        <v>1679</v>
      </c>
      <c r="CP19" s="25" t="s">
        <v>1680</v>
      </c>
      <c r="CQ19" s="25" t="s">
        <v>1681</v>
      </c>
      <c r="CR19" s="25" t="s">
        <v>1682</v>
      </c>
      <c r="CS19" s="25" t="s">
        <v>1683</v>
      </c>
      <c r="CT19" s="25" t="s">
        <v>1684</v>
      </c>
      <c r="CU19" s="25" t="s">
        <v>1685</v>
      </c>
      <c r="CV19" s="25" t="s">
        <v>1686</v>
      </c>
      <c r="CW19" s="25" t="s">
        <v>1687</v>
      </c>
      <c r="CX19" s="25" t="s">
        <v>1688</v>
      </c>
      <c r="CY19" s="25" t="s">
        <v>1689</v>
      </c>
      <c r="CZ19" s="25" t="s">
        <v>1690</v>
      </c>
      <c r="DA19" s="25" t="s">
        <v>1691</v>
      </c>
      <c r="DB19" s="25" t="s">
        <v>1692</v>
      </c>
      <c r="DC19" s="25" t="s">
        <v>1693</v>
      </c>
      <c r="DD19" s="25" t="s">
        <v>1694</v>
      </c>
      <c r="DE19" s="25" t="s">
        <v>1695</v>
      </c>
      <c r="DF19" s="25" t="s">
        <v>1696</v>
      </c>
      <c r="DG19" s="25" t="s">
        <v>1697</v>
      </c>
      <c r="DH19" s="25" t="s">
        <v>1698</v>
      </c>
      <c r="DI19" s="25" t="s">
        <v>1041</v>
      </c>
      <c r="DJ19" s="25" t="s">
        <v>1042</v>
      </c>
      <c r="DK19" s="25" t="s">
        <v>1043</v>
      </c>
      <c r="DL19" s="25" t="s">
        <v>1044</v>
      </c>
      <c r="DM19" s="25" t="s">
        <v>1045</v>
      </c>
      <c r="DN19" s="25" t="s">
        <v>1046</v>
      </c>
      <c r="DO19" s="25" t="s">
        <v>1699</v>
      </c>
      <c r="DP19" s="25" t="s">
        <v>1700</v>
      </c>
      <c r="DQ19" s="25" t="s">
        <v>1701</v>
      </c>
      <c r="DR19" s="25" t="s">
        <v>1702</v>
      </c>
      <c r="DS19" s="25" t="s">
        <v>1703</v>
      </c>
      <c r="DT19" s="25" t="s">
        <v>1704</v>
      </c>
      <c r="DU19" s="25" t="s">
        <v>1705</v>
      </c>
      <c r="DV19" s="25" t="s">
        <v>1706</v>
      </c>
      <c r="DW19" s="25" t="s">
        <v>1707</v>
      </c>
      <c r="DX19" s="25" t="s">
        <v>1708</v>
      </c>
      <c r="DY19" s="25" t="s">
        <v>1709</v>
      </c>
      <c r="DZ19" s="25" t="s">
        <v>1710</v>
      </c>
      <c r="EA19" s="81" t="s">
        <v>909</v>
      </c>
      <c r="EB19" s="25" t="s">
        <v>916</v>
      </c>
      <c r="EC19" s="25" t="s">
        <v>917</v>
      </c>
      <c r="ED19" s="25" t="s">
        <v>918</v>
      </c>
      <c r="EE19" s="25" t="s">
        <v>919</v>
      </c>
      <c r="EF19" s="25" t="s">
        <v>920</v>
      </c>
      <c r="EG19" s="81" t="s">
        <v>1711</v>
      </c>
      <c r="EH19" s="81" t="s">
        <v>1712</v>
      </c>
      <c r="EI19" s="81" t="s">
        <v>1713</v>
      </c>
      <c r="EJ19" s="81" t="s">
        <v>1714</v>
      </c>
      <c r="EK19" s="81" t="s">
        <v>1715</v>
      </c>
      <c r="EL19" s="81" t="s">
        <v>1716</v>
      </c>
      <c r="EM19" s="25" t="s">
        <v>921</v>
      </c>
      <c r="EN19" s="25" t="s">
        <v>923</v>
      </c>
      <c r="EO19" s="25" t="s">
        <v>1720</v>
      </c>
      <c r="EP19" s="25" t="s">
        <v>1733</v>
      </c>
      <c r="EQ19" s="25" t="s">
        <v>1721</v>
      </c>
      <c r="ER19" s="25" t="s">
        <v>1734</v>
      </c>
      <c r="ES19" s="25" t="s">
        <v>1722</v>
      </c>
      <c r="ET19" s="25" t="s">
        <v>1723</v>
      </c>
      <c r="EU19" s="25" t="s">
        <v>1724</v>
      </c>
      <c r="EV19" s="25" t="s">
        <v>1725</v>
      </c>
      <c r="EW19" s="25" t="s">
        <v>1726</v>
      </c>
      <c r="EX19" s="25" t="s">
        <v>1727</v>
      </c>
      <c r="EY19" s="25" t="s">
        <v>1728</v>
      </c>
      <c r="EZ19" s="25" t="s">
        <v>1729</v>
      </c>
      <c r="FA19" s="25" t="s">
        <v>1730</v>
      </c>
      <c r="FB19" s="25" t="s">
        <v>1731</v>
      </c>
      <c r="FC19" s="25" t="s">
        <v>1732</v>
      </c>
      <c r="FD19" s="25" t="s">
        <v>1735</v>
      </c>
      <c r="FE19" s="25" t="s">
        <v>1736</v>
      </c>
      <c r="FF19" s="25" t="s">
        <v>1737</v>
      </c>
      <c r="FG19" s="25" t="s">
        <v>1738</v>
      </c>
      <c r="FH19" s="25" t="s">
        <v>1739</v>
      </c>
      <c r="FI19" s="25" t="s">
        <v>1740</v>
      </c>
      <c r="FJ19" s="25" t="s">
        <v>1741</v>
      </c>
      <c r="FK19" s="25" t="s">
        <v>1742</v>
      </c>
      <c r="FL19" s="25" t="s">
        <v>1743</v>
      </c>
      <c r="FM19" s="81" t="s">
        <v>1744</v>
      </c>
      <c r="FN19" s="81" t="s">
        <v>1745</v>
      </c>
      <c r="FO19" s="81" t="s">
        <v>1746</v>
      </c>
      <c r="FP19" s="81" t="s">
        <v>1747</v>
      </c>
      <c r="FQ19" s="81" t="s">
        <v>1748</v>
      </c>
      <c r="FR19" s="81" t="s">
        <v>1749</v>
      </c>
      <c r="FS19" s="81" t="s">
        <v>1750</v>
      </c>
      <c r="FT19" s="81" t="s">
        <v>1751</v>
      </c>
      <c r="FU19" s="81" t="s">
        <v>1752</v>
      </c>
      <c r="FV19" s="81" t="s">
        <v>1753</v>
      </c>
      <c r="FW19" s="81" t="s">
        <v>1754</v>
      </c>
      <c r="FX19" s="81" t="s">
        <v>1755</v>
      </c>
      <c r="FY19" s="81" t="s">
        <v>1756</v>
      </c>
      <c r="FZ19" s="81" t="s">
        <v>1757</v>
      </c>
      <c r="GA19" s="81" t="s">
        <v>1758</v>
      </c>
      <c r="GB19" s="81" t="s">
        <v>1759</v>
      </c>
      <c r="GC19" s="81" t="s">
        <v>1760</v>
      </c>
      <c r="GD19" s="81" t="s">
        <v>1761</v>
      </c>
      <c r="GE19" s="81" t="s">
        <v>1762</v>
      </c>
      <c r="GF19" s="81" t="s">
        <v>1763</v>
      </c>
      <c r="GG19" s="81" t="s">
        <v>948</v>
      </c>
      <c r="GH19" s="81" t="s">
        <v>949</v>
      </c>
      <c r="GI19" s="81" t="s">
        <v>950</v>
      </c>
      <c r="GJ19" s="81" t="s">
        <v>951</v>
      </c>
      <c r="GK19" s="81" t="s">
        <v>952</v>
      </c>
      <c r="GL19" s="81" t="s">
        <v>953</v>
      </c>
      <c r="GM19" s="81" t="s">
        <v>954</v>
      </c>
      <c r="GN19" s="81" t="s">
        <v>955</v>
      </c>
      <c r="GO19" s="81" t="s">
        <v>922</v>
      </c>
      <c r="GP19" s="81" t="s">
        <v>924</v>
      </c>
      <c r="GQ19" s="81" t="s">
        <v>1764</v>
      </c>
      <c r="GR19" s="81" t="s">
        <v>1765</v>
      </c>
      <c r="GS19" s="81" t="s">
        <v>1772</v>
      </c>
      <c r="GT19" s="81" t="s">
        <v>1773</v>
      </c>
      <c r="GU19" s="81" t="s">
        <v>1768</v>
      </c>
      <c r="GV19" s="81" t="s">
        <v>1769</v>
      </c>
      <c r="GW19" s="81" t="s">
        <v>1766</v>
      </c>
      <c r="GX19" s="81" t="s">
        <v>1767</v>
      </c>
      <c r="GY19" s="81" t="s">
        <v>1770</v>
      </c>
      <c r="GZ19" s="81" t="s">
        <v>1771</v>
      </c>
      <c r="HA19" s="25" t="s">
        <v>1532</v>
      </c>
      <c r="HB19" s="81" t="s">
        <v>1774</v>
      </c>
      <c r="HC19" s="166" t="s">
        <v>1818</v>
      </c>
      <c r="HD19" s="166" t="s">
        <v>1819</v>
      </c>
      <c r="HE19" s="166" t="s">
        <v>1820</v>
      </c>
      <c r="HF19" s="166" t="s">
        <v>1821</v>
      </c>
      <c r="HG19" s="166" t="s">
        <v>1822</v>
      </c>
      <c r="HH19" s="166" t="s">
        <v>1823</v>
      </c>
      <c r="HI19" s="166" t="s">
        <v>1824</v>
      </c>
      <c r="HJ19" s="166" t="s">
        <v>1825</v>
      </c>
      <c r="HK19" s="166" t="s">
        <v>1826</v>
      </c>
      <c r="HL19" s="166" t="s">
        <v>1827</v>
      </c>
      <c r="HM19" s="166" t="s">
        <v>1828</v>
      </c>
      <c r="HN19" s="166" t="s">
        <v>1829</v>
      </c>
      <c r="HO19" s="166" t="s">
        <v>1830</v>
      </c>
      <c r="HP19" s="166" t="s">
        <v>1831</v>
      </c>
      <c r="HQ19" s="166" t="s">
        <v>1832</v>
      </c>
      <c r="HR19" s="166" t="s">
        <v>1833</v>
      </c>
      <c r="HS19" s="166" t="s">
        <v>1834</v>
      </c>
      <c r="HT19" s="166" t="s">
        <v>1835</v>
      </c>
      <c r="HU19" s="166" t="s">
        <v>1836</v>
      </c>
      <c r="HV19" s="166" t="s">
        <v>1837</v>
      </c>
      <c r="HW19" s="166" t="s">
        <v>1838</v>
      </c>
      <c r="HX19" s="166" t="s">
        <v>1839</v>
      </c>
      <c r="HY19" s="166" t="s">
        <v>1840</v>
      </c>
      <c r="HZ19" s="166" t="s">
        <v>1841</v>
      </c>
      <c r="IA19" s="166" t="s">
        <v>1842</v>
      </c>
      <c r="IB19" s="166" t="s">
        <v>1843</v>
      </c>
      <c r="IC19" s="166" t="s">
        <v>1844</v>
      </c>
      <c r="ID19" s="166" t="s">
        <v>1845</v>
      </c>
      <c r="IE19" s="166" t="s">
        <v>1846</v>
      </c>
      <c r="IF19" s="166" t="s">
        <v>1847</v>
      </c>
      <c r="IG19" s="166" t="s">
        <v>1848</v>
      </c>
      <c r="IH19" s="166" t="s">
        <v>1849</v>
      </c>
      <c r="II19" s="166" t="s">
        <v>1850</v>
      </c>
      <c r="IJ19" s="166" t="s">
        <v>1851</v>
      </c>
      <c r="IK19" s="166" t="s">
        <v>1852</v>
      </c>
      <c r="IL19" s="166" t="s">
        <v>1853</v>
      </c>
      <c r="IM19" s="166" t="s">
        <v>1854</v>
      </c>
      <c r="IN19" s="166" t="s">
        <v>1855</v>
      </c>
      <c r="IO19" s="166" t="s">
        <v>1856</v>
      </c>
      <c r="IP19" s="166" t="s">
        <v>1857</v>
      </c>
      <c r="IQ19" s="166" t="s">
        <v>1858</v>
      </c>
      <c r="IR19" s="166" t="s">
        <v>1859</v>
      </c>
      <c r="IS19" s="166" t="s">
        <v>1860</v>
      </c>
      <c r="IT19" s="166" t="s">
        <v>1861</v>
      </c>
      <c r="IU19" s="166" t="s">
        <v>1862</v>
      </c>
      <c r="IV19" s="166" t="s">
        <v>1863</v>
      </c>
      <c r="IW19" s="166" t="s">
        <v>1864</v>
      </c>
      <c r="IX19" s="166" t="s">
        <v>1865</v>
      </c>
      <c r="IY19" s="166" t="s">
        <v>1866</v>
      </c>
      <c r="IZ19" s="166" t="s">
        <v>1867</v>
      </c>
      <c r="JA19" s="166" t="s">
        <v>1868</v>
      </c>
      <c r="JB19" s="166" t="s">
        <v>1869</v>
      </c>
      <c r="JC19" s="166" t="s">
        <v>1870</v>
      </c>
      <c r="JD19" s="166" t="s">
        <v>1871</v>
      </c>
      <c r="JE19" s="166" t="s">
        <v>1872</v>
      </c>
      <c r="JF19" s="166" t="s">
        <v>1873</v>
      </c>
      <c r="JG19" s="166" t="s">
        <v>1874</v>
      </c>
      <c r="JH19" s="166" t="s">
        <v>1875</v>
      </c>
      <c r="JI19" s="166" t="s">
        <v>1876</v>
      </c>
      <c r="JJ19" s="166" t="s">
        <v>1877</v>
      </c>
      <c r="JK19" s="81" t="s">
        <v>1878</v>
      </c>
      <c r="JL19" s="81" t="s">
        <v>1879</v>
      </c>
      <c r="JM19" s="81" t="s">
        <v>1880</v>
      </c>
      <c r="JN19" s="81" t="s">
        <v>1881</v>
      </c>
      <c r="JO19" s="81" t="s">
        <v>1882</v>
      </c>
      <c r="JP19" s="81" t="s">
        <v>1883</v>
      </c>
      <c r="JQ19" s="81" t="s">
        <v>1884</v>
      </c>
      <c r="JR19" s="81" t="s">
        <v>1885</v>
      </c>
      <c r="JS19" s="81" t="s">
        <v>1886</v>
      </c>
      <c r="JT19" s="81" t="s">
        <v>1887</v>
      </c>
      <c r="JU19" s="81" t="s">
        <v>1888</v>
      </c>
      <c r="JV19" s="81" t="s">
        <v>1889</v>
      </c>
      <c r="JW19" s="81" t="s">
        <v>1890</v>
      </c>
      <c r="JX19" s="81" t="s">
        <v>1891</v>
      </c>
      <c r="JY19" s="81" t="s">
        <v>1892</v>
      </c>
      <c r="JZ19" s="81" t="s">
        <v>1893</v>
      </c>
      <c r="KA19" s="81" t="s">
        <v>1894</v>
      </c>
      <c r="KB19" s="81" t="s">
        <v>1895</v>
      </c>
      <c r="KC19" s="81" t="s">
        <v>1896</v>
      </c>
      <c r="KD19" s="81" t="s">
        <v>1897</v>
      </c>
      <c r="KE19" s="81" t="s">
        <v>1898</v>
      </c>
      <c r="KF19" s="81" t="s">
        <v>1899</v>
      </c>
      <c r="KG19" s="81" t="s">
        <v>1900</v>
      </c>
      <c r="KH19" s="81" t="s">
        <v>1901</v>
      </c>
      <c r="KI19" s="81" t="s">
        <v>1902</v>
      </c>
      <c r="KJ19" s="81" t="s">
        <v>1903</v>
      </c>
      <c r="KK19" s="81" t="s">
        <v>1904</v>
      </c>
      <c r="KL19" s="81" t="s">
        <v>1905</v>
      </c>
      <c r="KM19" s="81" t="s">
        <v>1906</v>
      </c>
      <c r="KN19" s="81" t="s">
        <v>1907</v>
      </c>
      <c r="KO19" s="81" t="s">
        <v>1908</v>
      </c>
      <c r="KP19" s="81" t="s">
        <v>1909</v>
      </c>
      <c r="KQ19" s="81" t="s">
        <v>1910</v>
      </c>
      <c r="KR19" s="81" t="s">
        <v>1911</v>
      </c>
      <c r="KS19" s="81" t="s">
        <v>1912</v>
      </c>
      <c r="KT19" s="81" t="s">
        <v>1913</v>
      </c>
      <c r="KU19" s="81" t="s">
        <v>1914</v>
      </c>
      <c r="KV19" s="81" t="s">
        <v>1915</v>
      </c>
      <c r="KW19" s="81" t="s">
        <v>1916</v>
      </c>
      <c r="KX19" s="81" t="s">
        <v>1917</v>
      </c>
      <c r="KY19" s="81" t="s">
        <v>1918</v>
      </c>
      <c r="KZ19" s="81" t="s">
        <v>1919</v>
      </c>
      <c r="LA19" s="81" t="s">
        <v>1920</v>
      </c>
      <c r="LB19" s="81" t="s">
        <v>1921</v>
      </c>
      <c r="LC19" s="81" t="s">
        <v>1922</v>
      </c>
      <c r="LD19" s="81" t="s">
        <v>1923</v>
      </c>
      <c r="LE19" s="81" t="s">
        <v>1924</v>
      </c>
      <c r="LF19" s="81" t="s">
        <v>1925</v>
      </c>
      <c r="LG19" s="81" t="s">
        <v>1926</v>
      </c>
      <c r="LH19" s="81" t="s">
        <v>1927</v>
      </c>
      <c r="LI19" s="81" t="s">
        <v>1928</v>
      </c>
      <c r="LJ19" s="81" t="s">
        <v>1929</v>
      </c>
      <c r="LK19" s="81" t="s">
        <v>1930</v>
      </c>
      <c r="LL19" s="81" t="s">
        <v>1931</v>
      </c>
      <c r="LM19" s="81" t="s">
        <v>1932</v>
      </c>
      <c r="LN19" s="81" t="s">
        <v>1933</v>
      </c>
      <c r="LO19" s="81" t="s">
        <v>1934</v>
      </c>
      <c r="LP19" s="81" t="s">
        <v>1935</v>
      </c>
      <c r="LQ19" s="81" t="s">
        <v>1936</v>
      </c>
      <c r="LR19" s="81" t="s">
        <v>1937</v>
      </c>
      <c r="LS19" s="166" t="s">
        <v>1938</v>
      </c>
      <c r="LT19" s="166" t="s">
        <v>1939</v>
      </c>
      <c r="LU19" s="166" t="s">
        <v>1940</v>
      </c>
      <c r="LV19" s="166" t="s">
        <v>1941</v>
      </c>
      <c r="LW19" s="166" t="s">
        <v>1942</v>
      </c>
      <c r="LX19" s="166" t="s">
        <v>1943</v>
      </c>
      <c r="LY19" s="166" t="s">
        <v>1944</v>
      </c>
      <c r="LZ19" s="166" t="s">
        <v>1945</v>
      </c>
      <c r="MA19" s="166" t="s">
        <v>1946</v>
      </c>
      <c r="MB19" s="166" t="s">
        <v>1947</v>
      </c>
      <c r="MC19" s="166" t="s">
        <v>1948</v>
      </c>
      <c r="MD19" s="166" t="s">
        <v>1949</v>
      </c>
      <c r="ME19" s="166" t="s">
        <v>1950</v>
      </c>
      <c r="MF19" s="166" t="s">
        <v>1951</v>
      </c>
      <c r="MG19" s="166" t="s">
        <v>1952</v>
      </c>
      <c r="MH19" s="166" t="s">
        <v>1953</v>
      </c>
      <c r="MI19" s="166" t="s">
        <v>1954</v>
      </c>
      <c r="MJ19" s="166" t="s">
        <v>1955</v>
      </c>
      <c r="MK19" s="166" t="s">
        <v>1956</v>
      </c>
      <c r="ML19" s="166" t="s">
        <v>1957</v>
      </c>
      <c r="MM19" s="166" t="s">
        <v>1958</v>
      </c>
      <c r="MN19" s="166" t="s">
        <v>1959</v>
      </c>
      <c r="MO19" s="166" t="s">
        <v>1960</v>
      </c>
      <c r="MP19" s="166" t="s">
        <v>1961</v>
      </c>
      <c r="MQ19" s="166" t="s">
        <v>1962</v>
      </c>
      <c r="MR19" s="166" t="s">
        <v>1963</v>
      </c>
      <c r="MS19" s="166" t="s">
        <v>1964</v>
      </c>
      <c r="MT19" s="166" t="s">
        <v>1965</v>
      </c>
      <c r="MU19" s="166" t="s">
        <v>1966</v>
      </c>
      <c r="MV19" s="166" t="s">
        <v>1967</v>
      </c>
      <c r="MW19" s="166" t="s">
        <v>1968</v>
      </c>
      <c r="MX19" s="166" t="s">
        <v>1969</v>
      </c>
      <c r="MY19" s="166" t="s">
        <v>1970</v>
      </c>
      <c r="MZ19" s="166" t="s">
        <v>1971</v>
      </c>
      <c r="NA19" s="166" t="s">
        <v>1972</v>
      </c>
      <c r="NB19" s="166" t="s">
        <v>1973</v>
      </c>
      <c r="NC19" s="166" t="s">
        <v>1974</v>
      </c>
      <c r="ND19" s="166" t="s">
        <v>1975</v>
      </c>
      <c r="NE19" s="166" t="s">
        <v>1976</v>
      </c>
      <c r="NF19" s="166" t="s">
        <v>1977</v>
      </c>
      <c r="NG19" s="166" t="s">
        <v>1978</v>
      </c>
      <c r="NH19" s="166" t="s">
        <v>1979</v>
      </c>
      <c r="NI19" s="166" t="s">
        <v>1980</v>
      </c>
      <c r="NJ19" s="166" t="s">
        <v>1981</v>
      </c>
      <c r="NK19" s="166" t="s">
        <v>1982</v>
      </c>
      <c r="NL19" s="166" t="s">
        <v>1983</v>
      </c>
      <c r="NM19" s="166" t="s">
        <v>1984</v>
      </c>
      <c r="NN19" s="166" t="s">
        <v>1985</v>
      </c>
      <c r="NO19" s="166" t="s">
        <v>1986</v>
      </c>
      <c r="NP19" s="166" t="s">
        <v>1987</v>
      </c>
      <c r="NQ19" s="166" t="s">
        <v>1988</v>
      </c>
      <c r="NR19" s="166" t="s">
        <v>1989</v>
      </c>
      <c r="NS19" s="166" t="s">
        <v>1990</v>
      </c>
      <c r="NT19" s="166" t="s">
        <v>1991</v>
      </c>
      <c r="NU19" s="166" t="s">
        <v>1992</v>
      </c>
      <c r="NV19" s="166" t="s">
        <v>1993</v>
      </c>
      <c r="NW19" s="166" t="s">
        <v>1994</v>
      </c>
      <c r="NX19" s="166" t="s">
        <v>1995</v>
      </c>
      <c r="NY19" s="166" t="s">
        <v>1996</v>
      </c>
      <c r="NZ19" s="166" t="s">
        <v>1997</v>
      </c>
      <c r="OA19" s="25" t="s">
        <v>1717</v>
      </c>
      <c r="OB19" s="25" t="s">
        <v>1718</v>
      </c>
      <c r="OC19" s="25" t="s">
        <v>1719</v>
      </c>
      <c r="OD19" s="81" t="s">
        <v>1813</v>
      </c>
      <c r="OE19" s="81" t="s">
        <v>1814</v>
      </c>
      <c r="OF19" s="25" t="s">
        <v>2019</v>
      </c>
      <c r="OG19" s="25" t="s">
        <v>2020</v>
      </c>
      <c r="OH19" s="25" t="s">
        <v>2021</v>
      </c>
      <c r="OI19" s="25" t="s">
        <v>2022</v>
      </c>
      <c r="OJ19" s="25" t="s">
        <v>2023</v>
      </c>
      <c r="OK19" s="25" t="s">
        <v>2024</v>
      </c>
      <c r="OL19" s="25" t="s">
        <v>2025</v>
      </c>
      <c r="OM19" s="25" t="s">
        <v>2026</v>
      </c>
      <c r="ON19" s="25" t="s">
        <v>2027</v>
      </c>
      <c r="OO19" s="25" t="s">
        <v>2028</v>
      </c>
      <c r="OP19" s="25" t="s">
        <v>2029</v>
      </c>
      <c r="OQ19" s="25" t="s">
        <v>2030</v>
      </c>
      <c r="OR19" s="25" t="s">
        <v>2244</v>
      </c>
      <c r="OS19" s="81" t="s">
        <v>2329</v>
      </c>
      <c r="OT19" s="25" t="s">
        <v>2331</v>
      </c>
      <c r="OU19" s="81" t="s">
        <v>2345</v>
      </c>
      <c r="OV19" s="81" t="s">
        <v>2346</v>
      </c>
    </row>
    <row r="20" spans="1:412" ht="12.75" customHeight="1" x14ac:dyDescent="0.25">
      <c r="A20" s="25">
        <v>1</v>
      </c>
      <c r="B20" s="25" t="b">
        <f>NOT(ISBLANK(SEBBusinessDataTable[[#This Row],[SEBBusinessType]]))</f>
        <v>0</v>
      </c>
      <c r="C20" s="25"/>
      <c r="D20" s="81"/>
      <c r="E20" s="81"/>
      <c r="F20" s="81"/>
      <c r="G20" s="25"/>
      <c r="H20" s="25"/>
      <c r="I20" s="25"/>
      <c r="J20" s="25">
        <f>COUNTIF(SEBBusinessDataTable[[#This Row],[SEBAssociatedFlagApp1]:[SEBAssociatedFlagApp6]],"Yes")</f>
        <v>0</v>
      </c>
      <c r="K20" s="25"/>
      <c r="L20" s="81"/>
      <c r="M20" s="25"/>
      <c r="N20" s="25"/>
      <c r="O20" s="25"/>
      <c r="P20" s="25"/>
      <c r="Q20" s="320"/>
      <c r="R20" s="320"/>
      <c r="S20" s="320"/>
      <c r="T20" s="320"/>
      <c r="U20" s="320"/>
      <c r="V20" s="320"/>
      <c r="W20" s="320"/>
      <c r="X20" s="320"/>
      <c r="Y20" s="320"/>
      <c r="Z20" s="320"/>
      <c r="AA20" s="320"/>
      <c r="AB20" s="320"/>
      <c r="AC20" s="320"/>
      <c r="AD20" s="320"/>
      <c r="AE20" s="320"/>
      <c r="AF20" s="320"/>
      <c r="AG20" s="320"/>
      <c r="AH20" s="320"/>
      <c r="AI20" s="320"/>
      <c r="AJ20" s="320"/>
      <c r="AK20" s="320"/>
      <c r="AL20" s="320"/>
      <c r="AM20" s="320"/>
      <c r="AN20" s="320"/>
      <c r="AO20" s="320"/>
      <c r="AP20" s="320"/>
      <c r="AQ20" s="25"/>
      <c r="AR20" s="25"/>
      <c r="AS20" s="25"/>
      <c r="AT20" s="25"/>
      <c r="AU20" s="25"/>
      <c r="AV20" s="25"/>
      <c r="AW20" s="25"/>
      <c r="AX20" s="25"/>
      <c r="AY20" s="25"/>
      <c r="AZ20" s="25"/>
      <c r="BA20" s="320"/>
      <c r="BB20" s="320"/>
      <c r="BC20" s="25"/>
      <c r="BD20" s="25"/>
      <c r="BE20" s="25"/>
      <c r="BF20" s="25"/>
      <c r="BG20" s="25"/>
      <c r="BH20" s="25"/>
      <c r="BI20" s="25"/>
      <c r="BJ20" s="25"/>
      <c r="BK20" s="25"/>
      <c r="BL20" s="25"/>
      <c r="BM20" s="320"/>
      <c r="BN20" s="320"/>
      <c r="BO20" s="320"/>
      <c r="BP20" s="320"/>
      <c r="BQ20" s="320"/>
      <c r="BR20" s="320"/>
      <c r="BS20" s="320"/>
      <c r="BT20" s="320"/>
      <c r="BU20" s="320"/>
      <c r="BV20" s="320"/>
      <c r="BW20" s="320"/>
      <c r="BX20" s="320"/>
      <c r="BY20" s="320"/>
      <c r="BZ20" s="320"/>
      <c r="CA20" s="320"/>
      <c r="CB20" s="320"/>
      <c r="CC20" s="320"/>
      <c r="CD20" s="320"/>
      <c r="CE20" s="320"/>
      <c r="CF20" s="320"/>
      <c r="CG20" s="320"/>
      <c r="CH20" s="320"/>
      <c r="CI20" s="320"/>
      <c r="CJ20" s="320"/>
      <c r="CK20" s="320"/>
      <c r="CL20" s="320"/>
      <c r="CM20" s="320"/>
      <c r="CN20" s="320"/>
      <c r="CO20" s="320"/>
      <c r="CP20" s="320"/>
      <c r="CQ20" s="320"/>
      <c r="CR20" s="320"/>
      <c r="CS20" s="320"/>
      <c r="CT20" s="320"/>
      <c r="CU20" s="320"/>
      <c r="CV20" s="320"/>
      <c r="CW20" s="320"/>
      <c r="CX20" s="320"/>
      <c r="CY20" s="320"/>
      <c r="CZ20" s="320"/>
      <c r="DA20" s="320"/>
      <c r="DB20" s="320"/>
      <c r="DC20" s="320"/>
      <c r="DD20" s="320"/>
      <c r="DE20" s="320"/>
      <c r="DF20" s="320"/>
      <c r="DG20" s="320"/>
      <c r="DH20" s="320"/>
      <c r="DI20" s="320"/>
      <c r="DJ20" s="320"/>
      <c r="DK20" s="320"/>
      <c r="DL20" s="320"/>
      <c r="DM20" s="320"/>
      <c r="DN20" s="320"/>
      <c r="DO20" s="55"/>
      <c r="DP20" s="55"/>
      <c r="DQ20" s="55"/>
      <c r="DR20" s="55"/>
      <c r="DS20" s="55"/>
      <c r="DT20" s="55"/>
      <c r="DU20" s="55"/>
      <c r="DV20" s="55"/>
      <c r="DW20" s="55"/>
      <c r="DX20" s="55"/>
      <c r="DY20" s="55"/>
      <c r="DZ20" s="55"/>
      <c r="EA20" s="25"/>
      <c r="EB20" s="25"/>
      <c r="EC20" s="25"/>
      <c r="ED20" s="25"/>
      <c r="EE20" s="25"/>
      <c r="EF20" s="25"/>
      <c r="EG20" s="25"/>
      <c r="EH20" s="25"/>
      <c r="EI20" s="25"/>
      <c r="EJ20" s="25"/>
      <c r="EK20" s="25"/>
      <c r="EL20" s="25"/>
      <c r="EM20" s="320"/>
      <c r="EN20" s="320"/>
      <c r="EO20" s="320"/>
      <c r="EP20" s="320"/>
      <c r="EQ20" s="320"/>
      <c r="ER20" s="320"/>
      <c r="ES20" s="320"/>
      <c r="ET20" s="320"/>
      <c r="EU20" s="320"/>
      <c r="EV20" s="320"/>
      <c r="EW20" s="320"/>
      <c r="EX20" s="320"/>
      <c r="EY20" s="320"/>
      <c r="EZ20" s="25"/>
      <c r="FA20" s="320"/>
      <c r="FB20" s="320"/>
      <c r="FC20" s="320"/>
      <c r="FD20" s="320"/>
      <c r="FE20" s="320"/>
      <c r="FF20" s="320"/>
      <c r="FG20" s="320"/>
      <c r="FH20" s="320"/>
      <c r="FI20" s="320"/>
      <c r="FJ20" s="25"/>
      <c r="FK20" s="320"/>
      <c r="FL20" s="25"/>
      <c r="FM20" s="320"/>
      <c r="FN20" s="25"/>
      <c r="FO20" s="25"/>
      <c r="FP20" s="25"/>
      <c r="FQ20" s="320"/>
      <c r="FR20" s="320"/>
      <c r="FS20" s="320"/>
      <c r="FT20" s="320"/>
      <c r="FU20" s="320"/>
      <c r="FV20" s="320"/>
      <c r="FW20" s="320"/>
      <c r="FX20" s="320"/>
      <c r="FY20" s="25"/>
      <c r="FZ20" s="25"/>
      <c r="GA20" s="81"/>
      <c r="GB20" s="81"/>
      <c r="GC20" s="81"/>
      <c r="GD20" s="81"/>
      <c r="GE20" s="81"/>
      <c r="GF20" s="81"/>
      <c r="GG20" s="587"/>
      <c r="GH20" s="587"/>
      <c r="GI20" s="587"/>
      <c r="GJ20" s="587"/>
      <c r="GK20" s="587"/>
      <c r="GL20" s="587"/>
      <c r="GM20" s="587"/>
      <c r="GN20" s="587"/>
      <c r="GO20" s="81"/>
      <c r="GP20" s="81"/>
      <c r="GQ20" s="587"/>
      <c r="GR20" s="81"/>
      <c r="GS20" s="587"/>
      <c r="GT20" s="587"/>
      <c r="GU20" s="587"/>
      <c r="GV20" s="587"/>
      <c r="GW20" s="587"/>
      <c r="GX20" s="587"/>
      <c r="GY20" s="587"/>
      <c r="GZ20" s="587"/>
      <c r="HA20" s="25"/>
      <c r="HB20" s="25"/>
      <c r="HC20" s="55"/>
      <c r="HD20" s="55"/>
      <c r="HE20" s="55"/>
      <c r="HF20" s="55"/>
      <c r="HG20" s="55"/>
      <c r="HH20" s="55"/>
      <c r="HI20" s="55"/>
      <c r="HJ20" s="55"/>
      <c r="HK20" s="55"/>
      <c r="HL20" s="55"/>
      <c r="HM20" s="55"/>
      <c r="HN20" s="55"/>
      <c r="HO20" s="55"/>
      <c r="HP20" s="55"/>
      <c r="HQ20" s="55"/>
      <c r="HR20" s="55"/>
      <c r="HS20" s="55"/>
      <c r="HT20" s="55"/>
      <c r="HU20" s="55"/>
      <c r="HV20" s="55"/>
      <c r="HW20" s="55"/>
      <c r="HX20" s="55"/>
      <c r="HY20" s="55"/>
      <c r="HZ20" s="55"/>
      <c r="IA20" s="55"/>
      <c r="IB20" s="55"/>
      <c r="IC20" s="55"/>
      <c r="ID20" s="55"/>
      <c r="IE20" s="55"/>
      <c r="IF20" s="55"/>
      <c r="IG20" s="55"/>
      <c r="IH20" s="55"/>
      <c r="II20" s="55"/>
      <c r="IJ20" s="55"/>
      <c r="IK20" s="55"/>
      <c r="IL20" s="55"/>
      <c r="IM20" s="55"/>
      <c r="IN20" s="55"/>
      <c r="IO20" s="55"/>
      <c r="IP20" s="55"/>
      <c r="IQ20" s="55"/>
      <c r="IR20" s="55"/>
      <c r="IS20" s="55"/>
      <c r="IT20" s="55"/>
      <c r="IU20" s="55"/>
      <c r="IV20" s="55"/>
      <c r="IW20" s="55"/>
      <c r="IX20" s="55"/>
      <c r="IY20" s="55"/>
      <c r="IZ20" s="55"/>
      <c r="JA20" s="55"/>
      <c r="JB20" s="55"/>
      <c r="JC20" s="55"/>
      <c r="JD20" s="55"/>
      <c r="JE20" s="55"/>
      <c r="JF20" s="55"/>
      <c r="JG20" s="55"/>
      <c r="JH20" s="55"/>
      <c r="JI20" s="55"/>
      <c r="JJ20" s="55"/>
      <c r="JK20" s="25"/>
      <c r="JL20" s="320"/>
      <c r="JM20" s="25"/>
      <c r="JN20" s="25"/>
      <c r="JO20" s="25"/>
      <c r="JP20" s="25"/>
      <c r="JQ20" s="25"/>
      <c r="JR20" s="25"/>
      <c r="JS20" s="25"/>
      <c r="JT20" s="25"/>
      <c r="JU20" s="25"/>
      <c r="JV20" s="25"/>
      <c r="JW20" s="25"/>
      <c r="JX20" s="25"/>
      <c r="JY20" s="25"/>
      <c r="JZ20" s="25"/>
      <c r="KA20" s="25"/>
      <c r="KB20" s="25"/>
      <c r="KC20" s="25"/>
      <c r="KD20" s="25"/>
      <c r="KE20" s="25"/>
      <c r="KF20" s="25"/>
      <c r="KG20" s="25"/>
      <c r="KH20" s="25"/>
      <c r="KI20" s="25"/>
      <c r="KJ20" s="25"/>
      <c r="KK20" s="25"/>
      <c r="KL20" s="25"/>
      <c r="KM20" s="25"/>
      <c r="KN20" s="25"/>
      <c r="KO20" s="25"/>
      <c r="KP20" s="25"/>
      <c r="KQ20" s="25"/>
      <c r="KR20" s="25"/>
      <c r="KS20" s="25"/>
      <c r="KT20" s="25"/>
      <c r="KU20" s="25"/>
      <c r="KV20" s="25"/>
      <c r="KW20" s="25"/>
      <c r="KX20" s="25"/>
      <c r="KY20" s="25"/>
      <c r="KZ20" s="25"/>
      <c r="LA20" s="25"/>
      <c r="LB20" s="25"/>
      <c r="LC20" s="25"/>
      <c r="LD20" s="25"/>
      <c r="LE20" s="25"/>
      <c r="LF20" s="25"/>
      <c r="LG20" s="25"/>
      <c r="LH20" s="25"/>
      <c r="LI20" s="25"/>
      <c r="LJ20" s="25"/>
      <c r="LK20" s="25"/>
      <c r="LL20" s="25"/>
      <c r="LM20" s="25"/>
      <c r="LN20" s="25"/>
      <c r="LO20" s="25"/>
      <c r="LP20" s="25"/>
      <c r="LQ20" s="25"/>
      <c r="LR20" s="25"/>
      <c r="LS20" s="166"/>
      <c r="LT20" s="166"/>
      <c r="LU20" s="166"/>
      <c r="LV20" s="166"/>
      <c r="LW20" s="166"/>
      <c r="LX20" s="166"/>
      <c r="LY20" s="166"/>
      <c r="LZ20" s="166"/>
      <c r="MA20" s="166"/>
      <c r="MB20" s="166"/>
      <c r="MC20" s="166"/>
      <c r="MD20" s="166"/>
      <c r="ME20" s="166"/>
      <c r="MF20" s="166"/>
      <c r="MG20" s="166"/>
      <c r="MH20" s="166"/>
      <c r="MI20" s="166"/>
      <c r="MJ20" s="166"/>
      <c r="MK20" s="166"/>
      <c r="ML20" s="166"/>
      <c r="MM20" s="166"/>
      <c r="MN20" s="166"/>
      <c r="MO20" s="166"/>
      <c r="MP20" s="166"/>
      <c r="MQ20" s="166"/>
      <c r="MR20" s="166"/>
      <c r="MS20" s="166"/>
      <c r="MT20" s="166"/>
      <c r="MU20" s="166"/>
      <c r="MV20" s="166"/>
      <c r="MW20" s="166"/>
      <c r="MX20" s="166"/>
      <c r="MY20" s="166"/>
      <c r="MZ20" s="166"/>
      <c r="NA20" s="166"/>
      <c r="NB20" s="166"/>
      <c r="NC20" s="166"/>
      <c r="ND20" s="166"/>
      <c r="NE20" s="166"/>
      <c r="NF20" s="166"/>
      <c r="NG20" s="166"/>
      <c r="NH20" s="166"/>
      <c r="NI20" s="166"/>
      <c r="NJ20" s="166"/>
      <c r="NK20" s="166"/>
      <c r="NL20" s="166"/>
      <c r="NM20" s="166"/>
      <c r="NN20" s="166"/>
      <c r="NO20" s="166"/>
      <c r="NP20" s="166"/>
      <c r="NQ20" s="166"/>
      <c r="NR20" s="166"/>
      <c r="NS20" s="166"/>
      <c r="NT20" s="166"/>
      <c r="NU20" s="166"/>
      <c r="NV20" s="166"/>
      <c r="NW20" s="166"/>
      <c r="NX20" s="166"/>
      <c r="NY20" s="166"/>
      <c r="NZ20" s="166"/>
      <c r="OA20" s="320"/>
      <c r="OB20" s="320"/>
      <c r="OC20" s="25"/>
      <c r="OD20" s="81"/>
      <c r="OE20" s="25"/>
      <c r="OF20" s="25"/>
      <c r="OG20" s="25"/>
      <c r="OH20" s="25"/>
      <c r="OI20" s="25"/>
      <c r="OJ20" s="25"/>
      <c r="OK20" s="25"/>
      <c r="OL20" s="25"/>
      <c r="OM20" s="25"/>
      <c r="ON20" s="25"/>
      <c r="OO20" s="25"/>
      <c r="OP20" s="25"/>
      <c r="OQ20" s="25"/>
      <c r="OR2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0" s="81"/>
      <c r="OT20" s="25"/>
      <c r="OU20" s="81"/>
      <c r="OV20" s="81"/>
    </row>
    <row r="21" spans="1:412" ht="12.75" customHeight="1" x14ac:dyDescent="0.25">
      <c r="A21" s="25">
        <v>2</v>
      </c>
      <c r="B21" s="25" t="b">
        <f>NOT(ISBLANK(SEBBusinessDataTable[[#This Row],[SEBBusinessType]]))</f>
        <v>0</v>
      </c>
      <c r="C21" s="25"/>
      <c r="D21" s="25"/>
      <c r="E21" s="25"/>
      <c r="F21" s="25"/>
      <c r="G21" s="25"/>
      <c r="H21" s="25"/>
      <c r="I21" s="25"/>
      <c r="J21" s="25">
        <f>COUNTIF(SEBBusinessDataTable[[#This Row],[SEBAssociatedFlagApp1]:[SEBAssociatedFlagApp6]],"Yes")</f>
        <v>0</v>
      </c>
      <c r="K21" s="25"/>
      <c r="L21" s="81"/>
      <c r="M21" s="25"/>
      <c r="N21" s="25"/>
      <c r="O21" s="25"/>
      <c r="P21" s="25"/>
      <c r="Q21" s="320"/>
      <c r="R21" s="320"/>
      <c r="S21" s="320"/>
      <c r="T21" s="320"/>
      <c r="U21" s="320"/>
      <c r="V21" s="320"/>
      <c r="W21" s="320"/>
      <c r="X21" s="320"/>
      <c r="Y21" s="320"/>
      <c r="Z21" s="320"/>
      <c r="AA21" s="320"/>
      <c r="AB21" s="320"/>
      <c r="AC21" s="320"/>
      <c r="AD21" s="320"/>
      <c r="AE21" s="320"/>
      <c r="AF21" s="320"/>
      <c r="AG21" s="320"/>
      <c r="AH21" s="320"/>
      <c r="AI21" s="320"/>
      <c r="AJ21" s="320"/>
      <c r="AK21" s="320"/>
      <c r="AL21" s="320"/>
      <c r="AM21" s="320"/>
      <c r="AN21" s="320"/>
      <c r="AO21" s="320"/>
      <c r="AP21" s="320"/>
      <c r="AQ21" s="320"/>
      <c r="AR21" s="25"/>
      <c r="AS21" s="25"/>
      <c r="AT21" s="25"/>
      <c r="AU21" s="25"/>
      <c r="AV21" s="25"/>
      <c r="AW21" s="25"/>
      <c r="AX21" s="25"/>
      <c r="AY21" s="25"/>
      <c r="AZ21" s="25"/>
      <c r="BA21" s="320"/>
      <c r="BB21" s="320"/>
      <c r="BC21" s="25"/>
      <c r="BD21" s="25"/>
      <c r="BE21" s="25"/>
      <c r="BF21" s="25"/>
      <c r="BG21" s="25"/>
      <c r="BH21" s="25"/>
      <c r="BI21" s="25"/>
      <c r="BJ21" s="25"/>
      <c r="BK21" s="25"/>
      <c r="BL21" s="25"/>
      <c r="BM21" s="320"/>
      <c r="BN21" s="320"/>
      <c r="BO21" s="320"/>
      <c r="BP21" s="320"/>
      <c r="BQ21" s="320"/>
      <c r="BR21" s="320"/>
      <c r="BS21" s="320"/>
      <c r="BT21" s="320"/>
      <c r="BU21" s="320"/>
      <c r="BV21" s="320"/>
      <c r="BW21" s="320"/>
      <c r="BX21" s="320"/>
      <c r="BY21" s="320"/>
      <c r="BZ21" s="320"/>
      <c r="CA21" s="320"/>
      <c r="CB21" s="320"/>
      <c r="CC21" s="320"/>
      <c r="CD21" s="320"/>
      <c r="CE21" s="320"/>
      <c r="CF21" s="320"/>
      <c r="CG21" s="320"/>
      <c r="CH21" s="320"/>
      <c r="CI21" s="320"/>
      <c r="CJ21" s="320"/>
      <c r="CK21" s="320"/>
      <c r="CL21" s="320"/>
      <c r="CM21" s="320"/>
      <c r="CN21" s="320"/>
      <c r="CO21" s="320"/>
      <c r="CP21" s="320"/>
      <c r="CQ21" s="320"/>
      <c r="CR21" s="320"/>
      <c r="CS21" s="320"/>
      <c r="CT21" s="320"/>
      <c r="CU21" s="320"/>
      <c r="CV21" s="320"/>
      <c r="CW21" s="320"/>
      <c r="CX21" s="320"/>
      <c r="CY21" s="320"/>
      <c r="CZ21" s="320"/>
      <c r="DA21" s="320"/>
      <c r="DB21" s="320"/>
      <c r="DC21" s="320"/>
      <c r="DD21" s="320"/>
      <c r="DE21" s="320"/>
      <c r="DF21" s="320"/>
      <c r="DG21" s="320"/>
      <c r="DH21" s="320"/>
      <c r="DI21" s="320"/>
      <c r="DJ21" s="320"/>
      <c r="DK21" s="320"/>
      <c r="DL21" s="320"/>
      <c r="DM21" s="320"/>
      <c r="DN21" s="320"/>
      <c r="DO21" s="55"/>
      <c r="DP21" s="55"/>
      <c r="DQ21" s="55"/>
      <c r="DR21" s="55"/>
      <c r="DS21" s="55"/>
      <c r="DT21" s="55"/>
      <c r="DU21" s="55"/>
      <c r="DV21" s="55"/>
      <c r="DW21" s="55"/>
      <c r="DX21" s="55"/>
      <c r="DY21" s="55"/>
      <c r="DZ21" s="55"/>
      <c r="EA21" s="25"/>
      <c r="EB21" s="25"/>
      <c r="EC21" s="25"/>
      <c r="ED21" s="25"/>
      <c r="EE21" s="25"/>
      <c r="EF21" s="25"/>
      <c r="EG21" s="25"/>
      <c r="EH21" s="25"/>
      <c r="EI21" s="25"/>
      <c r="EJ21" s="25"/>
      <c r="EK21" s="25"/>
      <c r="EL21" s="25"/>
      <c r="EM21" s="320"/>
      <c r="EN21" s="320"/>
      <c r="EO21" s="320"/>
      <c r="EP21" s="320"/>
      <c r="EQ21" s="320"/>
      <c r="ER21" s="25"/>
      <c r="ES21" s="25"/>
      <c r="ET21" s="25"/>
      <c r="EU21" s="25"/>
      <c r="EV21" s="25"/>
      <c r="EW21" s="25"/>
      <c r="EX21" s="25"/>
      <c r="EY21" s="25"/>
      <c r="EZ21" s="25"/>
      <c r="FA21" s="25"/>
      <c r="FB21" s="320"/>
      <c r="FC21" s="25"/>
      <c r="FD21" s="25"/>
      <c r="FE21" s="25"/>
      <c r="FF21" s="25"/>
      <c r="FG21" s="25"/>
      <c r="FH21" s="25"/>
      <c r="FI21" s="25"/>
      <c r="FJ21" s="25"/>
      <c r="FK21" s="25"/>
      <c r="FL21" s="25"/>
      <c r="FM21" s="25"/>
      <c r="FN21" s="25"/>
      <c r="FO21" s="25"/>
      <c r="FP21" s="25"/>
      <c r="FQ21" s="320"/>
      <c r="FR21" s="320"/>
      <c r="FS21" s="320"/>
      <c r="FT21" s="320"/>
      <c r="FU21" s="320"/>
      <c r="FV21" s="320"/>
      <c r="FW21" s="320"/>
      <c r="FX21" s="320"/>
      <c r="FY21" s="25"/>
      <c r="FZ21" s="25"/>
      <c r="GA21" s="81"/>
      <c r="GB21" s="81"/>
      <c r="GC21" s="81"/>
      <c r="GD21" s="81"/>
      <c r="GE21" s="81"/>
      <c r="GF21" s="81"/>
      <c r="GG21" s="587"/>
      <c r="GH21" s="587"/>
      <c r="GI21" s="587"/>
      <c r="GJ21" s="587"/>
      <c r="GK21" s="587"/>
      <c r="GL21" s="587"/>
      <c r="GM21" s="587"/>
      <c r="GN21" s="587"/>
      <c r="GO21" s="81"/>
      <c r="GP21" s="81"/>
      <c r="GQ21" s="81"/>
      <c r="GR21" s="81"/>
      <c r="GS21" s="587"/>
      <c r="GT21" s="587"/>
      <c r="GU21" s="587"/>
      <c r="GV21" s="587"/>
      <c r="GW21" s="587"/>
      <c r="GX21" s="587"/>
      <c r="GY21" s="587"/>
      <c r="GZ21" s="587"/>
      <c r="HA21" s="25"/>
      <c r="HB21" s="25"/>
      <c r="HC21" s="55"/>
      <c r="HD21" s="55"/>
      <c r="HE21" s="55"/>
      <c r="HF21" s="55"/>
      <c r="HG21" s="55"/>
      <c r="HH21" s="55"/>
      <c r="HI21" s="55"/>
      <c r="HJ21" s="55"/>
      <c r="HK21" s="55"/>
      <c r="HL21" s="55"/>
      <c r="HM21" s="55"/>
      <c r="HN21" s="55"/>
      <c r="HO21" s="55"/>
      <c r="HP21" s="55"/>
      <c r="HQ21" s="55"/>
      <c r="HR21" s="55"/>
      <c r="HS21" s="55"/>
      <c r="HT21" s="55"/>
      <c r="HU21" s="55"/>
      <c r="HV21" s="55"/>
      <c r="HW21" s="55"/>
      <c r="HX21" s="55"/>
      <c r="HY21" s="55"/>
      <c r="HZ21" s="55"/>
      <c r="IA21" s="55"/>
      <c r="IB21" s="55"/>
      <c r="IC21" s="55"/>
      <c r="ID21" s="55"/>
      <c r="IE21" s="55"/>
      <c r="IF21" s="55"/>
      <c r="IG21" s="55"/>
      <c r="IH21" s="55"/>
      <c r="II21" s="55"/>
      <c r="IJ21" s="55"/>
      <c r="IK21" s="55"/>
      <c r="IL21" s="55"/>
      <c r="IM21" s="55"/>
      <c r="IN21" s="55"/>
      <c r="IO21" s="55"/>
      <c r="IP21" s="55"/>
      <c r="IQ21" s="55"/>
      <c r="IR21" s="55"/>
      <c r="IS21" s="55"/>
      <c r="IT21" s="55"/>
      <c r="IU21" s="55"/>
      <c r="IV21" s="55"/>
      <c r="IW21" s="55"/>
      <c r="IX21" s="55"/>
      <c r="IY21" s="55"/>
      <c r="IZ21" s="55"/>
      <c r="JA21" s="55"/>
      <c r="JB21" s="55"/>
      <c r="JC21" s="55"/>
      <c r="JD21" s="55"/>
      <c r="JE21" s="55"/>
      <c r="JF21" s="55"/>
      <c r="JG21" s="55"/>
      <c r="JH21" s="55"/>
      <c r="JI21" s="55"/>
      <c r="JJ21" s="55"/>
      <c r="JK21" s="320"/>
      <c r="JL21" s="25"/>
      <c r="JM21" s="320"/>
      <c r="JN21" s="25"/>
      <c r="JO21" s="25"/>
      <c r="JP21" s="25"/>
      <c r="JQ21" s="320"/>
      <c r="JR21" s="25"/>
      <c r="JS21" s="25"/>
      <c r="JT21" s="25"/>
      <c r="JU21" s="25"/>
      <c r="JV21" s="25"/>
      <c r="JW21" s="25"/>
      <c r="JX21" s="25"/>
      <c r="JY21" s="25"/>
      <c r="JZ21" s="25"/>
      <c r="KA21" s="25"/>
      <c r="KB21" s="25"/>
      <c r="KC21" s="25"/>
      <c r="KD21" s="25"/>
      <c r="KE21" s="25"/>
      <c r="KF21" s="25"/>
      <c r="KG21" s="25"/>
      <c r="KH21" s="25"/>
      <c r="KI21" s="25"/>
      <c r="KJ21" s="25"/>
      <c r="KK21" s="25"/>
      <c r="KL21" s="25"/>
      <c r="KM21" s="25"/>
      <c r="KN21" s="25"/>
      <c r="KO21" s="25"/>
      <c r="KP21" s="25"/>
      <c r="KQ21" s="25"/>
      <c r="KR21" s="25"/>
      <c r="KS21" s="25"/>
      <c r="KT21" s="25"/>
      <c r="KU21" s="25"/>
      <c r="KV21" s="25"/>
      <c r="KW21" s="25"/>
      <c r="KX21" s="25"/>
      <c r="KY21" s="25"/>
      <c r="KZ21" s="25"/>
      <c r="LA21" s="25"/>
      <c r="LB21" s="25"/>
      <c r="LC21" s="25"/>
      <c r="LD21" s="25"/>
      <c r="LE21" s="25"/>
      <c r="LF21" s="25"/>
      <c r="LG21" s="25"/>
      <c r="LH21" s="25"/>
      <c r="LI21" s="25"/>
      <c r="LJ21" s="25"/>
      <c r="LK21" s="25"/>
      <c r="LL21" s="25"/>
      <c r="LM21" s="25"/>
      <c r="LN21" s="25"/>
      <c r="LO21" s="25"/>
      <c r="LP21" s="25"/>
      <c r="LQ21" s="25"/>
      <c r="LR21" s="25"/>
      <c r="LS21" s="166"/>
      <c r="LT21" s="166"/>
      <c r="LU21" s="166"/>
      <c r="LV21" s="166"/>
      <c r="LW21" s="166"/>
      <c r="LX21" s="166"/>
      <c r="LY21" s="166"/>
      <c r="LZ21" s="166"/>
      <c r="MA21" s="166"/>
      <c r="MB21" s="166"/>
      <c r="MC21" s="166"/>
      <c r="MD21" s="166"/>
      <c r="ME21" s="166"/>
      <c r="MF21" s="166"/>
      <c r="MG21" s="166"/>
      <c r="MH21" s="166"/>
      <c r="MI21" s="166"/>
      <c r="MJ21" s="166"/>
      <c r="MK21" s="166"/>
      <c r="ML21" s="166"/>
      <c r="MM21" s="166"/>
      <c r="MN21" s="166"/>
      <c r="MO21" s="166"/>
      <c r="MP21" s="166"/>
      <c r="MQ21" s="166"/>
      <c r="MR21" s="166"/>
      <c r="MS21" s="166"/>
      <c r="MT21" s="166"/>
      <c r="MU21" s="166"/>
      <c r="MV21" s="166"/>
      <c r="MW21" s="166"/>
      <c r="MX21" s="166"/>
      <c r="MY21" s="166"/>
      <c r="MZ21" s="166"/>
      <c r="NA21" s="166"/>
      <c r="NB21" s="166"/>
      <c r="NC21" s="166"/>
      <c r="ND21" s="166"/>
      <c r="NE21" s="166"/>
      <c r="NF21" s="166"/>
      <c r="NG21" s="166"/>
      <c r="NH21" s="166"/>
      <c r="NI21" s="166"/>
      <c r="NJ21" s="166"/>
      <c r="NK21" s="166"/>
      <c r="NL21" s="166"/>
      <c r="NM21" s="166"/>
      <c r="NN21" s="166"/>
      <c r="NO21" s="166"/>
      <c r="NP21" s="166"/>
      <c r="NQ21" s="166"/>
      <c r="NR21" s="166"/>
      <c r="NS21" s="166"/>
      <c r="NT21" s="166"/>
      <c r="NU21" s="166"/>
      <c r="NV21" s="166"/>
      <c r="NW21" s="166"/>
      <c r="NX21" s="166"/>
      <c r="NY21" s="166"/>
      <c r="NZ21" s="166"/>
      <c r="OA21" s="320"/>
      <c r="OB21" s="320"/>
      <c r="OC21" s="25"/>
      <c r="OD21" s="587"/>
      <c r="OE21" s="320"/>
      <c r="OF21" s="25"/>
      <c r="OG21" s="25"/>
      <c r="OH21" s="25"/>
      <c r="OI21" s="25"/>
      <c r="OJ21" s="25"/>
      <c r="OK21" s="25"/>
      <c r="OL21" s="25"/>
      <c r="OM21" s="25"/>
      <c r="ON21" s="25"/>
      <c r="OO21" s="25"/>
      <c r="OP21" s="25"/>
      <c r="OQ21" s="25"/>
      <c r="OR2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1" s="81"/>
      <c r="OT21" s="25"/>
      <c r="OU21" s="81"/>
      <c r="OV21" s="81"/>
    </row>
    <row r="22" spans="1:412" ht="12.75" customHeight="1" x14ac:dyDescent="0.25">
      <c r="A22" s="25">
        <v>3</v>
      </c>
      <c r="B22" s="25" t="b">
        <f>NOT(ISBLANK(SEBBusinessDataTable[[#This Row],[SEBBusinessType]]))</f>
        <v>0</v>
      </c>
      <c r="C22" s="25"/>
      <c r="D22" s="25"/>
      <c r="E22" s="25"/>
      <c r="F22" s="25"/>
      <c r="G22" s="25"/>
      <c r="H22" s="25"/>
      <c r="I22" s="25"/>
      <c r="J22" s="25">
        <f>COUNTIF(SEBBusinessDataTable[[#This Row],[SEBAssociatedFlagApp1]:[SEBAssociatedFlagApp6]],"Yes")</f>
        <v>0</v>
      </c>
      <c r="K22" s="25"/>
      <c r="L22" s="25"/>
      <c r="M22" s="25"/>
      <c r="N22" s="25"/>
      <c r="O22" s="25"/>
      <c r="P22" s="25"/>
      <c r="Q22" s="320"/>
      <c r="R22" s="320"/>
      <c r="S22" s="320"/>
      <c r="T22" s="320"/>
      <c r="U22" s="320"/>
      <c r="V22" s="320"/>
      <c r="W22" s="320"/>
      <c r="X22" s="320"/>
      <c r="Y22" s="320"/>
      <c r="Z22" s="320"/>
      <c r="AA22" s="320"/>
      <c r="AB22" s="320"/>
      <c r="AC22" s="320"/>
      <c r="AD22" s="320"/>
      <c r="AE22" s="320"/>
      <c r="AF22" s="320"/>
      <c r="AG22" s="320"/>
      <c r="AH22" s="320"/>
      <c r="AI22" s="320"/>
      <c r="AJ22" s="320"/>
      <c r="AK22" s="320"/>
      <c r="AL22" s="320"/>
      <c r="AM22" s="320"/>
      <c r="AN22" s="320"/>
      <c r="AO22" s="320"/>
      <c r="AP22" s="320"/>
      <c r="AQ22" s="25"/>
      <c r="AR22" s="25"/>
      <c r="AS22" s="25"/>
      <c r="AT22" s="25"/>
      <c r="AU22" s="25"/>
      <c r="AV22" s="25"/>
      <c r="AW22" s="25"/>
      <c r="AX22" s="25"/>
      <c r="AY22" s="25"/>
      <c r="AZ22" s="25"/>
      <c r="BA22" s="320"/>
      <c r="BB22" s="320"/>
      <c r="BC22" s="25"/>
      <c r="BD22" s="25"/>
      <c r="BE22" s="25"/>
      <c r="BF22" s="25"/>
      <c r="BG22" s="25"/>
      <c r="BH22" s="25"/>
      <c r="BI22" s="25"/>
      <c r="BJ22" s="25"/>
      <c r="BK22" s="25"/>
      <c r="BL22" s="25"/>
      <c r="BM22" s="320"/>
      <c r="BN22" s="320"/>
      <c r="BO22" s="320"/>
      <c r="BP22" s="320"/>
      <c r="BQ22" s="320"/>
      <c r="BR22" s="320"/>
      <c r="BS22" s="320"/>
      <c r="BT22" s="25"/>
      <c r="BU22" s="25"/>
      <c r="BV22" s="25"/>
      <c r="BW22" s="25"/>
      <c r="BX22" s="25"/>
      <c r="BY22" s="320"/>
      <c r="BZ22" s="25"/>
      <c r="CA22" s="25"/>
      <c r="CB22" s="25"/>
      <c r="CC22" s="25"/>
      <c r="CD22" s="25"/>
      <c r="CE22" s="320"/>
      <c r="CF22" s="320"/>
      <c r="CG22" s="320"/>
      <c r="CH22" s="320"/>
      <c r="CI22" s="320"/>
      <c r="CJ22" s="320"/>
      <c r="CK22" s="25"/>
      <c r="CL22" s="25"/>
      <c r="CM22" s="25"/>
      <c r="CN22" s="25"/>
      <c r="CO22" s="25"/>
      <c r="CP22" s="25"/>
      <c r="CQ22" s="25"/>
      <c r="CR22" s="25"/>
      <c r="CS22" s="25"/>
      <c r="CT22" s="25"/>
      <c r="CU22" s="25"/>
      <c r="CV22" s="25"/>
      <c r="CW22" s="320"/>
      <c r="CX22" s="25"/>
      <c r="CY22" s="25"/>
      <c r="CZ22" s="25"/>
      <c r="DA22" s="25"/>
      <c r="DB22" s="25"/>
      <c r="DC22" s="25"/>
      <c r="DD22" s="25"/>
      <c r="DE22" s="25"/>
      <c r="DF22" s="25"/>
      <c r="DG22" s="25"/>
      <c r="DH22" s="25"/>
      <c r="DI22" s="320"/>
      <c r="DJ22" s="320"/>
      <c r="DK22" s="320"/>
      <c r="DL22" s="320"/>
      <c r="DM22" s="320"/>
      <c r="DN22" s="320"/>
      <c r="DO22" s="55"/>
      <c r="DP22" s="55"/>
      <c r="DQ22" s="55"/>
      <c r="DR22" s="55"/>
      <c r="DS22" s="55"/>
      <c r="DT22" s="55"/>
      <c r="DU22" s="55"/>
      <c r="DV22" s="55"/>
      <c r="DW22" s="55"/>
      <c r="DX22" s="55"/>
      <c r="DY22" s="55"/>
      <c r="DZ22" s="55"/>
      <c r="EA22" s="25"/>
      <c r="EB22" s="25"/>
      <c r="EC22" s="25"/>
      <c r="ED22" s="25"/>
      <c r="EE22" s="25"/>
      <c r="EF22" s="25"/>
      <c r="EG22" s="25"/>
      <c r="EH22" s="25"/>
      <c r="EI22" s="25"/>
      <c r="EJ22" s="25"/>
      <c r="EK22" s="25"/>
      <c r="EL22" s="25"/>
      <c r="EM22" s="320"/>
      <c r="EN22" s="320"/>
      <c r="EO22" s="25"/>
      <c r="EP22" s="25"/>
      <c r="EQ22" s="25"/>
      <c r="ER22" s="25"/>
      <c r="ES22" s="25"/>
      <c r="ET22" s="25"/>
      <c r="EU22" s="25"/>
      <c r="EV22" s="25"/>
      <c r="EW22" s="25"/>
      <c r="EX22" s="25"/>
      <c r="EY22" s="25"/>
      <c r="EZ22" s="25"/>
      <c r="FA22" s="25"/>
      <c r="FB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81"/>
      <c r="GB22" s="81"/>
      <c r="GC22" s="81"/>
      <c r="GD22" s="81"/>
      <c r="GE22" s="81"/>
      <c r="GF22" s="81"/>
      <c r="GG22" s="587"/>
      <c r="GH22" s="587"/>
      <c r="GI22" s="587"/>
      <c r="GJ22" s="587"/>
      <c r="GK22" s="587"/>
      <c r="GL22" s="587"/>
      <c r="GM22" s="587"/>
      <c r="GN22" s="587"/>
      <c r="GO22" s="81"/>
      <c r="GP22" s="81"/>
      <c r="GQ22" s="81"/>
      <c r="GR22" s="81"/>
      <c r="GS22" s="587"/>
      <c r="GT22" s="587"/>
      <c r="GU22" s="587"/>
      <c r="GV22" s="587"/>
      <c r="GW22" s="587"/>
      <c r="GX22" s="587"/>
      <c r="GY22" s="587"/>
      <c r="GZ22" s="587"/>
      <c r="HA22" s="25"/>
      <c r="HB22" s="25"/>
      <c r="HC22" s="55"/>
      <c r="HD22" s="55"/>
      <c r="HE22" s="55"/>
      <c r="HF22" s="55"/>
      <c r="HG22" s="55"/>
      <c r="HH22" s="55"/>
      <c r="HI22" s="55"/>
      <c r="HJ22" s="55"/>
      <c r="HK22" s="55"/>
      <c r="HL22" s="55"/>
      <c r="HM22" s="55"/>
      <c r="HN22" s="55"/>
      <c r="HO22" s="55"/>
      <c r="HP22" s="55"/>
      <c r="HQ22" s="55"/>
      <c r="HR22" s="55"/>
      <c r="HS22" s="55"/>
      <c r="HT22" s="55"/>
      <c r="HU22" s="55"/>
      <c r="HV22" s="55"/>
      <c r="HW22" s="55"/>
      <c r="HX22" s="55"/>
      <c r="HY22" s="55"/>
      <c r="HZ22" s="55"/>
      <c r="IA22" s="55"/>
      <c r="IB22" s="55"/>
      <c r="IC22" s="55"/>
      <c r="ID22" s="55"/>
      <c r="IE22" s="55"/>
      <c r="IF22" s="55"/>
      <c r="IG22" s="55"/>
      <c r="IH22" s="55"/>
      <c r="II22" s="55"/>
      <c r="IJ22" s="55"/>
      <c r="IK22" s="55"/>
      <c r="IL22" s="55"/>
      <c r="IM22" s="55"/>
      <c r="IN22" s="55"/>
      <c r="IO22" s="55"/>
      <c r="IP22" s="55"/>
      <c r="IQ22" s="55"/>
      <c r="IR22" s="55"/>
      <c r="IS22" s="55"/>
      <c r="IT22" s="55"/>
      <c r="IU22" s="55"/>
      <c r="IV22" s="55"/>
      <c r="IW22" s="55"/>
      <c r="IX22" s="55"/>
      <c r="IY22" s="55"/>
      <c r="IZ22" s="55"/>
      <c r="JA22" s="55"/>
      <c r="JB22" s="55"/>
      <c r="JC22" s="55"/>
      <c r="JD22" s="55"/>
      <c r="JE22" s="55"/>
      <c r="JF22" s="55"/>
      <c r="JG22" s="55"/>
      <c r="JH22" s="55"/>
      <c r="JI22" s="55"/>
      <c r="JJ22" s="55"/>
      <c r="JK22" s="25"/>
      <c r="JL22" s="25"/>
      <c r="JM22" s="25"/>
      <c r="JN22" s="25"/>
      <c r="JO22" s="320"/>
      <c r="JP22" s="25"/>
      <c r="JQ22" s="25"/>
      <c r="JR22" s="25"/>
      <c r="JS22" s="25"/>
      <c r="JT22" s="25"/>
      <c r="JU22" s="25"/>
      <c r="JV22" s="25"/>
      <c r="JW22" s="25"/>
      <c r="JX22" s="25"/>
      <c r="JY22" s="25"/>
      <c r="JZ22" s="25"/>
      <c r="KA22" s="25"/>
      <c r="KB22" s="25"/>
      <c r="KC22" s="25"/>
      <c r="KD22" s="25"/>
      <c r="KE22" s="25"/>
      <c r="KF22" s="25"/>
      <c r="KG22" s="25"/>
      <c r="KH22" s="25"/>
      <c r="KI22" s="25"/>
      <c r="KJ22" s="25"/>
      <c r="KK22" s="25"/>
      <c r="KL22" s="25"/>
      <c r="KM22" s="25"/>
      <c r="KN22" s="25"/>
      <c r="KO22" s="25"/>
      <c r="KP22" s="25"/>
      <c r="KQ22" s="25"/>
      <c r="KR22" s="25"/>
      <c r="KS22" s="25"/>
      <c r="KT22" s="25"/>
      <c r="KU22" s="25"/>
      <c r="KV22" s="25"/>
      <c r="KW22" s="25"/>
      <c r="KX22" s="25"/>
      <c r="KY22" s="25"/>
      <c r="KZ22" s="25"/>
      <c r="LA22" s="25"/>
      <c r="LB22" s="25"/>
      <c r="LC22" s="25"/>
      <c r="LD22" s="25"/>
      <c r="LE22" s="25"/>
      <c r="LF22" s="25"/>
      <c r="LG22" s="25"/>
      <c r="LH22" s="25"/>
      <c r="LI22" s="25"/>
      <c r="LJ22" s="25"/>
      <c r="LK22" s="25"/>
      <c r="LL22" s="25"/>
      <c r="LM22" s="25"/>
      <c r="LN22" s="25"/>
      <c r="LO22" s="25"/>
      <c r="LP22" s="25"/>
      <c r="LQ22" s="25"/>
      <c r="LR22" s="25"/>
      <c r="LS22" s="166"/>
      <c r="LT22" s="166"/>
      <c r="LU22" s="166"/>
      <c r="LV22" s="166"/>
      <c r="LW22" s="166"/>
      <c r="LX22" s="166"/>
      <c r="LY22" s="166"/>
      <c r="LZ22" s="166"/>
      <c r="MA22" s="166"/>
      <c r="MB22" s="166"/>
      <c r="MC22" s="166"/>
      <c r="MD22" s="166"/>
      <c r="ME22" s="166"/>
      <c r="MF22" s="166"/>
      <c r="MG22" s="166"/>
      <c r="MH22" s="166"/>
      <c r="MI22" s="166"/>
      <c r="MJ22" s="166"/>
      <c r="MK22" s="166"/>
      <c r="ML22" s="166"/>
      <c r="MM22" s="166"/>
      <c r="MN22" s="166"/>
      <c r="MO22" s="166"/>
      <c r="MP22" s="166"/>
      <c r="MQ22" s="166"/>
      <c r="MR22" s="166"/>
      <c r="MS22" s="166"/>
      <c r="MT22" s="166"/>
      <c r="MU22" s="166"/>
      <c r="MV22" s="166"/>
      <c r="MW22" s="166"/>
      <c r="MX22" s="166"/>
      <c r="MY22" s="166"/>
      <c r="MZ22" s="166"/>
      <c r="NA22" s="166"/>
      <c r="NB22" s="166"/>
      <c r="NC22" s="166"/>
      <c r="ND22" s="166"/>
      <c r="NE22" s="166"/>
      <c r="NF22" s="166"/>
      <c r="NG22" s="166"/>
      <c r="NH22" s="166"/>
      <c r="NI22" s="166"/>
      <c r="NJ22" s="166"/>
      <c r="NK22" s="166"/>
      <c r="NL22" s="166"/>
      <c r="NM22" s="166"/>
      <c r="NN22" s="166"/>
      <c r="NO22" s="166"/>
      <c r="NP22" s="166"/>
      <c r="NQ22" s="166"/>
      <c r="NR22" s="166"/>
      <c r="NS22" s="166"/>
      <c r="NT22" s="166"/>
      <c r="NU22" s="166"/>
      <c r="NV22" s="166"/>
      <c r="NW22" s="166"/>
      <c r="NX22" s="166"/>
      <c r="NY22" s="166"/>
      <c r="NZ22" s="166"/>
      <c r="OA22" s="25"/>
      <c r="OB22" s="25"/>
      <c r="OC22" s="25"/>
      <c r="OD22" s="81"/>
      <c r="OE22" s="25"/>
      <c r="OF22" s="25"/>
      <c r="OG22" s="25"/>
      <c r="OH22" s="25"/>
      <c r="OI22" s="25"/>
      <c r="OJ22" s="25"/>
      <c r="OK22" s="25"/>
      <c r="OL22" s="25"/>
      <c r="OM22" s="25"/>
      <c r="ON22" s="25"/>
      <c r="OO22" s="25"/>
      <c r="OP22" s="25"/>
      <c r="OQ22" s="25"/>
      <c r="OR2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2" s="81"/>
      <c r="OT22" s="25"/>
      <c r="OU22" s="81"/>
      <c r="OV22" s="81"/>
    </row>
    <row r="23" spans="1:412" ht="12.75" customHeight="1" x14ac:dyDescent="0.25">
      <c r="A23" s="25">
        <v>4</v>
      </c>
      <c r="B23" s="25" t="b">
        <f>NOT(ISBLANK(SEBBusinessDataTable[[#This Row],[SEBBusinessType]]))</f>
        <v>0</v>
      </c>
      <c r="C23" s="25"/>
      <c r="D23" s="25"/>
      <c r="E23" s="25"/>
      <c r="F23" s="25"/>
      <c r="G23" s="25"/>
      <c r="H23" s="25"/>
      <c r="I23" s="25"/>
      <c r="J23" s="25">
        <f>COUNTIF(SEBBusinessDataTable[[#This Row],[SEBAssociatedFlagApp1]:[SEBAssociatedFlagApp6]],"Yes")</f>
        <v>0</v>
      </c>
      <c r="K23" s="25"/>
      <c r="L23" s="25"/>
      <c r="M23" s="25"/>
      <c r="N23" s="25"/>
      <c r="O23" s="25"/>
      <c r="P23" s="25"/>
      <c r="Q23" s="320"/>
      <c r="R23" s="320"/>
      <c r="S23" s="320"/>
      <c r="T23" s="320"/>
      <c r="U23" s="320"/>
      <c r="V23" s="320"/>
      <c r="W23" s="320"/>
      <c r="X23" s="320"/>
      <c r="Y23" s="320"/>
      <c r="Z23" s="320"/>
      <c r="AA23" s="320"/>
      <c r="AB23" s="320"/>
      <c r="AC23" s="320"/>
      <c r="AD23" s="320"/>
      <c r="AE23" s="320"/>
      <c r="AF23" s="320"/>
      <c r="AG23" s="320"/>
      <c r="AH23" s="320"/>
      <c r="AI23" s="320"/>
      <c r="AJ23" s="320"/>
      <c r="AK23" s="320"/>
      <c r="AL23" s="320"/>
      <c r="AM23" s="320"/>
      <c r="AN23" s="320"/>
      <c r="AO23" s="320"/>
      <c r="AP23" s="25"/>
      <c r="AQ23" s="25"/>
      <c r="AR23" s="25"/>
      <c r="AS23" s="25"/>
      <c r="AT23" s="25"/>
      <c r="AU23" s="25"/>
      <c r="AV23" s="25"/>
      <c r="AW23" s="25"/>
      <c r="AX23" s="25"/>
      <c r="AY23" s="25"/>
      <c r="AZ23" s="25"/>
      <c r="BA23" s="320"/>
      <c r="BB23" s="25"/>
      <c r="BC23" s="25"/>
      <c r="BD23" s="25"/>
      <c r="BE23" s="25"/>
      <c r="BF23" s="25"/>
      <c r="BG23" s="25"/>
      <c r="BH23" s="25"/>
      <c r="BI23" s="25"/>
      <c r="BJ23" s="25"/>
      <c r="BK23" s="25"/>
      <c r="BL23" s="25"/>
      <c r="BM23" s="320"/>
      <c r="BN23" s="320"/>
      <c r="BO23" s="320"/>
      <c r="BP23" s="320"/>
      <c r="BQ23" s="320"/>
      <c r="BR23" s="320"/>
      <c r="BS23" s="320"/>
      <c r="BT23" s="320"/>
      <c r="BU23" s="25"/>
      <c r="BV23" s="25"/>
      <c r="BW23" s="25"/>
      <c r="BX23" s="25"/>
      <c r="BY23" s="25"/>
      <c r="BZ23" s="25"/>
      <c r="CA23" s="25"/>
      <c r="CB23" s="25"/>
      <c r="CC23" s="25"/>
      <c r="CD23" s="25"/>
      <c r="CE23" s="320"/>
      <c r="CF23" s="320"/>
      <c r="CG23" s="320"/>
      <c r="CH23" s="320"/>
      <c r="CI23" s="320"/>
      <c r="CJ23" s="320"/>
      <c r="CK23" s="320"/>
      <c r="CL23" s="25"/>
      <c r="CM23" s="25"/>
      <c r="CN23" s="25"/>
      <c r="CO23" s="25"/>
      <c r="CP23" s="25"/>
      <c r="CQ23" s="25"/>
      <c r="CR23" s="25"/>
      <c r="CS23" s="25"/>
      <c r="CT23" s="25"/>
      <c r="CU23" s="25"/>
      <c r="CV23" s="25"/>
      <c r="CW23" s="320"/>
      <c r="CX23" s="25"/>
      <c r="CY23" s="25"/>
      <c r="CZ23" s="25"/>
      <c r="DA23" s="25"/>
      <c r="DB23" s="25"/>
      <c r="DC23" s="25"/>
      <c r="DD23" s="25"/>
      <c r="DE23" s="25"/>
      <c r="DF23" s="25"/>
      <c r="DG23" s="25"/>
      <c r="DH23" s="25"/>
      <c r="DI23" s="320"/>
      <c r="DJ23" s="320"/>
      <c r="DK23" s="320"/>
      <c r="DL23" s="320"/>
      <c r="DM23" s="320"/>
      <c r="DN23" s="320"/>
      <c r="DO23" s="55"/>
      <c r="DP23" s="55"/>
      <c r="DQ23" s="55"/>
      <c r="DR23" s="55"/>
      <c r="DS23" s="55"/>
      <c r="DT23" s="55"/>
      <c r="DU23" s="55"/>
      <c r="DV23" s="55"/>
      <c r="DW23" s="55"/>
      <c r="DX23" s="55"/>
      <c r="DY23" s="55"/>
      <c r="DZ23" s="55"/>
      <c r="EA23" s="25"/>
      <c r="EB23" s="25"/>
      <c r="EC23" s="25"/>
      <c r="ED23" s="25"/>
      <c r="EE23" s="25"/>
      <c r="EF23" s="25"/>
      <c r="EG23" s="25"/>
      <c r="EH23" s="25"/>
      <c r="EI23" s="25"/>
      <c r="EJ23" s="25"/>
      <c r="EK23" s="25"/>
      <c r="EL23" s="25"/>
      <c r="EM23" s="320"/>
      <c r="EN23" s="320"/>
      <c r="EO23" s="320"/>
      <c r="EP23" s="25"/>
      <c r="EQ23" s="25"/>
      <c r="ER23" s="25"/>
      <c r="ES23" s="25"/>
      <c r="ET23" s="25"/>
      <c r="EU23" s="25"/>
      <c r="EV23" s="25"/>
      <c r="EW23" s="25"/>
      <c r="EX23" s="25"/>
      <c r="EY23" s="25"/>
      <c r="EZ23" s="25"/>
      <c r="FA23" s="25"/>
      <c r="FB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81"/>
      <c r="GB23" s="81"/>
      <c r="GC23" s="81"/>
      <c r="GD23" s="81"/>
      <c r="GE23" s="81"/>
      <c r="GF23" s="81"/>
      <c r="GG23" s="587"/>
      <c r="GH23" s="587"/>
      <c r="GI23" s="587"/>
      <c r="GJ23" s="587"/>
      <c r="GK23" s="587"/>
      <c r="GL23" s="587"/>
      <c r="GM23" s="587"/>
      <c r="GN23" s="587"/>
      <c r="GO23" s="81"/>
      <c r="GP23" s="81"/>
      <c r="GQ23" s="81"/>
      <c r="GR23" s="81"/>
      <c r="GS23" s="587"/>
      <c r="GT23" s="587"/>
      <c r="GU23" s="587"/>
      <c r="GV23" s="587"/>
      <c r="GW23" s="587"/>
      <c r="GX23" s="587"/>
      <c r="GY23" s="587"/>
      <c r="GZ23" s="587"/>
      <c r="HA23" s="25"/>
      <c r="HB23" s="25"/>
      <c r="HC23" s="55"/>
      <c r="HD23" s="55"/>
      <c r="HE23" s="55"/>
      <c r="HF23" s="55"/>
      <c r="HG23" s="55"/>
      <c r="HH23" s="55"/>
      <c r="HI23" s="55"/>
      <c r="HJ23" s="55"/>
      <c r="HK23" s="55"/>
      <c r="HL23" s="55"/>
      <c r="HM23" s="55"/>
      <c r="HN23" s="55"/>
      <c r="HO23" s="55"/>
      <c r="HP23" s="55"/>
      <c r="HQ23" s="55"/>
      <c r="HR23" s="55"/>
      <c r="HS23" s="55"/>
      <c r="HT23" s="55"/>
      <c r="HU23" s="55"/>
      <c r="HV23" s="55"/>
      <c r="HW23" s="55"/>
      <c r="HX23" s="55"/>
      <c r="HY23" s="55"/>
      <c r="HZ23" s="55"/>
      <c r="IA23" s="55"/>
      <c r="IB23" s="55"/>
      <c r="IC23" s="55"/>
      <c r="ID23" s="55"/>
      <c r="IE23" s="55"/>
      <c r="IF23" s="55"/>
      <c r="IG23" s="55"/>
      <c r="IH23" s="55"/>
      <c r="II23" s="55"/>
      <c r="IJ23" s="55"/>
      <c r="IK23" s="55"/>
      <c r="IL23" s="55"/>
      <c r="IM23" s="55"/>
      <c r="IN23" s="55"/>
      <c r="IO23" s="55"/>
      <c r="IP23" s="55"/>
      <c r="IQ23" s="55"/>
      <c r="IR23" s="55"/>
      <c r="IS23" s="55"/>
      <c r="IT23" s="55"/>
      <c r="IU23" s="55"/>
      <c r="IV23" s="55"/>
      <c r="IW23" s="55"/>
      <c r="IX23" s="55"/>
      <c r="IY23" s="55"/>
      <c r="IZ23" s="55"/>
      <c r="JA23" s="55"/>
      <c r="JB23" s="55"/>
      <c r="JC23" s="55"/>
      <c r="JD23" s="55"/>
      <c r="JE23" s="55"/>
      <c r="JF23" s="55"/>
      <c r="JG23" s="55"/>
      <c r="JH23" s="55"/>
      <c r="JI23" s="55"/>
      <c r="JJ23" s="55"/>
      <c r="JK23" s="25"/>
      <c r="JL23" s="25"/>
      <c r="JM23" s="320"/>
      <c r="JN23" s="25"/>
      <c r="JO23" s="25"/>
      <c r="JP23" s="25"/>
      <c r="JQ23" s="25"/>
      <c r="JR23" s="25"/>
      <c r="JS23" s="25"/>
      <c r="JT23" s="25"/>
      <c r="JU23" s="25"/>
      <c r="JV23" s="25"/>
      <c r="JW23" s="25"/>
      <c r="JX23" s="25"/>
      <c r="JY23" s="25"/>
      <c r="JZ23" s="25"/>
      <c r="KA23" s="25"/>
      <c r="KB23" s="25"/>
      <c r="KC23" s="25"/>
      <c r="KD23" s="25"/>
      <c r="KE23" s="25"/>
      <c r="KF23" s="25"/>
      <c r="KG23" s="25"/>
      <c r="KH23" s="25"/>
      <c r="KI23" s="25"/>
      <c r="KJ23" s="25"/>
      <c r="KK23" s="25"/>
      <c r="KL23" s="25"/>
      <c r="KM23" s="25"/>
      <c r="KN23" s="25"/>
      <c r="KO23" s="25"/>
      <c r="KP23" s="25"/>
      <c r="KQ23" s="25"/>
      <c r="KR23" s="25"/>
      <c r="KS23" s="25"/>
      <c r="KT23" s="25"/>
      <c r="KU23" s="25"/>
      <c r="KV23" s="25"/>
      <c r="KW23" s="25"/>
      <c r="KX23" s="25"/>
      <c r="KY23" s="25"/>
      <c r="KZ23" s="25"/>
      <c r="LA23" s="25"/>
      <c r="LB23" s="25"/>
      <c r="LC23" s="25"/>
      <c r="LD23" s="25"/>
      <c r="LE23" s="25"/>
      <c r="LF23" s="25"/>
      <c r="LG23" s="25"/>
      <c r="LH23" s="25"/>
      <c r="LI23" s="25"/>
      <c r="LJ23" s="25"/>
      <c r="LK23" s="25"/>
      <c r="LL23" s="25"/>
      <c r="LM23" s="25"/>
      <c r="LN23" s="25"/>
      <c r="LO23" s="25"/>
      <c r="LP23" s="25"/>
      <c r="LQ23" s="25"/>
      <c r="LR23" s="25"/>
      <c r="LS23" s="166"/>
      <c r="LT23" s="166"/>
      <c r="LU23" s="166"/>
      <c r="LV23" s="166"/>
      <c r="LW23" s="166"/>
      <c r="LX23" s="166"/>
      <c r="LY23" s="166"/>
      <c r="LZ23" s="166"/>
      <c r="MA23" s="166"/>
      <c r="MB23" s="166"/>
      <c r="MC23" s="166"/>
      <c r="MD23" s="166"/>
      <c r="ME23" s="166"/>
      <c r="MF23" s="166"/>
      <c r="MG23" s="166"/>
      <c r="MH23" s="166"/>
      <c r="MI23" s="166"/>
      <c r="MJ23" s="166"/>
      <c r="MK23" s="166"/>
      <c r="ML23" s="166"/>
      <c r="MM23" s="166"/>
      <c r="MN23" s="166"/>
      <c r="MO23" s="166"/>
      <c r="MP23" s="166"/>
      <c r="MQ23" s="166"/>
      <c r="MR23" s="166"/>
      <c r="MS23" s="166"/>
      <c r="MT23" s="166"/>
      <c r="MU23" s="166"/>
      <c r="MV23" s="166"/>
      <c r="MW23" s="166"/>
      <c r="MX23" s="166"/>
      <c r="MY23" s="166"/>
      <c r="MZ23" s="166"/>
      <c r="NA23" s="166"/>
      <c r="NB23" s="166"/>
      <c r="NC23" s="166"/>
      <c r="ND23" s="166"/>
      <c r="NE23" s="166"/>
      <c r="NF23" s="166"/>
      <c r="NG23" s="166"/>
      <c r="NH23" s="166"/>
      <c r="NI23" s="166"/>
      <c r="NJ23" s="166"/>
      <c r="NK23" s="166"/>
      <c r="NL23" s="166"/>
      <c r="NM23" s="166"/>
      <c r="NN23" s="166"/>
      <c r="NO23" s="166"/>
      <c r="NP23" s="166"/>
      <c r="NQ23" s="166"/>
      <c r="NR23" s="166"/>
      <c r="NS23" s="166"/>
      <c r="NT23" s="166"/>
      <c r="NU23" s="166"/>
      <c r="NV23" s="166"/>
      <c r="NW23" s="166"/>
      <c r="NX23" s="166"/>
      <c r="NY23" s="166"/>
      <c r="NZ23" s="166"/>
      <c r="OA23" s="320"/>
      <c r="OB23" s="320"/>
      <c r="OC23" s="25"/>
      <c r="OD23" s="81"/>
      <c r="OE23" s="25"/>
      <c r="OF23" s="25"/>
      <c r="OG23" s="25"/>
      <c r="OH23" s="25"/>
      <c r="OI23" s="25"/>
      <c r="OJ23" s="25"/>
      <c r="OK23" s="25"/>
      <c r="OL23" s="25"/>
      <c r="OM23" s="25"/>
      <c r="ON23" s="25"/>
      <c r="OO23" s="25"/>
      <c r="OP23" s="25"/>
      <c r="OQ23" s="25"/>
      <c r="OR2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3" s="81"/>
      <c r="OT23" s="25"/>
      <c r="OU23" s="81"/>
      <c r="OV23" s="81"/>
    </row>
    <row r="24" spans="1:412" ht="12.75" customHeight="1" x14ac:dyDescent="0.25">
      <c r="A24" s="25">
        <v>5</v>
      </c>
      <c r="B24" s="25" t="b">
        <f>NOT(ISBLANK(SEBBusinessDataTable[[#This Row],[SEBBusinessType]]))</f>
        <v>0</v>
      </c>
      <c r="C24" s="25"/>
      <c r="D24" s="25"/>
      <c r="E24" s="25"/>
      <c r="F24" s="25"/>
      <c r="G24" s="25"/>
      <c r="H24" s="25"/>
      <c r="I24" s="25"/>
      <c r="J24" s="25">
        <f>COUNTIF(SEBBusinessDataTable[[#This Row],[SEBAssociatedFlagApp1]:[SEBAssociatedFlagApp6]],"Yes")</f>
        <v>0</v>
      </c>
      <c r="K24" s="25"/>
      <c r="L24" s="25"/>
      <c r="M24" s="25"/>
      <c r="N24" s="25"/>
      <c r="O24" s="25"/>
      <c r="P24" s="25"/>
      <c r="Q24" s="320"/>
      <c r="R24" s="320"/>
      <c r="S24" s="320"/>
      <c r="T24" s="320"/>
      <c r="U24" s="320"/>
      <c r="V24" s="320"/>
      <c r="W24" s="320"/>
      <c r="X24" s="320"/>
      <c r="Y24" s="320"/>
      <c r="Z24" s="320"/>
      <c r="AA24" s="320"/>
      <c r="AB24" s="320"/>
      <c r="AC24" s="320"/>
      <c r="AD24" s="320"/>
      <c r="AE24" s="320"/>
      <c r="AF24" s="320"/>
      <c r="AG24" s="320"/>
      <c r="AH24" s="320"/>
      <c r="AI24" s="320"/>
      <c r="AJ24" s="320"/>
      <c r="AK24" s="320"/>
      <c r="AL24" s="320"/>
      <c r="AM24" s="320"/>
      <c r="AN24" s="320"/>
      <c r="AO24" s="320"/>
      <c r="AP24" s="320"/>
      <c r="AQ24" s="25"/>
      <c r="AR24" s="25"/>
      <c r="AS24" s="25"/>
      <c r="AT24" s="25"/>
      <c r="AU24" s="25"/>
      <c r="AV24" s="25"/>
      <c r="AW24" s="25"/>
      <c r="AX24" s="25"/>
      <c r="AY24" s="25"/>
      <c r="AZ24" s="25"/>
      <c r="BA24" s="320"/>
      <c r="BB24" s="320"/>
      <c r="BC24" s="25"/>
      <c r="BD24" s="25"/>
      <c r="BE24" s="25"/>
      <c r="BF24" s="25"/>
      <c r="BG24" s="25"/>
      <c r="BH24" s="25"/>
      <c r="BI24" s="25"/>
      <c r="BJ24" s="25"/>
      <c r="BK24" s="25"/>
      <c r="BL24" s="25"/>
      <c r="BM24" s="320"/>
      <c r="BN24" s="320"/>
      <c r="BO24" s="320"/>
      <c r="BP24" s="320"/>
      <c r="BQ24" s="320"/>
      <c r="BR24" s="320"/>
      <c r="BS24" s="25"/>
      <c r="BT24" s="25"/>
      <c r="BU24" s="25"/>
      <c r="BV24" s="25"/>
      <c r="BW24" s="25"/>
      <c r="BX24" s="25"/>
      <c r="BY24" s="25"/>
      <c r="BZ24" s="25"/>
      <c r="CA24" s="25"/>
      <c r="CB24" s="25"/>
      <c r="CC24" s="25"/>
      <c r="CD24" s="25"/>
      <c r="CE24" s="320"/>
      <c r="CF24" s="320"/>
      <c r="CG24" s="320"/>
      <c r="CH24" s="320"/>
      <c r="CI24" s="320"/>
      <c r="CJ24" s="320"/>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320"/>
      <c r="DJ24" s="320"/>
      <c r="DK24" s="320"/>
      <c r="DL24" s="320"/>
      <c r="DM24" s="320"/>
      <c r="DN24" s="320"/>
      <c r="DO24" s="55"/>
      <c r="DP24" s="55"/>
      <c r="DQ24" s="55"/>
      <c r="DR24" s="55"/>
      <c r="DS24" s="55"/>
      <c r="DT24" s="55"/>
      <c r="DU24" s="55"/>
      <c r="DV24" s="55"/>
      <c r="DW24" s="55"/>
      <c r="DX24" s="55"/>
      <c r="DY24" s="55"/>
      <c r="DZ24" s="55"/>
      <c r="EA24" s="25"/>
      <c r="EB24" s="25"/>
      <c r="EC24" s="25"/>
      <c r="ED24" s="25"/>
      <c r="EE24" s="25"/>
      <c r="EF24" s="25"/>
      <c r="EG24" s="25"/>
      <c r="EH24" s="25"/>
      <c r="EI24" s="25"/>
      <c r="EJ24" s="25"/>
      <c r="EK24" s="25"/>
      <c r="EL24" s="25"/>
      <c r="EM24" s="320"/>
      <c r="EN24" s="320"/>
      <c r="EO24" s="25"/>
      <c r="EP24" s="25"/>
      <c r="EQ24" s="320"/>
      <c r="ER24" s="320"/>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320"/>
      <c r="FX24" s="320"/>
      <c r="FY24" s="25"/>
      <c r="FZ24" s="25"/>
      <c r="GA24" s="81"/>
      <c r="GB24" s="81"/>
      <c r="GC24" s="81"/>
      <c r="GD24" s="81"/>
      <c r="GE24" s="81"/>
      <c r="GF24" s="81"/>
      <c r="GG24" s="587"/>
      <c r="GH24" s="587"/>
      <c r="GI24" s="587"/>
      <c r="GJ24" s="587"/>
      <c r="GK24" s="587"/>
      <c r="GL24" s="587"/>
      <c r="GM24" s="587"/>
      <c r="GN24" s="587"/>
      <c r="GO24" s="81"/>
      <c r="GP24" s="81"/>
      <c r="GQ24" s="81"/>
      <c r="GR24" s="81"/>
      <c r="GS24" s="587"/>
      <c r="GT24" s="587"/>
      <c r="GU24" s="587"/>
      <c r="GV24" s="587"/>
      <c r="GW24" s="587"/>
      <c r="GX24" s="81"/>
      <c r="GY24" s="587"/>
      <c r="GZ24" s="587"/>
      <c r="HA24" s="25"/>
      <c r="HB24" s="25"/>
      <c r="HC24" s="55"/>
      <c r="HD24" s="55"/>
      <c r="HE24" s="55"/>
      <c r="HF24" s="55"/>
      <c r="HG24" s="55"/>
      <c r="HH24" s="55"/>
      <c r="HI24" s="55"/>
      <c r="HJ24" s="55"/>
      <c r="HK24" s="55"/>
      <c r="HL24" s="55"/>
      <c r="HM24" s="55"/>
      <c r="HN24" s="55"/>
      <c r="HO24" s="55"/>
      <c r="HP24" s="55"/>
      <c r="HQ24" s="55"/>
      <c r="HR24" s="55"/>
      <c r="HS24" s="55"/>
      <c r="HT24" s="55"/>
      <c r="HU24" s="55"/>
      <c r="HV24" s="55"/>
      <c r="HW24" s="55"/>
      <c r="HX24" s="55"/>
      <c r="HY24" s="55"/>
      <c r="HZ24" s="55"/>
      <c r="IA24" s="55"/>
      <c r="IB24" s="55"/>
      <c r="IC24" s="55"/>
      <c r="ID24" s="55"/>
      <c r="IE24" s="55"/>
      <c r="IF24" s="55"/>
      <c r="IG24" s="55"/>
      <c r="IH24" s="55"/>
      <c r="II24" s="55"/>
      <c r="IJ24" s="55"/>
      <c r="IK24" s="55"/>
      <c r="IL24" s="55"/>
      <c r="IM24" s="55"/>
      <c r="IN24" s="55"/>
      <c r="IO24" s="55"/>
      <c r="IP24" s="55"/>
      <c r="IQ24" s="55"/>
      <c r="IR24" s="55"/>
      <c r="IS24" s="55"/>
      <c r="IT24" s="55"/>
      <c r="IU24" s="55"/>
      <c r="IV24" s="55"/>
      <c r="IW24" s="55"/>
      <c r="IX24" s="55"/>
      <c r="IY24" s="55"/>
      <c r="IZ24" s="55"/>
      <c r="JA24" s="55"/>
      <c r="JB24" s="55"/>
      <c r="JC24" s="55"/>
      <c r="JD24" s="55"/>
      <c r="JE24" s="55"/>
      <c r="JF24" s="55"/>
      <c r="JG24" s="55"/>
      <c r="JH24" s="55"/>
      <c r="JI24" s="55"/>
      <c r="JJ24" s="55"/>
      <c r="JK24" s="320"/>
      <c r="JL24" s="25"/>
      <c r="JM24" s="25"/>
      <c r="JN24" s="320"/>
      <c r="JO24" s="25"/>
      <c r="JP24" s="320"/>
      <c r="JQ24" s="25"/>
      <c r="JR24" s="25"/>
      <c r="JS24" s="25"/>
      <c r="JT24" s="25"/>
      <c r="JU24" s="25"/>
      <c r="JV24" s="25"/>
      <c r="JW24" s="25"/>
      <c r="JX24" s="25"/>
      <c r="JY24" s="25"/>
      <c r="JZ24" s="25"/>
      <c r="KA24" s="25"/>
      <c r="KB24" s="25"/>
      <c r="KC24" s="25"/>
      <c r="KD24" s="25"/>
      <c r="KE24" s="25"/>
      <c r="KF24" s="25"/>
      <c r="KG24" s="25"/>
      <c r="KH24" s="25"/>
      <c r="KI24" s="25"/>
      <c r="KJ24" s="25"/>
      <c r="KK24" s="25"/>
      <c r="KL24" s="25"/>
      <c r="KM24" s="25"/>
      <c r="KN24" s="25"/>
      <c r="KO24" s="25"/>
      <c r="KP24" s="25"/>
      <c r="KQ24" s="25"/>
      <c r="KR24" s="25"/>
      <c r="KS24" s="25"/>
      <c r="KT24" s="25"/>
      <c r="KU24" s="25"/>
      <c r="KV24" s="25"/>
      <c r="KW24" s="25"/>
      <c r="KX24" s="25"/>
      <c r="KY24" s="25"/>
      <c r="KZ24" s="25"/>
      <c r="LA24" s="25"/>
      <c r="LB24" s="25"/>
      <c r="LC24" s="25"/>
      <c r="LD24" s="25"/>
      <c r="LE24" s="25"/>
      <c r="LF24" s="25"/>
      <c r="LG24" s="25"/>
      <c r="LH24" s="25"/>
      <c r="LI24" s="25"/>
      <c r="LJ24" s="25"/>
      <c r="LK24" s="25"/>
      <c r="LL24" s="25"/>
      <c r="LM24" s="25"/>
      <c r="LN24" s="25"/>
      <c r="LO24" s="25"/>
      <c r="LP24" s="25"/>
      <c r="LQ24" s="25"/>
      <c r="LR24" s="25"/>
      <c r="LS24" s="166"/>
      <c r="LT24" s="166"/>
      <c r="LU24" s="166"/>
      <c r="LV24" s="166"/>
      <c r="LW24" s="166"/>
      <c r="LX24" s="166"/>
      <c r="LY24" s="166"/>
      <c r="LZ24" s="166"/>
      <c r="MA24" s="166"/>
      <c r="MB24" s="166"/>
      <c r="MC24" s="166"/>
      <c r="MD24" s="166"/>
      <c r="ME24" s="166"/>
      <c r="MF24" s="166"/>
      <c r="MG24" s="166"/>
      <c r="MH24" s="166"/>
      <c r="MI24" s="166"/>
      <c r="MJ24" s="166"/>
      <c r="MK24" s="166"/>
      <c r="ML24" s="166"/>
      <c r="MM24" s="166"/>
      <c r="MN24" s="166"/>
      <c r="MO24" s="166"/>
      <c r="MP24" s="166"/>
      <c r="MQ24" s="166"/>
      <c r="MR24" s="166"/>
      <c r="MS24" s="166"/>
      <c r="MT24" s="166"/>
      <c r="MU24" s="166"/>
      <c r="MV24" s="166"/>
      <c r="MW24" s="166"/>
      <c r="MX24" s="166"/>
      <c r="MY24" s="166"/>
      <c r="MZ24" s="166"/>
      <c r="NA24" s="166"/>
      <c r="NB24" s="166"/>
      <c r="NC24" s="166"/>
      <c r="ND24" s="166"/>
      <c r="NE24" s="166"/>
      <c r="NF24" s="166"/>
      <c r="NG24" s="166"/>
      <c r="NH24" s="166"/>
      <c r="NI24" s="166"/>
      <c r="NJ24" s="166"/>
      <c r="NK24" s="166"/>
      <c r="NL24" s="166"/>
      <c r="NM24" s="166"/>
      <c r="NN24" s="166"/>
      <c r="NO24" s="166"/>
      <c r="NP24" s="166"/>
      <c r="NQ24" s="166"/>
      <c r="NR24" s="166"/>
      <c r="NS24" s="166"/>
      <c r="NT24" s="166"/>
      <c r="NU24" s="166"/>
      <c r="NV24" s="166"/>
      <c r="NW24" s="166"/>
      <c r="NX24" s="166"/>
      <c r="NY24" s="166"/>
      <c r="NZ24" s="166"/>
      <c r="OA24" s="320"/>
      <c r="OB24" s="320"/>
      <c r="OC24" s="25"/>
      <c r="OD24" s="81"/>
      <c r="OE24" s="25"/>
      <c r="OF24" s="25"/>
      <c r="OG24" s="25"/>
      <c r="OH24" s="25"/>
      <c r="OI24" s="25"/>
      <c r="OJ24" s="25"/>
      <c r="OK24" s="25"/>
      <c r="OL24" s="25"/>
      <c r="OM24" s="25"/>
      <c r="ON24" s="25"/>
      <c r="OO24" s="25"/>
      <c r="OP24" s="25"/>
      <c r="OQ24" s="25"/>
      <c r="OR2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4" s="80"/>
      <c r="OT24" s="25"/>
      <c r="OU24" s="81"/>
      <c r="OV24" s="81"/>
    </row>
    <row r="25" spans="1:412" ht="12.75" customHeight="1" x14ac:dyDescent="0.25">
      <c r="A25" s="25">
        <v>6</v>
      </c>
      <c r="B25" s="25" t="b">
        <f>NOT(ISBLANK(SEBBusinessDataTable[[#This Row],[SEBBusinessType]]))</f>
        <v>0</v>
      </c>
      <c r="C25" s="25"/>
      <c r="D25" s="25"/>
      <c r="E25" s="25"/>
      <c r="F25" s="25"/>
      <c r="G25" s="25"/>
      <c r="H25" s="25"/>
      <c r="I25" s="25"/>
      <c r="J25" s="25">
        <f>COUNTIF(SEBBusinessDataTable[[#This Row],[SEBAssociatedFlagApp1]:[SEBAssociatedFlagApp6]],"Yes")</f>
        <v>0</v>
      </c>
      <c r="K25" s="25"/>
      <c r="L25" s="25"/>
      <c r="M25" s="25"/>
      <c r="N25" s="25"/>
      <c r="O25" s="25"/>
      <c r="P25" s="25"/>
      <c r="Q25" s="320"/>
      <c r="R25" s="320"/>
      <c r="S25" s="320"/>
      <c r="T25" s="320"/>
      <c r="U25" s="320"/>
      <c r="V25" s="320"/>
      <c r="W25" s="320"/>
      <c r="X25" s="320"/>
      <c r="Y25" s="320"/>
      <c r="Z25" s="320"/>
      <c r="AA25" s="320"/>
      <c r="AB25" s="320"/>
      <c r="AC25" s="320"/>
      <c r="AD25" s="320"/>
      <c r="AE25" s="320"/>
      <c r="AF25" s="320"/>
      <c r="AG25" s="320"/>
      <c r="AH25" s="320"/>
      <c r="AI25" s="320"/>
      <c r="AJ25" s="320"/>
      <c r="AK25" s="320"/>
      <c r="AL25" s="320"/>
      <c r="AM25" s="320"/>
      <c r="AN25" s="320"/>
      <c r="AO25" s="320"/>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320"/>
      <c r="BN25" s="320"/>
      <c r="BO25" s="320"/>
      <c r="BP25" s="320"/>
      <c r="BQ25" s="320"/>
      <c r="BR25" s="320"/>
      <c r="BS25" s="320"/>
      <c r="BT25" s="25"/>
      <c r="BU25" s="25"/>
      <c r="BV25" s="25"/>
      <c r="BW25" s="25"/>
      <c r="BX25" s="25"/>
      <c r="BY25" s="25"/>
      <c r="BZ25" s="25"/>
      <c r="CA25" s="25"/>
      <c r="CB25" s="25"/>
      <c r="CC25" s="25"/>
      <c r="CD25" s="25"/>
      <c r="CE25" s="320"/>
      <c r="CF25" s="320"/>
      <c r="CG25" s="320"/>
      <c r="CH25" s="320"/>
      <c r="CI25" s="320"/>
      <c r="CJ25" s="320"/>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320"/>
      <c r="DJ25" s="320"/>
      <c r="DK25" s="320"/>
      <c r="DL25" s="320"/>
      <c r="DM25" s="320"/>
      <c r="DN25" s="320"/>
      <c r="DO25" s="55"/>
      <c r="DP25" s="55"/>
      <c r="DQ25" s="55"/>
      <c r="DR25" s="55"/>
      <c r="DS25" s="55"/>
      <c r="DT25" s="55"/>
      <c r="DU25" s="55"/>
      <c r="DV25" s="55"/>
      <c r="DW25" s="55"/>
      <c r="DX25" s="55"/>
      <c r="DY25" s="55"/>
      <c r="DZ25" s="55"/>
      <c r="EA25" s="25"/>
      <c r="EB25" s="25"/>
      <c r="EC25" s="25"/>
      <c r="ED25" s="25"/>
      <c r="EE25" s="25"/>
      <c r="EF25" s="25"/>
      <c r="EG25" s="25"/>
      <c r="EH25" s="25"/>
      <c r="EI25" s="25"/>
      <c r="EJ25" s="25"/>
      <c r="EK25" s="25"/>
      <c r="EL25" s="25"/>
      <c r="EM25" s="320"/>
      <c r="EN25" s="320"/>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81"/>
      <c r="GB25" s="81"/>
      <c r="GC25" s="81"/>
      <c r="GD25" s="81"/>
      <c r="GE25" s="81"/>
      <c r="GF25" s="81"/>
      <c r="GG25" s="587"/>
      <c r="GH25" s="587"/>
      <c r="GI25" s="587"/>
      <c r="GJ25" s="587"/>
      <c r="GK25" s="587"/>
      <c r="GL25" s="587"/>
      <c r="GM25" s="587"/>
      <c r="GN25" s="587"/>
      <c r="GO25" s="81"/>
      <c r="GP25" s="81"/>
      <c r="GQ25" s="81"/>
      <c r="GR25" s="81"/>
      <c r="GS25" s="587"/>
      <c r="GT25" s="587"/>
      <c r="GU25" s="587"/>
      <c r="GV25" s="587"/>
      <c r="GW25" s="81"/>
      <c r="GX25" s="81"/>
      <c r="GY25" s="587"/>
      <c r="GZ25" s="587"/>
      <c r="HA25" s="25"/>
      <c r="HB25" s="25"/>
      <c r="HC25" s="55"/>
      <c r="HD25" s="55"/>
      <c r="HE25" s="55"/>
      <c r="HF25" s="55"/>
      <c r="HG25" s="55"/>
      <c r="HH25" s="55"/>
      <c r="HI25" s="55"/>
      <c r="HJ25" s="55"/>
      <c r="HK25" s="55"/>
      <c r="HL25" s="55"/>
      <c r="HM25" s="55"/>
      <c r="HN25" s="55"/>
      <c r="HO25" s="55"/>
      <c r="HP25" s="55"/>
      <c r="HQ25" s="55"/>
      <c r="HR25" s="55"/>
      <c r="HS25" s="55"/>
      <c r="HT25" s="55"/>
      <c r="HU25" s="55"/>
      <c r="HV25" s="55"/>
      <c r="HW25" s="55"/>
      <c r="HX25" s="55"/>
      <c r="HY25" s="55"/>
      <c r="HZ25" s="55"/>
      <c r="IA25" s="55"/>
      <c r="IB25" s="55"/>
      <c r="IC25" s="55"/>
      <c r="ID25" s="55"/>
      <c r="IE25" s="55"/>
      <c r="IF25" s="55"/>
      <c r="IG25" s="55"/>
      <c r="IH25" s="55"/>
      <c r="II25" s="55"/>
      <c r="IJ25" s="55"/>
      <c r="IK25" s="55"/>
      <c r="IL25" s="55"/>
      <c r="IM25" s="55"/>
      <c r="IN25" s="55"/>
      <c r="IO25" s="55"/>
      <c r="IP25" s="55"/>
      <c r="IQ25" s="55"/>
      <c r="IR25" s="55"/>
      <c r="IS25" s="55"/>
      <c r="IT25" s="55"/>
      <c r="IU25" s="55"/>
      <c r="IV25" s="55"/>
      <c r="IW25" s="55"/>
      <c r="IX25" s="55"/>
      <c r="IY25" s="55"/>
      <c r="IZ25" s="55"/>
      <c r="JA25" s="55"/>
      <c r="JB25" s="55"/>
      <c r="JC25" s="55"/>
      <c r="JD25" s="55"/>
      <c r="JE25" s="55"/>
      <c r="JF25" s="55"/>
      <c r="JG25" s="55"/>
      <c r="JH25" s="55"/>
      <c r="JI25" s="55"/>
      <c r="JJ25" s="55"/>
      <c r="JK25" s="25"/>
      <c r="JL25" s="320"/>
      <c r="JM25" s="320"/>
      <c r="JN25" s="25"/>
      <c r="JO25" s="320"/>
      <c r="JP25" s="25"/>
      <c r="JQ25" s="25"/>
      <c r="JR25" s="25"/>
      <c r="JS25" s="25"/>
      <c r="JT25" s="25"/>
      <c r="JU25" s="25"/>
      <c r="JV25" s="25"/>
      <c r="JW25" s="25"/>
      <c r="JX25" s="25"/>
      <c r="JY25" s="25"/>
      <c r="JZ25" s="25"/>
      <c r="KA25" s="25"/>
      <c r="KB25" s="25"/>
      <c r="KC25" s="25"/>
      <c r="KD25" s="25"/>
      <c r="KE25" s="25"/>
      <c r="KF25" s="25"/>
      <c r="KG25" s="25"/>
      <c r="KH25" s="25"/>
      <c r="KI25" s="25"/>
      <c r="KJ25" s="25"/>
      <c r="KK25" s="25"/>
      <c r="KL25" s="25"/>
      <c r="KM25" s="25"/>
      <c r="KN25" s="25"/>
      <c r="KO25" s="25"/>
      <c r="KP25" s="25"/>
      <c r="KQ25" s="25"/>
      <c r="KR25" s="25"/>
      <c r="KS25" s="25"/>
      <c r="KT25" s="25"/>
      <c r="KU25" s="25"/>
      <c r="KV25" s="25"/>
      <c r="KW25" s="25"/>
      <c r="KX25" s="25"/>
      <c r="KY25" s="25"/>
      <c r="KZ25" s="25"/>
      <c r="LA25" s="25"/>
      <c r="LB25" s="25"/>
      <c r="LC25" s="25"/>
      <c r="LD25" s="25"/>
      <c r="LE25" s="25"/>
      <c r="LF25" s="25"/>
      <c r="LG25" s="25"/>
      <c r="LH25" s="25"/>
      <c r="LI25" s="25"/>
      <c r="LJ25" s="25"/>
      <c r="LK25" s="25"/>
      <c r="LL25" s="25"/>
      <c r="LM25" s="25"/>
      <c r="LN25" s="25"/>
      <c r="LO25" s="25"/>
      <c r="LP25" s="25"/>
      <c r="LQ25" s="25"/>
      <c r="LR25" s="25"/>
      <c r="LS25" s="166"/>
      <c r="LT25" s="166"/>
      <c r="LU25" s="166"/>
      <c r="LV25" s="166"/>
      <c r="LW25" s="166"/>
      <c r="LX25" s="166"/>
      <c r="LY25" s="166"/>
      <c r="LZ25" s="166"/>
      <c r="MA25" s="166"/>
      <c r="MB25" s="166"/>
      <c r="MC25" s="166"/>
      <c r="MD25" s="166"/>
      <c r="ME25" s="166"/>
      <c r="MF25" s="166"/>
      <c r="MG25" s="166"/>
      <c r="MH25" s="166"/>
      <c r="MI25" s="166"/>
      <c r="MJ25" s="166"/>
      <c r="MK25" s="166"/>
      <c r="ML25" s="166"/>
      <c r="MM25" s="166"/>
      <c r="MN25" s="166"/>
      <c r="MO25" s="166"/>
      <c r="MP25" s="166"/>
      <c r="MQ25" s="166"/>
      <c r="MR25" s="166"/>
      <c r="MS25" s="166"/>
      <c r="MT25" s="166"/>
      <c r="MU25" s="166"/>
      <c r="MV25" s="166"/>
      <c r="MW25" s="166"/>
      <c r="MX25" s="166"/>
      <c r="MY25" s="166"/>
      <c r="MZ25" s="166"/>
      <c r="NA25" s="166"/>
      <c r="NB25" s="166"/>
      <c r="NC25" s="166"/>
      <c r="ND25" s="166"/>
      <c r="NE25" s="166"/>
      <c r="NF25" s="166"/>
      <c r="NG25" s="166"/>
      <c r="NH25" s="166"/>
      <c r="NI25" s="166"/>
      <c r="NJ25" s="166"/>
      <c r="NK25" s="166"/>
      <c r="NL25" s="166"/>
      <c r="NM25" s="166"/>
      <c r="NN25" s="166"/>
      <c r="NO25" s="166"/>
      <c r="NP25" s="166"/>
      <c r="NQ25" s="166"/>
      <c r="NR25" s="166"/>
      <c r="NS25" s="166"/>
      <c r="NT25" s="166"/>
      <c r="NU25" s="166"/>
      <c r="NV25" s="166"/>
      <c r="NW25" s="166"/>
      <c r="NX25" s="166"/>
      <c r="NY25" s="166"/>
      <c r="NZ25" s="166"/>
      <c r="OA25" s="320"/>
      <c r="OB25" s="320"/>
      <c r="OC25" s="25"/>
      <c r="OD25" s="81"/>
      <c r="OE25" s="25"/>
      <c r="OF25" s="25"/>
      <c r="OG25" s="25"/>
      <c r="OH25" s="25"/>
      <c r="OI25" s="25"/>
      <c r="OJ25" s="25"/>
      <c r="OK25" s="25"/>
      <c r="OL25" s="25"/>
      <c r="OM25" s="25"/>
      <c r="ON25" s="25"/>
      <c r="OO25" s="25"/>
      <c r="OP25" s="25"/>
      <c r="OQ25" s="25"/>
      <c r="OR2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5" s="81"/>
      <c r="OT25" s="25"/>
      <c r="OU25" s="81"/>
      <c r="OV25" s="81"/>
    </row>
    <row r="26" spans="1:412" ht="12.75" customHeight="1" x14ac:dyDescent="0.25">
      <c r="A26" s="25">
        <v>7</v>
      </c>
      <c r="B26" s="25" t="b">
        <f>NOT(ISBLANK(SEBBusinessDataTable[[#This Row],[SEBBusinessType]]))</f>
        <v>0</v>
      </c>
      <c r="C26" s="25"/>
      <c r="D26" s="25"/>
      <c r="E26" s="25"/>
      <c r="F26" s="25"/>
      <c r="G26" s="25"/>
      <c r="H26" s="25"/>
      <c r="I26" s="25"/>
      <c r="J26" s="25">
        <f>COUNTIF(SEBBusinessDataTable[[#This Row],[SEBAssociatedFlagApp1]:[SEBAssociatedFlagApp6]],"Yes")</f>
        <v>0</v>
      </c>
      <c r="K26" s="25"/>
      <c r="L26" s="25"/>
      <c r="M26" s="25"/>
      <c r="N26" s="25"/>
      <c r="O26" s="25"/>
      <c r="P26" s="25"/>
      <c r="Q26" s="320"/>
      <c r="R26" s="320"/>
      <c r="S26" s="320"/>
      <c r="T26" s="320"/>
      <c r="U26" s="320"/>
      <c r="V26" s="320"/>
      <c r="W26" s="320"/>
      <c r="X26" s="320"/>
      <c r="Y26" s="320"/>
      <c r="Z26" s="320"/>
      <c r="AA26" s="320"/>
      <c r="AB26" s="320"/>
      <c r="AC26" s="320"/>
      <c r="AD26" s="320"/>
      <c r="AE26" s="320"/>
      <c r="AF26" s="320"/>
      <c r="AG26" s="320"/>
      <c r="AH26" s="320"/>
      <c r="AI26" s="320"/>
      <c r="AJ26" s="320"/>
      <c r="AK26" s="320"/>
      <c r="AL26" s="320"/>
      <c r="AM26" s="320"/>
      <c r="AN26" s="320"/>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320"/>
      <c r="BN26" s="320"/>
      <c r="BO26" s="320"/>
      <c r="BP26" s="320"/>
      <c r="BQ26" s="320"/>
      <c r="BR26" s="320"/>
      <c r="BS26" s="25"/>
      <c r="BT26" s="25"/>
      <c r="BU26" s="25"/>
      <c r="BV26" s="25"/>
      <c r="BW26" s="25"/>
      <c r="BX26" s="25"/>
      <c r="BY26" s="25"/>
      <c r="BZ26" s="25"/>
      <c r="CA26" s="25"/>
      <c r="CB26" s="25"/>
      <c r="CC26" s="25"/>
      <c r="CD26" s="25"/>
      <c r="CE26" s="320"/>
      <c r="CF26" s="320"/>
      <c r="CG26" s="320"/>
      <c r="CH26" s="320"/>
      <c r="CI26" s="320"/>
      <c r="CJ26" s="320"/>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320"/>
      <c r="DJ26" s="320"/>
      <c r="DK26" s="320"/>
      <c r="DL26" s="320"/>
      <c r="DM26" s="320"/>
      <c r="DN26" s="320"/>
      <c r="DO26" s="55"/>
      <c r="DP26" s="55"/>
      <c r="DQ26" s="55"/>
      <c r="DR26" s="55"/>
      <c r="DS26" s="55"/>
      <c r="DT26" s="55"/>
      <c r="DU26" s="55"/>
      <c r="DV26" s="55"/>
      <c r="DW26" s="55"/>
      <c r="DX26" s="55"/>
      <c r="DY26" s="55"/>
      <c r="DZ26" s="55"/>
      <c r="EA26" s="25"/>
      <c r="EB26" s="25"/>
      <c r="EC26" s="25"/>
      <c r="ED26" s="25"/>
      <c r="EE26" s="25"/>
      <c r="EF26" s="25"/>
      <c r="EG26" s="25"/>
      <c r="EH26" s="25"/>
      <c r="EI26" s="25"/>
      <c r="EJ26" s="25"/>
      <c r="EK26" s="25"/>
      <c r="EL26" s="25"/>
      <c r="EM26" s="320"/>
      <c r="EN26" s="320"/>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81"/>
      <c r="GB26" s="81"/>
      <c r="GC26" s="81"/>
      <c r="GD26" s="81"/>
      <c r="GE26" s="81"/>
      <c r="GF26" s="81"/>
      <c r="GG26" s="587"/>
      <c r="GH26" s="587"/>
      <c r="GI26" s="587"/>
      <c r="GJ26" s="587"/>
      <c r="GK26" s="587"/>
      <c r="GL26" s="587"/>
      <c r="GM26" s="587"/>
      <c r="GN26" s="587"/>
      <c r="GO26" s="81"/>
      <c r="GP26" s="81"/>
      <c r="GQ26" s="81"/>
      <c r="GR26" s="81"/>
      <c r="GS26" s="587"/>
      <c r="GT26" s="587"/>
      <c r="GU26" s="587"/>
      <c r="GV26" s="587"/>
      <c r="GW26" s="587"/>
      <c r="GX26" s="81"/>
      <c r="GY26" s="587"/>
      <c r="GZ26" s="587"/>
      <c r="HA26" s="25"/>
      <c r="HB26" s="25"/>
      <c r="HC26" s="55"/>
      <c r="HD26" s="55"/>
      <c r="HE26" s="55"/>
      <c r="HF26" s="55"/>
      <c r="HG26" s="55"/>
      <c r="HH26" s="55"/>
      <c r="HI26" s="55"/>
      <c r="HJ26" s="55"/>
      <c r="HK26" s="55"/>
      <c r="HL26" s="55"/>
      <c r="HM26" s="55"/>
      <c r="HN26" s="55"/>
      <c r="HO26" s="55"/>
      <c r="HP26" s="55"/>
      <c r="HQ26" s="55"/>
      <c r="HR26" s="55"/>
      <c r="HS26" s="55"/>
      <c r="HT26" s="55"/>
      <c r="HU26" s="55"/>
      <c r="HV26" s="55"/>
      <c r="HW26" s="55"/>
      <c r="HX26" s="55"/>
      <c r="HY26" s="55"/>
      <c r="HZ26" s="55"/>
      <c r="IA26" s="55"/>
      <c r="IB26" s="55"/>
      <c r="IC26" s="55"/>
      <c r="ID26" s="55"/>
      <c r="IE26" s="55"/>
      <c r="IF26" s="55"/>
      <c r="IG26" s="55"/>
      <c r="IH26" s="55"/>
      <c r="II26" s="55"/>
      <c r="IJ26" s="55"/>
      <c r="IK26" s="55"/>
      <c r="IL26" s="55"/>
      <c r="IM26" s="55"/>
      <c r="IN26" s="55"/>
      <c r="IO26" s="55"/>
      <c r="IP26" s="55"/>
      <c r="IQ26" s="55"/>
      <c r="IR26" s="55"/>
      <c r="IS26" s="55"/>
      <c r="IT26" s="55"/>
      <c r="IU26" s="55"/>
      <c r="IV26" s="55"/>
      <c r="IW26" s="55"/>
      <c r="IX26" s="55"/>
      <c r="IY26" s="55"/>
      <c r="IZ26" s="55"/>
      <c r="JA26" s="55"/>
      <c r="JB26" s="55"/>
      <c r="JC26" s="55"/>
      <c r="JD26" s="55"/>
      <c r="JE26" s="55"/>
      <c r="JF26" s="55"/>
      <c r="JG26" s="55"/>
      <c r="JH26" s="55"/>
      <c r="JI26" s="55"/>
      <c r="JJ26" s="55"/>
      <c r="JK26" s="25"/>
      <c r="JL26" s="25"/>
      <c r="JM26" s="25"/>
      <c r="JN26" s="25"/>
      <c r="JO26" s="25"/>
      <c r="JP26" s="25"/>
      <c r="JQ26" s="25"/>
      <c r="JR26" s="25"/>
      <c r="JS26" s="25"/>
      <c r="JT26" s="25"/>
      <c r="JU26" s="25"/>
      <c r="JV26" s="25"/>
      <c r="JW26" s="25"/>
      <c r="JX26" s="25"/>
      <c r="JY26" s="25"/>
      <c r="JZ26" s="25"/>
      <c r="KA26" s="25"/>
      <c r="KB26" s="25"/>
      <c r="KC26" s="25"/>
      <c r="KD26" s="25"/>
      <c r="KE26" s="25"/>
      <c r="KF26" s="25"/>
      <c r="KG26" s="25"/>
      <c r="KH26" s="25"/>
      <c r="KI26" s="25"/>
      <c r="KJ26" s="25"/>
      <c r="KK26" s="25"/>
      <c r="KL26" s="25"/>
      <c r="KM26" s="25"/>
      <c r="KN26" s="25"/>
      <c r="KO26" s="25"/>
      <c r="KP26" s="25"/>
      <c r="KQ26" s="25"/>
      <c r="KR26" s="25"/>
      <c r="KS26" s="25"/>
      <c r="KT26" s="25"/>
      <c r="KU26" s="25"/>
      <c r="KV26" s="25"/>
      <c r="KW26" s="25"/>
      <c r="KX26" s="25"/>
      <c r="KY26" s="25"/>
      <c r="KZ26" s="25"/>
      <c r="LA26" s="25"/>
      <c r="LB26" s="25"/>
      <c r="LC26" s="25"/>
      <c r="LD26" s="25"/>
      <c r="LE26" s="25"/>
      <c r="LF26" s="25"/>
      <c r="LG26" s="25"/>
      <c r="LH26" s="25"/>
      <c r="LI26" s="25"/>
      <c r="LJ26" s="25"/>
      <c r="LK26" s="25"/>
      <c r="LL26" s="25"/>
      <c r="LM26" s="25"/>
      <c r="LN26" s="25"/>
      <c r="LO26" s="25"/>
      <c r="LP26" s="25"/>
      <c r="LQ26" s="25"/>
      <c r="LR26" s="25"/>
      <c r="LS26" s="166"/>
      <c r="LT26" s="166"/>
      <c r="LU26" s="166"/>
      <c r="LV26" s="166"/>
      <c r="LW26" s="166"/>
      <c r="LX26" s="166"/>
      <c r="LY26" s="166"/>
      <c r="LZ26" s="166"/>
      <c r="MA26" s="166"/>
      <c r="MB26" s="166"/>
      <c r="MC26" s="166"/>
      <c r="MD26" s="166"/>
      <c r="ME26" s="166"/>
      <c r="MF26" s="166"/>
      <c r="MG26" s="166"/>
      <c r="MH26" s="166"/>
      <c r="MI26" s="166"/>
      <c r="MJ26" s="166"/>
      <c r="MK26" s="166"/>
      <c r="ML26" s="166"/>
      <c r="MM26" s="166"/>
      <c r="MN26" s="166"/>
      <c r="MO26" s="166"/>
      <c r="MP26" s="166"/>
      <c r="MQ26" s="166"/>
      <c r="MR26" s="166"/>
      <c r="MS26" s="166"/>
      <c r="MT26" s="166"/>
      <c r="MU26" s="166"/>
      <c r="MV26" s="166"/>
      <c r="MW26" s="166"/>
      <c r="MX26" s="166"/>
      <c r="MY26" s="166"/>
      <c r="MZ26" s="166"/>
      <c r="NA26" s="166"/>
      <c r="NB26" s="166"/>
      <c r="NC26" s="166"/>
      <c r="ND26" s="166"/>
      <c r="NE26" s="166"/>
      <c r="NF26" s="166"/>
      <c r="NG26" s="166"/>
      <c r="NH26" s="166"/>
      <c r="NI26" s="166"/>
      <c r="NJ26" s="166"/>
      <c r="NK26" s="166"/>
      <c r="NL26" s="166"/>
      <c r="NM26" s="166"/>
      <c r="NN26" s="166"/>
      <c r="NO26" s="166"/>
      <c r="NP26" s="166"/>
      <c r="NQ26" s="166"/>
      <c r="NR26" s="166"/>
      <c r="NS26" s="166"/>
      <c r="NT26" s="166"/>
      <c r="NU26" s="166"/>
      <c r="NV26" s="166"/>
      <c r="NW26" s="166"/>
      <c r="NX26" s="166"/>
      <c r="NY26" s="166"/>
      <c r="NZ26" s="166"/>
      <c r="OA26" s="25"/>
      <c r="OB26" s="25"/>
      <c r="OC26" s="25"/>
      <c r="OD26" s="81"/>
      <c r="OE26" s="25"/>
      <c r="OF26" s="25"/>
      <c r="OG26" s="25"/>
      <c r="OH26" s="25"/>
      <c r="OI26" s="25"/>
      <c r="OJ26" s="25"/>
      <c r="OK26" s="25"/>
      <c r="OL26" s="25"/>
      <c r="OM26" s="25"/>
      <c r="ON26" s="25"/>
      <c r="OO26" s="25"/>
      <c r="OP26" s="25"/>
      <c r="OQ26" s="25"/>
      <c r="OR2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6" s="81"/>
      <c r="OT26" s="25"/>
      <c r="OU26" s="81"/>
      <c r="OV26" s="81"/>
    </row>
    <row r="27" spans="1:412" ht="12.75" customHeight="1" x14ac:dyDescent="0.25">
      <c r="A27" s="25">
        <v>8</v>
      </c>
      <c r="B27" s="25" t="b">
        <f>NOT(ISBLANK(SEBBusinessDataTable[[#This Row],[SEBBusinessType]]))</f>
        <v>0</v>
      </c>
      <c r="C27" s="25"/>
      <c r="D27" s="25"/>
      <c r="E27" s="25"/>
      <c r="F27" s="81"/>
      <c r="G27" s="25"/>
      <c r="H27" s="25"/>
      <c r="I27" s="25"/>
      <c r="J27" s="25">
        <f>COUNTIF(SEBBusinessDataTable[[#This Row],[SEBAssociatedFlagApp1]:[SEBAssociatedFlagApp6]],"Yes")</f>
        <v>0</v>
      </c>
      <c r="K27" s="25"/>
      <c r="L27" s="25"/>
      <c r="M27" s="25"/>
      <c r="N27" s="25"/>
      <c r="O27" s="25"/>
      <c r="P27" s="25"/>
      <c r="Q27" s="320"/>
      <c r="R27" s="320"/>
      <c r="S27" s="320"/>
      <c r="T27" s="320"/>
      <c r="U27" s="320"/>
      <c r="V27" s="320"/>
      <c r="W27" s="320"/>
      <c r="X27" s="320"/>
      <c r="Y27" s="320"/>
      <c r="Z27" s="320"/>
      <c r="AA27" s="320"/>
      <c r="AB27" s="320"/>
      <c r="AC27" s="320"/>
      <c r="AD27" s="320"/>
      <c r="AE27" s="320"/>
      <c r="AF27" s="320"/>
      <c r="AG27" s="320"/>
      <c r="AH27" s="320"/>
      <c r="AI27" s="320"/>
      <c r="AJ27" s="320"/>
      <c r="AK27" s="320"/>
      <c r="AL27" s="320"/>
      <c r="AM27" s="320"/>
      <c r="AN27" s="320"/>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320"/>
      <c r="BN27" s="320"/>
      <c r="BO27" s="320"/>
      <c r="BP27" s="320"/>
      <c r="BQ27" s="320"/>
      <c r="BR27" s="320"/>
      <c r="BS27" s="320"/>
      <c r="BT27" s="25"/>
      <c r="BU27" s="25"/>
      <c r="BV27" s="25"/>
      <c r="BW27" s="25"/>
      <c r="BX27" s="25"/>
      <c r="BY27" s="25"/>
      <c r="BZ27" s="25"/>
      <c r="CA27" s="25"/>
      <c r="CB27" s="25"/>
      <c r="CC27" s="25"/>
      <c r="CD27" s="25"/>
      <c r="CE27" s="320"/>
      <c r="CF27" s="320"/>
      <c r="CG27" s="320"/>
      <c r="CH27" s="320"/>
      <c r="CI27" s="320"/>
      <c r="CJ27" s="320"/>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320"/>
      <c r="DJ27" s="320"/>
      <c r="DK27" s="320"/>
      <c r="DL27" s="320"/>
      <c r="DM27" s="320"/>
      <c r="DN27" s="320"/>
      <c r="DO27" s="55"/>
      <c r="DP27" s="55"/>
      <c r="DQ27" s="55"/>
      <c r="DR27" s="55"/>
      <c r="DS27" s="55"/>
      <c r="DT27" s="55"/>
      <c r="DU27" s="55"/>
      <c r="DV27" s="55"/>
      <c r="DW27" s="55"/>
      <c r="DX27" s="55"/>
      <c r="DY27" s="55"/>
      <c r="DZ27" s="5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81"/>
      <c r="GB27" s="81"/>
      <c r="GC27" s="81"/>
      <c r="GD27" s="81"/>
      <c r="GE27" s="81"/>
      <c r="GF27" s="81"/>
      <c r="GG27" s="587"/>
      <c r="GH27" s="587"/>
      <c r="GI27" s="587"/>
      <c r="GJ27" s="587"/>
      <c r="GK27" s="587"/>
      <c r="GL27" s="587"/>
      <c r="GM27" s="587"/>
      <c r="GN27" s="587"/>
      <c r="GO27" s="81"/>
      <c r="GP27" s="81"/>
      <c r="GQ27" s="81"/>
      <c r="GR27" s="81"/>
      <c r="GS27" s="587"/>
      <c r="GT27" s="587"/>
      <c r="GU27" s="587"/>
      <c r="GV27" s="587"/>
      <c r="GW27" s="81"/>
      <c r="GX27" s="81"/>
      <c r="GY27" s="587"/>
      <c r="GZ27" s="587"/>
      <c r="HA27" s="25"/>
      <c r="HB27" s="25"/>
      <c r="HC27" s="55"/>
      <c r="HD27" s="55"/>
      <c r="HE27" s="55"/>
      <c r="HF27" s="55"/>
      <c r="HG27" s="55"/>
      <c r="HH27" s="55"/>
      <c r="HI27" s="55"/>
      <c r="HJ27" s="55"/>
      <c r="HK27" s="55"/>
      <c r="HL27" s="55"/>
      <c r="HM27" s="55"/>
      <c r="HN27" s="55"/>
      <c r="HO27" s="55"/>
      <c r="HP27" s="55"/>
      <c r="HQ27" s="55"/>
      <c r="HR27" s="55"/>
      <c r="HS27" s="55"/>
      <c r="HT27" s="55"/>
      <c r="HU27" s="55"/>
      <c r="HV27" s="55"/>
      <c r="HW27" s="55"/>
      <c r="HX27" s="55"/>
      <c r="HY27" s="55"/>
      <c r="HZ27" s="55"/>
      <c r="IA27" s="55"/>
      <c r="IB27" s="55"/>
      <c r="IC27" s="55"/>
      <c r="ID27" s="55"/>
      <c r="IE27" s="55"/>
      <c r="IF27" s="55"/>
      <c r="IG27" s="55"/>
      <c r="IH27" s="55"/>
      <c r="II27" s="55"/>
      <c r="IJ27" s="55"/>
      <c r="IK27" s="55"/>
      <c r="IL27" s="55"/>
      <c r="IM27" s="55"/>
      <c r="IN27" s="55"/>
      <c r="IO27" s="55"/>
      <c r="IP27" s="55"/>
      <c r="IQ27" s="55"/>
      <c r="IR27" s="55"/>
      <c r="IS27" s="55"/>
      <c r="IT27" s="55"/>
      <c r="IU27" s="55"/>
      <c r="IV27" s="55"/>
      <c r="IW27" s="55"/>
      <c r="IX27" s="55"/>
      <c r="IY27" s="55"/>
      <c r="IZ27" s="55"/>
      <c r="JA27" s="55"/>
      <c r="JB27" s="55"/>
      <c r="JC27" s="55"/>
      <c r="JD27" s="55"/>
      <c r="JE27" s="55"/>
      <c r="JF27" s="55"/>
      <c r="JG27" s="55"/>
      <c r="JH27" s="55"/>
      <c r="JI27" s="55"/>
      <c r="JJ27" s="55"/>
      <c r="JK27" s="25"/>
      <c r="JL27" s="25"/>
      <c r="JM27" s="25"/>
      <c r="JN27" s="25"/>
      <c r="JO27" s="25"/>
      <c r="JP27" s="25"/>
      <c r="JQ27" s="25"/>
      <c r="JR27" s="25"/>
      <c r="JS27" s="25"/>
      <c r="JT27" s="25"/>
      <c r="JU27" s="25"/>
      <c r="JV27" s="25"/>
      <c r="JW27" s="25"/>
      <c r="JX27" s="25"/>
      <c r="JY27" s="25"/>
      <c r="JZ27" s="25"/>
      <c r="KA27" s="25"/>
      <c r="KB27" s="25"/>
      <c r="KC27" s="25"/>
      <c r="KD27" s="25"/>
      <c r="KE27" s="25"/>
      <c r="KF27" s="25"/>
      <c r="KG27" s="25"/>
      <c r="KH27" s="25"/>
      <c r="KI27" s="25"/>
      <c r="KJ27" s="25"/>
      <c r="KK27" s="25"/>
      <c r="KL27" s="25"/>
      <c r="KM27" s="25"/>
      <c r="KN27" s="25"/>
      <c r="KO27" s="25"/>
      <c r="KP27" s="25"/>
      <c r="KQ27" s="25"/>
      <c r="KR27" s="25"/>
      <c r="KS27" s="25"/>
      <c r="KT27" s="25"/>
      <c r="KU27" s="25"/>
      <c r="KV27" s="25"/>
      <c r="KW27" s="25"/>
      <c r="KX27" s="25"/>
      <c r="KY27" s="25"/>
      <c r="KZ27" s="25"/>
      <c r="LA27" s="25"/>
      <c r="LB27" s="25"/>
      <c r="LC27" s="25"/>
      <c r="LD27" s="25"/>
      <c r="LE27" s="25"/>
      <c r="LF27" s="25"/>
      <c r="LG27" s="25"/>
      <c r="LH27" s="25"/>
      <c r="LI27" s="25"/>
      <c r="LJ27" s="25"/>
      <c r="LK27" s="25"/>
      <c r="LL27" s="25"/>
      <c r="LM27" s="25"/>
      <c r="LN27" s="25"/>
      <c r="LO27" s="25"/>
      <c r="LP27" s="25"/>
      <c r="LQ27" s="25"/>
      <c r="LR27" s="25"/>
      <c r="LS27" s="166"/>
      <c r="LT27" s="166"/>
      <c r="LU27" s="166"/>
      <c r="LV27" s="166"/>
      <c r="LW27" s="166"/>
      <c r="LX27" s="166"/>
      <c r="LY27" s="166"/>
      <c r="LZ27" s="166"/>
      <c r="MA27" s="166"/>
      <c r="MB27" s="166"/>
      <c r="MC27" s="166"/>
      <c r="MD27" s="166"/>
      <c r="ME27" s="166"/>
      <c r="MF27" s="166"/>
      <c r="MG27" s="166"/>
      <c r="MH27" s="166"/>
      <c r="MI27" s="166"/>
      <c r="MJ27" s="166"/>
      <c r="MK27" s="166"/>
      <c r="ML27" s="166"/>
      <c r="MM27" s="166"/>
      <c r="MN27" s="166"/>
      <c r="MO27" s="166"/>
      <c r="MP27" s="166"/>
      <c r="MQ27" s="166"/>
      <c r="MR27" s="166"/>
      <c r="MS27" s="166"/>
      <c r="MT27" s="166"/>
      <c r="MU27" s="166"/>
      <c r="MV27" s="166"/>
      <c r="MW27" s="166"/>
      <c r="MX27" s="166"/>
      <c r="MY27" s="166"/>
      <c r="MZ27" s="166"/>
      <c r="NA27" s="166"/>
      <c r="NB27" s="166"/>
      <c r="NC27" s="166"/>
      <c r="ND27" s="166"/>
      <c r="NE27" s="166"/>
      <c r="NF27" s="166"/>
      <c r="NG27" s="166"/>
      <c r="NH27" s="166"/>
      <c r="NI27" s="166"/>
      <c r="NJ27" s="166"/>
      <c r="NK27" s="166"/>
      <c r="NL27" s="166"/>
      <c r="NM27" s="166"/>
      <c r="NN27" s="166"/>
      <c r="NO27" s="166"/>
      <c r="NP27" s="166"/>
      <c r="NQ27" s="166"/>
      <c r="NR27" s="166"/>
      <c r="NS27" s="166"/>
      <c r="NT27" s="166"/>
      <c r="NU27" s="166"/>
      <c r="NV27" s="166"/>
      <c r="NW27" s="166"/>
      <c r="NX27" s="166"/>
      <c r="NY27" s="166"/>
      <c r="NZ27" s="166"/>
      <c r="OA27" s="25"/>
      <c r="OB27" s="25"/>
      <c r="OC27" s="25"/>
      <c r="OD27" s="81"/>
      <c r="OE27" s="25"/>
      <c r="OF27" s="25"/>
      <c r="OG27" s="25"/>
      <c r="OH27" s="25"/>
      <c r="OI27" s="25"/>
      <c r="OJ27" s="25"/>
      <c r="OK27" s="25"/>
      <c r="OL27" s="25"/>
      <c r="OM27" s="25"/>
      <c r="ON27" s="25"/>
      <c r="OO27" s="25"/>
      <c r="OP27" s="25"/>
      <c r="OQ27" s="25"/>
      <c r="OR2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7" s="80"/>
      <c r="OT27" s="25"/>
      <c r="OU27" s="81"/>
      <c r="OV27" s="81"/>
    </row>
    <row r="28" spans="1:412" ht="12.75" customHeight="1" x14ac:dyDescent="0.25">
      <c r="A28" s="25">
        <v>9</v>
      </c>
      <c r="B28" s="25" t="b">
        <f>NOT(ISBLANK(SEBBusinessDataTable[[#This Row],[SEBBusinessType]]))</f>
        <v>0</v>
      </c>
      <c r="C28" s="25"/>
      <c r="D28" s="25"/>
      <c r="E28" s="25"/>
      <c r="F28" s="25"/>
      <c r="G28" s="25"/>
      <c r="H28" s="25"/>
      <c r="I28" s="25"/>
      <c r="J28" s="25">
        <f>COUNTIF(SEBBusinessDataTable[[#This Row],[SEBAssociatedFlagApp1]:[SEBAssociatedFlagApp6]],"Yes")</f>
        <v>0</v>
      </c>
      <c r="K28" s="25"/>
      <c r="L28" s="25"/>
      <c r="M28" s="25"/>
      <c r="N28" s="25"/>
      <c r="O28" s="25"/>
      <c r="P28" s="25"/>
      <c r="Q28" s="320"/>
      <c r="R28" s="320"/>
      <c r="S28" s="320"/>
      <c r="T28" s="320"/>
      <c r="U28" s="320"/>
      <c r="V28" s="320"/>
      <c r="W28" s="320"/>
      <c r="X28" s="320"/>
      <c r="Y28" s="320"/>
      <c r="Z28" s="320"/>
      <c r="AA28" s="320"/>
      <c r="AB28" s="320"/>
      <c r="AC28" s="320"/>
      <c r="AD28" s="320"/>
      <c r="AE28" s="320"/>
      <c r="AF28" s="320"/>
      <c r="AG28" s="320"/>
      <c r="AH28" s="320"/>
      <c r="AI28" s="320"/>
      <c r="AJ28" s="320"/>
      <c r="AK28" s="320"/>
      <c r="AL28" s="320"/>
      <c r="AM28" s="320"/>
      <c r="AN28" s="320"/>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320"/>
      <c r="BN28" s="320"/>
      <c r="BO28" s="320"/>
      <c r="BP28" s="320"/>
      <c r="BQ28" s="320"/>
      <c r="BR28" s="320"/>
      <c r="BS28" s="25"/>
      <c r="BT28" s="25"/>
      <c r="BU28" s="25"/>
      <c r="BV28" s="25"/>
      <c r="BW28" s="25"/>
      <c r="BX28" s="25"/>
      <c r="BY28" s="25"/>
      <c r="BZ28" s="25"/>
      <c r="CA28" s="25"/>
      <c r="CB28" s="25"/>
      <c r="CC28" s="25"/>
      <c r="CD28" s="25"/>
      <c r="CE28" s="320"/>
      <c r="CF28" s="320"/>
      <c r="CG28" s="320"/>
      <c r="CH28" s="320"/>
      <c r="CI28" s="320"/>
      <c r="CJ28" s="320"/>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320"/>
      <c r="DJ28" s="320"/>
      <c r="DK28" s="320"/>
      <c r="DL28" s="320"/>
      <c r="DM28" s="320"/>
      <c r="DN28" s="320"/>
      <c r="DO28" s="55"/>
      <c r="DP28" s="55"/>
      <c r="DQ28" s="55"/>
      <c r="DR28" s="55"/>
      <c r="DS28" s="55"/>
      <c r="DT28" s="55"/>
      <c r="DU28" s="55"/>
      <c r="DV28" s="55"/>
      <c r="DW28" s="55"/>
      <c r="DX28" s="55"/>
      <c r="DY28" s="55"/>
      <c r="DZ28" s="5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81"/>
      <c r="GB28" s="81"/>
      <c r="GC28" s="81"/>
      <c r="GD28" s="81"/>
      <c r="GE28" s="81"/>
      <c r="GF28" s="81"/>
      <c r="GG28" s="587"/>
      <c r="GH28" s="587"/>
      <c r="GI28" s="587"/>
      <c r="GJ28" s="587"/>
      <c r="GK28" s="587"/>
      <c r="GL28" s="587"/>
      <c r="GM28" s="587"/>
      <c r="GN28" s="587"/>
      <c r="GO28" s="81"/>
      <c r="GP28" s="81"/>
      <c r="GQ28" s="81"/>
      <c r="GR28" s="81"/>
      <c r="GS28" s="587"/>
      <c r="GT28" s="587"/>
      <c r="GU28" s="587"/>
      <c r="GV28" s="587"/>
      <c r="GW28" s="81"/>
      <c r="GX28" s="81"/>
      <c r="GY28" s="587"/>
      <c r="GZ28" s="587"/>
      <c r="HA28" s="25"/>
      <c r="HB28" s="25"/>
      <c r="HC28" s="55"/>
      <c r="HD28" s="55"/>
      <c r="HE28" s="55"/>
      <c r="HF28" s="55"/>
      <c r="HG28" s="55"/>
      <c r="HH28" s="55"/>
      <c r="HI28" s="55"/>
      <c r="HJ28" s="55"/>
      <c r="HK28" s="55"/>
      <c r="HL28" s="55"/>
      <c r="HM28" s="55"/>
      <c r="HN28" s="55"/>
      <c r="HO28" s="55"/>
      <c r="HP28" s="55"/>
      <c r="HQ28" s="55"/>
      <c r="HR28" s="55"/>
      <c r="HS28" s="55"/>
      <c r="HT28" s="55"/>
      <c r="HU28" s="55"/>
      <c r="HV28" s="55"/>
      <c r="HW28" s="55"/>
      <c r="HX28" s="55"/>
      <c r="HY28" s="55"/>
      <c r="HZ28" s="55"/>
      <c r="IA28" s="55"/>
      <c r="IB28" s="55"/>
      <c r="IC28" s="55"/>
      <c r="ID28" s="55"/>
      <c r="IE28" s="55"/>
      <c r="IF28" s="55"/>
      <c r="IG28" s="55"/>
      <c r="IH28" s="55"/>
      <c r="II28" s="55"/>
      <c r="IJ28" s="55"/>
      <c r="IK28" s="55"/>
      <c r="IL28" s="55"/>
      <c r="IM28" s="55"/>
      <c r="IN28" s="55"/>
      <c r="IO28" s="55"/>
      <c r="IP28" s="55"/>
      <c r="IQ28" s="55"/>
      <c r="IR28" s="55"/>
      <c r="IS28" s="55"/>
      <c r="IT28" s="55"/>
      <c r="IU28" s="55"/>
      <c r="IV28" s="55"/>
      <c r="IW28" s="55"/>
      <c r="IX28" s="55"/>
      <c r="IY28" s="55"/>
      <c r="IZ28" s="55"/>
      <c r="JA28" s="55"/>
      <c r="JB28" s="55"/>
      <c r="JC28" s="55"/>
      <c r="JD28" s="55"/>
      <c r="JE28" s="55"/>
      <c r="JF28" s="55"/>
      <c r="JG28" s="55"/>
      <c r="JH28" s="55"/>
      <c r="JI28" s="55"/>
      <c r="JJ28" s="55"/>
      <c r="JK28" s="25"/>
      <c r="JL28" s="25"/>
      <c r="JM28" s="25"/>
      <c r="JN28" s="25"/>
      <c r="JO28" s="25"/>
      <c r="JP28" s="25"/>
      <c r="JQ28" s="25"/>
      <c r="JR28" s="25"/>
      <c r="JS28" s="25"/>
      <c r="JT28" s="25"/>
      <c r="JU28" s="25"/>
      <c r="JV28" s="25"/>
      <c r="JW28" s="25"/>
      <c r="JX28" s="25"/>
      <c r="JY28" s="25"/>
      <c r="JZ28" s="25"/>
      <c r="KA28" s="25"/>
      <c r="KB28" s="25"/>
      <c r="KC28" s="25"/>
      <c r="KD28" s="25"/>
      <c r="KE28" s="25"/>
      <c r="KF28" s="25"/>
      <c r="KG28" s="25"/>
      <c r="KH28" s="25"/>
      <c r="KI28" s="25"/>
      <c r="KJ28" s="25"/>
      <c r="KK28" s="25"/>
      <c r="KL28" s="25"/>
      <c r="KM28" s="25"/>
      <c r="KN28" s="25"/>
      <c r="KO28" s="25"/>
      <c r="KP28" s="25"/>
      <c r="KQ28" s="25"/>
      <c r="KR28" s="25"/>
      <c r="KS28" s="25"/>
      <c r="KT28" s="25"/>
      <c r="KU28" s="25"/>
      <c r="KV28" s="25"/>
      <c r="KW28" s="25"/>
      <c r="KX28" s="25"/>
      <c r="KY28" s="25"/>
      <c r="KZ28" s="25"/>
      <c r="LA28" s="25"/>
      <c r="LB28" s="25"/>
      <c r="LC28" s="25"/>
      <c r="LD28" s="25"/>
      <c r="LE28" s="25"/>
      <c r="LF28" s="25"/>
      <c r="LG28" s="25"/>
      <c r="LH28" s="25"/>
      <c r="LI28" s="25"/>
      <c r="LJ28" s="25"/>
      <c r="LK28" s="25"/>
      <c r="LL28" s="25"/>
      <c r="LM28" s="25"/>
      <c r="LN28" s="25"/>
      <c r="LO28" s="25"/>
      <c r="LP28" s="25"/>
      <c r="LQ28" s="25"/>
      <c r="LR28" s="25"/>
      <c r="LS28" s="166"/>
      <c r="LT28" s="166"/>
      <c r="LU28" s="166"/>
      <c r="LV28" s="166"/>
      <c r="LW28" s="166"/>
      <c r="LX28" s="166"/>
      <c r="LY28" s="166"/>
      <c r="LZ28" s="166"/>
      <c r="MA28" s="166"/>
      <c r="MB28" s="166"/>
      <c r="MC28" s="166"/>
      <c r="MD28" s="166"/>
      <c r="ME28" s="166"/>
      <c r="MF28" s="166"/>
      <c r="MG28" s="166"/>
      <c r="MH28" s="166"/>
      <c r="MI28" s="166"/>
      <c r="MJ28" s="166"/>
      <c r="MK28" s="166"/>
      <c r="ML28" s="166"/>
      <c r="MM28" s="166"/>
      <c r="MN28" s="166"/>
      <c r="MO28" s="166"/>
      <c r="MP28" s="166"/>
      <c r="MQ28" s="166"/>
      <c r="MR28" s="166"/>
      <c r="MS28" s="166"/>
      <c r="MT28" s="166"/>
      <c r="MU28" s="166"/>
      <c r="MV28" s="166"/>
      <c r="MW28" s="166"/>
      <c r="MX28" s="166"/>
      <c r="MY28" s="166"/>
      <c r="MZ28" s="166"/>
      <c r="NA28" s="166"/>
      <c r="NB28" s="166"/>
      <c r="NC28" s="166"/>
      <c r="ND28" s="166"/>
      <c r="NE28" s="166"/>
      <c r="NF28" s="166"/>
      <c r="NG28" s="166"/>
      <c r="NH28" s="166"/>
      <c r="NI28" s="166"/>
      <c r="NJ28" s="166"/>
      <c r="NK28" s="166"/>
      <c r="NL28" s="166"/>
      <c r="NM28" s="166"/>
      <c r="NN28" s="166"/>
      <c r="NO28" s="166"/>
      <c r="NP28" s="166"/>
      <c r="NQ28" s="166"/>
      <c r="NR28" s="166"/>
      <c r="NS28" s="166"/>
      <c r="NT28" s="166"/>
      <c r="NU28" s="166"/>
      <c r="NV28" s="166"/>
      <c r="NW28" s="166"/>
      <c r="NX28" s="166"/>
      <c r="NY28" s="166"/>
      <c r="NZ28" s="166"/>
      <c r="OA28" s="25"/>
      <c r="OB28" s="25"/>
      <c r="OC28" s="25"/>
      <c r="OD28" s="81"/>
      <c r="OE28" s="25"/>
      <c r="OF28" s="25"/>
      <c r="OG28" s="25"/>
      <c r="OH28" s="25"/>
      <c r="OI28" s="25"/>
      <c r="OJ28" s="25"/>
      <c r="OK28" s="25"/>
      <c r="OL28" s="25"/>
      <c r="OM28" s="25"/>
      <c r="ON28" s="25"/>
      <c r="OO28" s="25"/>
      <c r="OP28" s="25"/>
      <c r="OQ28" s="25"/>
      <c r="OR2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8" s="81"/>
      <c r="OT28" s="25"/>
      <c r="OU28" s="81"/>
      <c r="OV28" s="81"/>
    </row>
    <row r="29" spans="1:412" ht="12.75" customHeight="1" x14ac:dyDescent="0.25">
      <c r="A29" s="25">
        <v>10</v>
      </c>
      <c r="B29" s="25" t="b">
        <f>NOT(ISBLANK(SEBBusinessDataTable[[#This Row],[SEBBusinessType]]))</f>
        <v>0</v>
      </c>
      <c r="C29" s="25"/>
      <c r="D29" s="25"/>
      <c r="E29" s="25"/>
      <c r="F29" s="25"/>
      <c r="G29" s="25"/>
      <c r="H29" s="25"/>
      <c r="I29" s="25"/>
      <c r="J29" s="25">
        <f>COUNTIF(SEBBusinessDataTable[[#This Row],[SEBAssociatedFlagApp1]:[SEBAssociatedFlagApp6]],"Yes")</f>
        <v>0</v>
      </c>
      <c r="K29" s="25"/>
      <c r="L29" s="25"/>
      <c r="M29" s="25"/>
      <c r="N29" s="25"/>
      <c r="O29" s="25"/>
      <c r="P29" s="25"/>
      <c r="Q29" s="320"/>
      <c r="R29" s="320"/>
      <c r="S29" s="320"/>
      <c r="T29" s="320"/>
      <c r="U29" s="320"/>
      <c r="V29" s="320"/>
      <c r="W29" s="320"/>
      <c r="X29" s="320"/>
      <c r="Y29" s="320"/>
      <c r="Z29" s="320"/>
      <c r="AA29" s="320"/>
      <c r="AB29" s="320"/>
      <c r="AC29" s="320"/>
      <c r="AD29" s="320"/>
      <c r="AE29" s="320"/>
      <c r="AF29" s="320"/>
      <c r="AG29" s="320"/>
      <c r="AH29" s="320"/>
      <c r="AI29" s="320"/>
      <c r="AJ29" s="320"/>
      <c r="AK29" s="320"/>
      <c r="AL29" s="320"/>
      <c r="AM29" s="320"/>
      <c r="AN29" s="320"/>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320"/>
      <c r="BN29" s="320"/>
      <c r="BO29" s="320"/>
      <c r="BP29" s="320"/>
      <c r="BQ29" s="320"/>
      <c r="BR29" s="320"/>
      <c r="BS29" s="25"/>
      <c r="BT29" s="25"/>
      <c r="BU29" s="25"/>
      <c r="BV29" s="25"/>
      <c r="BW29" s="25"/>
      <c r="BX29" s="25"/>
      <c r="BY29" s="25"/>
      <c r="BZ29" s="25"/>
      <c r="CA29" s="25"/>
      <c r="CB29" s="25"/>
      <c r="CC29" s="25"/>
      <c r="CD29" s="25"/>
      <c r="CE29" s="320"/>
      <c r="CF29" s="320"/>
      <c r="CG29" s="320"/>
      <c r="CH29" s="320"/>
      <c r="CI29" s="320"/>
      <c r="CJ29" s="320"/>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320"/>
      <c r="DJ29" s="320"/>
      <c r="DK29" s="320"/>
      <c r="DL29" s="320"/>
      <c r="DM29" s="320"/>
      <c r="DN29" s="320"/>
      <c r="DO29" s="55"/>
      <c r="DP29" s="55"/>
      <c r="DQ29" s="55"/>
      <c r="DR29" s="55"/>
      <c r="DS29" s="55"/>
      <c r="DT29" s="55"/>
      <c r="DU29" s="55"/>
      <c r="DV29" s="55"/>
      <c r="DW29" s="55"/>
      <c r="DX29" s="55"/>
      <c r="DY29" s="55"/>
      <c r="DZ29" s="5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81"/>
      <c r="GB29" s="81"/>
      <c r="GC29" s="81"/>
      <c r="GD29" s="81"/>
      <c r="GE29" s="81"/>
      <c r="GF29" s="81"/>
      <c r="GG29" s="587"/>
      <c r="GH29" s="587"/>
      <c r="GI29" s="587"/>
      <c r="GJ29" s="587"/>
      <c r="GK29" s="587"/>
      <c r="GL29" s="587"/>
      <c r="GM29" s="587"/>
      <c r="GN29" s="587"/>
      <c r="GO29" s="81"/>
      <c r="GP29" s="81"/>
      <c r="GQ29" s="81"/>
      <c r="GR29" s="81"/>
      <c r="GS29" s="587"/>
      <c r="GT29" s="587"/>
      <c r="GU29" s="587"/>
      <c r="GV29" s="587"/>
      <c r="GW29" s="81"/>
      <c r="GX29" s="81"/>
      <c r="GY29" s="587"/>
      <c r="GZ29" s="587"/>
      <c r="HA29" s="25"/>
      <c r="HB29" s="25"/>
      <c r="HC29" s="55"/>
      <c r="HD29" s="55"/>
      <c r="HE29" s="55"/>
      <c r="HF29" s="55"/>
      <c r="HG29" s="55"/>
      <c r="HH29" s="55"/>
      <c r="HI29" s="55"/>
      <c r="HJ29" s="55"/>
      <c r="HK29" s="55"/>
      <c r="HL29" s="55"/>
      <c r="HM29" s="55"/>
      <c r="HN29" s="55"/>
      <c r="HO29" s="55"/>
      <c r="HP29" s="55"/>
      <c r="HQ29" s="55"/>
      <c r="HR29" s="55"/>
      <c r="HS29" s="55"/>
      <c r="HT29" s="55"/>
      <c r="HU29" s="55"/>
      <c r="HV29" s="55"/>
      <c r="HW29" s="55"/>
      <c r="HX29" s="55"/>
      <c r="HY29" s="55"/>
      <c r="HZ29" s="55"/>
      <c r="IA29" s="55"/>
      <c r="IB29" s="55"/>
      <c r="IC29" s="55"/>
      <c r="ID29" s="55"/>
      <c r="IE29" s="55"/>
      <c r="IF29" s="55"/>
      <c r="IG29" s="55"/>
      <c r="IH29" s="55"/>
      <c r="II29" s="55"/>
      <c r="IJ29" s="55"/>
      <c r="IK29" s="55"/>
      <c r="IL29" s="55"/>
      <c r="IM29" s="55"/>
      <c r="IN29" s="55"/>
      <c r="IO29" s="55"/>
      <c r="IP29" s="55"/>
      <c r="IQ29" s="55"/>
      <c r="IR29" s="55"/>
      <c r="IS29" s="55"/>
      <c r="IT29" s="55"/>
      <c r="IU29" s="55"/>
      <c r="IV29" s="55"/>
      <c r="IW29" s="55"/>
      <c r="IX29" s="55"/>
      <c r="IY29" s="55"/>
      <c r="IZ29" s="55"/>
      <c r="JA29" s="55"/>
      <c r="JB29" s="55"/>
      <c r="JC29" s="55"/>
      <c r="JD29" s="55"/>
      <c r="JE29" s="55"/>
      <c r="JF29" s="55"/>
      <c r="JG29" s="55"/>
      <c r="JH29" s="55"/>
      <c r="JI29" s="55"/>
      <c r="JJ29" s="55"/>
      <c r="JK29" s="25"/>
      <c r="JL29" s="25"/>
      <c r="JM29" s="25"/>
      <c r="JN29" s="25"/>
      <c r="JO29" s="25"/>
      <c r="JP29" s="25"/>
      <c r="JQ29" s="25"/>
      <c r="JR29" s="25"/>
      <c r="JS29" s="25"/>
      <c r="JT29" s="25"/>
      <c r="JU29" s="25"/>
      <c r="JV29" s="25"/>
      <c r="JW29" s="25"/>
      <c r="JX29" s="25"/>
      <c r="JY29" s="25"/>
      <c r="JZ29" s="25"/>
      <c r="KA29" s="25"/>
      <c r="KB29" s="25"/>
      <c r="KC29" s="25"/>
      <c r="KD29" s="25"/>
      <c r="KE29" s="25"/>
      <c r="KF29" s="25"/>
      <c r="KG29" s="25"/>
      <c r="KH29" s="25"/>
      <c r="KI29" s="25"/>
      <c r="KJ29" s="25"/>
      <c r="KK29" s="25"/>
      <c r="KL29" s="25"/>
      <c r="KM29" s="25"/>
      <c r="KN29" s="25"/>
      <c r="KO29" s="25"/>
      <c r="KP29" s="25"/>
      <c r="KQ29" s="25"/>
      <c r="KR29" s="25"/>
      <c r="KS29" s="25"/>
      <c r="KT29" s="25"/>
      <c r="KU29" s="25"/>
      <c r="KV29" s="25"/>
      <c r="KW29" s="25"/>
      <c r="KX29" s="25"/>
      <c r="KY29" s="25"/>
      <c r="KZ29" s="25"/>
      <c r="LA29" s="25"/>
      <c r="LB29" s="25"/>
      <c r="LC29" s="25"/>
      <c r="LD29" s="25"/>
      <c r="LE29" s="25"/>
      <c r="LF29" s="25"/>
      <c r="LG29" s="25"/>
      <c r="LH29" s="25"/>
      <c r="LI29" s="25"/>
      <c r="LJ29" s="25"/>
      <c r="LK29" s="25"/>
      <c r="LL29" s="25"/>
      <c r="LM29" s="25"/>
      <c r="LN29" s="25"/>
      <c r="LO29" s="25"/>
      <c r="LP29" s="25"/>
      <c r="LQ29" s="25"/>
      <c r="LR29" s="25"/>
      <c r="LS29" s="166"/>
      <c r="LT29" s="166"/>
      <c r="LU29" s="166"/>
      <c r="LV29" s="166"/>
      <c r="LW29" s="166"/>
      <c r="LX29" s="166"/>
      <c r="LY29" s="166"/>
      <c r="LZ29" s="166"/>
      <c r="MA29" s="166"/>
      <c r="MB29" s="166"/>
      <c r="MC29" s="166"/>
      <c r="MD29" s="166"/>
      <c r="ME29" s="166"/>
      <c r="MF29" s="166"/>
      <c r="MG29" s="166"/>
      <c r="MH29" s="166"/>
      <c r="MI29" s="166"/>
      <c r="MJ29" s="166"/>
      <c r="MK29" s="166"/>
      <c r="ML29" s="166"/>
      <c r="MM29" s="166"/>
      <c r="MN29" s="166"/>
      <c r="MO29" s="166"/>
      <c r="MP29" s="166"/>
      <c r="MQ29" s="166"/>
      <c r="MR29" s="166"/>
      <c r="MS29" s="166"/>
      <c r="MT29" s="166"/>
      <c r="MU29" s="166"/>
      <c r="MV29" s="166"/>
      <c r="MW29" s="166"/>
      <c r="MX29" s="166"/>
      <c r="MY29" s="166"/>
      <c r="MZ29" s="166"/>
      <c r="NA29" s="166"/>
      <c r="NB29" s="166"/>
      <c r="NC29" s="166"/>
      <c r="ND29" s="166"/>
      <c r="NE29" s="166"/>
      <c r="NF29" s="166"/>
      <c r="NG29" s="166"/>
      <c r="NH29" s="166"/>
      <c r="NI29" s="166"/>
      <c r="NJ29" s="166"/>
      <c r="NK29" s="166"/>
      <c r="NL29" s="166"/>
      <c r="NM29" s="166"/>
      <c r="NN29" s="166"/>
      <c r="NO29" s="166"/>
      <c r="NP29" s="166"/>
      <c r="NQ29" s="166"/>
      <c r="NR29" s="166"/>
      <c r="NS29" s="166"/>
      <c r="NT29" s="166"/>
      <c r="NU29" s="166"/>
      <c r="NV29" s="166"/>
      <c r="NW29" s="166"/>
      <c r="NX29" s="166"/>
      <c r="NY29" s="166"/>
      <c r="NZ29" s="166"/>
      <c r="OA29" s="25"/>
      <c r="OB29" s="25"/>
      <c r="OC29" s="25"/>
      <c r="OD29" s="81"/>
      <c r="OE29" s="25"/>
      <c r="OF29" s="25"/>
      <c r="OG29" s="25"/>
      <c r="OH29" s="25"/>
      <c r="OI29" s="25"/>
      <c r="OJ29" s="25"/>
      <c r="OK29" s="25"/>
      <c r="OL29" s="25"/>
      <c r="OM29" s="25"/>
      <c r="ON29" s="25"/>
      <c r="OO29" s="25"/>
      <c r="OP29" s="25"/>
      <c r="OQ29" s="25"/>
      <c r="OR2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9" s="81"/>
      <c r="OT29" s="25"/>
      <c r="OU29" s="81"/>
      <c r="OV29" s="81"/>
    </row>
    <row r="30" spans="1:412" ht="12.5" x14ac:dyDescent="0.25">
      <c r="A30" s="25">
        <v>11</v>
      </c>
      <c r="B30" s="25" t="b">
        <f>NOT(ISBLANK(SEBBusinessDataTable[[#This Row],[SEBBusinessType]]))</f>
        <v>0</v>
      </c>
      <c r="C30" s="25"/>
      <c r="D30" s="25"/>
      <c r="E30" s="25"/>
      <c r="F30" s="25"/>
      <c r="G30" s="25"/>
      <c r="H30" s="25"/>
      <c r="I30" s="25"/>
      <c r="J30" s="25">
        <f>COUNTIF(SEBBusinessDataTable[[#This Row],[SEBAssociatedFlagApp1]:[SEBAssociatedFlagApp6]],"Yes")</f>
        <v>0</v>
      </c>
      <c r="K30" s="25"/>
      <c r="L30" s="25"/>
      <c r="M30" s="25"/>
      <c r="N30" s="25"/>
      <c r="O30" s="25"/>
      <c r="P30" s="25"/>
      <c r="Q30" s="320"/>
      <c r="R30" s="320"/>
      <c r="S30" s="320"/>
      <c r="T30" s="320"/>
      <c r="U30" s="320"/>
      <c r="V30" s="320"/>
      <c r="W30" s="320"/>
      <c r="X30" s="320"/>
      <c r="Y30" s="320"/>
      <c r="Z30" s="320"/>
      <c r="AA30" s="320"/>
      <c r="AB30" s="320"/>
      <c r="AC30" s="320"/>
      <c r="AD30" s="320"/>
      <c r="AE30" s="320"/>
      <c r="AF30" s="320"/>
      <c r="AG30" s="320"/>
      <c r="AH30" s="320"/>
      <c r="AI30" s="320"/>
      <c r="AJ30" s="320"/>
      <c r="AK30" s="320"/>
      <c r="AL30" s="320"/>
      <c r="AM30" s="320"/>
      <c r="AN30" s="320"/>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320"/>
      <c r="BN30" s="320"/>
      <c r="BO30" s="320"/>
      <c r="BP30" s="320"/>
      <c r="BQ30" s="320"/>
      <c r="BR30" s="320"/>
      <c r="BS30" s="25"/>
      <c r="BT30" s="25"/>
      <c r="BU30" s="25"/>
      <c r="BV30" s="25"/>
      <c r="BW30" s="25"/>
      <c r="BX30" s="25"/>
      <c r="BY30" s="25"/>
      <c r="BZ30" s="25"/>
      <c r="CA30" s="25"/>
      <c r="CB30" s="25"/>
      <c r="CC30" s="25"/>
      <c r="CD30" s="25"/>
      <c r="CE30" s="320"/>
      <c r="CF30" s="320"/>
      <c r="CG30" s="320"/>
      <c r="CH30" s="320"/>
      <c r="CI30" s="320"/>
      <c r="CJ30" s="320"/>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320"/>
      <c r="DJ30" s="320"/>
      <c r="DK30" s="320"/>
      <c r="DL30" s="320"/>
      <c r="DM30" s="320"/>
      <c r="DN30" s="320"/>
      <c r="DO30" s="55"/>
      <c r="DP30" s="55"/>
      <c r="DQ30" s="55"/>
      <c r="DR30" s="55"/>
      <c r="DS30" s="55"/>
      <c r="DT30" s="55"/>
      <c r="DU30" s="55"/>
      <c r="DV30" s="55"/>
      <c r="DW30" s="55"/>
      <c r="DX30" s="55"/>
      <c r="DY30" s="55"/>
      <c r="DZ30" s="55"/>
      <c r="EA30" s="25"/>
      <c r="EB30" s="25"/>
      <c r="EC30" s="25"/>
      <c r="ED30" s="25"/>
      <c r="EE30" s="25"/>
      <c r="EF30" s="25"/>
      <c r="EG30" s="25"/>
      <c r="EH30" s="25"/>
      <c r="EI30" s="25"/>
      <c r="EJ30" s="25"/>
      <c r="EK30" s="25"/>
      <c r="EL30" s="25"/>
      <c r="EM30" s="320"/>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81"/>
      <c r="GB30" s="81"/>
      <c r="GC30" s="81"/>
      <c r="GD30" s="81"/>
      <c r="GE30" s="81"/>
      <c r="GF30" s="81"/>
      <c r="GG30" s="587"/>
      <c r="GH30" s="587"/>
      <c r="GI30" s="587"/>
      <c r="GJ30" s="587"/>
      <c r="GK30" s="587"/>
      <c r="GL30" s="587"/>
      <c r="GM30" s="587"/>
      <c r="GN30" s="587"/>
      <c r="GO30" s="81"/>
      <c r="GP30" s="81"/>
      <c r="GQ30" s="81"/>
      <c r="GR30" s="81"/>
      <c r="GS30" s="587"/>
      <c r="GT30" s="587"/>
      <c r="GU30" s="587"/>
      <c r="GV30" s="587"/>
      <c r="GW30" s="81"/>
      <c r="GX30" s="81"/>
      <c r="GY30" s="587"/>
      <c r="GZ30" s="587"/>
      <c r="HA30" s="25"/>
      <c r="HB30" s="25"/>
      <c r="HC30" s="55"/>
      <c r="HD30" s="55"/>
      <c r="HE30" s="55"/>
      <c r="HF30" s="55"/>
      <c r="HG30" s="55"/>
      <c r="HH30" s="55"/>
      <c r="HI30" s="55"/>
      <c r="HJ30" s="55"/>
      <c r="HK30" s="55"/>
      <c r="HL30" s="55"/>
      <c r="HM30" s="55"/>
      <c r="HN30" s="55"/>
      <c r="HO30" s="55"/>
      <c r="HP30" s="55"/>
      <c r="HQ30" s="55"/>
      <c r="HR30" s="55"/>
      <c r="HS30" s="55"/>
      <c r="HT30" s="55"/>
      <c r="HU30" s="55"/>
      <c r="HV30" s="55"/>
      <c r="HW30" s="55"/>
      <c r="HX30" s="55"/>
      <c r="HY30" s="55"/>
      <c r="HZ30" s="55"/>
      <c r="IA30" s="55"/>
      <c r="IB30" s="55"/>
      <c r="IC30" s="55"/>
      <c r="ID30" s="55"/>
      <c r="IE30" s="55"/>
      <c r="IF30" s="55"/>
      <c r="IG30" s="55"/>
      <c r="IH30" s="55"/>
      <c r="II30" s="55"/>
      <c r="IJ30" s="55"/>
      <c r="IK30" s="55"/>
      <c r="IL30" s="55"/>
      <c r="IM30" s="55"/>
      <c r="IN30" s="55"/>
      <c r="IO30" s="55"/>
      <c r="IP30" s="55"/>
      <c r="IQ30" s="55"/>
      <c r="IR30" s="55"/>
      <c r="IS30" s="55"/>
      <c r="IT30" s="55"/>
      <c r="IU30" s="55"/>
      <c r="IV30" s="55"/>
      <c r="IW30" s="55"/>
      <c r="IX30" s="55"/>
      <c r="IY30" s="55"/>
      <c r="IZ30" s="55"/>
      <c r="JA30" s="55"/>
      <c r="JB30" s="55"/>
      <c r="JC30" s="55"/>
      <c r="JD30" s="55"/>
      <c r="JE30" s="55"/>
      <c r="JF30" s="55"/>
      <c r="JG30" s="55"/>
      <c r="JH30" s="55"/>
      <c r="JI30" s="55"/>
      <c r="JJ30" s="55"/>
      <c r="JK30" s="25"/>
      <c r="JL30" s="25"/>
      <c r="JM30" s="25"/>
      <c r="JN30" s="25"/>
      <c r="JO30" s="25"/>
      <c r="JP30" s="25"/>
      <c r="JQ30" s="25"/>
      <c r="JR30" s="25"/>
      <c r="JS30" s="25"/>
      <c r="JT30" s="25"/>
      <c r="JU30" s="25"/>
      <c r="JV30" s="25"/>
      <c r="JW30" s="25"/>
      <c r="JX30" s="25"/>
      <c r="JY30" s="25"/>
      <c r="JZ30" s="25"/>
      <c r="KA30" s="25"/>
      <c r="KB30" s="25"/>
      <c r="KC30" s="25"/>
      <c r="KD30" s="25"/>
      <c r="KE30" s="25"/>
      <c r="KF30" s="25"/>
      <c r="KG30" s="25"/>
      <c r="KH30" s="25"/>
      <c r="KI30" s="25"/>
      <c r="KJ30" s="25"/>
      <c r="KK30" s="25"/>
      <c r="KL30" s="25"/>
      <c r="KM30" s="25"/>
      <c r="KN30" s="25"/>
      <c r="KO30" s="25"/>
      <c r="KP30" s="25"/>
      <c r="KQ30" s="25"/>
      <c r="KR30" s="25"/>
      <c r="KS30" s="25"/>
      <c r="KT30" s="25"/>
      <c r="KU30" s="25"/>
      <c r="KV30" s="25"/>
      <c r="KW30" s="25"/>
      <c r="KX30" s="25"/>
      <c r="KY30" s="25"/>
      <c r="KZ30" s="25"/>
      <c r="LA30" s="25"/>
      <c r="LB30" s="25"/>
      <c r="LC30" s="25"/>
      <c r="LD30" s="25"/>
      <c r="LE30" s="25"/>
      <c r="LF30" s="25"/>
      <c r="LG30" s="25"/>
      <c r="LH30" s="25"/>
      <c r="LI30" s="25"/>
      <c r="LJ30" s="25"/>
      <c r="LK30" s="25"/>
      <c r="LL30" s="25"/>
      <c r="LM30" s="25"/>
      <c r="LN30" s="25"/>
      <c r="LO30" s="25"/>
      <c r="LP30" s="25"/>
      <c r="LQ30" s="25"/>
      <c r="LR30" s="25"/>
      <c r="LS30" s="166"/>
      <c r="LT30" s="166"/>
      <c r="LU30" s="166"/>
      <c r="LV30" s="166"/>
      <c r="LW30" s="166"/>
      <c r="LX30" s="166"/>
      <c r="LY30" s="166"/>
      <c r="LZ30" s="166"/>
      <c r="MA30" s="166"/>
      <c r="MB30" s="166"/>
      <c r="MC30" s="166"/>
      <c r="MD30" s="166"/>
      <c r="ME30" s="166"/>
      <c r="MF30" s="166"/>
      <c r="MG30" s="166"/>
      <c r="MH30" s="166"/>
      <c r="MI30" s="166"/>
      <c r="MJ30" s="166"/>
      <c r="MK30" s="166"/>
      <c r="ML30" s="166"/>
      <c r="MM30" s="166"/>
      <c r="MN30" s="166"/>
      <c r="MO30" s="166"/>
      <c r="MP30" s="166"/>
      <c r="MQ30" s="166"/>
      <c r="MR30" s="166"/>
      <c r="MS30" s="166"/>
      <c r="MT30" s="166"/>
      <c r="MU30" s="166"/>
      <c r="MV30" s="166"/>
      <c r="MW30" s="166"/>
      <c r="MX30" s="166"/>
      <c r="MY30" s="166"/>
      <c r="MZ30" s="166"/>
      <c r="NA30" s="166"/>
      <c r="NB30" s="166"/>
      <c r="NC30" s="166"/>
      <c r="ND30" s="166"/>
      <c r="NE30" s="166"/>
      <c r="NF30" s="166"/>
      <c r="NG30" s="166"/>
      <c r="NH30" s="166"/>
      <c r="NI30" s="166"/>
      <c r="NJ30" s="166"/>
      <c r="NK30" s="166"/>
      <c r="NL30" s="166"/>
      <c r="NM30" s="166"/>
      <c r="NN30" s="166"/>
      <c r="NO30" s="166"/>
      <c r="NP30" s="166"/>
      <c r="NQ30" s="166"/>
      <c r="NR30" s="166"/>
      <c r="NS30" s="166"/>
      <c r="NT30" s="166"/>
      <c r="NU30" s="166"/>
      <c r="NV30" s="166"/>
      <c r="NW30" s="166"/>
      <c r="NX30" s="166"/>
      <c r="NY30" s="166"/>
      <c r="NZ30" s="166"/>
      <c r="OA30" s="320"/>
      <c r="OB30" s="320"/>
      <c r="OC30" s="25"/>
      <c r="OD30" s="81"/>
      <c r="OE30" s="25"/>
      <c r="OF30" s="25"/>
      <c r="OG30" s="25"/>
      <c r="OH30" s="25"/>
      <c r="OI30" s="25"/>
      <c r="OJ30" s="25"/>
      <c r="OK30" s="25"/>
      <c r="OL30" s="25"/>
      <c r="OM30" s="25"/>
      <c r="ON30" s="25"/>
      <c r="OO30" s="25"/>
      <c r="OP30" s="25"/>
      <c r="OQ30" s="25"/>
      <c r="OR3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0" s="81"/>
      <c r="OT30" s="25"/>
      <c r="OU30" s="81"/>
      <c r="OV30" s="81"/>
    </row>
    <row r="31" spans="1:412" ht="12.5" x14ac:dyDescent="0.25">
      <c r="A31" s="25">
        <v>12</v>
      </c>
      <c r="B31" s="25" t="b">
        <f>NOT(ISBLANK(SEBBusinessDataTable[[#This Row],[SEBBusinessType]]))</f>
        <v>0</v>
      </c>
      <c r="C31" s="25"/>
      <c r="D31" s="25"/>
      <c r="E31" s="25"/>
      <c r="F31" s="25"/>
      <c r="G31" s="25"/>
      <c r="H31" s="25"/>
      <c r="I31" s="25"/>
      <c r="J31" s="25">
        <f>COUNTIF(SEBBusinessDataTable[[#This Row],[SEBAssociatedFlagApp1]:[SEBAssociatedFlagApp6]],"Yes")</f>
        <v>0</v>
      </c>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55"/>
      <c r="DP31" s="55"/>
      <c r="DQ31" s="55"/>
      <c r="DR31" s="55"/>
      <c r="DS31" s="55"/>
      <c r="DT31" s="55"/>
      <c r="DU31" s="55"/>
      <c r="DV31" s="55"/>
      <c r="DW31" s="55"/>
      <c r="DX31" s="55"/>
      <c r="DY31" s="55"/>
      <c r="DZ31" s="5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81"/>
      <c r="GB31" s="81"/>
      <c r="GC31" s="81"/>
      <c r="GD31" s="81"/>
      <c r="GE31" s="81"/>
      <c r="GF31" s="81"/>
      <c r="GG31" s="81"/>
      <c r="GH31" s="81"/>
      <c r="GI31" s="81"/>
      <c r="GJ31" s="81"/>
      <c r="GK31" s="81"/>
      <c r="GL31" s="81"/>
      <c r="GM31" s="81"/>
      <c r="GN31" s="81"/>
      <c r="GO31" s="81"/>
      <c r="GP31" s="81"/>
      <c r="GQ31" s="81"/>
      <c r="GR31" s="81"/>
      <c r="GS31" s="81"/>
      <c r="GT31" s="81"/>
      <c r="GU31" s="81"/>
      <c r="GV31" s="81"/>
      <c r="GW31" s="81"/>
      <c r="GX31" s="81"/>
      <c r="GY31" s="81"/>
      <c r="GZ31" s="81"/>
      <c r="HA31" s="25"/>
      <c r="HB31" s="25"/>
      <c r="HC31" s="55"/>
      <c r="HD31" s="55"/>
      <c r="HE31" s="55"/>
      <c r="HF31" s="55"/>
      <c r="HG31" s="55"/>
      <c r="HH31" s="55"/>
      <c r="HI31" s="55"/>
      <c r="HJ31" s="55"/>
      <c r="HK31" s="55"/>
      <c r="HL31" s="55"/>
      <c r="HM31" s="55"/>
      <c r="HN31" s="55"/>
      <c r="HO31" s="55"/>
      <c r="HP31" s="55"/>
      <c r="HQ31" s="55"/>
      <c r="HR31" s="55"/>
      <c r="HS31" s="55"/>
      <c r="HT31" s="55"/>
      <c r="HU31" s="55"/>
      <c r="HV31" s="55"/>
      <c r="HW31" s="55"/>
      <c r="HX31" s="55"/>
      <c r="HY31" s="55"/>
      <c r="HZ31" s="55"/>
      <c r="IA31" s="55"/>
      <c r="IB31" s="55"/>
      <c r="IC31" s="55"/>
      <c r="ID31" s="55"/>
      <c r="IE31" s="55"/>
      <c r="IF31" s="55"/>
      <c r="IG31" s="55"/>
      <c r="IH31" s="55"/>
      <c r="II31" s="55"/>
      <c r="IJ31" s="55"/>
      <c r="IK31" s="55"/>
      <c r="IL31" s="55"/>
      <c r="IM31" s="55"/>
      <c r="IN31" s="55"/>
      <c r="IO31" s="55"/>
      <c r="IP31" s="55"/>
      <c r="IQ31" s="55"/>
      <c r="IR31" s="55"/>
      <c r="IS31" s="55"/>
      <c r="IT31" s="55"/>
      <c r="IU31" s="55"/>
      <c r="IV31" s="55"/>
      <c r="IW31" s="55"/>
      <c r="IX31" s="55"/>
      <c r="IY31" s="55"/>
      <c r="IZ31" s="55"/>
      <c r="JA31" s="55"/>
      <c r="JB31" s="55"/>
      <c r="JC31" s="55"/>
      <c r="JD31" s="55"/>
      <c r="JE31" s="55"/>
      <c r="JF31" s="55"/>
      <c r="JG31" s="55"/>
      <c r="JH31" s="55"/>
      <c r="JI31" s="55"/>
      <c r="JJ31" s="55"/>
      <c r="JK31" s="25"/>
      <c r="JL31" s="25"/>
      <c r="JM31" s="25"/>
      <c r="JN31" s="25"/>
      <c r="JO31" s="25"/>
      <c r="JP31" s="25"/>
      <c r="JQ31" s="25"/>
      <c r="JR31" s="25"/>
      <c r="JS31" s="25"/>
      <c r="JT31" s="25"/>
      <c r="JU31" s="25"/>
      <c r="JV31" s="25"/>
      <c r="JW31" s="25"/>
      <c r="JX31" s="25"/>
      <c r="JY31" s="25"/>
      <c r="JZ31" s="25"/>
      <c r="KA31" s="25"/>
      <c r="KB31" s="25"/>
      <c r="KC31" s="25"/>
      <c r="KD31" s="25"/>
      <c r="KE31" s="25"/>
      <c r="KF31" s="25"/>
      <c r="KG31" s="25"/>
      <c r="KH31" s="25"/>
      <c r="KI31" s="25"/>
      <c r="KJ31" s="25"/>
      <c r="KK31" s="25"/>
      <c r="KL31" s="25"/>
      <c r="KM31" s="25"/>
      <c r="KN31" s="25"/>
      <c r="KO31" s="25"/>
      <c r="KP31" s="25"/>
      <c r="KQ31" s="25"/>
      <c r="KR31" s="25"/>
      <c r="KS31" s="25"/>
      <c r="KT31" s="25"/>
      <c r="KU31" s="25"/>
      <c r="KV31" s="25"/>
      <c r="KW31" s="25"/>
      <c r="KX31" s="25"/>
      <c r="KY31" s="25"/>
      <c r="KZ31" s="25"/>
      <c r="LA31" s="25"/>
      <c r="LB31" s="25"/>
      <c r="LC31" s="25"/>
      <c r="LD31" s="25"/>
      <c r="LE31" s="25"/>
      <c r="LF31" s="25"/>
      <c r="LG31" s="25"/>
      <c r="LH31" s="25"/>
      <c r="LI31" s="25"/>
      <c r="LJ31" s="25"/>
      <c r="LK31" s="25"/>
      <c r="LL31" s="25"/>
      <c r="LM31" s="25"/>
      <c r="LN31" s="25"/>
      <c r="LO31" s="25"/>
      <c r="LP31" s="25"/>
      <c r="LQ31" s="25"/>
      <c r="LR31" s="25"/>
      <c r="LS31" s="166"/>
      <c r="LT31" s="166"/>
      <c r="LU31" s="166"/>
      <c r="LV31" s="166"/>
      <c r="LW31" s="166"/>
      <c r="LX31" s="166"/>
      <c r="LY31" s="166"/>
      <c r="LZ31" s="166"/>
      <c r="MA31" s="166"/>
      <c r="MB31" s="166"/>
      <c r="MC31" s="166"/>
      <c r="MD31" s="166"/>
      <c r="ME31" s="166"/>
      <c r="MF31" s="166"/>
      <c r="MG31" s="166"/>
      <c r="MH31" s="166"/>
      <c r="MI31" s="166"/>
      <c r="MJ31" s="166"/>
      <c r="MK31" s="166"/>
      <c r="ML31" s="166"/>
      <c r="MM31" s="166"/>
      <c r="MN31" s="166"/>
      <c r="MO31" s="166"/>
      <c r="MP31" s="166"/>
      <c r="MQ31" s="166"/>
      <c r="MR31" s="166"/>
      <c r="MS31" s="166"/>
      <c r="MT31" s="166"/>
      <c r="MU31" s="166"/>
      <c r="MV31" s="166"/>
      <c r="MW31" s="166"/>
      <c r="MX31" s="166"/>
      <c r="MY31" s="166"/>
      <c r="MZ31" s="166"/>
      <c r="NA31" s="166"/>
      <c r="NB31" s="166"/>
      <c r="NC31" s="166"/>
      <c r="ND31" s="166"/>
      <c r="NE31" s="166"/>
      <c r="NF31" s="166"/>
      <c r="NG31" s="166"/>
      <c r="NH31" s="166"/>
      <c r="NI31" s="166"/>
      <c r="NJ31" s="166"/>
      <c r="NK31" s="166"/>
      <c r="NL31" s="166"/>
      <c r="NM31" s="166"/>
      <c r="NN31" s="166"/>
      <c r="NO31" s="166"/>
      <c r="NP31" s="166"/>
      <c r="NQ31" s="166"/>
      <c r="NR31" s="166"/>
      <c r="NS31" s="166"/>
      <c r="NT31" s="166"/>
      <c r="NU31" s="166"/>
      <c r="NV31" s="166"/>
      <c r="NW31" s="166"/>
      <c r="NX31" s="166"/>
      <c r="NY31" s="166"/>
      <c r="NZ31" s="166"/>
      <c r="OA31" s="25"/>
      <c r="OB31" s="25"/>
      <c r="OC31" s="25"/>
      <c r="OD31" s="81"/>
      <c r="OE31" s="25"/>
      <c r="OF31" s="25"/>
      <c r="OG31" s="25"/>
      <c r="OH31" s="25"/>
      <c r="OI31" s="25"/>
      <c r="OJ31" s="25"/>
      <c r="OK31" s="25"/>
      <c r="OL31" s="25"/>
      <c r="OM31" s="25"/>
      <c r="ON31" s="25"/>
      <c r="OO31" s="25"/>
      <c r="OP31" s="25"/>
      <c r="OQ31" s="25"/>
      <c r="OR3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1" s="81"/>
      <c r="OT31" s="25"/>
      <c r="OU31" s="81"/>
      <c r="OV31" s="81"/>
    </row>
    <row r="32" spans="1:412" ht="12.5" x14ac:dyDescent="0.25">
      <c r="A32" s="25">
        <v>13</v>
      </c>
      <c r="B32" s="25" t="b">
        <f>NOT(ISBLANK(SEBBusinessDataTable[[#This Row],[SEBBusinessType]]))</f>
        <v>0</v>
      </c>
      <c r="C32" s="25"/>
      <c r="D32" s="25"/>
      <c r="E32" s="25"/>
      <c r="F32" s="25"/>
      <c r="G32" s="25"/>
      <c r="H32" s="25"/>
      <c r="I32" s="25"/>
      <c r="J32" s="25">
        <f>COUNTIF(SEBBusinessDataTable[[#This Row],[SEBAssociatedFlagApp1]:[SEBAssociatedFlagApp6]],"Yes")</f>
        <v>0</v>
      </c>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55"/>
      <c r="DP32" s="55"/>
      <c r="DQ32" s="55"/>
      <c r="DR32" s="55"/>
      <c r="DS32" s="55"/>
      <c r="DT32" s="55"/>
      <c r="DU32" s="55"/>
      <c r="DV32" s="55"/>
      <c r="DW32" s="55"/>
      <c r="DX32" s="55"/>
      <c r="DY32" s="55"/>
      <c r="DZ32" s="5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81"/>
      <c r="GB32" s="81"/>
      <c r="GC32" s="81"/>
      <c r="GD32" s="81"/>
      <c r="GE32" s="81"/>
      <c r="GF32" s="81"/>
      <c r="GG32" s="81"/>
      <c r="GH32" s="81"/>
      <c r="GI32" s="81"/>
      <c r="GJ32" s="81"/>
      <c r="GK32" s="81"/>
      <c r="GL32" s="81"/>
      <c r="GM32" s="81"/>
      <c r="GN32" s="81"/>
      <c r="GO32" s="81"/>
      <c r="GP32" s="81"/>
      <c r="GQ32" s="81"/>
      <c r="GR32" s="81"/>
      <c r="GS32" s="81"/>
      <c r="GT32" s="81"/>
      <c r="GU32" s="81"/>
      <c r="GV32" s="81"/>
      <c r="GW32" s="81"/>
      <c r="GX32" s="81"/>
      <c r="GY32" s="81"/>
      <c r="GZ32" s="81"/>
      <c r="HA32" s="25"/>
      <c r="HB32" s="25"/>
      <c r="HC32" s="55"/>
      <c r="HD32" s="55"/>
      <c r="HE32" s="55"/>
      <c r="HF32" s="55"/>
      <c r="HG32" s="55"/>
      <c r="HH32" s="55"/>
      <c r="HI32" s="55"/>
      <c r="HJ32" s="55"/>
      <c r="HK32" s="55"/>
      <c r="HL32" s="55"/>
      <c r="HM32" s="55"/>
      <c r="HN32" s="55"/>
      <c r="HO32" s="55"/>
      <c r="HP32" s="55"/>
      <c r="HQ32" s="55"/>
      <c r="HR32" s="55"/>
      <c r="HS32" s="55"/>
      <c r="HT32" s="55"/>
      <c r="HU32" s="55"/>
      <c r="HV32" s="55"/>
      <c r="HW32" s="55"/>
      <c r="HX32" s="55"/>
      <c r="HY32" s="55"/>
      <c r="HZ32" s="55"/>
      <c r="IA32" s="55"/>
      <c r="IB32" s="55"/>
      <c r="IC32" s="55"/>
      <c r="ID32" s="55"/>
      <c r="IE32" s="55"/>
      <c r="IF32" s="55"/>
      <c r="IG32" s="55"/>
      <c r="IH32" s="55"/>
      <c r="II32" s="55"/>
      <c r="IJ32" s="55"/>
      <c r="IK32" s="55"/>
      <c r="IL32" s="55"/>
      <c r="IM32" s="55"/>
      <c r="IN32" s="55"/>
      <c r="IO32" s="55"/>
      <c r="IP32" s="55"/>
      <c r="IQ32" s="55"/>
      <c r="IR32" s="55"/>
      <c r="IS32" s="55"/>
      <c r="IT32" s="55"/>
      <c r="IU32" s="55"/>
      <c r="IV32" s="55"/>
      <c r="IW32" s="55"/>
      <c r="IX32" s="55"/>
      <c r="IY32" s="55"/>
      <c r="IZ32" s="55"/>
      <c r="JA32" s="55"/>
      <c r="JB32" s="55"/>
      <c r="JC32" s="55"/>
      <c r="JD32" s="55"/>
      <c r="JE32" s="55"/>
      <c r="JF32" s="55"/>
      <c r="JG32" s="55"/>
      <c r="JH32" s="55"/>
      <c r="JI32" s="55"/>
      <c r="JJ32" s="55"/>
      <c r="JK32" s="25"/>
      <c r="JL32" s="25"/>
      <c r="JM32" s="25"/>
      <c r="JN32" s="25"/>
      <c r="JO32" s="25"/>
      <c r="JP32" s="25"/>
      <c r="JQ32" s="25"/>
      <c r="JR32" s="25"/>
      <c r="JS32" s="25"/>
      <c r="JT32" s="25"/>
      <c r="JU32" s="25"/>
      <c r="JV32" s="25"/>
      <c r="JW32" s="25"/>
      <c r="JX32" s="25"/>
      <c r="JY32" s="25"/>
      <c r="JZ32" s="25"/>
      <c r="KA32" s="25"/>
      <c r="KB32" s="25"/>
      <c r="KC32" s="25"/>
      <c r="KD32" s="25"/>
      <c r="KE32" s="25"/>
      <c r="KF32" s="25"/>
      <c r="KG32" s="25"/>
      <c r="KH32" s="25"/>
      <c r="KI32" s="25"/>
      <c r="KJ32" s="25"/>
      <c r="KK32" s="25"/>
      <c r="KL32" s="25"/>
      <c r="KM32" s="25"/>
      <c r="KN32" s="25"/>
      <c r="KO32" s="25"/>
      <c r="KP32" s="25"/>
      <c r="KQ32" s="25"/>
      <c r="KR32" s="25"/>
      <c r="KS32" s="25"/>
      <c r="KT32" s="25"/>
      <c r="KU32" s="25"/>
      <c r="KV32" s="25"/>
      <c r="KW32" s="25"/>
      <c r="KX32" s="25"/>
      <c r="KY32" s="25"/>
      <c r="KZ32" s="25"/>
      <c r="LA32" s="25"/>
      <c r="LB32" s="25"/>
      <c r="LC32" s="25"/>
      <c r="LD32" s="25"/>
      <c r="LE32" s="25"/>
      <c r="LF32" s="25"/>
      <c r="LG32" s="25"/>
      <c r="LH32" s="25"/>
      <c r="LI32" s="25"/>
      <c r="LJ32" s="25"/>
      <c r="LK32" s="25"/>
      <c r="LL32" s="25"/>
      <c r="LM32" s="25"/>
      <c r="LN32" s="25"/>
      <c r="LO32" s="25"/>
      <c r="LP32" s="25"/>
      <c r="LQ32" s="25"/>
      <c r="LR32" s="25"/>
      <c r="LS32" s="166"/>
      <c r="LT32" s="166"/>
      <c r="LU32" s="166"/>
      <c r="LV32" s="166"/>
      <c r="LW32" s="166"/>
      <c r="LX32" s="166"/>
      <c r="LY32" s="166"/>
      <c r="LZ32" s="166"/>
      <c r="MA32" s="166"/>
      <c r="MB32" s="166"/>
      <c r="MC32" s="166"/>
      <c r="MD32" s="166"/>
      <c r="ME32" s="166"/>
      <c r="MF32" s="166"/>
      <c r="MG32" s="166"/>
      <c r="MH32" s="166"/>
      <c r="MI32" s="166"/>
      <c r="MJ32" s="166"/>
      <c r="MK32" s="166"/>
      <c r="ML32" s="166"/>
      <c r="MM32" s="166"/>
      <c r="MN32" s="166"/>
      <c r="MO32" s="166"/>
      <c r="MP32" s="166"/>
      <c r="MQ32" s="166"/>
      <c r="MR32" s="166"/>
      <c r="MS32" s="166"/>
      <c r="MT32" s="166"/>
      <c r="MU32" s="166"/>
      <c r="MV32" s="166"/>
      <c r="MW32" s="166"/>
      <c r="MX32" s="166"/>
      <c r="MY32" s="166"/>
      <c r="MZ32" s="166"/>
      <c r="NA32" s="166"/>
      <c r="NB32" s="166"/>
      <c r="NC32" s="166"/>
      <c r="ND32" s="166"/>
      <c r="NE32" s="166"/>
      <c r="NF32" s="166"/>
      <c r="NG32" s="166"/>
      <c r="NH32" s="166"/>
      <c r="NI32" s="166"/>
      <c r="NJ32" s="166"/>
      <c r="NK32" s="166"/>
      <c r="NL32" s="166"/>
      <c r="NM32" s="166"/>
      <c r="NN32" s="166"/>
      <c r="NO32" s="166"/>
      <c r="NP32" s="166"/>
      <c r="NQ32" s="166"/>
      <c r="NR32" s="166"/>
      <c r="NS32" s="166"/>
      <c r="NT32" s="166"/>
      <c r="NU32" s="166"/>
      <c r="NV32" s="166"/>
      <c r="NW32" s="166"/>
      <c r="NX32" s="166"/>
      <c r="NY32" s="166"/>
      <c r="NZ32" s="166"/>
      <c r="OA32" s="25"/>
      <c r="OB32" s="25"/>
      <c r="OC32" s="25"/>
      <c r="OD32" s="81"/>
      <c r="OE32" s="25"/>
      <c r="OF32" s="25"/>
      <c r="OG32" s="25"/>
      <c r="OH32" s="25"/>
      <c r="OI32" s="25"/>
      <c r="OJ32" s="25"/>
      <c r="OK32" s="25"/>
      <c r="OL32" s="25"/>
      <c r="OM32" s="25"/>
      <c r="ON32" s="25"/>
      <c r="OO32" s="25"/>
      <c r="OP32" s="25"/>
      <c r="OQ32" s="25"/>
      <c r="OR3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2" s="81"/>
      <c r="OT32" s="25"/>
      <c r="OU32" s="81"/>
      <c r="OV32" s="81"/>
    </row>
    <row r="33" spans="1:412" ht="12.5" x14ac:dyDescent="0.25">
      <c r="A33" s="25">
        <v>14</v>
      </c>
      <c r="B33" s="25" t="b">
        <f>NOT(ISBLANK(SEBBusinessDataTable[[#This Row],[SEBBusinessType]]))</f>
        <v>0</v>
      </c>
      <c r="C33" s="25"/>
      <c r="D33" s="25"/>
      <c r="E33" s="25"/>
      <c r="F33" s="25"/>
      <c r="G33" s="25"/>
      <c r="H33" s="25"/>
      <c r="I33" s="25"/>
      <c r="J33" s="25">
        <f>COUNTIF(SEBBusinessDataTable[[#This Row],[SEBAssociatedFlagApp1]:[SEBAssociatedFlagApp6]],"Yes")</f>
        <v>0</v>
      </c>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55"/>
      <c r="DP33" s="55"/>
      <c r="DQ33" s="55"/>
      <c r="DR33" s="55"/>
      <c r="DS33" s="55"/>
      <c r="DT33" s="55"/>
      <c r="DU33" s="55"/>
      <c r="DV33" s="55"/>
      <c r="DW33" s="55"/>
      <c r="DX33" s="55"/>
      <c r="DY33" s="55"/>
      <c r="DZ33" s="5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81"/>
      <c r="GB33" s="81"/>
      <c r="GC33" s="81"/>
      <c r="GD33" s="81"/>
      <c r="GE33" s="81"/>
      <c r="GF33" s="81"/>
      <c r="GG33" s="81"/>
      <c r="GH33" s="81"/>
      <c r="GI33" s="81"/>
      <c r="GJ33" s="81"/>
      <c r="GK33" s="81"/>
      <c r="GL33" s="81"/>
      <c r="GM33" s="81"/>
      <c r="GN33" s="81"/>
      <c r="GO33" s="81"/>
      <c r="GP33" s="81"/>
      <c r="GQ33" s="81"/>
      <c r="GR33" s="81"/>
      <c r="GS33" s="81"/>
      <c r="GT33" s="81"/>
      <c r="GU33" s="81"/>
      <c r="GV33" s="81"/>
      <c r="GW33" s="81"/>
      <c r="GX33" s="81"/>
      <c r="GY33" s="81"/>
      <c r="GZ33" s="81"/>
      <c r="HA33" s="25"/>
      <c r="HB33" s="25"/>
      <c r="HC33" s="55"/>
      <c r="HD33" s="55"/>
      <c r="HE33" s="55"/>
      <c r="HF33" s="55"/>
      <c r="HG33" s="55"/>
      <c r="HH33" s="55"/>
      <c r="HI33" s="55"/>
      <c r="HJ33" s="55"/>
      <c r="HK33" s="55"/>
      <c r="HL33" s="55"/>
      <c r="HM33" s="55"/>
      <c r="HN33" s="55"/>
      <c r="HO33" s="55"/>
      <c r="HP33" s="55"/>
      <c r="HQ33" s="55"/>
      <c r="HR33" s="55"/>
      <c r="HS33" s="55"/>
      <c r="HT33" s="55"/>
      <c r="HU33" s="55"/>
      <c r="HV33" s="55"/>
      <c r="HW33" s="55"/>
      <c r="HX33" s="55"/>
      <c r="HY33" s="55"/>
      <c r="HZ33" s="55"/>
      <c r="IA33" s="55"/>
      <c r="IB33" s="55"/>
      <c r="IC33" s="55"/>
      <c r="ID33" s="55"/>
      <c r="IE33" s="55"/>
      <c r="IF33" s="55"/>
      <c r="IG33" s="55"/>
      <c r="IH33" s="55"/>
      <c r="II33" s="55"/>
      <c r="IJ33" s="55"/>
      <c r="IK33" s="55"/>
      <c r="IL33" s="55"/>
      <c r="IM33" s="55"/>
      <c r="IN33" s="55"/>
      <c r="IO33" s="55"/>
      <c r="IP33" s="55"/>
      <c r="IQ33" s="55"/>
      <c r="IR33" s="55"/>
      <c r="IS33" s="55"/>
      <c r="IT33" s="55"/>
      <c r="IU33" s="55"/>
      <c r="IV33" s="55"/>
      <c r="IW33" s="55"/>
      <c r="IX33" s="55"/>
      <c r="IY33" s="55"/>
      <c r="IZ33" s="55"/>
      <c r="JA33" s="55"/>
      <c r="JB33" s="55"/>
      <c r="JC33" s="55"/>
      <c r="JD33" s="55"/>
      <c r="JE33" s="55"/>
      <c r="JF33" s="55"/>
      <c r="JG33" s="55"/>
      <c r="JH33" s="55"/>
      <c r="JI33" s="55"/>
      <c r="JJ33" s="55"/>
      <c r="JK33" s="25"/>
      <c r="JL33" s="25"/>
      <c r="JM33" s="25"/>
      <c r="JN33" s="25"/>
      <c r="JO33" s="25"/>
      <c r="JP33" s="25"/>
      <c r="JQ33" s="25"/>
      <c r="JR33" s="25"/>
      <c r="JS33" s="25"/>
      <c r="JT33" s="25"/>
      <c r="JU33" s="25"/>
      <c r="JV33" s="25"/>
      <c r="JW33" s="25"/>
      <c r="JX33" s="25"/>
      <c r="JY33" s="25"/>
      <c r="JZ33" s="25"/>
      <c r="KA33" s="25"/>
      <c r="KB33" s="25"/>
      <c r="KC33" s="25"/>
      <c r="KD33" s="25"/>
      <c r="KE33" s="25"/>
      <c r="KF33" s="25"/>
      <c r="KG33" s="25"/>
      <c r="KH33" s="25"/>
      <c r="KI33" s="25"/>
      <c r="KJ33" s="25"/>
      <c r="KK33" s="25"/>
      <c r="KL33" s="25"/>
      <c r="KM33" s="25"/>
      <c r="KN33" s="25"/>
      <c r="KO33" s="25"/>
      <c r="KP33" s="25"/>
      <c r="KQ33" s="25"/>
      <c r="KR33" s="25"/>
      <c r="KS33" s="25"/>
      <c r="KT33" s="25"/>
      <c r="KU33" s="25"/>
      <c r="KV33" s="25"/>
      <c r="KW33" s="25"/>
      <c r="KX33" s="25"/>
      <c r="KY33" s="25"/>
      <c r="KZ33" s="25"/>
      <c r="LA33" s="25"/>
      <c r="LB33" s="25"/>
      <c r="LC33" s="25"/>
      <c r="LD33" s="25"/>
      <c r="LE33" s="25"/>
      <c r="LF33" s="25"/>
      <c r="LG33" s="25"/>
      <c r="LH33" s="25"/>
      <c r="LI33" s="25"/>
      <c r="LJ33" s="25"/>
      <c r="LK33" s="25"/>
      <c r="LL33" s="25"/>
      <c r="LM33" s="25"/>
      <c r="LN33" s="25"/>
      <c r="LO33" s="25"/>
      <c r="LP33" s="25"/>
      <c r="LQ33" s="25"/>
      <c r="LR33" s="25"/>
      <c r="LS33" s="166"/>
      <c r="LT33" s="166"/>
      <c r="LU33" s="166"/>
      <c r="LV33" s="166"/>
      <c r="LW33" s="166"/>
      <c r="LX33" s="166"/>
      <c r="LY33" s="166"/>
      <c r="LZ33" s="166"/>
      <c r="MA33" s="166"/>
      <c r="MB33" s="166"/>
      <c r="MC33" s="166"/>
      <c r="MD33" s="166"/>
      <c r="ME33" s="166"/>
      <c r="MF33" s="166"/>
      <c r="MG33" s="166"/>
      <c r="MH33" s="166"/>
      <c r="MI33" s="166"/>
      <c r="MJ33" s="166"/>
      <c r="MK33" s="166"/>
      <c r="ML33" s="166"/>
      <c r="MM33" s="166"/>
      <c r="MN33" s="166"/>
      <c r="MO33" s="166"/>
      <c r="MP33" s="166"/>
      <c r="MQ33" s="166"/>
      <c r="MR33" s="166"/>
      <c r="MS33" s="166"/>
      <c r="MT33" s="166"/>
      <c r="MU33" s="166"/>
      <c r="MV33" s="166"/>
      <c r="MW33" s="166"/>
      <c r="MX33" s="166"/>
      <c r="MY33" s="166"/>
      <c r="MZ33" s="166"/>
      <c r="NA33" s="166"/>
      <c r="NB33" s="166"/>
      <c r="NC33" s="166"/>
      <c r="ND33" s="166"/>
      <c r="NE33" s="166"/>
      <c r="NF33" s="166"/>
      <c r="NG33" s="166"/>
      <c r="NH33" s="166"/>
      <c r="NI33" s="166"/>
      <c r="NJ33" s="166"/>
      <c r="NK33" s="166"/>
      <c r="NL33" s="166"/>
      <c r="NM33" s="166"/>
      <c r="NN33" s="166"/>
      <c r="NO33" s="166"/>
      <c r="NP33" s="166"/>
      <c r="NQ33" s="166"/>
      <c r="NR33" s="166"/>
      <c r="NS33" s="166"/>
      <c r="NT33" s="166"/>
      <c r="NU33" s="166"/>
      <c r="NV33" s="166"/>
      <c r="NW33" s="166"/>
      <c r="NX33" s="166"/>
      <c r="NY33" s="166"/>
      <c r="NZ33" s="166"/>
      <c r="OA33" s="25"/>
      <c r="OB33" s="25"/>
      <c r="OC33" s="25"/>
      <c r="OD33" s="81"/>
      <c r="OE33" s="25"/>
      <c r="OF33" s="25"/>
      <c r="OG33" s="25"/>
      <c r="OH33" s="25"/>
      <c r="OI33" s="25"/>
      <c r="OJ33" s="25"/>
      <c r="OK33" s="25"/>
      <c r="OL33" s="25"/>
      <c r="OM33" s="25"/>
      <c r="ON33" s="25"/>
      <c r="OO33" s="25"/>
      <c r="OP33" s="25"/>
      <c r="OQ33" s="25"/>
      <c r="OR3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3" s="81"/>
      <c r="OT33" s="25"/>
      <c r="OU33" s="81"/>
      <c r="OV33" s="81"/>
    </row>
    <row r="34" spans="1:412" ht="12.5" x14ac:dyDescent="0.25">
      <c r="A34" s="25">
        <v>15</v>
      </c>
      <c r="B34" s="25" t="b">
        <f>NOT(ISBLANK(SEBBusinessDataTable[[#This Row],[SEBBusinessType]]))</f>
        <v>0</v>
      </c>
      <c r="C34" s="25"/>
      <c r="D34" s="25"/>
      <c r="E34" s="25"/>
      <c r="F34" s="25"/>
      <c r="G34" s="25"/>
      <c r="H34" s="25"/>
      <c r="I34" s="25"/>
      <c r="J34" s="25">
        <f>COUNTIF(SEBBusinessDataTable[[#This Row],[SEBAssociatedFlagApp1]:[SEBAssociatedFlagApp6]],"Yes")</f>
        <v>0</v>
      </c>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55"/>
      <c r="DP34" s="55"/>
      <c r="DQ34" s="55"/>
      <c r="DR34" s="55"/>
      <c r="DS34" s="55"/>
      <c r="DT34" s="55"/>
      <c r="DU34" s="55"/>
      <c r="DV34" s="55"/>
      <c r="DW34" s="55"/>
      <c r="DX34" s="55"/>
      <c r="DY34" s="55"/>
      <c r="DZ34" s="5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81"/>
      <c r="GB34" s="81"/>
      <c r="GC34" s="81"/>
      <c r="GD34" s="81"/>
      <c r="GE34" s="81"/>
      <c r="GF34" s="81"/>
      <c r="GG34" s="81"/>
      <c r="GH34" s="81"/>
      <c r="GI34" s="81"/>
      <c r="GJ34" s="81"/>
      <c r="GK34" s="81"/>
      <c r="GL34" s="81"/>
      <c r="GM34" s="81"/>
      <c r="GN34" s="81"/>
      <c r="GO34" s="81"/>
      <c r="GP34" s="81"/>
      <c r="GQ34" s="81"/>
      <c r="GR34" s="81"/>
      <c r="GS34" s="81"/>
      <c r="GT34" s="81"/>
      <c r="GU34" s="81"/>
      <c r="GV34" s="81"/>
      <c r="GW34" s="81"/>
      <c r="GX34" s="81"/>
      <c r="GY34" s="81"/>
      <c r="GZ34" s="81"/>
      <c r="HA34" s="25"/>
      <c r="HB34" s="25"/>
      <c r="HC34" s="55"/>
      <c r="HD34" s="55"/>
      <c r="HE34" s="55"/>
      <c r="HF34" s="55"/>
      <c r="HG34" s="55"/>
      <c r="HH34" s="55"/>
      <c r="HI34" s="55"/>
      <c r="HJ34" s="55"/>
      <c r="HK34" s="55"/>
      <c r="HL34" s="55"/>
      <c r="HM34" s="55"/>
      <c r="HN34" s="55"/>
      <c r="HO34" s="55"/>
      <c r="HP34" s="55"/>
      <c r="HQ34" s="55"/>
      <c r="HR34" s="55"/>
      <c r="HS34" s="55"/>
      <c r="HT34" s="55"/>
      <c r="HU34" s="55"/>
      <c r="HV34" s="55"/>
      <c r="HW34" s="55"/>
      <c r="HX34" s="55"/>
      <c r="HY34" s="55"/>
      <c r="HZ34" s="55"/>
      <c r="IA34" s="55"/>
      <c r="IB34" s="55"/>
      <c r="IC34" s="55"/>
      <c r="ID34" s="55"/>
      <c r="IE34" s="55"/>
      <c r="IF34" s="55"/>
      <c r="IG34" s="55"/>
      <c r="IH34" s="55"/>
      <c r="II34" s="55"/>
      <c r="IJ34" s="55"/>
      <c r="IK34" s="55"/>
      <c r="IL34" s="55"/>
      <c r="IM34" s="55"/>
      <c r="IN34" s="55"/>
      <c r="IO34" s="55"/>
      <c r="IP34" s="55"/>
      <c r="IQ34" s="55"/>
      <c r="IR34" s="55"/>
      <c r="IS34" s="55"/>
      <c r="IT34" s="55"/>
      <c r="IU34" s="55"/>
      <c r="IV34" s="55"/>
      <c r="IW34" s="55"/>
      <c r="IX34" s="55"/>
      <c r="IY34" s="55"/>
      <c r="IZ34" s="55"/>
      <c r="JA34" s="55"/>
      <c r="JB34" s="55"/>
      <c r="JC34" s="55"/>
      <c r="JD34" s="55"/>
      <c r="JE34" s="55"/>
      <c r="JF34" s="55"/>
      <c r="JG34" s="55"/>
      <c r="JH34" s="55"/>
      <c r="JI34" s="55"/>
      <c r="JJ34" s="55"/>
      <c r="JK34" s="25"/>
      <c r="JL34" s="25"/>
      <c r="JM34" s="25"/>
      <c r="JN34" s="25"/>
      <c r="JO34" s="25"/>
      <c r="JP34" s="25"/>
      <c r="JQ34" s="25"/>
      <c r="JR34" s="25"/>
      <c r="JS34" s="25"/>
      <c r="JT34" s="25"/>
      <c r="JU34" s="25"/>
      <c r="JV34" s="25"/>
      <c r="JW34" s="25"/>
      <c r="JX34" s="25"/>
      <c r="JY34" s="25"/>
      <c r="JZ34" s="25"/>
      <c r="KA34" s="25"/>
      <c r="KB34" s="25"/>
      <c r="KC34" s="25"/>
      <c r="KD34" s="25"/>
      <c r="KE34" s="25"/>
      <c r="KF34" s="25"/>
      <c r="KG34" s="25"/>
      <c r="KH34" s="25"/>
      <c r="KI34" s="25"/>
      <c r="KJ34" s="25"/>
      <c r="KK34" s="25"/>
      <c r="KL34" s="25"/>
      <c r="KM34" s="25"/>
      <c r="KN34" s="25"/>
      <c r="KO34" s="25"/>
      <c r="KP34" s="25"/>
      <c r="KQ34" s="25"/>
      <c r="KR34" s="25"/>
      <c r="KS34" s="25"/>
      <c r="KT34" s="25"/>
      <c r="KU34" s="25"/>
      <c r="KV34" s="25"/>
      <c r="KW34" s="25"/>
      <c r="KX34" s="25"/>
      <c r="KY34" s="25"/>
      <c r="KZ34" s="25"/>
      <c r="LA34" s="25"/>
      <c r="LB34" s="25"/>
      <c r="LC34" s="25"/>
      <c r="LD34" s="25"/>
      <c r="LE34" s="25"/>
      <c r="LF34" s="25"/>
      <c r="LG34" s="25"/>
      <c r="LH34" s="25"/>
      <c r="LI34" s="25"/>
      <c r="LJ34" s="25"/>
      <c r="LK34" s="25"/>
      <c r="LL34" s="25"/>
      <c r="LM34" s="25"/>
      <c r="LN34" s="25"/>
      <c r="LO34" s="25"/>
      <c r="LP34" s="25"/>
      <c r="LQ34" s="25"/>
      <c r="LR34" s="25"/>
      <c r="LS34" s="166"/>
      <c r="LT34" s="166"/>
      <c r="LU34" s="166"/>
      <c r="LV34" s="166"/>
      <c r="LW34" s="166"/>
      <c r="LX34" s="166"/>
      <c r="LY34" s="166"/>
      <c r="LZ34" s="166"/>
      <c r="MA34" s="166"/>
      <c r="MB34" s="166"/>
      <c r="MC34" s="166"/>
      <c r="MD34" s="166"/>
      <c r="ME34" s="166"/>
      <c r="MF34" s="166"/>
      <c r="MG34" s="166"/>
      <c r="MH34" s="166"/>
      <c r="MI34" s="166"/>
      <c r="MJ34" s="166"/>
      <c r="MK34" s="166"/>
      <c r="ML34" s="166"/>
      <c r="MM34" s="166"/>
      <c r="MN34" s="166"/>
      <c r="MO34" s="166"/>
      <c r="MP34" s="166"/>
      <c r="MQ34" s="166"/>
      <c r="MR34" s="166"/>
      <c r="MS34" s="166"/>
      <c r="MT34" s="166"/>
      <c r="MU34" s="166"/>
      <c r="MV34" s="166"/>
      <c r="MW34" s="166"/>
      <c r="MX34" s="166"/>
      <c r="MY34" s="166"/>
      <c r="MZ34" s="166"/>
      <c r="NA34" s="166"/>
      <c r="NB34" s="166"/>
      <c r="NC34" s="166"/>
      <c r="ND34" s="166"/>
      <c r="NE34" s="166"/>
      <c r="NF34" s="166"/>
      <c r="NG34" s="166"/>
      <c r="NH34" s="166"/>
      <c r="NI34" s="166"/>
      <c r="NJ34" s="166"/>
      <c r="NK34" s="166"/>
      <c r="NL34" s="166"/>
      <c r="NM34" s="166"/>
      <c r="NN34" s="166"/>
      <c r="NO34" s="166"/>
      <c r="NP34" s="166"/>
      <c r="NQ34" s="166"/>
      <c r="NR34" s="166"/>
      <c r="NS34" s="166"/>
      <c r="NT34" s="166"/>
      <c r="NU34" s="166"/>
      <c r="NV34" s="166"/>
      <c r="NW34" s="166"/>
      <c r="NX34" s="166"/>
      <c r="NY34" s="166"/>
      <c r="NZ34" s="166"/>
      <c r="OA34" s="25"/>
      <c r="OB34" s="25"/>
      <c r="OC34" s="25"/>
      <c r="OD34" s="81"/>
      <c r="OE34" s="25"/>
      <c r="OF34" s="25"/>
      <c r="OG34" s="25"/>
      <c r="OH34" s="25"/>
      <c r="OI34" s="25"/>
      <c r="OJ34" s="25"/>
      <c r="OK34" s="25"/>
      <c r="OL34" s="25"/>
      <c r="OM34" s="25"/>
      <c r="ON34" s="25"/>
      <c r="OO34" s="25"/>
      <c r="OP34" s="25"/>
      <c r="OQ34" s="25"/>
      <c r="OR3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4" s="81"/>
      <c r="OT34" s="25"/>
      <c r="OU34" s="81"/>
      <c r="OV34" s="81"/>
    </row>
    <row r="35" spans="1:412" ht="12.5" x14ac:dyDescent="0.25">
      <c r="A35" s="25">
        <v>16</v>
      </c>
      <c r="B35" s="25" t="b">
        <f>NOT(ISBLANK(SEBBusinessDataTable[[#This Row],[SEBBusinessType]]))</f>
        <v>0</v>
      </c>
      <c r="C35" s="25"/>
      <c r="D35" s="25"/>
      <c r="E35" s="25"/>
      <c r="F35" s="25"/>
      <c r="G35" s="25"/>
      <c r="H35" s="25"/>
      <c r="I35" s="25"/>
      <c r="J35" s="25">
        <f>COUNTIF(SEBBusinessDataTable[[#This Row],[SEBAssociatedFlagApp1]:[SEBAssociatedFlagApp6]],"Yes")</f>
        <v>0</v>
      </c>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55"/>
      <c r="DP35" s="55"/>
      <c r="DQ35" s="55"/>
      <c r="DR35" s="55"/>
      <c r="DS35" s="55"/>
      <c r="DT35" s="55"/>
      <c r="DU35" s="55"/>
      <c r="DV35" s="55"/>
      <c r="DW35" s="55"/>
      <c r="DX35" s="55"/>
      <c r="DY35" s="55"/>
      <c r="DZ35" s="5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81"/>
      <c r="GB35" s="81"/>
      <c r="GC35" s="81"/>
      <c r="GD35" s="81"/>
      <c r="GE35" s="81"/>
      <c r="GF35" s="81"/>
      <c r="GG35" s="81"/>
      <c r="GH35" s="81"/>
      <c r="GI35" s="81"/>
      <c r="GJ35" s="81"/>
      <c r="GK35" s="81"/>
      <c r="GL35" s="81"/>
      <c r="GM35" s="81"/>
      <c r="GN35" s="81"/>
      <c r="GO35" s="81"/>
      <c r="GP35" s="81"/>
      <c r="GQ35" s="81"/>
      <c r="GR35" s="81"/>
      <c r="GS35" s="81"/>
      <c r="GT35" s="81"/>
      <c r="GU35" s="81"/>
      <c r="GV35" s="81"/>
      <c r="GW35" s="81"/>
      <c r="GX35" s="81"/>
      <c r="GY35" s="81"/>
      <c r="GZ35" s="81"/>
      <c r="HA35" s="25"/>
      <c r="HB35" s="25"/>
      <c r="HC35" s="55"/>
      <c r="HD35" s="55"/>
      <c r="HE35" s="55"/>
      <c r="HF35" s="55"/>
      <c r="HG35" s="55"/>
      <c r="HH35" s="55"/>
      <c r="HI35" s="55"/>
      <c r="HJ35" s="55"/>
      <c r="HK35" s="55"/>
      <c r="HL35" s="55"/>
      <c r="HM35" s="55"/>
      <c r="HN35" s="55"/>
      <c r="HO35" s="55"/>
      <c r="HP35" s="55"/>
      <c r="HQ35" s="55"/>
      <c r="HR35" s="55"/>
      <c r="HS35" s="55"/>
      <c r="HT35" s="55"/>
      <c r="HU35" s="55"/>
      <c r="HV35" s="55"/>
      <c r="HW35" s="55"/>
      <c r="HX35" s="55"/>
      <c r="HY35" s="55"/>
      <c r="HZ35" s="55"/>
      <c r="IA35" s="55"/>
      <c r="IB35" s="55"/>
      <c r="IC35" s="55"/>
      <c r="ID35" s="55"/>
      <c r="IE35" s="55"/>
      <c r="IF35" s="55"/>
      <c r="IG35" s="55"/>
      <c r="IH35" s="55"/>
      <c r="II35" s="55"/>
      <c r="IJ35" s="55"/>
      <c r="IK35" s="55"/>
      <c r="IL35" s="55"/>
      <c r="IM35" s="55"/>
      <c r="IN35" s="55"/>
      <c r="IO35" s="55"/>
      <c r="IP35" s="55"/>
      <c r="IQ35" s="55"/>
      <c r="IR35" s="55"/>
      <c r="IS35" s="55"/>
      <c r="IT35" s="55"/>
      <c r="IU35" s="55"/>
      <c r="IV35" s="55"/>
      <c r="IW35" s="55"/>
      <c r="IX35" s="55"/>
      <c r="IY35" s="55"/>
      <c r="IZ35" s="55"/>
      <c r="JA35" s="55"/>
      <c r="JB35" s="55"/>
      <c r="JC35" s="55"/>
      <c r="JD35" s="55"/>
      <c r="JE35" s="55"/>
      <c r="JF35" s="55"/>
      <c r="JG35" s="55"/>
      <c r="JH35" s="55"/>
      <c r="JI35" s="55"/>
      <c r="JJ35" s="55"/>
      <c r="JK35" s="25"/>
      <c r="JL35" s="25"/>
      <c r="JM35" s="25"/>
      <c r="JN35" s="25"/>
      <c r="JO35" s="25"/>
      <c r="JP35" s="25"/>
      <c r="JQ35" s="25"/>
      <c r="JR35" s="25"/>
      <c r="JS35" s="25"/>
      <c r="JT35" s="25"/>
      <c r="JU35" s="25"/>
      <c r="JV35" s="25"/>
      <c r="JW35" s="25"/>
      <c r="JX35" s="25"/>
      <c r="JY35" s="25"/>
      <c r="JZ35" s="25"/>
      <c r="KA35" s="25"/>
      <c r="KB35" s="25"/>
      <c r="KC35" s="25"/>
      <c r="KD35" s="25"/>
      <c r="KE35" s="25"/>
      <c r="KF35" s="25"/>
      <c r="KG35" s="25"/>
      <c r="KH35" s="25"/>
      <c r="KI35" s="25"/>
      <c r="KJ35" s="25"/>
      <c r="KK35" s="25"/>
      <c r="KL35" s="25"/>
      <c r="KM35" s="25"/>
      <c r="KN35" s="25"/>
      <c r="KO35" s="25"/>
      <c r="KP35" s="25"/>
      <c r="KQ35" s="25"/>
      <c r="KR35" s="25"/>
      <c r="KS35" s="25"/>
      <c r="KT35" s="25"/>
      <c r="KU35" s="25"/>
      <c r="KV35" s="25"/>
      <c r="KW35" s="25"/>
      <c r="KX35" s="25"/>
      <c r="KY35" s="25"/>
      <c r="KZ35" s="25"/>
      <c r="LA35" s="25"/>
      <c r="LB35" s="25"/>
      <c r="LC35" s="25"/>
      <c r="LD35" s="25"/>
      <c r="LE35" s="25"/>
      <c r="LF35" s="25"/>
      <c r="LG35" s="25"/>
      <c r="LH35" s="25"/>
      <c r="LI35" s="25"/>
      <c r="LJ35" s="25"/>
      <c r="LK35" s="25"/>
      <c r="LL35" s="25"/>
      <c r="LM35" s="25"/>
      <c r="LN35" s="25"/>
      <c r="LO35" s="25"/>
      <c r="LP35" s="25"/>
      <c r="LQ35" s="25"/>
      <c r="LR35" s="25"/>
      <c r="LS35" s="166"/>
      <c r="LT35" s="166"/>
      <c r="LU35" s="166"/>
      <c r="LV35" s="166"/>
      <c r="LW35" s="166"/>
      <c r="LX35" s="166"/>
      <c r="LY35" s="166"/>
      <c r="LZ35" s="166"/>
      <c r="MA35" s="166"/>
      <c r="MB35" s="166"/>
      <c r="MC35" s="166"/>
      <c r="MD35" s="166"/>
      <c r="ME35" s="166"/>
      <c r="MF35" s="166"/>
      <c r="MG35" s="166"/>
      <c r="MH35" s="166"/>
      <c r="MI35" s="166"/>
      <c r="MJ35" s="166"/>
      <c r="MK35" s="166"/>
      <c r="ML35" s="166"/>
      <c r="MM35" s="166"/>
      <c r="MN35" s="166"/>
      <c r="MO35" s="166"/>
      <c r="MP35" s="166"/>
      <c r="MQ35" s="166"/>
      <c r="MR35" s="166"/>
      <c r="MS35" s="166"/>
      <c r="MT35" s="166"/>
      <c r="MU35" s="166"/>
      <c r="MV35" s="166"/>
      <c r="MW35" s="166"/>
      <c r="MX35" s="166"/>
      <c r="MY35" s="166"/>
      <c r="MZ35" s="166"/>
      <c r="NA35" s="166"/>
      <c r="NB35" s="166"/>
      <c r="NC35" s="166"/>
      <c r="ND35" s="166"/>
      <c r="NE35" s="166"/>
      <c r="NF35" s="166"/>
      <c r="NG35" s="166"/>
      <c r="NH35" s="166"/>
      <c r="NI35" s="166"/>
      <c r="NJ35" s="166"/>
      <c r="NK35" s="166"/>
      <c r="NL35" s="166"/>
      <c r="NM35" s="166"/>
      <c r="NN35" s="166"/>
      <c r="NO35" s="166"/>
      <c r="NP35" s="166"/>
      <c r="NQ35" s="166"/>
      <c r="NR35" s="166"/>
      <c r="NS35" s="166"/>
      <c r="NT35" s="166"/>
      <c r="NU35" s="166"/>
      <c r="NV35" s="166"/>
      <c r="NW35" s="166"/>
      <c r="NX35" s="166"/>
      <c r="NY35" s="166"/>
      <c r="NZ35" s="166"/>
      <c r="OA35" s="25"/>
      <c r="OB35" s="25"/>
      <c r="OC35" s="25"/>
      <c r="OD35" s="81"/>
      <c r="OE35" s="25"/>
      <c r="OF35" s="25"/>
      <c r="OG35" s="25"/>
      <c r="OH35" s="25"/>
      <c r="OI35" s="25"/>
      <c r="OJ35" s="25"/>
      <c r="OK35" s="25"/>
      <c r="OL35" s="25"/>
      <c r="OM35" s="25"/>
      <c r="ON35" s="25"/>
      <c r="OO35" s="25"/>
      <c r="OP35" s="25"/>
      <c r="OQ35" s="25"/>
      <c r="OR3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5" s="81"/>
      <c r="OT35" s="25"/>
      <c r="OU35" s="81"/>
      <c r="OV35" s="81"/>
    </row>
    <row r="36" spans="1:412" ht="12.5" x14ac:dyDescent="0.25">
      <c r="A36" s="25">
        <v>17</v>
      </c>
      <c r="B36" s="25" t="b">
        <f>NOT(ISBLANK(SEBBusinessDataTable[[#This Row],[SEBBusinessType]]))</f>
        <v>0</v>
      </c>
      <c r="C36" s="25"/>
      <c r="D36" s="25"/>
      <c r="E36" s="25"/>
      <c r="F36" s="25"/>
      <c r="G36" s="25"/>
      <c r="H36" s="25"/>
      <c r="I36" s="25"/>
      <c r="J36" s="25">
        <f>COUNTIF(SEBBusinessDataTable[[#This Row],[SEBAssociatedFlagApp1]:[SEBAssociatedFlagApp6]],"Yes")</f>
        <v>0</v>
      </c>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55"/>
      <c r="DP36" s="55"/>
      <c r="DQ36" s="55"/>
      <c r="DR36" s="55"/>
      <c r="DS36" s="55"/>
      <c r="DT36" s="55"/>
      <c r="DU36" s="55"/>
      <c r="DV36" s="55"/>
      <c r="DW36" s="55"/>
      <c r="DX36" s="55"/>
      <c r="DY36" s="55"/>
      <c r="DZ36" s="5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GA36" s="81"/>
      <c r="GB36" s="81"/>
      <c r="GC36" s="81"/>
      <c r="GD36" s="81"/>
      <c r="GE36" s="81"/>
      <c r="GF36" s="81"/>
      <c r="GG36" s="81"/>
      <c r="GH36" s="81"/>
      <c r="GI36" s="81"/>
      <c r="GJ36" s="81"/>
      <c r="GK36" s="81"/>
      <c r="GL36" s="81"/>
      <c r="GM36" s="81"/>
      <c r="GN36" s="81"/>
      <c r="GO36" s="81"/>
      <c r="GP36" s="81"/>
      <c r="GQ36" s="81"/>
      <c r="GR36" s="81"/>
      <c r="GS36" s="81"/>
      <c r="GT36" s="81"/>
      <c r="GU36" s="81"/>
      <c r="GV36" s="81"/>
      <c r="GW36" s="81"/>
      <c r="GX36" s="81"/>
      <c r="GY36" s="81"/>
      <c r="GZ36" s="81"/>
      <c r="HA36" s="25"/>
      <c r="HB36" s="25"/>
      <c r="HC36" s="55"/>
      <c r="HD36" s="55"/>
      <c r="HE36" s="55"/>
      <c r="HF36" s="55"/>
      <c r="HG36" s="55"/>
      <c r="HH36" s="55"/>
      <c r="HI36" s="55"/>
      <c r="HJ36" s="55"/>
      <c r="HK36" s="55"/>
      <c r="HL36" s="55"/>
      <c r="HM36" s="55"/>
      <c r="HN36" s="55"/>
      <c r="HO36" s="55"/>
      <c r="HP36" s="55"/>
      <c r="HQ36" s="55"/>
      <c r="HR36" s="55"/>
      <c r="HS36" s="55"/>
      <c r="HT36" s="55"/>
      <c r="HU36" s="55"/>
      <c r="HV36" s="55"/>
      <c r="HW36" s="55"/>
      <c r="HX36" s="55"/>
      <c r="HY36" s="55"/>
      <c r="HZ36" s="55"/>
      <c r="IA36" s="55"/>
      <c r="IB36" s="55"/>
      <c r="IC36" s="55"/>
      <c r="ID36" s="55"/>
      <c r="IE36" s="55"/>
      <c r="IF36" s="55"/>
      <c r="IG36" s="55"/>
      <c r="IH36" s="55"/>
      <c r="II36" s="55"/>
      <c r="IJ36" s="55"/>
      <c r="IK36" s="55"/>
      <c r="IL36" s="55"/>
      <c r="IM36" s="55"/>
      <c r="IN36" s="55"/>
      <c r="IO36" s="55"/>
      <c r="IP36" s="55"/>
      <c r="IQ36" s="55"/>
      <c r="IR36" s="55"/>
      <c r="IS36" s="55"/>
      <c r="IT36" s="55"/>
      <c r="IU36" s="55"/>
      <c r="IV36" s="55"/>
      <c r="IW36" s="55"/>
      <c r="IX36" s="55"/>
      <c r="IY36" s="55"/>
      <c r="IZ36" s="55"/>
      <c r="JA36" s="55"/>
      <c r="JB36" s="55"/>
      <c r="JC36" s="55"/>
      <c r="JD36" s="55"/>
      <c r="JE36" s="55"/>
      <c r="JF36" s="55"/>
      <c r="JG36" s="55"/>
      <c r="JH36" s="55"/>
      <c r="JI36" s="55"/>
      <c r="JJ36" s="55"/>
      <c r="JK36" s="25"/>
      <c r="JL36" s="25"/>
      <c r="JM36" s="25"/>
      <c r="JN36" s="25"/>
      <c r="JO36" s="25"/>
      <c r="JP36" s="25"/>
      <c r="JQ36" s="25"/>
      <c r="JR36" s="25"/>
      <c r="JS36" s="25"/>
      <c r="JT36" s="25"/>
      <c r="JU36" s="25"/>
      <c r="JV36" s="25"/>
      <c r="JW36" s="25"/>
      <c r="JX36" s="25"/>
      <c r="JY36" s="25"/>
      <c r="JZ36" s="25"/>
      <c r="KA36" s="25"/>
      <c r="KB36" s="25"/>
      <c r="KC36" s="25"/>
      <c r="KD36" s="25"/>
      <c r="KE36" s="25"/>
      <c r="KF36" s="25"/>
      <c r="KG36" s="25"/>
      <c r="KH36" s="25"/>
      <c r="KI36" s="25"/>
      <c r="KJ36" s="25"/>
      <c r="KK36" s="25"/>
      <c r="KL36" s="25"/>
      <c r="KM36" s="25"/>
      <c r="KN36" s="25"/>
      <c r="KO36" s="25"/>
      <c r="KP36" s="25"/>
      <c r="KQ36" s="25"/>
      <c r="KR36" s="25"/>
      <c r="KS36" s="25"/>
      <c r="KT36" s="25"/>
      <c r="KU36" s="25"/>
      <c r="KV36" s="25"/>
      <c r="KW36" s="25"/>
      <c r="KX36" s="25"/>
      <c r="KY36" s="25"/>
      <c r="KZ36" s="25"/>
      <c r="LA36" s="25"/>
      <c r="LB36" s="25"/>
      <c r="LC36" s="25"/>
      <c r="LD36" s="25"/>
      <c r="LE36" s="25"/>
      <c r="LF36" s="25"/>
      <c r="LG36" s="25"/>
      <c r="LH36" s="25"/>
      <c r="LI36" s="25"/>
      <c r="LJ36" s="25"/>
      <c r="LK36" s="25"/>
      <c r="LL36" s="25"/>
      <c r="LM36" s="25"/>
      <c r="LN36" s="25"/>
      <c r="LO36" s="25"/>
      <c r="LP36" s="25"/>
      <c r="LQ36" s="25"/>
      <c r="LR36" s="25"/>
      <c r="LS36" s="166"/>
      <c r="LT36" s="166"/>
      <c r="LU36" s="166"/>
      <c r="LV36" s="166"/>
      <c r="LW36" s="166"/>
      <c r="LX36" s="166"/>
      <c r="LY36" s="166"/>
      <c r="LZ36" s="166"/>
      <c r="MA36" s="166"/>
      <c r="MB36" s="166"/>
      <c r="MC36" s="166"/>
      <c r="MD36" s="166"/>
      <c r="ME36" s="166"/>
      <c r="MF36" s="166"/>
      <c r="MG36" s="166"/>
      <c r="MH36" s="166"/>
      <c r="MI36" s="166"/>
      <c r="MJ36" s="166"/>
      <c r="MK36" s="166"/>
      <c r="ML36" s="166"/>
      <c r="MM36" s="166"/>
      <c r="MN36" s="166"/>
      <c r="MO36" s="166"/>
      <c r="MP36" s="166"/>
      <c r="MQ36" s="166"/>
      <c r="MR36" s="166"/>
      <c r="MS36" s="166"/>
      <c r="MT36" s="166"/>
      <c r="MU36" s="166"/>
      <c r="MV36" s="166"/>
      <c r="MW36" s="166"/>
      <c r="MX36" s="166"/>
      <c r="MY36" s="166"/>
      <c r="MZ36" s="166"/>
      <c r="NA36" s="166"/>
      <c r="NB36" s="166"/>
      <c r="NC36" s="166"/>
      <c r="ND36" s="166"/>
      <c r="NE36" s="166"/>
      <c r="NF36" s="166"/>
      <c r="NG36" s="166"/>
      <c r="NH36" s="166"/>
      <c r="NI36" s="166"/>
      <c r="NJ36" s="166"/>
      <c r="NK36" s="166"/>
      <c r="NL36" s="166"/>
      <c r="NM36" s="166"/>
      <c r="NN36" s="166"/>
      <c r="NO36" s="166"/>
      <c r="NP36" s="166"/>
      <c r="NQ36" s="166"/>
      <c r="NR36" s="166"/>
      <c r="NS36" s="166"/>
      <c r="NT36" s="166"/>
      <c r="NU36" s="166"/>
      <c r="NV36" s="166"/>
      <c r="NW36" s="166"/>
      <c r="NX36" s="166"/>
      <c r="NY36" s="166"/>
      <c r="NZ36" s="166"/>
      <c r="OA36" s="25"/>
      <c r="OB36" s="25"/>
      <c r="OC36" s="25"/>
      <c r="OD36" s="81"/>
      <c r="OE36" s="25"/>
      <c r="OF36" s="25"/>
      <c r="OG36" s="25"/>
      <c r="OH36" s="25"/>
      <c r="OI36" s="25"/>
      <c r="OJ36" s="25"/>
      <c r="OK36" s="25"/>
      <c r="OL36" s="25"/>
      <c r="OM36" s="25"/>
      <c r="ON36" s="25"/>
      <c r="OO36" s="25"/>
      <c r="OP36" s="25"/>
      <c r="OQ36" s="25"/>
      <c r="OR3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6" s="81"/>
      <c r="OT36" s="25"/>
      <c r="OU36" s="81"/>
      <c r="OV36" s="81"/>
    </row>
    <row r="37" spans="1:412" ht="12.5" x14ac:dyDescent="0.25">
      <c r="A37" s="25">
        <v>18</v>
      </c>
      <c r="B37" s="25" t="b">
        <f>NOT(ISBLANK(SEBBusinessDataTable[[#This Row],[SEBBusinessType]]))</f>
        <v>0</v>
      </c>
      <c r="C37" s="25"/>
      <c r="D37" s="25"/>
      <c r="E37" s="25"/>
      <c r="F37" s="25"/>
      <c r="G37" s="25"/>
      <c r="H37" s="25"/>
      <c r="I37" s="25"/>
      <c r="J37" s="25">
        <f>COUNTIF(SEBBusinessDataTable[[#This Row],[SEBAssociatedFlagApp1]:[SEBAssociatedFlagApp6]],"Yes")</f>
        <v>0</v>
      </c>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55"/>
      <c r="DP37" s="55"/>
      <c r="DQ37" s="55"/>
      <c r="DR37" s="55"/>
      <c r="DS37" s="55"/>
      <c r="DT37" s="55"/>
      <c r="DU37" s="55"/>
      <c r="DV37" s="55"/>
      <c r="DW37" s="55"/>
      <c r="DX37" s="55"/>
      <c r="DY37" s="55"/>
      <c r="DZ37" s="5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GA37" s="81"/>
      <c r="GB37" s="81"/>
      <c r="GC37" s="81"/>
      <c r="GD37" s="81"/>
      <c r="GE37" s="81"/>
      <c r="GF37" s="81"/>
      <c r="GG37" s="81"/>
      <c r="GH37" s="81"/>
      <c r="GI37" s="81"/>
      <c r="GJ37" s="81"/>
      <c r="GK37" s="81"/>
      <c r="GL37" s="81"/>
      <c r="GM37" s="81"/>
      <c r="GN37" s="81"/>
      <c r="GO37" s="81"/>
      <c r="GP37" s="81"/>
      <c r="GQ37" s="81"/>
      <c r="GR37" s="81"/>
      <c r="GS37" s="81"/>
      <c r="GT37" s="81"/>
      <c r="GU37" s="81"/>
      <c r="GV37" s="81"/>
      <c r="GW37" s="81"/>
      <c r="GX37" s="81"/>
      <c r="GY37" s="81"/>
      <c r="GZ37" s="81"/>
      <c r="HA37" s="25"/>
      <c r="HB37" s="25"/>
      <c r="HC37" s="55"/>
      <c r="HD37" s="55"/>
      <c r="HE37" s="55"/>
      <c r="HF37" s="55"/>
      <c r="HG37" s="55"/>
      <c r="HH37" s="55"/>
      <c r="HI37" s="55"/>
      <c r="HJ37" s="55"/>
      <c r="HK37" s="55"/>
      <c r="HL37" s="55"/>
      <c r="HM37" s="55"/>
      <c r="HN37" s="55"/>
      <c r="HO37" s="55"/>
      <c r="HP37" s="55"/>
      <c r="HQ37" s="55"/>
      <c r="HR37" s="55"/>
      <c r="HS37" s="55"/>
      <c r="HT37" s="55"/>
      <c r="HU37" s="55"/>
      <c r="HV37" s="55"/>
      <c r="HW37" s="55"/>
      <c r="HX37" s="55"/>
      <c r="HY37" s="55"/>
      <c r="HZ37" s="55"/>
      <c r="IA37" s="55"/>
      <c r="IB37" s="55"/>
      <c r="IC37" s="55"/>
      <c r="ID37" s="55"/>
      <c r="IE37" s="55"/>
      <c r="IF37" s="55"/>
      <c r="IG37" s="55"/>
      <c r="IH37" s="55"/>
      <c r="II37" s="55"/>
      <c r="IJ37" s="55"/>
      <c r="IK37" s="55"/>
      <c r="IL37" s="55"/>
      <c r="IM37" s="55"/>
      <c r="IN37" s="55"/>
      <c r="IO37" s="55"/>
      <c r="IP37" s="55"/>
      <c r="IQ37" s="55"/>
      <c r="IR37" s="55"/>
      <c r="IS37" s="55"/>
      <c r="IT37" s="55"/>
      <c r="IU37" s="55"/>
      <c r="IV37" s="55"/>
      <c r="IW37" s="55"/>
      <c r="IX37" s="55"/>
      <c r="IY37" s="55"/>
      <c r="IZ37" s="55"/>
      <c r="JA37" s="55"/>
      <c r="JB37" s="55"/>
      <c r="JC37" s="55"/>
      <c r="JD37" s="55"/>
      <c r="JE37" s="55"/>
      <c r="JF37" s="55"/>
      <c r="JG37" s="55"/>
      <c r="JH37" s="55"/>
      <c r="JI37" s="55"/>
      <c r="JJ37" s="55"/>
      <c r="JK37" s="25"/>
      <c r="JL37" s="25"/>
      <c r="JM37" s="25"/>
      <c r="JN37" s="25"/>
      <c r="JO37" s="25"/>
      <c r="JP37" s="25"/>
      <c r="JQ37" s="25"/>
      <c r="JR37" s="25"/>
      <c r="JS37" s="25"/>
      <c r="JT37" s="25"/>
      <c r="JU37" s="25"/>
      <c r="JV37" s="25"/>
      <c r="JW37" s="25"/>
      <c r="JX37" s="25"/>
      <c r="JY37" s="25"/>
      <c r="JZ37" s="25"/>
      <c r="KA37" s="25"/>
      <c r="KB37" s="25"/>
      <c r="KC37" s="25"/>
      <c r="KD37" s="25"/>
      <c r="KE37" s="25"/>
      <c r="KF37" s="25"/>
      <c r="KG37" s="25"/>
      <c r="KH37" s="25"/>
      <c r="KI37" s="25"/>
      <c r="KJ37" s="25"/>
      <c r="KK37" s="25"/>
      <c r="KL37" s="25"/>
      <c r="KM37" s="25"/>
      <c r="KN37" s="25"/>
      <c r="KO37" s="25"/>
      <c r="KP37" s="25"/>
      <c r="KQ37" s="25"/>
      <c r="KR37" s="25"/>
      <c r="KS37" s="25"/>
      <c r="KT37" s="25"/>
      <c r="KU37" s="25"/>
      <c r="KV37" s="25"/>
      <c r="KW37" s="25"/>
      <c r="KX37" s="25"/>
      <c r="KY37" s="25"/>
      <c r="KZ37" s="25"/>
      <c r="LA37" s="25"/>
      <c r="LB37" s="25"/>
      <c r="LC37" s="25"/>
      <c r="LD37" s="25"/>
      <c r="LE37" s="25"/>
      <c r="LF37" s="25"/>
      <c r="LG37" s="25"/>
      <c r="LH37" s="25"/>
      <c r="LI37" s="25"/>
      <c r="LJ37" s="25"/>
      <c r="LK37" s="25"/>
      <c r="LL37" s="25"/>
      <c r="LM37" s="25"/>
      <c r="LN37" s="25"/>
      <c r="LO37" s="25"/>
      <c r="LP37" s="25"/>
      <c r="LQ37" s="25"/>
      <c r="LR37" s="25"/>
      <c r="LS37" s="166"/>
      <c r="LT37" s="166"/>
      <c r="LU37" s="166"/>
      <c r="LV37" s="166"/>
      <c r="LW37" s="166"/>
      <c r="LX37" s="166"/>
      <c r="LY37" s="166"/>
      <c r="LZ37" s="166"/>
      <c r="MA37" s="166"/>
      <c r="MB37" s="166"/>
      <c r="MC37" s="166"/>
      <c r="MD37" s="166"/>
      <c r="ME37" s="166"/>
      <c r="MF37" s="166"/>
      <c r="MG37" s="166"/>
      <c r="MH37" s="166"/>
      <c r="MI37" s="166"/>
      <c r="MJ37" s="166"/>
      <c r="MK37" s="166"/>
      <c r="ML37" s="166"/>
      <c r="MM37" s="166"/>
      <c r="MN37" s="166"/>
      <c r="MO37" s="166"/>
      <c r="MP37" s="166"/>
      <c r="MQ37" s="166"/>
      <c r="MR37" s="166"/>
      <c r="MS37" s="166"/>
      <c r="MT37" s="166"/>
      <c r="MU37" s="166"/>
      <c r="MV37" s="166"/>
      <c r="MW37" s="166"/>
      <c r="MX37" s="166"/>
      <c r="MY37" s="166"/>
      <c r="MZ37" s="166"/>
      <c r="NA37" s="166"/>
      <c r="NB37" s="166"/>
      <c r="NC37" s="166"/>
      <c r="ND37" s="166"/>
      <c r="NE37" s="166"/>
      <c r="NF37" s="166"/>
      <c r="NG37" s="166"/>
      <c r="NH37" s="166"/>
      <c r="NI37" s="166"/>
      <c r="NJ37" s="166"/>
      <c r="NK37" s="166"/>
      <c r="NL37" s="166"/>
      <c r="NM37" s="166"/>
      <c r="NN37" s="166"/>
      <c r="NO37" s="166"/>
      <c r="NP37" s="166"/>
      <c r="NQ37" s="166"/>
      <c r="NR37" s="166"/>
      <c r="NS37" s="166"/>
      <c r="NT37" s="166"/>
      <c r="NU37" s="166"/>
      <c r="NV37" s="166"/>
      <c r="NW37" s="166"/>
      <c r="NX37" s="166"/>
      <c r="NY37" s="166"/>
      <c r="NZ37" s="166"/>
      <c r="OA37" s="25"/>
      <c r="OB37" s="25"/>
      <c r="OC37" s="25"/>
      <c r="OD37" s="81"/>
      <c r="OE37" s="25"/>
      <c r="OF37" s="25"/>
      <c r="OG37" s="25"/>
      <c r="OH37" s="25"/>
      <c r="OI37" s="25"/>
      <c r="OJ37" s="25"/>
      <c r="OK37" s="25"/>
      <c r="OL37" s="25"/>
      <c r="OM37" s="25"/>
      <c r="ON37" s="25"/>
      <c r="OO37" s="25"/>
      <c r="OP37" s="25"/>
      <c r="OQ37" s="25"/>
      <c r="OR3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7" s="81"/>
      <c r="OT37" s="25"/>
      <c r="OU37" s="81"/>
      <c r="OV37" s="81"/>
    </row>
    <row r="38" spans="1:412" ht="12.5" x14ac:dyDescent="0.25">
      <c r="A38" s="25">
        <v>19</v>
      </c>
      <c r="B38" s="25" t="b">
        <f>NOT(ISBLANK(SEBBusinessDataTable[[#This Row],[SEBBusinessType]]))</f>
        <v>0</v>
      </c>
      <c r="C38" s="25"/>
      <c r="D38" s="25"/>
      <c r="E38" s="25"/>
      <c r="F38" s="25"/>
      <c r="G38" s="25"/>
      <c r="H38" s="25"/>
      <c r="I38" s="25"/>
      <c r="J38" s="25">
        <f>COUNTIF(SEBBusinessDataTable[[#This Row],[SEBAssociatedFlagApp1]:[SEBAssociatedFlagApp6]],"Yes")</f>
        <v>0</v>
      </c>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55"/>
      <c r="DP38" s="55"/>
      <c r="DQ38" s="55"/>
      <c r="DR38" s="55"/>
      <c r="DS38" s="55"/>
      <c r="DT38" s="55"/>
      <c r="DU38" s="55"/>
      <c r="DV38" s="55"/>
      <c r="DW38" s="55"/>
      <c r="DX38" s="55"/>
      <c r="DY38" s="55"/>
      <c r="DZ38" s="5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GA38" s="81"/>
      <c r="GB38" s="81"/>
      <c r="GC38" s="81"/>
      <c r="GD38" s="81"/>
      <c r="GE38" s="81"/>
      <c r="GF38" s="81"/>
      <c r="GG38" s="81"/>
      <c r="GH38" s="81"/>
      <c r="GI38" s="81"/>
      <c r="GJ38" s="81"/>
      <c r="GK38" s="81"/>
      <c r="GL38" s="81"/>
      <c r="GM38" s="81"/>
      <c r="GN38" s="81"/>
      <c r="GO38" s="81"/>
      <c r="GP38" s="81"/>
      <c r="GQ38" s="81"/>
      <c r="GR38" s="81"/>
      <c r="GS38" s="81"/>
      <c r="GT38" s="81"/>
      <c r="GU38" s="81"/>
      <c r="GV38" s="81"/>
      <c r="GW38" s="81"/>
      <c r="GX38" s="81"/>
      <c r="GY38" s="81"/>
      <c r="GZ38" s="81"/>
      <c r="HA38" s="25"/>
      <c r="HB38" s="25"/>
      <c r="HC38" s="55"/>
      <c r="HD38" s="55"/>
      <c r="HE38" s="55"/>
      <c r="HF38" s="55"/>
      <c r="HG38" s="55"/>
      <c r="HH38" s="55"/>
      <c r="HI38" s="55"/>
      <c r="HJ38" s="55"/>
      <c r="HK38" s="55"/>
      <c r="HL38" s="55"/>
      <c r="HM38" s="55"/>
      <c r="HN38" s="55"/>
      <c r="HO38" s="55"/>
      <c r="HP38" s="55"/>
      <c r="HQ38" s="55"/>
      <c r="HR38" s="55"/>
      <c r="HS38" s="55"/>
      <c r="HT38" s="55"/>
      <c r="HU38" s="55"/>
      <c r="HV38" s="55"/>
      <c r="HW38" s="55"/>
      <c r="HX38" s="55"/>
      <c r="HY38" s="55"/>
      <c r="HZ38" s="55"/>
      <c r="IA38" s="55"/>
      <c r="IB38" s="55"/>
      <c r="IC38" s="55"/>
      <c r="ID38" s="55"/>
      <c r="IE38" s="55"/>
      <c r="IF38" s="55"/>
      <c r="IG38" s="55"/>
      <c r="IH38" s="55"/>
      <c r="II38" s="55"/>
      <c r="IJ38" s="55"/>
      <c r="IK38" s="55"/>
      <c r="IL38" s="55"/>
      <c r="IM38" s="55"/>
      <c r="IN38" s="55"/>
      <c r="IO38" s="55"/>
      <c r="IP38" s="55"/>
      <c r="IQ38" s="55"/>
      <c r="IR38" s="55"/>
      <c r="IS38" s="55"/>
      <c r="IT38" s="55"/>
      <c r="IU38" s="55"/>
      <c r="IV38" s="55"/>
      <c r="IW38" s="55"/>
      <c r="IX38" s="55"/>
      <c r="IY38" s="55"/>
      <c r="IZ38" s="55"/>
      <c r="JA38" s="55"/>
      <c r="JB38" s="55"/>
      <c r="JC38" s="55"/>
      <c r="JD38" s="55"/>
      <c r="JE38" s="55"/>
      <c r="JF38" s="55"/>
      <c r="JG38" s="55"/>
      <c r="JH38" s="55"/>
      <c r="JI38" s="55"/>
      <c r="JJ38" s="55"/>
      <c r="JK38" s="25"/>
      <c r="JL38" s="25"/>
      <c r="JM38" s="25"/>
      <c r="JN38" s="25"/>
      <c r="JO38" s="25"/>
      <c r="JP38" s="25"/>
      <c r="JQ38" s="25"/>
      <c r="JR38" s="25"/>
      <c r="JS38" s="25"/>
      <c r="JT38" s="25"/>
      <c r="JU38" s="25"/>
      <c r="JV38" s="25"/>
      <c r="JW38" s="25"/>
      <c r="JX38" s="25"/>
      <c r="JY38" s="25"/>
      <c r="JZ38" s="25"/>
      <c r="KA38" s="25"/>
      <c r="KB38" s="25"/>
      <c r="KC38" s="25"/>
      <c r="KD38" s="25"/>
      <c r="KE38" s="25"/>
      <c r="KF38" s="25"/>
      <c r="KG38" s="25"/>
      <c r="KH38" s="25"/>
      <c r="KI38" s="25"/>
      <c r="KJ38" s="25"/>
      <c r="KK38" s="25"/>
      <c r="KL38" s="25"/>
      <c r="KM38" s="25"/>
      <c r="KN38" s="25"/>
      <c r="KO38" s="25"/>
      <c r="KP38" s="25"/>
      <c r="KQ38" s="25"/>
      <c r="KR38" s="25"/>
      <c r="KS38" s="25"/>
      <c r="KT38" s="25"/>
      <c r="KU38" s="25"/>
      <c r="KV38" s="25"/>
      <c r="KW38" s="25"/>
      <c r="KX38" s="25"/>
      <c r="KY38" s="25"/>
      <c r="KZ38" s="25"/>
      <c r="LA38" s="25"/>
      <c r="LB38" s="25"/>
      <c r="LC38" s="25"/>
      <c r="LD38" s="25"/>
      <c r="LE38" s="25"/>
      <c r="LF38" s="25"/>
      <c r="LG38" s="25"/>
      <c r="LH38" s="25"/>
      <c r="LI38" s="25"/>
      <c r="LJ38" s="25"/>
      <c r="LK38" s="25"/>
      <c r="LL38" s="25"/>
      <c r="LM38" s="25"/>
      <c r="LN38" s="25"/>
      <c r="LO38" s="25"/>
      <c r="LP38" s="25"/>
      <c r="LQ38" s="25"/>
      <c r="LR38" s="25"/>
      <c r="LS38" s="166"/>
      <c r="LT38" s="166"/>
      <c r="LU38" s="166"/>
      <c r="LV38" s="166"/>
      <c r="LW38" s="166"/>
      <c r="LX38" s="166"/>
      <c r="LY38" s="166"/>
      <c r="LZ38" s="166"/>
      <c r="MA38" s="166"/>
      <c r="MB38" s="166"/>
      <c r="MC38" s="166"/>
      <c r="MD38" s="166"/>
      <c r="ME38" s="166"/>
      <c r="MF38" s="166"/>
      <c r="MG38" s="166"/>
      <c r="MH38" s="166"/>
      <c r="MI38" s="166"/>
      <c r="MJ38" s="166"/>
      <c r="MK38" s="166"/>
      <c r="ML38" s="166"/>
      <c r="MM38" s="166"/>
      <c r="MN38" s="166"/>
      <c r="MO38" s="166"/>
      <c r="MP38" s="166"/>
      <c r="MQ38" s="166"/>
      <c r="MR38" s="166"/>
      <c r="MS38" s="166"/>
      <c r="MT38" s="166"/>
      <c r="MU38" s="166"/>
      <c r="MV38" s="166"/>
      <c r="MW38" s="166"/>
      <c r="MX38" s="166"/>
      <c r="MY38" s="166"/>
      <c r="MZ38" s="166"/>
      <c r="NA38" s="166"/>
      <c r="NB38" s="166"/>
      <c r="NC38" s="166"/>
      <c r="ND38" s="166"/>
      <c r="NE38" s="166"/>
      <c r="NF38" s="166"/>
      <c r="NG38" s="166"/>
      <c r="NH38" s="166"/>
      <c r="NI38" s="166"/>
      <c r="NJ38" s="166"/>
      <c r="NK38" s="166"/>
      <c r="NL38" s="166"/>
      <c r="NM38" s="166"/>
      <c r="NN38" s="166"/>
      <c r="NO38" s="166"/>
      <c r="NP38" s="166"/>
      <c r="NQ38" s="166"/>
      <c r="NR38" s="166"/>
      <c r="NS38" s="166"/>
      <c r="NT38" s="166"/>
      <c r="NU38" s="166"/>
      <c r="NV38" s="166"/>
      <c r="NW38" s="166"/>
      <c r="NX38" s="166"/>
      <c r="NY38" s="166"/>
      <c r="NZ38" s="166"/>
      <c r="OA38" s="25"/>
      <c r="OB38" s="25"/>
      <c r="OC38" s="25"/>
      <c r="OD38" s="81"/>
      <c r="OE38" s="25"/>
      <c r="OF38" s="25"/>
      <c r="OG38" s="25"/>
      <c r="OH38" s="25"/>
      <c r="OI38" s="25"/>
      <c r="OJ38" s="25"/>
      <c r="OK38" s="25"/>
      <c r="OL38" s="25"/>
      <c r="OM38" s="25"/>
      <c r="ON38" s="25"/>
      <c r="OO38" s="25"/>
      <c r="OP38" s="25"/>
      <c r="OQ38" s="25"/>
      <c r="OR3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8" s="81"/>
      <c r="OT38" s="25"/>
      <c r="OU38" s="81"/>
      <c r="OV38" s="81"/>
    </row>
    <row r="39" spans="1:412" ht="12.5" x14ac:dyDescent="0.25">
      <c r="A39" s="25">
        <v>20</v>
      </c>
      <c r="B39" s="25" t="b">
        <f>NOT(ISBLANK(SEBBusinessDataTable[[#This Row],[SEBBusinessType]]))</f>
        <v>0</v>
      </c>
      <c r="C39" s="25"/>
      <c r="D39" s="25"/>
      <c r="E39" s="25"/>
      <c r="F39" s="25"/>
      <c r="G39" s="25"/>
      <c r="H39" s="25"/>
      <c r="I39" s="25"/>
      <c r="J39" s="25">
        <f>COUNTIF(SEBBusinessDataTable[[#This Row],[SEBAssociatedFlagApp1]:[SEBAssociatedFlagApp6]],"Yes")</f>
        <v>0</v>
      </c>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55"/>
      <c r="DP39" s="55"/>
      <c r="DQ39" s="55"/>
      <c r="DR39" s="55"/>
      <c r="DS39" s="55"/>
      <c r="DT39" s="55"/>
      <c r="DU39" s="55"/>
      <c r="DV39" s="55"/>
      <c r="DW39" s="55"/>
      <c r="DX39" s="55"/>
      <c r="DY39" s="55"/>
      <c r="DZ39" s="5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GA39" s="81"/>
      <c r="GB39" s="81"/>
      <c r="GC39" s="81"/>
      <c r="GD39" s="81"/>
      <c r="GE39" s="81"/>
      <c r="GF39" s="81"/>
      <c r="GG39" s="81"/>
      <c r="GH39" s="81"/>
      <c r="GI39" s="81"/>
      <c r="GJ39" s="81"/>
      <c r="GK39" s="81"/>
      <c r="GL39" s="81"/>
      <c r="GM39" s="81"/>
      <c r="GN39" s="81"/>
      <c r="GO39" s="81"/>
      <c r="GP39" s="81"/>
      <c r="GQ39" s="81"/>
      <c r="GR39" s="81"/>
      <c r="GS39" s="81"/>
      <c r="GT39" s="81"/>
      <c r="GU39" s="81"/>
      <c r="GV39" s="81"/>
      <c r="GW39" s="81"/>
      <c r="GX39" s="81"/>
      <c r="GY39" s="81"/>
      <c r="GZ39" s="81"/>
      <c r="HA39" s="25"/>
      <c r="HB39" s="25"/>
      <c r="HC39" s="55"/>
      <c r="HD39" s="55"/>
      <c r="HE39" s="55"/>
      <c r="HF39" s="55"/>
      <c r="HG39" s="55"/>
      <c r="HH39" s="55"/>
      <c r="HI39" s="55"/>
      <c r="HJ39" s="55"/>
      <c r="HK39" s="55"/>
      <c r="HL39" s="55"/>
      <c r="HM39" s="55"/>
      <c r="HN39" s="55"/>
      <c r="HO39" s="55"/>
      <c r="HP39" s="55"/>
      <c r="HQ39" s="55"/>
      <c r="HR39" s="55"/>
      <c r="HS39" s="55"/>
      <c r="HT39" s="55"/>
      <c r="HU39" s="55"/>
      <c r="HV39" s="55"/>
      <c r="HW39" s="55"/>
      <c r="HX39" s="55"/>
      <c r="HY39" s="55"/>
      <c r="HZ39" s="55"/>
      <c r="IA39" s="55"/>
      <c r="IB39" s="55"/>
      <c r="IC39" s="55"/>
      <c r="ID39" s="55"/>
      <c r="IE39" s="55"/>
      <c r="IF39" s="55"/>
      <c r="IG39" s="55"/>
      <c r="IH39" s="55"/>
      <c r="II39" s="55"/>
      <c r="IJ39" s="55"/>
      <c r="IK39" s="55"/>
      <c r="IL39" s="55"/>
      <c r="IM39" s="55"/>
      <c r="IN39" s="55"/>
      <c r="IO39" s="55"/>
      <c r="IP39" s="55"/>
      <c r="IQ39" s="55"/>
      <c r="IR39" s="55"/>
      <c r="IS39" s="55"/>
      <c r="IT39" s="55"/>
      <c r="IU39" s="55"/>
      <c r="IV39" s="55"/>
      <c r="IW39" s="55"/>
      <c r="IX39" s="55"/>
      <c r="IY39" s="55"/>
      <c r="IZ39" s="55"/>
      <c r="JA39" s="55"/>
      <c r="JB39" s="55"/>
      <c r="JC39" s="55"/>
      <c r="JD39" s="55"/>
      <c r="JE39" s="55"/>
      <c r="JF39" s="55"/>
      <c r="JG39" s="55"/>
      <c r="JH39" s="55"/>
      <c r="JI39" s="55"/>
      <c r="JJ39" s="55"/>
      <c r="JK39" s="25"/>
      <c r="JL39" s="25"/>
      <c r="JM39" s="25"/>
      <c r="JN39" s="25"/>
      <c r="JO39" s="25"/>
      <c r="JP39" s="25"/>
      <c r="JQ39" s="25"/>
      <c r="JR39" s="25"/>
      <c r="JS39" s="25"/>
      <c r="JT39" s="25"/>
      <c r="JU39" s="25"/>
      <c r="JV39" s="25"/>
      <c r="JW39" s="25"/>
      <c r="JX39" s="25"/>
      <c r="JY39" s="25"/>
      <c r="JZ39" s="25"/>
      <c r="KA39" s="25"/>
      <c r="KB39" s="25"/>
      <c r="KC39" s="25"/>
      <c r="KD39" s="25"/>
      <c r="KE39" s="25"/>
      <c r="KF39" s="25"/>
      <c r="KG39" s="25"/>
      <c r="KH39" s="25"/>
      <c r="KI39" s="25"/>
      <c r="KJ39" s="25"/>
      <c r="KK39" s="25"/>
      <c r="KL39" s="25"/>
      <c r="KM39" s="25"/>
      <c r="KN39" s="25"/>
      <c r="KO39" s="25"/>
      <c r="KP39" s="25"/>
      <c r="KQ39" s="25"/>
      <c r="KR39" s="25"/>
      <c r="KS39" s="25"/>
      <c r="KT39" s="25"/>
      <c r="KU39" s="25"/>
      <c r="KV39" s="25"/>
      <c r="KW39" s="25"/>
      <c r="KX39" s="25"/>
      <c r="KY39" s="25"/>
      <c r="KZ39" s="25"/>
      <c r="LA39" s="25"/>
      <c r="LB39" s="25"/>
      <c r="LC39" s="25"/>
      <c r="LD39" s="25"/>
      <c r="LE39" s="25"/>
      <c r="LF39" s="25"/>
      <c r="LG39" s="25"/>
      <c r="LH39" s="25"/>
      <c r="LI39" s="25"/>
      <c r="LJ39" s="25"/>
      <c r="LK39" s="25"/>
      <c r="LL39" s="25"/>
      <c r="LM39" s="25"/>
      <c r="LN39" s="25"/>
      <c r="LO39" s="25"/>
      <c r="LP39" s="25"/>
      <c r="LQ39" s="25"/>
      <c r="LR39" s="25"/>
      <c r="LS39" s="166"/>
      <c r="LT39" s="166"/>
      <c r="LU39" s="166"/>
      <c r="LV39" s="166"/>
      <c r="LW39" s="166"/>
      <c r="LX39" s="166"/>
      <c r="LY39" s="166"/>
      <c r="LZ39" s="166"/>
      <c r="MA39" s="166"/>
      <c r="MB39" s="166"/>
      <c r="MC39" s="166"/>
      <c r="MD39" s="166"/>
      <c r="ME39" s="166"/>
      <c r="MF39" s="166"/>
      <c r="MG39" s="166"/>
      <c r="MH39" s="166"/>
      <c r="MI39" s="166"/>
      <c r="MJ39" s="166"/>
      <c r="MK39" s="166"/>
      <c r="ML39" s="166"/>
      <c r="MM39" s="166"/>
      <c r="MN39" s="166"/>
      <c r="MO39" s="166"/>
      <c r="MP39" s="166"/>
      <c r="MQ39" s="166"/>
      <c r="MR39" s="166"/>
      <c r="MS39" s="166"/>
      <c r="MT39" s="166"/>
      <c r="MU39" s="166"/>
      <c r="MV39" s="166"/>
      <c r="MW39" s="166"/>
      <c r="MX39" s="166"/>
      <c r="MY39" s="166"/>
      <c r="MZ39" s="166"/>
      <c r="NA39" s="166"/>
      <c r="NB39" s="166"/>
      <c r="NC39" s="166"/>
      <c r="ND39" s="166"/>
      <c r="NE39" s="166"/>
      <c r="NF39" s="166"/>
      <c r="NG39" s="166"/>
      <c r="NH39" s="166"/>
      <c r="NI39" s="166"/>
      <c r="NJ39" s="166"/>
      <c r="NK39" s="166"/>
      <c r="NL39" s="166"/>
      <c r="NM39" s="166"/>
      <c r="NN39" s="166"/>
      <c r="NO39" s="166"/>
      <c r="NP39" s="166"/>
      <c r="NQ39" s="166"/>
      <c r="NR39" s="166"/>
      <c r="NS39" s="166"/>
      <c r="NT39" s="166"/>
      <c r="NU39" s="166"/>
      <c r="NV39" s="166"/>
      <c r="NW39" s="166"/>
      <c r="NX39" s="166"/>
      <c r="NY39" s="166"/>
      <c r="NZ39" s="166"/>
      <c r="OA39" s="25"/>
      <c r="OB39" s="25"/>
      <c r="OC39" s="25"/>
      <c r="OD39" s="81"/>
      <c r="OE39" s="25"/>
      <c r="OF39" s="25"/>
      <c r="OG39" s="25"/>
      <c r="OH39" s="25"/>
      <c r="OI39" s="25"/>
      <c r="OJ39" s="25"/>
      <c r="OK39" s="25"/>
      <c r="OL39" s="25"/>
      <c r="OM39" s="25"/>
      <c r="ON39" s="25"/>
      <c r="OO39" s="25"/>
      <c r="OP39" s="25"/>
      <c r="OQ39" s="25"/>
      <c r="OR3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9" s="81"/>
      <c r="OT39" s="25"/>
      <c r="OU39" s="81"/>
      <c r="OV39" s="81"/>
    </row>
    <row r="40" spans="1:412" ht="12.5" x14ac:dyDescent="0.25">
      <c r="A40" s="25">
        <v>21</v>
      </c>
      <c r="B40" s="25" t="b">
        <f>NOT(ISBLANK(SEBBusinessDataTable[[#This Row],[SEBBusinessType]]))</f>
        <v>0</v>
      </c>
      <c r="C40" s="25"/>
      <c r="D40" s="25"/>
      <c r="E40" s="25"/>
      <c r="F40" s="25"/>
      <c r="G40" s="25"/>
      <c r="H40" s="25"/>
      <c r="I40" s="25"/>
      <c r="J40" s="25">
        <f>COUNTIF(SEBBusinessDataTable[[#This Row],[SEBAssociatedFlagApp1]:[SEBAssociatedFlagApp6]],"Yes")</f>
        <v>0</v>
      </c>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55"/>
      <c r="DP40" s="55"/>
      <c r="DQ40" s="55"/>
      <c r="DR40" s="55"/>
      <c r="DS40" s="55"/>
      <c r="DT40" s="55"/>
      <c r="DU40" s="55"/>
      <c r="DV40" s="55"/>
      <c r="DW40" s="55"/>
      <c r="DX40" s="55"/>
      <c r="DY40" s="55"/>
      <c r="DZ40" s="5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c r="GQ40" s="25"/>
      <c r="GR40" s="25"/>
      <c r="GS40" s="25"/>
      <c r="GT40" s="25"/>
      <c r="GU40" s="25"/>
      <c r="GV40" s="25"/>
      <c r="GW40" s="25"/>
      <c r="GX40" s="25"/>
      <c r="GY40" s="25"/>
      <c r="GZ40" s="25"/>
      <c r="HA40" s="25"/>
      <c r="HB40" s="25"/>
      <c r="HC40" s="55"/>
      <c r="HD40" s="55"/>
      <c r="HE40" s="55"/>
      <c r="HF40" s="55"/>
      <c r="HG40" s="55"/>
      <c r="HH40" s="55"/>
      <c r="HI40" s="55"/>
      <c r="HJ40" s="55"/>
      <c r="HK40" s="55"/>
      <c r="HL40" s="55"/>
      <c r="HM40" s="55"/>
      <c r="HN40" s="55"/>
      <c r="HO40" s="55"/>
      <c r="HP40" s="55"/>
      <c r="HQ40" s="55"/>
      <c r="HR40" s="55"/>
      <c r="HS40" s="55"/>
      <c r="HT40" s="55"/>
      <c r="HU40" s="55"/>
      <c r="HV40" s="55"/>
      <c r="HW40" s="55"/>
      <c r="HX40" s="55"/>
      <c r="HY40" s="55"/>
      <c r="HZ40" s="55"/>
      <c r="IA40" s="55"/>
      <c r="IB40" s="55"/>
      <c r="IC40" s="55"/>
      <c r="ID40" s="55"/>
      <c r="IE40" s="55"/>
      <c r="IF40" s="55"/>
      <c r="IG40" s="55"/>
      <c r="IH40" s="55"/>
      <c r="II40" s="55"/>
      <c r="IJ40" s="55"/>
      <c r="IK40" s="55"/>
      <c r="IL40" s="55"/>
      <c r="IM40" s="55"/>
      <c r="IN40" s="55"/>
      <c r="IO40" s="55"/>
      <c r="IP40" s="55"/>
      <c r="IQ40" s="55"/>
      <c r="IR40" s="55"/>
      <c r="IS40" s="55"/>
      <c r="IT40" s="55"/>
      <c r="IU40" s="55"/>
      <c r="IV40" s="55"/>
      <c r="IW40" s="55"/>
      <c r="IX40" s="55"/>
      <c r="IY40" s="55"/>
      <c r="IZ40" s="55"/>
      <c r="JA40" s="55"/>
      <c r="JB40" s="55"/>
      <c r="JC40" s="55"/>
      <c r="JD40" s="55"/>
      <c r="JE40" s="55"/>
      <c r="JF40" s="55"/>
      <c r="JG40" s="55"/>
      <c r="JH40" s="55"/>
      <c r="JI40" s="55"/>
      <c r="JJ40" s="55"/>
      <c r="JK40" s="25"/>
      <c r="JL40" s="25"/>
      <c r="JM40" s="25"/>
      <c r="JN40" s="25"/>
      <c r="JO40" s="25"/>
      <c r="JP40" s="25"/>
      <c r="JQ40" s="25"/>
      <c r="JR40" s="25"/>
      <c r="JS40" s="25"/>
      <c r="JT40" s="25"/>
      <c r="JU40" s="25"/>
      <c r="JV40" s="25"/>
      <c r="JW40" s="25"/>
      <c r="JX40" s="25"/>
      <c r="JY40" s="25"/>
      <c r="JZ40" s="25"/>
      <c r="KA40" s="25"/>
      <c r="KB40" s="25"/>
      <c r="KC40" s="25"/>
      <c r="KD40" s="25"/>
      <c r="KE40" s="25"/>
      <c r="KF40" s="25"/>
      <c r="KG40" s="25"/>
      <c r="KH40" s="25"/>
      <c r="KI40" s="25"/>
      <c r="KJ40" s="25"/>
      <c r="KK40" s="25"/>
      <c r="KL40" s="25"/>
      <c r="KM40" s="25"/>
      <c r="KN40" s="25"/>
      <c r="KO40" s="25"/>
      <c r="KP40" s="25"/>
      <c r="KQ40" s="25"/>
      <c r="KR40" s="25"/>
      <c r="KS40" s="25"/>
      <c r="KT40" s="25"/>
      <c r="KU40" s="25"/>
      <c r="KV40" s="25"/>
      <c r="KW40" s="25"/>
      <c r="KX40" s="25"/>
      <c r="KY40" s="25"/>
      <c r="KZ40" s="25"/>
      <c r="LA40" s="25"/>
      <c r="LB40" s="25"/>
      <c r="LC40" s="25"/>
      <c r="LD40" s="25"/>
      <c r="LE40" s="25"/>
      <c r="LF40" s="25"/>
      <c r="LG40" s="25"/>
      <c r="LH40" s="25"/>
      <c r="LI40" s="25"/>
      <c r="LJ40" s="25"/>
      <c r="LK40" s="25"/>
      <c r="LL40" s="25"/>
      <c r="LM40" s="25"/>
      <c r="LN40" s="25"/>
      <c r="LO40" s="25"/>
      <c r="LP40" s="25"/>
      <c r="LQ40" s="25"/>
      <c r="LR40" s="25"/>
      <c r="LS40" s="166"/>
      <c r="LT40" s="166"/>
      <c r="LU40" s="166"/>
      <c r="LV40" s="166"/>
      <c r="LW40" s="166"/>
      <c r="LX40" s="166"/>
      <c r="LY40" s="166"/>
      <c r="LZ40" s="166"/>
      <c r="MA40" s="166"/>
      <c r="MB40" s="166"/>
      <c r="MC40" s="166"/>
      <c r="MD40" s="166"/>
      <c r="ME40" s="166"/>
      <c r="MF40" s="166"/>
      <c r="MG40" s="166"/>
      <c r="MH40" s="166"/>
      <c r="MI40" s="166"/>
      <c r="MJ40" s="166"/>
      <c r="MK40" s="166"/>
      <c r="ML40" s="166"/>
      <c r="MM40" s="166"/>
      <c r="MN40" s="166"/>
      <c r="MO40" s="166"/>
      <c r="MP40" s="166"/>
      <c r="MQ40" s="166"/>
      <c r="MR40" s="166"/>
      <c r="MS40" s="166"/>
      <c r="MT40" s="166"/>
      <c r="MU40" s="166"/>
      <c r="MV40" s="166"/>
      <c r="MW40" s="166"/>
      <c r="MX40" s="166"/>
      <c r="MY40" s="166"/>
      <c r="MZ40" s="166"/>
      <c r="NA40" s="166"/>
      <c r="NB40" s="166"/>
      <c r="NC40" s="166"/>
      <c r="ND40" s="166"/>
      <c r="NE40" s="166"/>
      <c r="NF40" s="166"/>
      <c r="NG40" s="166"/>
      <c r="NH40" s="166"/>
      <c r="NI40" s="166"/>
      <c r="NJ40" s="166"/>
      <c r="NK40" s="166"/>
      <c r="NL40" s="166"/>
      <c r="NM40" s="166"/>
      <c r="NN40" s="166"/>
      <c r="NO40" s="166"/>
      <c r="NP40" s="166"/>
      <c r="NQ40" s="166"/>
      <c r="NR40" s="166"/>
      <c r="NS40" s="166"/>
      <c r="NT40" s="166"/>
      <c r="NU40" s="166"/>
      <c r="NV40" s="166"/>
      <c r="NW40" s="166"/>
      <c r="NX40" s="166"/>
      <c r="NY40" s="166"/>
      <c r="NZ40" s="166"/>
      <c r="OA40" s="25"/>
      <c r="OB40" s="25"/>
      <c r="OC40" s="25"/>
      <c r="OD40" s="81"/>
      <c r="OE40" s="25"/>
      <c r="OF40" s="25"/>
      <c r="OG40" s="25"/>
      <c r="OH40" s="25"/>
      <c r="OI40" s="25"/>
      <c r="OJ40" s="25"/>
      <c r="OK40" s="25"/>
      <c r="OL40" s="25"/>
      <c r="OM40" s="25"/>
      <c r="ON40" s="25"/>
      <c r="OO40" s="25"/>
      <c r="OP40" s="25"/>
      <c r="OQ40" s="25"/>
      <c r="OR4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0" s="81"/>
      <c r="OT40" s="25"/>
      <c r="OU40" s="81"/>
      <c r="OV40" s="81"/>
    </row>
    <row r="41" spans="1:412" ht="12.5" x14ac:dyDescent="0.25">
      <c r="A41" s="25">
        <v>22</v>
      </c>
      <c r="B41" s="25" t="b">
        <f>NOT(ISBLANK(SEBBusinessDataTable[[#This Row],[SEBBusinessType]]))</f>
        <v>0</v>
      </c>
      <c r="C41" s="25"/>
      <c r="D41" s="25"/>
      <c r="E41" s="25"/>
      <c r="F41" s="25"/>
      <c r="G41" s="25"/>
      <c r="H41" s="25"/>
      <c r="I41" s="25"/>
      <c r="J41" s="25">
        <f>COUNTIF(SEBBusinessDataTable[[#This Row],[SEBAssociatedFlagApp1]:[SEBAssociatedFlagApp6]],"Yes")</f>
        <v>0</v>
      </c>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55"/>
      <c r="DP41" s="55"/>
      <c r="DQ41" s="55"/>
      <c r="DR41" s="55"/>
      <c r="DS41" s="55"/>
      <c r="DT41" s="55"/>
      <c r="DU41" s="55"/>
      <c r="DV41" s="55"/>
      <c r="DW41" s="55"/>
      <c r="DX41" s="55"/>
      <c r="DY41" s="55"/>
      <c r="DZ41" s="5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c r="GQ41" s="25"/>
      <c r="GR41" s="25"/>
      <c r="GS41" s="25"/>
      <c r="GT41" s="25"/>
      <c r="GU41" s="25"/>
      <c r="GV41" s="25"/>
      <c r="GW41" s="25"/>
      <c r="GX41" s="25"/>
      <c r="GY41" s="25"/>
      <c r="GZ41" s="25"/>
      <c r="HA41" s="25"/>
      <c r="HB41" s="25"/>
      <c r="HC41" s="55"/>
      <c r="HD41" s="55"/>
      <c r="HE41" s="55"/>
      <c r="HF41" s="55"/>
      <c r="HG41" s="55"/>
      <c r="HH41" s="55"/>
      <c r="HI41" s="55"/>
      <c r="HJ41" s="55"/>
      <c r="HK41" s="55"/>
      <c r="HL41" s="55"/>
      <c r="HM41" s="55"/>
      <c r="HN41" s="55"/>
      <c r="HO41" s="55"/>
      <c r="HP41" s="55"/>
      <c r="HQ41" s="55"/>
      <c r="HR41" s="55"/>
      <c r="HS41" s="55"/>
      <c r="HT41" s="55"/>
      <c r="HU41" s="55"/>
      <c r="HV41" s="55"/>
      <c r="HW41" s="55"/>
      <c r="HX41" s="55"/>
      <c r="HY41" s="55"/>
      <c r="HZ41" s="55"/>
      <c r="IA41" s="55"/>
      <c r="IB41" s="55"/>
      <c r="IC41" s="55"/>
      <c r="ID41" s="55"/>
      <c r="IE41" s="55"/>
      <c r="IF41" s="55"/>
      <c r="IG41" s="55"/>
      <c r="IH41" s="55"/>
      <c r="II41" s="55"/>
      <c r="IJ41" s="55"/>
      <c r="IK41" s="55"/>
      <c r="IL41" s="55"/>
      <c r="IM41" s="55"/>
      <c r="IN41" s="55"/>
      <c r="IO41" s="55"/>
      <c r="IP41" s="55"/>
      <c r="IQ41" s="55"/>
      <c r="IR41" s="55"/>
      <c r="IS41" s="55"/>
      <c r="IT41" s="55"/>
      <c r="IU41" s="55"/>
      <c r="IV41" s="55"/>
      <c r="IW41" s="55"/>
      <c r="IX41" s="55"/>
      <c r="IY41" s="55"/>
      <c r="IZ41" s="55"/>
      <c r="JA41" s="55"/>
      <c r="JB41" s="55"/>
      <c r="JC41" s="55"/>
      <c r="JD41" s="55"/>
      <c r="JE41" s="55"/>
      <c r="JF41" s="55"/>
      <c r="JG41" s="55"/>
      <c r="JH41" s="55"/>
      <c r="JI41" s="55"/>
      <c r="JJ41" s="55"/>
      <c r="JK41" s="25"/>
      <c r="JL41" s="25"/>
      <c r="JM41" s="25"/>
      <c r="JN41" s="25"/>
      <c r="JO41" s="25"/>
      <c r="JP41" s="25"/>
      <c r="JQ41" s="25"/>
      <c r="JR41" s="25"/>
      <c r="JS41" s="25"/>
      <c r="JT41" s="25"/>
      <c r="JU41" s="25"/>
      <c r="JV41" s="25"/>
      <c r="JW41" s="25"/>
      <c r="JX41" s="25"/>
      <c r="JY41" s="25"/>
      <c r="JZ41" s="25"/>
      <c r="KA41" s="25"/>
      <c r="KB41" s="25"/>
      <c r="KC41" s="25"/>
      <c r="KD41" s="25"/>
      <c r="KE41" s="25"/>
      <c r="KF41" s="25"/>
      <c r="KG41" s="25"/>
      <c r="KH41" s="25"/>
      <c r="KI41" s="25"/>
      <c r="KJ41" s="25"/>
      <c r="KK41" s="25"/>
      <c r="KL41" s="25"/>
      <c r="KM41" s="25"/>
      <c r="KN41" s="25"/>
      <c r="KO41" s="25"/>
      <c r="KP41" s="25"/>
      <c r="KQ41" s="25"/>
      <c r="KR41" s="25"/>
      <c r="KS41" s="25"/>
      <c r="KT41" s="25"/>
      <c r="KU41" s="25"/>
      <c r="KV41" s="25"/>
      <c r="KW41" s="25"/>
      <c r="KX41" s="25"/>
      <c r="KY41" s="25"/>
      <c r="KZ41" s="25"/>
      <c r="LA41" s="25"/>
      <c r="LB41" s="25"/>
      <c r="LC41" s="25"/>
      <c r="LD41" s="25"/>
      <c r="LE41" s="25"/>
      <c r="LF41" s="25"/>
      <c r="LG41" s="25"/>
      <c r="LH41" s="25"/>
      <c r="LI41" s="25"/>
      <c r="LJ41" s="25"/>
      <c r="LK41" s="25"/>
      <c r="LL41" s="25"/>
      <c r="LM41" s="25"/>
      <c r="LN41" s="25"/>
      <c r="LO41" s="25"/>
      <c r="LP41" s="25"/>
      <c r="LQ41" s="25"/>
      <c r="LR41" s="25"/>
      <c r="LS41" s="166"/>
      <c r="LT41" s="166"/>
      <c r="LU41" s="166"/>
      <c r="LV41" s="166"/>
      <c r="LW41" s="166"/>
      <c r="LX41" s="166"/>
      <c r="LY41" s="166"/>
      <c r="LZ41" s="166"/>
      <c r="MA41" s="166"/>
      <c r="MB41" s="166"/>
      <c r="MC41" s="166"/>
      <c r="MD41" s="166"/>
      <c r="ME41" s="166"/>
      <c r="MF41" s="166"/>
      <c r="MG41" s="166"/>
      <c r="MH41" s="166"/>
      <c r="MI41" s="166"/>
      <c r="MJ41" s="166"/>
      <c r="MK41" s="166"/>
      <c r="ML41" s="166"/>
      <c r="MM41" s="166"/>
      <c r="MN41" s="166"/>
      <c r="MO41" s="166"/>
      <c r="MP41" s="166"/>
      <c r="MQ41" s="166"/>
      <c r="MR41" s="166"/>
      <c r="MS41" s="166"/>
      <c r="MT41" s="166"/>
      <c r="MU41" s="166"/>
      <c r="MV41" s="166"/>
      <c r="MW41" s="166"/>
      <c r="MX41" s="166"/>
      <c r="MY41" s="166"/>
      <c r="MZ41" s="166"/>
      <c r="NA41" s="166"/>
      <c r="NB41" s="166"/>
      <c r="NC41" s="166"/>
      <c r="ND41" s="166"/>
      <c r="NE41" s="166"/>
      <c r="NF41" s="166"/>
      <c r="NG41" s="166"/>
      <c r="NH41" s="166"/>
      <c r="NI41" s="166"/>
      <c r="NJ41" s="166"/>
      <c r="NK41" s="166"/>
      <c r="NL41" s="166"/>
      <c r="NM41" s="166"/>
      <c r="NN41" s="166"/>
      <c r="NO41" s="166"/>
      <c r="NP41" s="166"/>
      <c r="NQ41" s="166"/>
      <c r="NR41" s="166"/>
      <c r="NS41" s="166"/>
      <c r="NT41" s="166"/>
      <c r="NU41" s="166"/>
      <c r="NV41" s="166"/>
      <c r="NW41" s="166"/>
      <c r="NX41" s="166"/>
      <c r="NY41" s="166"/>
      <c r="NZ41" s="166"/>
      <c r="OA41" s="25"/>
      <c r="OB41" s="25"/>
      <c r="OC41" s="25"/>
      <c r="OD41" s="81"/>
      <c r="OE41" s="25"/>
      <c r="OF41" s="25"/>
      <c r="OG41" s="25"/>
      <c r="OH41" s="25"/>
      <c r="OI41" s="25"/>
      <c r="OJ41" s="25"/>
      <c r="OK41" s="25"/>
      <c r="OL41" s="25"/>
      <c r="OM41" s="25"/>
      <c r="ON41" s="25"/>
      <c r="OO41" s="25"/>
      <c r="OP41" s="25"/>
      <c r="OQ41" s="25"/>
      <c r="OR4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1" s="81"/>
      <c r="OT41" s="25"/>
      <c r="OU41" s="81"/>
      <c r="OV41" s="81"/>
    </row>
    <row r="42" spans="1:412" ht="12.5" x14ac:dyDescent="0.25">
      <c r="A42" s="25">
        <v>23</v>
      </c>
      <c r="B42" s="25" t="b">
        <f>NOT(ISBLANK(SEBBusinessDataTable[[#This Row],[SEBBusinessType]]))</f>
        <v>0</v>
      </c>
      <c r="C42" s="25"/>
      <c r="D42" s="25"/>
      <c r="E42" s="25"/>
      <c r="F42" s="25"/>
      <c r="G42" s="25"/>
      <c r="H42" s="25"/>
      <c r="I42" s="25"/>
      <c r="J42" s="25">
        <f>COUNTIF(SEBBusinessDataTable[[#This Row],[SEBAssociatedFlagApp1]:[SEBAssociatedFlagApp6]],"Yes")</f>
        <v>0</v>
      </c>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55"/>
      <c r="DP42" s="55"/>
      <c r="DQ42" s="55"/>
      <c r="DR42" s="55"/>
      <c r="DS42" s="55"/>
      <c r="DT42" s="55"/>
      <c r="DU42" s="55"/>
      <c r="DV42" s="55"/>
      <c r="DW42" s="55"/>
      <c r="DX42" s="55"/>
      <c r="DY42" s="55"/>
      <c r="DZ42" s="5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c r="GQ42" s="25"/>
      <c r="GR42" s="25"/>
      <c r="GS42" s="25"/>
      <c r="GT42" s="25"/>
      <c r="GU42" s="25"/>
      <c r="GV42" s="25"/>
      <c r="GW42" s="25"/>
      <c r="GX42" s="25"/>
      <c r="GY42" s="25"/>
      <c r="GZ42" s="25"/>
      <c r="HA42" s="25"/>
      <c r="HB42" s="25"/>
      <c r="HC42" s="55"/>
      <c r="HD42" s="55"/>
      <c r="HE42" s="55"/>
      <c r="HF42" s="55"/>
      <c r="HG42" s="55"/>
      <c r="HH42" s="55"/>
      <c r="HI42" s="55"/>
      <c r="HJ42" s="55"/>
      <c r="HK42" s="55"/>
      <c r="HL42" s="55"/>
      <c r="HM42" s="55"/>
      <c r="HN42" s="55"/>
      <c r="HO42" s="55"/>
      <c r="HP42" s="55"/>
      <c r="HQ42" s="55"/>
      <c r="HR42" s="55"/>
      <c r="HS42" s="55"/>
      <c r="HT42" s="55"/>
      <c r="HU42" s="55"/>
      <c r="HV42" s="55"/>
      <c r="HW42" s="55"/>
      <c r="HX42" s="55"/>
      <c r="HY42" s="55"/>
      <c r="HZ42" s="55"/>
      <c r="IA42" s="55"/>
      <c r="IB42" s="55"/>
      <c r="IC42" s="55"/>
      <c r="ID42" s="55"/>
      <c r="IE42" s="55"/>
      <c r="IF42" s="55"/>
      <c r="IG42" s="55"/>
      <c r="IH42" s="55"/>
      <c r="II42" s="55"/>
      <c r="IJ42" s="55"/>
      <c r="IK42" s="55"/>
      <c r="IL42" s="55"/>
      <c r="IM42" s="55"/>
      <c r="IN42" s="55"/>
      <c r="IO42" s="55"/>
      <c r="IP42" s="55"/>
      <c r="IQ42" s="55"/>
      <c r="IR42" s="55"/>
      <c r="IS42" s="55"/>
      <c r="IT42" s="55"/>
      <c r="IU42" s="55"/>
      <c r="IV42" s="55"/>
      <c r="IW42" s="55"/>
      <c r="IX42" s="55"/>
      <c r="IY42" s="55"/>
      <c r="IZ42" s="55"/>
      <c r="JA42" s="55"/>
      <c r="JB42" s="55"/>
      <c r="JC42" s="55"/>
      <c r="JD42" s="55"/>
      <c r="JE42" s="55"/>
      <c r="JF42" s="55"/>
      <c r="JG42" s="55"/>
      <c r="JH42" s="55"/>
      <c r="JI42" s="55"/>
      <c r="JJ42" s="55"/>
      <c r="JK42" s="25"/>
      <c r="JL42" s="25"/>
      <c r="JM42" s="25"/>
      <c r="JN42" s="25"/>
      <c r="JO42" s="25"/>
      <c r="JP42" s="25"/>
      <c r="JQ42" s="25"/>
      <c r="JR42" s="25"/>
      <c r="JS42" s="25"/>
      <c r="JT42" s="25"/>
      <c r="JU42" s="25"/>
      <c r="JV42" s="25"/>
      <c r="JW42" s="25"/>
      <c r="JX42" s="25"/>
      <c r="JY42" s="25"/>
      <c r="JZ42" s="25"/>
      <c r="KA42" s="25"/>
      <c r="KB42" s="25"/>
      <c r="KC42" s="25"/>
      <c r="KD42" s="25"/>
      <c r="KE42" s="25"/>
      <c r="KF42" s="25"/>
      <c r="KG42" s="25"/>
      <c r="KH42" s="25"/>
      <c r="KI42" s="25"/>
      <c r="KJ42" s="25"/>
      <c r="KK42" s="25"/>
      <c r="KL42" s="25"/>
      <c r="KM42" s="25"/>
      <c r="KN42" s="25"/>
      <c r="KO42" s="25"/>
      <c r="KP42" s="25"/>
      <c r="KQ42" s="25"/>
      <c r="KR42" s="25"/>
      <c r="KS42" s="25"/>
      <c r="KT42" s="25"/>
      <c r="KU42" s="25"/>
      <c r="KV42" s="25"/>
      <c r="KW42" s="25"/>
      <c r="KX42" s="25"/>
      <c r="KY42" s="25"/>
      <c r="KZ42" s="25"/>
      <c r="LA42" s="25"/>
      <c r="LB42" s="25"/>
      <c r="LC42" s="25"/>
      <c r="LD42" s="25"/>
      <c r="LE42" s="25"/>
      <c r="LF42" s="25"/>
      <c r="LG42" s="25"/>
      <c r="LH42" s="25"/>
      <c r="LI42" s="25"/>
      <c r="LJ42" s="25"/>
      <c r="LK42" s="25"/>
      <c r="LL42" s="25"/>
      <c r="LM42" s="25"/>
      <c r="LN42" s="25"/>
      <c r="LO42" s="25"/>
      <c r="LP42" s="25"/>
      <c r="LQ42" s="25"/>
      <c r="LR42" s="25"/>
      <c r="LS42" s="166"/>
      <c r="LT42" s="166"/>
      <c r="LU42" s="166"/>
      <c r="LV42" s="166"/>
      <c r="LW42" s="166"/>
      <c r="LX42" s="166"/>
      <c r="LY42" s="166"/>
      <c r="LZ42" s="166"/>
      <c r="MA42" s="166"/>
      <c r="MB42" s="166"/>
      <c r="MC42" s="166"/>
      <c r="MD42" s="166"/>
      <c r="ME42" s="166"/>
      <c r="MF42" s="166"/>
      <c r="MG42" s="166"/>
      <c r="MH42" s="166"/>
      <c r="MI42" s="166"/>
      <c r="MJ42" s="166"/>
      <c r="MK42" s="166"/>
      <c r="ML42" s="166"/>
      <c r="MM42" s="166"/>
      <c r="MN42" s="166"/>
      <c r="MO42" s="166"/>
      <c r="MP42" s="166"/>
      <c r="MQ42" s="166"/>
      <c r="MR42" s="166"/>
      <c r="MS42" s="166"/>
      <c r="MT42" s="166"/>
      <c r="MU42" s="166"/>
      <c r="MV42" s="166"/>
      <c r="MW42" s="166"/>
      <c r="MX42" s="166"/>
      <c r="MY42" s="166"/>
      <c r="MZ42" s="166"/>
      <c r="NA42" s="166"/>
      <c r="NB42" s="166"/>
      <c r="NC42" s="166"/>
      <c r="ND42" s="166"/>
      <c r="NE42" s="166"/>
      <c r="NF42" s="166"/>
      <c r="NG42" s="166"/>
      <c r="NH42" s="166"/>
      <c r="NI42" s="166"/>
      <c r="NJ42" s="166"/>
      <c r="NK42" s="166"/>
      <c r="NL42" s="166"/>
      <c r="NM42" s="166"/>
      <c r="NN42" s="166"/>
      <c r="NO42" s="166"/>
      <c r="NP42" s="166"/>
      <c r="NQ42" s="166"/>
      <c r="NR42" s="166"/>
      <c r="NS42" s="166"/>
      <c r="NT42" s="166"/>
      <c r="NU42" s="166"/>
      <c r="NV42" s="166"/>
      <c r="NW42" s="166"/>
      <c r="NX42" s="166"/>
      <c r="NY42" s="166"/>
      <c r="NZ42" s="166"/>
      <c r="OA42" s="25"/>
      <c r="OB42" s="25"/>
      <c r="OC42" s="25"/>
      <c r="OD42" s="81"/>
      <c r="OE42" s="25"/>
      <c r="OF42" s="25"/>
      <c r="OG42" s="25"/>
      <c r="OH42" s="25"/>
      <c r="OI42" s="25"/>
      <c r="OJ42" s="25"/>
      <c r="OK42" s="25"/>
      <c r="OL42" s="25"/>
      <c r="OM42" s="25"/>
      <c r="ON42" s="25"/>
      <c r="OO42" s="25"/>
      <c r="OP42" s="25"/>
      <c r="OQ42" s="25"/>
      <c r="OR4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2" s="81"/>
      <c r="OT42" s="25"/>
      <c r="OU42" s="81"/>
      <c r="OV42" s="81"/>
    </row>
    <row r="43" spans="1:412" ht="12.5" x14ac:dyDescent="0.25">
      <c r="A43" s="25">
        <v>24</v>
      </c>
      <c r="B43" s="25" t="b">
        <f>NOT(ISBLANK(SEBBusinessDataTable[[#This Row],[SEBBusinessType]]))</f>
        <v>0</v>
      </c>
      <c r="C43" s="25"/>
      <c r="D43" s="25"/>
      <c r="E43" s="25"/>
      <c r="F43" s="25"/>
      <c r="G43" s="25"/>
      <c r="H43" s="25"/>
      <c r="I43" s="25"/>
      <c r="J43" s="25">
        <f>COUNTIF(SEBBusinessDataTable[[#This Row],[SEBAssociatedFlagApp1]:[SEBAssociatedFlagApp6]],"Yes")</f>
        <v>0</v>
      </c>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55"/>
      <c r="DP43" s="55"/>
      <c r="DQ43" s="55"/>
      <c r="DR43" s="55"/>
      <c r="DS43" s="55"/>
      <c r="DT43" s="55"/>
      <c r="DU43" s="55"/>
      <c r="DV43" s="55"/>
      <c r="DW43" s="55"/>
      <c r="DX43" s="55"/>
      <c r="DY43" s="55"/>
      <c r="DZ43" s="5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c r="GQ43" s="25"/>
      <c r="GR43" s="25"/>
      <c r="GS43" s="25"/>
      <c r="GT43" s="25"/>
      <c r="GU43" s="25"/>
      <c r="GV43" s="25"/>
      <c r="GW43" s="25"/>
      <c r="GX43" s="25"/>
      <c r="GY43" s="25"/>
      <c r="GZ43" s="25"/>
      <c r="HA43" s="25"/>
      <c r="HB43" s="25"/>
      <c r="HC43" s="55"/>
      <c r="HD43" s="55"/>
      <c r="HE43" s="55"/>
      <c r="HF43" s="55"/>
      <c r="HG43" s="55"/>
      <c r="HH43" s="55"/>
      <c r="HI43" s="55"/>
      <c r="HJ43" s="55"/>
      <c r="HK43" s="55"/>
      <c r="HL43" s="55"/>
      <c r="HM43" s="55"/>
      <c r="HN43" s="55"/>
      <c r="HO43" s="55"/>
      <c r="HP43" s="55"/>
      <c r="HQ43" s="55"/>
      <c r="HR43" s="55"/>
      <c r="HS43" s="55"/>
      <c r="HT43" s="55"/>
      <c r="HU43" s="55"/>
      <c r="HV43" s="55"/>
      <c r="HW43" s="55"/>
      <c r="HX43" s="55"/>
      <c r="HY43" s="55"/>
      <c r="HZ43" s="55"/>
      <c r="IA43" s="55"/>
      <c r="IB43" s="55"/>
      <c r="IC43" s="55"/>
      <c r="ID43" s="55"/>
      <c r="IE43" s="55"/>
      <c r="IF43" s="55"/>
      <c r="IG43" s="55"/>
      <c r="IH43" s="55"/>
      <c r="II43" s="55"/>
      <c r="IJ43" s="55"/>
      <c r="IK43" s="55"/>
      <c r="IL43" s="55"/>
      <c r="IM43" s="55"/>
      <c r="IN43" s="55"/>
      <c r="IO43" s="55"/>
      <c r="IP43" s="55"/>
      <c r="IQ43" s="55"/>
      <c r="IR43" s="55"/>
      <c r="IS43" s="55"/>
      <c r="IT43" s="55"/>
      <c r="IU43" s="55"/>
      <c r="IV43" s="55"/>
      <c r="IW43" s="55"/>
      <c r="IX43" s="55"/>
      <c r="IY43" s="55"/>
      <c r="IZ43" s="55"/>
      <c r="JA43" s="55"/>
      <c r="JB43" s="55"/>
      <c r="JC43" s="55"/>
      <c r="JD43" s="55"/>
      <c r="JE43" s="55"/>
      <c r="JF43" s="55"/>
      <c r="JG43" s="55"/>
      <c r="JH43" s="55"/>
      <c r="JI43" s="55"/>
      <c r="JJ43" s="55"/>
      <c r="JK43" s="25"/>
      <c r="JL43" s="25"/>
      <c r="JM43" s="25"/>
      <c r="JN43" s="25"/>
      <c r="JO43" s="25"/>
      <c r="JP43" s="25"/>
      <c r="JQ43" s="25"/>
      <c r="JR43" s="25"/>
      <c r="JS43" s="25"/>
      <c r="JT43" s="25"/>
      <c r="JU43" s="25"/>
      <c r="JV43" s="25"/>
      <c r="JW43" s="25"/>
      <c r="JX43" s="25"/>
      <c r="JY43" s="25"/>
      <c r="JZ43" s="25"/>
      <c r="KA43" s="25"/>
      <c r="KB43" s="25"/>
      <c r="KC43" s="25"/>
      <c r="KD43" s="25"/>
      <c r="KE43" s="25"/>
      <c r="KF43" s="25"/>
      <c r="KG43" s="25"/>
      <c r="KH43" s="25"/>
      <c r="KI43" s="25"/>
      <c r="KJ43" s="25"/>
      <c r="KK43" s="25"/>
      <c r="KL43" s="25"/>
      <c r="KM43" s="25"/>
      <c r="KN43" s="25"/>
      <c r="KO43" s="25"/>
      <c r="KP43" s="25"/>
      <c r="KQ43" s="25"/>
      <c r="KR43" s="25"/>
      <c r="KS43" s="25"/>
      <c r="KT43" s="25"/>
      <c r="KU43" s="25"/>
      <c r="KV43" s="25"/>
      <c r="KW43" s="25"/>
      <c r="KX43" s="25"/>
      <c r="KY43" s="25"/>
      <c r="KZ43" s="25"/>
      <c r="LA43" s="25"/>
      <c r="LB43" s="25"/>
      <c r="LC43" s="25"/>
      <c r="LD43" s="25"/>
      <c r="LE43" s="25"/>
      <c r="LF43" s="25"/>
      <c r="LG43" s="25"/>
      <c r="LH43" s="25"/>
      <c r="LI43" s="25"/>
      <c r="LJ43" s="25"/>
      <c r="LK43" s="25"/>
      <c r="LL43" s="25"/>
      <c r="LM43" s="25"/>
      <c r="LN43" s="25"/>
      <c r="LO43" s="25"/>
      <c r="LP43" s="25"/>
      <c r="LQ43" s="25"/>
      <c r="LR43" s="25"/>
      <c r="LS43" s="166"/>
      <c r="LT43" s="166"/>
      <c r="LU43" s="166"/>
      <c r="LV43" s="166"/>
      <c r="LW43" s="166"/>
      <c r="LX43" s="166"/>
      <c r="LY43" s="166"/>
      <c r="LZ43" s="166"/>
      <c r="MA43" s="166"/>
      <c r="MB43" s="166"/>
      <c r="MC43" s="166"/>
      <c r="MD43" s="166"/>
      <c r="ME43" s="166"/>
      <c r="MF43" s="166"/>
      <c r="MG43" s="166"/>
      <c r="MH43" s="166"/>
      <c r="MI43" s="166"/>
      <c r="MJ43" s="166"/>
      <c r="MK43" s="166"/>
      <c r="ML43" s="166"/>
      <c r="MM43" s="166"/>
      <c r="MN43" s="166"/>
      <c r="MO43" s="166"/>
      <c r="MP43" s="166"/>
      <c r="MQ43" s="166"/>
      <c r="MR43" s="166"/>
      <c r="MS43" s="166"/>
      <c r="MT43" s="166"/>
      <c r="MU43" s="166"/>
      <c r="MV43" s="166"/>
      <c r="MW43" s="166"/>
      <c r="MX43" s="166"/>
      <c r="MY43" s="166"/>
      <c r="MZ43" s="166"/>
      <c r="NA43" s="166"/>
      <c r="NB43" s="166"/>
      <c r="NC43" s="166"/>
      <c r="ND43" s="166"/>
      <c r="NE43" s="166"/>
      <c r="NF43" s="166"/>
      <c r="NG43" s="166"/>
      <c r="NH43" s="166"/>
      <c r="NI43" s="166"/>
      <c r="NJ43" s="166"/>
      <c r="NK43" s="166"/>
      <c r="NL43" s="166"/>
      <c r="NM43" s="166"/>
      <c r="NN43" s="166"/>
      <c r="NO43" s="166"/>
      <c r="NP43" s="166"/>
      <c r="NQ43" s="166"/>
      <c r="NR43" s="166"/>
      <c r="NS43" s="166"/>
      <c r="NT43" s="166"/>
      <c r="NU43" s="166"/>
      <c r="NV43" s="166"/>
      <c r="NW43" s="166"/>
      <c r="NX43" s="166"/>
      <c r="NY43" s="166"/>
      <c r="NZ43" s="166"/>
      <c r="OA43" s="25"/>
      <c r="OB43" s="25"/>
      <c r="OC43" s="25"/>
      <c r="OD43" s="81"/>
      <c r="OE43" s="25"/>
      <c r="OF43" s="25"/>
      <c r="OG43" s="25"/>
      <c r="OH43" s="25"/>
      <c r="OI43" s="25"/>
      <c r="OJ43" s="25"/>
      <c r="OK43" s="25"/>
      <c r="OL43" s="25"/>
      <c r="OM43" s="25"/>
      <c r="ON43" s="25"/>
      <c r="OO43" s="25"/>
      <c r="OP43" s="25"/>
      <c r="OQ43" s="25"/>
      <c r="OR4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3" s="81"/>
      <c r="OT43" s="25"/>
      <c r="OU43" s="81"/>
      <c r="OV43" s="81"/>
    </row>
    <row r="44" spans="1:412" ht="12.5" x14ac:dyDescent="0.25">
      <c r="A44" s="25">
        <v>25</v>
      </c>
      <c r="B44" s="25" t="b">
        <f>NOT(ISBLANK(SEBBusinessDataTable[[#This Row],[SEBBusinessType]]))</f>
        <v>0</v>
      </c>
      <c r="C44" s="25"/>
      <c r="D44" s="25"/>
      <c r="E44" s="25"/>
      <c r="F44" s="25"/>
      <c r="G44" s="25"/>
      <c r="H44" s="25"/>
      <c r="I44" s="25"/>
      <c r="J44" s="25">
        <f>COUNTIF(SEBBusinessDataTable[[#This Row],[SEBAssociatedFlagApp1]:[SEBAssociatedFlagApp6]],"Yes")</f>
        <v>0</v>
      </c>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55"/>
      <c r="DP44" s="55"/>
      <c r="DQ44" s="55"/>
      <c r="DR44" s="55"/>
      <c r="DS44" s="55"/>
      <c r="DT44" s="55"/>
      <c r="DU44" s="55"/>
      <c r="DV44" s="55"/>
      <c r="DW44" s="55"/>
      <c r="DX44" s="55"/>
      <c r="DY44" s="55"/>
      <c r="DZ44" s="5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c r="GQ44" s="25"/>
      <c r="GR44" s="25"/>
      <c r="GS44" s="25"/>
      <c r="GT44" s="25"/>
      <c r="GU44" s="25"/>
      <c r="GV44" s="25"/>
      <c r="GW44" s="25"/>
      <c r="GX44" s="25"/>
      <c r="GY44" s="25"/>
      <c r="GZ44" s="25"/>
      <c r="HA44" s="25"/>
      <c r="HB44" s="25"/>
      <c r="HC44" s="55"/>
      <c r="HD44" s="55"/>
      <c r="HE44" s="55"/>
      <c r="HF44" s="55"/>
      <c r="HG44" s="55"/>
      <c r="HH44" s="55"/>
      <c r="HI44" s="55"/>
      <c r="HJ44" s="55"/>
      <c r="HK44" s="55"/>
      <c r="HL44" s="55"/>
      <c r="HM44" s="55"/>
      <c r="HN44" s="55"/>
      <c r="HO44" s="55"/>
      <c r="HP44" s="55"/>
      <c r="HQ44" s="55"/>
      <c r="HR44" s="55"/>
      <c r="HS44" s="55"/>
      <c r="HT44" s="55"/>
      <c r="HU44" s="55"/>
      <c r="HV44" s="55"/>
      <c r="HW44" s="55"/>
      <c r="HX44" s="55"/>
      <c r="HY44" s="55"/>
      <c r="HZ44" s="55"/>
      <c r="IA44" s="55"/>
      <c r="IB44" s="55"/>
      <c r="IC44" s="55"/>
      <c r="ID44" s="55"/>
      <c r="IE44" s="55"/>
      <c r="IF44" s="55"/>
      <c r="IG44" s="55"/>
      <c r="IH44" s="55"/>
      <c r="II44" s="55"/>
      <c r="IJ44" s="55"/>
      <c r="IK44" s="55"/>
      <c r="IL44" s="55"/>
      <c r="IM44" s="55"/>
      <c r="IN44" s="55"/>
      <c r="IO44" s="55"/>
      <c r="IP44" s="55"/>
      <c r="IQ44" s="55"/>
      <c r="IR44" s="55"/>
      <c r="IS44" s="55"/>
      <c r="IT44" s="55"/>
      <c r="IU44" s="55"/>
      <c r="IV44" s="55"/>
      <c r="IW44" s="55"/>
      <c r="IX44" s="55"/>
      <c r="IY44" s="55"/>
      <c r="IZ44" s="55"/>
      <c r="JA44" s="55"/>
      <c r="JB44" s="55"/>
      <c r="JC44" s="55"/>
      <c r="JD44" s="55"/>
      <c r="JE44" s="55"/>
      <c r="JF44" s="55"/>
      <c r="JG44" s="55"/>
      <c r="JH44" s="55"/>
      <c r="JI44" s="55"/>
      <c r="JJ44" s="55"/>
      <c r="JK44" s="25"/>
      <c r="JL44" s="25"/>
      <c r="JM44" s="25"/>
      <c r="JN44" s="25"/>
      <c r="JO44" s="25"/>
      <c r="JP44" s="25"/>
      <c r="JQ44" s="25"/>
      <c r="JR44" s="25"/>
      <c r="JS44" s="25"/>
      <c r="JT44" s="25"/>
      <c r="JU44" s="25"/>
      <c r="JV44" s="25"/>
      <c r="JW44" s="25"/>
      <c r="JX44" s="25"/>
      <c r="JY44" s="25"/>
      <c r="JZ44" s="25"/>
      <c r="KA44" s="25"/>
      <c r="KB44" s="25"/>
      <c r="KC44" s="25"/>
      <c r="KD44" s="25"/>
      <c r="KE44" s="25"/>
      <c r="KF44" s="25"/>
      <c r="KG44" s="25"/>
      <c r="KH44" s="25"/>
      <c r="KI44" s="25"/>
      <c r="KJ44" s="25"/>
      <c r="KK44" s="25"/>
      <c r="KL44" s="25"/>
      <c r="KM44" s="25"/>
      <c r="KN44" s="25"/>
      <c r="KO44" s="25"/>
      <c r="KP44" s="25"/>
      <c r="KQ44" s="25"/>
      <c r="KR44" s="25"/>
      <c r="KS44" s="25"/>
      <c r="KT44" s="25"/>
      <c r="KU44" s="25"/>
      <c r="KV44" s="25"/>
      <c r="KW44" s="25"/>
      <c r="KX44" s="25"/>
      <c r="KY44" s="25"/>
      <c r="KZ44" s="25"/>
      <c r="LA44" s="25"/>
      <c r="LB44" s="25"/>
      <c r="LC44" s="25"/>
      <c r="LD44" s="25"/>
      <c r="LE44" s="25"/>
      <c r="LF44" s="25"/>
      <c r="LG44" s="25"/>
      <c r="LH44" s="25"/>
      <c r="LI44" s="25"/>
      <c r="LJ44" s="25"/>
      <c r="LK44" s="25"/>
      <c r="LL44" s="25"/>
      <c r="LM44" s="25"/>
      <c r="LN44" s="25"/>
      <c r="LO44" s="25"/>
      <c r="LP44" s="25"/>
      <c r="LQ44" s="25"/>
      <c r="LR44" s="25"/>
      <c r="LS44" s="166"/>
      <c r="LT44" s="166"/>
      <c r="LU44" s="166"/>
      <c r="LV44" s="166"/>
      <c r="LW44" s="166"/>
      <c r="LX44" s="166"/>
      <c r="LY44" s="166"/>
      <c r="LZ44" s="166"/>
      <c r="MA44" s="166"/>
      <c r="MB44" s="166"/>
      <c r="MC44" s="166"/>
      <c r="MD44" s="166"/>
      <c r="ME44" s="166"/>
      <c r="MF44" s="166"/>
      <c r="MG44" s="166"/>
      <c r="MH44" s="166"/>
      <c r="MI44" s="166"/>
      <c r="MJ44" s="166"/>
      <c r="MK44" s="166"/>
      <c r="ML44" s="166"/>
      <c r="MM44" s="166"/>
      <c r="MN44" s="166"/>
      <c r="MO44" s="166"/>
      <c r="MP44" s="166"/>
      <c r="MQ44" s="166"/>
      <c r="MR44" s="166"/>
      <c r="MS44" s="166"/>
      <c r="MT44" s="166"/>
      <c r="MU44" s="166"/>
      <c r="MV44" s="166"/>
      <c r="MW44" s="166"/>
      <c r="MX44" s="166"/>
      <c r="MY44" s="166"/>
      <c r="MZ44" s="166"/>
      <c r="NA44" s="166"/>
      <c r="NB44" s="166"/>
      <c r="NC44" s="166"/>
      <c r="ND44" s="166"/>
      <c r="NE44" s="166"/>
      <c r="NF44" s="166"/>
      <c r="NG44" s="166"/>
      <c r="NH44" s="166"/>
      <c r="NI44" s="166"/>
      <c r="NJ44" s="166"/>
      <c r="NK44" s="166"/>
      <c r="NL44" s="166"/>
      <c r="NM44" s="166"/>
      <c r="NN44" s="166"/>
      <c r="NO44" s="166"/>
      <c r="NP44" s="166"/>
      <c r="NQ44" s="166"/>
      <c r="NR44" s="166"/>
      <c r="NS44" s="166"/>
      <c r="NT44" s="166"/>
      <c r="NU44" s="166"/>
      <c r="NV44" s="166"/>
      <c r="NW44" s="166"/>
      <c r="NX44" s="166"/>
      <c r="NY44" s="166"/>
      <c r="NZ44" s="166"/>
      <c r="OA44" s="25"/>
      <c r="OB44" s="25"/>
      <c r="OC44" s="25"/>
      <c r="OD44" s="81"/>
      <c r="OE44" s="25"/>
      <c r="OF44" s="25"/>
      <c r="OG44" s="25"/>
      <c r="OH44" s="25"/>
      <c r="OI44" s="25"/>
      <c r="OJ44" s="25"/>
      <c r="OK44" s="25"/>
      <c r="OL44" s="25"/>
      <c r="OM44" s="25"/>
      <c r="ON44" s="25"/>
      <c r="OO44" s="25"/>
      <c r="OP44" s="25"/>
      <c r="OQ44" s="25"/>
      <c r="OR4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4" s="81"/>
      <c r="OT44" s="25"/>
      <c r="OU44" s="81"/>
      <c r="OV44" s="81"/>
    </row>
    <row r="45" spans="1:412" ht="12.5" x14ac:dyDescent="0.25">
      <c r="A45" s="25">
        <v>26</v>
      </c>
      <c r="B45" s="25" t="b">
        <f>NOT(ISBLANK(SEBBusinessDataTable[[#This Row],[SEBBusinessType]]))</f>
        <v>0</v>
      </c>
      <c r="C45" s="25"/>
      <c r="D45" s="25"/>
      <c r="E45" s="25"/>
      <c r="F45" s="25"/>
      <c r="G45" s="25"/>
      <c r="H45" s="25"/>
      <c r="I45" s="25"/>
      <c r="J45" s="25">
        <f>COUNTIF(SEBBusinessDataTable[[#This Row],[SEBAssociatedFlagApp1]:[SEBAssociatedFlagApp6]],"Yes")</f>
        <v>0</v>
      </c>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c r="DE45" s="25"/>
      <c r="DF45" s="25"/>
      <c r="DG45" s="25"/>
      <c r="DH45" s="25"/>
      <c r="DI45" s="25"/>
      <c r="DJ45" s="25"/>
      <c r="DK45" s="25"/>
      <c r="DL45" s="25"/>
      <c r="DM45" s="25"/>
      <c r="DN45" s="25"/>
      <c r="DO45" s="55"/>
      <c r="DP45" s="55"/>
      <c r="DQ45" s="55"/>
      <c r="DR45" s="55"/>
      <c r="DS45" s="55"/>
      <c r="DT45" s="55"/>
      <c r="DU45" s="55"/>
      <c r="DV45" s="55"/>
      <c r="DW45" s="55"/>
      <c r="DX45" s="55"/>
      <c r="DY45" s="55"/>
      <c r="DZ45" s="55"/>
      <c r="EA45" s="25"/>
      <c r="EB45" s="25"/>
      <c r="EC45" s="25"/>
      <c r="ED45" s="25"/>
      <c r="EE45" s="25"/>
      <c r="EF45" s="25"/>
      <c r="EG45" s="25"/>
      <c r="EH45" s="25"/>
      <c r="EI45" s="25"/>
      <c r="EJ45" s="25"/>
      <c r="EK45" s="25"/>
      <c r="EL45" s="25"/>
      <c r="EM45" s="25"/>
      <c r="EN45" s="25"/>
      <c r="EO45" s="25"/>
      <c r="EP45" s="25"/>
      <c r="EQ45" s="25"/>
      <c r="ER45" s="25"/>
      <c r="ES45" s="25"/>
      <c r="ET45" s="25"/>
      <c r="EU45" s="25"/>
      <c r="EV45" s="25"/>
      <c r="EW45" s="25"/>
      <c r="EX45" s="25"/>
      <c r="EY45" s="25"/>
      <c r="EZ45" s="25"/>
      <c r="FA45" s="25"/>
      <c r="FB45" s="25"/>
      <c r="FC45" s="25"/>
      <c r="FD45" s="25"/>
      <c r="FE45" s="25"/>
      <c r="FF45" s="25"/>
      <c r="FG45" s="25"/>
      <c r="FH45" s="25"/>
      <c r="FI45" s="25"/>
      <c r="FJ45" s="25"/>
      <c r="FK45" s="25"/>
      <c r="FL45" s="25"/>
      <c r="FM45" s="25"/>
      <c r="FN45" s="25"/>
      <c r="FO45" s="25"/>
      <c r="FP45" s="25"/>
      <c r="FQ45" s="25"/>
      <c r="FR45" s="25"/>
      <c r="FS45" s="25"/>
      <c r="FT45" s="25"/>
      <c r="FU45" s="25"/>
      <c r="FV45" s="25"/>
      <c r="FW45" s="25"/>
      <c r="FX45" s="25"/>
      <c r="FY45" s="25"/>
      <c r="FZ45" s="25"/>
      <c r="GA45" s="25"/>
      <c r="GB45" s="25"/>
      <c r="GC45" s="25"/>
      <c r="GD45" s="25"/>
      <c r="GE45" s="25"/>
      <c r="GF45" s="25"/>
      <c r="GG45" s="25"/>
      <c r="GH45" s="25"/>
      <c r="GI45" s="25"/>
      <c r="GJ45" s="25"/>
      <c r="GK45" s="25"/>
      <c r="GL45" s="25"/>
      <c r="GM45" s="25"/>
      <c r="GN45" s="25"/>
      <c r="GO45" s="25"/>
      <c r="GP45" s="25"/>
      <c r="GQ45" s="25"/>
      <c r="GR45" s="25"/>
      <c r="GS45" s="25"/>
      <c r="GT45" s="25"/>
      <c r="GU45" s="25"/>
      <c r="GV45" s="25"/>
      <c r="GW45" s="25"/>
      <c r="GX45" s="25"/>
      <c r="GY45" s="25"/>
      <c r="GZ45" s="25"/>
      <c r="HA45" s="25"/>
      <c r="HB45" s="25"/>
      <c r="HC45" s="55"/>
      <c r="HD45" s="55"/>
      <c r="HE45" s="55"/>
      <c r="HF45" s="55"/>
      <c r="HG45" s="55"/>
      <c r="HH45" s="55"/>
      <c r="HI45" s="55"/>
      <c r="HJ45" s="55"/>
      <c r="HK45" s="55"/>
      <c r="HL45" s="55"/>
      <c r="HM45" s="55"/>
      <c r="HN45" s="55"/>
      <c r="HO45" s="55"/>
      <c r="HP45" s="55"/>
      <c r="HQ45" s="55"/>
      <c r="HR45" s="55"/>
      <c r="HS45" s="55"/>
      <c r="HT45" s="55"/>
      <c r="HU45" s="55"/>
      <c r="HV45" s="55"/>
      <c r="HW45" s="55"/>
      <c r="HX45" s="55"/>
      <c r="HY45" s="55"/>
      <c r="HZ45" s="55"/>
      <c r="IA45" s="55"/>
      <c r="IB45" s="55"/>
      <c r="IC45" s="55"/>
      <c r="ID45" s="55"/>
      <c r="IE45" s="55"/>
      <c r="IF45" s="55"/>
      <c r="IG45" s="55"/>
      <c r="IH45" s="55"/>
      <c r="II45" s="55"/>
      <c r="IJ45" s="55"/>
      <c r="IK45" s="55"/>
      <c r="IL45" s="55"/>
      <c r="IM45" s="55"/>
      <c r="IN45" s="55"/>
      <c r="IO45" s="55"/>
      <c r="IP45" s="55"/>
      <c r="IQ45" s="55"/>
      <c r="IR45" s="55"/>
      <c r="IS45" s="55"/>
      <c r="IT45" s="55"/>
      <c r="IU45" s="55"/>
      <c r="IV45" s="55"/>
      <c r="IW45" s="55"/>
      <c r="IX45" s="55"/>
      <c r="IY45" s="55"/>
      <c r="IZ45" s="55"/>
      <c r="JA45" s="55"/>
      <c r="JB45" s="55"/>
      <c r="JC45" s="55"/>
      <c r="JD45" s="55"/>
      <c r="JE45" s="55"/>
      <c r="JF45" s="55"/>
      <c r="JG45" s="55"/>
      <c r="JH45" s="55"/>
      <c r="JI45" s="55"/>
      <c r="JJ45" s="55"/>
      <c r="JK45" s="25"/>
      <c r="JL45" s="25"/>
      <c r="JM45" s="25"/>
      <c r="JN45" s="25"/>
      <c r="JO45" s="25"/>
      <c r="JP45" s="25"/>
      <c r="JQ45" s="25"/>
      <c r="JR45" s="25"/>
      <c r="JS45" s="25"/>
      <c r="JT45" s="25"/>
      <c r="JU45" s="25"/>
      <c r="JV45" s="25"/>
      <c r="JW45" s="25"/>
      <c r="JX45" s="25"/>
      <c r="JY45" s="25"/>
      <c r="JZ45" s="25"/>
      <c r="KA45" s="25"/>
      <c r="KB45" s="25"/>
      <c r="KC45" s="25"/>
      <c r="KD45" s="25"/>
      <c r="KE45" s="25"/>
      <c r="KF45" s="25"/>
      <c r="KG45" s="25"/>
      <c r="KH45" s="25"/>
      <c r="KI45" s="25"/>
      <c r="KJ45" s="25"/>
      <c r="KK45" s="25"/>
      <c r="KL45" s="25"/>
      <c r="KM45" s="25"/>
      <c r="KN45" s="25"/>
      <c r="KO45" s="25"/>
      <c r="KP45" s="25"/>
      <c r="KQ45" s="25"/>
      <c r="KR45" s="25"/>
      <c r="KS45" s="25"/>
      <c r="KT45" s="25"/>
      <c r="KU45" s="25"/>
      <c r="KV45" s="25"/>
      <c r="KW45" s="25"/>
      <c r="KX45" s="25"/>
      <c r="KY45" s="25"/>
      <c r="KZ45" s="25"/>
      <c r="LA45" s="25"/>
      <c r="LB45" s="25"/>
      <c r="LC45" s="25"/>
      <c r="LD45" s="25"/>
      <c r="LE45" s="25"/>
      <c r="LF45" s="25"/>
      <c r="LG45" s="25"/>
      <c r="LH45" s="25"/>
      <c r="LI45" s="25"/>
      <c r="LJ45" s="25"/>
      <c r="LK45" s="25"/>
      <c r="LL45" s="25"/>
      <c r="LM45" s="25"/>
      <c r="LN45" s="25"/>
      <c r="LO45" s="25"/>
      <c r="LP45" s="25"/>
      <c r="LQ45" s="25"/>
      <c r="LR45" s="25"/>
      <c r="LS45" s="166"/>
      <c r="LT45" s="166"/>
      <c r="LU45" s="166"/>
      <c r="LV45" s="166"/>
      <c r="LW45" s="166"/>
      <c r="LX45" s="166"/>
      <c r="LY45" s="166"/>
      <c r="LZ45" s="166"/>
      <c r="MA45" s="166"/>
      <c r="MB45" s="166"/>
      <c r="MC45" s="166"/>
      <c r="MD45" s="166"/>
      <c r="ME45" s="166"/>
      <c r="MF45" s="166"/>
      <c r="MG45" s="166"/>
      <c r="MH45" s="166"/>
      <c r="MI45" s="166"/>
      <c r="MJ45" s="166"/>
      <c r="MK45" s="166"/>
      <c r="ML45" s="166"/>
      <c r="MM45" s="166"/>
      <c r="MN45" s="166"/>
      <c r="MO45" s="166"/>
      <c r="MP45" s="166"/>
      <c r="MQ45" s="166"/>
      <c r="MR45" s="166"/>
      <c r="MS45" s="166"/>
      <c r="MT45" s="166"/>
      <c r="MU45" s="166"/>
      <c r="MV45" s="166"/>
      <c r="MW45" s="166"/>
      <c r="MX45" s="166"/>
      <c r="MY45" s="166"/>
      <c r="MZ45" s="166"/>
      <c r="NA45" s="166"/>
      <c r="NB45" s="166"/>
      <c r="NC45" s="166"/>
      <c r="ND45" s="166"/>
      <c r="NE45" s="166"/>
      <c r="NF45" s="166"/>
      <c r="NG45" s="166"/>
      <c r="NH45" s="166"/>
      <c r="NI45" s="166"/>
      <c r="NJ45" s="166"/>
      <c r="NK45" s="166"/>
      <c r="NL45" s="166"/>
      <c r="NM45" s="166"/>
      <c r="NN45" s="166"/>
      <c r="NO45" s="166"/>
      <c r="NP45" s="166"/>
      <c r="NQ45" s="166"/>
      <c r="NR45" s="166"/>
      <c r="NS45" s="166"/>
      <c r="NT45" s="166"/>
      <c r="NU45" s="166"/>
      <c r="NV45" s="166"/>
      <c r="NW45" s="166"/>
      <c r="NX45" s="166"/>
      <c r="NY45" s="166"/>
      <c r="NZ45" s="166"/>
      <c r="OA45" s="25"/>
      <c r="OB45" s="25"/>
      <c r="OC45" s="25"/>
      <c r="OD45" s="81"/>
      <c r="OE45" s="25"/>
      <c r="OF45" s="25"/>
      <c r="OG45" s="25"/>
      <c r="OH45" s="25"/>
      <c r="OI45" s="25"/>
      <c r="OJ45" s="25"/>
      <c r="OK45" s="25"/>
      <c r="OL45" s="25"/>
      <c r="OM45" s="25"/>
      <c r="ON45" s="25"/>
      <c r="OO45" s="25"/>
      <c r="OP45" s="25"/>
      <c r="OQ45" s="25"/>
      <c r="OR4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5" s="81"/>
      <c r="OT45" s="25"/>
      <c r="OU45" s="81"/>
      <c r="OV45" s="81"/>
    </row>
    <row r="46" spans="1:412" ht="12.5" x14ac:dyDescent="0.25">
      <c r="A46" s="25">
        <v>27</v>
      </c>
      <c r="B46" s="25" t="b">
        <f>NOT(ISBLANK(SEBBusinessDataTable[[#This Row],[SEBBusinessType]]))</f>
        <v>0</v>
      </c>
      <c r="C46" s="25"/>
      <c r="D46" s="25"/>
      <c r="E46" s="25"/>
      <c r="F46" s="25"/>
      <c r="G46" s="25"/>
      <c r="H46" s="25"/>
      <c r="I46" s="25"/>
      <c r="J46" s="25">
        <f>COUNTIF(SEBBusinessDataTable[[#This Row],[SEBAssociatedFlagApp1]:[SEBAssociatedFlagApp6]],"Yes")</f>
        <v>0</v>
      </c>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c r="DE46" s="25"/>
      <c r="DF46" s="25"/>
      <c r="DG46" s="25"/>
      <c r="DH46" s="25"/>
      <c r="DI46" s="25"/>
      <c r="DJ46" s="25"/>
      <c r="DK46" s="25"/>
      <c r="DL46" s="25"/>
      <c r="DM46" s="25"/>
      <c r="DN46" s="25"/>
      <c r="DO46" s="55"/>
      <c r="DP46" s="55"/>
      <c r="DQ46" s="55"/>
      <c r="DR46" s="55"/>
      <c r="DS46" s="55"/>
      <c r="DT46" s="55"/>
      <c r="DU46" s="55"/>
      <c r="DV46" s="55"/>
      <c r="DW46" s="55"/>
      <c r="DX46" s="55"/>
      <c r="DY46" s="55"/>
      <c r="DZ46" s="55"/>
      <c r="EA46" s="25"/>
      <c r="EB46" s="25"/>
      <c r="EC46" s="25"/>
      <c r="ED46" s="25"/>
      <c r="EE46" s="25"/>
      <c r="EF46" s="25"/>
      <c r="EG46" s="25"/>
      <c r="EH46" s="25"/>
      <c r="EI46" s="25"/>
      <c r="EJ46" s="25"/>
      <c r="EK46" s="25"/>
      <c r="EL46" s="25"/>
      <c r="EM46" s="25"/>
      <c r="EN46" s="25"/>
      <c r="EO46" s="25"/>
      <c r="EP46" s="25"/>
      <c r="EQ46" s="25"/>
      <c r="ER46" s="25"/>
      <c r="ES46" s="25"/>
      <c r="ET46" s="25"/>
      <c r="EU46" s="25"/>
      <c r="EV46" s="25"/>
      <c r="EW46" s="25"/>
      <c r="EX46" s="25"/>
      <c r="EY46" s="25"/>
      <c r="EZ46" s="25"/>
      <c r="FA46" s="25"/>
      <c r="FB46" s="25"/>
      <c r="FC46" s="25"/>
      <c r="FD46" s="25"/>
      <c r="FE46" s="25"/>
      <c r="FF46" s="25"/>
      <c r="FG46" s="25"/>
      <c r="FH46" s="25"/>
      <c r="FI46" s="25"/>
      <c r="FJ46" s="25"/>
      <c r="FK46" s="25"/>
      <c r="FL46" s="25"/>
      <c r="FM46" s="25"/>
      <c r="FN46" s="25"/>
      <c r="FO46" s="25"/>
      <c r="FP46" s="25"/>
      <c r="FQ46" s="25"/>
      <c r="FR46" s="25"/>
      <c r="FS46" s="25"/>
      <c r="FT46" s="25"/>
      <c r="FU46" s="25"/>
      <c r="FV46" s="25"/>
      <c r="FW46" s="25"/>
      <c r="FX46" s="25"/>
      <c r="FY46" s="25"/>
      <c r="FZ46" s="25"/>
      <c r="GA46" s="25"/>
      <c r="GB46" s="25"/>
      <c r="GC46" s="25"/>
      <c r="GD46" s="25"/>
      <c r="GE46" s="25"/>
      <c r="GF46" s="25"/>
      <c r="GG46" s="25"/>
      <c r="GH46" s="25"/>
      <c r="GI46" s="25"/>
      <c r="GJ46" s="25"/>
      <c r="GK46" s="25"/>
      <c r="GL46" s="25"/>
      <c r="GM46" s="25"/>
      <c r="GN46" s="25"/>
      <c r="GO46" s="25"/>
      <c r="GP46" s="25"/>
      <c r="GQ46" s="25"/>
      <c r="GR46" s="25"/>
      <c r="GS46" s="25"/>
      <c r="GT46" s="25"/>
      <c r="GU46" s="25"/>
      <c r="GV46" s="25"/>
      <c r="GW46" s="25"/>
      <c r="GX46" s="25"/>
      <c r="GY46" s="25"/>
      <c r="GZ46" s="25"/>
      <c r="HA46" s="25"/>
      <c r="HB46" s="25"/>
      <c r="HC46" s="55"/>
      <c r="HD46" s="55"/>
      <c r="HE46" s="55"/>
      <c r="HF46" s="55"/>
      <c r="HG46" s="55"/>
      <c r="HH46" s="55"/>
      <c r="HI46" s="55"/>
      <c r="HJ46" s="55"/>
      <c r="HK46" s="55"/>
      <c r="HL46" s="55"/>
      <c r="HM46" s="55"/>
      <c r="HN46" s="55"/>
      <c r="HO46" s="55"/>
      <c r="HP46" s="55"/>
      <c r="HQ46" s="55"/>
      <c r="HR46" s="55"/>
      <c r="HS46" s="55"/>
      <c r="HT46" s="55"/>
      <c r="HU46" s="55"/>
      <c r="HV46" s="55"/>
      <c r="HW46" s="55"/>
      <c r="HX46" s="55"/>
      <c r="HY46" s="55"/>
      <c r="HZ46" s="55"/>
      <c r="IA46" s="55"/>
      <c r="IB46" s="55"/>
      <c r="IC46" s="55"/>
      <c r="ID46" s="55"/>
      <c r="IE46" s="55"/>
      <c r="IF46" s="55"/>
      <c r="IG46" s="55"/>
      <c r="IH46" s="55"/>
      <c r="II46" s="55"/>
      <c r="IJ46" s="55"/>
      <c r="IK46" s="55"/>
      <c r="IL46" s="55"/>
      <c r="IM46" s="55"/>
      <c r="IN46" s="55"/>
      <c r="IO46" s="55"/>
      <c r="IP46" s="55"/>
      <c r="IQ46" s="55"/>
      <c r="IR46" s="55"/>
      <c r="IS46" s="55"/>
      <c r="IT46" s="55"/>
      <c r="IU46" s="55"/>
      <c r="IV46" s="55"/>
      <c r="IW46" s="55"/>
      <c r="IX46" s="55"/>
      <c r="IY46" s="55"/>
      <c r="IZ46" s="55"/>
      <c r="JA46" s="55"/>
      <c r="JB46" s="55"/>
      <c r="JC46" s="55"/>
      <c r="JD46" s="55"/>
      <c r="JE46" s="55"/>
      <c r="JF46" s="55"/>
      <c r="JG46" s="55"/>
      <c r="JH46" s="55"/>
      <c r="JI46" s="55"/>
      <c r="JJ46" s="55"/>
      <c r="JK46" s="25"/>
      <c r="JL46" s="25"/>
      <c r="JM46" s="25"/>
      <c r="JN46" s="25"/>
      <c r="JO46" s="25"/>
      <c r="JP46" s="25"/>
      <c r="JQ46" s="25"/>
      <c r="JR46" s="25"/>
      <c r="JS46" s="25"/>
      <c r="JT46" s="25"/>
      <c r="JU46" s="25"/>
      <c r="JV46" s="25"/>
      <c r="JW46" s="25"/>
      <c r="JX46" s="25"/>
      <c r="JY46" s="25"/>
      <c r="JZ46" s="25"/>
      <c r="KA46" s="25"/>
      <c r="KB46" s="25"/>
      <c r="KC46" s="25"/>
      <c r="KD46" s="25"/>
      <c r="KE46" s="25"/>
      <c r="KF46" s="25"/>
      <c r="KG46" s="25"/>
      <c r="KH46" s="25"/>
      <c r="KI46" s="25"/>
      <c r="KJ46" s="25"/>
      <c r="KK46" s="25"/>
      <c r="KL46" s="25"/>
      <c r="KM46" s="25"/>
      <c r="KN46" s="25"/>
      <c r="KO46" s="25"/>
      <c r="KP46" s="25"/>
      <c r="KQ46" s="25"/>
      <c r="KR46" s="25"/>
      <c r="KS46" s="25"/>
      <c r="KT46" s="25"/>
      <c r="KU46" s="25"/>
      <c r="KV46" s="25"/>
      <c r="KW46" s="25"/>
      <c r="KX46" s="25"/>
      <c r="KY46" s="25"/>
      <c r="KZ46" s="25"/>
      <c r="LA46" s="25"/>
      <c r="LB46" s="25"/>
      <c r="LC46" s="25"/>
      <c r="LD46" s="25"/>
      <c r="LE46" s="25"/>
      <c r="LF46" s="25"/>
      <c r="LG46" s="25"/>
      <c r="LH46" s="25"/>
      <c r="LI46" s="25"/>
      <c r="LJ46" s="25"/>
      <c r="LK46" s="25"/>
      <c r="LL46" s="25"/>
      <c r="LM46" s="25"/>
      <c r="LN46" s="25"/>
      <c r="LO46" s="25"/>
      <c r="LP46" s="25"/>
      <c r="LQ46" s="25"/>
      <c r="LR46" s="25"/>
      <c r="LS46" s="166"/>
      <c r="LT46" s="166"/>
      <c r="LU46" s="166"/>
      <c r="LV46" s="166"/>
      <c r="LW46" s="166"/>
      <c r="LX46" s="166"/>
      <c r="LY46" s="166"/>
      <c r="LZ46" s="166"/>
      <c r="MA46" s="166"/>
      <c r="MB46" s="166"/>
      <c r="MC46" s="166"/>
      <c r="MD46" s="166"/>
      <c r="ME46" s="166"/>
      <c r="MF46" s="166"/>
      <c r="MG46" s="166"/>
      <c r="MH46" s="166"/>
      <c r="MI46" s="166"/>
      <c r="MJ46" s="166"/>
      <c r="MK46" s="166"/>
      <c r="ML46" s="166"/>
      <c r="MM46" s="166"/>
      <c r="MN46" s="166"/>
      <c r="MO46" s="166"/>
      <c r="MP46" s="166"/>
      <c r="MQ46" s="166"/>
      <c r="MR46" s="166"/>
      <c r="MS46" s="166"/>
      <c r="MT46" s="166"/>
      <c r="MU46" s="166"/>
      <c r="MV46" s="166"/>
      <c r="MW46" s="166"/>
      <c r="MX46" s="166"/>
      <c r="MY46" s="166"/>
      <c r="MZ46" s="166"/>
      <c r="NA46" s="166"/>
      <c r="NB46" s="166"/>
      <c r="NC46" s="166"/>
      <c r="ND46" s="166"/>
      <c r="NE46" s="166"/>
      <c r="NF46" s="166"/>
      <c r="NG46" s="166"/>
      <c r="NH46" s="166"/>
      <c r="NI46" s="166"/>
      <c r="NJ46" s="166"/>
      <c r="NK46" s="166"/>
      <c r="NL46" s="166"/>
      <c r="NM46" s="166"/>
      <c r="NN46" s="166"/>
      <c r="NO46" s="166"/>
      <c r="NP46" s="166"/>
      <c r="NQ46" s="166"/>
      <c r="NR46" s="166"/>
      <c r="NS46" s="166"/>
      <c r="NT46" s="166"/>
      <c r="NU46" s="166"/>
      <c r="NV46" s="166"/>
      <c r="NW46" s="166"/>
      <c r="NX46" s="166"/>
      <c r="NY46" s="166"/>
      <c r="NZ46" s="166"/>
      <c r="OA46" s="25"/>
      <c r="OB46" s="25"/>
      <c r="OC46" s="25"/>
      <c r="OD46" s="81"/>
      <c r="OE46" s="25"/>
      <c r="OF46" s="25"/>
      <c r="OG46" s="25"/>
      <c r="OH46" s="25"/>
      <c r="OI46" s="25"/>
      <c r="OJ46" s="25"/>
      <c r="OK46" s="25"/>
      <c r="OL46" s="25"/>
      <c r="OM46" s="25"/>
      <c r="ON46" s="25"/>
      <c r="OO46" s="25"/>
      <c r="OP46" s="25"/>
      <c r="OQ46" s="25"/>
      <c r="OR4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6" s="81"/>
      <c r="OT46" s="25"/>
      <c r="OU46" s="81"/>
      <c r="OV46" s="81"/>
    </row>
    <row r="47" spans="1:412" ht="12.5" x14ac:dyDescent="0.25">
      <c r="A47" s="25">
        <v>28</v>
      </c>
      <c r="B47" s="25" t="b">
        <f>NOT(ISBLANK(SEBBusinessDataTable[[#This Row],[SEBBusinessType]]))</f>
        <v>0</v>
      </c>
      <c r="C47" s="25"/>
      <c r="D47" s="25"/>
      <c r="E47" s="25"/>
      <c r="F47" s="25"/>
      <c r="G47" s="25"/>
      <c r="H47" s="25"/>
      <c r="I47" s="25"/>
      <c r="J47" s="25">
        <f>COUNTIF(SEBBusinessDataTable[[#This Row],[SEBAssociatedFlagApp1]:[SEBAssociatedFlagApp6]],"Yes")</f>
        <v>0</v>
      </c>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5"/>
      <c r="DD47" s="25"/>
      <c r="DE47" s="25"/>
      <c r="DF47" s="25"/>
      <c r="DG47" s="25"/>
      <c r="DH47" s="25"/>
      <c r="DI47" s="25"/>
      <c r="DJ47" s="25"/>
      <c r="DK47" s="25"/>
      <c r="DL47" s="25"/>
      <c r="DM47" s="25"/>
      <c r="DN47" s="25"/>
      <c r="DO47" s="55"/>
      <c r="DP47" s="55"/>
      <c r="DQ47" s="55"/>
      <c r="DR47" s="55"/>
      <c r="DS47" s="55"/>
      <c r="DT47" s="55"/>
      <c r="DU47" s="55"/>
      <c r="DV47" s="55"/>
      <c r="DW47" s="55"/>
      <c r="DX47" s="55"/>
      <c r="DY47" s="55"/>
      <c r="DZ47" s="55"/>
      <c r="EA47" s="25"/>
      <c r="EB47" s="25"/>
      <c r="EC47" s="25"/>
      <c r="ED47" s="25"/>
      <c r="EE47" s="25"/>
      <c r="EF47" s="25"/>
      <c r="EG47" s="25"/>
      <c r="EH47" s="25"/>
      <c r="EI47" s="25"/>
      <c r="EJ47" s="25"/>
      <c r="EK47" s="25"/>
      <c r="EL47" s="25"/>
      <c r="EM47" s="25"/>
      <c r="EN47" s="25"/>
      <c r="EO47" s="25"/>
      <c r="EP47" s="25"/>
      <c r="EQ47" s="25"/>
      <c r="ER47" s="25"/>
      <c r="ES47" s="25"/>
      <c r="ET47" s="25"/>
      <c r="EU47" s="25"/>
      <c r="EV47" s="25"/>
      <c r="EW47" s="25"/>
      <c r="EX47" s="25"/>
      <c r="EY47" s="25"/>
      <c r="EZ47" s="25"/>
      <c r="FA47" s="25"/>
      <c r="FB47" s="25"/>
      <c r="FC47" s="25"/>
      <c r="FD47" s="25"/>
      <c r="FE47" s="25"/>
      <c r="FF47" s="25"/>
      <c r="FG47" s="25"/>
      <c r="FH47" s="25"/>
      <c r="FI47" s="25"/>
      <c r="FJ47" s="25"/>
      <c r="FK47" s="25"/>
      <c r="FL47" s="25"/>
      <c r="FM47" s="25"/>
      <c r="FN47" s="25"/>
      <c r="FO47" s="25"/>
      <c r="FP47" s="25"/>
      <c r="FQ47" s="25"/>
      <c r="FR47" s="25"/>
      <c r="FS47" s="25"/>
      <c r="FT47" s="25"/>
      <c r="FU47" s="25"/>
      <c r="FV47" s="25"/>
      <c r="FW47" s="25"/>
      <c r="FX47" s="25"/>
      <c r="FY47" s="25"/>
      <c r="FZ47" s="25"/>
      <c r="GA47" s="25"/>
      <c r="GB47" s="25"/>
      <c r="GC47" s="25"/>
      <c r="GD47" s="25"/>
      <c r="GE47" s="25"/>
      <c r="GF47" s="25"/>
      <c r="GG47" s="25"/>
      <c r="GH47" s="25"/>
      <c r="GI47" s="25"/>
      <c r="GJ47" s="25"/>
      <c r="GK47" s="25"/>
      <c r="GL47" s="25"/>
      <c r="GM47" s="25"/>
      <c r="GN47" s="25"/>
      <c r="GO47" s="25"/>
      <c r="GP47" s="25"/>
      <c r="GQ47" s="25"/>
      <c r="GR47" s="25"/>
      <c r="GS47" s="25"/>
      <c r="GT47" s="25"/>
      <c r="GU47" s="25"/>
      <c r="GV47" s="25"/>
      <c r="GW47" s="25"/>
      <c r="GX47" s="25"/>
      <c r="GY47" s="25"/>
      <c r="GZ47" s="25"/>
      <c r="HA47" s="25"/>
      <c r="HB47" s="25"/>
      <c r="HC47" s="55"/>
      <c r="HD47" s="55"/>
      <c r="HE47" s="55"/>
      <c r="HF47" s="55"/>
      <c r="HG47" s="55"/>
      <c r="HH47" s="55"/>
      <c r="HI47" s="55"/>
      <c r="HJ47" s="55"/>
      <c r="HK47" s="55"/>
      <c r="HL47" s="55"/>
      <c r="HM47" s="55"/>
      <c r="HN47" s="55"/>
      <c r="HO47" s="55"/>
      <c r="HP47" s="55"/>
      <c r="HQ47" s="55"/>
      <c r="HR47" s="55"/>
      <c r="HS47" s="55"/>
      <c r="HT47" s="55"/>
      <c r="HU47" s="55"/>
      <c r="HV47" s="55"/>
      <c r="HW47" s="55"/>
      <c r="HX47" s="55"/>
      <c r="HY47" s="55"/>
      <c r="HZ47" s="55"/>
      <c r="IA47" s="55"/>
      <c r="IB47" s="55"/>
      <c r="IC47" s="55"/>
      <c r="ID47" s="55"/>
      <c r="IE47" s="55"/>
      <c r="IF47" s="55"/>
      <c r="IG47" s="55"/>
      <c r="IH47" s="55"/>
      <c r="II47" s="55"/>
      <c r="IJ47" s="55"/>
      <c r="IK47" s="55"/>
      <c r="IL47" s="55"/>
      <c r="IM47" s="55"/>
      <c r="IN47" s="55"/>
      <c r="IO47" s="55"/>
      <c r="IP47" s="55"/>
      <c r="IQ47" s="55"/>
      <c r="IR47" s="55"/>
      <c r="IS47" s="55"/>
      <c r="IT47" s="55"/>
      <c r="IU47" s="55"/>
      <c r="IV47" s="55"/>
      <c r="IW47" s="55"/>
      <c r="IX47" s="55"/>
      <c r="IY47" s="55"/>
      <c r="IZ47" s="55"/>
      <c r="JA47" s="55"/>
      <c r="JB47" s="55"/>
      <c r="JC47" s="55"/>
      <c r="JD47" s="55"/>
      <c r="JE47" s="55"/>
      <c r="JF47" s="55"/>
      <c r="JG47" s="55"/>
      <c r="JH47" s="55"/>
      <c r="JI47" s="55"/>
      <c r="JJ47" s="55"/>
      <c r="JK47" s="25"/>
      <c r="JL47" s="25"/>
      <c r="JM47" s="25"/>
      <c r="JN47" s="25"/>
      <c r="JO47" s="25"/>
      <c r="JP47" s="25"/>
      <c r="JQ47" s="25"/>
      <c r="JR47" s="25"/>
      <c r="JS47" s="25"/>
      <c r="JT47" s="25"/>
      <c r="JU47" s="25"/>
      <c r="JV47" s="25"/>
      <c r="JW47" s="25"/>
      <c r="JX47" s="25"/>
      <c r="JY47" s="25"/>
      <c r="JZ47" s="25"/>
      <c r="KA47" s="25"/>
      <c r="KB47" s="25"/>
      <c r="KC47" s="25"/>
      <c r="KD47" s="25"/>
      <c r="KE47" s="25"/>
      <c r="KF47" s="25"/>
      <c r="KG47" s="25"/>
      <c r="KH47" s="25"/>
      <c r="KI47" s="25"/>
      <c r="KJ47" s="25"/>
      <c r="KK47" s="25"/>
      <c r="KL47" s="25"/>
      <c r="KM47" s="25"/>
      <c r="KN47" s="25"/>
      <c r="KO47" s="25"/>
      <c r="KP47" s="25"/>
      <c r="KQ47" s="25"/>
      <c r="KR47" s="25"/>
      <c r="KS47" s="25"/>
      <c r="KT47" s="25"/>
      <c r="KU47" s="25"/>
      <c r="KV47" s="25"/>
      <c r="KW47" s="25"/>
      <c r="KX47" s="25"/>
      <c r="KY47" s="25"/>
      <c r="KZ47" s="25"/>
      <c r="LA47" s="25"/>
      <c r="LB47" s="25"/>
      <c r="LC47" s="25"/>
      <c r="LD47" s="25"/>
      <c r="LE47" s="25"/>
      <c r="LF47" s="25"/>
      <c r="LG47" s="25"/>
      <c r="LH47" s="25"/>
      <c r="LI47" s="25"/>
      <c r="LJ47" s="25"/>
      <c r="LK47" s="25"/>
      <c r="LL47" s="25"/>
      <c r="LM47" s="25"/>
      <c r="LN47" s="25"/>
      <c r="LO47" s="25"/>
      <c r="LP47" s="25"/>
      <c r="LQ47" s="25"/>
      <c r="LR47" s="25"/>
      <c r="LS47" s="166"/>
      <c r="LT47" s="166"/>
      <c r="LU47" s="166"/>
      <c r="LV47" s="166"/>
      <c r="LW47" s="166"/>
      <c r="LX47" s="166"/>
      <c r="LY47" s="166"/>
      <c r="LZ47" s="166"/>
      <c r="MA47" s="166"/>
      <c r="MB47" s="166"/>
      <c r="MC47" s="166"/>
      <c r="MD47" s="166"/>
      <c r="ME47" s="166"/>
      <c r="MF47" s="166"/>
      <c r="MG47" s="166"/>
      <c r="MH47" s="166"/>
      <c r="MI47" s="166"/>
      <c r="MJ47" s="166"/>
      <c r="MK47" s="166"/>
      <c r="ML47" s="166"/>
      <c r="MM47" s="166"/>
      <c r="MN47" s="166"/>
      <c r="MO47" s="166"/>
      <c r="MP47" s="166"/>
      <c r="MQ47" s="166"/>
      <c r="MR47" s="166"/>
      <c r="MS47" s="166"/>
      <c r="MT47" s="166"/>
      <c r="MU47" s="166"/>
      <c r="MV47" s="166"/>
      <c r="MW47" s="166"/>
      <c r="MX47" s="166"/>
      <c r="MY47" s="166"/>
      <c r="MZ47" s="166"/>
      <c r="NA47" s="166"/>
      <c r="NB47" s="166"/>
      <c r="NC47" s="166"/>
      <c r="ND47" s="166"/>
      <c r="NE47" s="166"/>
      <c r="NF47" s="166"/>
      <c r="NG47" s="166"/>
      <c r="NH47" s="166"/>
      <c r="NI47" s="166"/>
      <c r="NJ47" s="166"/>
      <c r="NK47" s="166"/>
      <c r="NL47" s="166"/>
      <c r="NM47" s="166"/>
      <c r="NN47" s="166"/>
      <c r="NO47" s="166"/>
      <c r="NP47" s="166"/>
      <c r="NQ47" s="166"/>
      <c r="NR47" s="166"/>
      <c r="NS47" s="166"/>
      <c r="NT47" s="166"/>
      <c r="NU47" s="166"/>
      <c r="NV47" s="166"/>
      <c r="NW47" s="166"/>
      <c r="NX47" s="166"/>
      <c r="NY47" s="166"/>
      <c r="NZ47" s="166"/>
      <c r="OA47" s="25"/>
      <c r="OB47" s="25"/>
      <c r="OC47" s="25"/>
      <c r="OD47" s="81"/>
      <c r="OE47" s="25"/>
      <c r="OF47" s="25"/>
      <c r="OG47" s="25"/>
      <c r="OH47" s="25"/>
      <c r="OI47" s="25"/>
      <c r="OJ47" s="25"/>
      <c r="OK47" s="25"/>
      <c r="OL47" s="25"/>
      <c r="OM47" s="25"/>
      <c r="ON47" s="25"/>
      <c r="OO47" s="25"/>
      <c r="OP47" s="25"/>
      <c r="OQ47" s="25"/>
      <c r="OR4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7" s="81"/>
      <c r="OT47" s="25"/>
      <c r="OU47" s="81"/>
      <c r="OV47" s="81"/>
    </row>
    <row r="48" spans="1:412" ht="12.5" x14ac:dyDescent="0.25">
      <c r="A48" s="25">
        <v>29</v>
      </c>
      <c r="B48" s="25" t="b">
        <f>NOT(ISBLANK(SEBBusinessDataTable[[#This Row],[SEBBusinessType]]))</f>
        <v>0</v>
      </c>
      <c r="C48" s="25"/>
      <c r="D48" s="25"/>
      <c r="E48" s="25"/>
      <c r="F48" s="25"/>
      <c r="G48" s="25"/>
      <c r="H48" s="25"/>
      <c r="I48" s="25"/>
      <c r="J48" s="25">
        <f>COUNTIF(SEBBusinessDataTable[[#This Row],[SEBAssociatedFlagApp1]:[SEBAssociatedFlagApp6]],"Yes")</f>
        <v>0</v>
      </c>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5"/>
      <c r="DD48" s="25"/>
      <c r="DE48" s="25"/>
      <c r="DF48" s="25"/>
      <c r="DG48" s="25"/>
      <c r="DH48" s="25"/>
      <c r="DI48" s="25"/>
      <c r="DJ48" s="25"/>
      <c r="DK48" s="25"/>
      <c r="DL48" s="25"/>
      <c r="DM48" s="25"/>
      <c r="DN48" s="25"/>
      <c r="DO48" s="55"/>
      <c r="DP48" s="55"/>
      <c r="DQ48" s="55"/>
      <c r="DR48" s="55"/>
      <c r="DS48" s="55"/>
      <c r="DT48" s="55"/>
      <c r="DU48" s="55"/>
      <c r="DV48" s="55"/>
      <c r="DW48" s="55"/>
      <c r="DX48" s="55"/>
      <c r="DY48" s="55"/>
      <c r="DZ48" s="55"/>
      <c r="EA48" s="25"/>
      <c r="EB48" s="25"/>
      <c r="EC48" s="25"/>
      <c r="ED48" s="25"/>
      <c r="EE48" s="25"/>
      <c r="EF48" s="25"/>
      <c r="EG48" s="25"/>
      <c r="EH48" s="25"/>
      <c r="EI48" s="25"/>
      <c r="EJ48" s="25"/>
      <c r="EK48" s="25"/>
      <c r="EL48" s="25"/>
      <c r="EM48" s="25"/>
      <c r="EN48" s="25"/>
      <c r="EO48" s="25"/>
      <c r="EP48" s="25"/>
      <c r="EQ48" s="25"/>
      <c r="ER48" s="25"/>
      <c r="ES48" s="25"/>
      <c r="ET48" s="25"/>
      <c r="EU48" s="25"/>
      <c r="EV48" s="25"/>
      <c r="EW48" s="25"/>
      <c r="EX48" s="25"/>
      <c r="EY48" s="25"/>
      <c r="EZ48" s="25"/>
      <c r="FA48" s="25"/>
      <c r="FB48" s="25"/>
      <c r="FC48" s="25"/>
      <c r="FD48" s="25"/>
      <c r="FE48" s="25"/>
      <c r="FF48" s="25"/>
      <c r="FG48" s="25"/>
      <c r="FH48" s="25"/>
      <c r="FI48" s="25"/>
      <c r="FJ48" s="25"/>
      <c r="FK48" s="25"/>
      <c r="FL48" s="25"/>
      <c r="FM48" s="25"/>
      <c r="FN48" s="25"/>
      <c r="FO48" s="25"/>
      <c r="FP48" s="25"/>
      <c r="FQ48" s="25"/>
      <c r="FR48" s="25"/>
      <c r="FS48" s="25"/>
      <c r="FT48" s="25"/>
      <c r="FU48" s="25"/>
      <c r="FV48" s="25"/>
      <c r="FW48" s="25"/>
      <c r="FX48" s="25"/>
      <c r="FY48" s="25"/>
      <c r="FZ48" s="25"/>
      <c r="GA48" s="25"/>
      <c r="GB48" s="25"/>
      <c r="GC48" s="25"/>
      <c r="GD48" s="25"/>
      <c r="GE48" s="25"/>
      <c r="GF48" s="25"/>
      <c r="GG48" s="25"/>
      <c r="GH48" s="25"/>
      <c r="GI48" s="25"/>
      <c r="GJ48" s="25"/>
      <c r="GK48" s="25"/>
      <c r="GL48" s="25"/>
      <c r="GM48" s="25"/>
      <c r="GN48" s="25"/>
      <c r="GO48" s="25"/>
      <c r="GP48" s="25"/>
      <c r="GQ48" s="25"/>
      <c r="GR48" s="25"/>
      <c r="GS48" s="25"/>
      <c r="GT48" s="25"/>
      <c r="GU48" s="25"/>
      <c r="GV48" s="25"/>
      <c r="GW48" s="25"/>
      <c r="GX48" s="25"/>
      <c r="GY48" s="25"/>
      <c r="GZ48" s="25"/>
      <c r="HA48" s="25"/>
      <c r="HB48" s="25"/>
      <c r="HC48" s="55"/>
      <c r="HD48" s="55"/>
      <c r="HE48" s="55"/>
      <c r="HF48" s="55"/>
      <c r="HG48" s="55"/>
      <c r="HH48" s="55"/>
      <c r="HI48" s="55"/>
      <c r="HJ48" s="55"/>
      <c r="HK48" s="55"/>
      <c r="HL48" s="55"/>
      <c r="HM48" s="55"/>
      <c r="HN48" s="55"/>
      <c r="HO48" s="55"/>
      <c r="HP48" s="55"/>
      <c r="HQ48" s="55"/>
      <c r="HR48" s="55"/>
      <c r="HS48" s="55"/>
      <c r="HT48" s="55"/>
      <c r="HU48" s="55"/>
      <c r="HV48" s="55"/>
      <c r="HW48" s="55"/>
      <c r="HX48" s="55"/>
      <c r="HY48" s="55"/>
      <c r="HZ48" s="55"/>
      <c r="IA48" s="55"/>
      <c r="IB48" s="55"/>
      <c r="IC48" s="55"/>
      <c r="ID48" s="55"/>
      <c r="IE48" s="55"/>
      <c r="IF48" s="55"/>
      <c r="IG48" s="55"/>
      <c r="IH48" s="55"/>
      <c r="II48" s="55"/>
      <c r="IJ48" s="55"/>
      <c r="IK48" s="55"/>
      <c r="IL48" s="55"/>
      <c r="IM48" s="55"/>
      <c r="IN48" s="55"/>
      <c r="IO48" s="55"/>
      <c r="IP48" s="55"/>
      <c r="IQ48" s="55"/>
      <c r="IR48" s="55"/>
      <c r="IS48" s="55"/>
      <c r="IT48" s="55"/>
      <c r="IU48" s="55"/>
      <c r="IV48" s="55"/>
      <c r="IW48" s="55"/>
      <c r="IX48" s="55"/>
      <c r="IY48" s="55"/>
      <c r="IZ48" s="55"/>
      <c r="JA48" s="55"/>
      <c r="JB48" s="55"/>
      <c r="JC48" s="55"/>
      <c r="JD48" s="55"/>
      <c r="JE48" s="55"/>
      <c r="JF48" s="55"/>
      <c r="JG48" s="55"/>
      <c r="JH48" s="55"/>
      <c r="JI48" s="55"/>
      <c r="JJ48" s="55"/>
      <c r="JK48" s="25"/>
      <c r="JL48" s="25"/>
      <c r="JM48" s="25"/>
      <c r="JN48" s="25"/>
      <c r="JO48" s="25"/>
      <c r="JP48" s="25"/>
      <c r="JQ48" s="25"/>
      <c r="JR48" s="25"/>
      <c r="JS48" s="25"/>
      <c r="JT48" s="25"/>
      <c r="JU48" s="25"/>
      <c r="JV48" s="25"/>
      <c r="JW48" s="25"/>
      <c r="JX48" s="25"/>
      <c r="JY48" s="25"/>
      <c r="JZ48" s="25"/>
      <c r="KA48" s="25"/>
      <c r="KB48" s="25"/>
      <c r="KC48" s="25"/>
      <c r="KD48" s="25"/>
      <c r="KE48" s="25"/>
      <c r="KF48" s="25"/>
      <c r="KG48" s="25"/>
      <c r="KH48" s="25"/>
      <c r="KI48" s="25"/>
      <c r="KJ48" s="25"/>
      <c r="KK48" s="25"/>
      <c r="KL48" s="25"/>
      <c r="KM48" s="25"/>
      <c r="KN48" s="25"/>
      <c r="KO48" s="25"/>
      <c r="KP48" s="25"/>
      <c r="KQ48" s="25"/>
      <c r="KR48" s="25"/>
      <c r="KS48" s="25"/>
      <c r="KT48" s="25"/>
      <c r="KU48" s="25"/>
      <c r="KV48" s="25"/>
      <c r="KW48" s="25"/>
      <c r="KX48" s="25"/>
      <c r="KY48" s="25"/>
      <c r="KZ48" s="25"/>
      <c r="LA48" s="25"/>
      <c r="LB48" s="25"/>
      <c r="LC48" s="25"/>
      <c r="LD48" s="25"/>
      <c r="LE48" s="25"/>
      <c r="LF48" s="25"/>
      <c r="LG48" s="25"/>
      <c r="LH48" s="25"/>
      <c r="LI48" s="25"/>
      <c r="LJ48" s="25"/>
      <c r="LK48" s="25"/>
      <c r="LL48" s="25"/>
      <c r="LM48" s="25"/>
      <c r="LN48" s="25"/>
      <c r="LO48" s="25"/>
      <c r="LP48" s="25"/>
      <c r="LQ48" s="25"/>
      <c r="LR48" s="25"/>
      <c r="LS48" s="166"/>
      <c r="LT48" s="166"/>
      <c r="LU48" s="166"/>
      <c r="LV48" s="166"/>
      <c r="LW48" s="166"/>
      <c r="LX48" s="166"/>
      <c r="LY48" s="166"/>
      <c r="LZ48" s="166"/>
      <c r="MA48" s="166"/>
      <c r="MB48" s="166"/>
      <c r="MC48" s="166"/>
      <c r="MD48" s="166"/>
      <c r="ME48" s="166"/>
      <c r="MF48" s="166"/>
      <c r="MG48" s="166"/>
      <c r="MH48" s="166"/>
      <c r="MI48" s="166"/>
      <c r="MJ48" s="166"/>
      <c r="MK48" s="166"/>
      <c r="ML48" s="166"/>
      <c r="MM48" s="166"/>
      <c r="MN48" s="166"/>
      <c r="MO48" s="166"/>
      <c r="MP48" s="166"/>
      <c r="MQ48" s="166"/>
      <c r="MR48" s="166"/>
      <c r="MS48" s="166"/>
      <c r="MT48" s="166"/>
      <c r="MU48" s="166"/>
      <c r="MV48" s="166"/>
      <c r="MW48" s="166"/>
      <c r="MX48" s="166"/>
      <c r="MY48" s="166"/>
      <c r="MZ48" s="166"/>
      <c r="NA48" s="166"/>
      <c r="NB48" s="166"/>
      <c r="NC48" s="166"/>
      <c r="ND48" s="166"/>
      <c r="NE48" s="166"/>
      <c r="NF48" s="166"/>
      <c r="NG48" s="166"/>
      <c r="NH48" s="166"/>
      <c r="NI48" s="166"/>
      <c r="NJ48" s="166"/>
      <c r="NK48" s="166"/>
      <c r="NL48" s="166"/>
      <c r="NM48" s="166"/>
      <c r="NN48" s="166"/>
      <c r="NO48" s="166"/>
      <c r="NP48" s="166"/>
      <c r="NQ48" s="166"/>
      <c r="NR48" s="166"/>
      <c r="NS48" s="166"/>
      <c r="NT48" s="166"/>
      <c r="NU48" s="166"/>
      <c r="NV48" s="166"/>
      <c r="NW48" s="166"/>
      <c r="NX48" s="166"/>
      <c r="NY48" s="166"/>
      <c r="NZ48" s="166"/>
      <c r="OA48" s="25"/>
      <c r="OB48" s="25"/>
      <c r="OC48" s="25"/>
      <c r="OD48" s="81"/>
      <c r="OE48" s="25"/>
      <c r="OF48" s="25"/>
      <c r="OG48" s="25"/>
      <c r="OH48" s="25"/>
      <c r="OI48" s="25"/>
      <c r="OJ48" s="25"/>
      <c r="OK48" s="25"/>
      <c r="OL48" s="25"/>
      <c r="OM48" s="25"/>
      <c r="ON48" s="25"/>
      <c r="OO48" s="25"/>
      <c r="OP48" s="25"/>
      <c r="OQ48" s="25"/>
      <c r="OR4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8" s="81"/>
      <c r="OT48" s="25"/>
      <c r="OU48" s="81"/>
      <c r="OV48" s="81"/>
    </row>
    <row r="49" spans="1:412" ht="12.5" x14ac:dyDescent="0.25">
      <c r="A49" s="25">
        <v>30</v>
      </c>
      <c r="B49" s="25" t="b">
        <f>NOT(ISBLANK(SEBBusinessDataTable[[#This Row],[SEBBusinessType]]))</f>
        <v>0</v>
      </c>
      <c r="C49" s="25"/>
      <c r="D49" s="25"/>
      <c r="E49" s="25"/>
      <c r="F49" s="25"/>
      <c r="G49" s="25"/>
      <c r="H49" s="25"/>
      <c r="I49" s="25"/>
      <c r="J49" s="25">
        <f>COUNTIF(SEBBusinessDataTable[[#This Row],[SEBAssociatedFlagApp1]:[SEBAssociatedFlagApp6]],"Yes")</f>
        <v>0</v>
      </c>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5"/>
      <c r="DD49" s="25"/>
      <c r="DE49" s="25"/>
      <c r="DF49" s="25"/>
      <c r="DG49" s="25"/>
      <c r="DH49" s="25"/>
      <c r="DI49" s="25"/>
      <c r="DJ49" s="25"/>
      <c r="DK49" s="25"/>
      <c r="DL49" s="25"/>
      <c r="DM49" s="25"/>
      <c r="DN49" s="25"/>
      <c r="DO49" s="55"/>
      <c r="DP49" s="55"/>
      <c r="DQ49" s="55"/>
      <c r="DR49" s="55"/>
      <c r="DS49" s="55"/>
      <c r="DT49" s="55"/>
      <c r="DU49" s="55"/>
      <c r="DV49" s="55"/>
      <c r="DW49" s="55"/>
      <c r="DX49" s="55"/>
      <c r="DY49" s="55"/>
      <c r="DZ49" s="55"/>
      <c r="EA49" s="25"/>
      <c r="EB49" s="25"/>
      <c r="EC49" s="25"/>
      <c r="ED49" s="25"/>
      <c r="EE49" s="25"/>
      <c r="EF49" s="25"/>
      <c r="EG49" s="25"/>
      <c r="EH49" s="25"/>
      <c r="EI49" s="25"/>
      <c r="EJ49" s="25"/>
      <c r="EK49" s="25"/>
      <c r="EL49" s="25"/>
      <c r="EM49" s="25"/>
      <c r="EN49" s="25"/>
      <c r="EO49" s="25"/>
      <c r="EP49" s="25"/>
      <c r="EQ49" s="25"/>
      <c r="ER49" s="25"/>
      <c r="ES49" s="25"/>
      <c r="ET49" s="25"/>
      <c r="EU49" s="25"/>
      <c r="EV49" s="25"/>
      <c r="EW49" s="25"/>
      <c r="EX49" s="25"/>
      <c r="EY49" s="25"/>
      <c r="EZ49" s="25"/>
      <c r="FA49" s="25"/>
      <c r="FB49" s="25"/>
      <c r="FC49" s="25"/>
      <c r="FD49" s="25"/>
      <c r="FE49" s="25"/>
      <c r="FF49" s="25"/>
      <c r="FG49" s="25"/>
      <c r="FH49" s="25"/>
      <c r="FI49" s="25"/>
      <c r="FJ49" s="25"/>
      <c r="FK49" s="25"/>
      <c r="FL49" s="25"/>
      <c r="FM49" s="25"/>
      <c r="FN49" s="25"/>
      <c r="FO49" s="25"/>
      <c r="FP49" s="25"/>
      <c r="FQ49" s="25"/>
      <c r="FR49" s="25"/>
      <c r="FS49" s="25"/>
      <c r="FT49" s="25"/>
      <c r="FU49" s="25"/>
      <c r="FV49" s="25"/>
      <c r="FW49" s="25"/>
      <c r="FX49" s="25"/>
      <c r="FY49" s="25"/>
      <c r="FZ49" s="25"/>
      <c r="GA49" s="25"/>
      <c r="GB49" s="25"/>
      <c r="GC49" s="25"/>
      <c r="GD49" s="25"/>
      <c r="GE49" s="25"/>
      <c r="GF49" s="25"/>
      <c r="GG49" s="25"/>
      <c r="GH49" s="25"/>
      <c r="GI49" s="25"/>
      <c r="GJ49" s="25"/>
      <c r="GK49" s="25"/>
      <c r="GL49" s="25"/>
      <c r="GM49" s="25"/>
      <c r="GN49" s="25"/>
      <c r="GO49" s="25"/>
      <c r="GP49" s="25"/>
      <c r="GQ49" s="25"/>
      <c r="GR49" s="25"/>
      <c r="GS49" s="25"/>
      <c r="GT49" s="25"/>
      <c r="GU49" s="25"/>
      <c r="GV49" s="25"/>
      <c r="GW49" s="25"/>
      <c r="GX49" s="25"/>
      <c r="GY49" s="25"/>
      <c r="GZ49" s="25"/>
      <c r="HA49" s="25"/>
      <c r="HB49" s="25"/>
      <c r="HC49" s="55"/>
      <c r="HD49" s="55"/>
      <c r="HE49" s="55"/>
      <c r="HF49" s="55"/>
      <c r="HG49" s="55"/>
      <c r="HH49" s="55"/>
      <c r="HI49" s="55"/>
      <c r="HJ49" s="55"/>
      <c r="HK49" s="55"/>
      <c r="HL49" s="55"/>
      <c r="HM49" s="55"/>
      <c r="HN49" s="55"/>
      <c r="HO49" s="55"/>
      <c r="HP49" s="55"/>
      <c r="HQ49" s="55"/>
      <c r="HR49" s="55"/>
      <c r="HS49" s="55"/>
      <c r="HT49" s="55"/>
      <c r="HU49" s="55"/>
      <c r="HV49" s="55"/>
      <c r="HW49" s="55"/>
      <c r="HX49" s="55"/>
      <c r="HY49" s="55"/>
      <c r="HZ49" s="55"/>
      <c r="IA49" s="55"/>
      <c r="IB49" s="55"/>
      <c r="IC49" s="55"/>
      <c r="ID49" s="55"/>
      <c r="IE49" s="55"/>
      <c r="IF49" s="55"/>
      <c r="IG49" s="55"/>
      <c r="IH49" s="55"/>
      <c r="II49" s="55"/>
      <c r="IJ49" s="55"/>
      <c r="IK49" s="55"/>
      <c r="IL49" s="55"/>
      <c r="IM49" s="55"/>
      <c r="IN49" s="55"/>
      <c r="IO49" s="55"/>
      <c r="IP49" s="55"/>
      <c r="IQ49" s="55"/>
      <c r="IR49" s="55"/>
      <c r="IS49" s="55"/>
      <c r="IT49" s="55"/>
      <c r="IU49" s="55"/>
      <c r="IV49" s="55"/>
      <c r="IW49" s="55"/>
      <c r="IX49" s="55"/>
      <c r="IY49" s="55"/>
      <c r="IZ49" s="55"/>
      <c r="JA49" s="55"/>
      <c r="JB49" s="55"/>
      <c r="JC49" s="55"/>
      <c r="JD49" s="55"/>
      <c r="JE49" s="55"/>
      <c r="JF49" s="55"/>
      <c r="JG49" s="55"/>
      <c r="JH49" s="55"/>
      <c r="JI49" s="55"/>
      <c r="JJ49" s="55"/>
      <c r="JK49" s="25"/>
      <c r="JL49" s="25"/>
      <c r="JM49" s="25"/>
      <c r="JN49" s="25"/>
      <c r="JO49" s="25"/>
      <c r="JP49" s="25"/>
      <c r="JQ49" s="25"/>
      <c r="JR49" s="25"/>
      <c r="JS49" s="25"/>
      <c r="JT49" s="25"/>
      <c r="JU49" s="25"/>
      <c r="JV49" s="25"/>
      <c r="JW49" s="25"/>
      <c r="JX49" s="25"/>
      <c r="JY49" s="25"/>
      <c r="JZ49" s="25"/>
      <c r="KA49" s="25"/>
      <c r="KB49" s="25"/>
      <c r="KC49" s="25"/>
      <c r="KD49" s="25"/>
      <c r="KE49" s="25"/>
      <c r="KF49" s="25"/>
      <c r="KG49" s="25"/>
      <c r="KH49" s="25"/>
      <c r="KI49" s="25"/>
      <c r="KJ49" s="25"/>
      <c r="KK49" s="25"/>
      <c r="KL49" s="25"/>
      <c r="KM49" s="25"/>
      <c r="KN49" s="25"/>
      <c r="KO49" s="25"/>
      <c r="KP49" s="25"/>
      <c r="KQ49" s="25"/>
      <c r="KR49" s="25"/>
      <c r="KS49" s="25"/>
      <c r="KT49" s="25"/>
      <c r="KU49" s="25"/>
      <c r="KV49" s="25"/>
      <c r="KW49" s="25"/>
      <c r="KX49" s="25"/>
      <c r="KY49" s="25"/>
      <c r="KZ49" s="25"/>
      <c r="LA49" s="25"/>
      <c r="LB49" s="25"/>
      <c r="LC49" s="25"/>
      <c r="LD49" s="25"/>
      <c r="LE49" s="25"/>
      <c r="LF49" s="25"/>
      <c r="LG49" s="25"/>
      <c r="LH49" s="25"/>
      <c r="LI49" s="25"/>
      <c r="LJ49" s="25"/>
      <c r="LK49" s="25"/>
      <c r="LL49" s="25"/>
      <c r="LM49" s="25"/>
      <c r="LN49" s="25"/>
      <c r="LO49" s="25"/>
      <c r="LP49" s="25"/>
      <c r="LQ49" s="25"/>
      <c r="LR49" s="25"/>
      <c r="LS49" s="166"/>
      <c r="LT49" s="166"/>
      <c r="LU49" s="166"/>
      <c r="LV49" s="166"/>
      <c r="LW49" s="166"/>
      <c r="LX49" s="166"/>
      <c r="LY49" s="166"/>
      <c r="LZ49" s="166"/>
      <c r="MA49" s="166"/>
      <c r="MB49" s="166"/>
      <c r="MC49" s="166"/>
      <c r="MD49" s="166"/>
      <c r="ME49" s="166"/>
      <c r="MF49" s="166"/>
      <c r="MG49" s="166"/>
      <c r="MH49" s="166"/>
      <c r="MI49" s="166"/>
      <c r="MJ49" s="166"/>
      <c r="MK49" s="166"/>
      <c r="ML49" s="166"/>
      <c r="MM49" s="166"/>
      <c r="MN49" s="166"/>
      <c r="MO49" s="166"/>
      <c r="MP49" s="166"/>
      <c r="MQ49" s="166"/>
      <c r="MR49" s="166"/>
      <c r="MS49" s="166"/>
      <c r="MT49" s="166"/>
      <c r="MU49" s="166"/>
      <c r="MV49" s="166"/>
      <c r="MW49" s="166"/>
      <c r="MX49" s="166"/>
      <c r="MY49" s="166"/>
      <c r="MZ49" s="166"/>
      <c r="NA49" s="166"/>
      <c r="NB49" s="166"/>
      <c r="NC49" s="166"/>
      <c r="ND49" s="166"/>
      <c r="NE49" s="166"/>
      <c r="NF49" s="166"/>
      <c r="NG49" s="166"/>
      <c r="NH49" s="166"/>
      <c r="NI49" s="166"/>
      <c r="NJ49" s="166"/>
      <c r="NK49" s="166"/>
      <c r="NL49" s="166"/>
      <c r="NM49" s="166"/>
      <c r="NN49" s="166"/>
      <c r="NO49" s="166"/>
      <c r="NP49" s="166"/>
      <c r="NQ49" s="166"/>
      <c r="NR49" s="166"/>
      <c r="NS49" s="166"/>
      <c r="NT49" s="166"/>
      <c r="NU49" s="166"/>
      <c r="NV49" s="166"/>
      <c r="NW49" s="166"/>
      <c r="NX49" s="166"/>
      <c r="NY49" s="166"/>
      <c r="NZ49" s="166"/>
      <c r="OA49" s="25"/>
      <c r="OB49" s="25"/>
      <c r="OC49" s="25"/>
      <c r="OD49" s="81"/>
      <c r="OE49" s="25"/>
      <c r="OF49" s="25"/>
      <c r="OG49" s="25"/>
      <c r="OH49" s="25"/>
      <c r="OI49" s="25"/>
      <c r="OJ49" s="25"/>
      <c r="OK49" s="25"/>
      <c r="OL49" s="25"/>
      <c r="OM49" s="25"/>
      <c r="ON49" s="25"/>
      <c r="OO49" s="25"/>
      <c r="OP49" s="25"/>
      <c r="OQ49" s="25"/>
      <c r="OR4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9" s="81"/>
      <c r="OT49" s="25"/>
      <c r="OU49" s="81"/>
      <c r="OV49" s="81"/>
    </row>
    <row r="50" spans="1:412" ht="12.5" x14ac:dyDescent="0.25">
      <c r="A50" s="25">
        <v>31</v>
      </c>
      <c r="B50" s="25" t="b">
        <f>NOT(ISBLANK(SEBBusinessDataTable[[#This Row],[SEBBusinessType]]))</f>
        <v>0</v>
      </c>
      <c r="C50" s="25"/>
      <c r="D50" s="25"/>
      <c r="E50" s="25"/>
      <c r="F50" s="25"/>
      <c r="G50" s="25"/>
      <c r="H50" s="25"/>
      <c r="I50" s="25"/>
      <c r="J50" s="25">
        <f>COUNTIF(SEBBusinessDataTable[[#This Row],[SEBAssociatedFlagApp1]:[SEBAssociatedFlagApp6]],"Yes")</f>
        <v>0</v>
      </c>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55"/>
      <c r="DP50" s="55"/>
      <c r="DQ50" s="55"/>
      <c r="DR50" s="55"/>
      <c r="DS50" s="55"/>
      <c r="DT50" s="55"/>
      <c r="DU50" s="55"/>
      <c r="DV50" s="55"/>
      <c r="DW50" s="55"/>
      <c r="DX50" s="55"/>
      <c r="DY50" s="55"/>
      <c r="DZ50" s="55"/>
      <c r="EA50" s="25"/>
      <c r="EB50" s="25"/>
      <c r="EC50" s="25"/>
      <c r="ED50" s="25"/>
      <c r="EE50" s="25"/>
      <c r="EF50" s="25"/>
      <c r="EG50" s="25"/>
      <c r="EH50" s="25"/>
      <c r="EI50" s="25"/>
      <c r="EJ50" s="25"/>
      <c r="EK50" s="25"/>
      <c r="EL50" s="25"/>
      <c r="EM50" s="25"/>
      <c r="EN50" s="25"/>
      <c r="EO50" s="25"/>
      <c r="EP50" s="25"/>
      <c r="EQ50" s="25"/>
      <c r="ER50" s="25"/>
      <c r="ES50" s="25"/>
      <c r="ET50" s="25"/>
      <c r="EU50" s="25"/>
      <c r="EV50" s="25"/>
      <c r="EW50" s="25"/>
      <c r="EX50" s="25"/>
      <c r="EY50" s="25"/>
      <c r="EZ50" s="25"/>
      <c r="FA50" s="25"/>
      <c r="FB50" s="25"/>
      <c r="FC50" s="25"/>
      <c r="FD50" s="25"/>
      <c r="FE50" s="25"/>
      <c r="FF50" s="25"/>
      <c r="FG50" s="25"/>
      <c r="FH50" s="25"/>
      <c r="FI50" s="25"/>
      <c r="FJ50" s="25"/>
      <c r="FK50" s="25"/>
      <c r="FL50" s="25"/>
      <c r="FM50" s="25"/>
      <c r="FN50" s="25"/>
      <c r="FO50" s="25"/>
      <c r="FP50" s="25"/>
      <c r="FQ50" s="25"/>
      <c r="FR50" s="25"/>
      <c r="FS50" s="25"/>
      <c r="FT50" s="25"/>
      <c r="FU50" s="25"/>
      <c r="FV50" s="25"/>
      <c r="FW50" s="25"/>
      <c r="FX50" s="25"/>
      <c r="FY50" s="25"/>
      <c r="FZ50" s="25"/>
      <c r="GA50" s="25"/>
      <c r="GB50" s="25"/>
      <c r="GC50" s="25"/>
      <c r="GD50" s="25"/>
      <c r="GE50" s="25"/>
      <c r="GF50" s="25"/>
      <c r="GG50" s="25"/>
      <c r="GH50" s="25"/>
      <c r="GI50" s="25"/>
      <c r="GJ50" s="25"/>
      <c r="GK50" s="25"/>
      <c r="GL50" s="25"/>
      <c r="GM50" s="25"/>
      <c r="GN50" s="25"/>
      <c r="GO50" s="25"/>
      <c r="GP50" s="25"/>
      <c r="GQ50" s="25"/>
      <c r="GR50" s="25"/>
      <c r="GS50" s="25"/>
      <c r="GT50" s="25"/>
      <c r="GU50" s="25"/>
      <c r="GV50" s="25"/>
      <c r="GW50" s="25"/>
      <c r="GX50" s="25"/>
      <c r="GY50" s="25"/>
      <c r="GZ50" s="25"/>
      <c r="HA50" s="25"/>
      <c r="HB50" s="25"/>
      <c r="HC50" s="55"/>
      <c r="HD50" s="55"/>
      <c r="HE50" s="55"/>
      <c r="HF50" s="55"/>
      <c r="HG50" s="55"/>
      <c r="HH50" s="55"/>
      <c r="HI50" s="55"/>
      <c r="HJ50" s="55"/>
      <c r="HK50" s="55"/>
      <c r="HL50" s="55"/>
      <c r="HM50" s="55"/>
      <c r="HN50" s="55"/>
      <c r="HO50" s="55"/>
      <c r="HP50" s="55"/>
      <c r="HQ50" s="55"/>
      <c r="HR50" s="55"/>
      <c r="HS50" s="55"/>
      <c r="HT50" s="55"/>
      <c r="HU50" s="55"/>
      <c r="HV50" s="55"/>
      <c r="HW50" s="55"/>
      <c r="HX50" s="55"/>
      <c r="HY50" s="55"/>
      <c r="HZ50" s="55"/>
      <c r="IA50" s="55"/>
      <c r="IB50" s="55"/>
      <c r="IC50" s="55"/>
      <c r="ID50" s="55"/>
      <c r="IE50" s="55"/>
      <c r="IF50" s="55"/>
      <c r="IG50" s="55"/>
      <c r="IH50" s="55"/>
      <c r="II50" s="55"/>
      <c r="IJ50" s="55"/>
      <c r="IK50" s="55"/>
      <c r="IL50" s="55"/>
      <c r="IM50" s="55"/>
      <c r="IN50" s="55"/>
      <c r="IO50" s="55"/>
      <c r="IP50" s="55"/>
      <c r="IQ50" s="55"/>
      <c r="IR50" s="55"/>
      <c r="IS50" s="55"/>
      <c r="IT50" s="55"/>
      <c r="IU50" s="55"/>
      <c r="IV50" s="55"/>
      <c r="IW50" s="55"/>
      <c r="IX50" s="55"/>
      <c r="IY50" s="55"/>
      <c r="IZ50" s="55"/>
      <c r="JA50" s="55"/>
      <c r="JB50" s="55"/>
      <c r="JC50" s="55"/>
      <c r="JD50" s="55"/>
      <c r="JE50" s="55"/>
      <c r="JF50" s="55"/>
      <c r="JG50" s="55"/>
      <c r="JH50" s="55"/>
      <c r="JI50" s="55"/>
      <c r="JJ50" s="55"/>
      <c r="JK50" s="25"/>
      <c r="JL50" s="25"/>
      <c r="JM50" s="25"/>
      <c r="JN50" s="25"/>
      <c r="JO50" s="25"/>
      <c r="JP50" s="25"/>
      <c r="JQ50" s="25"/>
      <c r="JR50" s="25"/>
      <c r="JS50" s="25"/>
      <c r="JT50" s="25"/>
      <c r="JU50" s="25"/>
      <c r="JV50" s="25"/>
      <c r="JW50" s="25"/>
      <c r="JX50" s="25"/>
      <c r="JY50" s="25"/>
      <c r="JZ50" s="25"/>
      <c r="KA50" s="25"/>
      <c r="KB50" s="25"/>
      <c r="KC50" s="25"/>
      <c r="KD50" s="25"/>
      <c r="KE50" s="25"/>
      <c r="KF50" s="25"/>
      <c r="KG50" s="25"/>
      <c r="KH50" s="25"/>
      <c r="KI50" s="25"/>
      <c r="KJ50" s="25"/>
      <c r="KK50" s="25"/>
      <c r="KL50" s="25"/>
      <c r="KM50" s="25"/>
      <c r="KN50" s="25"/>
      <c r="KO50" s="25"/>
      <c r="KP50" s="25"/>
      <c r="KQ50" s="25"/>
      <c r="KR50" s="25"/>
      <c r="KS50" s="25"/>
      <c r="KT50" s="25"/>
      <c r="KU50" s="25"/>
      <c r="KV50" s="25"/>
      <c r="KW50" s="25"/>
      <c r="KX50" s="25"/>
      <c r="KY50" s="25"/>
      <c r="KZ50" s="25"/>
      <c r="LA50" s="25"/>
      <c r="LB50" s="25"/>
      <c r="LC50" s="25"/>
      <c r="LD50" s="25"/>
      <c r="LE50" s="25"/>
      <c r="LF50" s="25"/>
      <c r="LG50" s="25"/>
      <c r="LH50" s="25"/>
      <c r="LI50" s="25"/>
      <c r="LJ50" s="25"/>
      <c r="LK50" s="25"/>
      <c r="LL50" s="25"/>
      <c r="LM50" s="25"/>
      <c r="LN50" s="25"/>
      <c r="LO50" s="25"/>
      <c r="LP50" s="25"/>
      <c r="LQ50" s="25"/>
      <c r="LR50" s="25"/>
      <c r="LS50" s="166"/>
      <c r="LT50" s="166"/>
      <c r="LU50" s="166"/>
      <c r="LV50" s="166"/>
      <c r="LW50" s="166"/>
      <c r="LX50" s="166"/>
      <c r="LY50" s="166"/>
      <c r="LZ50" s="166"/>
      <c r="MA50" s="166"/>
      <c r="MB50" s="166"/>
      <c r="MC50" s="166"/>
      <c r="MD50" s="166"/>
      <c r="ME50" s="166"/>
      <c r="MF50" s="166"/>
      <c r="MG50" s="166"/>
      <c r="MH50" s="166"/>
      <c r="MI50" s="166"/>
      <c r="MJ50" s="166"/>
      <c r="MK50" s="166"/>
      <c r="ML50" s="166"/>
      <c r="MM50" s="166"/>
      <c r="MN50" s="166"/>
      <c r="MO50" s="166"/>
      <c r="MP50" s="166"/>
      <c r="MQ50" s="166"/>
      <c r="MR50" s="166"/>
      <c r="MS50" s="166"/>
      <c r="MT50" s="166"/>
      <c r="MU50" s="166"/>
      <c r="MV50" s="166"/>
      <c r="MW50" s="166"/>
      <c r="MX50" s="166"/>
      <c r="MY50" s="166"/>
      <c r="MZ50" s="166"/>
      <c r="NA50" s="166"/>
      <c r="NB50" s="166"/>
      <c r="NC50" s="166"/>
      <c r="ND50" s="166"/>
      <c r="NE50" s="166"/>
      <c r="NF50" s="166"/>
      <c r="NG50" s="166"/>
      <c r="NH50" s="166"/>
      <c r="NI50" s="166"/>
      <c r="NJ50" s="166"/>
      <c r="NK50" s="166"/>
      <c r="NL50" s="166"/>
      <c r="NM50" s="166"/>
      <c r="NN50" s="166"/>
      <c r="NO50" s="166"/>
      <c r="NP50" s="166"/>
      <c r="NQ50" s="166"/>
      <c r="NR50" s="166"/>
      <c r="NS50" s="166"/>
      <c r="NT50" s="166"/>
      <c r="NU50" s="166"/>
      <c r="NV50" s="166"/>
      <c r="NW50" s="166"/>
      <c r="NX50" s="166"/>
      <c r="NY50" s="166"/>
      <c r="NZ50" s="166"/>
      <c r="OA50" s="25"/>
      <c r="OB50" s="25"/>
      <c r="OC50" s="25"/>
      <c r="OD50" s="81"/>
      <c r="OE50" s="25"/>
      <c r="OF50" s="25"/>
      <c r="OG50" s="25"/>
      <c r="OH50" s="25"/>
      <c r="OI50" s="25"/>
      <c r="OJ50" s="25"/>
      <c r="OK50" s="25"/>
      <c r="OL50" s="25"/>
      <c r="OM50" s="25"/>
      <c r="ON50" s="25"/>
      <c r="OO50" s="25"/>
      <c r="OP50" s="25"/>
      <c r="OQ50" s="25"/>
      <c r="OR5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0" s="81"/>
      <c r="OT50" s="25"/>
      <c r="OU50" s="81"/>
      <c r="OV50" s="81"/>
    </row>
    <row r="51" spans="1:412" ht="12.5" x14ac:dyDescent="0.25">
      <c r="A51" s="25">
        <v>32</v>
      </c>
      <c r="B51" s="25" t="b">
        <f>NOT(ISBLANK(SEBBusinessDataTable[[#This Row],[SEBBusinessType]]))</f>
        <v>0</v>
      </c>
      <c r="C51" s="25"/>
      <c r="D51" s="25"/>
      <c r="E51" s="25"/>
      <c r="F51" s="25"/>
      <c r="G51" s="25"/>
      <c r="H51" s="25"/>
      <c r="I51" s="25"/>
      <c r="J51" s="25">
        <f>COUNTIF(SEBBusinessDataTable[[#This Row],[SEBAssociatedFlagApp1]:[SEBAssociatedFlagApp6]],"Yes")</f>
        <v>0</v>
      </c>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5"/>
      <c r="DD51" s="25"/>
      <c r="DE51" s="25"/>
      <c r="DF51" s="25"/>
      <c r="DG51" s="25"/>
      <c r="DH51" s="25"/>
      <c r="DI51" s="25"/>
      <c r="DJ51" s="25"/>
      <c r="DK51" s="25"/>
      <c r="DL51" s="25"/>
      <c r="DM51" s="25"/>
      <c r="DN51" s="25"/>
      <c r="DO51" s="55"/>
      <c r="DP51" s="55"/>
      <c r="DQ51" s="55"/>
      <c r="DR51" s="55"/>
      <c r="DS51" s="55"/>
      <c r="DT51" s="55"/>
      <c r="DU51" s="55"/>
      <c r="DV51" s="55"/>
      <c r="DW51" s="55"/>
      <c r="DX51" s="55"/>
      <c r="DY51" s="55"/>
      <c r="DZ51" s="55"/>
      <c r="EA51" s="25"/>
      <c r="EB51" s="25"/>
      <c r="EC51" s="25"/>
      <c r="ED51" s="25"/>
      <c r="EE51" s="25"/>
      <c r="EF51" s="25"/>
      <c r="EG51" s="25"/>
      <c r="EH51" s="25"/>
      <c r="EI51" s="25"/>
      <c r="EJ51" s="25"/>
      <c r="EK51" s="25"/>
      <c r="EL51" s="25"/>
      <c r="EM51" s="25"/>
      <c r="EN51" s="25"/>
      <c r="EO51" s="25"/>
      <c r="EP51" s="25"/>
      <c r="EQ51" s="25"/>
      <c r="ER51" s="25"/>
      <c r="ES51" s="25"/>
      <c r="ET51" s="25"/>
      <c r="EU51" s="25"/>
      <c r="EV51" s="25"/>
      <c r="EW51" s="25"/>
      <c r="EX51" s="25"/>
      <c r="EY51" s="25"/>
      <c r="EZ51" s="25"/>
      <c r="FA51" s="25"/>
      <c r="FB51" s="25"/>
      <c r="FC51" s="25"/>
      <c r="FD51" s="25"/>
      <c r="FE51" s="25"/>
      <c r="FF51" s="25"/>
      <c r="FG51" s="25"/>
      <c r="FH51" s="25"/>
      <c r="FI51" s="25"/>
      <c r="FJ51" s="25"/>
      <c r="FK51" s="25"/>
      <c r="FL51" s="25"/>
      <c r="FM51" s="25"/>
      <c r="FN51" s="25"/>
      <c r="FO51" s="25"/>
      <c r="FP51" s="25"/>
      <c r="FQ51" s="25"/>
      <c r="FR51" s="25"/>
      <c r="FS51" s="25"/>
      <c r="FT51" s="25"/>
      <c r="FU51" s="25"/>
      <c r="FV51" s="25"/>
      <c r="FW51" s="25"/>
      <c r="FX51" s="25"/>
      <c r="FY51" s="25"/>
      <c r="FZ51" s="25"/>
      <c r="GA51" s="25"/>
      <c r="GB51" s="25"/>
      <c r="GC51" s="25"/>
      <c r="GD51" s="25"/>
      <c r="GE51" s="25"/>
      <c r="GF51" s="25"/>
      <c r="GG51" s="25"/>
      <c r="GH51" s="25"/>
      <c r="GI51" s="25"/>
      <c r="GJ51" s="25"/>
      <c r="GK51" s="25"/>
      <c r="GL51" s="25"/>
      <c r="GM51" s="25"/>
      <c r="GN51" s="25"/>
      <c r="GO51" s="25"/>
      <c r="GP51" s="25"/>
      <c r="GQ51" s="25"/>
      <c r="GR51" s="25"/>
      <c r="GS51" s="25"/>
      <c r="GT51" s="25"/>
      <c r="GU51" s="25"/>
      <c r="GV51" s="25"/>
      <c r="GW51" s="25"/>
      <c r="GX51" s="25"/>
      <c r="GY51" s="25"/>
      <c r="GZ51" s="25"/>
      <c r="HA51" s="25"/>
      <c r="HB51" s="25"/>
      <c r="HC51" s="55"/>
      <c r="HD51" s="55"/>
      <c r="HE51" s="55"/>
      <c r="HF51" s="55"/>
      <c r="HG51" s="55"/>
      <c r="HH51" s="55"/>
      <c r="HI51" s="55"/>
      <c r="HJ51" s="55"/>
      <c r="HK51" s="55"/>
      <c r="HL51" s="55"/>
      <c r="HM51" s="55"/>
      <c r="HN51" s="55"/>
      <c r="HO51" s="55"/>
      <c r="HP51" s="55"/>
      <c r="HQ51" s="55"/>
      <c r="HR51" s="55"/>
      <c r="HS51" s="55"/>
      <c r="HT51" s="55"/>
      <c r="HU51" s="55"/>
      <c r="HV51" s="55"/>
      <c r="HW51" s="55"/>
      <c r="HX51" s="55"/>
      <c r="HY51" s="55"/>
      <c r="HZ51" s="55"/>
      <c r="IA51" s="55"/>
      <c r="IB51" s="55"/>
      <c r="IC51" s="55"/>
      <c r="ID51" s="55"/>
      <c r="IE51" s="55"/>
      <c r="IF51" s="55"/>
      <c r="IG51" s="55"/>
      <c r="IH51" s="55"/>
      <c r="II51" s="55"/>
      <c r="IJ51" s="55"/>
      <c r="IK51" s="55"/>
      <c r="IL51" s="55"/>
      <c r="IM51" s="55"/>
      <c r="IN51" s="55"/>
      <c r="IO51" s="55"/>
      <c r="IP51" s="55"/>
      <c r="IQ51" s="55"/>
      <c r="IR51" s="55"/>
      <c r="IS51" s="55"/>
      <c r="IT51" s="55"/>
      <c r="IU51" s="55"/>
      <c r="IV51" s="55"/>
      <c r="IW51" s="55"/>
      <c r="IX51" s="55"/>
      <c r="IY51" s="55"/>
      <c r="IZ51" s="55"/>
      <c r="JA51" s="55"/>
      <c r="JB51" s="55"/>
      <c r="JC51" s="55"/>
      <c r="JD51" s="55"/>
      <c r="JE51" s="55"/>
      <c r="JF51" s="55"/>
      <c r="JG51" s="55"/>
      <c r="JH51" s="55"/>
      <c r="JI51" s="55"/>
      <c r="JJ51" s="55"/>
      <c r="JK51" s="25"/>
      <c r="JL51" s="25"/>
      <c r="JM51" s="25"/>
      <c r="JN51" s="25"/>
      <c r="JO51" s="25"/>
      <c r="JP51" s="25"/>
      <c r="JQ51" s="25"/>
      <c r="JR51" s="25"/>
      <c r="JS51" s="25"/>
      <c r="JT51" s="25"/>
      <c r="JU51" s="25"/>
      <c r="JV51" s="25"/>
      <c r="JW51" s="25"/>
      <c r="JX51" s="25"/>
      <c r="JY51" s="25"/>
      <c r="JZ51" s="25"/>
      <c r="KA51" s="25"/>
      <c r="KB51" s="25"/>
      <c r="KC51" s="25"/>
      <c r="KD51" s="25"/>
      <c r="KE51" s="25"/>
      <c r="KF51" s="25"/>
      <c r="KG51" s="25"/>
      <c r="KH51" s="25"/>
      <c r="KI51" s="25"/>
      <c r="KJ51" s="25"/>
      <c r="KK51" s="25"/>
      <c r="KL51" s="25"/>
      <c r="KM51" s="25"/>
      <c r="KN51" s="25"/>
      <c r="KO51" s="25"/>
      <c r="KP51" s="25"/>
      <c r="KQ51" s="25"/>
      <c r="KR51" s="25"/>
      <c r="KS51" s="25"/>
      <c r="KT51" s="25"/>
      <c r="KU51" s="25"/>
      <c r="KV51" s="25"/>
      <c r="KW51" s="25"/>
      <c r="KX51" s="25"/>
      <c r="KY51" s="25"/>
      <c r="KZ51" s="25"/>
      <c r="LA51" s="25"/>
      <c r="LB51" s="25"/>
      <c r="LC51" s="25"/>
      <c r="LD51" s="25"/>
      <c r="LE51" s="25"/>
      <c r="LF51" s="25"/>
      <c r="LG51" s="25"/>
      <c r="LH51" s="25"/>
      <c r="LI51" s="25"/>
      <c r="LJ51" s="25"/>
      <c r="LK51" s="25"/>
      <c r="LL51" s="25"/>
      <c r="LM51" s="25"/>
      <c r="LN51" s="25"/>
      <c r="LO51" s="25"/>
      <c r="LP51" s="25"/>
      <c r="LQ51" s="25"/>
      <c r="LR51" s="25"/>
      <c r="LS51" s="166"/>
      <c r="LT51" s="166"/>
      <c r="LU51" s="166"/>
      <c r="LV51" s="166"/>
      <c r="LW51" s="166"/>
      <c r="LX51" s="166"/>
      <c r="LY51" s="166"/>
      <c r="LZ51" s="166"/>
      <c r="MA51" s="166"/>
      <c r="MB51" s="166"/>
      <c r="MC51" s="166"/>
      <c r="MD51" s="166"/>
      <c r="ME51" s="166"/>
      <c r="MF51" s="166"/>
      <c r="MG51" s="166"/>
      <c r="MH51" s="166"/>
      <c r="MI51" s="166"/>
      <c r="MJ51" s="166"/>
      <c r="MK51" s="166"/>
      <c r="ML51" s="166"/>
      <c r="MM51" s="166"/>
      <c r="MN51" s="166"/>
      <c r="MO51" s="166"/>
      <c r="MP51" s="166"/>
      <c r="MQ51" s="166"/>
      <c r="MR51" s="166"/>
      <c r="MS51" s="166"/>
      <c r="MT51" s="166"/>
      <c r="MU51" s="166"/>
      <c r="MV51" s="166"/>
      <c r="MW51" s="166"/>
      <c r="MX51" s="166"/>
      <c r="MY51" s="166"/>
      <c r="MZ51" s="166"/>
      <c r="NA51" s="166"/>
      <c r="NB51" s="166"/>
      <c r="NC51" s="166"/>
      <c r="ND51" s="166"/>
      <c r="NE51" s="166"/>
      <c r="NF51" s="166"/>
      <c r="NG51" s="166"/>
      <c r="NH51" s="166"/>
      <c r="NI51" s="166"/>
      <c r="NJ51" s="166"/>
      <c r="NK51" s="166"/>
      <c r="NL51" s="166"/>
      <c r="NM51" s="166"/>
      <c r="NN51" s="166"/>
      <c r="NO51" s="166"/>
      <c r="NP51" s="166"/>
      <c r="NQ51" s="166"/>
      <c r="NR51" s="166"/>
      <c r="NS51" s="166"/>
      <c r="NT51" s="166"/>
      <c r="NU51" s="166"/>
      <c r="NV51" s="166"/>
      <c r="NW51" s="166"/>
      <c r="NX51" s="166"/>
      <c r="NY51" s="166"/>
      <c r="NZ51" s="166"/>
      <c r="OA51" s="25"/>
      <c r="OB51" s="25"/>
      <c r="OC51" s="25"/>
      <c r="OD51" s="81"/>
      <c r="OE51" s="25"/>
      <c r="OF51" s="25"/>
      <c r="OG51" s="25"/>
      <c r="OH51" s="25"/>
      <c r="OI51" s="25"/>
      <c r="OJ51" s="25"/>
      <c r="OK51" s="25"/>
      <c r="OL51" s="25"/>
      <c r="OM51" s="25"/>
      <c r="ON51" s="25"/>
      <c r="OO51" s="25"/>
      <c r="OP51" s="25"/>
      <c r="OQ51" s="25"/>
      <c r="OR5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1" s="81"/>
      <c r="OT51" s="25"/>
      <c r="OU51" s="81"/>
      <c r="OV51" s="81"/>
    </row>
    <row r="52" spans="1:412" ht="12.5" x14ac:dyDescent="0.25">
      <c r="A52" s="25">
        <v>33</v>
      </c>
      <c r="B52" s="25" t="b">
        <f>NOT(ISBLANK(SEBBusinessDataTable[[#This Row],[SEBBusinessType]]))</f>
        <v>0</v>
      </c>
      <c r="C52" s="25"/>
      <c r="D52" s="25"/>
      <c r="E52" s="25"/>
      <c r="F52" s="25"/>
      <c r="G52" s="25"/>
      <c r="H52" s="25"/>
      <c r="I52" s="25"/>
      <c r="J52" s="25">
        <f>COUNTIF(SEBBusinessDataTable[[#This Row],[SEBAssociatedFlagApp1]:[SEBAssociatedFlagApp6]],"Yes")</f>
        <v>0</v>
      </c>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5"/>
      <c r="DD52" s="25"/>
      <c r="DE52" s="25"/>
      <c r="DF52" s="25"/>
      <c r="DG52" s="25"/>
      <c r="DH52" s="25"/>
      <c r="DI52" s="25"/>
      <c r="DJ52" s="25"/>
      <c r="DK52" s="25"/>
      <c r="DL52" s="25"/>
      <c r="DM52" s="25"/>
      <c r="DN52" s="25"/>
      <c r="DO52" s="55"/>
      <c r="DP52" s="55"/>
      <c r="DQ52" s="55"/>
      <c r="DR52" s="55"/>
      <c r="DS52" s="55"/>
      <c r="DT52" s="55"/>
      <c r="DU52" s="55"/>
      <c r="DV52" s="55"/>
      <c r="DW52" s="55"/>
      <c r="DX52" s="55"/>
      <c r="DY52" s="55"/>
      <c r="DZ52" s="55"/>
      <c r="EA52" s="25"/>
      <c r="EB52" s="25"/>
      <c r="EC52" s="25"/>
      <c r="ED52" s="25"/>
      <c r="EE52" s="25"/>
      <c r="EF52" s="25"/>
      <c r="EG52" s="25"/>
      <c r="EH52" s="25"/>
      <c r="EI52" s="25"/>
      <c r="EJ52" s="25"/>
      <c r="EK52" s="25"/>
      <c r="EL52" s="25"/>
      <c r="EM52" s="25"/>
      <c r="EN52" s="25"/>
      <c r="EO52" s="25"/>
      <c r="EP52" s="25"/>
      <c r="EQ52" s="25"/>
      <c r="ER52" s="25"/>
      <c r="ES52" s="25"/>
      <c r="ET52" s="25"/>
      <c r="EU52" s="25"/>
      <c r="EV52" s="25"/>
      <c r="EW52" s="25"/>
      <c r="EX52" s="25"/>
      <c r="EY52" s="25"/>
      <c r="EZ52" s="25"/>
      <c r="FA52" s="25"/>
      <c r="FB52" s="25"/>
      <c r="FC52" s="25"/>
      <c r="FD52" s="25"/>
      <c r="FE52" s="25"/>
      <c r="FF52" s="25"/>
      <c r="FG52" s="25"/>
      <c r="FH52" s="25"/>
      <c r="FI52" s="25"/>
      <c r="FJ52" s="25"/>
      <c r="FK52" s="25"/>
      <c r="FL52" s="25"/>
      <c r="FM52" s="25"/>
      <c r="FN52" s="25"/>
      <c r="FO52" s="25"/>
      <c r="FP52" s="25"/>
      <c r="FQ52" s="25"/>
      <c r="FR52" s="25"/>
      <c r="FS52" s="25"/>
      <c r="FT52" s="25"/>
      <c r="FU52" s="25"/>
      <c r="FV52" s="25"/>
      <c r="FW52" s="25"/>
      <c r="FX52" s="25"/>
      <c r="FY52" s="25"/>
      <c r="FZ52" s="25"/>
      <c r="GA52" s="25"/>
      <c r="GB52" s="25"/>
      <c r="GC52" s="25"/>
      <c r="GD52" s="25"/>
      <c r="GE52" s="25"/>
      <c r="GF52" s="25"/>
      <c r="GG52" s="25"/>
      <c r="GH52" s="25"/>
      <c r="GI52" s="25"/>
      <c r="GJ52" s="25"/>
      <c r="GK52" s="25"/>
      <c r="GL52" s="25"/>
      <c r="GM52" s="25"/>
      <c r="GN52" s="25"/>
      <c r="GO52" s="25"/>
      <c r="GP52" s="25"/>
      <c r="GQ52" s="25"/>
      <c r="GR52" s="25"/>
      <c r="GS52" s="25"/>
      <c r="GT52" s="25"/>
      <c r="GU52" s="25"/>
      <c r="GV52" s="25"/>
      <c r="GW52" s="25"/>
      <c r="GX52" s="25"/>
      <c r="GY52" s="25"/>
      <c r="GZ52" s="25"/>
      <c r="HA52" s="25"/>
      <c r="HB52" s="25"/>
      <c r="HC52" s="55"/>
      <c r="HD52" s="55"/>
      <c r="HE52" s="55"/>
      <c r="HF52" s="55"/>
      <c r="HG52" s="55"/>
      <c r="HH52" s="55"/>
      <c r="HI52" s="55"/>
      <c r="HJ52" s="55"/>
      <c r="HK52" s="55"/>
      <c r="HL52" s="55"/>
      <c r="HM52" s="55"/>
      <c r="HN52" s="55"/>
      <c r="HO52" s="55"/>
      <c r="HP52" s="55"/>
      <c r="HQ52" s="55"/>
      <c r="HR52" s="55"/>
      <c r="HS52" s="55"/>
      <c r="HT52" s="55"/>
      <c r="HU52" s="55"/>
      <c r="HV52" s="55"/>
      <c r="HW52" s="55"/>
      <c r="HX52" s="55"/>
      <c r="HY52" s="55"/>
      <c r="HZ52" s="55"/>
      <c r="IA52" s="55"/>
      <c r="IB52" s="55"/>
      <c r="IC52" s="55"/>
      <c r="ID52" s="55"/>
      <c r="IE52" s="55"/>
      <c r="IF52" s="55"/>
      <c r="IG52" s="55"/>
      <c r="IH52" s="55"/>
      <c r="II52" s="55"/>
      <c r="IJ52" s="55"/>
      <c r="IK52" s="55"/>
      <c r="IL52" s="55"/>
      <c r="IM52" s="55"/>
      <c r="IN52" s="55"/>
      <c r="IO52" s="55"/>
      <c r="IP52" s="55"/>
      <c r="IQ52" s="55"/>
      <c r="IR52" s="55"/>
      <c r="IS52" s="55"/>
      <c r="IT52" s="55"/>
      <c r="IU52" s="55"/>
      <c r="IV52" s="55"/>
      <c r="IW52" s="55"/>
      <c r="IX52" s="55"/>
      <c r="IY52" s="55"/>
      <c r="IZ52" s="55"/>
      <c r="JA52" s="55"/>
      <c r="JB52" s="55"/>
      <c r="JC52" s="55"/>
      <c r="JD52" s="55"/>
      <c r="JE52" s="55"/>
      <c r="JF52" s="55"/>
      <c r="JG52" s="55"/>
      <c r="JH52" s="55"/>
      <c r="JI52" s="55"/>
      <c r="JJ52" s="55"/>
      <c r="JK52" s="25"/>
      <c r="JL52" s="25"/>
      <c r="JM52" s="25"/>
      <c r="JN52" s="25"/>
      <c r="JO52" s="25"/>
      <c r="JP52" s="25"/>
      <c r="JQ52" s="25"/>
      <c r="JR52" s="25"/>
      <c r="JS52" s="25"/>
      <c r="JT52" s="25"/>
      <c r="JU52" s="25"/>
      <c r="JV52" s="25"/>
      <c r="JW52" s="25"/>
      <c r="JX52" s="25"/>
      <c r="JY52" s="25"/>
      <c r="JZ52" s="25"/>
      <c r="KA52" s="25"/>
      <c r="KB52" s="25"/>
      <c r="KC52" s="25"/>
      <c r="KD52" s="25"/>
      <c r="KE52" s="25"/>
      <c r="KF52" s="25"/>
      <c r="KG52" s="25"/>
      <c r="KH52" s="25"/>
      <c r="KI52" s="25"/>
      <c r="KJ52" s="25"/>
      <c r="KK52" s="25"/>
      <c r="KL52" s="25"/>
      <c r="KM52" s="25"/>
      <c r="KN52" s="25"/>
      <c r="KO52" s="25"/>
      <c r="KP52" s="25"/>
      <c r="KQ52" s="25"/>
      <c r="KR52" s="25"/>
      <c r="KS52" s="25"/>
      <c r="KT52" s="25"/>
      <c r="KU52" s="25"/>
      <c r="KV52" s="25"/>
      <c r="KW52" s="25"/>
      <c r="KX52" s="25"/>
      <c r="KY52" s="25"/>
      <c r="KZ52" s="25"/>
      <c r="LA52" s="25"/>
      <c r="LB52" s="25"/>
      <c r="LC52" s="25"/>
      <c r="LD52" s="25"/>
      <c r="LE52" s="25"/>
      <c r="LF52" s="25"/>
      <c r="LG52" s="25"/>
      <c r="LH52" s="25"/>
      <c r="LI52" s="25"/>
      <c r="LJ52" s="25"/>
      <c r="LK52" s="25"/>
      <c r="LL52" s="25"/>
      <c r="LM52" s="25"/>
      <c r="LN52" s="25"/>
      <c r="LO52" s="25"/>
      <c r="LP52" s="25"/>
      <c r="LQ52" s="25"/>
      <c r="LR52" s="25"/>
      <c r="LS52" s="166"/>
      <c r="LT52" s="166"/>
      <c r="LU52" s="166"/>
      <c r="LV52" s="166"/>
      <c r="LW52" s="166"/>
      <c r="LX52" s="166"/>
      <c r="LY52" s="166"/>
      <c r="LZ52" s="166"/>
      <c r="MA52" s="166"/>
      <c r="MB52" s="166"/>
      <c r="MC52" s="166"/>
      <c r="MD52" s="166"/>
      <c r="ME52" s="166"/>
      <c r="MF52" s="166"/>
      <c r="MG52" s="166"/>
      <c r="MH52" s="166"/>
      <c r="MI52" s="166"/>
      <c r="MJ52" s="166"/>
      <c r="MK52" s="166"/>
      <c r="ML52" s="166"/>
      <c r="MM52" s="166"/>
      <c r="MN52" s="166"/>
      <c r="MO52" s="166"/>
      <c r="MP52" s="166"/>
      <c r="MQ52" s="166"/>
      <c r="MR52" s="166"/>
      <c r="MS52" s="166"/>
      <c r="MT52" s="166"/>
      <c r="MU52" s="166"/>
      <c r="MV52" s="166"/>
      <c r="MW52" s="166"/>
      <c r="MX52" s="166"/>
      <c r="MY52" s="166"/>
      <c r="MZ52" s="166"/>
      <c r="NA52" s="166"/>
      <c r="NB52" s="166"/>
      <c r="NC52" s="166"/>
      <c r="ND52" s="166"/>
      <c r="NE52" s="166"/>
      <c r="NF52" s="166"/>
      <c r="NG52" s="166"/>
      <c r="NH52" s="166"/>
      <c r="NI52" s="166"/>
      <c r="NJ52" s="166"/>
      <c r="NK52" s="166"/>
      <c r="NL52" s="166"/>
      <c r="NM52" s="166"/>
      <c r="NN52" s="166"/>
      <c r="NO52" s="166"/>
      <c r="NP52" s="166"/>
      <c r="NQ52" s="166"/>
      <c r="NR52" s="166"/>
      <c r="NS52" s="166"/>
      <c r="NT52" s="166"/>
      <c r="NU52" s="166"/>
      <c r="NV52" s="166"/>
      <c r="NW52" s="166"/>
      <c r="NX52" s="166"/>
      <c r="NY52" s="166"/>
      <c r="NZ52" s="166"/>
      <c r="OA52" s="25"/>
      <c r="OB52" s="25"/>
      <c r="OC52" s="25"/>
      <c r="OD52" s="81"/>
      <c r="OE52" s="25"/>
      <c r="OF52" s="25"/>
      <c r="OG52" s="25"/>
      <c r="OH52" s="25"/>
      <c r="OI52" s="25"/>
      <c r="OJ52" s="25"/>
      <c r="OK52" s="25"/>
      <c r="OL52" s="25"/>
      <c r="OM52" s="25"/>
      <c r="ON52" s="25"/>
      <c r="OO52" s="25"/>
      <c r="OP52" s="25"/>
      <c r="OQ52" s="25"/>
      <c r="OR5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2" s="81"/>
      <c r="OT52" s="25"/>
      <c r="OU52" s="81"/>
      <c r="OV52" s="81"/>
    </row>
    <row r="53" spans="1:412" ht="12.5" x14ac:dyDescent="0.25">
      <c r="A53" s="25">
        <v>34</v>
      </c>
      <c r="B53" s="25" t="b">
        <f>NOT(ISBLANK(SEBBusinessDataTable[[#This Row],[SEBBusinessType]]))</f>
        <v>0</v>
      </c>
      <c r="C53" s="25"/>
      <c r="D53" s="25"/>
      <c r="E53" s="25"/>
      <c r="F53" s="25"/>
      <c r="G53" s="25"/>
      <c r="H53" s="25"/>
      <c r="I53" s="25"/>
      <c r="J53" s="25">
        <f>COUNTIF(SEBBusinessDataTable[[#This Row],[SEBAssociatedFlagApp1]:[SEBAssociatedFlagApp6]],"Yes")</f>
        <v>0</v>
      </c>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55"/>
      <c r="DP53" s="55"/>
      <c r="DQ53" s="55"/>
      <c r="DR53" s="55"/>
      <c r="DS53" s="55"/>
      <c r="DT53" s="55"/>
      <c r="DU53" s="55"/>
      <c r="DV53" s="55"/>
      <c r="DW53" s="55"/>
      <c r="DX53" s="55"/>
      <c r="DY53" s="55"/>
      <c r="DZ53" s="5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c r="GQ53" s="25"/>
      <c r="GR53" s="25"/>
      <c r="GS53" s="25"/>
      <c r="GT53" s="25"/>
      <c r="GU53" s="25"/>
      <c r="GV53" s="25"/>
      <c r="GW53" s="25"/>
      <c r="GX53" s="25"/>
      <c r="GY53" s="25"/>
      <c r="GZ53" s="25"/>
      <c r="HA53" s="25"/>
      <c r="HB53" s="25"/>
      <c r="HC53" s="55"/>
      <c r="HD53" s="55"/>
      <c r="HE53" s="55"/>
      <c r="HF53" s="55"/>
      <c r="HG53" s="55"/>
      <c r="HH53" s="55"/>
      <c r="HI53" s="55"/>
      <c r="HJ53" s="55"/>
      <c r="HK53" s="55"/>
      <c r="HL53" s="55"/>
      <c r="HM53" s="55"/>
      <c r="HN53" s="55"/>
      <c r="HO53" s="55"/>
      <c r="HP53" s="55"/>
      <c r="HQ53" s="55"/>
      <c r="HR53" s="55"/>
      <c r="HS53" s="55"/>
      <c r="HT53" s="55"/>
      <c r="HU53" s="55"/>
      <c r="HV53" s="55"/>
      <c r="HW53" s="55"/>
      <c r="HX53" s="55"/>
      <c r="HY53" s="55"/>
      <c r="HZ53" s="55"/>
      <c r="IA53" s="55"/>
      <c r="IB53" s="55"/>
      <c r="IC53" s="55"/>
      <c r="ID53" s="55"/>
      <c r="IE53" s="55"/>
      <c r="IF53" s="55"/>
      <c r="IG53" s="55"/>
      <c r="IH53" s="55"/>
      <c r="II53" s="55"/>
      <c r="IJ53" s="55"/>
      <c r="IK53" s="55"/>
      <c r="IL53" s="55"/>
      <c r="IM53" s="55"/>
      <c r="IN53" s="55"/>
      <c r="IO53" s="55"/>
      <c r="IP53" s="55"/>
      <c r="IQ53" s="55"/>
      <c r="IR53" s="55"/>
      <c r="IS53" s="55"/>
      <c r="IT53" s="55"/>
      <c r="IU53" s="55"/>
      <c r="IV53" s="55"/>
      <c r="IW53" s="55"/>
      <c r="IX53" s="55"/>
      <c r="IY53" s="55"/>
      <c r="IZ53" s="55"/>
      <c r="JA53" s="55"/>
      <c r="JB53" s="55"/>
      <c r="JC53" s="55"/>
      <c r="JD53" s="55"/>
      <c r="JE53" s="55"/>
      <c r="JF53" s="55"/>
      <c r="JG53" s="55"/>
      <c r="JH53" s="55"/>
      <c r="JI53" s="55"/>
      <c r="JJ53" s="55"/>
      <c r="JK53" s="25"/>
      <c r="JL53" s="25"/>
      <c r="JM53" s="25"/>
      <c r="JN53" s="25"/>
      <c r="JO53" s="25"/>
      <c r="JP53" s="25"/>
      <c r="JQ53" s="25"/>
      <c r="JR53" s="25"/>
      <c r="JS53" s="25"/>
      <c r="JT53" s="25"/>
      <c r="JU53" s="25"/>
      <c r="JV53" s="25"/>
      <c r="JW53" s="25"/>
      <c r="JX53" s="25"/>
      <c r="JY53" s="25"/>
      <c r="JZ53" s="25"/>
      <c r="KA53" s="25"/>
      <c r="KB53" s="25"/>
      <c r="KC53" s="25"/>
      <c r="KD53" s="25"/>
      <c r="KE53" s="25"/>
      <c r="KF53" s="25"/>
      <c r="KG53" s="25"/>
      <c r="KH53" s="25"/>
      <c r="KI53" s="25"/>
      <c r="KJ53" s="25"/>
      <c r="KK53" s="25"/>
      <c r="KL53" s="25"/>
      <c r="KM53" s="25"/>
      <c r="KN53" s="25"/>
      <c r="KO53" s="25"/>
      <c r="KP53" s="25"/>
      <c r="KQ53" s="25"/>
      <c r="KR53" s="25"/>
      <c r="KS53" s="25"/>
      <c r="KT53" s="25"/>
      <c r="KU53" s="25"/>
      <c r="KV53" s="25"/>
      <c r="KW53" s="25"/>
      <c r="KX53" s="25"/>
      <c r="KY53" s="25"/>
      <c r="KZ53" s="25"/>
      <c r="LA53" s="25"/>
      <c r="LB53" s="25"/>
      <c r="LC53" s="25"/>
      <c r="LD53" s="25"/>
      <c r="LE53" s="25"/>
      <c r="LF53" s="25"/>
      <c r="LG53" s="25"/>
      <c r="LH53" s="25"/>
      <c r="LI53" s="25"/>
      <c r="LJ53" s="25"/>
      <c r="LK53" s="25"/>
      <c r="LL53" s="25"/>
      <c r="LM53" s="25"/>
      <c r="LN53" s="25"/>
      <c r="LO53" s="25"/>
      <c r="LP53" s="25"/>
      <c r="LQ53" s="25"/>
      <c r="LR53" s="25"/>
      <c r="LS53" s="166"/>
      <c r="LT53" s="166"/>
      <c r="LU53" s="166"/>
      <c r="LV53" s="166"/>
      <c r="LW53" s="166"/>
      <c r="LX53" s="166"/>
      <c r="LY53" s="166"/>
      <c r="LZ53" s="166"/>
      <c r="MA53" s="166"/>
      <c r="MB53" s="166"/>
      <c r="MC53" s="166"/>
      <c r="MD53" s="166"/>
      <c r="ME53" s="166"/>
      <c r="MF53" s="166"/>
      <c r="MG53" s="166"/>
      <c r="MH53" s="166"/>
      <c r="MI53" s="166"/>
      <c r="MJ53" s="166"/>
      <c r="MK53" s="166"/>
      <c r="ML53" s="166"/>
      <c r="MM53" s="166"/>
      <c r="MN53" s="166"/>
      <c r="MO53" s="166"/>
      <c r="MP53" s="166"/>
      <c r="MQ53" s="166"/>
      <c r="MR53" s="166"/>
      <c r="MS53" s="166"/>
      <c r="MT53" s="166"/>
      <c r="MU53" s="166"/>
      <c r="MV53" s="166"/>
      <c r="MW53" s="166"/>
      <c r="MX53" s="166"/>
      <c r="MY53" s="166"/>
      <c r="MZ53" s="166"/>
      <c r="NA53" s="166"/>
      <c r="NB53" s="166"/>
      <c r="NC53" s="166"/>
      <c r="ND53" s="166"/>
      <c r="NE53" s="166"/>
      <c r="NF53" s="166"/>
      <c r="NG53" s="166"/>
      <c r="NH53" s="166"/>
      <c r="NI53" s="166"/>
      <c r="NJ53" s="166"/>
      <c r="NK53" s="166"/>
      <c r="NL53" s="166"/>
      <c r="NM53" s="166"/>
      <c r="NN53" s="166"/>
      <c r="NO53" s="166"/>
      <c r="NP53" s="166"/>
      <c r="NQ53" s="166"/>
      <c r="NR53" s="166"/>
      <c r="NS53" s="166"/>
      <c r="NT53" s="166"/>
      <c r="NU53" s="166"/>
      <c r="NV53" s="166"/>
      <c r="NW53" s="166"/>
      <c r="NX53" s="166"/>
      <c r="NY53" s="166"/>
      <c r="NZ53" s="166"/>
      <c r="OA53" s="25"/>
      <c r="OB53" s="25"/>
      <c r="OC53" s="25"/>
      <c r="OD53" s="81"/>
      <c r="OE53" s="25"/>
      <c r="OF53" s="25"/>
      <c r="OG53" s="25"/>
      <c r="OH53" s="25"/>
      <c r="OI53" s="25"/>
      <c r="OJ53" s="25"/>
      <c r="OK53" s="25"/>
      <c r="OL53" s="25"/>
      <c r="OM53" s="25"/>
      <c r="ON53" s="25"/>
      <c r="OO53" s="25"/>
      <c r="OP53" s="25"/>
      <c r="OQ53" s="25"/>
      <c r="OR5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3" s="81"/>
      <c r="OT53" s="25"/>
      <c r="OU53" s="81"/>
      <c r="OV53" s="81"/>
    </row>
    <row r="54" spans="1:412" ht="12.5" x14ac:dyDescent="0.25">
      <c r="A54" s="25">
        <v>35</v>
      </c>
      <c r="B54" s="25" t="b">
        <f>NOT(ISBLANK(SEBBusinessDataTable[[#This Row],[SEBBusinessType]]))</f>
        <v>0</v>
      </c>
      <c r="C54" s="25"/>
      <c r="D54" s="25"/>
      <c r="E54" s="25"/>
      <c r="F54" s="25"/>
      <c r="G54" s="25"/>
      <c r="H54" s="25"/>
      <c r="I54" s="25"/>
      <c r="J54" s="25">
        <f>COUNTIF(SEBBusinessDataTable[[#This Row],[SEBAssociatedFlagApp1]:[SEBAssociatedFlagApp6]],"Yes")</f>
        <v>0</v>
      </c>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c r="DE54" s="25"/>
      <c r="DF54" s="25"/>
      <c r="DG54" s="25"/>
      <c r="DH54" s="25"/>
      <c r="DI54" s="25"/>
      <c r="DJ54" s="25"/>
      <c r="DK54" s="25"/>
      <c r="DL54" s="25"/>
      <c r="DM54" s="25"/>
      <c r="DN54" s="25"/>
      <c r="DO54" s="55"/>
      <c r="DP54" s="55"/>
      <c r="DQ54" s="55"/>
      <c r="DR54" s="55"/>
      <c r="DS54" s="55"/>
      <c r="DT54" s="55"/>
      <c r="DU54" s="55"/>
      <c r="DV54" s="55"/>
      <c r="DW54" s="55"/>
      <c r="DX54" s="55"/>
      <c r="DY54" s="55"/>
      <c r="DZ54" s="55"/>
      <c r="EA54" s="25"/>
      <c r="EB54" s="25"/>
      <c r="EC54" s="25"/>
      <c r="ED54" s="25"/>
      <c r="EE54" s="25"/>
      <c r="EF54" s="25"/>
      <c r="EG54" s="25"/>
      <c r="EH54" s="25"/>
      <c r="EI54" s="25"/>
      <c r="EJ54" s="25"/>
      <c r="EK54" s="25"/>
      <c r="EL54" s="25"/>
      <c r="EM54" s="25"/>
      <c r="EN54" s="25"/>
      <c r="EO54" s="25"/>
      <c r="EP54" s="25"/>
      <c r="EQ54" s="25"/>
      <c r="ER54" s="25"/>
      <c r="ES54" s="25"/>
      <c r="ET54" s="25"/>
      <c r="EU54" s="25"/>
      <c r="EV54" s="25"/>
      <c r="EW54" s="25"/>
      <c r="EX54" s="25"/>
      <c r="EY54" s="25"/>
      <c r="EZ54" s="25"/>
      <c r="FA54" s="25"/>
      <c r="FB54" s="25"/>
      <c r="FC54" s="25"/>
      <c r="FD54" s="25"/>
      <c r="FE54" s="25"/>
      <c r="FF54" s="25"/>
      <c r="FG54" s="25"/>
      <c r="FH54" s="25"/>
      <c r="FI54" s="25"/>
      <c r="FJ54" s="25"/>
      <c r="FK54" s="25"/>
      <c r="FL54" s="25"/>
      <c r="FM54" s="25"/>
      <c r="FN54" s="25"/>
      <c r="FO54" s="25"/>
      <c r="FP54" s="25"/>
      <c r="FQ54" s="25"/>
      <c r="FR54" s="25"/>
      <c r="FS54" s="25"/>
      <c r="FT54" s="25"/>
      <c r="FU54" s="25"/>
      <c r="FV54" s="25"/>
      <c r="FW54" s="25"/>
      <c r="FX54" s="25"/>
      <c r="FY54" s="25"/>
      <c r="FZ54" s="25"/>
      <c r="GA54" s="25"/>
      <c r="GB54" s="25"/>
      <c r="GC54" s="25"/>
      <c r="GD54" s="25"/>
      <c r="GE54" s="25"/>
      <c r="GF54" s="25"/>
      <c r="GG54" s="25"/>
      <c r="GH54" s="25"/>
      <c r="GI54" s="25"/>
      <c r="GJ54" s="25"/>
      <c r="GK54" s="25"/>
      <c r="GL54" s="25"/>
      <c r="GM54" s="25"/>
      <c r="GN54" s="25"/>
      <c r="GO54" s="25"/>
      <c r="GP54" s="25"/>
      <c r="GQ54" s="25"/>
      <c r="GR54" s="25"/>
      <c r="GS54" s="25"/>
      <c r="GT54" s="25"/>
      <c r="GU54" s="25"/>
      <c r="GV54" s="25"/>
      <c r="GW54" s="25"/>
      <c r="GX54" s="25"/>
      <c r="GY54" s="25"/>
      <c r="GZ54" s="25"/>
      <c r="HA54" s="25"/>
      <c r="HB54" s="25"/>
      <c r="HC54" s="55"/>
      <c r="HD54" s="55"/>
      <c r="HE54" s="55"/>
      <c r="HF54" s="55"/>
      <c r="HG54" s="55"/>
      <c r="HH54" s="55"/>
      <c r="HI54" s="55"/>
      <c r="HJ54" s="55"/>
      <c r="HK54" s="55"/>
      <c r="HL54" s="55"/>
      <c r="HM54" s="55"/>
      <c r="HN54" s="55"/>
      <c r="HO54" s="55"/>
      <c r="HP54" s="55"/>
      <c r="HQ54" s="55"/>
      <c r="HR54" s="55"/>
      <c r="HS54" s="55"/>
      <c r="HT54" s="55"/>
      <c r="HU54" s="55"/>
      <c r="HV54" s="55"/>
      <c r="HW54" s="55"/>
      <c r="HX54" s="55"/>
      <c r="HY54" s="55"/>
      <c r="HZ54" s="55"/>
      <c r="IA54" s="55"/>
      <c r="IB54" s="55"/>
      <c r="IC54" s="55"/>
      <c r="ID54" s="55"/>
      <c r="IE54" s="55"/>
      <c r="IF54" s="55"/>
      <c r="IG54" s="55"/>
      <c r="IH54" s="55"/>
      <c r="II54" s="55"/>
      <c r="IJ54" s="55"/>
      <c r="IK54" s="55"/>
      <c r="IL54" s="55"/>
      <c r="IM54" s="55"/>
      <c r="IN54" s="55"/>
      <c r="IO54" s="55"/>
      <c r="IP54" s="55"/>
      <c r="IQ54" s="55"/>
      <c r="IR54" s="55"/>
      <c r="IS54" s="55"/>
      <c r="IT54" s="55"/>
      <c r="IU54" s="55"/>
      <c r="IV54" s="55"/>
      <c r="IW54" s="55"/>
      <c r="IX54" s="55"/>
      <c r="IY54" s="55"/>
      <c r="IZ54" s="55"/>
      <c r="JA54" s="55"/>
      <c r="JB54" s="55"/>
      <c r="JC54" s="55"/>
      <c r="JD54" s="55"/>
      <c r="JE54" s="55"/>
      <c r="JF54" s="55"/>
      <c r="JG54" s="55"/>
      <c r="JH54" s="55"/>
      <c r="JI54" s="55"/>
      <c r="JJ54" s="55"/>
      <c r="JK54" s="25"/>
      <c r="JL54" s="25"/>
      <c r="JM54" s="25"/>
      <c r="JN54" s="25"/>
      <c r="JO54" s="25"/>
      <c r="JP54" s="25"/>
      <c r="JQ54" s="25"/>
      <c r="JR54" s="25"/>
      <c r="JS54" s="25"/>
      <c r="JT54" s="25"/>
      <c r="JU54" s="25"/>
      <c r="JV54" s="25"/>
      <c r="JW54" s="25"/>
      <c r="JX54" s="25"/>
      <c r="JY54" s="25"/>
      <c r="JZ54" s="25"/>
      <c r="KA54" s="25"/>
      <c r="KB54" s="25"/>
      <c r="KC54" s="25"/>
      <c r="KD54" s="25"/>
      <c r="KE54" s="25"/>
      <c r="KF54" s="25"/>
      <c r="KG54" s="25"/>
      <c r="KH54" s="25"/>
      <c r="KI54" s="25"/>
      <c r="KJ54" s="25"/>
      <c r="KK54" s="25"/>
      <c r="KL54" s="25"/>
      <c r="KM54" s="25"/>
      <c r="KN54" s="25"/>
      <c r="KO54" s="25"/>
      <c r="KP54" s="25"/>
      <c r="KQ54" s="25"/>
      <c r="KR54" s="25"/>
      <c r="KS54" s="25"/>
      <c r="KT54" s="25"/>
      <c r="KU54" s="25"/>
      <c r="KV54" s="25"/>
      <c r="KW54" s="25"/>
      <c r="KX54" s="25"/>
      <c r="KY54" s="25"/>
      <c r="KZ54" s="25"/>
      <c r="LA54" s="25"/>
      <c r="LB54" s="25"/>
      <c r="LC54" s="25"/>
      <c r="LD54" s="25"/>
      <c r="LE54" s="25"/>
      <c r="LF54" s="25"/>
      <c r="LG54" s="25"/>
      <c r="LH54" s="25"/>
      <c r="LI54" s="25"/>
      <c r="LJ54" s="25"/>
      <c r="LK54" s="25"/>
      <c r="LL54" s="25"/>
      <c r="LM54" s="25"/>
      <c r="LN54" s="25"/>
      <c r="LO54" s="25"/>
      <c r="LP54" s="25"/>
      <c r="LQ54" s="25"/>
      <c r="LR54" s="25"/>
      <c r="LS54" s="166"/>
      <c r="LT54" s="166"/>
      <c r="LU54" s="166"/>
      <c r="LV54" s="166"/>
      <c r="LW54" s="166"/>
      <c r="LX54" s="166"/>
      <c r="LY54" s="166"/>
      <c r="LZ54" s="166"/>
      <c r="MA54" s="166"/>
      <c r="MB54" s="166"/>
      <c r="MC54" s="166"/>
      <c r="MD54" s="166"/>
      <c r="ME54" s="166"/>
      <c r="MF54" s="166"/>
      <c r="MG54" s="166"/>
      <c r="MH54" s="166"/>
      <c r="MI54" s="166"/>
      <c r="MJ54" s="166"/>
      <c r="MK54" s="166"/>
      <c r="ML54" s="166"/>
      <c r="MM54" s="166"/>
      <c r="MN54" s="166"/>
      <c r="MO54" s="166"/>
      <c r="MP54" s="166"/>
      <c r="MQ54" s="166"/>
      <c r="MR54" s="166"/>
      <c r="MS54" s="166"/>
      <c r="MT54" s="166"/>
      <c r="MU54" s="166"/>
      <c r="MV54" s="166"/>
      <c r="MW54" s="166"/>
      <c r="MX54" s="166"/>
      <c r="MY54" s="166"/>
      <c r="MZ54" s="166"/>
      <c r="NA54" s="166"/>
      <c r="NB54" s="166"/>
      <c r="NC54" s="166"/>
      <c r="ND54" s="166"/>
      <c r="NE54" s="166"/>
      <c r="NF54" s="166"/>
      <c r="NG54" s="166"/>
      <c r="NH54" s="166"/>
      <c r="NI54" s="166"/>
      <c r="NJ54" s="166"/>
      <c r="NK54" s="166"/>
      <c r="NL54" s="166"/>
      <c r="NM54" s="166"/>
      <c r="NN54" s="166"/>
      <c r="NO54" s="166"/>
      <c r="NP54" s="166"/>
      <c r="NQ54" s="166"/>
      <c r="NR54" s="166"/>
      <c r="NS54" s="166"/>
      <c r="NT54" s="166"/>
      <c r="NU54" s="166"/>
      <c r="NV54" s="166"/>
      <c r="NW54" s="166"/>
      <c r="NX54" s="166"/>
      <c r="NY54" s="166"/>
      <c r="NZ54" s="166"/>
      <c r="OA54" s="25"/>
      <c r="OB54" s="25"/>
      <c r="OC54" s="25"/>
      <c r="OD54" s="81"/>
      <c r="OE54" s="25"/>
      <c r="OF54" s="25"/>
      <c r="OG54" s="25"/>
      <c r="OH54" s="25"/>
      <c r="OI54" s="25"/>
      <c r="OJ54" s="25"/>
      <c r="OK54" s="25"/>
      <c r="OL54" s="25"/>
      <c r="OM54" s="25"/>
      <c r="ON54" s="25"/>
      <c r="OO54" s="25"/>
      <c r="OP54" s="25"/>
      <c r="OQ54" s="25"/>
      <c r="OR5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4" s="81"/>
      <c r="OT54" s="25"/>
      <c r="OU54" s="81"/>
      <c r="OV54" s="81"/>
    </row>
    <row r="55" spans="1:412" ht="12.5" x14ac:dyDescent="0.25">
      <c r="A55" s="25">
        <v>36</v>
      </c>
      <c r="B55" s="25" t="b">
        <f>NOT(ISBLANK(SEBBusinessDataTable[[#This Row],[SEBBusinessType]]))</f>
        <v>0</v>
      </c>
      <c r="C55" s="25"/>
      <c r="D55" s="25"/>
      <c r="E55" s="25"/>
      <c r="F55" s="25"/>
      <c r="G55" s="25"/>
      <c r="H55" s="25"/>
      <c r="I55" s="25"/>
      <c r="J55" s="25">
        <f>COUNTIF(SEBBusinessDataTable[[#This Row],[SEBAssociatedFlagApp1]:[SEBAssociatedFlagApp6]],"Yes")</f>
        <v>0</v>
      </c>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55"/>
      <c r="DP55" s="55"/>
      <c r="DQ55" s="55"/>
      <c r="DR55" s="55"/>
      <c r="DS55" s="55"/>
      <c r="DT55" s="55"/>
      <c r="DU55" s="55"/>
      <c r="DV55" s="55"/>
      <c r="DW55" s="55"/>
      <c r="DX55" s="55"/>
      <c r="DY55" s="55"/>
      <c r="DZ55" s="5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c r="GQ55" s="25"/>
      <c r="GR55" s="25"/>
      <c r="GS55" s="25"/>
      <c r="GT55" s="25"/>
      <c r="GU55" s="25"/>
      <c r="GV55" s="25"/>
      <c r="GW55" s="25"/>
      <c r="GX55" s="25"/>
      <c r="GY55" s="25"/>
      <c r="GZ55" s="25"/>
      <c r="HA55" s="25"/>
      <c r="HB55" s="25"/>
      <c r="HC55" s="55"/>
      <c r="HD55" s="55"/>
      <c r="HE55" s="55"/>
      <c r="HF55" s="55"/>
      <c r="HG55" s="55"/>
      <c r="HH55" s="55"/>
      <c r="HI55" s="55"/>
      <c r="HJ55" s="55"/>
      <c r="HK55" s="55"/>
      <c r="HL55" s="55"/>
      <c r="HM55" s="55"/>
      <c r="HN55" s="55"/>
      <c r="HO55" s="55"/>
      <c r="HP55" s="55"/>
      <c r="HQ55" s="55"/>
      <c r="HR55" s="55"/>
      <c r="HS55" s="55"/>
      <c r="HT55" s="55"/>
      <c r="HU55" s="55"/>
      <c r="HV55" s="55"/>
      <c r="HW55" s="55"/>
      <c r="HX55" s="55"/>
      <c r="HY55" s="55"/>
      <c r="HZ55" s="55"/>
      <c r="IA55" s="55"/>
      <c r="IB55" s="55"/>
      <c r="IC55" s="55"/>
      <c r="ID55" s="55"/>
      <c r="IE55" s="55"/>
      <c r="IF55" s="55"/>
      <c r="IG55" s="55"/>
      <c r="IH55" s="55"/>
      <c r="II55" s="55"/>
      <c r="IJ55" s="55"/>
      <c r="IK55" s="55"/>
      <c r="IL55" s="55"/>
      <c r="IM55" s="55"/>
      <c r="IN55" s="55"/>
      <c r="IO55" s="55"/>
      <c r="IP55" s="55"/>
      <c r="IQ55" s="55"/>
      <c r="IR55" s="55"/>
      <c r="IS55" s="55"/>
      <c r="IT55" s="55"/>
      <c r="IU55" s="55"/>
      <c r="IV55" s="55"/>
      <c r="IW55" s="55"/>
      <c r="IX55" s="55"/>
      <c r="IY55" s="55"/>
      <c r="IZ55" s="55"/>
      <c r="JA55" s="55"/>
      <c r="JB55" s="55"/>
      <c r="JC55" s="55"/>
      <c r="JD55" s="55"/>
      <c r="JE55" s="55"/>
      <c r="JF55" s="55"/>
      <c r="JG55" s="55"/>
      <c r="JH55" s="55"/>
      <c r="JI55" s="55"/>
      <c r="JJ55" s="55"/>
      <c r="JK55" s="25"/>
      <c r="JL55" s="25"/>
      <c r="JM55" s="25"/>
      <c r="JN55" s="25"/>
      <c r="JO55" s="25"/>
      <c r="JP55" s="25"/>
      <c r="JQ55" s="25"/>
      <c r="JR55" s="25"/>
      <c r="JS55" s="25"/>
      <c r="JT55" s="25"/>
      <c r="JU55" s="25"/>
      <c r="JV55" s="25"/>
      <c r="JW55" s="25"/>
      <c r="JX55" s="25"/>
      <c r="JY55" s="25"/>
      <c r="JZ55" s="25"/>
      <c r="KA55" s="25"/>
      <c r="KB55" s="25"/>
      <c r="KC55" s="25"/>
      <c r="KD55" s="25"/>
      <c r="KE55" s="25"/>
      <c r="KF55" s="25"/>
      <c r="KG55" s="25"/>
      <c r="KH55" s="25"/>
      <c r="KI55" s="25"/>
      <c r="KJ55" s="25"/>
      <c r="KK55" s="25"/>
      <c r="KL55" s="25"/>
      <c r="KM55" s="25"/>
      <c r="KN55" s="25"/>
      <c r="KO55" s="25"/>
      <c r="KP55" s="25"/>
      <c r="KQ55" s="25"/>
      <c r="KR55" s="25"/>
      <c r="KS55" s="25"/>
      <c r="KT55" s="25"/>
      <c r="KU55" s="25"/>
      <c r="KV55" s="25"/>
      <c r="KW55" s="25"/>
      <c r="KX55" s="25"/>
      <c r="KY55" s="25"/>
      <c r="KZ55" s="25"/>
      <c r="LA55" s="25"/>
      <c r="LB55" s="25"/>
      <c r="LC55" s="25"/>
      <c r="LD55" s="25"/>
      <c r="LE55" s="25"/>
      <c r="LF55" s="25"/>
      <c r="LG55" s="25"/>
      <c r="LH55" s="25"/>
      <c r="LI55" s="25"/>
      <c r="LJ55" s="25"/>
      <c r="LK55" s="25"/>
      <c r="LL55" s="25"/>
      <c r="LM55" s="25"/>
      <c r="LN55" s="25"/>
      <c r="LO55" s="25"/>
      <c r="LP55" s="25"/>
      <c r="LQ55" s="25"/>
      <c r="LR55" s="25"/>
      <c r="LS55" s="166"/>
      <c r="LT55" s="166"/>
      <c r="LU55" s="166"/>
      <c r="LV55" s="166"/>
      <c r="LW55" s="166"/>
      <c r="LX55" s="166"/>
      <c r="LY55" s="166"/>
      <c r="LZ55" s="166"/>
      <c r="MA55" s="166"/>
      <c r="MB55" s="166"/>
      <c r="MC55" s="166"/>
      <c r="MD55" s="166"/>
      <c r="ME55" s="166"/>
      <c r="MF55" s="166"/>
      <c r="MG55" s="166"/>
      <c r="MH55" s="166"/>
      <c r="MI55" s="166"/>
      <c r="MJ55" s="166"/>
      <c r="MK55" s="166"/>
      <c r="ML55" s="166"/>
      <c r="MM55" s="166"/>
      <c r="MN55" s="166"/>
      <c r="MO55" s="166"/>
      <c r="MP55" s="166"/>
      <c r="MQ55" s="166"/>
      <c r="MR55" s="166"/>
      <c r="MS55" s="166"/>
      <c r="MT55" s="166"/>
      <c r="MU55" s="166"/>
      <c r="MV55" s="166"/>
      <c r="MW55" s="166"/>
      <c r="MX55" s="166"/>
      <c r="MY55" s="166"/>
      <c r="MZ55" s="166"/>
      <c r="NA55" s="166"/>
      <c r="NB55" s="166"/>
      <c r="NC55" s="166"/>
      <c r="ND55" s="166"/>
      <c r="NE55" s="166"/>
      <c r="NF55" s="166"/>
      <c r="NG55" s="166"/>
      <c r="NH55" s="166"/>
      <c r="NI55" s="166"/>
      <c r="NJ55" s="166"/>
      <c r="NK55" s="166"/>
      <c r="NL55" s="166"/>
      <c r="NM55" s="166"/>
      <c r="NN55" s="166"/>
      <c r="NO55" s="166"/>
      <c r="NP55" s="166"/>
      <c r="NQ55" s="166"/>
      <c r="NR55" s="166"/>
      <c r="NS55" s="166"/>
      <c r="NT55" s="166"/>
      <c r="NU55" s="166"/>
      <c r="NV55" s="166"/>
      <c r="NW55" s="166"/>
      <c r="NX55" s="166"/>
      <c r="NY55" s="166"/>
      <c r="NZ55" s="166"/>
      <c r="OA55" s="25"/>
      <c r="OB55" s="25"/>
      <c r="OC55" s="25"/>
      <c r="OD55" s="81"/>
      <c r="OE55" s="25"/>
      <c r="OF55" s="25"/>
      <c r="OG55" s="25"/>
      <c r="OH55" s="25"/>
      <c r="OI55" s="25"/>
      <c r="OJ55" s="25"/>
      <c r="OK55" s="25"/>
      <c r="OL55" s="25"/>
      <c r="OM55" s="25"/>
      <c r="ON55" s="25"/>
      <c r="OO55" s="25"/>
      <c r="OP55" s="25"/>
      <c r="OQ55" s="25"/>
      <c r="OR5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5" s="81"/>
      <c r="OT55" s="25"/>
      <c r="OU55" s="81"/>
      <c r="OV55" s="81"/>
    </row>
    <row r="56" spans="1:412" ht="12.5" x14ac:dyDescent="0.25">
      <c r="A56" s="25">
        <v>37</v>
      </c>
      <c r="B56" s="25" t="b">
        <f>NOT(ISBLANK(SEBBusinessDataTable[[#This Row],[SEBBusinessType]]))</f>
        <v>0</v>
      </c>
      <c r="C56" s="25"/>
      <c r="D56" s="25"/>
      <c r="E56" s="25"/>
      <c r="F56" s="25"/>
      <c r="G56" s="25"/>
      <c r="H56" s="25"/>
      <c r="I56" s="25"/>
      <c r="J56" s="25">
        <f>COUNTIF(SEBBusinessDataTable[[#This Row],[SEBAssociatedFlagApp1]:[SEBAssociatedFlagApp6]],"Yes")</f>
        <v>0</v>
      </c>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5"/>
      <c r="DD56" s="25"/>
      <c r="DE56" s="25"/>
      <c r="DF56" s="25"/>
      <c r="DG56" s="25"/>
      <c r="DH56" s="25"/>
      <c r="DI56" s="25"/>
      <c r="DJ56" s="25"/>
      <c r="DK56" s="25"/>
      <c r="DL56" s="25"/>
      <c r="DM56" s="25"/>
      <c r="DN56" s="25"/>
      <c r="DO56" s="55"/>
      <c r="DP56" s="55"/>
      <c r="DQ56" s="55"/>
      <c r="DR56" s="55"/>
      <c r="DS56" s="55"/>
      <c r="DT56" s="55"/>
      <c r="DU56" s="55"/>
      <c r="DV56" s="55"/>
      <c r="DW56" s="55"/>
      <c r="DX56" s="55"/>
      <c r="DY56" s="55"/>
      <c r="DZ56" s="55"/>
      <c r="EA56" s="25"/>
      <c r="EB56" s="25"/>
      <c r="EC56" s="25"/>
      <c r="ED56" s="25"/>
      <c r="EE56" s="25"/>
      <c r="EF56" s="25"/>
      <c r="EG56" s="25"/>
      <c r="EH56" s="25"/>
      <c r="EI56" s="25"/>
      <c r="EJ56" s="25"/>
      <c r="EK56" s="25"/>
      <c r="EL56" s="25"/>
      <c r="EM56" s="25"/>
      <c r="EN56" s="25"/>
      <c r="EO56" s="25"/>
      <c r="EP56" s="25"/>
      <c r="EQ56" s="25"/>
      <c r="ER56" s="25"/>
      <c r="ES56" s="25"/>
      <c r="ET56" s="25"/>
      <c r="EU56" s="25"/>
      <c r="EV56" s="25"/>
      <c r="EW56" s="25"/>
      <c r="EX56" s="25"/>
      <c r="EY56" s="25"/>
      <c r="EZ56" s="25"/>
      <c r="FA56" s="25"/>
      <c r="FB56" s="25"/>
      <c r="FC56" s="25"/>
      <c r="FD56" s="25"/>
      <c r="FE56" s="25"/>
      <c r="FF56" s="25"/>
      <c r="FG56" s="25"/>
      <c r="FH56" s="25"/>
      <c r="FI56" s="25"/>
      <c r="FJ56" s="25"/>
      <c r="FK56" s="25"/>
      <c r="FL56" s="25"/>
      <c r="FM56" s="25"/>
      <c r="FN56" s="25"/>
      <c r="FO56" s="25"/>
      <c r="FP56" s="25"/>
      <c r="FQ56" s="25"/>
      <c r="FR56" s="25"/>
      <c r="FS56" s="25"/>
      <c r="FT56" s="25"/>
      <c r="FU56" s="25"/>
      <c r="FV56" s="25"/>
      <c r="FW56" s="25"/>
      <c r="FX56" s="25"/>
      <c r="FY56" s="25"/>
      <c r="FZ56" s="25"/>
      <c r="GA56" s="25"/>
      <c r="GB56" s="25"/>
      <c r="GC56" s="25"/>
      <c r="GD56" s="25"/>
      <c r="GE56" s="25"/>
      <c r="GF56" s="25"/>
      <c r="GG56" s="25"/>
      <c r="GH56" s="25"/>
      <c r="GI56" s="25"/>
      <c r="GJ56" s="25"/>
      <c r="GK56" s="25"/>
      <c r="GL56" s="25"/>
      <c r="GM56" s="25"/>
      <c r="GN56" s="25"/>
      <c r="GO56" s="25"/>
      <c r="GP56" s="25"/>
      <c r="GQ56" s="25"/>
      <c r="GR56" s="25"/>
      <c r="GS56" s="25"/>
      <c r="GT56" s="25"/>
      <c r="GU56" s="25"/>
      <c r="GV56" s="25"/>
      <c r="GW56" s="25"/>
      <c r="GX56" s="25"/>
      <c r="GY56" s="25"/>
      <c r="GZ56" s="25"/>
      <c r="HA56" s="25"/>
      <c r="HB56" s="25"/>
      <c r="HC56" s="55"/>
      <c r="HD56" s="55"/>
      <c r="HE56" s="55"/>
      <c r="HF56" s="55"/>
      <c r="HG56" s="55"/>
      <c r="HH56" s="55"/>
      <c r="HI56" s="55"/>
      <c r="HJ56" s="55"/>
      <c r="HK56" s="55"/>
      <c r="HL56" s="55"/>
      <c r="HM56" s="55"/>
      <c r="HN56" s="55"/>
      <c r="HO56" s="55"/>
      <c r="HP56" s="55"/>
      <c r="HQ56" s="55"/>
      <c r="HR56" s="55"/>
      <c r="HS56" s="55"/>
      <c r="HT56" s="55"/>
      <c r="HU56" s="55"/>
      <c r="HV56" s="55"/>
      <c r="HW56" s="55"/>
      <c r="HX56" s="55"/>
      <c r="HY56" s="55"/>
      <c r="HZ56" s="55"/>
      <c r="IA56" s="55"/>
      <c r="IB56" s="55"/>
      <c r="IC56" s="55"/>
      <c r="ID56" s="55"/>
      <c r="IE56" s="55"/>
      <c r="IF56" s="55"/>
      <c r="IG56" s="55"/>
      <c r="IH56" s="55"/>
      <c r="II56" s="55"/>
      <c r="IJ56" s="55"/>
      <c r="IK56" s="55"/>
      <c r="IL56" s="55"/>
      <c r="IM56" s="55"/>
      <c r="IN56" s="55"/>
      <c r="IO56" s="55"/>
      <c r="IP56" s="55"/>
      <c r="IQ56" s="55"/>
      <c r="IR56" s="55"/>
      <c r="IS56" s="55"/>
      <c r="IT56" s="55"/>
      <c r="IU56" s="55"/>
      <c r="IV56" s="55"/>
      <c r="IW56" s="55"/>
      <c r="IX56" s="55"/>
      <c r="IY56" s="55"/>
      <c r="IZ56" s="55"/>
      <c r="JA56" s="55"/>
      <c r="JB56" s="55"/>
      <c r="JC56" s="55"/>
      <c r="JD56" s="55"/>
      <c r="JE56" s="55"/>
      <c r="JF56" s="55"/>
      <c r="JG56" s="55"/>
      <c r="JH56" s="55"/>
      <c r="JI56" s="55"/>
      <c r="JJ56" s="55"/>
      <c r="JK56" s="25"/>
      <c r="JL56" s="25"/>
      <c r="JM56" s="25"/>
      <c r="JN56" s="25"/>
      <c r="JO56" s="25"/>
      <c r="JP56" s="25"/>
      <c r="JQ56" s="25"/>
      <c r="JR56" s="25"/>
      <c r="JS56" s="25"/>
      <c r="JT56" s="25"/>
      <c r="JU56" s="25"/>
      <c r="JV56" s="25"/>
      <c r="JW56" s="25"/>
      <c r="JX56" s="25"/>
      <c r="JY56" s="25"/>
      <c r="JZ56" s="25"/>
      <c r="KA56" s="25"/>
      <c r="KB56" s="25"/>
      <c r="KC56" s="25"/>
      <c r="KD56" s="25"/>
      <c r="KE56" s="25"/>
      <c r="KF56" s="25"/>
      <c r="KG56" s="25"/>
      <c r="KH56" s="25"/>
      <c r="KI56" s="25"/>
      <c r="KJ56" s="25"/>
      <c r="KK56" s="25"/>
      <c r="KL56" s="25"/>
      <c r="KM56" s="25"/>
      <c r="KN56" s="25"/>
      <c r="KO56" s="25"/>
      <c r="KP56" s="25"/>
      <c r="KQ56" s="25"/>
      <c r="KR56" s="25"/>
      <c r="KS56" s="25"/>
      <c r="KT56" s="25"/>
      <c r="KU56" s="25"/>
      <c r="KV56" s="25"/>
      <c r="KW56" s="25"/>
      <c r="KX56" s="25"/>
      <c r="KY56" s="25"/>
      <c r="KZ56" s="25"/>
      <c r="LA56" s="25"/>
      <c r="LB56" s="25"/>
      <c r="LC56" s="25"/>
      <c r="LD56" s="25"/>
      <c r="LE56" s="25"/>
      <c r="LF56" s="25"/>
      <c r="LG56" s="25"/>
      <c r="LH56" s="25"/>
      <c r="LI56" s="25"/>
      <c r="LJ56" s="25"/>
      <c r="LK56" s="25"/>
      <c r="LL56" s="25"/>
      <c r="LM56" s="25"/>
      <c r="LN56" s="25"/>
      <c r="LO56" s="25"/>
      <c r="LP56" s="25"/>
      <c r="LQ56" s="25"/>
      <c r="LR56" s="25"/>
      <c r="LS56" s="166"/>
      <c r="LT56" s="166"/>
      <c r="LU56" s="166"/>
      <c r="LV56" s="166"/>
      <c r="LW56" s="166"/>
      <c r="LX56" s="166"/>
      <c r="LY56" s="166"/>
      <c r="LZ56" s="166"/>
      <c r="MA56" s="166"/>
      <c r="MB56" s="166"/>
      <c r="MC56" s="166"/>
      <c r="MD56" s="166"/>
      <c r="ME56" s="166"/>
      <c r="MF56" s="166"/>
      <c r="MG56" s="166"/>
      <c r="MH56" s="166"/>
      <c r="MI56" s="166"/>
      <c r="MJ56" s="166"/>
      <c r="MK56" s="166"/>
      <c r="ML56" s="166"/>
      <c r="MM56" s="166"/>
      <c r="MN56" s="166"/>
      <c r="MO56" s="166"/>
      <c r="MP56" s="166"/>
      <c r="MQ56" s="166"/>
      <c r="MR56" s="166"/>
      <c r="MS56" s="166"/>
      <c r="MT56" s="166"/>
      <c r="MU56" s="166"/>
      <c r="MV56" s="166"/>
      <c r="MW56" s="166"/>
      <c r="MX56" s="166"/>
      <c r="MY56" s="166"/>
      <c r="MZ56" s="166"/>
      <c r="NA56" s="166"/>
      <c r="NB56" s="166"/>
      <c r="NC56" s="166"/>
      <c r="ND56" s="166"/>
      <c r="NE56" s="166"/>
      <c r="NF56" s="166"/>
      <c r="NG56" s="166"/>
      <c r="NH56" s="166"/>
      <c r="NI56" s="166"/>
      <c r="NJ56" s="166"/>
      <c r="NK56" s="166"/>
      <c r="NL56" s="166"/>
      <c r="NM56" s="166"/>
      <c r="NN56" s="166"/>
      <c r="NO56" s="166"/>
      <c r="NP56" s="166"/>
      <c r="NQ56" s="166"/>
      <c r="NR56" s="166"/>
      <c r="NS56" s="166"/>
      <c r="NT56" s="166"/>
      <c r="NU56" s="166"/>
      <c r="NV56" s="166"/>
      <c r="NW56" s="166"/>
      <c r="NX56" s="166"/>
      <c r="NY56" s="166"/>
      <c r="NZ56" s="166"/>
      <c r="OA56" s="25"/>
      <c r="OB56" s="25"/>
      <c r="OC56" s="25"/>
      <c r="OD56" s="81"/>
      <c r="OE56" s="25"/>
      <c r="OF56" s="25"/>
      <c r="OG56" s="25"/>
      <c r="OH56" s="25"/>
      <c r="OI56" s="25"/>
      <c r="OJ56" s="25"/>
      <c r="OK56" s="25"/>
      <c r="OL56" s="25"/>
      <c r="OM56" s="25"/>
      <c r="ON56" s="25"/>
      <c r="OO56" s="25"/>
      <c r="OP56" s="25"/>
      <c r="OQ56" s="25"/>
      <c r="OR5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6" s="81"/>
      <c r="OT56" s="25"/>
      <c r="OU56" s="81"/>
      <c r="OV56" s="81"/>
    </row>
    <row r="57" spans="1:412" ht="12.5" x14ac:dyDescent="0.25">
      <c r="A57" s="25">
        <v>38</v>
      </c>
      <c r="B57" s="25" t="b">
        <f>NOT(ISBLANK(SEBBusinessDataTable[[#This Row],[SEBBusinessType]]))</f>
        <v>0</v>
      </c>
      <c r="C57" s="25"/>
      <c r="D57" s="25"/>
      <c r="E57" s="25"/>
      <c r="F57" s="25"/>
      <c r="G57" s="25"/>
      <c r="H57" s="25"/>
      <c r="I57" s="25"/>
      <c r="J57" s="25">
        <f>COUNTIF(SEBBusinessDataTable[[#This Row],[SEBAssociatedFlagApp1]:[SEBAssociatedFlagApp6]],"Yes")</f>
        <v>0</v>
      </c>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c r="DH57" s="25"/>
      <c r="DI57" s="25"/>
      <c r="DJ57" s="25"/>
      <c r="DK57" s="25"/>
      <c r="DL57" s="25"/>
      <c r="DM57" s="25"/>
      <c r="DN57" s="25"/>
      <c r="DO57" s="55"/>
      <c r="DP57" s="55"/>
      <c r="DQ57" s="55"/>
      <c r="DR57" s="55"/>
      <c r="DS57" s="55"/>
      <c r="DT57" s="55"/>
      <c r="DU57" s="55"/>
      <c r="DV57" s="55"/>
      <c r="DW57" s="55"/>
      <c r="DX57" s="55"/>
      <c r="DY57" s="55"/>
      <c r="DZ57" s="55"/>
      <c r="EA57" s="25"/>
      <c r="EB57" s="25"/>
      <c r="EC57" s="25"/>
      <c r="ED57" s="25"/>
      <c r="EE57" s="25"/>
      <c r="EF57" s="25"/>
      <c r="EG57" s="25"/>
      <c r="EH57" s="25"/>
      <c r="EI57" s="25"/>
      <c r="EJ57" s="25"/>
      <c r="EK57" s="25"/>
      <c r="EL57" s="25"/>
      <c r="EM57" s="25"/>
      <c r="EN57" s="25"/>
      <c r="EO57" s="25"/>
      <c r="EP57" s="25"/>
      <c r="EQ57" s="25"/>
      <c r="ER57" s="25"/>
      <c r="ES57" s="25"/>
      <c r="ET57" s="25"/>
      <c r="EU57" s="25"/>
      <c r="EV57" s="25"/>
      <c r="EW57" s="25"/>
      <c r="EX57" s="25"/>
      <c r="EY57" s="25"/>
      <c r="EZ57" s="25"/>
      <c r="FA57" s="25"/>
      <c r="FB57" s="25"/>
      <c r="FC57" s="25"/>
      <c r="FD57" s="25"/>
      <c r="FE57" s="25"/>
      <c r="FF57" s="25"/>
      <c r="FG57" s="25"/>
      <c r="FH57" s="25"/>
      <c r="FI57" s="25"/>
      <c r="FJ57" s="25"/>
      <c r="FK57" s="25"/>
      <c r="FL57" s="25"/>
      <c r="FM57" s="25"/>
      <c r="FN57" s="25"/>
      <c r="FO57" s="25"/>
      <c r="FP57" s="25"/>
      <c r="FQ57" s="25"/>
      <c r="FR57" s="25"/>
      <c r="FS57" s="25"/>
      <c r="FT57" s="25"/>
      <c r="FU57" s="25"/>
      <c r="FV57" s="25"/>
      <c r="FW57" s="25"/>
      <c r="FX57" s="25"/>
      <c r="FY57" s="25"/>
      <c r="FZ57" s="25"/>
      <c r="GA57" s="25"/>
      <c r="GB57" s="25"/>
      <c r="GC57" s="25"/>
      <c r="GD57" s="25"/>
      <c r="GE57" s="25"/>
      <c r="GF57" s="25"/>
      <c r="GG57" s="25"/>
      <c r="GH57" s="25"/>
      <c r="GI57" s="25"/>
      <c r="GJ57" s="25"/>
      <c r="GK57" s="25"/>
      <c r="GL57" s="25"/>
      <c r="GM57" s="25"/>
      <c r="GN57" s="25"/>
      <c r="GO57" s="25"/>
      <c r="GP57" s="25"/>
      <c r="GQ57" s="25"/>
      <c r="GR57" s="25"/>
      <c r="GS57" s="25"/>
      <c r="GT57" s="25"/>
      <c r="GU57" s="25"/>
      <c r="GV57" s="25"/>
      <c r="GW57" s="25"/>
      <c r="GX57" s="25"/>
      <c r="GY57" s="25"/>
      <c r="GZ57" s="25"/>
      <c r="HA57" s="25"/>
      <c r="HB57" s="25"/>
      <c r="HC57" s="55"/>
      <c r="HD57" s="55"/>
      <c r="HE57" s="55"/>
      <c r="HF57" s="55"/>
      <c r="HG57" s="55"/>
      <c r="HH57" s="55"/>
      <c r="HI57" s="55"/>
      <c r="HJ57" s="55"/>
      <c r="HK57" s="55"/>
      <c r="HL57" s="55"/>
      <c r="HM57" s="55"/>
      <c r="HN57" s="55"/>
      <c r="HO57" s="55"/>
      <c r="HP57" s="55"/>
      <c r="HQ57" s="55"/>
      <c r="HR57" s="55"/>
      <c r="HS57" s="55"/>
      <c r="HT57" s="55"/>
      <c r="HU57" s="55"/>
      <c r="HV57" s="55"/>
      <c r="HW57" s="55"/>
      <c r="HX57" s="55"/>
      <c r="HY57" s="55"/>
      <c r="HZ57" s="55"/>
      <c r="IA57" s="55"/>
      <c r="IB57" s="55"/>
      <c r="IC57" s="55"/>
      <c r="ID57" s="55"/>
      <c r="IE57" s="55"/>
      <c r="IF57" s="55"/>
      <c r="IG57" s="55"/>
      <c r="IH57" s="55"/>
      <c r="II57" s="55"/>
      <c r="IJ57" s="55"/>
      <c r="IK57" s="55"/>
      <c r="IL57" s="55"/>
      <c r="IM57" s="55"/>
      <c r="IN57" s="55"/>
      <c r="IO57" s="55"/>
      <c r="IP57" s="55"/>
      <c r="IQ57" s="55"/>
      <c r="IR57" s="55"/>
      <c r="IS57" s="55"/>
      <c r="IT57" s="55"/>
      <c r="IU57" s="55"/>
      <c r="IV57" s="55"/>
      <c r="IW57" s="55"/>
      <c r="IX57" s="55"/>
      <c r="IY57" s="55"/>
      <c r="IZ57" s="55"/>
      <c r="JA57" s="55"/>
      <c r="JB57" s="55"/>
      <c r="JC57" s="55"/>
      <c r="JD57" s="55"/>
      <c r="JE57" s="55"/>
      <c r="JF57" s="55"/>
      <c r="JG57" s="55"/>
      <c r="JH57" s="55"/>
      <c r="JI57" s="55"/>
      <c r="JJ57" s="55"/>
      <c r="JK57" s="25"/>
      <c r="JL57" s="25"/>
      <c r="JM57" s="25"/>
      <c r="JN57" s="25"/>
      <c r="JO57" s="25"/>
      <c r="JP57" s="25"/>
      <c r="JQ57" s="25"/>
      <c r="JR57" s="25"/>
      <c r="JS57" s="25"/>
      <c r="JT57" s="25"/>
      <c r="JU57" s="25"/>
      <c r="JV57" s="25"/>
      <c r="JW57" s="25"/>
      <c r="JX57" s="25"/>
      <c r="JY57" s="25"/>
      <c r="JZ57" s="25"/>
      <c r="KA57" s="25"/>
      <c r="KB57" s="25"/>
      <c r="KC57" s="25"/>
      <c r="KD57" s="25"/>
      <c r="KE57" s="25"/>
      <c r="KF57" s="25"/>
      <c r="KG57" s="25"/>
      <c r="KH57" s="25"/>
      <c r="KI57" s="25"/>
      <c r="KJ57" s="25"/>
      <c r="KK57" s="25"/>
      <c r="KL57" s="25"/>
      <c r="KM57" s="25"/>
      <c r="KN57" s="25"/>
      <c r="KO57" s="25"/>
      <c r="KP57" s="25"/>
      <c r="KQ57" s="25"/>
      <c r="KR57" s="25"/>
      <c r="KS57" s="25"/>
      <c r="KT57" s="25"/>
      <c r="KU57" s="25"/>
      <c r="KV57" s="25"/>
      <c r="KW57" s="25"/>
      <c r="KX57" s="25"/>
      <c r="KY57" s="25"/>
      <c r="KZ57" s="25"/>
      <c r="LA57" s="25"/>
      <c r="LB57" s="25"/>
      <c r="LC57" s="25"/>
      <c r="LD57" s="25"/>
      <c r="LE57" s="25"/>
      <c r="LF57" s="25"/>
      <c r="LG57" s="25"/>
      <c r="LH57" s="25"/>
      <c r="LI57" s="25"/>
      <c r="LJ57" s="25"/>
      <c r="LK57" s="25"/>
      <c r="LL57" s="25"/>
      <c r="LM57" s="25"/>
      <c r="LN57" s="25"/>
      <c r="LO57" s="25"/>
      <c r="LP57" s="25"/>
      <c r="LQ57" s="25"/>
      <c r="LR57" s="25"/>
      <c r="LS57" s="166"/>
      <c r="LT57" s="166"/>
      <c r="LU57" s="166"/>
      <c r="LV57" s="166"/>
      <c r="LW57" s="166"/>
      <c r="LX57" s="166"/>
      <c r="LY57" s="166"/>
      <c r="LZ57" s="166"/>
      <c r="MA57" s="166"/>
      <c r="MB57" s="166"/>
      <c r="MC57" s="166"/>
      <c r="MD57" s="166"/>
      <c r="ME57" s="166"/>
      <c r="MF57" s="166"/>
      <c r="MG57" s="166"/>
      <c r="MH57" s="166"/>
      <c r="MI57" s="166"/>
      <c r="MJ57" s="166"/>
      <c r="MK57" s="166"/>
      <c r="ML57" s="166"/>
      <c r="MM57" s="166"/>
      <c r="MN57" s="166"/>
      <c r="MO57" s="166"/>
      <c r="MP57" s="166"/>
      <c r="MQ57" s="166"/>
      <c r="MR57" s="166"/>
      <c r="MS57" s="166"/>
      <c r="MT57" s="166"/>
      <c r="MU57" s="166"/>
      <c r="MV57" s="166"/>
      <c r="MW57" s="166"/>
      <c r="MX57" s="166"/>
      <c r="MY57" s="166"/>
      <c r="MZ57" s="166"/>
      <c r="NA57" s="166"/>
      <c r="NB57" s="166"/>
      <c r="NC57" s="166"/>
      <c r="ND57" s="166"/>
      <c r="NE57" s="166"/>
      <c r="NF57" s="166"/>
      <c r="NG57" s="166"/>
      <c r="NH57" s="166"/>
      <c r="NI57" s="166"/>
      <c r="NJ57" s="166"/>
      <c r="NK57" s="166"/>
      <c r="NL57" s="166"/>
      <c r="NM57" s="166"/>
      <c r="NN57" s="166"/>
      <c r="NO57" s="166"/>
      <c r="NP57" s="166"/>
      <c r="NQ57" s="166"/>
      <c r="NR57" s="166"/>
      <c r="NS57" s="166"/>
      <c r="NT57" s="166"/>
      <c r="NU57" s="166"/>
      <c r="NV57" s="166"/>
      <c r="NW57" s="166"/>
      <c r="NX57" s="166"/>
      <c r="NY57" s="166"/>
      <c r="NZ57" s="166"/>
      <c r="OA57" s="25"/>
      <c r="OB57" s="25"/>
      <c r="OC57" s="25"/>
      <c r="OD57" s="81"/>
      <c r="OE57" s="25"/>
      <c r="OF57" s="25"/>
      <c r="OG57" s="25"/>
      <c r="OH57" s="25"/>
      <c r="OI57" s="25"/>
      <c r="OJ57" s="25"/>
      <c r="OK57" s="25"/>
      <c r="OL57" s="25"/>
      <c r="OM57" s="25"/>
      <c r="ON57" s="25"/>
      <c r="OO57" s="25"/>
      <c r="OP57" s="25"/>
      <c r="OQ57" s="25"/>
      <c r="OR5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7" s="81"/>
      <c r="OT57" s="25"/>
      <c r="OU57" s="81"/>
      <c r="OV57" s="81"/>
    </row>
    <row r="58" spans="1:412" ht="12.5" x14ac:dyDescent="0.25">
      <c r="A58" s="25">
        <v>39</v>
      </c>
      <c r="B58" s="25" t="b">
        <f>NOT(ISBLANK(SEBBusinessDataTable[[#This Row],[SEBBusinessType]]))</f>
        <v>0</v>
      </c>
      <c r="C58" s="25"/>
      <c r="D58" s="25"/>
      <c r="E58" s="25"/>
      <c r="F58" s="25"/>
      <c r="G58" s="25"/>
      <c r="H58" s="25"/>
      <c r="I58" s="25"/>
      <c r="J58" s="25">
        <f>COUNTIF(SEBBusinessDataTable[[#This Row],[SEBAssociatedFlagApp1]:[SEBAssociatedFlagApp6]],"Yes")</f>
        <v>0</v>
      </c>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c r="DH58" s="25"/>
      <c r="DI58" s="25"/>
      <c r="DJ58" s="25"/>
      <c r="DK58" s="25"/>
      <c r="DL58" s="25"/>
      <c r="DM58" s="25"/>
      <c r="DN58" s="25"/>
      <c r="DO58" s="55"/>
      <c r="DP58" s="55"/>
      <c r="DQ58" s="55"/>
      <c r="DR58" s="55"/>
      <c r="DS58" s="55"/>
      <c r="DT58" s="55"/>
      <c r="DU58" s="55"/>
      <c r="DV58" s="55"/>
      <c r="DW58" s="55"/>
      <c r="DX58" s="55"/>
      <c r="DY58" s="55"/>
      <c r="DZ58" s="55"/>
      <c r="EA58" s="25"/>
      <c r="EB58" s="25"/>
      <c r="EC58" s="25"/>
      <c r="ED58" s="25"/>
      <c r="EE58" s="25"/>
      <c r="EF58" s="25"/>
      <c r="EG58" s="25"/>
      <c r="EH58" s="25"/>
      <c r="EI58" s="25"/>
      <c r="EJ58" s="25"/>
      <c r="EK58" s="25"/>
      <c r="EL58" s="25"/>
      <c r="EM58" s="25"/>
      <c r="EN58" s="25"/>
      <c r="EO58" s="25"/>
      <c r="EP58" s="25"/>
      <c r="EQ58" s="25"/>
      <c r="ER58" s="25"/>
      <c r="ES58" s="25"/>
      <c r="ET58" s="25"/>
      <c r="EU58" s="25"/>
      <c r="EV58" s="25"/>
      <c r="EW58" s="25"/>
      <c r="EX58" s="25"/>
      <c r="EY58" s="25"/>
      <c r="EZ58" s="25"/>
      <c r="FA58" s="25"/>
      <c r="FB58" s="25"/>
      <c r="FC58" s="25"/>
      <c r="FD58" s="25"/>
      <c r="FE58" s="25"/>
      <c r="FF58" s="25"/>
      <c r="FG58" s="25"/>
      <c r="FH58" s="25"/>
      <c r="FI58" s="25"/>
      <c r="FJ58" s="25"/>
      <c r="FK58" s="25"/>
      <c r="FL58" s="25"/>
      <c r="FM58" s="25"/>
      <c r="FN58" s="25"/>
      <c r="FO58" s="25"/>
      <c r="FP58" s="25"/>
      <c r="FQ58" s="25"/>
      <c r="FR58" s="25"/>
      <c r="FS58" s="25"/>
      <c r="FT58" s="25"/>
      <c r="FU58" s="25"/>
      <c r="FV58" s="25"/>
      <c r="FW58" s="25"/>
      <c r="FX58" s="25"/>
      <c r="FY58" s="25"/>
      <c r="FZ58" s="25"/>
      <c r="GA58" s="25"/>
      <c r="GB58" s="25"/>
      <c r="GC58" s="25"/>
      <c r="GD58" s="25"/>
      <c r="GE58" s="25"/>
      <c r="GF58" s="25"/>
      <c r="GG58" s="25"/>
      <c r="GH58" s="25"/>
      <c r="GI58" s="25"/>
      <c r="GJ58" s="25"/>
      <c r="GK58" s="25"/>
      <c r="GL58" s="25"/>
      <c r="GM58" s="25"/>
      <c r="GN58" s="25"/>
      <c r="GO58" s="25"/>
      <c r="GP58" s="25"/>
      <c r="GQ58" s="25"/>
      <c r="GR58" s="25"/>
      <c r="GS58" s="25"/>
      <c r="GT58" s="25"/>
      <c r="GU58" s="25"/>
      <c r="GV58" s="25"/>
      <c r="GW58" s="25"/>
      <c r="GX58" s="25"/>
      <c r="GY58" s="25"/>
      <c r="GZ58" s="25"/>
      <c r="HA58" s="25"/>
      <c r="HB58" s="25"/>
      <c r="HC58" s="55"/>
      <c r="HD58" s="55"/>
      <c r="HE58" s="55"/>
      <c r="HF58" s="55"/>
      <c r="HG58" s="55"/>
      <c r="HH58" s="55"/>
      <c r="HI58" s="55"/>
      <c r="HJ58" s="55"/>
      <c r="HK58" s="55"/>
      <c r="HL58" s="55"/>
      <c r="HM58" s="55"/>
      <c r="HN58" s="55"/>
      <c r="HO58" s="55"/>
      <c r="HP58" s="55"/>
      <c r="HQ58" s="55"/>
      <c r="HR58" s="55"/>
      <c r="HS58" s="55"/>
      <c r="HT58" s="55"/>
      <c r="HU58" s="55"/>
      <c r="HV58" s="55"/>
      <c r="HW58" s="55"/>
      <c r="HX58" s="55"/>
      <c r="HY58" s="55"/>
      <c r="HZ58" s="55"/>
      <c r="IA58" s="55"/>
      <c r="IB58" s="55"/>
      <c r="IC58" s="55"/>
      <c r="ID58" s="55"/>
      <c r="IE58" s="55"/>
      <c r="IF58" s="55"/>
      <c r="IG58" s="55"/>
      <c r="IH58" s="55"/>
      <c r="II58" s="55"/>
      <c r="IJ58" s="55"/>
      <c r="IK58" s="55"/>
      <c r="IL58" s="55"/>
      <c r="IM58" s="55"/>
      <c r="IN58" s="55"/>
      <c r="IO58" s="55"/>
      <c r="IP58" s="55"/>
      <c r="IQ58" s="55"/>
      <c r="IR58" s="55"/>
      <c r="IS58" s="55"/>
      <c r="IT58" s="55"/>
      <c r="IU58" s="55"/>
      <c r="IV58" s="55"/>
      <c r="IW58" s="55"/>
      <c r="IX58" s="55"/>
      <c r="IY58" s="55"/>
      <c r="IZ58" s="55"/>
      <c r="JA58" s="55"/>
      <c r="JB58" s="55"/>
      <c r="JC58" s="55"/>
      <c r="JD58" s="55"/>
      <c r="JE58" s="55"/>
      <c r="JF58" s="55"/>
      <c r="JG58" s="55"/>
      <c r="JH58" s="55"/>
      <c r="JI58" s="55"/>
      <c r="JJ58" s="55"/>
      <c r="JK58" s="25"/>
      <c r="JL58" s="25"/>
      <c r="JM58" s="25"/>
      <c r="JN58" s="25"/>
      <c r="JO58" s="25"/>
      <c r="JP58" s="25"/>
      <c r="JQ58" s="25"/>
      <c r="JR58" s="25"/>
      <c r="JS58" s="25"/>
      <c r="JT58" s="25"/>
      <c r="JU58" s="25"/>
      <c r="JV58" s="25"/>
      <c r="JW58" s="25"/>
      <c r="JX58" s="25"/>
      <c r="JY58" s="25"/>
      <c r="JZ58" s="25"/>
      <c r="KA58" s="25"/>
      <c r="KB58" s="25"/>
      <c r="KC58" s="25"/>
      <c r="KD58" s="25"/>
      <c r="KE58" s="25"/>
      <c r="KF58" s="25"/>
      <c r="KG58" s="25"/>
      <c r="KH58" s="25"/>
      <c r="KI58" s="25"/>
      <c r="KJ58" s="25"/>
      <c r="KK58" s="25"/>
      <c r="KL58" s="25"/>
      <c r="KM58" s="25"/>
      <c r="KN58" s="25"/>
      <c r="KO58" s="25"/>
      <c r="KP58" s="25"/>
      <c r="KQ58" s="25"/>
      <c r="KR58" s="25"/>
      <c r="KS58" s="25"/>
      <c r="KT58" s="25"/>
      <c r="KU58" s="25"/>
      <c r="KV58" s="25"/>
      <c r="KW58" s="25"/>
      <c r="KX58" s="25"/>
      <c r="KY58" s="25"/>
      <c r="KZ58" s="25"/>
      <c r="LA58" s="25"/>
      <c r="LB58" s="25"/>
      <c r="LC58" s="25"/>
      <c r="LD58" s="25"/>
      <c r="LE58" s="25"/>
      <c r="LF58" s="25"/>
      <c r="LG58" s="25"/>
      <c r="LH58" s="25"/>
      <c r="LI58" s="25"/>
      <c r="LJ58" s="25"/>
      <c r="LK58" s="25"/>
      <c r="LL58" s="25"/>
      <c r="LM58" s="25"/>
      <c r="LN58" s="25"/>
      <c r="LO58" s="25"/>
      <c r="LP58" s="25"/>
      <c r="LQ58" s="25"/>
      <c r="LR58" s="25"/>
      <c r="LS58" s="166"/>
      <c r="LT58" s="166"/>
      <c r="LU58" s="166"/>
      <c r="LV58" s="166"/>
      <c r="LW58" s="166"/>
      <c r="LX58" s="166"/>
      <c r="LY58" s="166"/>
      <c r="LZ58" s="166"/>
      <c r="MA58" s="166"/>
      <c r="MB58" s="166"/>
      <c r="MC58" s="166"/>
      <c r="MD58" s="166"/>
      <c r="ME58" s="166"/>
      <c r="MF58" s="166"/>
      <c r="MG58" s="166"/>
      <c r="MH58" s="166"/>
      <c r="MI58" s="166"/>
      <c r="MJ58" s="166"/>
      <c r="MK58" s="166"/>
      <c r="ML58" s="166"/>
      <c r="MM58" s="166"/>
      <c r="MN58" s="166"/>
      <c r="MO58" s="166"/>
      <c r="MP58" s="166"/>
      <c r="MQ58" s="166"/>
      <c r="MR58" s="166"/>
      <c r="MS58" s="166"/>
      <c r="MT58" s="166"/>
      <c r="MU58" s="166"/>
      <c r="MV58" s="166"/>
      <c r="MW58" s="166"/>
      <c r="MX58" s="166"/>
      <c r="MY58" s="166"/>
      <c r="MZ58" s="166"/>
      <c r="NA58" s="166"/>
      <c r="NB58" s="166"/>
      <c r="NC58" s="166"/>
      <c r="ND58" s="166"/>
      <c r="NE58" s="166"/>
      <c r="NF58" s="166"/>
      <c r="NG58" s="166"/>
      <c r="NH58" s="166"/>
      <c r="NI58" s="166"/>
      <c r="NJ58" s="166"/>
      <c r="NK58" s="166"/>
      <c r="NL58" s="166"/>
      <c r="NM58" s="166"/>
      <c r="NN58" s="166"/>
      <c r="NO58" s="166"/>
      <c r="NP58" s="166"/>
      <c r="NQ58" s="166"/>
      <c r="NR58" s="166"/>
      <c r="NS58" s="166"/>
      <c r="NT58" s="166"/>
      <c r="NU58" s="166"/>
      <c r="NV58" s="166"/>
      <c r="NW58" s="166"/>
      <c r="NX58" s="166"/>
      <c r="NY58" s="166"/>
      <c r="NZ58" s="166"/>
      <c r="OA58" s="25"/>
      <c r="OB58" s="25"/>
      <c r="OC58" s="25"/>
      <c r="OD58" s="81"/>
      <c r="OE58" s="25"/>
      <c r="OF58" s="25"/>
      <c r="OG58" s="25"/>
      <c r="OH58" s="25"/>
      <c r="OI58" s="25"/>
      <c r="OJ58" s="25"/>
      <c r="OK58" s="25"/>
      <c r="OL58" s="25"/>
      <c r="OM58" s="25"/>
      <c r="ON58" s="25"/>
      <c r="OO58" s="25"/>
      <c r="OP58" s="25"/>
      <c r="OQ58" s="25"/>
      <c r="OR5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8" s="81"/>
      <c r="OT58" s="25"/>
      <c r="OU58" s="81"/>
      <c r="OV58" s="81"/>
    </row>
    <row r="59" spans="1:412" ht="12.5" x14ac:dyDescent="0.25">
      <c r="A59" s="25">
        <v>40</v>
      </c>
      <c r="B59" s="25" t="b">
        <f>NOT(ISBLANK(SEBBusinessDataTable[[#This Row],[SEBBusinessType]]))</f>
        <v>0</v>
      </c>
      <c r="C59" s="25"/>
      <c r="D59" s="25"/>
      <c r="E59" s="25"/>
      <c r="F59" s="25"/>
      <c r="G59" s="25"/>
      <c r="H59" s="25"/>
      <c r="I59" s="25"/>
      <c r="J59" s="25">
        <f>COUNTIF(SEBBusinessDataTable[[#This Row],[SEBAssociatedFlagApp1]:[SEBAssociatedFlagApp6]],"Yes")</f>
        <v>0</v>
      </c>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c r="DE59" s="25"/>
      <c r="DF59" s="25"/>
      <c r="DG59" s="25"/>
      <c r="DH59" s="25"/>
      <c r="DI59" s="25"/>
      <c r="DJ59" s="25"/>
      <c r="DK59" s="25"/>
      <c r="DL59" s="25"/>
      <c r="DM59" s="25"/>
      <c r="DN59" s="25"/>
      <c r="DO59" s="55"/>
      <c r="DP59" s="55"/>
      <c r="DQ59" s="55"/>
      <c r="DR59" s="55"/>
      <c r="DS59" s="55"/>
      <c r="DT59" s="55"/>
      <c r="DU59" s="55"/>
      <c r="DV59" s="55"/>
      <c r="DW59" s="55"/>
      <c r="DX59" s="55"/>
      <c r="DY59" s="55"/>
      <c r="DZ59" s="55"/>
      <c r="EA59" s="25"/>
      <c r="EB59" s="25"/>
      <c r="EC59" s="25"/>
      <c r="ED59" s="25"/>
      <c r="EE59" s="25"/>
      <c r="EF59" s="25"/>
      <c r="EG59" s="25"/>
      <c r="EH59" s="25"/>
      <c r="EI59" s="25"/>
      <c r="EJ59" s="25"/>
      <c r="EK59" s="25"/>
      <c r="EL59" s="25"/>
      <c r="EM59" s="25"/>
      <c r="EN59" s="25"/>
      <c r="EO59" s="25"/>
      <c r="EP59" s="25"/>
      <c r="EQ59" s="25"/>
      <c r="ER59" s="25"/>
      <c r="ES59" s="25"/>
      <c r="ET59" s="25"/>
      <c r="EU59" s="25"/>
      <c r="EV59" s="25"/>
      <c r="EW59" s="25"/>
      <c r="EX59" s="25"/>
      <c r="EY59" s="25"/>
      <c r="EZ59" s="25"/>
      <c r="FA59" s="25"/>
      <c r="FB59" s="25"/>
      <c r="FC59" s="25"/>
      <c r="FD59" s="25"/>
      <c r="FE59" s="25"/>
      <c r="FF59" s="25"/>
      <c r="FG59" s="25"/>
      <c r="FH59" s="25"/>
      <c r="FI59" s="25"/>
      <c r="FJ59" s="25"/>
      <c r="FK59" s="25"/>
      <c r="FL59" s="25"/>
      <c r="FM59" s="25"/>
      <c r="FN59" s="25"/>
      <c r="FO59" s="25"/>
      <c r="FP59" s="25"/>
      <c r="FQ59" s="25"/>
      <c r="FR59" s="25"/>
      <c r="FS59" s="25"/>
      <c r="FT59" s="25"/>
      <c r="FU59" s="25"/>
      <c r="FV59" s="25"/>
      <c r="FW59" s="25"/>
      <c r="FX59" s="25"/>
      <c r="FY59" s="25"/>
      <c r="FZ59" s="25"/>
      <c r="GA59" s="25"/>
      <c r="GB59" s="25"/>
      <c r="GC59" s="25"/>
      <c r="GD59" s="25"/>
      <c r="GE59" s="25"/>
      <c r="GF59" s="25"/>
      <c r="GG59" s="25"/>
      <c r="GH59" s="25"/>
      <c r="GI59" s="25"/>
      <c r="GJ59" s="25"/>
      <c r="GK59" s="25"/>
      <c r="GL59" s="25"/>
      <c r="GM59" s="25"/>
      <c r="GN59" s="25"/>
      <c r="GO59" s="25"/>
      <c r="GP59" s="25"/>
      <c r="GQ59" s="25"/>
      <c r="GR59" s="25"/>
      <c r="GS59" s="25"/>
      <c r="GT59" s="25"/>
      <c r="GU59" s="25"/>
      <c r="GV59" s="25"/>
      <c r="GW59" s="25"/>
      <c r="GX59" s="25"/>
      <c r="GY59" s="25"/>
      <c r="GZ59" s="25"/>
      <c r="HA59" s="25"/>
      <c r="HB59" s="25"/>
      <c r="HC59" s="55"/>
      <c r="HD59" s="55"/>
      <c r="HE59" s="55"/>
      <c r="HF59" s="55"/>
      <c r="HG59" s="55"/>
      <c r="HH59" s="55"/>
      <c r="HI59" s="55"/>
      <c r="HJ59" s="55"/>
      <c r="HK59" s="55"/>
      <c r="HL59" s="55"/>
      <c r="HM59" s="55"/>
      <c r="HN59" s="55"/>
      <c r="HO59" s="55"/>
      <c r="HP59" s="55"/>
      <c r="HQ59" s="55"/>
      <c r="HR59" s="55"/>
      <c r="HS59" s="55"/>
      <c r="HT59" s="55"/>
      <c r="HU59" s="55"/>
      <c r="HV59" s="55"/>
      <c r="HW59" s="55"/>
      <c r="HX59" s="55"/>
      <c r="HY59" s="55"/>
      <c r="HZ59" s="55"/>
      <c r="IA59" s="55"/>
      <c r="IB59" s="55"/>
      <c r="IC59" s="55"/>
      <c r="ID59" s="55"/>
      <c r="IE59" s="55"/>
      <c r="IF59" s="55"/>
      <c r="IG59" s="55"/>
      <c r="IH59" s="55"/>
      <c r="II59" s="55"/>
      <c r="IJ59" s="55"/>
      <c r="IK59" s="55"/>
      <c r="IL59" s="55"/>
      <c r="IM59" s="55"/>
      <c r="IN59" s="55"/>
      <c r="IO59" s="55"/>
      <c r="IP59" s="55"/>
      <c r="IQ59" s="55"/>
      <c r="IR59" s="55"/>
      <c r="IS59" s="55"/>
      <c r="IT59" s="55"/>
      <c r="IU59" s="55"/>
      <c r="IV59" s="55"/>
      <c r="IW59" s="55"/>
      <c r="IX59" s="55"/>
      <c r="IY59" s="55"/>
      <c r="IZ59" s="55"/>
      <c r="JA59" s="55"/>
      <c r="JB59" s="55"/>
      <c r="JC59" s="55"/>
      <c r="JD59" s="55"/>
      <c r="JE59" s="55"/>
      <c r="JF59" s="55"/>
      <c r="JG59" s="55"/>
      <c r="JH59" s="55"/>
      <c r="JI59" s="55"/>
      <c r="JJ59" s="55"/>
      <c r="JK59" s="25"/>
      <c r="JL59" s="25"/>
      <c r="JM59" s="25"/>
      <c r="JN59" s="25"/>
      <c r="JO59" s="25"/>
      <c r="JP59" s="25"/>
      <c r="JQ59" s="25"/>
      <c r="JR59" s="25"/>
      <c r="JS59" s="25"/>
      <c r="JT59" s="25"/>
      <c r="JU59" s="25"/>
      <c r="JV59" s="25"/>
      <c r="JW59" s="25"/>
      <c r="JX59" s="25"/>
      <c r="JY59" s="25"/>
      <c r="JZ59" s="25"/>
      <c r="KA59" s="25"/>
      <c r="KB59" s="25"/>
      <c r="KC59" s="25"/>
      <c r="KD59" s="25"/>
      <c r="KE59" s="25"/>
      <c r="KF59" s="25"/>
      <c r="KG59" s="25"/>
      <c r="KH59" s="25"/>
      <c r="KI59" s="25"/>
      <c r="KJ59" s="25"/>
      <c r="KK59" s="25"/>
      <c r="KL59" s="25"/>
      <c r="KM59" s="25"/>
      <c r="KN59" s="25"/>
      <c r="KO59" s="25"/>
      <c r="KP59" s="25"/>
      <c r="KQ59" s="25"/>
      <c r="KR59" s="25"/>
      <c r="KS59" s="25"/>
      <c r="KT59" s="25"/>
      <c r="KU59" s="25"/>
      <c r="KV59" s="25"/>
      <c r="KW59" s="25"/>
      <c r="KX59" s="25"/>
      <c r="KY59" s="25"/>
      <c r="KZ59" s="25"/>
      <c r="LA59" s="25"/>
      <c r="LB59" s="25"/>
      <c r="LC59" s="25"/>
      <c r="LD59" s="25"/>
      <c r="LE59" s="25"/>
      <c r="LF59" s="25"/>
      <c r="LG59" s="25"/>
      <c r="LH59" s="25"/>
      <c r="LI59" s="25"/>
      <c r="LJ59" s="25"/>
      <c r="LK59" s="25"/>
      <c r="LL59" s="25"/>
      <c r="LM59" s="25"/>
      <c r="LN59" s="25"/>
      <c r="LO59" s="25"/>
      <c r="LP59" s="25"/>
      <c r="LQ59" s="25"/>
      <c r="LR59" s="25"/>
      <c r="LS59" s="166"/>
      <c r="LT59" s="166"/>
      <c r="LU59" s="166"/>
      <c r="LV59" s="166"/>
      <c r="LW59" s="166"/>
      <c r="LX59" s="166"/>
      <c r="LY59" s="166"/>
      <c r="LZ59" s="166"/>
      <c r="MA59" s="166"/>
      <c r="MB59" s="166"/>
      <c r="MC59" s="166"/>
      <c r="MD59" s="166"/>
      <c r="ME59" s="166"/>
      <c r="MF59" s="166"/>
      <c r="MG59" s="166"/>
      <c r="MH59" s="166"/>
      <c r="MI59" s="166"/>
      <c r="MJ59" s="166"/>
      <c r="MK59" s="166"/>
      <c r="ML59" s="166"/>
      <c r="MM59" s="166"/>
      <c r="MN59" s="166"/>
      <c r="MO59" s="166"/>
      <c r="MP59" s="166"/>
      <c r="MQ59" s="166"/>
      <c r="MR59" s="166"/>
      <c r="MS59" s="166"/>
      <c r="MT59" s="166"/>
      <c r="MU59" s="166"/>
      <c r="MV59" s="166"/>
      <c r="MW59" s="166"/>
      <c r="MX59" s="166"/>
      <c r="MY59" s="166"/>
      <c r="MZ59" s="166"/>
      <c r="NA59" s="166"/>
      <c r="NB59" s="166"/>
      <c r="NC59" s="166"/>
      <c r="ND59" s="166"/>
      <c r="NE59" s="166"/>
      <c r="NF59" s="166"/>
      <c r="NG59" s="166"/>
      <c r="NH59" s="166"/>
      <c r="NI59" s="166"/>
      <c r="NJ59" s="166"/>
      <c r="NK59" s="166"/>
      <c r="NL59" s="166"/>
      <c r="NM59" s="166"/>
      <c r="NN59" s="166"/>
      <c r="NO59" s="166"/>
      <c r="NP59" s="166"/>
      <c r="NQ59" s="166"/>
      <c r="NR59" s="166"/>
      <c r="NS59" s="166"/>
      <c r="NT59" s="166"/>
      <c r="NU59" s="166"/>
      <c r="NV59" s="166"/>
      <c r="NW59" s="166"/>
      <c r="NX59" s="166"/>
      <c r="NY59" s="166"/>
      <c r="NZ59" s="166"/>
      <c r="OA59" s="25"/>
      <c r="OB59" s="25"/>
      <c r="OC59" s="25"/>
      <c r="OD59" s="81"/>
      <c r="OE59" s="25"/>
      <c r="OF59" s="25"/>
      <c r="OG59" s="25"/>
      <c r="OH59" s="25"/>
      <c r="OI59" s="25"/>
      <c r="OJ59" s="25"/>
      <c r="OK59" s="25"/>
      <c r="OL59" s="25"/>
      <c r="OM59" s="25"/>
      <c r="ON59" s="25"/>
      <c r="OO59" s="25"/>
      <c r="OP59" s="25"/>
      <c r="OQ59" s="25"/>
      <c r="OR5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9" s="81"/>
      <c r="OT59" s="25"/>
      <c r="OU59" s="81"/>
      <c r="OV59" s="81"/>
    </row>
    <row r="60" spans="1:412" ht="12.5" x14ac:dyDescent="0.25">
      <c r="A60" s="25">
        <v>41</v>
      </c>
      <c r="B60" s="25" t="b">
        <f>NOT(ISBLANK(SEBBusinessDataTable[[#This Row],[SEBBusinessType]]))</f>
        <v>0</v>
      </c>
      <c r="C60" s="25"/>
      <c r="D60" s="25"/>
      <c r="E60" s="25"/>
      <c r="F60" s="25"/>
      <c r="G60" s="25"/>
      <c r="H60" s="25"/>
      <c r="I60" s="25"/>
      <c r="J60" s="25">
        <f>COUNTIF(SEBBusinessDataTable[[#This Row],[SEBAssociatedFlagApp1]:[SEBAssociatedFlagApp6]],"Yes")</f>
        <v>0</v>
      </c>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c r="DH60" s="25"/>
      <c r="DI60" s="25"/>
      <c r="DJ60" s="25"/>
      <c r="DK60" s="25"/>
      <c r="DL60" s="25"/>
      <c r="DM60" s="25"/>
      <c r="DN60" s="25"/>
      <c r="DO60" s="55"/>
      <c r="DP60" s="55"/>
      <c r="DQ60" s="55"/>
      <c r="DR60" s="55"/>
      <c r="DS60" s="55"/>
      <c r="DT60" s="55"/>
      <c r="DU60" s="55"/>
      <c r="DV60" s="55"/>
      <c r="DW60" s="55"/>
      <c r="DX60" s="55"/>
      <c r="DY60" s="55"/>
      <c r="DZ60" s="55"/>
      <c r="EA60" s="25"/>
      <c r="EB60" s="25"/>
      <c r="EC60" s="25"/>
      <c r="ED60" s="25"/>
      <c r="EE60" s="25"/>
      <c r="EF60" s="25"/>
      <c r="EG60" s="25"/>
      <c r="EH60" s="25"/>
      <c r="EI60" s="25"/>
      <c r="EJ60" s="25"/>
      <c r="EK60" s="25"/>
      <c r="EL60" s="25"/>
      <c r="EM60" s="25"/>
      <c r="EN60" s="25"/>
      <c r="EO60" s="25"/>
      <c r="EP60" s="25"/>
      <c r="EQ60" s="25"/>
      <c r="ER60" s="25"/>
      <c r="ES60" s="25"/>
      <c r="ET60" s="25"/>
      <c r="EU60" s="25"/>
      <c r="EV60" s="25"/>
      <c r="EW60" s="25"/>
      <c r="EX60" s="25"/>
      <c r="EY60" s="25"/>
      <c r="EZ60" s="25"/>
      <c r="FA60" s="25"/>
      <c r="FB60" s="25"/>
      <c r="FC60" s="25"/>
      <c r="FD60" s="25"/>
      <c r="FE60" s="25"/>
      <c r="FF60" s="25"/>
      <c r="FG60" s="25"/>
      <c r="FH60" s="25"/>
      <c r="FI60" s="25"/>
      <c r="FJ60" s="25"/>
      <c r="FK60" s="25"/>
      <c r="FL60" s="25"/>
      <c r="FM60" s="25"/>
      <c r="FN60" s="25"/>
      <c r="FO60" s="25"/>
      <c r="FP60" s="25"/>
      <c r="FQ60" s="25"/>
      <c r="FR60" s="25"/>
      <c r="FS60" s="25"/>
      <c r="FT60" s="25"/>
      <c r="FU60" s="25"/>
      <c r="FV60" s="25"/>
      <c r="FW60" s="25"/>
      <c r="FX60" s="25"/>
      <c r="FY60" s="25"/>
      <c r="FZ60" s="25"/>
      <c r="GA60" s="25"/>
      <c r="GB60" s="25"/>
      <c r="GC60" s="25"/>
      <c r="GD60" s="25"/>
      <c r="GE60" s="25"/>
      <c r="GF60" s="25"/>
      <c r="GG60" s="25"/>
      <c r="GH60" s="25"/>
      <c r="GI60" s="25"/>
      <c r="GJ60" s="25"/>
      <c r="GK60" s="25"/>
      <c r="GL60" s="25"/>
      <c r="GM60" s="25"/>
      <c r="GN60" s="25"/>
      <c r="GO60" s="25"/>
      <c r="GP60" s="25"/>
      <c r="GQ60" s="25"/>
      <c r="GR60" s="25"/>
      <c r="GS60" s="25"/>
      <c r="GT60" s="25"/>
      <c r="GU60" s="25"/>
      <c r="GV60" s="25"/>
      <c r="GW60" s="25"/>
      <c r="GX60" s="25"/>
      <c r="GY60" s="25"/>
      <c r="GZ60" s="25"/>
      <c r="HA60" s="25"/>
      <c r="HB60" s="25"/>
      <c r="HC60" s="55"/>
      <c r="HD60" s="55"/>
      <c r="HE60" s="55"/>
      <c r="HF60" s="55"/>
      <c r="HG60" s="55"/>
      <c r="HH60" s="55"/>
      <c r="HI60" s="55"/>
      <c r="HJ60" s="55"/>
      <c r="HK60" s="55"/>
      <c r="HL60" s="55"/>
      <c r="HM60" s="55"/>
      <c r="HN60" s="55"/>
      <c r="HO60" s="55"/>
      <c r="HP60" s="55"/>
      <c r="HQ60" s="55"/>
      <c r="HR60" s="55"/>
      <c r="HS60" s="55"/>
      <c r="HT60" s="55"/>
      <c r="HU60" s="55"/>
      <c r="HV60" s="55"/>
      <c r="HW60" s="55"/>
      <c r="HX60" s="55"/>
      <c r="HY60" s="55"/>
      <c r="HZ60" s="55"/>
      <c r="IA60" s="55"/>
      <c r="IB60" s="55"/>
      <c r="IC60" s="55"/>
      <c r="ID60" s="55"/>
      <c r="IE60" s="55"/>
      <c r="IF60" s="55"/>
      <c r="IG60" s="55"/>
      <c r="IH60" s="55"/>
      <c r="II60" s="55"/>
      <c r="IJ60" s="55"/>
      <c r="IK60" s="55"/>
      <c r="IL60" s="55"/>
      <c r="IM60" s="55"/>
      <c r="IN60" s="55"/>
      <c r="IO60" s="55"/>
      <c r="IP60" s="55"/>
      <c r="IQ60" s="55"/>
      <c r="IR60" s="55"/>
      <c r="IS60" s="55"/>
      <c r="IT60" s="55"/>
      <c r="IU60" s="55"/>
      <c r="IV60" s="55"/>
      <c r="IW60" s="55"/>
      <c r="IX60" s="55"/>
      <c r="IY60" s="55"/>
      <c r="IZ60" s="55"/>
      <c r="JA60" s="55"/>
      <c r="JB60" s="55"/>
      <c r="JC60" s="55"/>
      <c r="JD60" s="55"/>
      <c r="JE60" s="55"/>
      <c r="JF60" s="55"/>
      <c r="JG60" s="55"/>
      <c r="JH60" s="55"/>
      <c r="JI60" s="55"/>
      <c r="JJ60" s="55"/>
      <c r="JK60" s="25"/>
      <c r="JL60" s="25"/>
      <c r="JM60" s="25"/>
      <c r="JN60" s="25"/>
      <c r="JO60" s="25"/>
      <c r="JP60" s="25"/>
      <c r="JQ60" s="25"/>
      <c r="JR60" s="25"/>
      <c r="JS60" s="25"/>
      <c r="JT60" s="25"/>
      <c r="JU60" s="25"/>
      <c r="JV60" s="25"/>
      <c r="JW60" s="25"/>
      <c r="JX60" s="25"/>
      <c r="JY60" s="25"/>
      <c r="JZ60" s="25"/>
      <c r="KA60" s="25"/>
      <c r="KB60" s="25"/>
      <c r="KC60" s="25"/>
      <c r="KD60" s="25"/>
      <c r="KE60" s="25"/>
      <c r="KF60" s="25"/>
      <c r="KG60" s="25"/>
      <c r="KH60" s="25"/>
      <c r="KI60" s="25"/>
      <c r="KJ60" s="25"/>
      <c r="KK60" s="25"/>
      <c r="KL60" s="25"/>
      <c r="KM60" s="25"/>
      <c r="KN60" s="25"/>
      <c r="KO60" s="25"/>
      <c r="KP60" s="25"/>
      <c r="KQ60" s="25"/>
      <c r="KR60" s="25"/>
      <c r="KS60" s="25"/>
      <c r="KT60" s="25"/>
      <c r="KU60" s="25"/>
      <c r="KV60" s="25"/>
      <c r="KW60" s="25"/>
      <c r="KX60" s="25"/>
      <c r="KY60" s="25"/>
      <c r="KZ60" s="25"/>
      <c r="LA60" s="25"/>
      <c r="LB60" s="25"/>
      <c r="LC60" s="25"/>
      <c r="LD60" s="25"/>
      <c r="LE60" s="25"/>
      <c r="LF60" s="25"/>
      <c r="LG60" s="25"/>
      <c r="LH60" s="25"/>
      <c r="LI60" s="25"/>
      <c r="LJ60" s="25"/>
      <c r="LK60" s="25"/>
      <c r="LL60" s="25"/>
      <c r="LM60" s="25"/>
      <c r="LN60" s="25"/>
      <c r="LO60" s="25"/>
      <c r="LP60" s="25"/>
      <c r="LQ60" s="25"/>
      <c r="LR60" s="25"/>
      <c r="LS60" s="166"/>
      <c r="LT60" s="166"/>
      <c r="LU60" s="166"/>
      <c r="LV60" s="166"/>
      <c r="LW60" s="166"/>
      <c r="LX60" s="166"/>
      <c r="LY60" s="166"/>
      <c r="LZ60" s="166"/>
      <c r="MA60" s="166"/>
      <c r="MB60" s="166"/>
      <c r="MC60" s="166"/>
      <c r="MD60" s="166"/>
      <c r="ME60" s="166"/>
      <c r="MF60" s="166"/>
      <c r="MG60" s="166"/>
      <c r="MH60" s="166"/>
      <c r="MI60" s="166"/>
      <c r="MJ60" s="166"/>
      <c r="MK60" s="166"/>
      <c r="ML60" s="166"/>
      <c r="MM60" s="166"/>
      <c r="MN60" s="166"/>
      <c r="MO60" s="166"/>
      <c r="MP60" s="166"/>
      <c r="MQ60" s="166"/>
      <c r="MR60" s="166"/>
      <c r="MS60" s="166"/>
      <c r="MT60" s="166"/>
      <c r="MU60" s="166"/>
      <c r="MV60" s="166"/>
      <c r="MW60" s="166"/>
      <c r="MX60" s="166"/>
      <c r="MY60" s="166"/>
      <c r="MZ60" s="166"/>
      <c r="NA60" s="166"/>
      <c r="NB60" s="166"/>
      <c r="NC60" s="166"/>
      <c r="ND60" s="166"/>
      <c r="NE60" s="166"/>
      <c r="NF60" s="166"/>
      <c r="NG60" s="166"/>
      <c r="NH60" s="166"/>
      <c r="NI60" s="166"/>
      <c r="NJ60" s="166"/>
      <c r="NK60" s="166"/>
      <c r="NL60" s="166"/>
      <c r="NM60" s="166"/>
      <c r="NN60" s="166"/>
      <c r="NO60" s="166"/>
      <c r="NP60" s="166"/>
      <c r="NQ60" s="166"/>
      <c r="NR60" s="166"/>
      <c r="NS60" s="166"/>
      <c r="NT60" s="166"/>
      <c r="NU60" s="166"/>
      <c r="NV60" s="166"/>
      <c r="NW60" s="166"/>
      <c r="NX60" s="166"/>
      <c r="NY60" s="166"/>
      <c r="NZ60" s="166"/>
      <c r="OA60" s="25"/>
      <c r="OB60" s="25"/>
      <c r="OC60" s="25"/>
      <c r="OD60" s="81"/>
      <c r="OE60" s="25"/>
      <c r="OF60" s="25"/>
      <c r="OG60" s="25"/>
      <c r="OH60" s="25"/>
      <c r="OI60" s="25"/>
      <c r="OJ60" s="25"/>
      <c r="OK60" s="25"/>
      <c r="OL60" s="25"/>
      <c r="OM60" s="25"/>
      <c r="ON60" s="25"/>
      <c r="OO60" s="25"/>
      <c r="OP60" s="25"/>
      <c r="OQ60" s="25"/>
      <c r="OR6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0" s="81"/>
      <c r="OT60" s="25"/>
      <c r="OU60" s="81"/>
      <c r="OV60" s="81"/>
    </row>
    <row r="61" spans="1:412" ht="12.5" x14ac:dyDescent="0.25">
      <c r="A61" s="25">
        <v>42</v>
      </c>
      <c r="B61" s="25" t="b">
        <f>NOT(ISBLANK(SEBBusinessDataTable[[#This Row],[SEBBusinessType]]))</f>
        <v>0</v>
      </c>
      <c r="C61" s="25"/>
      <c r="D61" s="25"/>
      <c r="E61" s="25"/>
      <c r="F61" s="25"/>
      <c r="G61" s="25"/>
      <c r="H61" s="25"/>
      <c r="I61" s="25"/>
      <c r="J61" s="25">
        <f>COUNTIF(SEBBusinessDataTable[[#This Row],[SEBAssociatedFlagApp1]:[SEBAssociatedFlagApp6]],"Yes")</f>
        <v>0</v>
      </c>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c r="CI61" s="25"/>
      <c r="CJ61" s="25"/>
      <c r="CK61" s="25"/>
      <c r="CL61" s="25"/>
      <c r="CM61" s="25"/>
      <c r="CN61" s="25"/>
      <c r="CO61" s="25"/>
      <c r="CP61" s="25"/>
      <c r="CQ61" s="25"/>
      <c r="CR61" s="25"/>
      <c r="CS61" s="25"/>
      <c r="CT61" s="25"/>
      <c r="CU61" s="25"/>
      <c r="CV61" s="25"/>
      <c r="CW61" s="25"/>
      <c r="CX61" s="25"/>
      <c r="CY61" s="25"/>
      <c r="CZ61" s="25"/>
      <c r="DA61" s="25"/>
      <c r="DB61" s="25"/>
      <c r="DC61" s="25"/>
      <c r="DD61" s="25"/>
      <c r="DE61" s="25"/>
      <c r="DF61" s="25"/>
      <c r="DG61" s="25"/>
      <c r="DH61" s="25"/>
      <c r="DI61" s="25"/>
      <c r="DJ61" s="25"/>
      <c r="DK61" s="25"/>
      <c r="DL61" s="25"/>
      <c r="DM61" s="25"/>
      <c r="DN61" s="25"/>
      <c r="DO61" s="55"/>
      <c r="DP61" s="55"/>
      <c r="DQ61" s="55"/>
      <c r="DR61" s="55"/>
      <c r="DS61" s="55"/>
      <c r="DT61" s="55"/>
      <c r="DU61" s="55"/>
      <c r="DV61" s="55"/>
      <c r="DW61" s="55"/>
      <c r="DX61" s="55"/>
      <c r="DY61" s="55"/>
      <c r="DZ61" s="55"/>
      <c r="EA61" s="25"/>
      <c r="EB61" s="25"/>
      <c r="EC61" s="25"/>
      <c r="ED61" s="25"/>
      <c r="EE61" s="25"/>
      <c r="EF61" s="25"/>
      <c r="EG61" s="25"/>
      <c r="EH61" s="25"/>
      <c r="EI61" s="25"/>
      <c r="EJ61" s="25"/>
      <c r="EK61" s="25"/>
      <c r="EL61" s="25"/>
      <c r="EM61" s="25"/>
      <c r="EN61" s="25"/>
      <c r="EO61" s="25"/>
      <c r="EP61" s="25"/>
      <c r="EQ61" s="25"/>
      <c r="ER61" s="25"/>
      <c r="ES61" s="25"/>
      <c r="ET61" s="25"/>
      <c r="EU61" s="25"/>
      <c r="EV61" s="25"/>
      <c r="EW61" s="25"/>
      <c r="EX61" s="25"/>
      <c r="EY61" s="25"/>
      <c r="EZ61" s="25"/>
      <c r="FA61" s="25"/>
      <c r="FB61" s="25"/>
      <c r="FC61" s="25"/>
      <c r="FD61" s="25"/>
      <c r="FE61" s="25"/>
      <c r="FF61" s="25"/>
      <c r="FG61" s="25"/>
      <c r="FH61" s="25"/>
      <c r="FI61" s="25"/>
      <c r="FJ61" s="25"/>
      <c r="FK61" s="25"/>
      <c r="FL61" s="25"/>
      <c r="FM61" s="25"/>
      <c r="FN61" s="25"/>
      <c r="FO61" s="25"/>
      <c r="FP61" s="25"/>
      <c r="FQ61" s="25"/>
      <c r="FR61" s="25"/>
      <c r="FS61" s="25"/>
      <c r="FT61" s="25"/>
      <c r="FU61" s="25"/>
      <c r="FV61" s="25"/>
      <c r="FW61" s="25"/>
      <c r="FX61" s="25"/>
      <c r="FY61" s="25"/>
      <c r="FZ61" s="25"/>
      <c r="GA61" s="25"/>
      <c r="GB61" s="25"/>
      <c r="GC61" s="25"/>
      <c r="GD61" s="25"/>
      <c r="GE61" s="25"/>
      <c r="GF61" s="25"/>
      <c r="GG61" s="25"/>
      <c r="GH61" s="25"/>
      <c r="GI61" s="25"/>
      <c r="GJ61" s="25"/>
      <c r="GK61" s="25"/>
      <c r="GL61" s="25"/>
      <c r="GM61" s="25"/>
      <c r="GN61" s="25"/>
      <c r="GO61" s="25"/>
      <c r="GP61" s="25"/>
      <c r="GQ61" s="25"/>
      <c r="GR61" s="25"/>
      <c r="GS61" s="25"/>
      <c r="GT61" s="25"/>
      <c r="GU61" s="25"/>
      <c r="GV61" s="25"/>
      <c r="GW61" s="25"/>
      <c r="GX61" s="25"/>
      <c r="GY61" s="25"/>
      <c r="GZ61" s="25"/>
      <c r="HA61" s="25"/>
      <c r="HB61" s="25"/>
      <c r="HC61" s="55"/>
      <c r="HD61" s="55"/>
      <c r="HE61" s="55"/>
      <c r="HF61" s="55"/>
      <c r="HG61" s="55"/>
      <c r="HH61" s="55"/>
      <c r="HI61" s="55"/>
      <c r="HJ61" s="55"/>
      <c r="HK61" s="55"/>
      <c r="HL61" s="55"/>
      <c r="HM61" s="55"/>
      <c r="HN61" s="55"/>
      <c r="HO61" s="55"/>
      <c r="HP61" s="55"/>
      <c r="HQ61" s="55"/>
      <c r="HR61" s="55"/>
      <c r="HS61" s="55"/>
      <c r="HT61" s="55"/>
      <c r="HU61" s="55"/>
      <c r="HV61" s="55"/>
      <c r="HW61" s="55"/>
      <c r="HX61" s="55"/>
      <c r="HY61" s="55"/>
      <c r="HZ61" s="55"/>
      <c r="IA61" s="55"/>
      <c r="IB61" s="55"/>
      <c r="IC61" s="55"/>
      <c r="ID61" s="55"/>
      <c r="IE61" s="55"/>
      <c r="IF61" s="55"/>
      <c r="IG61" s="55"/>
      <c r="IH61" s="55"/>
      <c r="II61" s="55"/>
      <c r="IJ61" s="55"/>
      <c r="IK61" s="55"/>
      <c r="IL61" s="55"/>
      <c r="IM61" s="55"/>
      <c r="IN61" s="55"/>
      <c r="IO61" s="55"/>
      <c r="IP61" s="55"/>
      <c r="IQ61" s="55"/>
      <c r="IR61" s="55"/>
      <c r="IS61" s="55"/>
      <c r="IT61" s="55"/>
      <c r="IU61" s="55"/>
      <c r="IV61" s="55"/>
      <c r="IW61" s="55"/>
      <c r="IX61" s="55"/>
      <c r="IY61" s="55"/>
      <c r="IZ61" s="55"/>
      <c r="JA61" s="55"/>
      <c r="JB61" s="55"/>
      <c r="JC61" s="55"/>
      <c r="JD61" s="55"/>
      <c r="JE61" s="55"/>
      <c r="JF61" s="55"/>
      <c r="JG61" s="55"/>
      <c r="JH61" s="55"/>
      <c r="JI61" s="55"/>
      <c r="JJ61" s="55"/>
      <c r="JK61" s="25"/>
      <c r="JL61" s="25"/>
      <c r="JM61" s="25"/>
      <c r="JN61" s="25"/>
      <c r="JO61" s="25"/>
      <c r="JP61" s="25"/>
      <c r="JQ61" s="25"/>
      <c r="JR61" s="25"/>
      <c r="JS61" s="25"/>
      <c r="JT61" s="25"/>
      <c r="JU61" s="25"/>
      <c r="JV61" s="25"/>
      <c r="JW61" s="25"/>
      <c r="JX61" s="25"/>
      <c r="JY61" s="25"/>
      <c r="JZ61" s="25"/>
      <c r="KA61" s="25"/>
      <c r="KB61" s="25"/>
      <c r="KC61" s="25"/>
      <c r="KD61" s="25"/>
      <c r="KE61" s="25"/>
      <c r="KF61" s="25"/>
      <c r="KG61" s="25"/>
      <c r="KH61" s="25"/>
      <c r="KI61" s="25"/>
      <c r="KJ61" s="25"/>
      <c r="KK61" s="25"/>
      <c r="KL61" s="25"/>
      <c r="KM61" s="25"/>
      <c r="KN61" s="25"/>
      <c r="KO61" s="25"/>
      <c r="KP61" s="25"/>
      <c r="KQ61" s="25"/>
      <c r="KR61" s="25"/>
      <c r="KS61" s="25"/>
      <c r="KT61" s="25"/>
      <c r="KU61" s="25"/>
      <c r="KV61" s="25"/>
      <c r="KW61" s="25"/>
      <c r="KX61" s="25"/>
      <c r="KY61" s="25"/>
      <c r="KZ61" s="25"/>
      <c r="LA61" s="25"/>
      <c r="LB61" s="25"/>
      <c r="LC61" s="25"/>
      <c r="LD61" s="25"/>
      <c r="LE61" s="25"/>
      <c r="LF61" s="25"/>
      <c r="LG61" s="25"/>
      <c r="LH61" s="25"/>
      <c r="LI61" s="25"/>
      <c r="LJ61" s="25"/>
      <c r="LK61" s="25"/>
      <c r="LL61" s="25"/>
      <c r="LM61" s="25"/>
      <c r="LN61" s="25"/>
      <c r="LO61" s="25"/>
      <c r="LP61" s="25"/>
      <c r="LQ61" s="25"/>
      <c r="LR61" s="25"/>
      <c r="LS61" s="166"/>
      <c r="LT61" s="166"/>
      <c r="LU61" s="166"/>
      <c r="LV61" s="166"/>
      <c r="LW61" s="166"/>
      <c r="LX61" s="166"/>
      <c r="LY61" s="166"/>
      <c r="LZ61" s="166"/>
      <c r="MA61" s="166"/>
      <c r="MB61" s="166"/>
      <c r="MC61" s="166"/>
      <c r="MD61" s="166"/>
      <c r="ME61" s="166"/>
      <c r="MF61" s="166"/>
      <c r="MG61" s="166"/>
      <c r="MH61" s="166"/>
      <c r="MI61" s="166"/>
      <c r="MJ61" s="166"/>
      <c r="MK61" s="166"/>
      <c r="ML61" s="166"/>
      <c r="MM61" s="166"/>
      <c r="MN61" s="166"/>
      <c r="MO61" s="166"/>
      <c r="MP61" s="166"/>
      <c r="MQ61" s="166"/>
      <c r="MR61" s="166"/>
      <c r="MS61" s="166"/>
      <c r="MT61" s="166"/>
      <c r="MU61" s="166"/>
      <c r="MV61" s="166"/>
      <c r="MW61" s="166"/>
      <c r="MX61" s="166"/>
      <c r="MY61" s="166"/>
      <c r="MZ61" s="166"/>
      <c r="NA61" s="166"/>
      <c r="NB61" s="166"/>
      <c r="NC61" s="166"/>
      <c r="ND61" s="166"/>
      <c r="NE61" s="166"/>
      <c r="NF61" s="166"/>
      <c r="NG61" s="166"/>
      <c r="NH61" s="166"/>
      <c r="NI61" s="166"/>
      <c r="NJ61" s="166"/>
      <c r="NK61" s="166"/>
      <c r="NL61" s="166"/>
      <c r="NM61" s="166"/>
      <c r="NN61" s="166"/>
      <c r="NO61" s="166"/>
      <c r="NP61" s="166"/>
      <c r="NQ61" s="166"/>
      <c r="NR61" s="166"/>
      <c r="NS61" s="166"/>
      <c r="NT61" s="166"/>
      <c r="NU61" s="166"/>
      <c r="NV61" s="166"/>
      <c r="NW61" s="166"/>
      <c r="NX61" s="166"/>
      <c r="NY61" s="166"/>
      <c r="NZ61" s="166"/>
      <c r="OA61" s="25"/>
      <c r="OB61" s="25"/>
      <c r="OC61" s="25"/>
      <c r="OD61" s="81"/>
      <c r="OE61" s="25"/>
      <c r="OF61" s="25"/>
      <c r="OG61" s="25"/>
      <c r="OH61" s="25"/>
      <c r="OI61" s="25"/>
      <c r="OJ61" s="25"/>
      <c r="OK61" s="25"/>
      <c r="OL61" s="25"/>
      <c r="OM61" s="25"/>
      <c r="ON61" s="25"/>
      <c r="OO61" s="25"/>
      <c r="OP61" s="25"/>
      <c r="OQ61" s="25"/>
      <c r="OR6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1" s="81"/>
      <c r="OT61" s="25"/>
      <c r="OU61" s="81"/>
      <c r="OV61" s="81"/>
    </row>
    <row r="62" spans="1:412" ht="12.5" x14ac:dyDescent="0.25">
      <c r="A62" s="25">
        <v>43</v>
      </c>
      <c r="B62" s="25" t="b">
        <f>NOT(ISBLANK(SEBBusinessDataTable[[#This Row],[SEBBusinessType]]))</f>
        <v>0</v>
      </c>
      <c r="C62" s="25"/>
      <c r="D62" s="25"/>
      <c r="E62" s="25"/>
      <c r="F62" s="25"/>
      <c r="G62" s="25"/>
      <c r="H62" s="25"/>
      <c r="I62" s="25"/>
      <c r="J62" s="25">
        <f>COUNTIF(SEBBusinessDataTable[[#This Row],[SEBAssociatedFlagApp1]:[SEBAssociatedFlagApp6]],"Yes")</f>
        <v>0</v>
      </c>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5"/>
      <c r="CG62" s="25"/>
      <c r="CH62" s="25"/>
      <c r="CI62" s="25"/>
      <c r="CJ62" s="25"/>
      <c r="CK62" s="25"/>
      <c r="CL62" s="25"/>
      <c r="CM62" s="25"/>
      <c r="CN62" s="25"/>
      <c r="CO62" s="25"/>
      <c r="CP62" s="25"/>
      <c r="CQ62" s="25"/>
      <c r="CR62" s="25"/>
      <c r="CS62" s="25"/>
      <c r="CT62" s="25"/>
      <c r="CU62" s="25"/>
      <c r="CV62" s="25"/>
      <c r="CW62" s="25"/>
      <c r="CX62" s="25"/>
      <c r="CY62" s="25"/>
      <c r="CZ62" s="25"/>
      <c r="DA62" s="25"/>
      <c r="DB62" s="25"/>
      <c r="DC62" s="25"/>
      <c r="DD62" s="25"/>
      <c r="DE62" s="25"/>
      <c r="DF62" s="25"/>
      <c r="DG62" s="25"/>
      <c r="DH62" s="25"/>
      <c r="DI62" s="25"/>
      <c r="DJ62" s="25"/>
      <c r="DK62" s="25"/>
      <c r="DL62" s="25"/>
      <c r="DM62" s="25"/>
      <c r="DN62" s="25"/>
      <c r="DO62" s="55"/>
      <c r="DP62" s="55"/>
      <c r="DQ62" s="55"/>
      <c r="DR62" s="55"/>
      <c r="DS62" s="55"/>
      <c r="DT62" s="55"/>
      <c r="DU62" s="55"/>
      <c r="DV62" s="55"/>
      <c r="DW62" s="55"/>
      <c r="DX62" s="55"/>
      <c r="DY62" s="55"/>
      <c r="DZ62" s="55"/>
      <c r="EA62" s="25"/>
      <c r="EB62" s="25"/>
      <c r="EC62" s="25"/>
      <c r="ED62" s="25"/>
      <c r="EE62" s="25"/>
      <c r="EF62" s="25"/>
      <c r="EG62" s="25"/>
      <c r="EH62" s="25"/>
      <c r="EI62" s="25"/>
      <c r="EJ62" s="25"/>
      <c r="EK62" s="25"/>
      <c r="EL62" s="25"/>
      <c r="EM62" s="25"/>
      <c r="EN62" s="25"/>
      <c r="EO62" s="25"/>
      <c r="EP62" s="25"/>
      <c r="EQ62" s="25"/>
      <c r="ER62" s="25"/>
      <c r="ES62" s="25"/>
      <c r="ET62" s="25"/>
      <c r="EU62" s="25"/>
      <c r="EV62" s="25"/>
      <c r="EW62" s="25"/>
      <c r="EX62" s="25"/>
      <c r="EY62" s="25"/>
      <c r="EZ62" s="25"/>
      <c r="FA62" s="25"/>
      <c r="FB62" s="25"/>
      <c r="FC62" s="25"/>
      <c r="FD62" s="25"/>
      <c r="FE62" s="25"/>
      <c r="FF62" s="25"/>
      <c r="FG62" s="25"/>
      <c r="FH62" s="25"/>
      <c r="FI62" s="25"/>
      <c r="FJ62" s="25"/>
      <c r="FK62" s="25"/>
      <c r="FL62" s="25"/>
      <c r="FM62" s="25"/>
      <c r="FN62" s="25"/>
      <c r="FO62" s="25"/>
      <c r="FP62" s="25"/>
      <c r="FQ62" s="25"/>
      <c r="FR62" s="25"/>
      <c r="FS62" s="25"/>
      <c r="FT62" s="25"/>
      <c r="FU62" s="25"/>
      <c r="FV62" s="25"/>
      <c r="FW62" s="25"/>
      <c r="FX62" s="25"/>
      <c r="FY62" s="25"/>
      <c r="FZ62" s="25"/>
      <c r="GA62" s="25"/>
      <c r="GB62" s="25"/>
      <c r="GC62" s="25"/>
      <c r="GD62" s="25"/>
      <c r="GE62" s="25"/>
      <c r="GF62" s="25"/>
      <c r="GG62" s="25"/>
      <c r="GH62" s="25"/>
      <c r="GI62" s="25"/>
      <c r="GJ62" s="25"/>
      <c r="GK62" s="25"/>
      <c r="GL62" s="25"/>
      <c r="GM62" s="25"/>
      <c r="GN62" s="25"/>
      <c r="GO62" s="25"/>
      <c r="GP62" s="25"/>
      <c r="GQ62" s="25"/>
      <c r="GR62" s="25"/>
      <c r="GS62" s="25"/>
      <c r="GT62" s="25"/>
      <c r="GU62" s="25"/>
      <c r="GV62" s="25"/>
      <c r="GW62" s="25"/>
      <c r="GX62" s="25"/>
      <c r="GY62" s="25"/>
      <c r="GZ62" s="25"/>
      <c r="HA62" s="25"/>
      <c r="HB62" s="25"/>
      <c r="HC62" s="55"/>
      <c r="HD62" s="55"/>
      <c r="HE62" s="55"/>
      <c r="HF62" s="55"/>
      <c r="HG62" s="55"/>
      <c r="HH62" s="55"/>
      <c r="HI62" s="55"/>
      <c r="HJ62" s="55"/>
      <c r="HK62" s="55"/>
      <c r="HL62" s="55"/>
      <c r="HM62" s="55"/>
      <c r="HN62" s="55"/>
      <c r="HO62" s="55"/>
      <c r="HP62" s="55"/>
      <c r="HQ62" s="55"/>
      <c r="HR62" s="55"/>
      <c r="HS62" s="55"/>
      <c r="HT62" s="55"/>
      <c r="HU62" s="55"/>
      <c r="HV62" s="55"/>
      <c r="HW62" s="55"/>
      <c r="HX62" s="55"/>
      <c r="HY62" s="55"/>
      <c r="HZ62" s="55"/>
      <c r="IA62" s="55"/>
      <c r="IB62" s="55"/>
      <c r="IC62" s="55"/>
      <c r="ID62" s="55"/>
      <c r="IE62" s="55"/>
      <c r="IF62" s="55"/>
      <c r="IG62" s="55"/>
      <c r="IH62" s="55"/>
      <c r="II62" s="55"/>
      <c r="IJ62" s="55"/>
      <c r="IK62" s="55"/>
      <c r="IL62" s="55"/>
      <c r="IM62" s="55"/>
      <c r="IN62" s="55"/>
      <c r="IO62" s="55"/>
      <c r="IP62" s="55"/>
      <c r="IQ62" s="55"/>
      <c r="IR62" s="55"/>
      <c r="IS62" s="55"/>
      <c r="IT62" s="55"/>
      <c r="IU62" s="55"/>
      <c r="IV62" s="55"/>
      <c r="IW62" s="55"/>
      <c r="IX62" s="55"/>
      <c r="IY62" s="55"/>
      <c r="IZ62" s="55"/>
      <c r="JA62" s="55"/>
      <c r="JB62" s="55"/>
      <c r="JC62" s="55"/>
      <c r="JD62" s="55"/>
      <c r="JE62" s="55"/>
      <c r="JF62" s="55"/>
      <c r="JG62" s="55"/>
      <c r="JH62" s="55"/>
      <c r="JI62" s="55"/>
      <c r="JJ62" s="55"/>
      <c r="JK62" s="25"/>
      <c r="JL62" s="25"/>
      <c r="JM62" s="25"/>
      <c r="JN62" s="25"/>
      <c r="JO62" s="25"/>
      <c r="JP62" s="25"/>
      <c r="JQ62" s="25"/>
      <c r="JR62" s="25"/>
      <c r="JS62" s="25"/>
      <c r="JT62" s="25"/>
      <c r="JU62" s="25"/>
      <c r="JV62" s="25"/>
      <c r="JW62" s="25"/>
      <c r="JX62" s="25"/>
      <c r="JY62" s="25"/>
      <c r="JZ62" s="25"/>
      <c r="KA62" s="25"/>
      <c r="KB62" s="25"/>
      <c r="KC62" s="25"/>
      <c r="KD62" s="25"/>
      <c r="KE62" s="25"/>
      <c r="KF62" s="25"/>
      <c r="KG62" s="25"/>
      <c r="KH62" s="25"/>
      <c r="KI62" s="25"/>
      <c r="KJ62" s="25"/>
      <c r="KK62" s="25"/>
      <c r="KL62" s="25"/>
      <c r="KM62" s="25"/>
      <c r="KN62" s="25"/>
      <c r="KO62" s="25"/>
      <c r="KP62" s="25"/>
      <c r="KQ62" s="25"/>
      <c r="KR62" s="25"/>
      <c r="KS62" s="25"/>
      <c r="KT62" s="25"/>
      <c r="KU62" s="25"/>
      <c r="KV62" s="25"/>
      <c r="KW62" s="25"/>
      <c r="KX62" s="25"/>
      <c r="KY62" s="25"/>
      <c r="KZ62" s="25"/>
      <c r="LA62" s="25"/>
      <c r="LB62" s="25"/>
      <c r="LC62" s="25"/>
      <c r="LD62" s="25"/>
      <c r="LE62" s="25"/>
      <c r="LF62" s="25"/>
      <c r="LG62" s="25"/>
      <c r="LH62" s="25"/>
      <c r="LI62" s="25"/>
      <c r="LJ62" s="25"/>
      <c r="LK62" s="25"/>
      <c r="LL62" s="25"/>
      <c r="LM62" s="25"/>
      <c r="LN62" s="25"/>
      <c r="LO62" s="25"/>
      <c r="LP62" s="25"/>
      <c r="LQ62" s="25"/>
      <c r="LR62" s="25"/>
      <c r="LS62" s="166"/>
      <c r="LT62" s="166"/>
      <c r="LU62" s="166"/>
      <c r="LV62" s="166"/>
      <c r="LW62" s="166"/>
      <c r="LX62" s="166"/>
      <c r="LY62" s="166"/>
      <c r="LZ62" s="166"/>
      <c r="MA62" s="166"/>
      <c r="MB62" s="166"/>
      <c r="MC62" s="166"/>
      <c r="MD62" s="166"/>
      <c r="ME62" s="166"/>
      <c r="MF62" s="166"/>
      <c r="MG62" s="166"/>
      <c r="MH62" s="166"/>
      <c r="MI62" s="166"/>
      <c r="MJ62" s="166"/>
      <c r="MK62" s="166"/>
      <c r="ML62" s="166"/>
      <c r="MM62" s="166"/>
      <c r="MN62" s="166"/>
      <c r="MO62" s="166"/>
      <c r="MP62" s="166"/>
      <c r="MQ62" s="166"/>
      <c r="MR62" s="166"/>
      <c r="MS62" s="166"/>
      <c r="MT62" s="166"/>
      <c r="MU62" s="166"/>
      <c r="MV62" s="166"/>
      <c r="MW62" s="166"/>
      <c r="MX62" s="166"/>
      <c r="MY62" s="166"/>
      <c r="MZ62" s="166"/>
      <c r="NA62" s="166"/>
      <c r="NB62" s="166"/>
      <c r="NC62" s="166"/>
      <c r="ND62" s="166"/>
      <c r="NE62" s="166"/>
      <c r="NF62" s="166"/>
      <c r="NG62" s="166"/>
      <c r="NH62" s="166"/>
      <c r="NI62" s="166"/>
      <c r="NJ62" s="166"/>
      <c r="NK62" s="166"/>
      <c r="NL62" s="166"/>
      <c r="NM62" s="166"/>
      <c r="NN62" s="166"/>
      <c r="NO62" s="166"/>
      <c r="NP62" s="166"/>
      <c r="NQ62" s="166"/>
      <c r="NR62" s="166"/>
      <c r="NS62" s="166"/>
      <c r="NT62" s="166"/>
      <c r="NU62" s="166"/>
      <c r="NV62" s="166"/>
      <c r="NW62" s="166"/>
      <c r="NX62" s="166"/>
      <c r="NY62" s="166"/>
      <c r="NZ62" s="166"/>
      <c r="OA62" s="25"/>
      <c r="OB62" s="25"/>
      <c r="OC62" s="25"/>
      <c r="OD62" s="81"/>
      <c r="OE62" s="25"/>
      <c r="OF62" s="25"/>
      <c r="OG62" s="25"/>
      <c r="OH62" s="25"/>
      <c r="OI62" s="25"/>
      <c r="OJ62" s="25"/>
      <c r="OK62" s="25"/>
      <c r="OL62" s="25"/>
      <c r="OM62" s="25"/>
      <c r="ON62" s="25"/>
      <c r="OO62" s="25"/>
      <c r="OP62" s="25"/>
      <c r="OQ62" s="25"/>
      <c r="OR6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2" s="81"/>
      <c r="OT62" s="25"/>
      <c r="OU62" s="81"/>
      <c r="OV62" s="81"/>
    </row>
    <row r="63" spans="1:412" ht="12.5" x14ac:dyDescent="0.25">
      <c r="A63" s="25">
        <v>44</v>
      </c>
      <c r="B63" s="25" t="b">
        <f>NOT(ISBLANK(SEBBusinessDataTable[[#This Row],[SEBBusinessType]]))</f>
        <v>0</v>
      </c>
      <c r="C63" s="25"/>
      <c r="D63" s="25"/>
      <c r="E63" s="25"/>
      <c r="F63" s="25"/>
      <c r="G63" s="25"/>
      <c r="H63" s="25"/>
      <c r="I63" s="25"/>
      <c r="J63" s="25">
        <f>COUNTIF(SEBBusinessDataTable[[#This Row],[SEBAssociatedFlagApp1]:[SEBAssociatedFlagApp6]],"Yes")</f>
        <v>0</v>
      </c>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5"/>
      <c r="CG63" s="25"/>
      <c r="CH63" s="25"/>
      <c r="CI63" s="25"/>
      <c r="CJ63" s="25"/>
      <c r="CK63" s="25"/>
      <c r="CL63" s="25"/>
      <c r="CM63" s="25"/>
      <c r="CN63" s="25"/>
      <c r="CO63" s="25"/>
      <c r="CP63" s="25"/>
      <c r="CQ63" s="25"/>
      <c r="CR63" s="25"/>
      <c r="CS63" s="25"/>
      <c r="CT63" s="25"/>
      <c r="CU63" s="25"/>
      <c r="CV63" s="25"/>
      <c r="CW63" s="25"/>
      <c r="CX63" s="25"/>
      <c r="CY63" s="25"/>
      <c r="CZ63" s="25"/>
      <c r="DA63" s="25"/>
      <c r="DB63" s="25"/>
      <c r="DC63" s="25"/>
      <c r="DD63" s="25"/>
      <c r="DE63" s="25"/>
      <c r="DF63" s="25"/>
      <c r="DG63" s="25"/>
      <c r="DH63" s="25"/>
      <c r="DI63" s="25"/>
      <c r="DJ63" s="25"/>
      <c r="DK63" s="25"/>
      <c r="DL63" s="25"/>
      <c r="DM63" s="25"/>
      <c r="DN63" s="25"/>
      <c r="DO63" s="55"/>
      <c r="DP63" s="55"/>
      <c r="DQ63" s="55"/>
      <c r="DR63" s="55"/>
      <c r="DS63" s="55"/>
      <c r="DT63" s="55"/>
      <c r="DU63" s="55"/>
      <c r="DV63" s="55"/>
      <c r="DW63" s="55"/>
      <c r="DX63" s="55"/>
      <c r="DY63" s="55"/>
      <c r="DZ63" s="55"/>
      <c r="EA63" s="25"/>
      <c r="EB63" s="25"/>
      <c r="EC63" s="25"/>
      <c r="ED63" s="25"/>
      <c r="EE63" s="25"/>
      <c r="EF63" s="25"/>
      <c r="EG63" s="25"/>
      <c r="EH63" s="25"/>
      <c r="EI63" s="25"/>
      <c r="EJ63" s="25"/>
      <c r="EK63" s="25"/>
      <c r="EL63" s="25"/>
      <c r="EM63" s="25"/>
      <c r="EN63" s="25"/>
      <c r="EO63" s="25"/>
      <c r="EP63" s="25"/>
      <c r="EQ63" s="25"/>
      <c r="ER63" s="25"/>
      <c r="ES63" s="25"/>
      <c r="ET63" s="25"/>
      <c r="EU63" s="25"/>
      <c r="EV63" s="25"/>
      <c r="EW63" s="25"/>
      <c r="EX63" s="25"/>
      <c r="EY63" s="25"/>
      <c r="EZ63" s="25"/>
      <c r="FA63" s="25"/>
      <c r="FB63" s="25"/>
      <c r="FC63" s="25"/>
      <c r="FD63" s="25"/>
      <c r="FE63" s="25"/>
      <c r="FF63" s="25"/>
      <c r="FG63" s="25"/>
      <c r="FH63" s="25"/>
      <c r="FI63" s="25"/>
      <c r="FJ63" s="25"/>
      <c r="FK63" s="25"/>
      <c r="FL63" s="25"/>
      <c r="FM63" s="25"/>
      <c r="FN63" s="25"/>
      <c r="FO63" s="25"/>
      <c r="FP63" s="25"/>
      <c r="FQ63" s="25"/>
      <c r="FR63" s="25"/>
      <c r="FS63" s="25"/>
      <c r="FT63" s="25"/>
      <c r="FU63" s="25"/>
      <c r="FV63" s="25"/>
      <c r="FW63" s="25"/>
      <c r="FX63" s="25"/>
      <c r="FY63" s="25"/>
      <c r="FZ63" s="25"/>
      <c r="GA63" s="25"/>
      <c r="GB63" s="25"/>
      <c r="GC63" s="25"/>
      <c r="GD63" s="25"/>
      <c r="GE63" s="25"/>
      <c r="GF63" s="25"/>
      <c r="GG63" s="25"/>
      <c r="GH63" s="25"/>
      <c r="GI63" s="25"/>
      <c r="GJ63" s="25"/>
      <c r="GK63" s="25"/>
      <c r="GL63" s="25"/>
      <c r="GM63" s="25"/>
      <c r="GN63" s="25"/>
      <c r="GO63" s="25"/>
      <c r="GP63" s="25"/>
      <c r="GQ63" s="25"/>
      <c r="GR63" s="25"/>
      <c r="GS63" s="25"/>
      <c r="GT63" s="25"/>
      <c r="GU63" s="25"/>
      <c r="GV63" s="25"/>
      <c r="GW63" s="25"/>
      <c r="GX63" s="25"/>
      <c r="GY63" s="25"/>
      <c r="GZ63" s="25"/>
      <c r="HA63" s="25"/>
      <c r="HB63" s="25"/>
      <c r="HC63" s="55"/>
      <c r="HD63" s="55"/>
      <c r="HE63" s="55"/>
      <c r="HF63" s="55"/>
      <c r="HG63" s="55"/>
      <c r="HH63" s="55"/>
      <c r="HI63" s="55"/>
      <c r="HJ63" s="55"/>
      <c r="HK63" s="55"/>
      <c r="HL63" s="55"/>
      <c r="HM63" s="55"/>
      <c r="HN63" s="55"/>
      <c r="HO63" s="55"/>
      <c r="HP63" s="55"/>
      <c r="HQ63" s="55"/>
      <c r="HR63" s="55"/>
      <c r="HS63" s="55"/>
      <c r="HT63" s="55"/>
      <c r="HU63" s="55"/>
      <c r="HV63" s="55"/>
      <c r="HW63" s="55"/>
      <c r="HX63" s="55"/>
      <c r="HY63" s="55"/>
      <c r="HZ63" s="55"/>
      <c r="IA63" s="55"/>
      <c r="IB63" s="55"/>
      <c r="IC63" s="55"/>
      <c r="ID63" s="55"/>
      <c r="IE63" s="55"/>
      <c r="IF63" s="55"/>
      <c r="IG63" s="55"/>
      <c r="IH63" s="55"/>
      <c r="II63" s="55"/>
      <c r="IJ63" s="55"/>
      <c r="IK63" s="55"/>
      <c r="IL63" s="55"/>
      <c r="IM63" s="55"/>
      <c r="IN63" s="55"/>
      <c r="IO63" s="55"/>
      <c r="IP63" s="55"/>
      <c r="IQ63" s="55"/>
      <c r="IR63" s="55"/>
      <c r="IS63" s="55"/>
      <c r="IT63" s="55"/>
      <c r="IU63" s="55"/>
      <c r="IV63" s="55"/>
      <c r="IW63" s="55"/>
      <c r="IX63" s="55"/>
      <c r="IY63" s="55"/>
      <c r="IZ63" s="55"/>
      <c r="JA63" s="55"/>
      <c r="JB63" s="55"/>
      <c r="JC63" s="55"/>
      <c r="JD63" s="55"/>
      <c r="JE63" s="55"/>
      <c r="JF63" s="55"/>
      <c r="JG63" s="55"/>
      <c r="JH63" s="55"/>
      <c r="JI63" s="55"/>
      <c r="JJ63" s="55"/>
      <c r="JK63" s="25"/>
      <c r="JL63" s="25"/>
      <c r="JM63" s="25"/>
      <c r="JN63" s="25"/>
      <c r="JO63" s="25"/>
      <c r="JP63" s="25"/>
      <c r="JQ63" s="25"/>
      <c r="JR63" s="25"/>
      <c r="JS63" s="25"/>
      <c r="JT63" s="25"/>
      <c r="JU63" s="25"/>
      <c r="JV63" s="25"/>
      <c r="JW63" s="25"/>
      <c r="JX63" s="25"/>
      <c r="JY63" s="25"/>
      <c r="JZ63" s="25"/>
      <c r="KA63" s="25"/>
      <c r="KB63" s="25"/>
      <c r="KC63" s="25"/>
      <c r="KD63" s="25"/>
      <c r="KE63" s="25"/>
      <c r="KF63" s="25"/>
      <c r="KG63" s="25"/>
      <c r="KH63" s="25"/>
      <c r="KI63" s="25"/>
      <c r="KJ63" s="25"/>
      <c r="KK63" s="25"/>
      <c r="KL63" s="25"/>
      <c r="KM63" s="25"/>
      <c r="KN63" s="25"/>
      <c r="KO63" s="25"/>
      <c r="KP63" s="25"/>
      <c r="KQ63" s="25"/>
      <c r="KR63" s="25"/>
      <c r="KS63" s="25"/>
      <c r="KT63" s="25"/>
      <c r="KU63" s="25"/>
      <c r="KV63" s="25"/>
      <c r="KW63" s="25"/>
      <c r="KX63" s="25"/>
      <c r="KY63" s="25"/>
      <c r="KZ63" s="25"/>
      <c r="LA63" s="25"/>
      <c r="LB63" s="25"/>
      <c r="LC63" s="25"/>
      <c r="LD63" s="25"/>
      <c r="LE63" s="25"/>
      <c r="LF63" s="25"/>
      <c r="LG63" s="25"/>
      <c r="LH63" s="25"/>
      <c r="LI63" s="25"/>
      <c r="LJ63" s="25"/>
      <c r="LK63" s="25"/>
      <c r="LL63" s="25"/>
      <c r="LM63" s="25"/>
      <c r="LN63" s="25"/>
      <c r="LO63" s="25"/>
      <c r="LP63" s="25"/>
      <c r="LQ63" s="25"/>
      <c r="LR63" s="25"/>
      <c r="LS63" s="166"/>
      <c r="LT63" s="166"/>
      <c r="LU63" s="166"/>
      <c r="LV63" s="166"/>
      <c r="LW63" s="166"/>
      <c r="LX63" s="166"/>
      <c r="LY63" s="166"/>
      <c r="LZ63" s="166"/>
      <c r="MA63" s="166"/>
      <c r="MB63" s="166"/>
      <c r="MC63" s="166"/>
      <c r="MD63" s="166"/>
      <c r="ME63" s="166"/>
      <c r="MF63" s="166"/>
      <c r="MG63" s="166"/>
      <c r="MH63" s="166"/>
      <c r="MI63" s="166"/>
      <c r="MJ63" s="166"/>
      <c r="MK63" s="166"/>
      <c r="ML63" s="166"/>
      <c r="MM63" s="166"/>
      <c r="MN63" s="166"/>
      <c r="MO63" s="166"/>
      <c r="MP63" s="166"/>
      <c r="MQ63" s="166"/>
      <c r="MR63" s="166"/>
      <c r="MS63" s="166"/>
      <c r="MT63" s="166"/>
      <c r="MU63" s="166"/>
      <c r="MV63" s="166"/>
      <c r="MW63" s="166"/>
      <c r="MX63" s="166"/>
      <c r="MY63" s="166"/>
      <c r="MZ63" s="166"/>
      <c r="NA63" s="166"/>
      <c r="NB63" s="166"/>
      <c r="NC63" s="166"/>
      <c r="ND63" s="166"/>
      <c r="NE63" s="166"/>
      <c r="NF63" s="166"/>
      <c r="NG63" s="166"/>
      <c r="NH63" s="166"/>
      <c r="NI63" s="166"/>
      <c r="NJ63" s="166"/>
      <c r="NK63" s="166"/>
      <c r="NL63" s="166"/>
      <c r="NM63" s="166"/>
      <c r="NN63" s="166"/>
      <c r="NO63" s="166"/>
      <c r="NP63" s="166"/>
      <c r="NQ63" s="166"/>
      <c r="NR63" s="166"/>
      <c r="NS63" s="166"/>
      <c r="NT63" s="166"/>
      <c r="NU63" s="166"/>
      <c r="NV63" s="166"/>
      <c r="NW63" s="166"/>
      <c r="NX63" s="166"/>
      <c r="NY63" s="166"/>
      <c r="NZ63" s="166"/>
      <c r="OA63" s="25"/>
      <c r="OB63" s="25"/>
      <c r="OC63" s="25"/>
      <c r="OD63" s="81"/>
      <c r="OE63" s="25"/>
      <c r="OF63" s="25"/>
      <c r="OG63" s="25"/>
      <c r="OH63" s="25"/>
      <c r="OI63" s="25"/>
      <c r="OJ63" s="25"/>
      <c r="OK63" s="25"/>
      <c r="OL63" s="25"/>
      <c r="OM63" s="25"/>
      <c r="ON63" s="25"/>
      <c r="OO63" s="25"/>
      <c r="OP63" s="25"/>
      <c r="OQ63" s="25"/>
      <c r="OR6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3" s="81"/>
      <c r="OT63" s="25"/>
      <c r="OU63" s="81"/>
      <c r="OV63" s="81"/>
    </row>
    <row r="64" spans="1:412" ht="12.5" x14ac:dyDescent="0.25">
      <c r="A64" s="25">
        <v>45</v>
      </c>
      <c r="B64" s="25" t="b">
        <f>NOT(ISBLANK(SEBBusinessDataTable[[#This Row],[SEBBusinessType]]))</f>
        <v>0</v>
      </c>
      <c r="C64" s="25"/>
      <c r="D64" s="25"/>
      <c r="E64" s="25"/>
      <c r="F64" s="25"/>
      <c r="G64" s="25"/>
      <c r="H64" s="25"/>
      <c r="I64" s="25"/>
      <c r="J64" s="25">
        <f>COUNTIF(SEBBusinessDataTable[[#This Row],[SEBAssociatedFlagApp1]:[SEBAssociatedFlagApp6]],"Yes")</f>
        <v>0</v>
      </c>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c r="CI64" s="25"/>
      <c r="CJ64" s="25"/>
      <c r="CK64" s="25"/>
      <c r="CL64" s="25"/>
      <c r="CM64" s="25"/>
      <c r="CN64" s="25"/>
      <c r="CO64" s="25"/>
      <c r="CP64" s="25"/>
      <c r="CQ64" s="25"/>
      <c r="CR64" s="25"/>
      <c r="CS64" s="25"/>
      <c r="CT64" s="25"/>
      <c r="CU64" s="25"/>
      <c r="CV64" s="25"/>
      <c r="CW64" s="25"/>
      <c r="CX64" s="25"/>
      <c r="CY64" s="25"/>
      <c r="CZ64" s="25"/>
      <c r="DA64" s="25"/>
      <c r="DB64" s="25"/>
      <c r="DC64" s="25"/>
      <c r="DD64" s="25"/>
      <c r="DE64" s="25"/>
      <c r="DF64" s="25"/>
      <c r="DG64" s="25"/>
      <c r="DH64" s="25"/>
      <c r="DI64" s="25"/>
      <c r="DJ64" s="25"/>
      <c r="DK64" s="25"/>
      <c r="DL64" s="25"/>
      <c r="DM64" s="25"/>
      <c r="DN64" s="25"/>
      <c r="DO64" s="55"/>
      <c r="DP64" s="55"/>
      <c r="DQ64" s="55"/>
      <c r="DR64" s="55"/>
      <c r="DS64" s="55"/>
      <c r="DT64" s="55"/>
      <c r="DU64" s="55"/>
      <c r="DV64" s="55"/>
      <c r="DW64" s="55"/>
      <c r="DX64" s="55"/>
      <c r="DY64" s="55"/>
      <c r="DZ64" s="55"/>
      <c r="EA64" s="25"/>
      <c r="EB64" s="25"/>
      <c r="EC64" s="25"/>
      <c r="ED64" s="25"/>
      <c r="EE64" s="25"/>
      <c r="EF64" s="25"/>
      <c r="EG64" s="25"/>
      <c r="EH64" s="25"/>
      <c r="EI64" s="25"/>
      <c r="EJ64" s="25"/>
      <c r="EK64" s="25"/>
      <c r="EL64" s="25"/>
      <c r="EM64" s="25"/>
      <c r="EN64" s="25"/>
      <c r="EO64" s="25"/>
      <c r="EP64" s="25"/>
      <c r="EQ64" s="25"/>
      <c r="ER64" s="25"/>
      <c r="ES64" s="25"/>
      <c r="ET64" s="25"/>
      <c r="EU64" s="25"/>
      <c r="EV64" s="25"/>
      <c r="EW64" s="25"/>
      <c r="EX64" s="25"/>
      <c r="EY64" s="25"/>
      <c r="EZ64" s="25"/>
      <c r="FA64" s="25"/>
      <c r="FB64" s="25"/>
      <c r="FC64" s="25"/>
      <c r="FD64" s="25"/>
      <c r="FE64" s="25"/>
      <c r="FF64" s="25"/>
      <c r="FG64" s="25"/>
      <c r="FH64" s="25"/>
      <c r="FI64" s="25"/>
      <c r="FJ64" s="25"/>
      <c r="FK64" s="25"/>
      <c r="FL64" s="25"/>
      <c r="FM64" s="25"/>
      <c r="FN64" s="25"/>
      <c r="FO64" s="25"/>
      <c r="FP64" s="25"/>
      <c r="FQ64" s="25"/>
      <c r="FR64" s="25"/>
      <c r="FS64" s="25"/>
      <c r="FT64" s="25"/>
      <c r="FU64" s="25"/>
      <c r="FV64" s="25"/>
      <c r="FW64" s="25"/>
      <c r="FX64" s="25"/>
      <c r="FY64" s="25"/>
      <c r="FZ64" s="25"/>
      <c r="GA64" s="25"/>
      <c r="GB64" s="25"/>
      <c r="GC64" s="25"/>
      <c r="GD64" s="25"/>
      <c r="GE64" s="25"/>
      <c r="GF64" s="25"/>
      <c r="GG64" s="25"/>
      <c r="GH64" s="25"/>
      <c r="GI64" s="25"/>
      <c r="GJ64" s="25"/>
      <c r="GK64" s="25"/>
      <c r="GL64" s="25"/>
      <c r="GM64" s="25"/>
      <c r="GN64" s="25"/>
      <c r="GO64" s="25"/>
      <c r="GP64" s="25"/>
      <c r="GQ64" s="25"/>
      <c r="GR64" s="25"/>
      <c r="GS64" s="25"/>
      <c r="GT64" s="25"/>
      <c r="GU64" s="25"/>
      <c r="GV64" s="25"/>
      <c r="GW64" s="25"/>
      <c r="GX64" s="25"/>
      <c r="GY64" s="25"/>
      <c r="GZ64" s="25"/>
      <c r="HA64" s="25"/>
      <c r="HB64" s="25"/>
      <c r="HC64" s="55"/>
      <c r="HD64" s="55"/>
      <c r="HE64" s="55"/>
      <c r="HF64" s="55"/>
      <c r="HG64" s="55"/>
      <c r="HH64" s="55"/>
      <c r="HI64" s="55"/>
      <c r="HJ64" s="55"/>
      <c r="HK64" s="55"/>
      <c r="HL64" s="55"/>
      <c r="HM64" s="55"/>
      <c r="HN64" s="55"/>
      <c r="HO64" s="55"/>
      <c r="HP64" s="55"/>
      <c r="HQ64" s="55"/>
      <c r="HR64" s="55"/>
      <c r="HS64" s="55"/>
      <c r="HT64" s="55"/>
      <c r="HU64" s="55"/>
      <c r="HV64" s="55"/>
      <c r="HW64" s="55"/>
      <c r="HX64" s="55"/>
      <c r="HY64" s="55"/>
      <c r="HZ64" s="55"/>
      <c r="IA64" s="55"/>
      <c r="IB64" s="55"/>
      <c r="IC64" s="55"/>
      <c r="ID64" s="55"/>
      <c r="IE64" s="55"/>
      <c r="IF64" s="55"/>
      <c r="IG64" s="55"/>
      <c r="IH64" s="55"/>
      <c r="II64" s="55"/>
      <c r="IJ64" s="55"/>
      <c r="IK64" s="55"/>
      <c r="IL64" s="55"/>
      <c r="IM64" s="55"/>
      <c r="IN64" s="55"/>
      <c r="IO64" s="55"/>
      <c r="IP64" s="55"/>
      <c r="IQ64" s="55"/>
      <c r="IR64" s="55"/>
      <c r="IS64" s="55"/>
      <c r="IT64" s="55"/>
      <c r="IU64" s="55"/>
      <c r="IV64" s="55"/>
      <c r="IW64" s="55"/>
      <c r="IX64" s="55"/>
      <c r="IY64" s="55"/>
      <c r="IZ64" s="55"/>
      <c r="JA64" s="55"/>
      <c r="JB64" s="55"/>
      <c r="JC64" s="55"/>
      <c r="JD64" s="55"/>
      <c r="JE64" s="55"/>
      <c r="JF64" s="55"/>
      <c r="JG64" s="55"/>
      <c r="JH64" s="55"/>
      <c r="JI64" s="55"/>
      <c r="JJ64" s="55"/>
      <c r="JK64" s="25"/>
      <c r="JL64" s="25"/>
      <c r="JM64" s="25"/>
      <c r="JN64" s="25"/>
      <c r="JO64" s="25"/>
      <c r="JP64" s="25"/>
      <c r="JQ64" s="25"/>
      <c r="JR64" s="25"/>
      <c r="JS64" s="25"/>
      <c r="JT64" s="25"/>
      <c r="JU64" s="25"/>
      <c r="JV64" s="25"/>
      <c r="JW64" s="25"/>
      <c r="JX64" s="25"/>
      <c r="JY64" s="25"/>
      <c r="JZ64" s="25"/>
      <c r="KA64" s="25"/>
      <c r="KB64" s="25"/>
      <c r="KC64" s="25"/>
      <c r="KD64" s="25"/>
      <c r="KE64" s="25"/>
      <c r="KF64" s="25"/>
      <c r="KG64" s="25"/>
      <c r="KH64" s="25"/>
      <c r="KI64" s="25"/>
      <c r="KJ64" s="25"/>
      <c r="KK64" s="25"/>
      <c r="KL64" s="25"/>
      <c r="KM64" s="25"/>
      <c r="KN64" s="25"/>
      <c r="KO64" s="25"/>
      <c r="KP64" s="25"/>
      <c r="KQ64" s="25"/>
      <c r="KR64" s="25"/>
      <c r="KS64" s="25"/>
      <c r="KT64" s="25"/>
      <c r="KU64" s="25"/>
      <c r="KV64" s="25"/>
      <c r="KW64" s="25"/>
      <c r="KX64" s="25"/>
      <c r="KY64" s="25"/>
      <c r="KZ64" s="25"/>
      <c r="LA64" s="25"/>
      <c r="LB64" s="25"/>
      <c r="LC64" s="25"/>
      <c r="LD64" s="25"/>
      <c r="LE64" s="25"/>
      <c r="LF64" s="25"/>
      <c r="LG64" s="25"/>
      <c r="LH64" s="25"/>
      <c r="LI64" s="25"/>
      <c r="LJ64" s="25"/>
      <c r="LK64" s="25"/>
      <c r="LL64" s="25"/>
      <c r="LM64" s="25"/>
      <c r="LN64" s="25"/>
      <c r="LO64" s="25"/>
      <c r="LP64" s="25"/>
      <c r="LQ64" s="25"/>
      <c r="LR64" s="25"/>
      <c r="LS64" s="166"/>
      <c r="LT64" s="166"/>
      <c r="LU64" s="166"/>
      <c r="LV64" s="166"/>
      <c r="LW64" s="166"/>
      <c r="LX64" s="166"/>
      <c r="LY64" s="166"/>
      <c r="LZ64" s="166"/>
      <c r="MA64" s="166"/>
      <c r="MB64" s="166"/>
      <c r="MC64" s="166"/>
      <c r="MD64" s="166"/>
      <c r="ME64" s="166"/>
      <c r="MF64" s="166"/>
      <c r="MG64" s="166"/>
      <c r="MH64" s="166"/>
      <c r="MI64" s="166"/>
      <c r="MJ64" s="166"/>
      <c r="MK64" s="166"/>
      <c r="ML64" s="166"/>
      <c r="MM64" s="166"/>
      <c r="MN64" s="166"/>
      <c r="MO64" s="166"/>
      <c r="MP64" s="166"/>
      <c r="MQ64" s="166"/>
      <c r="MR64" s="166"/>
      <c r="MS64" s="166"/>
      <c r="MT64" s="166"/>
      <c r="MU64" s="166"/>
      <c r="MV64" s="166"/>
      <c r="MW64" s="166"/>
      <c r="MX64" s="166"/>
      <c r="MY64" s="166"/>
      <c r="MZ64" s="166"/>
      <c r="NA64" s="166"/>
      <c r="NB64" s="166"/>
      <c r="NC64" s="166"/>
      <c r="ND64" s="166"/>
      <c r="NE64" s="166"/>
      <c r="NF64" s="166"/>
      <c r="NG64" s="166"/>
      <c r="NH64" s="166"/>
      <c r="NI64" s="166"/>
      <c r="NJ64" s="166"/>
      <c r="NK64" s="166"/>
      <c r="NL64" s="166"/>
      <c r="NM64" s="166"/>
      <c r="NN64" s="166"/>
      <c r="NO64" s="166"/>
      <c r="NP64" s="166"/>
      <c r="NQ64" s="166"/>
      <c r="NR64" s="166"/>
      <c r="NS64" s="166"/>
      <c r="NT64" s="166"/>
      <c r="NU64" s="166"/>
      <c r="NV64" s="166"/>
      <c r="NW64" s="166"/>
      <c r="NX64" s="166"/>
      <c r="NY64" s="166"/>
      <c r="NZ64" s="166"/>
      <c r="OA64" s="25"/>
      <c r="OB64" s="25"/>
      <c r="OC64" s="25"/>
      <c r="OD64" s="81"/>
      <c r="OE64" s="25"/>
      <c r="OF64" s="25"/>
      <c r="OG64" s="25"/>
      <c r="OH64" s="25"/>
      <c r="OI64" s="25"/>
      <c r="OJ64" s="25"/>
      <c r="OK64" s="25"/>
      <c r="OL64" s="25"/>
      <c r="OM64" s="25"/>
      <c r="ON64" s="25"/>
      <c r="OO64" s="25"/>
      <c r="OP64" s="25"/>
      <c r="OQ64" s="25"/>
      <c r="OR6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4" s="81"/>
      <c r="OT64" s="25"/>
      <c r="OU64" s="81"/>
      <c r="OV64" s="81"/>
    </row>
    <row r="65" spans="1:412" ht="12.5" x14ac:dyDescent="0.25">
      <c r="A65" s="25">
        <v>46</v>
      </c>
      <c r="B65" s="25" t="b">
        <f>NOT(ISBLANK(SEBBusinessDataTable[[#This Row],[SEBBusinessType]]))</f>
        <v>0</v>
      </c>
      <c r="C65" s="25"/>
      <c r="D65" s="25"/>
      <c r="E65" s="25"/>
      <c r="F65" s="25"/>
      <c r="G65" s="25"/>
      <c r="H65" s="25"/>
      <c r="I65" s="25"/>
      <c r="J65" s="25">
        <f>COUNTIF(SEBBusinessDataTable[[#This Row],[SEBAssociatedFlagApp1]:[SEBAssociatedFlagApp6]],"Yes")</f>
        <v>0</v>
      </c>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c r="CI65" s="25"/>
      <c r="CJ65" s="25"/>
      <c r="CK65" s="25"/>
      <c r="CL65" s="25"/>
      <c r="CM65" s="25"/>
      <c r="CN65" s="25"/>
      <c r="CO65" s="25"/>
      <c r="CP65" s="25"/>
      <c r="CQ65" s="25"/>
      <c r="CR65" s="25"/>
      <c r="CS65" s="25"/>
      <c r="CT65" s="25"/>
      <c r="CU65" s="25"/>
      <c r="CV65" s="25"/>
      <c r="CW65" s="25"/>
      <c r="CX65" s="25"/>
      <c r="CY65" s="25"/>
      <c r="CZ65" s="25"/>
      <c r="DA65" s="25"/>
      <c r="DB65" s="25"/>
      <c r="DC65" s="25"/>
      <c r="DD65" s="25"/>
      <c r="DE65" s="25"/>
      <c r="DF65" s="25"/>
      <c r="DG65" s="25"/>
      <c r="DH65" s="25"/>
      <c r="DI65" s="25"/>
      <c r="DJ65" s="25"/>
      <c r="DK65" s="25"/>
      <c r="DL65" s="25"/>
      <c r="DM65" s="25"/>
      <c r="DN65" s="25"/>
      <c r="DO65" s="55"/>
      <c r="DP65" s="55"/>
      <c r="DQ65" s="55"/>
      <c r="DR65" s="55"/>
      <c r="DS65" s="55"/>
      <c r="DT65" s="55"/>
      <c r="DU65" s="55"/>
      <c r="DV65" s="55"/>
      <c r="DW65" s="55"/>
      <c r="DX65" s="55"/>
      <c r="DY65" s="55"/>
      <c r="DZ65" s="55"/>
      <c r="EA65" s="25"/>
      <c r="EB65" s="25"/>
      <c r="EC65" s="25"/>
      <c r="ED65" s="25"/>
      <c r="EE65" s="25"/>
      <c r="EF65" s="25"/>
      <c r="EG65" s="25"/>
      <c r="EH65" s="25"/>
      <c r="EI65" s="25"/>
      <c r="EJ65" s="25"/>
      <c r="EK65" s="25"/>
      <c r="EL65" s="25"/>
      <c r="EM65" s="25"/>
      <c r="EN65" s="25"/>
      <c r="EO65" s="25"/>
      <c r="EP65" s="25"/>
      <c r="EQ65" s="25"/>
      <c r="ER65" s="25"/>
      <c r="ES65" s="25"/>
      <c r="ET65" s="25"/>
      <c r="EU65" s="25"/>
      <c r="EV65" s="25"/>
      <c r="EW65" s="25"/>
      <c r="EX65" s="25"/>
      <c r="EY65" s="25"/>
      <c r="EZ65" s="25"/>
      <c r="FA65" s="25"/>
      <c r="FB65" s="25"/>
      <c r="FC65" s="25"/>
      <c r="FD65" s="25"/>
      <c r="FE65" s="25"/>
      <c r="FF65" s="25"/>
      <c r="FG65" s="25"/>
      <c r="FH65" s="25"/>
      <c r="FI65" s="25"/>
      <c r="FJ65" s="25"/>
      <c r="FK65" s="25"/>
      <c r="FL65" s="25"/>
      <c r="FM65" s="25"/>
      <c r="FN65" s="25"/>
      <c r="FO65" s="25"/>
      <c r="FP65" s="25"/>
      <c r="FQ65" s="25"/>
      <c r="FR65" s="25"/>
      <c r="FS65" s="25"/>
      <c r="FT65" s="25"/>
      <c r="FU65" s="25"/>
      <c r="FV65" s="25"/>
      <c r="FW65" s="25"/>
      <c r="FX65" s="25"/>
      <c r="FY65" s="25"/>
      <c r="FZ65" s="25"/>
      <c r="GA65" s="25"/>
      <c r="GB65" s="25"/>
      <c r="GC65" s="25"/>
      <c r="GD65" s="25"/>
      <c r="GE65" s="25"/>
      <c r="GF65" s="25"/>
      <c r="GG65" s="25"/>
      <c r="GH65" s="25"/>
      <c r="GI65" s="25"/>
      <c r="GJ65" s="25"/>
      <c r="GK65" s="25"/>
      <c r="GL65" s="25"/>
      <c r="GM65" s="25"/>
      <c r="GN65" s="25"/>
      <c r="GO65" s="25"/>
      <c r="GP65" s="25"/>
      <c r="GQ65" s="25"/>
      <c r="GR65" s="25"/>
      <c r="GS65" s="25"/>
      <c r="GT65" s="25"/>
      <c r="GU65" s="25"/>
      <c r="GV65" s="25"/>
      <c r="GW65" s="25"/>
      <c r="GX65" s="25"/>
      <c r="GY65" s="25"/>
      <c r="GZ65" s="25"/>
      <c r="HA65" s="25"/>
      <c r="HB65" s="25"/>
      <c r="HC65" s="55"/>
      <c r="HD65" s="55"/>
      <c r="HE65" s="55"/>
      <c r="HF65" s="55"/>
      <c r="HG65" s="55"/>
      <c r="HH65" s="55"/>
      <c r="HI65" s="55"/>
      <c r="HJ65" s="55"/>
      <c r="HK65" s="55"/>
      <c r="HL65" s="55"/>
      <c r="HM65" s="55"/>
      <c r="HN65" s="55"/>
      <c r="HO65" s="55"/>
      <c r="HP65" s="55"/>
      <c r="HQ65" s="55"/>
      <c r="HR65" s="55"/>
      <c r="HS65" s="55"/>
      <c r="HT65" s="55"/>
      <c r="HU65" s="55"/>
      <c r="HV65" s="55"/>
      <c r="HW65" s="55"/>
      <c r="HX65" s="55"/>
      <c r="HY65" s="55"/>
      <c r="HZ65" s="55"/>
      <c r="IA65" s="55"/>
      <c r="IB65" s="55"/>
      <c r="IC65" s="55"/>
      <c r="ID65" s="55"/>
      <c r="IE65" s="55"/>
      <c r="IF65" s="55"/>
      <c r="IG65" s="55"/>
      <c r="IH65" s="55"/>
      <c r="II65" s="55"/>
      <c r="IJ65" s="55"/>
      <c r="IK65" s="55"/>
      <c r="IL65" s="55"/>
      <c r="IM65" s="55"/>
      <c r="IN65" s="55"/>
      <c r="IO65" s="55"/>
      <c r="IP65" s="55"/>
      <c r="IQ65" s="55"/>
      <c r="IR65" s="55"/>
      <c r="IS65" s="55"/>
      <c r="IT65" s="55"/>
      <c r="IU65" s="55"/>
      <c r="IV65" s="55"/>
      <c r="IW65" s="55"/>
      <c r="IX65" s="55"/>
      <c r="IY65" s="55"/>
      <c r="IZ65" s="55"/>
      <c r="JA65" s="55"/>
      <c r="JB65" s="55"/>
      <c r="JC65" s="55"/>
      <c r="JD65" s="55"/>
      <c r="JE65" s="55"/>
      <c r="JF65" s="55"/>
      <c r="JG65" s="55"/>
      <c r="JH65" s="55"/>
      <c r="JI65" s="55"/>
      <c r="JJ65" s="55"/>
      <c r="JK65" s="25"/>
      <c r="JL65" s="25"/>
      <c r="JM65" s="25"/>
      <c r="JN65" s="25"/>
      <c r="JO65" s="25"/>
      <c r="JP65" s="25"/>
      <c r="JQ65" s="25"/>
      <c r="JR65" s="25"/>
      <c r="JS65" s="25"/>
      <c r="JT65" s="25"/>
      <c r="JU65" s="25"/>
      <c r="JV65" s="25"/>
      <c r="JW65" s="25"/>
      <c r="JX65" s="25"/>
      <c r="JY65" s="25"/>
      <c r="JZ65" s="25"/>
      <c r="KA65" s="25"/>
      <c r="KB65" s="25"/>
      <c r="KC65" s="25"/>
      <c r="KD65" s="25"/>
      <c r="KE65" s="25"/>
      <c r="KF65" s="25"/>
      <c r="KG65" s="25"/>
      <c r="KH65" s="25"/>
      <c r="KI65" s="25"/>
      <c r="KJ65" s="25"/>
      <c r="KK65" s="25"/>
      <c r="KL65" s="25"/>
      <c r="KM65" s="25"/>
      <c r="KN65" s="25"/>
      <c r="KO65" s="25"/>
      <c r="KP65" s="25"/>
      <c r="KQ65" s="25"/>
      <c r="KR65" s="25"/>
      <c r="KS65" s="25"/>
      <c r="KT65" s="25"/>
      <c r="KU65" s="25"/>
      <c r="KV65" s="25"/>
      <c r="KW65" s="25"/>
      <c r="KX65" s="25"/>
      <c r="KY65" s="25"/>
      <c r="KZ65" s="25"/>
      <c r="LA65" s="25"/>
      <c r="LB65" s="25"/>
      <c r="LC65" s="25"/>
      <c r="LD65" s="25"/>
      <c r="LE65" s="25"/>
      <c r="LF65" s="25"/>
      <c r="LG65" s="25"/>
      <c r="LH65" s="25"/>
      <c r="LI65" s="25"/>
      <c r="LJ65" s="25"/>
      <c r="LK65" s="25"/>
      <c r="LL65" s="25"/>
      <c r="LM65" s="25"/>
      <c r="LN65" s="25"/>
      <c r="LO65" s="25"/>
      <c r="LP65" s="25"/>
      <c r="LQ65" s="25"/>
      <c r="LR65" s="25"/>
      <c r="LS65" s="166"/>
      <c r="LT65" s="166"/>
      <c r="LU65" s="166"/>
      <c r="LV65" s="166"/>
      <c r="LW65" s="166"/>
      <c r="LX65" s="166"/>
      <c r="LY65" s="166"/>
      <c r="LZ65" s="166"/>
      <c r="MA65" s="166"/>
      <c r="MB65" s="166"/>
      <c r="MC65" s="166"/>
      <c r="MD65" s="166"/>
      <c r="ME65" s="166"/>
      <c r="MF65" s="166"/>
      <c r="MG65" s="166"/>
      <c r="MH65" s="166"/>
      <c r="MI65" s="166"/>
      <c r="MJ65" s="166"/>
      <c r="MK65" s="166"/>
      <c r="ML65" s="166"/>
      <c r="MM65" s="166"/>
      <c r="MN65" s="166"/>
      <c r="MO65" s="166"/>
      <c r="MP65" s="166"/>
      <c r="MQ65" s="166"/>
      <c r="MR65" s="166"/>
      <c r="MS65" s="166"/>
      <c r="MT65" s="166"/>
      <c r="MU65" s="166"/>
      <c r="MV65" s="166"/>
      <c r="MW65" s="166"/>
      <c r="MX65" s="166"/>
      <c r="MY65" s="166"/>
      <c r="MZ65" s="166"/>
      <c r="NA65" s="166"/>
      <c r="NB65" s="166"/>
      <c r="NC65" s="166"/>
      <c r="ND65" s="166"/>
      <c r="NE65" s="166"/>
      <c r="NF65" s="166"/>
      <c r="NG65" s="166"/>
      <c r="NH65" s="166"/>
      <c r="NI65" s="166"/>
      <c r="NJ65" s="166"/>
      <c r="NK65" s="166"/>
      <c r="NL65" s="166"/>
      <c r="NM65" s="166"/>
      <c r="NN65" s="166"/>
      <c r="NO65" s="166"/>
      <c r="NP65" s="166"/>
      <c r="NQ65" s="166"/>
      <c r="NR65" s="166"/>
      <c r="NS65" s="166"/>
      <c r="NT65" s="166"/>
      <c r="NU65" s="166"/>
      <c r="NV65" s="166"/>
      <c r="NW65" s="166"/>
      <c r="NX65" s="166"/>
      <c r="NY65" s="166"/>
      <c r="NZ65" s="166"/>
      <c r="OA65" s="25"/>
      <c r="OB65" s="25"/>
      <c r="OC65" s="25"/>
      <c r="OD65" s="81"/>
      <c r="OE65" s="25"/>
      <c r="OF65" s="25"/>
      <c r="OG65" s="25"/>
      <c r="OH65" s="25"/>
      <c r="OI65" s="25"/>
      <c r="OJ65" s="25"/>
      <c r="OK65" s="25"/>
      <c r="OL65" s="25"/>
      <c r="OM65" s="25"/>
      <c r="ON65" s="25"/>
      <c r="OO65" s="25"/>
      <c r="OP65" s="25"/>
      <c r="OQ65" s="25"/>
      <c r="OR6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5" s="81"/>
      <c r="OT65" s="25"/>
      <c r="OU65" s="81"/>
      <c r="OV65" s="81"/>
    </row>
    <row r="66" spans="1:412" ht="12.5" x14ac:dyDescent="0.25">
      <c r="A66" s="25">
        <v>47</v>
      </c>
      <c r="B66" s="25" t="b">
        <f>NOT(ISBLANK(SEBBusinessDataTable[[#This Row],[SEBBusinessType]]))</f>
        <v>0</v>
      </c>
      <c r="C66" s="25"/>
      <c r="D66" s="25"/>
      <c r="E66" s="25"/>
      <c r="F66" s="25"/>
      <c r="G66" s="25"/>
      <c r="H66" s="25"/>
      <c r="I66" s="25"/>
      <c r="J66" s="25">
        <f>COUNTIF(SEBBusinessDataTable[[#This Row],[SEBAssociatedFlagApp1]:[SEBAssociatedFlagApp6]],"Yes")</f>
        <v>0</v>
      </c>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c r="CI66" s="25"/>
      <c r="CJ66" s="25"/>
      <c r="CK66" s="25"/>
      <c r="CL66" s="25"/>
      <c r="CM66" s="25"/>
      <c r="CN66" s="25"/>
      <c r="CO66" s="25"/>
      <c r="CP66" s="25"/>
      <c r="CQ66" s="25"/>
      <c r="CR66" s="25"/>
      <c r="CS66" s="25"/>
      <c r="CT66" s="25"/>
      <c r="CU66" s="25"/>
      <c r="CV66" s="25"/>
      <c r="CW66" s="25"/>
      <c r="CX66" s="25"/>
      <c r="CY66" s="25"/>
      <c r="CZ66" s="25"/>
      <c r="DA66" s="25"/>
      <c r="DB66" s="25"/>
      <c r="DC66" s="25"/>
      <c r="DD66" s="25"/>
      <c r="DE66" s="25"/>
      <c r="DF66" s="25"/>
      <c r="DG66" s="25"/>
      <c r="DH66" s="25"/>
      <c r="DI66" s="25"/>
      <c r="DJ66" s="25"/>
      <c r="DK66" s="25"/>
      <c r="DL66" s="25"/>
      <c r="DM66" s="25"/>
      <c r="DN66" s="25"/>
      <c r="DO66" s="55"/>
      <c r="DP66" s="55"/>
      <c r="DQ66" s="55"/>
      <c r="DR66" s="55"/>
      <c r="DS66" s="55"/>
      <c r="DT66" s="55"/>
      <c r="DU66" s="55"/>
      <c r="DV66" s="55"/>
      <c r="DW66" s="55"/>
      <c r="DX66" s="55"/>
      <c r="DY66" s="55"/>
      <c r="DZ66" s="55"/>
      <c r="EA66" s="25"/>
      <c r="EB66" s="25"/>
      <c r="EC66" s="25"/>
      <c r="ED66" s="25"/>
      <c r="EE66" s="25"/>
      <c r="EF66" s="25"/>
      <c r="EG66" s="25"/>
      <c r="EH66" s="25"/>
      <c r="EI66" s="25"/>
      <c r="EJ66" s="25"/>
      <c r="EK66" s="25"/>
      <c r="EL66" s="25"/>
      <c r="EM66" s="25"/>
      <c r="EN66" s="25"/>
      <c r="EO66" s="25"/>
      <c r="EP66" s="25"/>
      <c r="EQ66" s="25"/>
      <c r="ER66" s="25"/>
      <c r="ES66" s="25"/>
      <c r="ET66" s="25"/>
      <c r="EU66" s="25"/>
      <c r="EV66" s="25"/>
      <c r="EW66" s="25"/>
      <c r="EX66" s="25"/>
      <c r="EY66" s="25"/>
      <c r="EZ66" s="25"/>
      <c r="FA66" s="25"/>
      <c r="FB66" s="25"/>
      <c r="FC66" s="25"/>
      <c r="FD66" s="25"/>
      <c r="FE66" s="25"/>
      <c r="FF66" s="25"/>
      <c r="FG66" s="25"/>
      <c r="FH66" s="25"/>
      <c r="FI66" s="25"/>
      <c r="FJ66" s="25"/>
      <c r="FK66" s="25"/>
      <c r="FL66" s="25"/>
      <c r="FM66" s="25"/>
      <c r="FN66" s="25"/>
      <c r="FO66" s="25"/>
      <c r="FP66" s="25"/>
      <c r="FQ66" s="25"/>
      <c r="FR66" s="25"/>
      <c r="FS66" s="25"/>
      <c r="FT66" s="25"/>
      <c r="FU66" s="25"/>
      <c r="FV66" s="25"/>
      <c r="FW66" s="25"/>
      <c r="FX66" s="25"/>
      <c r="FY66" s="25"/>
      <c r="FZ66" s="25"/>
      <c r="GA66" s="25"/>
      <c r="GB66" s="25"/>
      <c r="GC66" s="25"/>
      <c r="GD66" s="25"/>
      <c r="GE66" s="25"/>
      <c r="GF66" s="25"/>
      <c r="GG66" s="25"/>
      <c r="GH66" s="25"/>
      <c r="GI66" s="25"/>
      <c r="GJ66" s="25"/>
      <c r="GK66" s="25"/>
      <c r="GL66" s="25"/>
      <c r="GM66" s="25"/>
      <c r="GN66" s="25"/>
      <c r="GO66" s="25"/>
      <c r="GP66" s="25"/>
      <c r="GQ66" s="25"/>
      <c r="GR66" s="25"/>
      <c r="GS66" s="25"/>
      <c r="GT66" s="25"/>
      <c r="GU66" s="25"/>
      <c r="GV66" s="25"/>
      <c r="GW66" s="25"/>
      <c r="GX66" s="25"/>
      <c r="GY66" s="25"/>
      <c r="GZ66" s="25"/>
      <c r="HA66" s="25"/>
      <c r="HB66" s="25"/>
      <c r="HC66" s="55"/>
      <c r="HD66" s="55"/>
      <c r="HE66" s="55"/>
      <c r="HF66" s="55"/>
      <c r="HG66" s="55"/>
      <c r="HH66" s="55"/>
      <c r="HI66" s="55"/>
      <c r="HJ66" s="55"/>
      <c r="HK66" s="55"/>
      <c r="HL66" s="55"/>
      <c r="HM66" s="55"/>
      <c r="HN66" s="55"/>
      <c r="HO66" s="55"/>
      <c r="HP66" s="55"/>
      <c r="HQ66" s="55"/>
      <c r="HR66" s="55"/>
      <c r="HS66" s="55"/>
      <c r="HT66" s="55"/>
      <c r="HU66" s="55"/>
      <c r="HV66" s="55"/>
      <c r="HW66" s="55"/>
      <c r="HX66" s="55"/>
      <c r="HY66" s="55"/>
      <c r="HZ66" s="55"/>
      <c r="IA66" s="55"/>
      <c r="IB66" s="55"/>
      <c r="IC66" s="55"/>
      <c r="ID66" s="55"/>
      <c r="IE66" s="55"/>
      <c r="IF66" s="55"/>
      <c r="IG66" s="55"/>
      <c r="IH66" s="55"/>
      <c r="II66" s="55"/>
      <c r="IJ66" s="55"/>
      <c r="IK66" s="55"/>
      <c r="IL66" s="55"/>
      <c r="IM66" s="55"/>
      <c r="IN66" s="55"/>
      <c r="IO66" s="55"/>
      <c r="IP66" s="55"/>
      <c r="IQ66" s="55"/>
      <c r="IR66" s="55"/>
      <c r="IS66" s="55"/>
      <c r="IT66" s="55"/>
      <c r="IU66" s="55"/>
      <c r="IV66" s="55"/>
      <c r="IW66" s="55"/>
      <c r="IX66" s="55"/>
      <c r="IY66" s="55"/>
      <c r="IZ66" s="55"/>
      <c r="JA66" s="55"/>
      <c r="JB66" s="55"/>
      <c r="JC66" s="55"/>
      <c r="JD66" s="55"/>
      <c r="JE66" s="55"/>
      <c r="JF66" s="55"/>
      <c r="JG66" s="55"/>
      <c r="JH66" s="55"/>
      <c r="JI66" s="55"/>
      <c r="JJ66" s="55"/>
      <c r="JK66" s="25"/>
      <c r="JL66" s="25"/>
      <c r="JM66" s="25"/>
      <c r="JN66" s="25"/>
      <c r="JO66" s="25"/>
      <c r="JP66" s="25"/>
      <c r="JQ66" s="25"/>
      <c r="JR66" s="25"/>
      <c r="JS66" s="25"/>
      <c r="JT66" s="25"/>
      <c r="JU66" s="25"/>
      <c r="JV66" s="25"/>
      <c r="JW66" s="25"/>
      <c r="JX66" s="25"/>
      <c r="JY66" s="25"/>
      <c r="JZ66" s="25"/>
      <c r="KA66" s="25"/>
      <c r="KB66" s="25"/>
      <c r="KC66" s="25"/>
      <c r="KD66" s="25"/>
      <c r="KE66" s="25"/>
      <c r="KF66" s="25"/>
      <c r="KG66" s="25"/>
      <c r="KH66" s="25"/>
      <c r="KI66" s="25"/>
      <c r="KJ66" s="25"/>
      <c r="KK66" s="25"/>
      <c r="KL66" s="25"/>
      <c r="KM66" s="25"/>
      <c r="KN66" s="25"/>
      <c r="KO66" s="25"/>
      <c r="KP66" s="25"/>
      <c r="KQ66" s="25"/>
      <c r="KR66" s="25"/>
      <c r="KS66" s="25"/>
      <c r="KT66" s="25"/>
      <c r="KU66" s="25"/>
      <c r="KV66" s="25"/>
      <c r="KW66" s="25"/>
      <c r="KX66" s="25"/>
      <c r="KY66" s="25"/>
      <c r="KZ66" s="25"/>
      <c r="LA66" s="25"/>
      <c r="LB66" s="25"/>
      <c r="LC66" s="25"/>
      <c r="LD66" s="25"/>
      <c r="LE66" s="25"/>
      <c r="LF66" s="25"/>
      <c r="LG66" s="25"/>
      <c r="LH66" s="25"/>
      <c r="LI66" s="25"/>
      <c r="LJ66" s="25"/>
      <c r="LK66" s="25"/>
      <c r="LL66" s="25"/>
      <c r="LM66" s="25"/>
      <c r="LN66" s="25"/>
      <c r="LO66" s="25"/>
      <c r="LP66" s="25"/>
      <c r="LQ66" s="25"/>
      <c r="LR66" s="25"/>
      <c r="LS66" s="166"/>
      <c r="LT66" s="166"/>
      <c r="LU66" s="166"/>
      <c r="LV66" s="166"/>
      <c r="LW66" s="166"/>
      <c r="LX66" s="166"/>
      <c r="LY66" s="166"/>
      <c r="LZ66" s="166"/>
      <c r="MA66" s="166"/>
      <c r="MB66" s="166"/>
      <c r="MC66" s="166"/>
      <c r="MD66" s="166"/>
      <c r="ME66" s="166"/>
      <c r="MF66" s="166"/>
      <c r="MG66" s="166"/>
      <c r="MH66" s="166"/>
      <c r="MI66" s="166"/>
      <c r="MJ66" s="166"/>
      <c r="MK66" s="166"/>
      <c r="ML66" s="166"/>
      <c r="MM66" s="166"/>
      <c r="MN66" s="166"/>
      <c r="MO66" s="166"/>
      <c r="MP66" s="166"/>
      <c r="MQ66" s="166"/>
      <c r="MR66" s="166"/>
      <c r="MS66" s="166"/>
      <c r="MT66" s="166"/>
      <c r="MU66" s="166"/>
      <c r="MV66" s="166"/>
      <c r="MW66" s="166"/>
      <c r="MX66" s="166"/>
      <c r="MY66" s="166"/>
      <c r="MZ66" s="166"/>
      <c r="NA66" s="166"/>
      <c r="NB66" s="166"/>
      <c r="NC66" s="166"/>
      <c r="ND66" s="166"/>
      <c r="NE66" s="166"/>
      <c r="NF66" s="166"/>
      <c r="NG66" s="166"/>
      <c r="NH66" s="166"/>
      <c r="NI66" s="166"/>
      <c r="NJ66" s="166"/>
      <c r="NK66" s="166"/>
      <c r="NL66" s="166"/>
      <c r="NM66" s="166"/>
      <c r="NN66" s="166"/>
      <c r="NO66" s="166"/>
      <c r="NP66" s="166"/>
      <c r="NQ66" s="166"/>
      <c r="NR66" s="166"/>
      <c r="NS66" s="166"/>
      <c r="NT66" s="166"/>
      <c r="NU66" s="166"/>
      <c r="NV66" s="166"/>
      <c r="NW66" s="166"/>
      <c r="NX66" s="166"/>
      <c r="NY66" s="166"/>
      <c r="NZ66" s="166"/>
      <c r="OA66" s="25"/>
      <c r="OB66" s="25"/>
      <c r="OC66" s="25"/>
      <c r="OD66" s="81"/>
      <c r="OE66" s="25"/>
      <c r="OF66" s="25"/>
      <c r="OG66" s="25"/>
      <c r="OH66" s="25"/>
      <c r="OI66" s="25"/>
      <c r="OJ66" s="25"/>
      <c r="OK66" s="25"/>
      <c r="OL66" s="25"/>
      <c r="OM66" s="25"/>
      <c r="ON66" s="25"/>
      <c r="OO66" s="25"/>
      <c r="OP66" s="25"/>
      <c r="OQ66" s="25"/>
      <c r="OR6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6" s="81"/>
      <c r="OT66" s="25"/>
      <c r="OU66" s="81"/>
      <c r="OV66" s="81"/>
    </row>
    <row r="67" spans="1:412" ht="12.5" x14ac:dyDescent="0.25">
      <c r="A67" s="25">
        <v>48</v>
      </c>
      <c r="B67" s="25" t="b">
        <f>NOT(ISBLANK(SEBBusinessDataTable[[#This Row],[SEBBusinessType]]))</f>
        <v>0</v>
      </c>
      <c r="C67" s="25"/>
      <c r="D67" s="25"/>
      <c r="E67" s="25"/>
      <c r="F67" s="25"/>
      <c r="G67" s="25"/>
      <c r="H67" s="25"/>
      <c r="I67" s="25"/>
      <c r="J67" s="25">
        <f>COUNTIF(SEBBusinessDataTable[[#This Row],[SEBAssociatedFlagApp1]:[SEBAssociatedFlagApp6]],"Yes")</f>
        <v>0</v>
      </c>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c r="CI67" s="25"/>
      <c r="CJ67" s="25"/>
      <c r="CK67" s="25"/>
      <c r="CL67" s="25"/>
      <c r="CM67" s="25"/>
      <c r="CN67" s="25"/>
      <c r="CO67" s="25"/>
      <c r="CP67" s="25"/>
      <c r="CQ67" s="25"/>
      <c r="CR67" s="25"/>
      <c r="CS67" s="25"/>
      <c r="CT67" s="25"/>
      <c r="CU67" s="25"/>
      <c r="CV67" s="25"/>
      <c r="CW67" s="25"/>
      <c r="CX67" s="25"/>
      <c r="CY67" s="25"/>
      <c r="CZ67" s="25"/>
      <c r="DA67" s="25"/>
      <c r="DB67" s="25"/>
      <c r="DC67" s="25"/>
      <c r="DD67" s="25"/>
      <c r="DE67" s="25"/>
      <c r="DF67" s="25"/>
      <c r="DG67" s="25"/>
      <c r="DH67" s="25"/>
      <c r="DI67" s="25"/>
      <c r="DJ67" s="25"/>
      <c r="DK67" s="25"/>
      <c r="DL67" s="25"/>
      <c r="DM67" s="25"/>
      <c r="DN67" s="25"/>
      <c r="DO67" s="55"/>
      <c r="DP67" s="55"/>
      <c r="DQ67" s="55"/>
      <c r="DR67" s="55"/>
      <c r="DS67" s="55"/>
      <c r="DT67" s="55"/>
      <c r="DU67" s="55"/>
      <c r="DV67" s="55"/>
      <c r="DW67" s="55"/>
      <c r="DX67" s="55"/>
      <c r="DY67" s="55"/>
      <c r="DZ67" s="55"/>
      <c r="EA67" s="25"/>
      <c r="EB67" s="25"/>
      <c r="EC67" s="25"/>
      <c r="ED67" s="25"/>
      <c r="EE67" s="25"/>
      <c r="EF67" s="25"/>
      <c r="EG67" s="25"/>
      <c r="EH67" s="25"/>
      <c r="EI67" s="25"/>
      <c r="EJ67" s="25"/>
      <c r="EK67" s="25"/>
      <c r="EL67" s="25"/>
      <c r="EM67" s="25"/>
      <c r="EN67" s="25"/>
      <c r="EO67" s="25"/>
      <c r="EP67" s="25"/>
      <c r="EQ67" s="25"/>
      <c r="ER67" s="25"/>
      <c r="ES67" s="25"/>
      <c r="ET67" s="25"/>
      <c r="EU67" s="25"/>
      <c r="EV67" s="25"/>
      <c r="EW67" s="25"/>
      <c r="EX67" s="25"/>
      <c r="EY67" s="25"/>
      <c r="EZ67" s="25"/>
      <c r="FA67" s="25"/>
      <c r="FB67" s="25"/>
      <c r="FC67" s="25"/>
      <c r="FD67" s="25"/>
      <c r="FE67" s="25"/>
      <c r="FF67" s="25"/>
      <c r="FG67" s="25"/>
      <c r="FH67" s="25"/>
      <c r="FI67" s="25"/>
      <c r="FJ67" s="25"/>
      <c r="FK67" s="25"/>
      <c r="FL67" s="25"/>
      <c r="FM67" s="25"/>
      <c r="FN67" s="25"/>
      <c r="FO67" s="25"/>
      <c r="FP67" s="25"/>
      <c r="FQ67" s="25"/>
      <c r="FR67" s="25"/>
      <c r="FS67" s="25"/>
      <c r="FT67" s="25"/>
      <c r="FU67" s="25"/>
      <c r="FV67" s="25"/>
      <c r="FW67" s="25"/>
      <c r="FX67" s="25"/>
      <c r="FY67" s="25"/>
      <c r="FZ67" s="25"/>
      <c r="GA67" s="25"/>
      <c r="GB67" s="25"/>
      <c r="GC67" s="25"/>
      <c r="GD67" s="25"/>
      <c r="GE67" s="25"/>
      <c r="GF67" s="25"/>
      <c r="GG67" s="25"/>
      <c r="GH67" s="25"/>
      <c r="GI67" s="25"/>
      <c r="GJ67" s="25"/>
      <c r="GK67" s="25"/>
      <c r="GL67" s="25"/>
      <c r="GM67" s="25"/>
      <c r="GN67" s="25"/>
      <c r="GO67" s="25"/>
      <c r="GP67" s="25"/>
      <c r="GQ67" s="25"/>
      <c r="GR67" s="25"/>
      <c r="GS67" s="25"/>
      <c r="GT67" s="25"/>
      <c r="GU67" s="25"/>
      <c r="GV67" s="25"/>
      <c r="GW67" s="25"/>
      <c r="GX67" s="25"/>
      <c r="GY67" s="25"/>
      <c r="GZ67" s="25"/>
      <c r="HA67" s="25"/>
      <c r="HB67" s="25"/>
      <c r="HC67" s="55"/>
      <c r="HD67" s="55"/>
      <c r="HE67" s="55"/>
      <c r="HF67" s="55"/>
      <c r="HG67" s="55"/>
      <c r="HH67" s="55"/>
      <c r="HI67" s="55"/>
      <c r="HJ67" s="55"/>
      <c r="HK67" s="55"/>
      <c r="HL67" s="55"/>
      <c r="HM67" s="55"/>
      <c r="HN67" s="55"/>
      <c r="HO67" s="55"/>
      <c r="HP67" s="55"/>
      <c r="HQ67" s="55"/>
      <c r="HR67" s="55"/>
      <c r="HS67" s="55"/>
      <c r="HT67" s="55"/>
      <c r="HU67" s="55"/>
      <c r="HV67" s="55"/>
      <c r="HW67" s="55"/>
      <c r="HX67" s="55"/>
      <c r="HY67" s="55"/>
      <c r="HZ67" s="55"/>
      <c r="IA67" s="55"/>
      <c r="IB67" s="55"/>
      <c r="IC67" s="55"/>
      <c r="ID67" s="55"/>
      <c r="IE67" s="55"/>
      <c r="IF67" s="55"/>
      <c r="IG67" s="55"/>
      <c r="IH67" s="55"/>
      <c r="II67" s="55"/>
      <c r="IJ67" s="55"/>
      <c r="IK67" s="55"/>
      <c r="IL67" s="55"/>
      <c r="IM67" s="55"/>
      <c r="IN67" s="55"/>
      <c r="IO67" s="55"/>
      <c r="IP67" s="55"/>
      <c r="IQ67" s="55"/>
      <c r="IR67" s="55"/>
      <c r="IS67" s="55"/>
      <c r="IT67" s="55"/>
      <c r="IU67" s="55"/>
      <c r="IV67" s="55"/>
      <c r="IW67" s="55"/>
      <c r="IX67" s="55"/>
      <c r="IY67" s="55"/>
      <c r="IZ67" s="55"/>
      <c r="JA67" s="55"/>
      <c r="JB67" s="55"/>
      <c r="JC67" s="55"/>
      <c r="JD67" s="55"/>
      <c r="JE67" s="55"/>
      <c r="JF67" s="55"/>
      <c r="JG67" s="55"/>
      <c r="JH67" s="55"/>
      <c r="JI67" s="55"/>
      <c r="JJ67" s="55"/>
      <c r="JK67" s="25"/>
      <c r="JL67" s="25"/>
      <c r="JM67" s="25"/>
      <c r="JN67" s="25"/>
      <c r="JO67" s="25"/>
      <c r="JP67" s="25"/>
      <c r="JQ67" s="25"/>
      <c r="JR67" s="25"/>
      <c r="JS67" s="25"/>
      <c r="JT67" s="25"/>
      <c r="JU67" s="25"/>
      <c r="JV67" s="25"/>
      <c r="JW67" s="25"/>
      <c r="JX67" s="25"/>
      <c r="JY67" s="25"/>
      <c r="JZ67" s="25"/>
      <c r="KA67" s="25"/>
      <c r="KB67" s="25"/>
      <c r="KC67" s="25"/>
      <c r="KD67" s="25"/>
      <c r="KE67" s="25"/>
      <c r="KF67" s="25"/>
      <c r="KG67" s="25"/>
      <c r="KH67" s="25"/>
      <c r="KI67" s="25"/>
      <c r="KJ67" s="25"/>
      <c r="KK67" s="25"/>
      <c r="KL67" s="25"/>
      <c r="KM67" s="25"/>
      <c r="KN67" s="25"/>
      <c r="KO67" s="25"/>
      <c r="KP67" s="25"/>
      <c r="KQ67" s="25"/>
      <c r="KR67" s="25"/>
      <c r="KS67" s="25"/>
      <c r="KT67" s="25"/>
      <c r="KU67" s="25"/>
      <c r="KV67" s="25"/>
      <c r="KW67" s="25"/>
      <c r="KX67" s="25"/>
      <c r="KY67" s="25"/>
      <c r="KZ67" s="25"/>
      <c r="LA67" s="25"/>
      <c r="LB67" s="25"/>
      <c r="LC67" s="25"/>
      <c r="LD67" s="25"/>
      <c r="LE67" s="25"/>
      <c r="LF67" s="25"/>
      <c r="LG67" s="25"/>
      <c r="LH67" s="25"/>
      <c r="LI67" s="25"/>
      <c r="LJ67" s="25"/>
      <c r="LK67" s="25"/>
      <c r="LL67" s="25"/>
      <c r="LM67" s="25"/>
      <c r="LN67" s="25"/>
      <c r="LO67" s="25"/>
      <c r="LP67" s="25"/>
      <c r="LQ67" s="25"/>
      <c r="LR67" s="25"/>
      <c r="LS67" s="166"/>
      <c r="LT67" s="166"/>
      <c r="LU67" s="166"/>
      <c r="LV67" s="166"/>
      <c r="LW67" s="166"/>
      <c r="LX67" s="166"/>
      <c r="LY67" s="166"/>
      <c r="LZ67" s="166"/>
      <c r="MA67" s="166"/>
      <c r="MB67" s="166"/>
      <c r="MC67" s="166"/>
      <c r="MD67" s="166"/>
      <c r="ME67" s="166"/>
      <c r="MF67" s="166"/>
      <c r="MG67" s="166"/>
      <c r="MH67" s="166"/>
      <c r="MI67" s="166"/>
      <c r="MJ67" s="166"/>
      <c r="MK67" s="166"/>
      <c r="ML67" s="166"/>
      <c r="MM67" s="166"/>
      <c r="MN67" s="166"/>
      <c r="MO67" s="166"/>
      <c r="MP67" s="166"/>
      <c r="MQ67" s="166"/>
      <c r="MR67" s="166"/>
      <c r="MS67" s="166"/>
      <c r="MT67" s="166"/>
      <c r="MU67" s="166"/>
      <c r="MV67" s="166"/>
      <c r="MW67" s="166"/>
      <c r="MX67" s="166"/>
      <c r="MY67" s="166"/>
      <c r="MZ67" s="166"/>
      <c r="NA67" s="166"/>
      <c r="NB67" s="166"/>
      <c r="NC67" s="166"/>
      <c r="ND67" s="166"/>
      <c r="NE67" s="166"/>
      <c r="NF67" s="166"/>
      <c r="NG67" s="166"/>
      <c r="NH67" s="166"/>
      <c r="NI67" s="166"/>
      <c r="NJ67" s="166"/>
      <c r="NK67" s="166"/>
      <c r="NL67" s="166"/>
      <c r="NM67" s="166"/>
      <c r="NN67" s="166"/>
      <c r="NO67" s="166"/>
      <c r="NP67" s="166"/>
      <c r="NQ67" s="166"/>
      <c r="NR67" s="166"/>
      <c r="NS67" s="166"/>
      <c r="NT67" s="166"/>
      <c r="NU67" s="166"/>
      <c r="NV67" s="166"/>
      <c r="NW67" s="166"/>
      <c r="NX67" s="166"/>
      <c r="NY67" s="166"/>
      <c r="NZ67" s="166"/>
      <c r="OA67" s="25"/>
      <c r="OB67" s="25"/>
      <c r="OC67" s="25"/>
      <c r="OD67" s="81"/>
      <c r="OE67" s="25"/>
      <c r="OF67" s="25"/>
      <c r="OG67" s="25"/>
      <c r="OH67" s="25"/>
      <c r="OI67" s="25"/>
      <c r="OJ67" s="25"/>
      <c r="OK67" s="25"/>
      <c r="OL67" s="25"/>
      <c r="OM67" s="25"/>
      <c r="ON67" s="25"/>
      <c r="OO67" s="25"/>
      <c r="OP67" s="25"/>
      <c r="OQ67" s="25"/>
      <c r="OR6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7" s="81"/>
      <c r="OT67" s="25"/>
      <c r="OU67" s="81"/>
      <c r="OV67" s="81"/>
    </row>
    <row r="68" spans="1:412" ht="12.5" x14ac:dyDescent="0.25">
      <c r="A68" s="25">
        <v>49</v>
      </c>
      <c r="B68" s="25" t="b">
        <f>NOT(ISBLANK(SEBBusinessDataTable[[#This Row],[SEBBusinessType]]))</f>
        <v>0</v>
      </c>
      <c r="C68" s="25"/>
      <c r="D68" s="25"/>
      <c r="E68" s="25"/>
      <c r="F68" s="25"/>
      <c r="G68" s="25"/>
      <c r="H68" s="25"/>
      <c r="I68" s="25"/>
      <c r="J68" s="25">
        <f>COUNTIF(SEBBusinessDataTable[[#This Row],[SEBAssociatedFlagApp1]:[SEBAssociatedFlagApp6]],"Yes")</f>
        <v>0</v>
      </c>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c r="DE68" s="25"/>
      <c r="DF68" s="25"/>
      <c r="DG68" s="25"/>
      <c r="DH68" s="25"/>
      <c r="DI68" s="25"/>
      <c r="DJ68" s="25"/>
      <c r="DK68" s="25"/>
      <c r="DL68" s="25"/>
      <c r="DM68" s="25"/>
      <c r="DN68" s="25"/>
      <c r="DO68" s="55"/>
      <c r="DP68" s="55"/>
      <c r="DQ68" s="55"/>
      <c r="DR68" s="55"/>
      <c r="DS68" s="55"/>
      <c r="DT68" s="55"/>
      <c r="DU68" s="55"/>
      <c r="DV68" s="55"/>
      <c r="DW68" s="55"/>
      <c r="DX68" s="55"/>
      <c r="DY68" s="55"/>
      <c r="DZ68" s="55"/>
      <c r="EA68" s="25"/>
      <c r="EB68" s="25"/>
      <c r="EC68" s="25"/>
      <c r="ED68" s="25"/>
      <c r="EE68" s="25"/>
      <c r="EF68" s="25"/>
      <c r="EG68" s="25"/>
      <c r="EH68" s="25"/>
      <c r="EI68" s="25"/>
      <c r="EJ68" s="25"/>
      <c r="EK68" s="25"/>
      <c r="EL68" s="25"/>
      <c r="EM68" s="25"/>
      <c r="EN68" s="25"/>
      <c r="EO68" s="25"/>
      <c r="EP68" s="25"/>
      <c r="EQ68" s="25"/>
      <c r="ER68" s="25"/>
      <c r="ES68" s="25"/>
      <c r="ET68" s="25"/>
      <c r="EU68" s="25"/>
      <c r="EV68" s="25"/>
      <c r="EW68" s="25"/>
      <c r="EX68" s="25"/>
      <c r="EY68" s="25"/>
      <c r="EZ68" s="25"/>
      <c r="FA68" s="25"/>
      <c r="FB68" s="25"/>
      <c r="FC68" s="25"/>
      <c r="FD68" s="25"/>
      <c r="FE68" s="25"/>
      <c r="FF68" s="25"/>
      <c r="FG68" s="25"/>
      <c r="FH68" s="25"/>
      <c r="FI68" s="25"/>
      <c r="FJ68" s="25"/>
      <c r="FK68" s="25"/>
      <c r="FL68" s="25"/>
      <c r="FM68" s="25"/>
      <c r="FN68" s="25"/>
      <c r="FO68" s="25"/>
      <c r="FP68" s="25"/>
      <c r="FQ68" s="25"/>
      <c r="FR68" s="25"/>
      <c r="FS68" s="25"/>
      <c r="FT68" s="25"/>
      <c r="FU68" s="25"/>
      <c r="FV68" s="25"/>
      <c r="FW68" s="25"/>
      <c r="FX68" s="25"/>
      <c r="FY68" s="25"/>
      <c r="FZ68" s="25"/>
      <c r="GA68" s="25"/>
      <c r="GB68" s="25"/>
      <c r="GC68" s="25"/>
      <c r="GD68" s="25"/>
      <c r="GE68" s="25"/>
      <c r="GF68" s="25"/>
      <c r="GG68" s="25"/>
      <c r="GH68" s="25"/>
      <c r="GI68" s="25"/>
      <c r="GJ68" s="25"/>
      <c r="GK68" s="25"/>
      <c r="GL68" s="25"/>
      <c r="GM68" s="25"/>
      <c r="GN68" s="25"/>
      <c r="GO68" s="25"/>
      <c r="GP68" s="25"/>
      <c r="GQ68" s="25"/>
      <c r="GR68" s="25"/>
      <c r="GS68" s="25"/>
      <c r="GT68" s="25"/>
      <c r="GU68" s="25"/>
      <c r="GV68" s="25"/>
      <c r="GW68" s="25"/>
      <c r="GX68" s="25"/>
      <c r="GY68" s="25"/>
      <c r="GZ68" s="25"/>
      <c r="HA68" s="25"/>
      <c r="HB68" s="25"/>
      <c r="HC68" s="55"/>
      <c r="HD68" s="55"/>
      <c r="HE68" s="55"/>
      <c r="HF68" s="55"/>
      <c r="HG68" s="55"/>
      <c r="HH68" s="55"/>
      <c r="HI68" s="55"/>
      <c r="HJ68" s="55"/>
      <c r="HK68" s="55"/>
      <c r="HL68" s="55"/>
      <c r="HM68" s="55"/>
      <c r="HN68" s="55"/>
      <c r="HO68" s="55"/>
      <c r="HP68" s="55"/>
      <c r="HQ68" s="55"/>
      <c r="HR68" s="55"/>
      <c r="HS68" s="55"/>
      <c r="HT68" s="55"/>
      <c r="HU68" s="55"/>
      <c r="HV68" s="55"/>
      <c r="HW68" s="55"/>
      <c r="HX68" s="55"/>
      <c r="HY68" s="55"/>
      <c r="HZ68" s="55"/>
      <c r="IA68" s="55"/>
      <c r="IB68" s="55"/>
      <c r="IC68" s="55"/>
      <c r="ID68" s="55"/>
      <c r="IE68" s="55"/>
      <c r="IF68" s="55"/>
      <c r="IG68" s="55"/>
      <c r="IH68" s="55"/>
      <c r="II68" s="55"/>
      <c r="IJ68" s="55"/>
      <c r="IK68" s="55"/>
      <c r="IL68" s="55"/>
      <c r="IM68" s="55"/>
      <c r="IN68" s="55"/>
      <c r="IO68" s="55"/>
      <c r="IP68" s="55"/>
      <c r="IQ68" s="55"/>
      <c r="IR68" s="55"/>
      <c r="IS68" s="55"/>
      <c r="IT68" s="55"/>
      <c r="IU68" s="55"/>
      <c r="IV68" s="55"/>
      <c r="IW68" s="55"/>
      <c r="IX68" s="55"/>
      <c r="IY68" s="55"/>
      <c r="IZ68" s="55"/>
      <c r="JA68" s="55"/>
      <c r="JB68" s="55"/>
      <c r="JC68" s="55"/>
      <c r="JD68" s="55"/>
      <c r="JE68" s="55"/>
      <c r="JF68" s="55"/>
      <c r="JG68" s="55"/>
      <c r="JH68" s="55"/>
      <c r="JI68" s="55"/>
      <c r="JJ68" s="55"/>
      <c r="JK68" s="25"/>
      <c r="JL68" s="25"/>
      <c r="JM68" s="25"/>
      <c r="JN68" s="25"/>
      <c r="JO68" s="25"/>
      <c r="JP68" s="25"/>
      <c r="JQ68" s="25"/>
      <c r="JR68" s="25"/>
      <c r="JS68" s="25"/>
      <c r="JT68" s="25"/>
      <c r="JU68" s="25"/>
      <c r="JV68" s="25"/>
      <c r="JW68" s="25"/>
      <c r="JX68" s="25"/>
      <c r="JY68" s="25"/>
      <c r="JZ68" s="25"/>
      <c r="KA68" s="25"/>
      <c r="KB68" s="25"/>
      <c r="KC68" s="25"/>
      <c r="KD68" s="25"/>
      <c r="KE68" s="25"/>
      <c r="KF68" s="25"/>
      <c r="KG68" s="25"/>
      <c r="KH68" s="25"/>
      <c r="KI68" s="25"/>
      <c r="KJ68" s="25"/>
      <c r="KK68" s="25"/>
      <c r="KL68" s="25"/>
      <c r="KM68" s="25"/>
      <c r="KN68" s="25"/>
      <c r="KO68" s="25"/>
      <c r="KP68" s="25"/>
      <c r="KQ68" s="25"/>
      <c r="KR68" s="25"/>
      <c r="KS68" s="25"/>
      <c r="KT68" s="25"/>
      <c r="KU68" s="25"/>
      <c r="KV68" s="25"/>
      <c r="KW68" s="25"/>
      <c r="KX68" s="25"/>
      <c r="KY68" s="25"/>
      <c r="KZ68" s="25"/>
      <c r="LA68" s="25"/>
      <c r="LB68" s="25"/>
      <c r="LC68" s="25"/>
      <c r="LD68" s="25"/>
      <c r="LE68" s="25"/>
      <c r="LF68" s="25"/>
      <c r="LG68" s="25"/>
      <c r="LH68" s="25"/>
      <c r="LI68" s="25"/>
      <c r="LJ68" s="25"/>
      <c r="LK68" s="25"/>
      <c r="LL68" s="25"/>
      <c r="LM68" s="25"/>
      <c r="LN68" s="25"/>
      <c r="LO68" s="25"/>
      <c r="LP68" s="25"/>
      <c r="LQ68" s="25"/>
      <c r="LR68" s="25"/>
      <c r="LS68" s="166"/>
      <c r="LT68" s="166"/>
      <c r="LU68" s="166"/>
      <c r="LV68" s="166"/>
      <c r="LW68" s="166"/>
      <c r="LX68" s="166"/>
      <c r="LY68" s="166"/>
      <c r="LZ68" s="166"/>
      <c r="MA68" s="166"/>
      <c r="MB68" s="166"/>
      <c r="MC68" s="166"/>
      <c r="MD68" s="166"/>
      <c r="ME68" s="166"/>
      <c r="MF68" s="166"/>
      <c r="MG68" s="166"/>
      <c r="MH68" s="166"/>
      <c r="MI68" s="166"/>
      <c r="MJ68" s="166"/>
      <c r="MK68" s="166"/>
      <c r="ML68" s="166"/>
      <c r="MM68" s="166"/>
      <c r="MN68" s="166"/>
      <c r="MO68" s="166"/>
      <c r="MP68" s="166"/>
      <c r="MQ68" s="166"/>
      <c r="MR68" s="166"/>
      <c r="MS68" s="166"/>
      <c r="MT68" s="166"/>
      <c r="MU68" s="166"/>
      <c r="MV68" s="166"/>
      <c r="MW68" s="166"/>
      <c r="MX68" s="166"/>
      <c r="MY68" s="166"/>
      <c r="MZ68" s="166"/>
      <c r="NA68" s="166"/>
      <c r="NB68" s="166"/>
      <c r="NC68" s="166"/>
      <c r="ND68" s="166"/>
      <c r="NE68" s="166"/>
      <c r="NF68" s="166"/>
      <c r="NG68" s="166"/>
      <c r="NH68" s="166"/>
      <c r="NI68" s="166"/>
      <c r="NJ68" s="166"/>
      <c r="NK68" s="166"/>
      <c r="NL68" s="166"/>
      <c r="NM68" s="166"/>
      <c r="NN68" s="166"/>
      <c r="NO68" s="166"/>
      <c r="NP68" s="166"/>
      <c r="NQ68" s="166"/>
      <c r="NR68" s="166"/>
      <c r="NS68" s="166"/>
      <c r="NT68" s="166"/>
      <c r="NU68" s="166"/>
      <c r="NV68" s="166"/>
      <c r="NW68" s="166"/>
      <c r="NX68" s="166"/>
      <c r="NY68" s="166"/>
      <c r="NZ68" s="166"/>
      <c r="OA68" s="25"/>
      <c r="OB68" s="25"/>
      <c r="OC68" s="25"/>
      <c r="OD68" s="81"/>
      <c r="OE68" s="25"/>
      <c r="OF68" s="25"/>
      <c r="OG68" s="25"/>
      <c r="OH68" s="25"/>
      <c r="OI68" s="25"/>
      <c r="OJ68" s="25"/>
      <c r="OK68" s="25"/>
      <c r="OL68" s="25"/>
      <c r="OM68" s="25"/>
      <c r="ON68" s="25"/>
      <c r="OO68" s="25"/>
      <c r="OP68" s="25"/>
      <c r="OQ68" s="25"/>
      <c r="OR6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8" s="81"/>
      <c r="OT68" s="25"/>
      <c r="OU68" s="81"/>
      <c r="OV68" s="81"/>
    </row>
    <row r="69" spans="1:412" ht="12.5" x14ac:dyDescent="0.25">
      <c r="A69" s="25">
        <v>50</v>
      </c>
      <c r="B69" s="25" t="b">
        <f>NOT(ISBLANK(SEBBusinessDataTable[[#This Row],[SEBBusinessType]]))</f>
        <v>0</v>
      </c>
      <c r="C69" s="25"/>
      <c r="D69" s="25"/>
      <c r="E69" s="25"/>
      <c r="F69" s="25"/>
      <c r="G69" s="25"/>
      <c r="H69" s="25"/>
      <c r="I69" s="25"/>
      <c r="J69" s="25">
        <f>COUNTIF(SEBBusinessDataTable[[#This Row],[SEBAssociatedFlagApp1]:[SEBAssociatedFlagApp6]],"Yes")</f>
        <v>0</v>
      </c>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5"/>
      <c r="CG69" s="25"/>
      <c r="CH69" s="25"/>
      <c r="CI69" s="25"/>
      <c r="CJ69" s="25"/>
      <c r="CK69" s="25"/>
      <c r="CL69" s="25"/>
      <c r="CM69" s="25"/>
      <c r="CN69" s="25"/>
      <c r="CO69" s="25"/>
      <c r="CP69" s="25"/>
      <c r="CQ69" s="25"/>
      <c r="CR69" s="25"/>
      <c r="CS69" s="25"/>
      <c r="CT69" s="25"/>
      <c r="CU69" s="25"/>
      <c r="CV69" s="25"/>
      <c r="CW69" s="25"/>
      <c r="CX69" s="25"/>
      <c r="CY69" s="25"/>
      <c r="CZ69" s="25"/>
      <c r="DA69" s="25"/>
      <c r="DB69" s="25"/>
      <c r="DC69" s="25"/>
      <c r="DD69" s="25"/>
      <c r="DE69" s="25"/>
      <c r="DF69" s="25"/>
      <c r="DG69" s="25"/>
      <c r="DH69" s="25"/>
      <c r="DI69" s="25"/>
      <c r="DJ69" s="25"/>
      <c r="DK69" s="25"/>
      <c r="DL69" s="25"/>
      <c r="DM69" s="25"/>
      <c r="DN69" s="25"/>
      <c r="DO69" s="55"/>
      <c r="DP69" s="55"/>
      <c r="DQ69" s="55"/>
      <c r="DR69" s="55"/>
      <c r="DS69" s="55"/>
      <c r="DT69" s="55"/>
      <c r="DU69" s="55"/>
      <c r="DV69" s="55"/>
      <c r="DW69" s="55"/>
      <c r="DX69" s="55"/>
      <c r="DY69" s="55"/>
      <c r="DZ69" s="55"/>
      <c r="EA69" s="25"/>
      <c r="EB69" s="25"/>
      <c r="EC69" s="25"/>
      <c r="ED69" s="25"/>
      <c r="EE69" s="25"/>
      <c r="EF69" s="25"/>
      <c r="EG69" s="25"/>
      <c r="EH69" s="25"/>
      <c r="EI69" s="25"/>
      <c r="EJ69" s="25"/>
      <c r="EK69" s="25"/>
      <c r="EL69" s="25"/>
      <c r="EM69" s="25"/>
      <c r="EN69" s="25"/>
      <c r="EO69" s="25"/>
      <c r="EP69" s="25"/>
      <c r="EQ69" s="25"/>
      <c r="ER69" s="25"/>
      <c r="ES69" s="25"/>
      <c r="ET69" s="25"/>
      <c r="EU69" s="25"/>
      <c r="EV69" s="25"/>
      <c r="EW69" s="25"/>
      <c r="EX69" s="25"/>
      <c r="EY69" s="25"/>
      <c r="EZ69" s="25"/>
      <c r="FA69" s="25"/>
      <c r="FB69" s="25"/>
      <c r="FC69" s="25"/>
      <c r="FD69" s="25"/>
      <c r="FE69" s="25"/>
      <c r="FF69" s="25"/>
      <c r="FG69" s="25"/>
      <c r="FH69" s="25"/>
      <c r="FI69" s="25"/>
      <c r="FJ69" s="25"/>
      <c r="FK69" s="25"/>
      <c r="FL69" s="25"/>
      <c r="FM69" s="25"/>
      <c r="FN69" s="25"/>
      <c r="FO69" s="25"/>
      <c r="FP69" s="25"/>
      <c r="FQ69" s="25"/>
      <c r="FR69" s="25"/>
      <c r="FS69" s="25"/>
      <c r="FT69" s="25"/>
      <c r="FU69" s="25"/>
      <c r="FV69" s="25"/>
      <c r="FW69" s="25"/>
      <c r="FX69" s="25"/>
      <c r="FY69" s="25"/>
      <c r="FZ69" s="25"/>
      <c r="GA69" s="25"/>
      <c r="GB69" s="25"/>
      <c r="GC69" s="25"/>
      <c r="GD69" s="25"/>
      <c r="GE69" s="25"/>
      <c r="GF69" s="25"/>
      <c r="GG69" s="25"/>
      <c r="GH69" s="25"/>
      <c r="GI69" s="25"/>
      <c r="GJ69" s="25"/>
      <c r="GK69" s="25"/>
      <c r="GL69" s="25"/>
      <c r="GM69" s="25"/>
      <c r="GN69" s="25"/>
      <c r="GO69" s="25"/>
      <c r="GP69" s="25"/>
      <c r="GQ69" s="25"/>
      <c r="GR69" s="25"/>
      <c r="GS69" s="25"/>
      <c r="GT69" s="25"/>
      <c r="GU69" s="25"/>
      <c r="GV69" s="25"/>
      <c r="GW69" s="25"/>
      <c r="GX69" s="25"/>
      <c r="GY69" s="25"/>
      <c r="GZ69" s="25"/>
      <c r="HA69" s="25"/>
      <c r="HB69" s="25"/>
      <c r="HC69" s="55"/>
      <c r="HD69" s="55"/>
      <c r="HE69" s="55"/>
      <c r="HF69" s="55"/>
      <c r="HG69" s="55"/>
      <c r="HH69" s="55"/>
      <c r="HI69" s="55"/>
      <c r="HJ69" s="55"/>
      <c r="HK69" s="55"/>
      <c r="HL69" s="55"/>
      <c r="HM69" s="55"/>
      <c r="HN69" s="55"/>
      <c r="HO69" s="55"/>
      <c r="HP69" s="55"/>
      <c r="HQ69" s="55"/>
      <c r="HR69" s="55"/>
      <c r="HS69" s="55"/>
      <c r="HT69" s="55"/>
      <c r="HU69" s="55"/>
      <c r="HV69" s="55"/>
      <c r="HW69" s="55"/>
      <c r="HX69" s="55"/>
      <c r="HY69" s="55"/>
      <c r="HZ69" s="55"/>
      <c r="IA69" s="55"/>
      <c r="IB69" s="55"/>
      <c r="IC69" s="55"/>
      <c r="ID69" s="55"/>
      <c r="IE69" s="55"/>
      <c r="IF69" s="55"/>
      <c r="IG69" s="55"/>
      <c r="IH69" s="55"/>
      <c r="II69" s="55"/>
      <c r="IJ69" s="55"/>
      <c r="IK69" s="55"/>
      <c r="IL69" s="55"/>
      <c r="IM69" s="55"/>
      <c r="IN69" s="55"/>
      <c r="IO69" s="55"/>
      <c r="IP69" s="55"/>
      <c r="IQ69" s="55"/>
      <c r="IR69" s="55"/>
      <c r="IS69" s="55"/>
      <c r="IT69" s="55"/>
      <c r="IU69" s="55"/>
      <c r="IV69" s="55"/>
      <c r="IW69" s="55"/>
      <c r="IX69" s="55"/>
      <c r="IY69" s="55"/>
      <c r="IZ69" s="55"/>
      <c r="JA69" s="55"/>
      <c r="JB69" s="55"/>
      <c r="JC69" s="55"/>
      <c r="JD69" s="55"/>
      <c r="JE69" s="55"/>
      <c r="JF69" s="55"/>
      <c r="JG69" s="55"/>
      <c r="JH69" s="55"/>
      <c r="JI69" s="55"/>
      <c r="JJ69" s="55"/>
      <c r="JK69" s="25"/>
      <c r="JL69" s="25"/>
      <c r="JM69" s="25"/>
      <c r="JN69" s="25"/>
      <c r="JO69" s="25"/>
      <c r="JP69" s="25"/>
      <c r="JQ69" s="25"/>
      <c r="JR69" s="25"/>
      <c r="JS69" s="25"/>
      <c r="JT69" s="25"/>
      <c r="JU69" s="25"/>
      <c r="JV69" s="25"/>
      <c r="JW69" s="25"/>
      <c r="JX69" s="25"/>
      <c r="JY69" s="25"/>
      <c r="JZ69" s="25"/>
      <c r="KA69" s="25"/>
      <c r="KB69" s="25"/>
      <c r="KC69" s="25"/>
      <c r="KD69" s="25"/>
      <c r="KE69" s="25"/>
      <c r="KF69" s="25"/>
      <c r="KG69" s="25"/>
      <c r="KH69" s="25"/>
      <c r="KI69" s="25"/>
      <c r="KJ69" s="25"/>
      <c r="KK69" s="25"/>
      <c r="KL69" s="25"/>
      <c r="KM69" s="25"/>
      <c r="KN69" s="25"/>
      <c r="KO69" s="25"/>
      <c r="KP69" s="25"/>
      <c r="KQ69" s="25"/>
      <c r="KR69" s="25"/>
      <c r="KS69" s="25"/>
      <c r="KT69" s="25"/>
      <c r="KU69" s="25"/>
      <c r="KV69" s="25"/>
      <c r="KW69" s="25"/>
      <c r="KX69" s="25"/>
      <c r="KY69" s="25"/>
      <c r="KZ69" s="25"/>
      <c r="LA69" s="25"/>
      <c r="LB69" s="25"/>
      <c r="LC69" s="25"/>
      <c r="LD69" s="25"/>
      <c r="LE69" s="25"/>
      <c r="LF69" s="25"/>
      <c r="LG69" s="25"/>
      <c r="LH69" s="25"/>
      <c r="LI69" s="25"/>
      <c r="LJ69" s="25"/>
      <c r="LK69" s="25"/>
      <c r="LL69" s="25"/>
      <c r="LM69" s="25"/>
      <c r="LN69" s="25"/>
      <c r="LO69" s="25"/>
      <c r="LP69" s="25"/>
      <c r="LQ69" s="25"/>
      <c r="LR69" s="25"/>
      <c r="LS69" s="166"/>
      <c r="LT69" s="166"/>
      <c r="LU69" s="166"/>
      <c r="LV69" s="166"/>
      <c r="LW69" s="166"/>
      <c r="LX69" s="166"/>
      <c r="LY69" s="166"/>
      <c r="LZ69" s="166"/>
      <c r="MA69" s="166"/>
      <c r="MB69" s="166"/>
      <c r="MC69" s="166"/>
      <c r="MD69" s="166"/>
      <c r="ME69" s="166"/>
      <c r="MF69" s="166"/>
      <c r="MG69" s="166"/>
      <c r="MH69" s="166"/>
      <c r="MI69" s="166"/>
      <c r="MJ69" s="166"/>
      <c r="MK69" s="166"/>
      <c r="ML69" s="166"/>
      <c r="MM69" s="166"/>
      <c r="MN69" s="166"/>
      <c r="MO69" s="166"/>
      <c r="MP69" s="166"/>
      <c r="MQ69" s="166"/>
      <c r="MR69" s="166"/>
      <c r="MS69" s="166"/>
      <c r="MT69" s="166"/>
      <c r="MU69" s="166"/>
      <c r="MV69" s="166"/>
      <c r="MW69" s="166"/>
      <c r="MX69" s="166"/>
      <c r="MY69" s="166"/>
      <c r="MZ69" s="166"/>
      <c r="NA69" s="166"/>
      <c r="NB69" s="166"/>
      <c r="NC69" s="166"/>
      <c r="ND69" s="166"/>
      <c r="NE69" s="166"/>
      <c r="NF69" s="166"/>
      <c r="NG69" s="166"/>
      <c r="NH69" s="166"/>
      <c r="NI69" s="166"/>
      <c r="NJ69" s="166"/>
      <c r="NK69" s="166"/>
      <c r="NL69" s="166"/>
      <c r="NM69" s="166"/>
      <c r="NN69" s="166"/>
      <c r="NO69" s="166"/>
      <c r="NP69" s="166"/>
      <c r="NQ69" s="166"/>
      <c r="NR69" s="166"/>
      <c r="NS69" s="166"/>
      <c r="NT69" s="166"/>
      <c r="NU69" s="166"/>
      <c r="NV69" s="166"/>
      <c r="NW69" s="166"/>
      <c r="NX69" s="166"/>
      <c r="NY69" s="166"/>
      <c r="NZ69" s="166"/>
      <c r="OA69" s="25"/>
      <c r="OB69" s="25"/>
      <c r="OC69" s="25"/>
      <c r="OD69" s="81"/>
      <c r="OE69" s="25"/>
      <c r="OF69" s="25"/>
      <c r="OG69" s="25"/>
      <c r="OH69" s="25"/>
      <c r="OI69" s="25"/>
      <c r="OJ69" s="25"/>
      <c r="OK69" s="25"/>
      <c r="OL69" s="25"/>
      <c r="OM69" s="25"/>
      <c r="ON69" s="25"/>
      <c r="OO69" s="25"/>
      <c r="OP69" s="25"/>
      <c r="OQ69" s="25"/>
      <c r="OR6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9" s="81"/>
      <c r="OT69" s="25"/>
      <c r="OU69" s="81"/>
      <c r="OV69" s="81"/>
    </row>
    <row r="70" spans="1:412" ht="12.5" x14ac:dyDescent="0.25">
      <c r="A70" s="25">
        <v>51</v>
      </c>
      <c r="B70" s="25" t="b">
        <f>NOT(ISBLANK(SEBBusinessDataTable[[#This Row],[SEBBusinessType]]))</f>
        <v>0</v>
      </c>
      <c r="C70" s="25"/>
      <c r="D70" s="25"/>
      <c r="E70" s="25"/>
      <c r="F70" s="25"/>
      <c r="G70" s="25"/>
      <c r="H70" s="25"/>
      <c r="I70" s="25"/>
      <c r="J70" s="25">
        <f>COUNTIF(SEBBusinessDataTable[[#This Row],[SEBAssociatedFlagApp1]:[SEBAssociatedFlagApp6]],"Yes")</f>
        <v>0</v>
      </c>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c r="CI70" s="25"/>
      <c r="CJ70" s="25"/>
      <c r="CK70" s="25"/>
      <c r="CL70" s="25"/>
      <c r="CM70" s="25"/>
      <c r="CN70" s="25"/>
      <c r="CO70" s="25"/>
      <c r="CP70" s="25"/>
      <c r="CQ70" s="25"/>
      <c r="CR70" s="25"/>
      <c r="CS70" s="25"/>
      <c r="CT70" s="25"/>
      <c r="CU70" s="25"/>
      <c r="CV70" s="25"/>
      <c r="CW70" s="25"/>
      <c r="CX70" s="25"/>
      <c r="CY70" s="25"/>
      <c r="CZ70" s="25"/>
      <c r="DA70" s="25"/>
      <c r="DB70" s="25"/>
      <c r="DC70" s="25"/>
      <c r="DD70" s="25"/>
      <c r="DE70" s="25"/>
      <c r="DF70" s="25"/>
      <c r="DG70" s="25"/>
      <c r="DH70" s="25"/>
      <c r="DI70" s="25"/>
      <c r="DJ70" s="25"/>
      <c r="DK70" s="25"/>
      <c r="DL70" s="25"/>
      <c r="DM70" s="25"/>
      <c r="DN70" s="25"/>
      <c r="DO70" s="55"/>
      <c r="DP70" s="55"/>
      <c r="DQ70" s="55"/>
      <c r="DR70" s="55"/>
      <c r="DS70" s="55"/>
      <c r="DT70" s="55"/>
      <c r="DU70" s="55"/>
      <c r="DV70" s="55"/>
      <c r="DW70" s="55"/>
      <c r="DX70" s="55"/>
      <c r="DY70" s="55"/>
      <c r="DZ70" s="55"/>
      <c r="EA70" s="25"/>
      <c r="EB70" s="25"/>
      <c r="EC70" s="25"/>
      <c r="ED70" s="25"/>
      <c r="EE70" s="25"/>
      <c r="EF70" s="25"/>
      <c r="EG70" s="25"/>
      <c r="EH70" s="25"/>
      <c r="EI70" s="25"/>
      <c r="EJ70" s="25"/>
      <c r="EK70" s="25"/>
      <c r="EL70" s="25"/>
      <c r="EM70" s="25"/>
      <c r="EN70" s="25"/>
      <c r="EO70" s="25"/>
      <c r="EP70" s="25"/>
      <c r="EQ70" s="25"/>
      <c r="ER70" s="25"/>
      <c r="ES70" s="25"/>
      <c r="ET70" s="25"/>
      <c r="EU70" s="25"/>
      <c r="EV70" s="25"/>
      <c r="EW70" s="25"/>
      <c r="EX70" s="25"/>
      <c r="EY70" s="25"/>
      <c r="EZ70" s="25"/>
      <c r="FA70" s="25"/>
      <c r="FB70" s="25"/>
      <c r="FC70" s="25"/>
      <c r="FD70" s="25"/>
      <c r="FE70" s="25"/>
      <c r="FF70" s="25"/>
      <c r="FG70" s="25"/>
      <c r="FH70" s="25"/>
      <c r="FI70" s="25"/>
      <c r="FJ70" s="25"/>
      <c r="FK70" s="25"/>
      <c r="FL70" s="25"/>
      <c r="FM70" s="25"/>
      <c r="FN70" s="25"/>
      <c r="FO70" s="25"/>
      <c r="FP70" s="25"/>
      <c r="FQ70" s="25"/>
      <c r="FR70" s="25"/>
      <c r="FS70" s="25"/>
      <c r="FT70" s="25"/>
      <c r="FU70" s="25"/>
      <c r="FV70" s="25"/>
      <c r="FW70" s="25"/>
      <c r="FX70" s="25"/>
      <c r="FY70" s="25"/>
      <c r="FZ70" s="25"/>
      <c r="GA70" s="25"/>
      <c r="GB70" s="25"/>
      <c r="GC70" s="25"/>
      <c r="GD70" s="25"/>
      <c r="GE70" s="25"/>
      <c r="GF70" s="25"/>
      <c r="GG70" s="25"/>
      <c r="GH70" s="25"/>
      <c r="GI70" s="25"/>
      <c r="GJ70" s="25"/>
      <c r="GK70" s="25"/>
      <c r="GL70" s="25"/>
      <c r="GM70" s="25"/>
      <c r="GN70" s="25"/>
      <c r="GO70" s="25"/>
      <c r="GP70" s="25"/>
      <c r="GQ70" s="25"/>
      <c r="GR70" s="25"/>
      <c r="GS70" s="25"/>
      <c r="GT70" s="25"/>
      <c r="GU70" s="25"/>
      <c r="GV70" s="25"/>
      <c r="GW70" s="25"/>
      <c r="GX70" s="25"/>
      <c r="GY70" s="25"/>
      <c r="GZ70" s="25"/>
      <c r="HA70" s="25"/>
      <c r="HB70" s="25"/>
      <c r="HC70" s="55"/>
      <c r="HD70" s="55"/>
      <c r="HE70" s="55"/>
      <c r="HF70" s="55"/>
      <c r="HG70" s="55"/>
      <c r="HH70" s="55"/>
      <c r="HI70" s="55"/>
      <c r="HJ70" s="55"/>
      <c r="HK70" s="55"/>
      <c r="HL70" s="55"/>
      <c r="HM70" s="55"/>
      <c r="HN70" s="55"/>
      <c r="HO70" s="55"/>
      <c r="HP70" s="55"/>
      <c r="HQ70" s="55"/>
      <c r="HR70" s="55"/>
      <c r="HS70" s="55"/>
      <c r="HT70" s="55"/>
      <c r="HU70" s="55"/>
      <c r="HV70" s="55"/>
      <c r="HW70" s="55"/>
      <c r="HX70" s="55"/>
      <c r="HY70" s="55"/>
      <c r="HZ70" s="55"/>
      <c r="IA70" s="55"/>
      <c r="IB70" s="55"/>
      <c r="IC70" s="55"/>
      <c r="ID70" s="55"/>
      <c r="IE70" s="55"/>
      <c r="IF70" s="55"/>
      <c r="IG70" s="55"/>
      <c r="IH70" s="55"/>
      <c r="II70" s="55"/>
      <c r="IJ70" s="55"/>
      <c r="IK70" s="55"/>
      <c r="IL70" s="55"/>
      <c r="IM70" s="55"/>
      <c r="IN70" s="55"/>
      <c r="IO70" s="55"/>
      <c r="IP70" s="55"/>
      <c r="IQ70" s="55"/>
      <c r="IR70" s="55"/>
      <c r="IS70" s="55"/>
      <c r="IT70" s="55"/>
      <c r="IU70" s="55"/>
      <c r="IV70" s="55"/>
      <c r="IW70" s="55"/>
      <c r="IX70" s="55"/>
      <c r="IY70" s="55"/>
      <c r="IZ70" s="55"/>
      <c r="JA70" s="55"/>
      <c r="JB70" s="55"/>
      <c r="JC70" s="55"/>
      <c r="JD70" s="55"/>
      <c r="JE70" s="55"/>
      <c r="JF70" s="55"/>
      <c r="JG70" s="55"/>
      <c r="JH70" s="55"/>
      <c r="JI70" s="55"/>
      <c r="JJ70" s="55"/>
      <c r="JK70" s="25"/>
      <c r="JL70" s="25"/>
      <c r="JM70" s="25"/>
      <c r="JN70" s="25"/>
      <c r="JO70" s="25"/>
      <c r="JP70" s="25"/>
      <c r="JQ70" s="25"/>
      <c r="JR70" s="25"/>
      <c r="JS70" s="25"/>
      <c r="JT70" s="25"/>
      <c r="JU70" s="25"/>
      <c r="JV70" s="25"/>
      <c r="JW70" s="25"/>
      <c r="JX70" s="25"/>
      <c r="JY70" s="25"/>
      <c r="JZ70" s="25"/>
      <c r="KA70" s="25"/>
      <c r="KB70" s="25"/>
      <c r="KC70" s="25"/>
      <c r="KD70" s="25"/>
      <c r="KE70" s="25"/>
      <c r="KF70" s="25"/>
      <c r="KG70" s="25"/>
      <c r="KH70" s="25"/>
      <c r="KI70" s="25"/>
      <c r="KJ70" s="25"/>
      <c r="KK70" s="25"/>
      <c r="KL70" s="25"/>
      <c r="KM70" s="25"/>
      <c r="KN70" s="25"/>
      <c r="KO70" s="25"/>
      <c r="KP70" s="25"/>
      <c r="KQ70" s="25"/>
      <c r="KR70" s="25"/>
      <c r="KS70" s="25"/>
      <c r="KT70" s="25"/>
      <c r="KU70" s="25"/>
      <c r="KV70" s="25"/>
      <c r="KW70" s="25"/>
      <c r="KX70" s="25"/>
      <c r="KY70" s="25"/>
      <c r="KZ70" s="25"/>
      <c r="LA70" s="25"/>
      <c r="LB70" s="25"/>
      <c r="LC70" s="25"/>
      <c r="LD70" s="25"/>
      <c r="LE70" s="25"/>
      <c r="LF70" s="25"/>
      <c r="LG70" s="25"/>
      <c r="LH70" s="25"/>
      <c r="LI70" s="25"/>
      <c r="LJ70" s="25"/>
      <c r="LK70" s="25"/>
      <c r="LL70" s="25"/>
      <c r="LM70" s="25"/>
      <c r="LN70" s="25"/>
      <c r="LO70" s="25"/>
      <c r="LP70" s="25"/>
      <c r="LQ70" s="25"/>
      <c r="LR70" s="25"/>
      <c r="LS70" s="166"/>
      <c r="LT70" s="166"/>
      <c r="LU70" s="166"/>
      <c r="LV70" s="166"/>
      <c r="LW70" s="166"/>
      <c r="LX70" s="166"/>
      <c r="LY70" s="166"/>
      <c r="LZ70" s="166"/>
      <c r="MA70" s="166"/>
      <c r="MB70" s="166"/>
      <c r="MC70" s="166"/>
      <c r="MD70" s="166"/>
      <c r="ME70" s="166"/>
      <c r="MF70" s="166"/>
      <c r="MG70" s="166"/>
      <c r="MH70" s="166"/>
      <c r="MI70" s="166"/>
      <c r="MJ70" s="166"/>
      <c r="MK70" s="166"/>
      <c r="ML70" s="166"/>
      <c r="MM70" s="166"/>
      <c r="MN70" s="166"/>
      <c r="MO70" s="166"/>
      <c r="MP70" s="166"/>
      <c r="MQ70" s="166"/>
      <c r="MR70" s="166"/>
      <c r="MS70" s="166"/>
      <c r="MT70" s="166"/>
      <c r="MU70" s="166"/>
      <c r="MV70" s="166"/>
      <c r="MW70" s="166"/>
      <c r="MX70" s="166"/>
      <c r="MY70" s="166"/>
      <c r="MZ70" s="166"/>
      <c r="NA70" s="166"/>
      <c r="NB70" s="166"/>
      <c r="NC70" s="166"/>
      <c r="ND70" s="166"/>
      <c r="NE70" s="166"/>
      <c r="NF70" s="166"/>
      <c r="NG70" s="166"/>
      <c r="NH70" s="166"/>
      <c r="NI70" s="166"/>
      <c r="NJ70" s="166"/>
      <c r="NK70" s="166"/>
      <c r="NL70" s="166"/>
      <c r="NM70" s="166"/>
      <c r="NN70" s="166"/>
      <c r="NO70" s="166"/>
      <c r="NP70" s="166"/>
      <c r="NQ70" s="166"/>
      <c r="NR70" s="166"/>
      <c r="NS70" s="166"/>
      <c r="NT70" s="166"/>
      <c r="NU70" s="166"/>
      <c r="NV70" s="166"/>
      <c r="NW70" s="166"/>
      <c r="NX70" s="166"/>
      <c r="NY70" s="166"/>
      <c r="NZ70" s="166"/>
      <c r="OA70" s="25"/>
      <c r="OB70" s="25"/>
      <c r="OC70" s="25"/>
      <c r="OD70" s="81"/>
      <c r="OE70" s="25"/>
      <c r="OF70" s="25"/>
      <c r="OG70" s="25"/>
      <c r="OH70" s="25"/>
      <c r="OI70" s="25"/>
      <c r="OJ70" s="25"/>
      <c r="OK70" s="25"/>
      <c r="OL70" s="25"/>
      <c r="OM70" s="25"/>
      <c r="ON70" s="25"/>
      <c r="OO70" s="25"/>
      <c r="OP70" s="25"/>
      <c r="OQ70" s="25"/>
      <c r="OR7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0" s="81"/>
      <c r="OT70" s="25"/>
      <c r="OU70" s="81"/>
      <c r="OV70" s="81"/>
    </row>
    <row r="71" spans="1:412" ht="12.5" x14ac:dyDescent="0.25">
      <c r="A71" s="25">
        <v>52</v>
      </c>
      <c r="B71" s="25" t="b">
        <f>NOT(ISBLANK(SEBBusinessDataTable[[#This Row],[SEBBusinessType]]))</f>
        <v>0</v>
      </c>
      <c r="C71" s="25"/>
      <c r="D71" s="25"/>
      <c r="E71" s="25"/>
      <c r="F71" s="25"/>
      <c r="G71" s="25"/>
      <c r="H71" s="25"/>
      <c r="I71" s="25"/>
      <c r="J71" s="25">
        <f>COUNTIF(SEBBusinessDataTable[[#This Row],[SEBAssociatedFlagApp1]:[SEBAssociatedFlagApp6]],"Yes")</f>
        <v>0</v>
      </c>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c r="DE71" s="25"/>
      <c r="DF71" s="25"/>
      <c r="DG71" s="25"/>
      <c r="DH71" s="25"/>
      <c r="DI71" s="25"/>
      <c r="DJ71" s="25"/>
      <c r="DK71" s="25"/>
      <c r="DL71" s="25"/>
      <c r="DM71" s="25"/>
      <c r="DN71" s="25"/>
      <c r="DO71" s="55"/>
      <c r="DP71" s="55"/>
      <c r="DQ71" s="55"/>
      <c r="DR71" s="55"/>
      <c r="DS71" s="55"/>
      <c r="DT71" s="55"/>
      <c r="DU71" s="55"/>
      <c r="DV71" s="55"/>
      <c r="DW71" s="55"/>
      <c r="DX71" s="55"/>
      <c r="DY71" s="55"/>
      <c r="DZ71" s="55"/>
      <c r="EA71" s="25"/>
      <c r="EB71" s="25"/>
      <c r="EC71" s="25"/>
      <c r="ED71" s="25"/>
      <c r="EE71" s="25"/>
      <c r="EF71" s="25"/>
      <c r="EG71" s="25"/>
      <c r="EH71" s="25"/>
      <c r="EI71" s="25"/>
      <c r="EJ71" s="25"/>
      <c r="EK71" s="25"/>
      <c r="EL71" s="25"/>
      <c r="EM71" s="25"/>
      <c r="EN71" s="25"/>
      <c r="EO71" s="25"/>
      <c r="EP71" s="25"/>
      <c r="EQ71" s="25"/>
      <c r="ER71" s="25"/>
      <c r="ES71" s="25"/>
      <c r="ET71" s="25"/>
      <c r="EU71" s="25"/>
      <c r="EV71" s="25"/>
      <c r="EW71" s="25"/>
      <c r="EX71" s="25"/>
      <c r="EY71" s="25"/>
      <c r="EZ71" s="25"/>
      <c r="FA71" s="25"/>
      <c r="FB71" s="25"/>
      <c r="FC71" s="25"/>
      <c r="FD71" s="25"/>
      <c r="FE71" s="25"/>
      <c r="FF71" s="25"/>
      <c r="FG71" s="25"/>
      <c r="FH71" s="25"/>
      <c r="FI71" s="25"/>
      <c r="FJ71" s="25"/>
      <c r="FK71" s="25"/>
      <c r="FL71" s="25"/>
      <c r="FM71" s="25"/>
      <c r="FN71" s="25"/>
      <c r="FO71" s="25"/>
      <c r="FP71" s="25"/>
      <c r="FQ71" s="25"/>
      <c r="FR71" s="25"/>
      <c r="FS71" s="25"/>
      <c r="FT71" s="25"/>
      <c r="FU71" s="25"/>
      <c r="FV71" s="25"/>
      <c r="FW71" s="25"/>
      <c r="FX71" s="25"/>
      <c r="FY71" s="25"/>
      <c r="FZ71" s="25"/>
      <c r="GA71" s="25"/>
      <c r="GB71" s="25"/>
      <c r="GC71" s="25"/>
      <c r="GD71" s="25"/>
      <c r="GE71" s="25"/>
      <c r="GF71" s="25"/>
      <c r="GG71" s="25"/>
      <c r="GH71" s="25"/>
      <c r="GI71" s="25"/>
      <c r="GJ71" s="25"/>
      <c r="GK71" s="25"/>
      <c r="GL71" s="25"/>
      <c r="GM71" s="25"/>
      <c r="GN71" s="25"/>
      <c r="GO71" s="25"/>
      <c r="GP71" s="25"/>
      <c r="GQ71" s="25"/>
      <c r="GR71" s="25"/>
      <c r="GS71" s="25"/>
      <c r="GT71" s="25"/>
      <c r="GU71" s="25"/>
      <c r="GV71" s="25"/>
      <c r="GW71" s="25"/>
      <c r="GX71" s="25"/>
      <c r="GY71" s="25"/>
      <c r="GZ71" s="25"/>
      <c r="HA71" s="25"/>
      <c r="HB71" s="25"/>
      <c r="HC71" s="55"/>
      <c r="HD71" s="55"/>
      <c r="HE71" s="55"/>
      <c r="HF71" s="55"/>
      <c r="HG71" s="55"/>
      <c r="HH71" s="55"/>
      <c r="HI71" s="55"/>
      <c r="HJ71" s="55"/>
      <c r="HK71" s="55"/>
      <c r="HL71" s="55"/>
      <c r="HM71" s="55"/>
      <c r="HN71" s="55"/>
      <c r="HO71" s="55"/>
      <c r="HP71" s="55"/>
      <c r="HQ71" s="55"/>
      <c r="HR71" s="55"/>
      <c r="HS71" s="55"/>
      <c r="HT71" s="55"/>
      <c r="HU71" s="55"/>
      <c r="HV71" s="55"/>
      <c r="HW71" s="55"/>
      <c r="HX71" s="55"/>
      <c r="HY71" s="55"/>
      <c r="HZ71" s="55"/>
      <c r="IA71" s="55"/>
      <c r="IB71" s="55"/>
      <c r="IC71" s="55"/>
      <c r="ID71" s="55"/>
      <c r="IE71" s="55"/>
      <c r="IF71" s="55"/>
      <c r="IG71" s="55"/>
      <c r="IH71" s="55"/>
      <c r="II71" s="55"/>
      <c r="IJ71" s="55"/>
      <c r="IK71" s="55"/>
      <c r="IL71" s="55"/>
      <c r="IM71" s="55"/>
      <c r="IN71" s="55"/>
      <c r="IO71" s="55"/>
      <c r="IP71" s="55"/>
      <c r="IQ71" s="55"/>
      <c r="IR71" s="55"/>
      <c r="IS71" s="55"/>
      <c r="IT71" s="55"/>
      <c r="IU71" s="55"/>
      <c r="IV71" s="55"/>
      <c r="IW71" s="55"/>
      <c r="IX71" s="55"/>
      <c r="IY71" s="55"/>
      <c r="IZ71" s="55"/>
      <c r="JA71" s="55"/>
      <c r="JB71" s="55"/>
      <c r="JC71" s="55"/>
      <c r="JD71" s="55"/>
      <c r="JE71" s="55"/>
      <c r="JF71" s="55"/>
      <c r="JG71" s="55"/>
      <c r="JH71" s="55"/>
      <c r="JI71" s="55"/>
      <c r="JJ71" s="55"/>
      <c r="JK71" s="25"/>
      <c r="JL71" s="25"/>
      <c r="JM71" s="25"/>
      <c r="JN71" s="25"/>
      <c r="JO71" s="25"/>
      <c r="JP71" s="25"/>
      <c r="JQ71" s="25"/>
      <c r="JR71" s="25"/>
      <c r="JS71" s="25"/>
      <c r="JT71" s="25"/>
      <c r="JU71" s="25"/>
      <c r="JV71" s="25"/>
      <c r="JW71" s="25"/>
      <c r="JX71" s="25"/>
      <c r="JY71" s="25"/>
      <c r="JZ71" s="25"/>
      <c r="KA71" s="25"/>
      <c r="KB71" s="25"/>
      <c r="KC71" s="25"/>
      <c r="KD71" s="25"/>
      <c r="KE71" s="25"/>
      <c r="KF71" s="25"/>
      <c r="KG71" s="25"/>
      <c r="KH71" s="25"/>
      <c r="KI71" s="25"/>
      <c r="KJ71" s="25"/>
      <c r="KK71" s="25"/>
      <c r="KL71" s="25"/>
      <c r="KM71" s="25"/>
      <c r="KN71" s="25"/>
      <c r="KO71" s="25"/>
      <c r="KP71" s="25"/>
      <c r="KQ71" s="25"/>
      <c r="KR71" s="25"/>
      <c r="KS71" s="25"/>
      <c r="KT71" s="25"/>
      <c r="KU71" s="25"/>
      <c r="KV71" s="25"/>
      <c r="KW71" s="25"/>
      <c r="KX71" s="25"/>
      <c r="KY71" s="25"/>
      <c r="KZ71" s="25"/>
      <c r="LA71" s="25"/>
      <c r="LB71" s="25"/>
      <c r="LC71" s="25"/>
      <c r="LD71" s="25"/>
      <c r="LE71" s="25"/>
      <c r="LF71" s="25"/>
      <c r="LG71" s="25"/>
      <c r="LH71" s="25"/>
      <c r="LI71" s="25"/>
      <c r="LJ71" s="25"/>
      <c r="LK71" s="25"/>
      <c r="LL71" s="25"/>
      <c r="LM71" s="25"/>
      <c r="LN71" s="25"/>
      <c r="LO71" s="25"/>
      <c r="LP71" s="25"/>
      <c r="LQ71" s="25"/>
      <c r="LR71" s="25"/>
      <c r="LS71" s="166"/>
      <c r="LT71" s="166"/>
      <c r="LU71" s="166"/>
      <c r="LV71" s="166"/>
      <c r="LW71" s="166"/>
      <c r="LX71" s="166"/>
      <c r="LY71" s="166"/>
      <c r="LZ71" s="166"/>
      <c r="MA71" s="166"/>
      <c r="MB71" s="166"/>
      <c r="MC71" s="166"/>
      <c r="MD71" s="166"/>
      <c r="ME71" s="166"/>
      <c r="MF71" s="166"/>
      <c r="MG71" s="166"/>
      <c r="MH71" s="166"/>
      <c r="MI71" s="166"/>
      <c r="MJ71" s="166"/>
      <c r="MK71" s="166"/>
      <c r="ML71" s="166"/>
      <c r="MM71" s="166"/>
      <c r="MN71" s="166"/>
      <c r="MO71" s="166"/>
      <c r="MP71" s="166"/>
      <c r="MQ71" s="166"/>
      <c r="MR71" s="166"/>
      <c r="MS71" s="166"/>
      <c r="MT71" s="166"/>
      <c r="MU71" s="166"/>
      <c r="MV71" s="166"/>
      <c r="MW71" s="166"/>
      <c r="MX71" s="166"/>
      <c r="MY71" s="166"/>
      <c r="MZ71" s="166"/>
      <c r="NA71" s="166"/>
      <c r="NB71" s="166"/>
      <c r="NC71" s="166"/>
      <c r="ND71" s="166"/>
      <c r="NE71" s="166"/>
      <c r="NF71" s="166"/>
      <c r="NG71" s="166"/>
      <c r="NH71" s="166"/>
      <c r="NI71" s="166"/>
      <c r="NJ71" s="166"/>
      <c r="NK71" s="166"/>
      <c r="NL71" s="166"/>
      <c r="NM71" s="166"/>
      <c r="NN71" s="166"/>
      <c r="NO71" s="166"/>
      <c r="NP71" s="166"/>
      <c r="NQ71" s="166"/>
      <c r="NR71" s="166"/>
      <c r="NS71" s="166"/>
      <c r="NT71" s="166"/>
      <c r="NU71" s="166"/>
      <c r="NV71" s="166"/>
      <c r="NW71" s="166"/>
      <c r="NX71" s="166"/>
      <c r="NY71" s="166"/>
      <c r="NZ71" s="166"/>
      <c r="OA71" s="25"/>
      <c r="OB71" s="25"/>
      <c r="OC71" s="25"/>
      <c r="OD71" s="81"/>
      <c r="OE71" s="25"/>
      <c r="OF71" s="25"/>
      <c r="OG71" s="25"/>
      <c r="OH71" s="25"/>
      <c r="OI71" s="25"/>
      <c r="OJ71" s="25"/>
      <c r="OK71" s="25"/>
      <c r="OL71" s="25"/>
      <c r="OM71" s="25"/>
      <c r="ON71" s="25"/>
      <c r="OO71" s="25"/>
      <c r="OP71" s="25"/>
      <c r="OQ71" s="25"/>
      <c r="OR7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1" s="81"/>
      <c r="OT71" s="25"/>
      <c r="OU71" s="81"/>
      <c r="OV71" s="81"/>
    </row>
    <row r="72" spans="1:412" ht="12.5" x14ac:dyDescent="0.25">
      <c r="A72" s="25">
        <v>53</v>
      </c>
      <c r="B72" s="25" t="b">
        <f>NOT(ISBLANK(SEBBusinessDataTable[[#This Row],[SEBBusinessType]]))</f>
        <v>0</v>
      </c>
      <c r="C72" s="25"/>
      <c r="D72" s="25"/>
      <c r="E72" s="25"/>
      <c r="F72" s="25"/>
      <c r="G72" s="25"/>
      <c r="H72" s="25"/>
      <c r="I72" s="25"/>
      <c r="J72" s="25">
        <f>COUNTIF(SEBBusinessDataTable[[#This Row],[SEBAssociatedFlagApp1]:[SEBAssociatedFlagApp6]],"Yes")</f>
        <v>0</v>
      </c>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c r="DE72" s="25"/>
      <c r="DF72" s="25"/>
      <c r="DG72" s="25"/>
      <c r="DH72" s="25"/>
      <c r="DI72" s="25"/>
      <c r="DJ72" s="25"/>
      <c r="DK72" s="25"/>
      <c r="DL72" s="25"/>
      <c r="DM72" s="25"/>
      <c r="DN72" s="25"/>
      <c r="DO72" s="55"/>
      <c r="DP72" s="55"/>
      <c r="DQ72" s="55"/>
      <c r="DR72" s="55"/>
      <c r="DS72" s="55"/>
      <c r="DT72" s="55"/>
      <c r="DU72" s="55"/>
      <c r="DV72" s="55"/>
      <c r="DW72" s="55"/>
      <c r="DX72" s="55"/>
      <c r="DY72" s="55"/>
      <c r="DZ72" s="55"/>
      <c r="EA72" s="25"/>
      <c r="EB72" s="25"/>
      <c r="EC72" s="25"/>
      <c r="ED72" s="25"/>
      <c r="EE72" s="25"/>
      <c r="EF72" s="25"/>
      <c r="EG72" s="25"/>
      <c r="EH72" s="25"/>
      <c r="EI72" s="25"/>
      <c r="EJ72" s="25"/>
      <c r="EK72" s="25"/>
      <c r="EL72" s="25"/>
      <c r="EM72" s="25"/>
      <c r="EN72" s="25"/>
      <c r="EO72" s="25"/>
      <c r="EP72" s="25"/>
      <c r="EQ72" s="25"/>
      <c r="ER72" s="25"/>
      <c r="ES72" s="25"/>
      <c r="ET72" s="25"/>
      <c r="EU72" s="25"/>
      <c r="EV72" s="25"/>
      <c r="EW72" s="25"/>
      <c r="EX72" s="25"/>
      <c r="EY72" s="25"/>
      <c r="EZ72" s="25"/>
      <c r="FA72" s="25"/>
      <c r="FB72" s="25"/>
      <c r="FC72" s="25"/>
      <c r="FD72" s="25"/>
      <c r="FE72" s="25"/>
      <c r="FF72" s="25"/>
      <c r="FG72" s="25"/>
      <c r="FH72" s="25"/>
      <c r="FI72" s="25"/>
      <c r="FJ72" s="25"/>
      <c r="FK72" s="25"/>
      <c r="FL72" s="25"/>
      <c r="FM72" s="25"/>
      <c r="FN72" s="25"/>
      <c r="FO72" s="25"/>
      <c r="FP72" s="25"/>
      <c r="FQ72" s="25"/>
      <c r="FR72" s="25"/>
      <c r="FS72" s="25"/>
      <c r="FT72" s="25"/>
      <c r="FU72" s="25"/>
      <c r="FV72" s="25"/>
      <c r="FW72" s="25"/>
      <c r="FX72" s="25"/>
      <c r="FY72" s="25"/>
      <c r="FZ72" s="25"/>
      <c r="GA72" s="25"/>
      <c r="GB72" s="25"/>
      <c r="GC72" s="25"/>
      <c r="GD72" s="25"/>
      <c r="GE72" s="25"/>
      <c r="GF72" s="25"/>
      <c r="GG72" s="25"/>
      <c r="GH72" s="25"/>
      <c r="GI72" s="25"/>
      <c r="GJ72" s="25"/>
      <c r="GK72" s="25"/>
      <c r="GL72" s="25"/>
      <c r="GM72" s="25"/>
      <c r="GN72" s="25"/>
      <c r="GO72" s="25"/>
      <c r="GP72" s="25"/>
      <c r="GQ72" s="25"/>
      <c r="GR72" s="25"/>
      <c r="GS72" s="25"/>
      <c r="GT72" s="25"/>
      <c r="GU72" s="25"/>
      <c r="GV72" s="25"/>
      <c r="GW72" s="25"/>
      <c r="GX72" s="25"/>
      <c r="GY72" s="25"/>
      <c r="GZ72" s="25"/>
      <c r="HA72" s="25"/>
      <c r="HB72" s="25"/>
      <c r="HC72" s="55"/>
      <c r="HD72" s="55"/>
      <c r="HE72" s="55"/>
      <c r="HF72" s="55"/>
      <c r="HG72" s="55"/>
      <c r="HH72" s="55"/>
      <c r="HI72" s="55"/>
      <c r="HJ72" s="55"/>
      <c r="HK72" s="55"/>
      <c r="HL72" s="55"/>
      <c r="HM72" s="55"/>
      <c r="HN72" s="55"/>
      <c r="HO72" s="55"/>
      <c r="HP72" s="55"/>
      <c r="HQ72" s="55"/>
      <c r="HR72" s="55"/>
      <c r="HS72" s="55"/>
      <c r="HT72" s="55"/>
      <c r="HU72" s="55"/>
      <c r="HV72" s="55"/>
      <c r="HW72" s="55"/>
      <c r="HX72" s="55"/>
      <c r="HY72" s="55"/>
      <c r="HZ72" s="55"/>
      <c r="IA72" s="55"/>
      <c r="IB72" s="55"/>
      <c r="IC72" s="55"/>
      <c r="ID72" s="55"/>
      <c r="IE72" s="55"/>
      <c r="IF72" s="55"/>
      <c r="IG72" s="55"/>
      <c r="IH72" s="55"/>
      <c r="II72" s="55"/>
      <c r="IJ72" s="55"/>
      <c r="IK72" s="55"/>
      <c r="IL72" s="55"/>
      <c r="IM72" s="55"/>
      <c r="IN72" s="55"/>
      <c r="IO72" s="55"/>
      <c r="IP72" s="55"/>
      <c r="IQ72" s="55"/>
      <c r="IR72" s="55"/>
      <c r="IS72" s="55"/>
      <c r="IT72" s="55"/>
      <c r="IU72" s="55"/>
      <c r="IV72" s="55"/>
      <c r="IW72" s="55"/>
      <c r="IX72" s="55"/>
      <c r="IY72" s="55"/>
      <c r="IZ72" s="55"/>
      <c r="JA72" s="55"/>
      <c r="JB72" s="55"/>
      <c r="JC72" s="55"/>
      <c r="JD72" s="55"/>
      <c r="JE72" s="55"/>
      <c r="JF72" s="55"/>
      <c r="JG72" s="55"/>
      <c r="JH72" s="55"/>
      <c r="JI72" s="55"/>
      <c r="JJ72" s="55"/>
      <c r="JK72" s="25"/>
      <c r="JL72" s="25"/>
      <c r="JM72" s="25"/>
      <c r="JN72" s="25"/>
      <c r="JO72" s="25"/>
      <c r="JP72" s="25"/>
      <c r="JQ72" s="25"/>
      <c r="JR72" s="25"/>
      <c r="JS72" s="25"/>
      <c r="JT72" s="25"/>
      <c r="JU72" s="25"/>
      <c r="JV72" s="25"/>
      <c r="JW72" s="25"/>
      <c r="JX72" s="25"/>
      <c r="JY72" s="25"/>
      <c r="JZ72" s="25"/>
      <c r="KA72" s="25"/>
      <c r="KB72" s="25"/>
      <c r="KC72" s="25"/>
      <c r="KD72" s="25"/>
      <c r="KE72" s="25"/>
      <c r="KF72" s="25"/>
      <c r="KG72" s="25"/>
      <c r="KH72" s="25"/>
      <c r="KI72" s="25"/>
      <c r="KJ72" s="25"/>
      <c r="KK72" s="25"/>
      <c r="KL72" s="25"/>
      <c r="KM72" s="25"/>
      <c r="KN72" s="25"/>
      <c r="KO72" s="25"/>
      <c r="KP72" s="25"/>
      <c r="KQ72" s="25"/>
      <c r="KR72" s="25"/>
      <c r="KS72" s="25"/>
      <c r="KT72" s="25"/>
      <c r="KU72" s="25"/>
      <c r="KV72" s="25"/>
      <c r="KW72" s="25"/>
      <c r="KX72" s="25"/>
      <c r="KY72" s="25"/>
      <c r="KZ72" s="25"/>
      <c r="LA72" s="25"/>
      <c r="LB72" s="25"/>
      <c r="LC72" s="25"/>
      <c r="LD72" s="25"/>
      <c r="LE72" s="25"/>
      <c r="LF72" s="25"/>
      <c r="LG72" s="25"/>
      <c r="LH72" s="25"/>
      <c r="LI72" s="25"/>
      <c r="LJ72" s="25"/>
      <c r="LK72" s="25"/>
      <c r="LL72" s="25"/>
      <c r="LM72" s="25"/>
      <c r="LN72" s="25"/>
      <c r="LO72" s="25"/>
      <c r="LP72" s="25"/>
      <c r="LQ72" s="25"/>
      <c r="LR72" s="25"/>
      <c r="LS72" s="166"/>
      <c r="LT72" s="166"/>
      <c r="LU72" s="166"/>
      <c r="LV72" s="166"/>
      <c r="LW72" s="166"/>
      <c r="LX72" s="166"/>
      <c r="LY72" s="166"/>
      <c r="LZ72" s="166"/>
      <c r="MA72" s="166"/>
      <c r="MB72" s="166"/>
      <c r="MC72" s="166"/>
      <c r="MD72" s="166"/>
      <c r="ME72" s="166"/>
      <c r="MF72" s="166"/>
      <c r="MG72" s="166"/>
      <c r="MH72" s="166"/>
      <c r="MI72" s="166"/>
      <c r="MJ72" s="166"/>
      <c r="MK72" s="166"/>
      <c r="ML72" s="166"/>
      <c r="MM72" s="166"/>
      <c r="MN72" s="166"/>
      <c r="MO72" s="166"/>
      <c r="MP72" s="166"/>
      <c r="MQ72" s="166"/>
      <c r="MR72" s="166"/>
      <c r="MS72" s="166"/>
      <c r="MT72" s="166"/>
      <c r="MU72" s="166"/>
      <c r="MV72" s="166"/>
      <c r="MW72" s="166"/>
      <c r="MX72" s="166"/>
      <c r="MY72" s="166"/>
      <c r="MZ72" s="166"/>
      <c r="NA72" s="166"/>
      <c r="NB72" s="166"/>
      <c r="NC72" s="166"/>
      <c r="ND72" s="166"/>
      <c r="NE72" s="166"/>
      <c r="NF72" s="166"/>
      <c r="NG72" s="166"/>
      <c r="NH72" s="166"/>
      <c r="NI72" s="166"/>
      <c r="NJ72" s="166"/>
      <c r="NK72" s="166"/>
      <c r="NL72" s="166"/>
      <c r="NM72" s="166"/>
      <c r="NN72" s="166"/>
      <c r="NO72" s="166"/>
      <c r="NP72" s="166"/>
      <c r="NQ72" s="166"/>
      <c r="NR72" s="166"/>
      <c r="NS72" s="166"/>
      <c r="NT72" s="166"/>
      <c r="NU72" s="166"/>
      <c r="NV72" s="166"/>
      <c r="NW72" s="166"/>
      <c r="NX72" s="166"/>
      <c r="NY72" s="166"/>
      <c r="NZ72" s="166"/>
      <c r="OA72" s="25"/>
      <c r="OB72" s="25"/>
      <c r="OC72" s="25"/>
      <c r="OD72" s="81"/>
      <c r="OE72" s="25"/>
      <c r="OF72" s="25"/>
      <c r="OG72" s="25"/>
      <c r="OH72" s="25"/>
      <c r="OI72" s="25"/>
      <c r="OJ72" s="25"/>
      <c r="OK72" s="25"/>
      <c r="OL72" s="25"/>
      <c r="OM72" s="25"/>
      <c r="ON72" s="25"/>
      <c r="OO72" s="25"/>
      <c r="OP72" s="25"/>
      <c r="OQ72" s="25"/>
      <c r="OR7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2" s="81"/>
      <c r="OT72" s="25"/>
      <c r="OU72" s="81"/>
      <c r="OV72" s="81"/>
    </row>
    <row r="73" spans="1:412" ht="12.5" x14ac:dyDescent="0.25">
      <c r="A73" s="25">
        <v>54</v>
      </c>
      <c r="B73" s="25" t="b">
        <f>NOT(ISBLANK(SEBBusinessDataTable[[#This Row],[SEBBusinessType]]))</f>
        <v>0</v>
      </c>
      <c r="C73" s="25"/>
      <c r="D73" s="25"/>
      <c r="E73" s="25"/>
      <c r="F73" s="25"/>
      <c r="G73" s="25"/>
      <c r="H73" s="25"/>
      <c r="I73" s="25"/>
      <c r="J73" s="25">
        <f>COUNTIF(SEBBusinessDataTable[[#This Row],[SEBAssociatedFlagApp1]:[SEBAssociatedFlagApp6]],"Yes")</f>
        <v>0</v>
      </c>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c r="DE73" s="25"/>
      <c r="DF73" s="25"/>
      <c r="DG73" s="25"/>
      <c r="DH73" s="25"/>
      <c r="DI73" s="25"/>
      <c r="DJ73" s="25"/>
      <c r="DK73" s="25"/>
      <c r="DL73" s="25"/>
      <c r="DM73" s="25"/>
      <c r="DN73" s="25"/>
      <c r="DO73" s="55"/>
      <c r="DP73" s="55"/>
      <c r="DQ73" s="55"/>
      <c r="DR73" s="55"/>
      <c r="DS73" s="55"/>
      <c r="DT73" s="55"/>
      <c r="DU73" s="55"/>
      <c r="DV73" s="55"/>
      <c r="DW73" s="55"/>
      <c r="DX73" s="55"/>
      <c r="DY73" s="55"/>
      <c r="DZ73" s="55"/>
      <c r="EA73" s="25"/>
      <c r="EB73" s="25"/>
      <c r="EC73" s="25"/>
      <c r="ED73" s="25"/>
      <c r="EE73" s="25"/>
      <c r="EF73" s="25"/>
      <c r="EG73" s="25"/>
      <c r="EH73" s="25"/>
      <c r="EI73" s="25"/>
      <c r="EJ73" s="25"/>
      <c r="EK73" s="25"/>
      <c r="EL73" s="25"/>
      <c r="EM73" s="25"/>
      <c r="EN73" s="25"/>
      <c r="EO73" s="25"/>
      <c r="EP73" s="25"/>
      <c r="EQ73" s="25"/>
      <c r="ER73" s="25"/>
      <c r="ES73" s="25"/>
      <c r="ET73" s="25"/>
      <c r="EU73" s="25"/>
      <c r="EV73" s="25"/>
      <c r="EW73" s="25"/>
      <c r="EX73" s="25"/>
      <c r="EY73" s="25"/>
      <c r="EZ73" s="25"/>
      <c r="FA73" s="25"/>
      <c r="FB73" s="25"/>
      <c r="FC73" s="25"/>
      <c r="FD73" s="25"/>
      <c r="FE73" s="25"/>
      <c r="FF73" s="25"/>
      <c r="FG73" s="25"/>
      <c r="FH73" s="25"/>
      <c r="FI73" s="25"/>
      <c r="FJ73" s="25"/>
      <c r="FK73" s="25"/>
      <c r="FL73" s="25"/>
      <c r="FM73" s="25"/>
      <c r="FN73" s="25"/>
      <c r="FO73" s="25"/>
      <c r="FP73" s="25"/>
      <c r="FQ73" s="25"/>
      <c r="FR73" s="25"/>
      <c r="FS73" s="25"/>
      <c r="FT73" s="25"/>
      <c r="FU73" s="25"/>
      <c r="FV73" s="25"/>
      <c r="FW73" s="25"/>
      <c r="FX73" s="25"/>
      <c r="FY73" s="25"/>
      <c r="FZ73" s="25"/>
      <c r="GA73" s="25"/>
      <c r="GB73" s="25"/>
      <c r="GC73" s="25"/>
      <c r="GD73" s="25"/>
      <c r="GE73" s="25"/>
      <c r="GF73" s="25"/>
      <c r="GG73" s="25"/>
      <c r="GH73" s="25"/>
      <c r="GI73" s="25"/>
      <c r="GJ73" s="25"/>
      <c r="GK73" s="25"/>
      <c r="GL73" s="25"/>
      <c r="GM73" s="25"/>
      <c r="GN73" s="25"/>
      <c r="GO73" s="25"/>
      <c r="GP73" s="25"/>
      <c r="GQ73" s="25"/>
      <c r="GR73" s="25"/>
      <c r="GS73" s="25"/>
      <c r="GT73" s="25"/>
      <c r="GU73" s="25"/>
      <c r="GV73" s="25"/>
      <c r="GW73" s="25"/>
      <c r="GX73" s="25"/>
      <c r="GY73" s="25"/>
      <c r="GZ73" s="25"/>
      <c r="HA73" s="25"/>
      <c r="HB73" s="25"/>
      <c r="HC73" s="55"/>
      <c r="HD73" s="55"/>
      <c r="HE73" s="55"/>
      <c r="HF73" s="55"/>
      <c r="HG73" s="55"/>
      <c r="HH73" s="55"/>
      <c r="HI73" s="55"/>
      <c r="HJ73" s="55"/>
      <c r="HK73" s="55"/>
      <c r="HL73" s="55"/>
      <c r="HM73" s="55"/>
      <c r="HN73" s="55"/>
      <c r="HO73" s="55"/>
      <c r="HP73" s="55"/>
      <c r="HQ73" s="55"/>
      <c r="HR73" s="55"/>
      <c r="HS73" s="55"/>
      <c r="HT73" s="55"/>
      <c r="HU73" s="55"/>
      <c r="HV73" s="55"/>
      <c r="HW73" s="55"/>
      <c r="HX73" s="55"/>
      <c r="HY73" s="55"/>
      <c r="HZ73" s="55"/>
      <c r="IA73" s="55"/>
      <c r="IB73" s="55"/>
      <c r="IC73" s="55"/>
      <c r="ID73" s="55"/>
      <c r="IE73" s="55"/>
      <c r="IF73" s="55"/>
      <c r="IG73" s="55"/>
      <c r="IH73" s="55"/>
      <c r="II73" s="55"/>
      <c r="IJ73" s="55"/>
      <c r="IK73" s="55"/>
      <c r="IL73" s="55"/>
      <c r="IM73" s="55"/>
      <c r="IN73" s="55"/>
      <c r="IO73" s="55"/>
      <c r="IP73" s="55"/>
      <c r="IQ73" s="55"/>
      <c r="IR73" s="55"/>
      <c r="IS73" s="55"/>
      <c r="IT73" s="55"/>
      <c r="IU73" s="55"/>
      <c r="IV73" s="55"/>
      <c r="IW73" s="55"/>
      <c r="IX73" s="55"/>
      <c r="IY73" s="55"/>
      <c r="IZ73" s="55"/>
      <c r="JA73" s="55"/>
      <c r="JB73" s="55"/>
      <c r="JC73" s="55"/>
      <c r="JD73" s="55"/>
      <c r="JE73" s="55"/>
      <c r="JF73" s="55"/>
      <c r="JG73" s="55"/>
      <c r="JH73" s="55"/>
      <c r="JI73" s="55"/>
      <c r="JJ73" s="55"/>
      <c r="JK73" s="25"/>
      <c r="JL73" s="25"/>
      <c r="JM73" s="25"/>
      <c r="JN73" s="25"/>
      <c r="JO73" s="25"/>
      <c r="JP73" s="25"/>
      <c r="JQ73" s="25"/>
      <c r="JR73" s="25"/>
      <c r="JS73" s="25"/>
      <c r="JT73" s="25"/>
      <c r="JU73" s="25"/>
      <c r="JV73" s="25"/>
      <c r="JW73" s="25"/>
      <c r="JX73" s="25"/>
      <c r="JY73" s="25"/>
      <c r="JZ73" s="25"/>
      <c r="KA73" s="25"/>
      <c r="KB73" s="25"/>
      <c r="KC73" s="25"/>
      <c r="KD73" s="25"/>
      <c r="KE73" s="25"/>
      <c r="KF73" s="25"/>
      <c r="KG73" s="25"/>
      <c r="KH73" s="25"/>
      <c r="KI73" s="25"/>
      <c r="KJ73" s="25"/>
      <c r="KK73" s="25"/>
      <c r="KL73" s="25"/>
      <c r="KM73" s="25"/>
      <c r="KN73" s="25"/>
      <c r="KO73" s="25"/>
      <c r="KP73" s="25"/>
      <c r="KQ73" s="25"/>
      <c r="KR73" s="25"/>
      <c r="KS73" s="25"/>
      <c r="KT73" s="25"/>
      <c r="KU73" s="25"/>
      <c r="KV73" s="25"/>
      <c r="KW73" s="25"/>
      <c r="KX73" s="25"/>
      <c r="KY73" s="25"/>
      <c r="KZ73" s="25"/>
      <c r="LA73" s="25"/>
      <c r="LB73" s="25"/>
      <c r="LC73" s="25"/>
      <c r="LD73" s="25"/>
      <c r="LE73" s="25"/>
      <c r="LF73" s="25"/>
      <c r="LG73" s="25"/>
      <c r="LH73" s="25"/>
      <c r="LI73" s="25"/>
      <c r="LJ73" s="25"/>
      <c r="LK73" s="25"/>
      <c r="LL73" s="25"/>
      <c r="LM73" s="25"/>
      <c r="LN73" s="25"/>
      <c r="LO73" s="25"/>
      <c r="LP73" s="25"/>
      <c r="LQ73" s="25"/>
      <c r="LR73" s="25"/>
      <c r="LS73" s="166"/>
      <c r="LT73" s="166"/>
      <c r="LU73" s="166"/>
      <c r="LV73" s="166"/>
      <c r="LW73" s="166"/>
      <c r="LX73" s="166"/>
      <c r="LY73" s="166"/>
      <c r="LZ73" s="166"/>
      <c r="MA73" s="166"/>
      <c r="MB73" s="166"/>
      <c r="MC73" s="166"/>
      <c r="MD73" s="166"/>
      <c r="ME73" s="166"/>
      <c r="MF73" s="166"/>
      <c r="MG73" s="166"/>
      <c r="MH73" s="166"/>
      <c r="MI73" s="166"/>
      <c r="MJ73" s="166"/>
      <c r="MK73" s="166"/>
      <c r="ML73" s="166"/>
      <c r="MM73" s="166"/>
      <c r="MN73" s="166"/>
      <c r="MO73" s="166"/>
      <c r="MP73" s="166"/>
      <c r="MQ73" s="166"/>
      <c r="MR73" s="166"/>
      <c r="MS73" s="166"/>
      <c r="MT73" s="166"/>
      <c r="MU73" s="166"/>
      <c r="MV73" s="166"/>
      <c r="MW73" s="166"/>
      <c r="MX73" s="166"/>
      <c r="MY73" s="166"/>
      <c r="MZ73" s="166"/>
      <c r="NA73" s="166"/>
      <c r="NB73" s="166"/>
      <c r="NC73" s="166"/>
      <c r="ND73" s="166"/>
      <c r="NE73" s="166"/>
      <c r="NF73" s="166"/>
      <c r="NG73" s="166"/>
      <c r="NH73" s="166"/>
      <c r="NI73" s="166"/>
      <c r="NJ73" s="166"/>
      <c r="NK73" s="166"/>
      <c r="NL73" s="166"/>
      <c r="NM73" s="166"/>
      <c r="NN73" s="166"/>
      <c r="NO73" s="166"/>
      <c r="NP73" s="166"/>
      <c r="NQ73" s="166"/>
      <c r="NR73" s="166"/>
      <c r="NS73" s="166"/>
      <c r="NT73" s="166"/>
      <c r="NU73" s="166"/>
      <c r="NV73" s="166"/>
      <c r="NW73" s="166"/>
      <c r="NX73" s="166"/>
      <c r="NY73" s="166"/>
      <c r="NZ73" s="166"/>
      <c r="OA73" s="25"/>
      <c r="OB73" s="25"/>
      <c r="OC73" s="25"/>
      <c r="OD73" s="81"/>
      <c r="OE73" s="25"/>
      <c r="OF73" s="25"/>
      <c r="OG73" s="25"/>
      <c r="OH73" s="25"/>
      <c r="OI73" s="25"/>
      <c r="OJ73" s="25"/>
      <c r="OK73" s="25"/>
      <c r="OL73" s="25"/>
      <c r="OM73" s="25"/>
      <c r="ON73" s="25"/>
      <c r="OO73" s="25"/>
      <c r="OP73" s="25"/>
      <c r="OQ73" s="25"/>
      <c r="OR7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3" s="81"/>
      <c r="OT73" s="25"/>
      <c r="OU73" s="81"/>
      <c r="OV73" s="81"/>
    </row>
    <row r="74" spans="1:412" ht="12.5" x14ac:dyDescent="0.25">
      <c r="A74" s="25">
        <v>55</v>
      </c>
      <c r="B74" s="25" t="b">
        <f>NOT(ISBLANK(SEBBusinessDataTable[[#This Row],[SEBBusinessType]]))</f>
        <v>0</v>
      </c>
      <c r="C74" s="25"/>
      <c r="D74" s="25"/>
      <c r="E74" s="25"/>
      <c r="F74" s="25"/>
      <c r="G74" s="25"/>
      <c r="H74" s="25"/>
      <c r="I74" s="25"/>
      <c r="J74" s="25">
        <f>COUNTIF(SEBBusinessDataTable[[#This Row],[SEBAssociatedFlagApp1]:[SEBAssociatedFlagApp6]],"Yes")</f>
        <v>0</v>
      </c>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c r="DE74" s="25"/>
      <c r="DF74" s="25"/>
      <c r="DG74" s="25"/>
      <c r="DH74" s="25"/>
      <c r="DI74" s="25"/>
      <c r="DJ74" s="25"/>
      <c r="DK74" s="25"/>
      <c r="DL74" s="25"/>
      <c r="DM74" s="25"/>
      <c r="DN74" s="25"/>
      <c r="DO74" s="55"/>
      <c r="DP74" s="55"/>
      <c r="DQ74" s="55"/>
      <c r="DR74" s="55"/>
      <c r="DS74" s="55"/>
      <c r="DT74" s="55"/>
      <c r="DU74" s="55"/>
      <c r="DV74" s="55"/>
      <c r="DW74" s="55"/>
      <c r="DX74" s="55"/>
      <c r="DY74" s="55"/>
      <c r="DZ74" s="55"/>
      <c r="EA74" s="25"/>
      <c r="EB74" s="25"/>
      <c r="EC74" s="25"/>
      <c r="ED74" s="25"/>
      <c r="EE74" s="25"/>
      <c r="EF74" s="25"/>
      <c r="EG74" s="25"/>
      <c r="EH74" s="25"/>
      <c r="EI74" s="25"/>
      <c r="EJ74" s="25"/>
      <c r="EK74" s="25"/>
      <c r="EL74" s="25"/>
      <c r="EM74" s="25"/>
      <c r="EN74" s="25"/>
      <c r="EO74" s="25"/>
      <c r="EP74" s="25"/>
      <c r="EQ74" s="25"/>
      <c r="ER74" s="25"/>
      <c r="ES74" s="25"/>
      <c r="ET74" s="25"/>
      <c r="EU74" s="25"/>
      <c r="EV74" s="25"/>
      <c r="EW74" s="25"/>
      <c r="EX74" s="25"/>
      <c r="EY74" s="25"/>
      <c r="EZ74" s="25"/>
      <c r="FA74" s="25"/>
      <c r="FB74" s="25"/>
      <c r="FC74" s="25"/>
      <c r="FD74" s="25"/>
      <c r="FE74" s="25"/>
      <c r="FF74" s="25"/>
      <c r="FG74" s="25"/>
      <c r="FH74" s="25"/>
      <c r="FI74" s="25"/>
      <c r="FJ74" s="25"/>
      <c r="FK74" s="25"/>
      <c r="FL74" s="25"/>
      <c r="FM74" s="25"/>
      <c r="FN74" s="25"/>
      <c r="FO74" s="25"/>
      <c r="FP74" s="25"/>
      <c r="FQ74" s="25"/>
      <c r="FR74" s="25"/>
      <c r="FS74" s="25"/>
      <c r="FT74" s="25"/>
      <c r="FU74" s="25"/>
      <c r="FV74" s="25"/>
      <c r="FW74" s="25"/>
      <c r="FX74" s="25"/>
      <c r="FY74" s="25"/>
      <c r="FZ74" s="25"/>
      <c r="GA74" s="25"/>
      <c r="GB74" s="25"/>
      <c r="GC74" s="25"/>
      <c r="GD74" s="25"/>
      <c r="GE74" s="25"/>
      <c r="GF74" s="25"/>
      <c r="GG74" s="25"/>
      <c r="GH74" s="25"/>
      <c r="GI74" s="25"/>
      <c r="GJ74" s="25"/>
      <c r="GK74" s="25"/>
      <c r="GL74" s="25"/>
      <c r="GM74" s="25"/>
      <c r="GN74" s="25"/>
      <c r="GO74" s="25"/>
      <c r="GP74" s="25"/>
      <c r="GQ74" s="25"/>
      <c r="GR74" s="25"/>
      <c r="GS74" s="25"/>
      <c r="GT74" s="25"/>
      <c r="GU74" s="25"/>
      <c r="GV74" s="25"/>
      <c r="GW74" s="25"/>
      <c r="GX74" s="25"/>
      <c r="GY74" s="25"/>
      <c r="GZ74" s="25"/>
      <c r="HA74" s="25"/>
      <c r="HB74" s="25"/>
      <c r="HC74" s="55"/>
      <c r="HD74" s="55"/>
      <c r="HE74" s="55"/>
      <c r="HF74" s="55"/>
      <c r="HG74" s="55"/>
      <c r="HH74" s="55"/>
      <c r="HI74" s="55"/>
      <c r="HJ74" s="55"/>
      <c r="HK74" s="55"/>
      <c r="HL74" s="55"/>
      <c r="HM74" s="55"/>
      <c r="HN74" s="55"/>
      <c r="HO74" s="55"/>
      <c r="HP74" s="55"/>
      <c r="HQ74" s="55"/>
      <c r="HR74" s="55"/>
      <c r="HS74" s="55"/>
      <c r="HT74" s="55"/>
      <c r="HU74" s="55"/>
      <c r="HV74" s="55"/>
      <c r="HW74" s="55"/>
      <c r="HX74" s="55"/>
      <c r="HY74" s="55"/>
      <c r="HZ74" s="55"/>
      <c r="IA74" s="55"/>
      <c r="IB74" s="55"/>
      <c r="IC74" s="55"/>
      <c r="ID74" s="55"/>
      <c r="IE74" s="55"/>
      <c r="IF74" s="55"/>
      <c r="IG74" s="55"/>
      <c r="IH74" s="55"/>
      <c r="II74" s="55"/>
      <c r="IJ74" s="55"/>
      <c r="IK74" s="55"/>
      <c r="IL74" s="55"/>
      <c r="IM74" s="55"/>
      <c r="IN74" s="55"/>
      <c r="IO74" s="55"/>
      <c r="IP74" s="55"/>
      <c r="IQ74" s="55"/>
      <c r="IR74" s="55"/>
      <c r="IS74" s="55"/>
      <c r="IT74" s="55"/>
      <c r="IU74" s="55"/>
      <c r="IV74" s="55"/>
      <c r="IW74" s="55"/>
      <c r="IX74" s="55"/>
      <c r="IY74" s="55"/>
      <c r="IZ74" s="55"/>
      <c r="JA74" s="55"/>
      <c r="JB74" s="55"/>
      <c r="JC74" s="55"/>
      <c r="JD74" s="55"/>
      <c r="JE74" s="55"/>
      <c r="JF74" s="55"/>
      <c r="JG74" s="55"/>
      <c r="JH74" s="55"/>
      <c r="JI74" s="55"/>
      <c r="JJ74" s="55"/>
      <c r="JK74" s="25"/>
      <c r="JL74" s="25"/>
      <c r="JM74" s="25"/>
      <c r="JN74" s="25"/>
      <c r="JO74" s="25"/>
      <c r="JP74" s="25"/>
      <c r="JQ74" s="25"/>
      <c r="JR74" s="25"/>
      <c r="JS74" s="25"/>
      <c r="JT74" s="25"/>
      <c r="JU74" s="25"/>
      <c r="JV74" s="25"/>
      <c r="JW74" s="25"/>
      <c r="JX74" s="25"/>
      <c r="JY74" s="25"/>
      <c r="JZ74" s="25"/>
      <c r="KA74" s="25"/>
      <c r="KB74" s="25"/>
      <c r="KC74" s="25"/>
      <c r="KD74" s="25"/>
      <c r="KE74" s="25"/>
      <c r="KF74" s="25"/>
      <c r="KG74" s="25"/>
      <c r="KH74" s="25"/>
      <c r="KI74" s="25"/>
      <c r="KJ74" s="25"/>
      <c r="KK74" s="25"/>
      <c r="KL74" s="25"/>
      <c r="KM74" s="25"/>
      <c r="KN74" s="25"/>
      <c r="KO74" s="25"/>
      <c r="KP74" s="25"/>
      <c r="KQ74" s="25"/>
      <c r="KR74" s="25"/>
      <c r="KS74" s="25"/>
      <c r="KT74" s="25"/>
      <c r="KU74" s="25"/>
      <c r="KV74" s="25"/>
      <c r="KW74" s="25"/>
      <c r="KX74" s="25"/>
      <c r="KY74" s="25"/>
      <c r="KZ74" s="25"/>
      <c r="LA74" s="25"/>
      <c r="LB74" s="25"/>
      <c r="LC74" s="25"/>
      <c r="LD74" s="25"/>
      <c r="LE74" s="25"/>
      <c r="LF74" s="25"/>
      <c r="LG74" s="25"/>
      <c r="LH74" s="25"/>
      <c r="LI74" s="25"/>
      <c r="LJ74" s="25"/>
      <c r="LK74" s="25"/>
      <c r="LL74" s="25"/>
      <c r="LM74" s="25"/>
      <c r="LN74" s="25"/>
      <c r="LO74" s="25"/>
      <c r="LP74" s="25"/>
      <c r="LQ74" s="25"/>
      <c r="LR74" s="25"/>
      <c r="LS74" s="166"/>
      <c r="LT74" s="166"/>
      <c r="LU74" s="166"/>
      <c r="LV74" s="166"/>
      <c r="LW74" s="166"/>
      <c r="LX74" s="166"/>
      <c r="LY74" s="166"/>
      <c r="LZ74" s="166"/>
      <c r="MA74" s="166"/>
      <c r="MB74" s="166"/>
      <c r="MC74" s="166"/>
      <c r="MD74" s="166"/>
      <c r="ME74" s="166"/>
      <c r="MF74" s="166"/>
      <c r="MG74" s="166"/>
      <c r="MH74" s="166"/>
      <c r="MI74" s="166"/>
      <c r="MJ74" s="166"/>
      <c r="MK74" s="166"/>
      <c r="ML74" s="166"/>
      <c r="MM74" s="166"/>
      <c r="MN74" s="166"/>
      <c r="MO74" s="166"/>
      <c r="MP74" s="166"/>
      <c r="MQ74" s="166"/>
      <c r="MR74" s="166"/>
      <c r="MS74" s="166"/>
      <c r="MT74" s="166"/>
      <c r="MU74" s="166"/>
      <c r="MV74" s="166"/>
      <c r="MW74" s="166"/>
      <c r="MX74" s="166"/>
      <c r="MY74" s="166"/>
      <c r="MZ74" s="166"/>
      <c r="NA74" s="166"/>
      <c r="NB74" s="166"/>
      <c r="NC74" s="166"/>
      <c r="ND74" s="166"/>
      <c r="NE74" s="166"/>
      <c r="NF74" s="166"/>
      <c r="NG74" s="166"/>
      <c r="NH74" s="166"/>
      <c r="NI74" s="166"/>
      <c r="NJ74" s="166"/>
      <c r="NK74" s="166"/>
      <c r="NL74" s="166"/>
      <c r="NM74" s="166"/>
      <c r="NN74" s="166"/>
      <c r="NO74" s="166"/>
      <c r="NP74" s="166"/>
      <c r="NQ74" s="166"/>
      <c r="NR74" s="166"/>
      <c r="NS74" s="166"/>
      <c r="NT74" s="166"/>
      <c r="NU74" s="166"/>
      <c r="NV74" s="166"/>
      <c r="NW74" s="166"/>
      <c r="NX74" s="166"/>
      <c r="NY74" s="166"/>
      <c r="NZ74" s="166"/>
      <c r="OA74" s="25"/>
      <c r="OB74" s="25"/>
      <c r="OC74" s="25"/>
      <c r="OD74" s="81"/>
      <c r="OE74" s="25"/>
      <c r="OF74" s="25"/>
      <c r="OG74" s="25"/>
      <c r="OH74" s="25"/>
      <c r="OI74" s="25"/>
      <c r="OJ74" s="25"/>
      <c r="OK74" s="25"/>
      <c r="OL74" s="25"/>
      <c r="OM74" s="25"/>
      <c r="ON74" s="25"/>
      <c r="OO74" s="25"/>
      <c r="OP74" s="25"/>
      <c r="OQ74" s="25"/>
      <c r="OR7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4" s="81"/>
      <c r="OT74" s="25"/>
      <c r="OU74" s="81"/>
      <c r="OV74" s="81"/>
    </row>
    <row r="75" spans="1:412" ht="12.5" x14ac:dyDescent="0.25">
      <c r="A75" s="25">
        <v>56</v>
      </c>
      <c r="B75" s="25" t="b">
        <f>NOT(ISBLANK(SEBBusinessDataTable[[#This Row],[SEBBusinessType]]))</f>
        <v>0</v>
      </c>
      <c r="C75" s="25"/>
      <c r="D75" s="25"/>
      <c r="E75" s="25"/>
      <c r="F75" s="25"/>
      <c r="G75" s="25"/>
      <c r="H75" s="25"/>
      <c r="I75" s="25"/>
      <c r="J75" s="25">
        <f>COUNTIF(SEBBusinessDataTable[[#This Row],[SEBAssociatedFlagApp1]:[SEBAssociatedFlagApp6]],"Yes")</f>
        <v>0</v>
      </c>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c r="DE75" s="25"/>
      <c r="DF75" s="25"/>
      <c r="DG75" s="25"/>
      <c r="DH75" s="25"/>
      <c r="DI75" s="25"/>
      <c r="DJ75" s="25"/>
      <c r="DK75" s="25"/>
      <c r="DL75" s="25"/>
      <c r="DM75" s="25"/>
      <c r="DN75" s="25"/>
      <c r="DO75" s="55"/>
      <c r="DP75" s="55"/>
      <c r="DQ75" s="55"/>
      <c r="DR75" s="55"/>
      <c r="DS75" s="55"/>
      <c r="DT75" s="55"/>
      <c r="DU75" s="55"/>
      <c r="DV75" s="55"/>
      <c r="DW75" s="55"/>
      <c r="DX75" s="55"/>
      <c r="DY75" s="55"/>
      <c r="DZ75" s="55"/>
      <c r="EA75" s="25"/>
      <c r="EB75" s="25"/>
      <c r="EC75" s="25"/>
      <c r="ED75" s="25"/>
      <c r="EE75" s="25"/>
      <c r="EF75" s="25"/>
      <c r="EG75" s="25"/>
      <c r="EH75" s="25"/>
      <c r="EI75" s="25"/>
      <c r="EJ75" s="25"/>
      <c r="EK75" s="25"/>
      <c r="EL75" s="25"/>
      <c r="EM75" s="25"/>
      <c r="EN75" s="25"/>
      <c r="EO75" s="25"/>
      <c r="EP75" s="25"/>
      <c r="EQ75" s="25"/>
      <c r="ER75" s="25"/>
      <c r="ES75" s="25"/>
      <c r="ET75" s="25"/>
      <c r="EU75" s="25"/>
      <c r="EV75" s="25"/>
      <c r="EW75" s="25"/>
      <c r="EX75" s="25"/>
      <c r="EY75" s="25"/>
      <c r="EZ75" s="25"/>
      <c r="FA75" s="25"/>
      <c r="FB75" s="25"/>
      <c r="FC75" s="25"/>
      <c r="FD75" s="25"/>
      <c r="FE75" s="25"/>
      <c r="FF75" s="25"/>
      <c r="FG75" s="25"/>
      <c r="FH75" s="25"/>
      <c r="FI75" s="25"/>
      <c r="FJ75" s="25"/>
      <c r="FK75" s="25"/>
      <c r="FL75" s="25"/>
      <c r="FM75" s="25"/>
      <c r="FN75" s="25"/>
      <c r="FO75" s="25"/>
      <c r="FP75" s="25"/>
      <c r="FQ75" s="25"/>
      <c r="FR75" s="25"/>
      <c r="FS75" s="25"/>
      <c r="FT75" s="25"/>
      <c r="FU75" s="25"/>
      <c r="FV75" s="25"/>
      <c r="FW75" s="25"/>
      <c r="FX75" s="25"/>
      <c r="FY75" s="25"/>
      <c r="FZ75" s="25"/>
      <c r="GA75" s="25"/>
      <c r="GB75" s="25"/>
      <c r="GC75" s="25"/>
      <c r="GD75" s="25"/>
      <c r="GE75" s="25"/>
      <c r="GF75" s="25"/>
      <c r="GG75" s="25"/>
      <c r="GH75" s="25"/>
      <c r="GI75" s="25"/>
      <c r="GJ75" s="25"/>
      <c r="GK75" s="25"/>
      <c r="GL75" s="25"/>
      <c r="GM75" s="25"/>
      <c r="GN75" s="25"/>
      <c r="GO75" s="25"/>
      <c r="GP75" s="25"/>
      <c r="GQ75" s="25"/>
      <c r="GR75" s="25"/>
      <c r="GS75" s="25"/>
      <c r="GT75" s="25"/>
      <c r="GU75" s="25"/>
      <c r="GV75" s="25"/>
      <c r="GW75" s="25"/>
      <c r="GX75" s="25"/>
      <c r="GY75" s="25"/>
      <c r="GZ75" s="25"/>
      <c r="HA75" s="25"/>
      <c r="HB75" s="25"/>
      <c r="HC75" s="55"/>
      <c r="HD75" s="55"/>
      <c r="HE75" s="55"/>
      <c r="HF75" s="55"/>
      <c r="HG75" s="55"/>
      <c r="HH75" s="55"/>
      <c r="HI75" s="55"/>
      <c r="HJ75" s="55"/>
      <c r="HK75" s="55"/>
      <c r="HL75" s="55"/>
      <c r="HM75" s="55"/>
      <c r="HN75" s="55"/>
      <c r="HO75" s="55"/>
      <c r="HP75" s="55"/>
      <c r="HQ75" s="55"/>
      <c r="HR75" s="55"/>
      <c r="HS75" s="55"/>
      <c r="HT75" s="55"/>
      <c r="HU75" s="55"/>
      <c r="HV75" s="55"/>
      <c r="HW75" s="55"/>
      <c r="HX75" s="55"/>
      <c r="HY75" s="55"/>
      <c r="HZ75" s="55"/>
      <c r="IA75" s="55"/>
      <c r="IB75" s="55"/>
      <c r="IC75" s="55"/>
      <c r="ID75" s="55"/>
      <c r="IE75" s="55"/>
      <c r="IF75" s="55"/>
      <c r="IG75" s="55"/>
      <c r="IH75" s="55"/>
      <c r="II75" s="55"/>
      <c r="IJ75" s="55"/>
      <c r="IK75" s="55"/>
      <c r="IL75" s="55"/>
      <c r="IM75" s="55"/>
      <c r="IN75" s="55"/>
      <c r="IO75" s="55"/>
      <c r="IP75" s="55"/>
      <c r="IQ75" s="55"/>
      <c r="IR75" s="55"/>
      <c r="IS75" s="55"/>
      <c r="IT75" s="55"/>
      <c r="IU75" s="55"/>
      <c r="IV75" s="55"/>
      <c r="IW75" s="55"/>
      <c r="IX75" s="55"/>
      <c r="IY75" s="55"/>
      <c r="IZ75" s="55"/>
      <c r="JA75" s="55"/>
      <c r="JB75" s="55"/>
      <c r="JC75" s="55"/>
      <c r="JD75" s="55"/>
      <c r="JE75" s="55"/>
      <c r="JF75" s="55"/>
      <c r="JG75" s="55"/>
      <c r="JH75" s="55"/>
      <c r="JI75" s="55"/>
      <c r="JJ75" s="55"/>
      <c r="JK75" s="25"/>
      <c r="JL75" s="25"/>
      <c r="JM75" s="25"/>
      <c r="JN75" s="25"/>
      <c r="JO75" s="25"/>
      <c r="JP75" s="25"/>
      <c r="JQ75" s="25"/>
      <c r="JR75" s="25"/>
      <c r="JS75" s="25"/>
      <c r="JT75" s="25"/>
      <c r="JU75" s="25"/>
      <c r="JV75" s="25"/>
      <c r="JW75" s="25"/>
      <c r="JX75" s="25"/>
      <c r="JY75" s="25"/>
      <c r="JZ75" s="25"/>
      <c r="KA75" s="25"/>
      <c r="KB75" s="25"/>
      <c r="KC75" s="25"/>
      <c r="KD75" s="25"/>
      <c r="KE75" s="25"/>
      <c r="KF75" s="25"/>
      <c r="KG75" s="25"/>
      <c r="KH75" s="25"/>
      <c r="KI75" s="25"/>
      <c r="KJ75" s="25"/>
      <c r="KK75" s="25"/>
      <c r="KL75" s="25"/>
      <c r="KM75" s="25"/>
      <c r="KN75" s="25"/>
      <c r="KO75" s="25"/>
      <c r="KP75" s="25"/>
      <c r="KQ75" s="25"/>
      <c r="KR75" s="25"/>
      <c r="KS75" s="25"/>
      <c r="KT75" s="25"/>
      <c r="KU75" s="25"/>
      <c r="KV75" s="25"/>
      <c r="KW75" s="25"/>
      <c r="KX75" s="25"/>
      <c r="KY75" s="25"/>
      <c r="KZ75" s="25"/>
      <c r="LA75" s="25"/>
      <c r="LB75" s="25"/>
      <c r="LC75" s="25"/>
      <c r="LD75" s="25"/>
      <c r="LE75" s="25"/>
      <c r="LF75" s="25"/>
      <c r="LG75" s="25"/>
      <c r="LH75" s="25"/>
      <c r="LI75" s="25"/>
      <c r="LJ75" s="25"/>
      <c r="LK75" s="25"/>
      <c r="LL75" s="25"/>
      <c r="LM75" s="25"/>
      <c r="LN75" s="25"/>
      <c r="LO75" s="25"/>
      <c r="LP75" s="25"/>
      <c r="LQ75" s="25"/>
      <c r="LR75" s="25"/>
      <c r="LS75" s="166"/>
      <c r="LT75" s="166"/>
      <c r="LU75" s="166"/>
      <c r="LV75" s="166"/>
      <c r="LW75" s="166"/>
      <c r="LX75" s="166"/>
      <c r="LY75" s="166"/>
      <c r="LZ75" s="166"/>
      <c r="MA75" s="166"/>
      <c r="MB75" s="166"/>
      <c r="MC75" s="166"/>
      <c r="MD75" s="166"/>
      <c r="ME75" s="166"/>
      <c r="MF75" s="166"/>
      <c r="MG75" s="166"/>
      <c r="MH75" s="166"/>
      <c r="MI75" s="166"/>
      <c r="MJ75" s="166"/>
      <c r="MK75" s="166"/>
      <c r="ML75" s="166"/>
      <c r="MM75" s="166"/>
      <c r="MN75" s="166"/>
      <c r="MO75" s="166"/>
      <c r="MP75" s="166"/>
      <c r="MQ75" s="166"/>
      <c r="MR75" s="166"/>
      <c r="MS75" s="166"/>
      <c r="MT75" s="166"/>
      <c r="MU75" s="166"/>
      <c r="MV75" s="166"/>
      <c r="MW75" s="166"/>
      <c r="MX75" s="166"/>
      <c r="MY75" s="166"/>
      <c r="MZ75" s="166"/>
      <c r="NA75" s="166"/>
      <c r="NB75" s="166"/>
      <c r="NC75" s="166"/>
      <c r="ND75" s="166"/>
      <c r="NE75" s="166"/>
      <c r="NF75" s="166"/>
      <c r="NG75" s="166"/>
      <c r="NH75" s="166"/>
      <c r="NI75" s="166"/>
      <c r="NJ75" s="166"/>
      <c r="NK75" s="166"/>
      <c r="NL75" s="166"/>
      <c r="NM75" s="166"/>
      <c r="NN75" s="166"/>
      <c r="NO75" s="166"/>
      <c r="NP75" s="166"/>
      <c r="NQ75" s="166"/>
      <c r="NR75" s="166"/>
      <c r="NS75" s="166"/>
      <c r="NT75" s="166"/>
      <c r="NU75" s="166"/>
      <c r="NV75" s="166"/>
      <c r="NW75" s="166"/>
      <c r="NX75" s="166"/>
      <c r="NY75" s="166"/>
      <c r="NZ75" s="166"/>
      <c r="OA75" s="25"/>
      <c r="OB75" s="25"/>
      <c r="OC75" s="25"/>
      <c r="OD75" s="81"/>
      <c r="OE75" s="25"/>
      <c r="OF75" s="25"/>
      <c r="OG75" s="25"/>
      <c r="OH75" s="25"/>
      <c r="OI75" s="25"/>
      <c r="OJ75" s="25"/>
      <c r="OK75" s="25"/>
      <c r="OL75" s="25"/>
      <c r="OM75" s="25"/>
      <c r="ON75" s="25"/>
      <c r="OO75" s="25"/>
      <c r="OP75" s="25"/>
      <c r="OQ75" s="25"/>
      <c r="OR7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5" s="81"/>
      <c r="OT75" s="25"/>
      <c r="OU75" s="81"/>
      <c r="OV75" s="81"/>
    </row>
    <row r="76" spans="1:412" ht="12.5" x14ac:dyDescent="0.25">
      <c r="A76" s="25">
        <v>57</v>
      </c>
      <c r="B76" s="25" t="b">
        <f>NOT(ISBLANK(SEBBusinessDataTable[[#This Row],[SEBBusinessType]]))</f>
        <v>0</v>
      </c>
      <c r="C76" s="25"/>
      <c r="D76" s="25"/>
      <c r="E76" s="25"/>
      <c r="F76" s="25"/>
      <c r="G76" s="25"/>
      <c r="H76" s="25"/>
      <c r="I76" s="25"/>
      <c r="J76" s="25">
        <f>COUNTIF(SEBBusinessDataTable[[#This Row],[SEBAssociatedFlagApp1]:[SEBAssociatedFlagApp6]],"Yes")</f>
        <v>0</v>
      </c>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c r="CO76" s="25"/>
      <c r="CP76" s="25"/>
      <c r="CQ76" s="25"/>
      <c r="CR76" s="25"/>
      <c r="CS76" s="25"/>
      <c r="CT76" s="25"/>
      <c r="CU76" s="25"/>
      <c r="CV76" s="25"/>
      <c r="CW76" s="25"/>
      <c r="CX76" s="25"/>
      <c r="CY76" s="25"/>
      <c r="CZ76" s="25"/>
      <c r="DA76" s="25"/>
      <c r="DB76" s="25"/>
      <c r="DC76" s="25"/>
      <c r="DD76" s="25"/>
      <c r="DE76" s="25"/>
      <c r="DF76" s="25"/>
      <c r="DG76" s="25"/>
      <c r="DH76" s="25"/>
      <c r="DI76" s="25"/>
      <c r="DJ76" s="25"/>
      <c r="DK76" s="25"/>
      <c r="DL76" s="25"/>
      <c r="DM76" s="25"/>
      <c r="DN76" s="25"/>
      <c r="DO76" s="55"/>
      <c r="DP76" s="55"/>
      <c r="DQ76" s="55"/>
      <c r="DR76" s="55"/>
      <c r="DS76" s="55"/>
      <c r="DT76" s="55"/>
      <c r="DU76" s="55"/>
      <c r="DV76" s="55"/>
      <c r="DW76" s="55"/>
      <c r="DX76" s="55"/>
      <c r="DY76" s="55"/>
      <c r="DZ76" s="55"/>
      <c r="EA76" s="25"/>
      <c r="EB76" s="25"/>
      <c r="EC76" s="25"/>
      <c r="ED76" s="25"/>
      <c r="EE76" s="25"/>
      <c r="EF76" s="25"/>
      <c r="EG76" s="25"/>
      <c r="EH76" s="25"/>
      <c r="EI76" s="25"/>
      <c r="EJ76" s="25"/>
      <c r="EK76" s="25"/>
      <c r="EL76" s="25"/>
      <c r="EM76" s="25"/>
      <c r="EN76" s="25"/>
      <c r="EO76" s="25"/>
      <c r="EP76" s="25"/>
      <c r="EQ76" s="25"/>
      <c r="ER76" s="25"/>
      <c r="ES76" s="25"/>
      <c r="ET76" s="25"/>
      <c r="EU76" s="25"/>
      <c r="EV76" s="25"/>
      <c r="EW76" s="25"/>
      <c r="EX76" s="25"/>
      <c r="EY76" s="25"/>
      <c r="EZ76" s="25"/>
      <c r="FA76" s="25"/>
      <c r="FB76" s="25"/>
      <c r="FC76" s="25"/>
      <c r="FD76" s="25"/>
      <c r="FE76" s="25"/>
      <c r="FF76" s="25"/>
      <c r="FG76" s="25"/>
      <c r="FH76" s="25"/>
      <c r="FI76" s="25"/>
      <c r="FJ76" s="25"/>
      <c r="FK76" s="25"/>
      <c r="FL76" s="25"/>
      <c r="FM76" s="25"/>
      <c r="FN76" s="25"/>
      <c r="FO76" s="25"/>
      <c r="FP76" s="25"/>
      <c r="FQ76" s="25"/>
      <c r="FR76" s="25"/>
      <c r="FS76" s="25"/>
      <c r="FT76" s="25"/>
      <c r="FU76" s="25"/>
      <c r="FV76" s="25"/>
      <c r="FW76" s="25"/>
      <c r="FX76" s="25"/>
      <c r="FY76" s="25"/>
      <c r="FZ76" s="25"/>
      <c r="GA76" s="25"/>
      <c r="GB76" s="25"/>
      <c r="GC76" s="25"/>
      <c r="GD76" s="25"/>
      <c r="GE76" s="25"/>
      <c r="GF76" s="25"/>
      <c r="GG76" s="25"/>
      <c r="GH76" s="25"/>
      <c r="GI76" s="25"/>
      <c r="GJ76" s="25"/>
      <c r="GK76" s="25"/>
      <c r="GL76" s="25"/>
      <c r="GM76" s="25"/>
      <c r="GN76" s="25"/>
      <c r="GO76" s="25"/>
      <c r="GP76" s="25"/>
      <c r="GQ76" s="25"/>
      <c r="GR76" s="25"/>
      <c r="GS76" s="25"/>
      <c r="GT76" s="25"/>
      <c r="GU76" s="25"/>
      <c r="GV76" s="25"/>
      <c r="GW76" s="25"/>
      <c r="GX76" s="25"/>
      <c r="GY76" s="25"/>
      <c r="GZ76" s="25"/>
      <c r="HA76" s="25"/>
      <c r="HB76" s="25"/>
      <c r="HC76" s="55"/>
      <c r="HD76" s="55"/>
      <c r="HE76" s="55"/>
      <c r="HF76" s="55"/>
      <c r="HG76" s="55"/>
      <c r="HH76" s="55"/>
      <c r="HI76" s="55"/>
      <c r="HJ76" s="55"/>
      <c r="HK76" s="55"/>
      <c r="HL76" s="55"/>
      <c r="HM76" s="55"/>
      <c r="HN76" s="55"/>
      <c r="HO76" s="55"/>
      <c r="HP76" s="55"/>
      <c r="HQ76" s="55"/>
      <c r="HR76" s="55"/>
      <c r="HS76" s="55"/>
      <c r="HT76" s="55"/>
      <c r="HU76" s="55"/>
      <c r="HV76" s="55"/>
      <c r="HW76" s="55"/>
      <c r="HX76" s="55"/>
      <c r="HY76" s="55"/>
      <c r="HZ76" s="55"/>
      <c r="IA76" s="55"/>
      <c r="IB76" s="55"/>
      <c r="IC76" s="55"/>
      <c r="ID76" s="55"/>
      <c r="IE76" s="55"/>
      <c r="IF76" s="55"/>
      <c r="IG76" s="55"/>
      <c r="IH76" s="55"/>
      <c r="II76" s="55"/>
      <c r="IJ76" s="55"/>
      <c r="IK76" s="55"/>
      <c r="IL76" s="55"/>
      <c r="IM76" s="55"/>
      <c r="IN76" s="55"/>
      <c r="IO76" s="55"/>
      <c r="IP76" s="55"/>
      <c r="IQ76" s="55"/>
      <c r="IR76" s="55"/>
      <c r="IS76" s="55"/>
      <c r="IT76" s="55"/>
      <c r="IU76" s="55"/>
      <c r="IV76" s="55"/>
      <c r="IW76" s="55"/>
      <c r="IX76" s="55"/>
      <c r="IY76" s="55"/>
      <c r="IZ76" s="55"/>
      <c r="JA76" s="55"/>
      <c r="JB76" s="55"/>
      <c r="JC76" s="55"/>
      <c r="JD76" s="55"/>
      <c r="JE76" s="55"/>
      <c r="JF76" s="55"/>
      <c r="JG76" s="55"/>
      <c r="JH76" s="55"/>
      <c r="JI76" s="55"/>
      <c r="JJ76" s="55"/>
      <c r="JK76" s="25"/>
      <c r="JL76" s="25"/>
      <c r="JM76" s="25"/>
      <c r="JN76" s="25"/>
      <c r="JO76" s="25"/>
      <c r="JP76" s="25"/>
      <c r="JQ76" s="25"/>
      <c r="JR76" s="25"/>
      <c r="JS76" s="25"/>
      <c r="JT76" s="25"/>
      <c r="JU76" s="25"/>
      <c r="JV76" s="25"/>
      <c r="JW76" s="25"/>
      <c r="JX76" s="25"/>
      <c r="JY76" s="25"/>
      <c r="JZ76" s="25"/>
      <c r="KA76" s="25"/>
      <c r="KB76" s="25"/>
      <c r="KC76" s="25"/>
      <c r="KD76" s="25"/>
      <c r="KE76" s="25"/>
      <c r="KF76" s="25"/>
      <c r="KG76" s="25"/>
      <c r="KH76" s="25"/>
      <c r="KI76" s="25"/>
      <c r="KJ76" s="25"/>
      <c r="KK76" s="25"/>
      <c r="KL76" s="25"/>
      <c r="KM76" s="25"/>
      <c r="KN76" s="25"/>
      <c r="KO76" s="25"/>
      <c r="KP76" s="25"/>
      <c r="KQ76" s="25"/>
      <c r="KR76" s="25"/>
      <c r="KS76" s="25"/>
      <c r="KT76" s="25"/>
      <c r="KU76" s="25"/>
      <c r="KV76" s="25"/>
      <c r="KW76" s="25"/>
      <c r="KX76" s="25"/>
      <c r="KY76" s="25"/>
      <c r="KZ76" s="25"/>
      <c r="LA76" s="25"/>
      <c r="LB76" s="25"/>
      <c r="LC76" s="25"/>
      <c r="LD76" s="25"/>
      <c r="LE76" s="25"/>
      <c r="LF76" s="25"/>
      <c r="LG76" s="25"/>
      <c r="LH76" s="25"/>
      <c r="LI76" s="25"/>
      <c r="LJ76" s="25"/>
      <c r="LK76" s="25"/>
      <c r="LL76" s="25"/>
      <c r="LM76" s="25"/>
      <c r="LN76" s="25"/>
      <c r="LO76" s="25"/>
      <c r="LP76" s="25"/>
      <c r="LQ76" s="25"/>
      <c r="LR76" s="25"/>
      <c r="LS76" s="166"/>
      <c r="LT76" s="166"/>
      <c r="LU76" s="166"/>
      <c r="LV76" s="166"/>
      <c r="LW76" s="166"/>
      <c r="LX76" s="166"/>
      <c r="LY76" s="166"/>
      <c r="LZ76" s="166"/>
      <c r="MA76" s="166"/>
      <c r="MB76" s="166"/>
      <c r="MC76" s="166"/>
      <c r="MD76" s="166"/>
      <c r="ME76" s="166"/>
      <c r="MF76" s="166"/>
      <c r="MG76" s="166"/>
      <c r="MH76" s="166"/>
      <c r="MI76" s="166"/>
      <c r="MJ76" s="166"/>
      <c r="MK76" s="166"/>
      <c r="ML76" s="166"/>
      <c r="MM76" s="166"/>
      <c r="MN76" s="166"/>
      <c r="MO76" s="166"/>
      <c r="MP76" s="166"/>
      <c r="MQ76" s="166"/>
      <c r="MR76" s="166"/>
      <c r="MS76" s="166"/>
      <c r="MT76" s="166"/>
      <c r="MU76" s="166"/>
      <c r="MV76" s="166"/>
      <c r="MW76" s="166"/>
      <c r="MX76" s="166"/>
      <c r="MY76" s="166"/>
      <c r="MZ76" s="166"/>
      <c r="NA76" s="166"/>
      <c r="NB76" s="166"/>
      <c r="NC76" s="166"/>
      <c r="ND76" s="166"/>
      <c r="NE76" s="166"/>
      <c r="NF76" s="166"/>
      <c r="NG76" s="166"/>
      <c r="NH76" s="166"/>
      <c r="NI76" s="166"/>
      <c r="NJ76" s="166"/>
      <c r="NK76" s="166"/>
      <c r="NL76" s="166"/>
      <c r="NM76" s="166"/>
      <c r="NN76" s="166"/>
      <c r="NO76" s="166"/>
      <c r="NP76" s="166"/>
      <c r="NQ76" s="166"/>
      <c r="NR76" s="166"/>
      <c r="NS76" s="166"/>
      <c r="NT76" s="166"/>
      <c r="NU76" s="166"/>
      <c r="NV76" s="166"/>
      <c r="NW76" s="166"/>
      <c r="NX76" s="166"/>
      <c r="NY76" s="166"/>
      <c r="NZ76" s="166"/>
      <c r="OA76" s="25"/>
      <c r="OB76" s="25"/>
      <c r="OC76" s="25"/>
      <c r="OD76" s="81"/>
      <c r="OE76" s="25"/>
      <c r="OF76" s="25"/>
      <c r="OG76" s="25"/>
      <c r="OH76" s="25"/>
      <c r="OI76" s="25"/>
      <c r="OJ76" s="25"/>
      <c r="OK76" s="25"/>
      <c r="OL76" s="25"/>
      <c r="OM76" s="25"/>
      <c r="ON76" s="25"/>
      <c r="OO76" s="25"/>
      <c r="OP76" s="25"/>
      <c r="OQ76" s="25"/>
      <c r="OR7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6" s="81"/>
      <c r="OT76" s="25"/>
      <c r="OU76" s="81"/>
      <c r="OV76" s="81"/>
    </row>
    <row r="77" spans="1:412" ht="12.5" x14ac:dyDescent="0.25">
      <c r="A77" s="25">
        <v>58</v>
      </c>
      <c r="B77" s="25" t="b">
        <f>NOT(ISBLANK(SEBBusinessDataTable[[#This Row],[SEBBusinessType]]))</f>
        <v>0</v>
      </c>
      <c r="C77" s="25"/>
      <c r="D77" s="25"/>
      <c r="E77" s="25"/>
      <c r="F77" s="25"/>
      <c r="G77" s="25"/>
      <c r="H77" s="25"/>
      <c r="I77" s="25"/>
      <c r="J77" s="25">
        <f>COUNTIF(SEBBusinessDataTable[[#This Row],[SEBAssociatedFlagApp1]:[SEBAssociatedFlagApp6]],"Yes")</f>
        <v>0</v>
      </c>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c r="CI77" s="25"/>
      <c r="CJ77" s="25"/>
      <c r="CK77" s="25"/>
      <c r="CL77" s="25"/>
      <c r="CM77" s="25"/>
      <c r="CN77" s="25"/>
      <c r="CO77" s="25"/>
      <c r="CP77" s="25"/>
      <c r="CQ77" s="25"/>
      <c r="CR77" s="25"/>
      <c r="CS77" s="25"/>
      <c r="CT77" s="25"/>
      <c r="CU77" s="25"/>
      <c r="CV77" s="25"/>
      <c r="CW77" s="25"/>
      <c r="CX77" s="25"/>
      <c r="CY77" s="25"/>
      <c r="CZ77" s="25"/>
      <c r="DA77" s="25"/>
      <c r="DB77" s="25"/>
      <c r="DC77" s="25"/>
      <c r="DD77" s="25"/>
      <c r="DE77" s="25"/>
      <c r="DF77" s="25"/>
      <c r="DG77" s="25"/>
      <c r="DH77" s="25"/>
      <c r="DI77" s="25"/>
      <c r="DJ77" s="25"/>
      <c r="DK77" s="25"/>
      <c r="DL77" s="25"/>
      <c r="DM77" s="25"/>
      <c r="DN77" s="25"/>
      <c r="DO77" s="55"/>
      <c r="DP77" s="55"/>
      <c r="DQ77" s="55"/>
      <c r="DR77" s="55"/>
      <c r="DS77" s="55"/>
      <c r="DT77" s="55"/>
      <c r="DU77" s="55"/>
      <c r="DV77" s="55"/>
      <c r="DW77" s="55"/>
      <c r="DX77" s="55"/>
      <c r="DY77" s="55"/>
      <c r="DZ77" s="55"/>
      <c r="EA77" s="25"/>
      <c r="EB77" s="25"/>
      <c r="EC77" s="25"/>
      <c r="ED77" s="25"/>
      <c r="EE77" s="25"/>
      <c r="EF77" s="25"/>
      <c r="EG77" s="25"/>
      <c r="EH77" s="25"/>
      <c r="EI77" s="25"/>
      <c r="EJ77" s="25"/>
      <c r="EK77" s="25"/>
      <c r="EL77" s="25"/>
      <c r="EM77" s="25"/>
      <c r="EN77" s="25"/>
      <c r="EO77" s="25"/>
      <c r="EP77" s="25"/>
      <c r="EQ77" s="25"/>
      <c r="ER77" s="25"/>
      <c r="ES77" s="25"/>
      <c r="ET77" s="25"/>
      <c r="EU77" s="25"/>
      <c r="EV77" s="25"/>
      <c r="EW77" s="25"/>
      <c r="EX77" s="25"/>
      <c r="EY77" s="25"/>
      <c r="EZ77" s="25"/>
      <c r="FA77" s="25"/>
      <c r="FB77" s="25"/>
      <c r="FC77" s="25"/>
      <c r="FD77" s="25"/>
      <c r="FE77" s="25"/>
      <c r="FF77" s="25"/>
      <c r="FG77" s="25"/>
      <c r="FH77" s="25"/>
      <c r="FI77" s="25"/>
      <c r="FJ77" s="25"/>
      <c r="FK77" s="25"/>
      <c r="FL77" s="25"/>
      <c r="FM77" s="25"/>
      <c r="FN77" s="25"/>
      <c r="FO77" s="25"/>
      <c r="FP77" s="25"/>
      <c r="FQ77" s="25"/>
      <c r="FR77" s="25"/>
      <c r="FS77" s="25"/>
      <c r="FT77" s="25"/>
      <c r="FU77" s="25"/>
      <c r="FV77" s="25"/>
      <c r="FW77" s="25"/>
      <c r="FX77" s="25"/>
      <c r="FY77" s="25"/>
      <c r="FZ77" s="25"/>
      <c r="GA77" s="25"/>
      <c r="GB77" s="25"/>
      <c r="GC77" s="25"/>
      <c r="GD77" s="25"/>
      <c r="GE77" s="25"/>
      <c r="GF77" s="25"/>
      <c r="GG77" s="25"/>
      <c r="GH77" s="25"/>
      <c r="GI77" s="25"/>
      <c r="GJ77" s="25"/>
      <c r="GK77" s="25"/>
      <c r="GL77" s="25"/>
      <c r="GM77" s="25"/>
      <c r="GN77" s="25"/>
      <c r="GO77" s="25"/>
      <c r="GP77" s="25"/>
      <c r="GQ77" s="25"/>
      <c r="GR77" s="25"/>
      <c r="GS77" s="25"/>
      <c r="GT77" s="25"/>
      <c r="GU77" s="25"/>
      <c r="GV77" s="25"/>
      <c r="GW77" s="25"/>
      <c r="GX77" s="25"/>
      <c r="GY77" s="25"/>
      <c r="GZ77" s="25"/>
      <c r="HA77" s="25"/>
      <c r="HB77" s="25"/>
      <c r="HC77" s="55"/>
      <c r="HD77" s="55"/>
      <c r="HE77" s="55"/>
      <c r="HF77" s="55"/>
      <c r="HG77" s="55"/>
      <c r="HH77" s="55"/>
      <c r="HI77" s="55"/>
      <c r="HJ77" s="55"/>
      <c r="HK77" s="55"/>
      <c r="HL77" s="55"/>
      <c r="HM77" s="55"/>
      <c r="HN77" s="55"/>
      <c r="HO77" s="55"/>
      <c r="HP77" s="55"/>
      <c r="HQ77" s="55"/>
      <c r="HR77" s="55"/>
      <c r="HS77" s="55"/>
      <c r="HT77" s="55"/>
      <c r="HU77" s="55"/>
      <c r="HV77" s="55"/>
      <c r="HW77" s="55"/>
      <c r="HX77" s="55"/>
      <c r="HY77" s="55"/>
      <c r="HZ77" s="55"/>
      <c r="IA77" s="55"/>
      <c r="IB77" s="55"/>
      <c r="IC77" s="55"/>
      <c r="ID77" s="55"/>
      <c r="IE77" s="55"/>
      <c r="IF77" s="55"/>
      <c r="IG77" s="55"/>
      <c r="IH77" s="55"/>
      <c r="II77" s="55"/>
      <c r="IJ77" s="55"/>
      <c r="IK77" s="55"/>
      <c r="IL77" s="55"/>
      <c r="IM77" s="55"/>
      <c r="IN77" s="55"/>
      <c r="IO77" s="55"/>
      <c r="IP77" s="55"/>
      <c r="IQ77" s="55"/>
      <c r="IR77" s="55"/>
      <c r="IS77" s="55"/>
      <c r="IT77" s="55"/>
      <c r="IU77" s="55"/>
      <c r="IV77" s="55"/>
      <c r="IW77" s="55"/>
      <c r="IX77" s="55"/>
      <c r="IY77" s="55"/>
      <c r="IZ77" s="55"/>
      <c r="JA77" s="55"/>
      <c r="JB77" s="55"/>
      <c r="JC77" s="55"/>
      <c r="JD77" s="55"/>
      <c r="JE77" s="55"/>
      <c r="JF77" s="55"/>
      <c r="JG77" s="55"/>
      <c r="JH77" s="55"/>
      <c r="JI77" s="55"/>
      <c r="JJ77" s="55"/>
      <c r="JK77" s="25"/>
      <c r="JL77" s="25"/>
      <c r="JM77" s="25"/>
      <c r="JN77" s="25"/>
      <c r="JO77" s="25"/>
      <c r="JP77" s="25"/>
      <c r="JQ77" s="25"/>
      <c r="JR77" s="25"/>
      <c r="JS77" s="25"/>
      <c r="JT77" s="25"/>
      <c r="JU77" s="25"/>
      <c r="JV77" s="25"/>
      <c r="JW77" s="25"/>
      <c r="JX77" s="25"/>
      <c r="JY77" s="25"/>
      <c r="JZ77" s="25"/>
      <c r="KA77" s="25"/>
      <c r="KB77" s="25"/>
      <c r="KC77" s="25"/>
      <c r="KD77" s="25"/>
      <c r="KE77" s="25"/>
      <c r="KF77" s="25"/>
      <c r="KG77" s="25"/>
      <c r="KH77" s="25"/>
      <c r="KI77" s="25"/>
      <c r="KJ77" s="25"/>
      <c r="KK77" s="25"/>
      <c r="KL77" s="25"/>
      <c r="KM77" s="25"/>
      <c r="KN77" s="25"/>
      <c r="KO77" s="25"/>
      <c r="KP77" s="25"/>
      <c r="KQ77" s="25"/>
      <c r="KR77" s="25"/>
      <c r="KS77" s="25"/>
      <c r="KT77" s="25"/>
      <c r="KU77" s="25"/>
      <c r="KV77" s="25"/>
      <c r="KW77" s="25"/>
      <c r="KX77" s="25"/>
      <c r="KY77" s="25"/>
      <c r="KZ77" s="25"/>
      <c r="LA77" s="25"/>
      <c r="LB77" s="25"/>
      <c r="LC77" s="25"/>
      <c r="LD77" s="25"/>
      <c r="LE77" s="25"/>
      <c r="LF77" s="25"/>
      <c r="LG77" s="25"/>
      <c r="LH77" s="25"/>
      <c r="LI77" s="25"/>
      <c r="LJ77" s="25"/>
      <c r="LK77" s="25"/>
      <c r="LL77" s="25"/>
      <c r="LM77" s="25"/>
      <c r="LN77" s="25"/>
      <c r="LO77" s="25"/>
      <c r="LP77" s="25"/>
      <c r="LQ77" s="25"/>
      <c r="LR77" s="25"/>
      <c r="LS77" s="166"/>
      <c r="LT77" s="166"/>
      <c r="LU77" s="166"/>
      <c r="LV77" s="166"/>
      <c r="LW77" s="166"/>
      <c r="LX77" s="166"/>
      <c r="LY77" s="166"/>
      <c r="LZ77" s="166"/>
      <c r="MA77" s="166"/>
      <c r="MB77" s="166"/>
      <c r="MC77" s="166"/>
      <c r="MD77" s="166"/>
      <c r="ME77" s="166"/>
      <c r="MF77" s="166"/>
      <c r="MG77" s="166"/>
      <c r="MH77" s="166"/>
      <c r="MI77" s="166"/>
      <c r="MJ77" s="166"/>
      <c r="MK77" s="166"/>
      <c r="ML77" s="166"/>
      <c r="MM77" s="166"/>
      <c r="MN77" s="166"/>
      <c r="MO77" s="166"/>
      <c r="MP77" s="166"/>
      <c r="MQ77" s="166"/>
      <c r="MR77" s="166"/>
      <c r="MS77" s="166"/>
      <c r="MT77" s="166"/>
      <c r="MU77" s="166"/>
      <c r="MV77" s="166"/>
      <c r="MW77" s="166"/>
      <c r="MX77" s="166"/>
      <c r="MY77" s="166"/>
      <c r="MZ77" s="166"/>
      <c r="NA77" s="166"/>
      <c r="NB77" s="166"/>
      <c r="NC77" s="166"/>
      <c r="ND77" s="166"/>
      <c r="NE77" s="166"/>
      <c r="NF77" s="166"/>
      <c r="NG77" s="166"/>
      <c r="NH77" s="166"/>
      <c r="NI77" s="166"/>
      <c r="NJ77" s="166"/>
      <c r="NK77" s="166"/>
      <c r="NL77" s="166"/>
      <c r="NM77" s="166"/>
      <c r="NN77" s="166"/>
      <c r="NO77" s="166"/>
      <c r="NP77" s="166"/>
      <c r="NQ77" s="166"/>
      <c r="NR77" s="166"/>
      <c r="NS77" s="166"/>
      <c r="NT77" s="166"/>
      <c r="NU77" s="166"/>
      <c r="NV77" s="166"/>
      <c r="NW77" s="166"/>
      <c r="NX77" s="166"/>
      <c r="NY77" s="166"/>
      <c r="NZ77" s="166"/>
      <c r="OA77" s="25"/>
      <c r="OB77" s="25"/>
      <c r="OC77" s="25"/>
      <c r="OD77" s="81"/>
      <c r="OE77" s="25"/>
      <c r="OF77" s="25"/>
      <c r="OG77" s="25"/>
      <c r="OH77" s="25"/>
      <c r="OI77" s="25"/>
      <c r="OJ77" s="25"/>
      <c r="OK77" s="25"/>
      <c r="OL77" s="25"/>
      <c r="OM77" s="25"/>
      <c r="ON77" s="25"/>
      <c r="OO77" s="25"/>
      <c r="OP77" s="25"/>
      <c r="OQ77" s="25"/>
      <c r="OR7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7" s="81"/>
      <c r="OT77" s="25"/>
      <c r="OU77" s="81"/>
      <c r="OV77" s="81"/>
    </row>
    <row r="78" spans="1:412" ht="12.5" x14ac:dyDescent="0.25">
      <c r="A78" s="25">
        <v>59</v>
      </c>
      <c r="B78" s="25" t="b">
        <f>NOT(ISBLANK(SEBBusinessDataTable[[#This Row],[SEBBusinessType]]))</f>
        <v>0</v>
      </c>
      <c r="C78" s="25"/>
      <c r="D78" s="25"/>
      <c r="E78" s="25"/>
      <c r="F78" s="25"/>
      <c r="G78" s="25"/>
      <c r="H78" s="25"/>
      <c r="I78" s="25"/>
      <c r="J78" s="25">
        <f>COUNTIF(SEBBusinessDataTable[[#This Row],[SEBAssociatedFlagApp1]:[SEBAssociatedFlagApp6]],"Yes")</f>
        <v>0</v>
      </c>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5"/>
      <c r="CG78" s="25"/>
      <c r="CH78" s="25"/>
      <c r="CI78" s="25"/>
      <c r="CJ78" s="25"/>
      <c r="CK78" s="25"/>
      <c r="CL78" s="25"/>
      <c r="CM78" s="25"/>
      <c r="CN78" s="25"/>
      <c r="CO78" s="25"/>
      <c r="CP78" s="25"/>
      <c r="CQ78" s="25"/>
      <c r="CR78" s="25"/>
      <c r="CS78" s="25"/>
      <c r="CT78" s="25"/>
      <c r="CU78" s="25"/>
      <c r="CV78" s="25"/>
      <c r="CW78" s="25"/>
      <c r="CX78" s="25"/>
      <c r="CY78" s="25"/>
      <c r="CZ78" s="25"/>
      <c r="DA78" s="25"/>
      <c r="DB78" s="25"/>
      <c r="DC78" s="25"/>
      <c r="DD78" s="25"/>
      <c r="DE78" s="25"/>
      <c r="DF78" s="25"/>
      <c r="DG78" s="25"/>
      <c r="DH78" s="25"/>
      <c r="DI78" s="25"/>
      <c r="DJ78" s="25"/>
      <c r="DK78" s="25"/>
      <c r="DL78" s="25"/>
      <c r="DM78" s="25"/>
      <c r="DN78" s="25"/>
      <c r="DO78" s="55"/>
      <c r="DP78" s="55"/>
      <c r="DQ78" s="55"/>
      <c r="DR78" s="55"/>
      <c r="DS78" s="55"/>
      <c r="DT78" s="55"/>
      <c r="DU78" s="55"/>
      <c r="DV78" s="55"/>
      <c r="DW78" s="55"/>
      <c r="DX78" s="55"/>
      <c r="DY78" s="55"/>
      <c r="DZ78" s="55"/>
      <c r="EA78" s="25"/>
      <c r="EB78" s="25"/>
      <c r="EC78" s="25"/>
      <c r="ED78" s="25"/>
      <c r="EE78" s="25"/>
      <c r="EF78" s="25"/>
      <c r="EG78" s="25"/>
      <c r="EH78" s="25"/>
      <c r="EI78" s="25"/>
      <c r="EJ78" s="25"/>
      <c r="EK78" s="25"/>
      <c r="EL78" s="25"/>
      <c r="EM78" s="25"/>
      <c r="EN78" s="25"/>
      <c r="EO78" s="25"/>
      <c r="EP78" s="25"/>
      <c r="EQ78" s="25"/>
      <c r="ER78" s="25"/>
      <c r="ES78" s="25"/>
      <c r="ET78" s="25"/>
      <c r="EU78" s="25"/>
      <c r="EV78" s="25"/>
      <c r="EW78" s="25"/>
      <c r="EX78" s="25"/>
      <c r="EY78" s="25"/>
      <c r="EZ78" s="25"/>
      <c r="FA78" s="25"/>
      <c r="FB78" s="25"/>
      <c r="FC78" s="25"/>
      <c r="FD78" s="25"/>
      <c r="FE78" s="25"/>
      <c r="FF78" s="25"/>
      <c r="FG78" s="25"/>
      <c r="FH78" s="25"/>
      <c r="FI78" s="25"/>
      <c r="FJ78" s="25"/>
      <c r="FK78" s="25"/>
      <c r="FL78" s="25"/>
      <c r="FM78" s="25"/>
      <c r="FN78" s="25"/>
      <c r="FO78" s="25"/>
      <c r="FP78" s="25"/>
      <c r="FQ78" s="25"/>
      <c r="FR78" s="25"/>
      <c r="FS78" s="25"/>
      <c r="FT78" s="25"/>
      <c r="FU78" s="25"/>
      <c r="FV78" s="25"/>
      <c r="FW78" s="25"/>
      <c r="FX78" s="25"/>
      <c r="FY78" s="25"/>
      <c r="FZ78" s="25"/>
      <c r="GA78" s="25"/>
      <c r="GB78" s="25"/>
      <c r="GC78" s="25"/>
      <c r="GD78" s="25"/>
      <c r="GE78" s="25"/>
      <c r="GF78" s="25"/>
      <c r="GG78" s="25"/>
      <c r="GH78" s="25"/>
      <c r="GI78" s="25"/>
      <c r="GJ78" s="25"/>
      <c r="GK78" s="25"/>
      <c r="GL78" s="25"/>
      <c r="GM78" s="25"/>
      <c r="GN78" s="25"/>
      <c r="GO78" s="25"/>
      <c r="GP78" s="25"/>
      <c r="GQ78" s="25"/>
      <c r="GR78" s="25"/>
      <c r="GS78" s="25"/>
      <c r="GT78" s="25"/>
      <c r="GU78" s="25"/>
      <c r="GV78" s="25"/>
      <c r="GW78" s="25"/>
      <c r="GX78" s="25"/>
      <c r="GY78" s="25"/>
      <c r="GZ78" s="25"/>
      <c r="HA78" s="25"/>
      <c r="HB78" s="25"/>
      <c r="HC78" s="55"/>
      <c r="HD78" s="55"/>
      <c r="HE78" s="55"/>
      <c r="HF78" s="55"/>
      <c r="HG78" s="55"/>
      <c r="HH78" s="55"/>
      <c r="HI78" s="55"/>
      <c r="HJ78" s="55"/>
      <c r="HK78" s="55"/>
      <c r="HL78" s="55"/>
      <c r="HM78" s="55"/>
      <c r="HN78" s="55"/>
      <c r="HO78" s="55"/>
      <c r="HP78" s="55"/>
      <c r="HQ78" s="55"/>
      <c r="HR78" s="55"/>
      <c r="HS78" s="55"/>
      <c r="HT78" s="55"/>
      <c r="HU78" s="55"/>
      <c r="HV78" s="55"/>
      <c r="HW78" s="55"/>
      <c r="HX78" s="55"/>
      <c r="HY78" s="55"/>
      <c r="HZ78" s="55"/>
      <c r="IA78" s="55"/>
      <c r="IB78" s="55"/>
      <c r="IC78" s="55"/>
      <c r="ID78" s="55"/>
      <c r="IE78" s="55"/>
      <c r="IF78" s="55"/>
      <c r="IG78" s="55"/>
      <c r="IH78" s="55"/>
      <c r="II78" s="55"/>
      <c r="IJ78" s="55"/>
      <c r="IK78" s="55"/>
      <c r="IL78" s="55"/>
      <c r="IM78" s="55"/>
      <c r="IN78" s="55"/>
      <c r="IO78" s="55"/>
      <c r="IP78" s="55"/>
      <c r="IQ78" s="55"/>
      <c r="IR78" s="55"/>
      <c r="IS78" s="55"/>
      <c r="IT78" s="55"/>
      <c r="IU78" s="55"/>
      <c r="IV78" s="55"/>
      <c r="IW78" s="55"/>
      <c r="IX78" s="55"/>
      <c r="IY78" s="55"/>
      <c r="IZ78" s="55"/>
      <c r="JA78" s="55"/>
      <c r="JB78" s="55"/>
      <c r="JC78" s="55"/>
      <c r="JD78" s="55"/>
      <c r="JE78" s="55"/>
      <c r="JF78" s="55"/>
      <c r="JG78" s="55"/>
      <c r="JH78" s="55"/>
      <c r="JI78" s="55"/>
      <c r="JJ78" s="55"/>
      <c r="JK78" s="25"/>
      <c r="JL78" s="25"/>
      <c r="JM78" s="25"/>
      <c r="JN78" s="25"/>
      <c r="JO78" s="25"/>
      <c r="JP78" s="25"/>
      <c r="JQ78" s="25"/>
      <c r="JR78" s="25"/>
      <c r="JS78" s="25"/>
      <c r="JT78" s="25"/>
      <c r="JU78" s="25"/>
      <c r="JV78" s="25"/>
      <c r="JW78" s="25"/>
      <c r="JX78" s="25"/>
      <c r="JY78" s="25"/>
      <c r="JZ78" s="25"/>
      <c r="KA78" s="25"/>
      <c r="KB78" s="25"/>
      <c r="KC78" s="25"/>
      <c r="KD78" s="25"/>
      <c r="KE78" s="25"/>
      <c r="KF78" s="25"/>
      <c r="KG78" s="25"/>
      <c r="KH78" s="25"/>
      <c r="KI78" s="25"/>
      <c r="KJ78" s="25"/>
      <c r="KK78" s="25"/>
      <c r="KL78" s="25"/>
      <c r="KM78" s="25"/>
      <c r="KN78" s="25"/>
      <c r="KO78" s="25"/>
      <c r="KP78" s="25"/>
      <c r="KQ78" s="25"/>
      <c r="KR78" s="25"/>
      <c r="KS78" s="25"/>
      <c r="KT78" s="25"/>
      <c r="KU78" s="25"/>
      <c r="KV78" s="25"/>
      <c r="KW78" s="25"/>
      <c r="KX78" s="25"/>
      <c r="KY78" s="25"/>
      <c r="KZ78" s="25"/>
      <c r="LA78" s="25"/>
      <c r="LB78" s="25"/>
      <c r="LC78" s="25"/>
      <c r="LD78" s="25"/>
      <c r="LE78" s="25"/>
      <c r="LF78" s="25"/>
      <c r="LG78" s="25"/>
      <c r="LH78" s="25"/>
      <c r="LI78" s="25"/>
      <c r="LJ78" s="25"/>
      <c r="LK78" s="25"/>
      <c r="LL78" s="25"/>
      <c r="LM78" s="25"/>
      <c r="LN78" s="25"/>
      <c r="LO78" s="25"/>
      <c r="LP78" s="25"/>
      <c r="LQ78" s="25"/>
      <c r="LR78" s="25"/>
      <c r="LS78" s="166"/>
      <c r="LT78" s="166"/>
      <c r="LU78" s="166"/>
      <c r="LV78" s="166"/>
      <c r="LW78" s="166"/>
      <c r="LX78" s="166"/>
      <c r="LY78" s="166"/>
      <c r="LZ78" s="166"/>
      <c r="MA78" s="166"/>
      <c r="MB78" s="166"/>
      <c r="MC78" s="166"/>
      <c r="MD78" s="166"/>
      <c r="ME78" s="166"/>
      <c r="MF78" s="166"/>
      <c r="MG78" s="166"/>
      <c r="MH78" s="166"/>
      <c r="MI78" s="166"/>
      <c r="MJ78" s="166"/>
      <c r="MK78" s="166"/>
      <c r="ML78" s="166"/>
      <c r="MM78" s="166"/>
      <c r="MN78" s="166"/>
      <c r="MO78" s="166"/>
      <c r="MP78" s="166"/>
      <c r="MQ78" s="166"/>
      <c r="MR78" s="166"/>
      <c r="MS78" s="166"/>
      <c r="MT78" s="166"/>
      <c r="MU78" s="166"/>
      <c r="MV78" s="166"/>
      <c r="MW78" s="166"/>
      <c r="MX78" s="166"/>
      <c r="MY78" s="166"/>
      <c r="MZ78" s="166"/>
      <c r="NA78" s="166"/>
      <c r="NB78" s="166"/>
      <c r="NC78" s="166"/>
      <c r="ND78" s="166"/>
      <c r="NE78" s="166"/>
      <c r="NF78" s="166"/>
      <c r="NG78" s="166"/>
      <c r="NH78" s="166"/>
      <c r="NI78" s="166"/>
      <c r="NJ78" s="166"/>
      <c r="NK78" s="166"/>
      <c r="NL78" s="166"/>
      <c r="NM78" s="166"/>
      <c r="NN78" s="166"/>
      <c r="NO78" s="166"/>
      <c r="NP78" s="166"/>
      <c r="NQ78" s="166"/>
      <c r="NR78" s="166"/>
      <c r="NS78" s="166"/>
      <c r="NT78" s="166"/>
      <c r="NU78" s="166"/>
      <c r="NV78" s="166"/>
      <c r="NW78" s="166"/>
      <c r="NX78" s="166"/>
      <c r="NY78" s="166"/>
      <c r="NZ78" s="166"/>
      <c r="OA78" s="25"/>
      <c r="OB78" s="25"/>
      <c r="OC78" s="25"/>
      <c r="OD78" s="81"/>
      <c r="OE78" s="25"/>
      <c r="OF78" s="25"/>
      <c r="OG78" s="25"/>
      <c r="OH78" s="25"/>
      <c r="OI78" s="25"/>
      <c r="OJ78" s="25"/>
      <c r="OK78" s="25"/>
      <c r="OL78" s="25"/>
      <c r="OM78" s="25"/>
      <c r="ON78" s="25"/>
      <c r="OO78" s="25"/>
      <c r="OP78" s="25"/>
      <c r="OQ78" s="25"/>
      <c r="OR7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8" s="81"/>
      <c r="OT78" s="25"/>
      <c r="OU78" s="81"/>
      <c r="OV78" s="81"/>
    </row>
    <row r="79" spans="1:412" ht="12.5" x14ac:dyDescent="0.25">
      <c r="A79" s="25">
        <v>60</v>
      </c>
      <c r="B79" s="25" t="b">
        <f>NOT(ISBLANK(SEBBusinessDataTable[[#This Row],[SEBBusinessType]]))</f>
        <v>0</v>
      </c>
      <c r="C79" s="25"/>
      <c r="D79" s="25"/>
      <c r="E79" s="25"/>
      <c r="F79" s="25"/>
      <c r="G79" s="25"/>
      <c r="H79" s="25"/>
      <c r="I79" s="25"/>
      <c r="J79" s="25">
        <f>COUNTIF(SEBBusinessDataTable[[#This Row],[SEBAssociatedFlagApp1]:[SEBAssociatedFlagApp6]],"Yes")</f>
        <v>0</v>
      </c>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c r="CO79" s="25"/>
      <c r="CP79" s="25"/>
      <c r="CQ79" s="25"/>
      <c r="CR79" s="25"/>
      <c r="CS79" s="25"/>
      <c r="CT79" s="25"/>
      <c r="CU79" s="25"/>
      <c r="CV79" s="25"/>
      <c r="CW79" s="25"/>
      <c r="CX79" s="25"/>
      <c r="CY79" s="25"/>
      <c r="CZ79" s="25"/>
      <c r="DA79" s="25"/>
      <c r="DB79" s="25"/>
      <c r="DC79" s="25"/>
      <c r="DD79" s="25"/>
      <c r="DE79" s="25"/>
      <c r="DF79" s="25"/>
      <c r="DG79" s="25"/>
      <c r="DH79" s="25"/>
      <c r="DI79" s="25"/>
      <c r="DJ79" s="25"/>
      <c r="DK79" s="25"/>
      <c r="DL79" s="25"/>
      <c r="DM79" s="25"/>
      <c r="DN79" s="25"/>
      <c r="DO79" s="55"/>
      <c r="DP79" s="55"/>
      <c r="DQ79" s="55"/>
      <c r="DR79" s="55"/>
      <c r="DS79" s="55"/>
      <c r="DT79" s="55"/>
      <c r="DU79" s="55"/>
      <c r="DV79" s="55"/>
      <c r="DW79" s="55"/>
      <c r="DX79" s="55"/>
      <c r="DY79" s="55"/>
      <c r="DZ79" s="55"/>
      <c r="EA79" s="25"/>
      <c r="EB79" s="25"/>
      <c r="EC79" s="25"/>
      <c r="ED79" s="25"/>
      <c r="EE79" s="25"/>
      <c r="EF79" s="25"/>
      <c r="EG79" s="25"/>
      <c r="EH79" s="25"/>
      <c r="EI79" s="25"/>
      <c r="EJ79" s="25"/>
      <c r="EK79" s="25"/>
      <c r="EL79" s="25"/>
      <c r="EM79" s="25"/>
      <c r="EN79" s="25"/>
      <c r="EO79" s="25"/>
      <c r="EP79" s="25"/>
      <c r="EQ79" s="25"/>
      <c r="ER79" s="25"/>
      <c r="ES79" s="25"/>
      <c r="ET79" s="25"/>
      <c r="EU79" s="25"/>
      <c r="EV79" s="25"/>
      <c r="EW79" s="25"/>
      <c r="EX79" s="25"/>
      <c r="EY79" s="25"/>
      <c r="EZ79" s="25"/>
      <c r="FA79" s="25"/>
      <c r="FB79" s="25"/>
      <c r="FC79" s="25"/>
      <c r="FD79" s="25"/>
      <c r="FE79" s="25"/>
      <c r="FF79" s="25"/>
      <c r="FG79" s="25"/>
      <c r="FH79" s="25"/>
      <c r="FI79" s="25"/>
      <c r="FJ79" s="25"/>
      <c r="FK79" s="25"/>
      <c r="FL79" s="25"/>
      <c r="FM79" s="25"/>
      <c r="FN79" s="25"/>
      <c r="FO79" s="25"/>
      <c r="FP79" s="25"/>
      <c r="FQ79" s="25"/>
      <c r="FR79" s="25"/>
      <c r="FS79" s="25"/>
      <c r="FT79" s="25"/>
      <c r="FU79" s="25"/>
      <c r="FV79" s="25"/>
      <c r="FW79" s="25"/>
      <c r="FX79" s="25"/>
      <c r="FY79" s="25"/>
      <c r="FZ79" s="25"/>
      <c r="GA79" s="25"/>
      <c r="GB79" s="25"/>
      <c r="GC79" s="25"/>
      <c r="GD79" s="25"/>
      <c r="GE79" s="25"/>
      <c r="GF79" s="25"/>
      <c r="GG79" s="25"/>
      <c r="GH79" s="25"/>
      <c r="GI79" s="25"/>
      <c r="GJ79" s="25"/>
      <c r="GK79" s="25"/>
      <c r="GL79" s="25"/>
      <c r="GM79" s="25"/>
      <c r="GN79" s="25"/>
      <c r="GO79" s="25"/>
      <c r="GP79" s="25"/>
      <c r="GQ79" s="25"/>
      <c r="GR79" s="25"/>
      <c r="GS79" s="25"/>
      <c r="GT79" s="25"/>
      <c r="GU79" s="25"/>
      <c r="GV79" s="25"/>
      <c r="GW79" s="25"/>
      <c r="GX79" s="25"/>
      <c r="GY79" s="25"/>
      <c r="GZ79" s="25"/>
      <c r="HA79" s="25"/>
      <c r="HB79" s="25"/>
      <c r="HC79" s="55"/>
      <c r="HD79" s="55"/>
      <c r="HE79" s="55"/>
      <c r="HF79" s="55"/>
      <c r="HG79" s="55"/>
      <c r="HH79" s="55"/>
      <c r="HI79" s="55"/>
      <c r="HJ79" s="55"/>
      <c r="HK79" s="55"/>
      <c r="HL79" s="55"/>
      <c r="HM79" s="55"/>
      <c r="HN79" s="55"/>
      <c r="HO79" s="55"/>
      <c r="HP79" s="55"/>
      <c r="HQ79" s="55"/>
      <c r="HR79" s="55"/>
      <c r="HS79" s="55"/>
      <c r="HT79" s="55"/>
      <c r="HU79" s="55"/>
      <c r="HV79" s="55"/>
      <c r="HW79" s="55"/>
      <c r="HX79" s="55"/>
      <c r="HY79" s="55"/>
      <c r="HZ79" s="55"/>
      <c r="IA79" s="55"/>
      <c r="IB79" s="55"/>
      <c r="IC79" s="55"/>
      <c r="ID79" s="55"/>
      <c r="IE79" s="55"/>
      <c r="IF79" s="55"/>
      <c r="IG79" s="55"/>
      <c r="IH79" s="55"/>
      <c r="II79" s="55"/>
      <c r="IJ79" s="55"/>
      <c r="IK79" s="55"/>
      <c r="IL79" s="55"/>
      <c r="IM79" s="55"/>
      <c r="IN79" s="55"/>
      <c r="IO79" s="55"/>
      <c r="IP79" s="55"/>
      <c r="IQ79" s="55"/>
      <c r="IR79" s="55"/>
      <c r="IS79" s="55"/>
      <c r="IT79" s="55"/>
      <c r="IU79" s="55"/>
      <c r="IV79" s="55"/>
      <c r="IW79" s="55"/>
      <c r="IX79" s="55"/>
      <c r="IY79" s="55"/>
      <c r="IZ79" s="55"/>
      <c r="JA79" s="55"/>
      <c r="JB79" s="55"/>
      <c r="JC79" s="55"/>
      <c r="JD79" s="55"/>
      <c r="JE79" s="55"/>
      <c r="JF79" s="55"/>
      <c r="JG79" s="55"/>
      <c r="JH79" s="55"/>
      <c r="JI79" s="55"/>
      <c r="JJ79" s="55"/>
      <c r="JK79" s="25"/>
      <c r="JL79" s="25"/>
      <c r="JM79" s="25"/>
      <c r="JN79" s="25"/>
      <c r="JO79" s="25"/>
      <c r="JP79" s="25"/>
      <c r="JQ79" s="25"/>
      <c r="JR79" s="25"/>
      <c r="JS79" s="25"/>
      <c r="JT79" s="25"/>
      <c r="JU79" s="25"/>
      <c r="JV79" s="25"/>
      <c r="JW79" s="25"/>
      <c r="JX79" s="25"/>
      <c r="JY79" s="25"/>
      <c r="JZ79" s="25"/>
      <c r="KA79" s="25"/>
      <c r="KB79" s="25"/>
      <c r="KC79" s="25"/>
      <c r="KD79" s="25"/>
      <c r="KE79" s="25"/>
      <c r="KF79" s="25"/>
      <c r="KG79" s="25"/>
      <c r="KH79" s="25"/>
      <c r="KI79" s="25"/>
      <c r="KJ79" s="25"/>
      <c r="KK79" s="25"/>
      <c r="KL79" s="25"/>
      <c r="KM79" s="25"/>
      <c r="KN79" s="25"/>
      <c r="KO79" s="25"/>
      <c r="KP79" s="25"/>
      <c r="KQ79" s="25"/>
      <c r="KR79" s="25"/>
      <c r="KS79" s="25"/>
      <c r="KT79" s="25"/>
      <c r="KU79" s="25"/>
      <c r="KV79" s="25"/>
      <c r="KW79" s="25"/>
      <c r="KX79" s="25"/>
      <c r="KY79" s="25"/>
      <c r="KZ79" s="25"/>
      <c r="LA79" s="25"/>
      <c r="LB79" s="25"/>
      <c r="LC79" s="25"/>
      <c r="LD79" s="25"/>
      <c r="LE79" s="25"/>
      <c r="LF79" s="25"/>
      <c r="LG79" s="25"/>
      <c r="LH79" s="25"/>
      <c r="LI79" s="25"/>
      <c r="LJ79" s="25"/>
      <c r="LK79" s="25"/>
      <c r="LL79" s="25"/>
      <c r="LM79" s="25"/>
      <c r="LN79" s="25"/>
      <c r="LO79" s="25"/>
      <c r="LP79" s="25"/>
      <c r="LQ79" s="25"/>
      <c r="LR79" s="25"/>
      <c r="LS79" s="166"/>
      <c r="LT79" s="166"/>
      <c r="LU79" s="166"/>
      <c r="LV79" s="166"/>
      <c r="LW79" s="166"/>
      <c r="LX79" s="166"/>
      <c r="LY79" s="166"/>
      <c r="LZ79" s="166"/>
      <c r="MA79" s="166"/>
      <c r="MB79" s="166"/>
      <c r="MC79" s="166"/>
      <c r="MD79" s="166"/>
      <c r="ME79" s="166"/>
      <c r="MF79" s="166"/>
      <c r="MG79" s="166"/>
      <c r="MH79" s="166"/>
      <c r="MI79" s="166"/>
      <c r="MJ79" s="166"/>
      <c r="MK79" s="166"/>
      <c r="ML79" s="166"/>
      <c r="MM79" s="166"/>
      <c r="MN79" s="166"/>
      <c r="MO79" s="166"/>
      <c r="MP79" s="166"/>
      <c r="MQ79" s="166"/>
      <c r="MR79" s="166"/>
      <c r="MS79" s="166"/>
      <c r="MT79" s="166"/>
      <c r="MU79" s="166"/>
      <c r="MV79" s="166"/>
      <c r="MW79" s="166"/>
      <c r="MX79" s="166"/>
      <c r="MY79" s="166"/>
      <c r="MZ79" s="166"/>
      <c r="NA79" s="166"/>
      <c r="NB79" s="166"/>
      <c r="NC79" s="166"/>
      <c r="ND79" s="166"/>
      <c r="NE79" s="166"/>
      <c r="NF79" s="166"/>
      <c r="NG79" s="166"/>
      <c r="NH79" s="166"/>
      <c r="NI79" s="166"/>
      <c r="NJ79" s="166"/>
      <c r="NK79" s="166"/>
      <c r="NL79" s="166"/>
      <c r="NM79" s="166"/>
      <c r="NN79" s="166"/>
      <c r="NO79" s="166"/>
      <c r="NP79" s="166"/>
      <c r="NQ79" s="166"/>
      <c r="NR79" s="166"/>
      <c r="NS79" s="166"/>
      <c r="NT79" s="166"/>
      <c r="NU79" s="166"/>
      <c r="NV79" s="166"/>
      <c r="NW79" s="166"/>
      <c r="NX79" s="166"/>
      <c r="NY79" s="166"/>
      <c r="NZ79" s="166"/>
      <c r="OA79" s="25"/>
      <c r="OB79" s="25"/>
      <c r="OC79" s="25"/>
      <c r="OD79" s="81"/>
      <c r="OE79" s="25"/>
      <c r="OF79" s="25"/>
      <c r="OG79" s="25"/>
      <c r="OH79" s="25"/>
      <c r="OI79" s="25"/>
      <c r="OJ79" s="25"/>
      <c r="OK79" s="25"/>
      <c r="OL79" s="25"/>
      <c r="OM79" s="25"/>
      <c r="ON79" s="25"/>
      <c r="OO79" s="25"/>
      <c r="OP79" s="25"/>
      <c r="OQ79" s="25"/>
      <c r="OR7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9" s="81"/>
      <c r="OT79" s="25"/>
      <c r="OU79" s="81"/>
      <c r="OV79" s="81"/>
    </row>
  </sheetData>
  <sheetProtection algorithmName="SHA-512" hashValue="TalUGUT2+0DXcACHponB2f0h/BjJpGpMDhvjLhTfiuB9DDmC93VOIXlcpLK4x8SWUsoUETmiN5IqSm9AK3qchA==" saltValue="yJ7cQdFKwdoV+2M27w6ZWg==" spinCount="100000" sheet="1" objects="1" scenarios="1" selectLockedCells="1"/>
  <phoneticPr fontId="43" type="noConversion"/>
  <pageMargins left="0.25" right="0.25" top="0.75" bottom="0.75" header="0.3" footer="0.3"/>
  <pageSetup paperSize="9" scale="10" fitToWidth="0" fitToHeight="0"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125B8-F17F-4BCC-A739-7935846F838D}">
  <sheetPr codeName="shSERentalIncomeData">
    <tabColor theme="6" tint="-9.9978637043366805E-2"/>
  </sheetPr>
  <dimension ref="A1:Q3"/>
  <sheetViews>
    <sheetView showGridLines="0" showRowColHeaders="0" zoomScaleNormal="100" workbookViewId="0">
      <selection activeCell="A3" sqref="A3"/>
    </sheetView>
  </sheetViews>
  <sheetFormatPr defaultRowHeight="12.75" customHeight="1" x14ac:dyDescent="0.25"/>
  <cols>
    <col min="1" max="1" width="25" bestFit="1" customWidth="1"/>
    <col min="2" max="3" width="20.26953125" bestFit="1" customWidth="1"/>
    <col min="4" max="4" width="19.7265625" bestFit="1" customWidth="1"/>
    <col min="5" max="5" width="23.26953125" bestFit="1" customWidth="1"/>
    <col min="6" max="8" width="19.54296875" customWidth="1"/>
    <col min="9" max="9" width="15.1796875" customWidth="1"/>
    <col min="10" max="10" width="30" bestFit="1" customWidth="1"/>
    <col min="11" max="11" width="30.1796875" bestFit="1" customWidth="1"/>
    <col min="12" max="12" width="26" bestFit="1" customWidth="1"/>
    <col min="13" max="13" width="32.7265625" bestFit="1" customWidth="1"/>
    <col min="14" max="14" width="30.1796875" bestFit="1" customWidth="1"/>
    <col min="15" max="15" width="30.26953125" bestFit="1" customWidth="1"/>
    <col min="16" max="17" width="32.81640625" bestFit="1" customWidth="1"/>
  </cols>
  <sheetData>
    <row r="1" spans="1:17" ht="12.5" x14ac:dyDescent="0.25">
      <c r="A1" s="25" t="s">
        <v>942</v>
      </c>
      <c r="B1" s="25"/>
      <c r="C1" s="25"/>
      <c r="D1" s="25"/>
      <c r="E1" s="25"/>
      <c r="F1" s="25"/>
      <c r="G1" s="25"/>
      <c r="H1" s="25"/>
      <c r="I1" s="25"/>
      <c r="J1" s="25"/>
      <c r="K1" s="25"/>
      <c r="L1" s="25"/>
      <c r="M1" s="25"/>
      <c r="N1" s="25"/>
      <c r="O1" s="25"/>
      <c r="P1" s="25"/>
    </row>
    <row r="2" spans="1:17" ht="12.5" x14ac:dyDescent="0.25">
      <c r="A2" s="25" t="s">
        <v>943</v>
      </c>
      <c r="B2" s="25" t="s">
        <v>960</v>
      </c>
      <c r="C2" s="25" t="s">
        <v>964</v>
      </c>
      <c r="D2" s="25" t="s">
        <v>965</v>
      </c>
      <c r="E2" s="25" t="s">
        <v>966</v>
      </c>
      <c r="F2" s="25" t="s">
        <v>1437</v>
      </c>
      <c r="G2" s="25" t="s">
        <v>1438</v>
      </c>
      <c r="H2" s="25" t="s">
        <v>1556</v>
      </c>
      <c r="I2" s="25" t="s">
        <v>967</v>
      </c>
      <c r="J2" s="25" t="s">
        <v>968</v>
      </c>
      <c r="K2" s="25" t="s">
        <v>969</v>
      </c>
      <c r="L2" s="25" t="s">
        <v>970</v>
      </c>
      <c r="M2" s="25" t="s">
        <v>971</v>
      </c>
      <c r="N2" s="25" t="s">
        <v>972</v>
      </c>
      <c r="O2" s="25" t="s">
        <v>973</v>
      </c>
      <c r="P2" s="25" t="s">
        <v>974</v>
      </c>
      <c r="Q2" s="25" t="s">
        <v>975</v>
      </c>
    </row>
    <row r="3" spans="1:17" ht="12.75" customHeight="1" x14ac:dyDescent="0.25">
      <c r="A3" s="25"/>
      <c r="B3" s="25"/>
      <c r="C3" s="508"/>
      <c r="D3" s="25"/>
      <c r="E3" s="1398"/>
      <c r="F3" s="25"/>
      <c r="G3" s="25"/>
      <c r="H3" s="25"/>
      <c r="I3" s="25"/>
      <c r="J3" s="25"/>
      <c r="K3" s="25"/>
      <c r="L3" s="508"/>
      <c r="M3" s="508"/>
      <c r="N3" s="508"/>
      <c r="O3" s="25"/>
      <c r="P3" s="508"/>
      <c r="Q3" s="508"/>
    </row>
  </sheetData>
  <sheetProtection selectLockedCells="1"/>
  <pageMargins left="0.25" right="0.25" top="0.75" bottom="0.75" header="0.3" footer="0.3"/>
  <pageSetup paperSize="9" scale="23" fitToWidth="0"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E5A85-5F8A-45C8-B683-032C906029E2}">
  <sheetPr codeName="shSEBusinessLiabilityData">
    <tabColor theme="6"/>
  </sheetPr>
  <dimension ref="A1:O3"/>
  <sheetViews>
    <sheetView showGridLines="0" showRowColHeaders="0" zoomScaleNormal="100" workbookViewId="0">
      <selection activeCell="A3" sqref="A3"/>
    </sheetView>
  </sheetViews>
  <sheetFormatPr defaultRowHeight="12.75" customHeight="1" x14ac:dyDescent="0.25"/>
  <cols>
    <col min="1" max="1" width="19.453125" bestFit="1" customWidth="1"/>
    <col min="2" max="2" width="18.81640625" bestFit="1" customWidth="1"/>
    <col min="3" max="3" width="19.54296875" bestFit="1" customWidth="1"/>
    <col min="4" max="4" width="14.453125" bestFit="1" customWidth="1"/>
    <col min="5" max="5" width="11.54296875" bestFit="1" customWidth="1"/>
    <col min="6" max="6" width="18" bestFit="1" customWidth="1"/>
    <col min="7" max="7" width="30.453125" bestFit="1" customWidth="1"/>
    <col min="8" max="8" width="17.7265625" bestFit="1" customWidth="1"/>
    <col min="9" max="9" width="25.81640625" bestFit="1" customWidth="1"/>
    <col min="10" max="10" width="29.7265625" bestFit="1" customWidth="1"/>
    <col min="11" max="11" width="21.81640625" bestFit="1" customWidth="1"/>
    <col min="12" max="12" width="33" bestFit="1" customWidth="1"/>
    <col min="13" max="13" width="27.453125" bestFit="1" customWidth="1"/>
    <col min="14" max="14" width="30.54296875" bestFit="1" customWidth="1"/>
  </cols>
  <sheetData>
    <row r="1" spans="1:15" ht="12.5" x14ac:dyDescent="0.25">
      <c r="A1" s="25" t="s">
        <v>940</v>
      </c>
      <c r="B1" s="612"/>
      <c r="C1" s="613"/>
      <c r="D1" s="613"/>
      <c r="E1" s="613"/>
      <c r="F1" s="613"/>
      <c r="G1" s="613"/>
      <c r="H1" s="613"/>
      <c r="I1" s="613"/>
      <c r="J1" s="613"/>
      <c r="K1" s="613"/>
      <c r="L1" s="613"/>
      <c r="M1" s="613"/>
      <c r="N1" s="613"/>
    </row>
    <row r="2" spans="1:15" ht="12.5" x14ac:dyDescent="0.25">
      <c r="A2" s="25" t="s">
        <v>941</v>
      </c>
      <c r="B2" s="81" t="s">
        <v>988</v>
      </c>
      <c r="C2" s="81" t="s">
        <v>989</v>
      </c>
      <c r="D2" s="25" t="s">
        <v>990</v>
      </c>
      <c r="E2" s="25" t="s">
        <v>991</v>
      </c>
      <c r="F2" s="25" t="s">
        <v>992</v>
      </c>
      <c r="G2" s="25" t="s">
        <v>993</v>
      </c>
      <c r="H2" s="25" t="s">
        <v>994</v>
      </c>
      <c r="I2" s="25" t="s">
        <v>995</v>
      </c>
      <c r="J2" s="25" t="s">
        <v>996</v>
      </c>
      <c r="K2" s="81" t="s">
        <v>2217</v>
      </c>
      <c r="L2" s="25" t="s">
        <v>997</v>
      </c>
      <c r="M2" s="25" t="s">
        <v>998</v>
      </c>
      <c r="N2" s="25" t="s">
        <v>999</v>
      </c>
      <c r="O2" s="25" t="s">
        <v>1000</v>
      </c>
    </row>
    <row r="3" spans="1:15" ht="12.75" customHeight="1" x14ac:dyDescent="0.25">
      <c r="A3" s="25"/>
      <c r="B3" s="25"/>
      <c r="C3" s="25"/>
      <c r="D3" s="508"/>
      <c r="E3" s="508"/>
      <c r="F3" s="55"/>
      <c r="G3" s="1202"/>
      <c r="H3" s="508"/>
      <c r="I3" s="508"/>
      <c r="J3" s="25"/>
      <c r="K3" s="25"/>
      <c r="L3" s="55"/>
      <c r="M3" s="508"/>
      <c r="N3" s="508"/>
      <c r="O3" s="508"/>
    </row>
  </sheetData>
  <sheetProtection selectLockedCells="1"/>
  <pageMargins left="0.25" right="0.25" top="0.75" bottom="0.75" header="0.3" footer="0.3"/>
  <pageSetup paperSize="9" scale="31" fitToWidth="0" fitToHeight="0"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xpenseCalculation">
    <tabColor rgb="FF007460"/>
  </sheetPr>
  <dimension ref="A1:AA352"/>
  <sheetViews>
    <sheetView showGridLines="0" showRowColHeaders="0" zoomScaleNormal="100" workbookViewId="0">
      <selection activeCell="W13" sqref="W13"/>
    </sheetView>
  </sheetViews>
  <sheetFormatPr defaultColWidth="9.1796875" defaultRowHeight="12.75" customHeight="1" x14ac:dyDescent="0.25"/>
  <cols>
    <col min="1" max="1" width="5.453125" customWidth="1"/>
    <col min="2" max="2" width="24.1796875" customWidth="1"/>
    <col min="3" max="3" width="18.7265625" customWidth="1"/>
    <col min="4" max="4" width="11" customWidth="1"/>
    <col min="5" max="5" width="22.81640625" customWidth="1"/>
    <col min="6" max="21" width="18.26953125" customWidth="1"/>
    <col min="22" max="22" width="20.26953125" bestFit="1" customWidth="1"/>
    <col min="23" max="23" width="23" bestFit="1" customWidth="1"/>
    <col min="24" max="24" width="18.26953125" customWidth="1"/>
    <col min="25" max="25" width="20.1796875" customWidth="1"/>
    <col min="26" max="27" width="18.26953125" customWidth="1"/>
    <col min="28" max="32" width="9.1796875" customWidth="1"/>
    <col min="41" max="41" width="9.1796875" customWidth="1"/>
  </cols>
  <sheetData>
    <row r="1" spans="1:27" ht="12.5" x14ac:dyDescent="0.25">
      <c r="A1" s="32"/>
      <c r="B1" s="32"/>
      <c r="C1" s="32"/>
      <c r="D1" s="32"/>
      <c r="E1" s="32"/>
      <c r="F1" s="32"/>
      <c r="G1" s="32"/>
      <c r="H1" s="32"/>
      <c r="I1" s="32"/>
      <c r="J1" s="32"/>
      <c r="K1" s="32"/>
      <c r="L1" s="32"/>
      <c r="M1" s="32"/>
      <c r="N1" s="32"/>
      <c r="O1" s="32"/>
      <c r="P1" s="32"/>
      <c r="Q1" s="32"/>
      <c r="R1" s="32"/>
      <c r="S1" s="32"/>
      <c r="T1" s="32"/>
      <c r="U1" s="32"/>
      <c r="V1" s="32"/>
      <c r="W1" s="32"/>
      <c r="X1" s="32"/>
      <c r="Y1" s="32"/>
      <c r="Z1" s="32"/>
      <c r="AA1" s="32"/>
    </row>
    <row r="2" spans="1:27" ht="20" x14ac:dyDescent="0.4">
      <c r="A2" s="32"/>
      <c r="B2" s="61" t="s">
        <v>212</v>
      </c>
      <c r="C2" s="32"/>
      <c r="D2" s="62" t="s">
        <v>2110</v>
      </c>
      <c r="E2" s="58"/>
      <c r="F2" s="32"/>
      <c r="G2" s="32"/>
      <c r="H2" s="32"/>
      <c r="I2" s="32"/>
      <c r="J2" s="32"/>
      <c r="K2" s="58"/>
      <c r="L2" s="32"/>
      <c r="M2" s="32"/>
      <c r="N2" s="32"/>
      <c r="O2" s="32"/>
      <c r="P2" s="32"/>
      <c r="Q2" s="32"/>
      <c r="R2" s="32"/>
      <c r="S2" s="32"/>
      <c r="T2" s="32"/>
      <c r="U2" s="32"/>
      <c r="V2" s="32"/>
      <c r="W2" s="32"/>
      <c r="X2" s="32"/>
      <c r="Y2" s="32"/>
      <c r="Z2" s="32"/>
      <c r="AA2" s="32"/>
    </row>
    <row r="3" spans="1:27" ht="12.5" x14ac:dyDescent="0.25">
      <c r="A3" s="32"/>
      <c r="B3" s="32"/>
      <c r="C3" s="32"/>
      <c r="D3" s="32"/>
      <c r="E3" s="32"/>
      <c r="F3" s="32"/>
      <c r="G3" s="32"/>
      <c r="H3" s="32"/>
      <c r="I3" s="32"/>
      <c r="J3" s="32"/>
      <c r="K3" s="59"/>
      <c r="L3" s="32"/>
      <c r="M3" s="32"/>
      <c r="N3" s="32"/>
      <c r="O3" s="32"/>
      <c r="P3" s="32"/>
      <c r="Q3" s="32"/>
      <c r="R3" s="32"/>
      <c r="S3" s="32"/>
      <c r="T3" s="32"/>
      <c r="U3" s="32"/>
      <c r="V3" s="32"/>
      <c r="W3" s="32"/>
      <c r="X3" s="32"/>
      <c r="Y3" s="32"/>
      <c r="Z3" s="32"/>
      <c r="AA3" s="32"/>
    </row>
    <row r="4" spans="1:27" ht="12.5" x14ac:dyDescent="0.25">
      <c r="A4" s="32"/>
      <c r="B4" s="60"/>
      <c r="C4" s="32"/>
      <c r="D4" s="32"/>
      <c r="E4" s="32"/>
      <c r="F4" s="32"/>
      <c r="G4" s="32"/>
      <c r="H4" s="32"/>
      <c r="I4" s="59"/>
      <c r="J4" s="59"/>
      <c r="K4" s="59"/>
      <c r="L4" s="32"/>
      <c r="M4" s="32"/>
      <c r="N4" s="32"/>
      <c r="O4" s="32"/>
      <c r="P4" s="32"/>
      <c r="Q4" s="32"/>
      <c r="R4" s="32"/>
      <c r="S4" s="32"/>
      <c r="T4" s="32"/>
      <c r="U4" s="32"/>
      <c r="V4" s="32"/>
      <c r="W4" s="32"/>
      <c r="X4" s="32"/>
      <c r="Y4" s="32"/>
      <c r="Z4" s="32"/>
      <c r="AA4" s="32"/>
    </row>
    <row r="5" spans="1:27" ht="13" x14ac:dyDescent="0.3">
      <c r="A5" s="32"/>
      <c r="B5" s="1460" t="s">
        <v>210</v>
      </c>
      <c r="C5" s="1460"/>
      <c r="D5" s="32"/>
      <c r="E5" s="242" t="s">
        <v>336</v>
      </c>
      <c r="F5" s="243"/>
      <c r="G5" s="243"/>
      <c r="H5" s="243"/>
      <c r="I5" s="243"/>
      <c r="J5" s="243"/>
      <c r="K5" s="244"/>
      <c r="L5" s="244"/>
      <c r="M5" s="243"/>
      <c r="N5" s="243"/>
      <c r="O5" s="243"/>
      <c r="P5" s="243"/>
      <c r="Q5" s="243"/>
      <c r="R5" s="243"/>
      <c r="S5" s="245"/>
      <c r="T5" s="246"/>
      <c r="U5" s="246"/>
      <c r="V5" s="246"/>
      <c r="W5" s="246"/>
      <c r="X5" s="246"/>
      <c r="Y5" s="246"/>
      <c r="Z5" s="246"/>
      <c r="AA5" s="246"/>
    </row>
    <row r="6" spans="1:27" ht="12.5" x14ac:dyDescent="0.25">
      <c r="A6" s="32"/>
      <c r="B6" s="32"/>
      <c r="C6" s="32"/>
      <c r="D6" s="32"/>
      <c r="E6" s="32"/>
      <c r="F6" s="32"/>
      <c r="G6" s="32"/>
      <c r="H6" s="32"/>
      <c r="I6" s="32"/>
      <c r="J6" s="32"/>
      <c r="K6" s="32"/>
      <c r="L6" s="32"/>
      <c r="M6" s="32"/>
      <c r="N6" s="32"/>
      <c r="O6" s="32"/>
      <c r="P6" s="32"/>
      <c r="Q6" s="32"/>
      <c r="R6" s="32"/>
      <c r="S6" s="32"/>
      <c r="T6" s="32"/>
      <c r="U6" s="32"/>
      <c r="V6" s="32"/>
      <c r="W6" s="32"/>
      <c r="X6" s="32"/>
      <c r="Y6" s="32"/>
      <c r="Z6" s="32"/>
      <c r="AA6" s="32"/>
    </row>
    <row r="7" spans="1:27" ht="15" customHeight="1" x14ac:dyDescent="0.25">
      <c r="A7" s="32"/>
      <c r="B7" s="247" t="s">
        <v>211</v>
      </c>
      <c r="C7" s="248" t="s">
        <v>15</v>
      </c>
      <c r="D7" s="33"/>
      <c r="E7" s="254"/>
      <c r="F7" s="248" t="s">
        <v>215</v>
      </c>
      <c r="G7" s="248" t="s">
        <v>31</v>
      </c>
      <c r="H7" s="248" t="s">
        <v>184</v>
      </c>
      <c r="I7" s="248" t="s">
        <v>206</v>
      </c>
      <c r="J7" s="248" t="s">
        <v>331</v>
      </c>
      <c r="K7" s="248" t="s">
        <v>205</v>
      </c>
      <c r="L7" s="248" t="s">
        <v>204</v>
      </c>
      <c r="M7" s="248" t="s">
        <v>230</v>
      </c>
      <c r="N7" s="255" t="s">
        <v>203</v>
      </c>
      <c r="O7" s="255" t="s">
        <v>209</v>
      </c>
      <c r="P7" s="255" t="s">
        <v>24</v>
      </c>
      <c r="Q7" s="255" t="s">
        <v>32</v>
      </c>
      <c r="R7" s="255" t="s">
        <v>202</v>
      </c>
      <c r="S7" s="255" t="s">
        <v>39</v>
      </c>
      <c r="T7" s="255" t="s">
        <v>40</v>
      </c>
      <c r="U7" s="255" t="s">
        <v>41</v>
      </c>
      <c r="V7" s="255" t="s">
        <v>784</v>
      </c>
      <c r="W7" s="255" t="s">
        <v>785</v>
      </c>
      <c r="X7" s="255" t="s">
        <v>333</v>
      </c>
      <c r="Y7" s="255" t="s">
        <v>337</v>
      </c>
      <c r="Z7" s="255" t="s">
        <v>334</v>
      </c>
      <c r="AA7" s="255" t="s">
        <v>335</v>
      </c>
    </row>
    <row r="8" spans="1:27" ht="13" x14ac:dyDescent="0.3">
      <c r="A8" s="32"/>
      <c r="B8" s="249" t="s">
        <v>64</v>
      </c>
      <c r="C8" s="565">
        <v>45704</v>
      </c>
      <c r="D8" s="34"/>
      <c r="E8" s="253" t="s">
        <v>33</v>
      </c>
      <c r="F8" s="251">
        <f>SCAApp1Name</f>
        <v>0</v>
      </c>
      <c r="G8" s="251">
        <f>SCAApp1Marital</f>
        <v>0</v>
      </c>
      <c r="H8" s="251">
        <f>SCAApp1Spouse</f>
        <v>0</v>
      </c>
      <c r="I8" s="251" t="str">
        <f>IF(OR(SCAApp1Spouse="",SCAApp1Spouse="Non-applicant"),"No","Yes")</f>
        <v>No</v>
      </c>
      <c r="J8" s="251">
        <f>SCAApp1SameHousehold</f>
        <v>0</v>
      </c>
      <c r="K8" s="252" t="s">
        <v>332</v>
      </c>
      <c r="L8" s="252">
        <f>ICApp1IncomeHEM</f>
        <v>300000</v>
      </c>
      <c r="M8" s="252">
        <f>MAX(0,SUMIF($K$8:$K$13,K8,$L$8:$L$13))</f>
        <v>300000</v>
      </c>
      <c r="N8" s="252" t="str">
        <f>IF(SCAApp1Postcode="","",IF(IFERROR(VLOOKUP(INT(SCAApp1Postcode),PostcodeRemote[],2,FALSE),1)=1,"ROA","Remote"))</f>
        <v/>
      </c>
      <c r="O8" s="252" t="str">
        <f>IF(AND(G8="Married / De facto",I8="Yes",J8="Yes"),$C$12,IF(AND(G8="Married / De facto",OR(I8="No",I8=0)),$C$13,$C$11))</f>
        <v>Single</v>
      </c>
      <c r="P8" s="252">
        <f>IF(SCAApp1Dependants&gt;=10,"10+",SCAApp1Dependants)</f>
        <v>0</v>
      </c>
      <c r="Q8" s="252" t="str">
        <f>VLOOKUP(M8,HEMIncomeBandTable[],2,TRUE)</f>
        <v>L</v>
      </c>
      <c r="R8" s="1165" t="str">
        <f>N8&amp;"_"&amp;O8&amp;"_"&amp;P8</f>
        <v>_Single_0</v>
      </c>
      <c r="S8" s="252">
        <f>IF(Q8="O", VLOOKUP(R8,$E$20:$W$91,19,FALSE),0)</f>
        <v>0</v>
      </c>
      <c r="T8" s="252">
        <f>IF(Q8="O", VLOOKUP(R8,$E$20:$V$91,16,FALSE),0)</f>
        <v>0</v>
      </c>
      <c r="U8" s="252">
        <f>IF(Q8="O", ROUNDUP((M8/HEMMidpoint)*S8+T8,0), 0)</f>
        <v>0</v>
      </c>
      <c r="V8" s="252">
        <f>IFERROR(IF(U8&gt;0, U8, VLOOKUP(R8,$E$17:$U$91,MATCH(Q8,$E$17:$V$17,0),FALSE)),0)</f>
        <v>0</v>
      </c>
      <c r="W8" s="252">
        <f>ROUNDUP(V8*ICApp1HouseholdIncomeApportioningRatio,2)</f>
        <v>0</v>
      </c>
      <c r="X8" s="252">
        <f>SUMIF($K$8:$K$13,K8,$W$8:$W$13)</f>
        <v>0</v>
      </c>
      <c r="Y8" s="252">
        <f>SCAApp1CompCDE</f>
        <v>0</v>
      </c>
      <c r="Z8" s="252">
        <f t="shared" ref="Z8:Z13" si="0">SUMIF($K$8:$K$13,K8,$Y$8:$Y$13)</f>
        <v>0</v>
      </c>
      <c r="AA8" s="252">
        <f>IF(X8&gt;Z8,W8,Y8)</f>
        <v>0</v>
      </c>
    </row>
    <row r="9" spans="1:27" ht="12.75" customHeight="1" x14ac:dyDescent="0.3">
      <c r="A9" s="32"/>
      <c r="B9" s="249" t="s">
        <v>207</v>
      </c>
      <c r="C9" s="276">
        <f>AVERAGE(B33-1,B32-1)</f>
        <v>515000</v>
      </c>
      <c r="D9" s="34"/>
      <c r="E9" s="253" t="s">
        <v>34</v>
      </c>
      <c r="F9" s="251">
        <f>SCAApp2Name</f>
        <v>0</v>
      </c>
      <c r="G9" s="251">
        <f>SCAApp2Marital</f>
        <v>0</v>
      </c>
      <c r="H9" s="251">
        <f>SCAApp2Spouse</f>
        <v>0</v>
      </c>
      <c r="I9" s="251" t="str">
        <f>IF(OR(SCAApp2Spouse="",SCAApp2Spouse="Non-applicant"),"No","Yes")</f>
        <v>No</v>
      </c>
      <c r="J9" s="251">
        <f>SCAApp2SameHousehold</f>
        <v>0</v>
      </c>
      <c r="K9" s="252" t="str">
        <f>IF(AND(G9="Married / De facto",H9=$F$8,J9="Yes"),"H1","H2")</f>
        <v>H2</v>
      </c>
      <c r="L9" s="252">
        <f>ICApp2IncomeHEM</f>
        <v>0</v>
      </c>
      <c r="M9" s="252">
        <f t="shared" ref="M9:M12" si="1">MAX(0,SUMIF($K$8:$K$13,K9,$L$8:$L$13))</f>
        <v>0</v>
      </c>
      <c r="N9" s="252" t="str">
        <f>IF(SCAApp2Postcode="","",IF(IFERROR(VLOOKUP(INT(SCAApp2Postcode),PostcodeRemote[],2,FALSE),1)=1,"ROA","Remote"))</f>
        <v/>
      </c>
      <c r="O9" s="252" t="str">
        <f t="shared" ref="O9:O13" si="2">IF(AND(G9="Married / De facto",I9="Yes",J9="Yes"),$C$12,IF(AND(G9="Married / De facto",OR(I9="No",I9=0)),$C$13,$C$11))</f>
        <v>Single</v>
      </c>
      <c r="P9" s="252">
        <f>IF(SCAApp2Dependants&gt;=10,"10+",SCAApp2Dependants)</f>
        <v>0</v>
      </c>
      <c r="Q9" s="252" t="str">
        <f>VLOOKUP(M9,HEMIncomeBandTable[],2,TRUE)</f>
        <v>A</v>
      </c>
      <c r="R9" s="1165" t="str">
        <f t="shared" ref="R9:R13" si="3">N9&amp;"_"&amp;O9&amp;"_"&amp;P9</f>
        <v>_Single_0</v>
      </c>
      <c r="S9" s="252">
        <f>IF(Q9="O", VLOOKUP(R9,$E$20:$W$91,19,FALSE),0)</f>
        <v>0</v>
      </c>
      <c r="T9" s="252">
        <f t="shared" ref="T9:T13" si="4">IF(Q9="O", VLOOKUP(R9,$E$20:$V$91,16,FALSE),0)</f>
        <v>0</v>
      </c>
      <c r="U9" s="252">
        <f t="shared" ref="U9:U13" si="5">IF(Q9="O", ROUNDUP((M9/HEMMidpoint)*S9+T9,0), 0)</f>
        <v>0</v>
      </c>
      <c r="V9" s="252">
        <f t="shared" ref="V9:V13" si="6">IFERROR(IF(U9&gt;0, U9, VLOOKUP(R9,$E$17:$U$91,MATCH(Q9,$E$17:$V$17,0),FALSE)),0)</f>
        <v>0</v>
      </c>
      <c r="W9" s="252">
        <f>ROUNDUP(V9*ICApp2HouseholdIncomeApportioningRatio,2)</f>
        <v>0</v>
      </c>
      <c r="X9" s="252">
        <f t="shared" ref="X9:X13" si="7">SUMIF($K$8:$K$13,K9,$W$8:$W$13)</f>
        <v>0</v>
      </c>
      <c r="Y9" s="252">
        <f>SCAApp2CompCDE</f>
        <v>0</v>
      </c>
      <c r="Z9" s="252">
        <f t="shared" si="0"/>
        <v>0</v>
      </c>
      <c r="AA9" s="252">
        <f t="shared" ref="AA9:AA13" si="8">IF(X9&gt;Z9,W9,Y9)</f>
        <v>0</v>
      </c>
    </row>
    <row r="10" spans="1:27" ht="13" x14ac:dyDescent="0.3">
      <c r="A10" s="32"/>
      <c r="B10" s="249"/>
      <c r="C10" s="250"/>
      <c r="D10" s="34"/>
      <c r="E10" s="253" t="s">
        <v>35</v>
      </c>
      <c r="F10" s="251">
        <f>SCAApp3Name</f>
        <v>0</v>
      </c>
      <c r="G10" s="251">
        <f>SCAApp3Marital</f>
        <v>0</v>
      </c>
      <c r="H10" s="251">
        <f>SCAApp3Spouse</f>
        <v>0</v>
      </c>
      <c r="I10" s="251" t="str">
        <f>IF(OR(SCAApp3Spouse="",SCAApp3Spouse="Non-applicant"),"No","Yes")</f>
        <v>No</v>
      </c>
      <c r="J10" s="251">
        <f>SCAApp3SameHousehold</f>
        <v>0</v>
      </c>
      <c r="K10" s="252" t="str">
        <f>IF(AND(G10="Married / De facto",H10=$F$8,J10="Yes"),"H1",IF(AND(G10="Married / De facto",H10=$F$9,J10="Yes"),"H2","H3"))</f>
        <v>H3</v>
      </c>
      <c r="L10" s="252">
        <f>ICApp3IncomeHEM</f>
        <v>0</v>
      </c>
      <c r="M10" s="252">
        <f t="shared" si="1"/>
        <v>0</v>
      </c>
      <c r="N10" s="252" t="str">
        <f>IF(SCAApp3Postcode="","",IF(IFERROR(VLOOKUP(INT(SCAApp3Postcode),PostcodeRemote[],2,FALSE),1)=1,"ROA","Remote"))</f>
        <v/>
      </c>
      <c r="O10" s="252" t="str">
        <f t="shared" si="2"/>
        <v>Single</v>
      </c>
      <c r="P10" s="252">
        <f>IF(SCAApp3Dependants&gt;=10,"10+",SCAApp3Dependants)</f>
        <v>0</v>
      </c>
      <c r="Q10" s="252" t="str">
        <f>VLOOKUP(M10,HEMIncomeBandTable[],2,TRUE)</f>
        <v>A</v>
      </c>
      <c r="R10" s="1165" t="str">
        <f t="shared" si="3"/>
        <v>_Single_0</v>
      </c>
      <c r="S10" s="252">
        <f t="shared" ref="S10:S13" si="9">IF(Q10="O", VLOOKUP(R10,$E$20:$W$91,19,FALSE),0)</f>
        <v>0</v>
      </c>
      <c r="T10" s="252">
        <f t="shared" si="4"/>
        <v>0</v>
      </c>
      <c r="U10" s="252">
        <f t="shared" si="5"/>
        <v>0</v>
      </c>
      <c r="V10" s="252">
        <f t="shared" si="6"/>
        <v>0</v>
      </c>
      <c r="W10" s="252">
        <f>ROUNDUP(V10*ICApp3HouseholdIncomeApportioningRatio,2)</f>
        <v>0</v>
      </c>
      <c r="X10" s="252">
        <f t="shared" si="7"/>
        <v>0</v>
      </c>
      <c r="Y10" s="252">
        <f>SCAApp3CompCDE</f>
        <v>0</v>
      </c>
      <c r="Z10" s="252">
        <f t="shared" si="0"/>
        <v>0</v>
      </c>
      <c r="AA10" s="252">
        <f t="shared" si="8"/>
        <v>0</v>
      </c>
    </row>
    <row r="11" spans="1:27" ht="13" x14ac:dyDescent="0.3">
      <c r="A11" s="32"/>
      <c r="B11" s="1462" t="s">
        <v>209</v>
      </c>
      <c r="C11" s="250" t="s">
        <v>28</v>
      </c>
      <c r="D11" s="34"/>
      <c r="E11" s="253" t="s">
        <v>36</v>
      </c>
      <c r="F11" s="251">
        <f>SCAApp4Name</f>
        <v>0</v>
      </c>
      <c r="G11" s="251">
        <f>SCAApp4Marital</f>
        <v>0</v>
      </c>
      <c r="H11" s="251">
        <f>SCAApp4Spouse</f>
        <v>0</v>
      </c>
      <c r="I11" s="251" t="str">
        <f>IF(OR(SCAApp4Spouse="",SCAApp4Spouse="Non-applicant"),"No","Yes")</f>
        <v>No</v>
      </c>
      <c r="J11" s="251">
        <f>SCAApp4SameHousehold</f>
        <v>0</v>
      </c>
      <c r="K11" s="252" t="str">
        <f>IF(AND(G11="Married / De facto",H11=$F$8,J11="Yes"),"H1",IF(AND(G11="Married / De facto",H11=$F$9,J11="Yes"),"H2",IF(AND(G11="Married / De facto",H11=$F$10,J11="Yes"),"H3","H4")))</f>
        <v>H4</v>
      </c>
      <c r="L11" s="252">
        <f>ICApp4IncomeHEM</f>
        <v>0</v>
      </c>
      <c r="M11" s="252">
        <f t="shared" si="1"/>
        <v>0</v>
      </c>
      <c r="N11" s="252" t="str">
        <f>IF(SCAApp4Postcode="","",IF(IFERROR(VLOOKUP(INT(SCAApp4Postcode),PostcodeRemote[],2,FALSE),1)=1,"ROA","Remote"))</f>
        <v/>
      </c>
      <c r="O11" s="252" t="str">
        <f t="shared" si="2"/>
        <v>Single</v>
      </c>
      <c r="P11" s="252">
        <f>IF(SCAApp4Dependants&gt;=10,"10+",SCAApp4Dependants)</f>
        <v>0</v>
      </c>
      <c r="Q11" s="252" t="str">
        <f>VLOOKUP(M11,HEMIncomeBandTable[],2,TRUE)</f>
        <v>A</v>
      </c>
      <c r="R11" s="1165" t="str">
        <f t="shared" si="3"/>
        <v>_Single_0</v>
      </c>
      <c r="S11" s="252">
        <f t="shared" si="9"/>
        <v>0</v>
      </c>
      <c r="T11" s="252">
        <f t="shared" si="4"/>
        <v>0</v>
      </c>
      <c r="U11" s="252">
        <f t="shared" si="5"/>
        <v>0</v>
      </c>
      <c r="V11" s="252">
        <f t="shared" si="6"/>
        <v>0</v>
      </c>
      <c r="W11" s="252">
        <f>ROUNDUP(V11*ICApp4HouseholdIncomeApportioningRatio,2)</f>
        <v>0</v>
      </c>
      <c r="X11" s="252">
        <f t="shared" si="7"/>
        <v>0</v>
      </c>
      <c r="Y11" s="252">
        <f>SCAApp4CompCDE</f>
        <v>0</v>
      </c>
      <c r="Z11" s="252">
        <f t="shared" si="0"/>
        <v>0</v>
      </c>
      <c r="AA11" s="252">
        <f t="shared" si="8"/>
        <v>0</v>
      </c>
    </row>
    <row r="12" spans="1:27" ht="13" x14ac:dyDescent="0.3">
      <c r="A12" s="32"/>
      <c r="B12" s="1462"/>
      <c r="C12" s="250" t="s">
        <v>29</v>
      </c>
      <c r="D12" s="34"/>
      <c r="E12" s="253" t="s">
        <v>37</v>
      </c>
      <c r="F12" s="251">
        <f>SCAApp5Name</f>
        <v>0</v>
      </c>
      <c r="G12" s="251">
        <f>SCAApp5Marital</f>
        <v>0</v>
      </c>
      <c r="H12" s="251">
        <f>SCAApp5Spouse</f>
        <v>0</v>
      </c>
      <c r="I12" s="251" t="str">
        <f>IF(OR(SCAApp5Spouse="",SCAApp5Spouse="Non-applicant"),"No","Yes")</f>
        <v>No</v>
      </c>
      <c r="J12" s="251">
        <f>SCAApp5SameHousehold</f>
        <v>0</v>
      </c>
      <c r="K12" s="252" t="str">
        <f>IF(AND(G12="Married / De facto",H12=$F$8,J12="Yes"),"H1",IF(AND(G12="Married / De facto",H12=$F$9,J12="Yes"),"H2",IF(AND(G12="Married / De facto",H12=$F$10,J12="Yes"),"H3",IF(AND(G12="Married / De facto",H12=$F$11,J12="Yes"),"H4","H5"))))</f>
        <v>H5</v>
      </c>
      <c r="L12" s="252">
        <f>ICApp5IncomeHEM</f>
        <v>0</v>
      </c>
      <c r="M12" s="252">
        <f t="shared" si="1"/>
        <v>0</v>
      </c>
      <c r="N12" s="252" t="str">
        <f>IF(SCAApp5Postcode="","",IF(IFERROR(VLOOKUP(INT(SCAApp5Postcode),PostcodeRemote[],2,FALSE),1)=1,"ROA","Remote"))</f>
        <v/>
      </c>
      <c r="O12" s="252" t="str">
        <f t="shared" si="2"/>
        <v>Single</v>
      </c>
      <c r="P12" s="252">
        <f>IF(SCAApp5Dependants&gt;=10,"10+",SCAApp5Dependants)</f>
        <v>0</v>
      </c>
      <c r="Q12" s="252" t="str">
        <f>VLOOKUP(M12,HEMIncomeBandTable[],2,TRUE)</f>
        <v>A</v>
      </c>
      <c r="R12" s="1165" t="str">
        <f t="shared" si="3"/>
        <v>_Single_0</v>
      </c>
      <c r="S12" s="252">
        <f t="shared" si="9"/>
        <v>0</v>
      </c>
      <c r="T12" s="252">
        <f t="shared" si="4"/>
        <v>0</v>
      </c>
      <c r="U12" s="252">
        <f t="shared" si="5"/>
        <v>0</v>
      </c>
      <c r="V12" s="252">
        <f t="shared" si="6"/>
        <v>0</v>
      </c>
      <c r="W12" s="252">
        <f>ROUNDUP(V12*ICApp5HouseholdIncomeApportioningRatio,2)</f>
        <v>0</v>
      </c>
      <c r="X12" s="252">
        <f t="shared" si="7"/>
        <v>0</v>
      </c>
      <c r="Y12" s="252">
        <f>SCAApp5CompCDE</f>
        <v>0</v>
      </c>
      <c r="Z12" s="252">
        <f t="shared" si="0"/>
        <v>0</v>
      </c>
      <c r="AA12" s="252">
        <f t="shared" si="8"/>
        <v>0</v>
      </c>
    </row>
    <row r="13" spans="1:27" ht="13" x14ac:dyDescent="0.3">
      <c r="A13" s="32"/>
      <c r="B13" s="1462"/>
      <c r="C13" s="250" t="s">
        <v>30</v>
      </c>
      <c r="D13" s="34"/>
      <c r="E13" s="253" t="s">
        <v>38</v>
      </c>
      <c r="F13" s="251">
        <f>SCAApp6Name</f>
        <v>0</v>
      </c>
      <c r="G13" s="251">
        <f>SCAApp6Marital</f>
        <v>0</v>
      </c>
      <c r="H13" s="251">
        <f>SCAApp6Spouse</f>
        <v>0</v>
      </c>
      <c r="I13" s="251" t="str">
        <f>IF(OR(SCAApp6Spouse="",SCAApp6Spouse="Non-applicant"),"No","Yes")</f>
        <v>No</v>
      </c>
      <c r="J13" s="251">
        <f>SCAApp6SameHousehold</f>
        <v>0</v>
      </c>
      <c r="K13" s="252" t="str">
        <f>IF(AND(G13="Married / De facto",H13=$F$8,J13="Yes"),"H1",IF(AND(G13="Married / De facto",H13=$F$9,J13="Yes"),"H2",IF(AND(G13="Married / De facto",H13=$F$10,J13="Yes"),"H3",IF(AND(G13="Married / De facto",H13=$F$11,J13="Yes"),"H4",IF(AND(G13="Married / De facto",H13=$F$12,J13="Yes"),"H5","H6")))))</f>
        <v>H6</v>
      </c>
      <c r="L13" s="252">
        <f>ICApp6IncomeHEM</f>
        <v>0</v>
      </c>
      <c r="M13" s="252">
        <f>MAX(0,SUMIF($K$8:$K$13,K13,$L$8:$L$13))</f>
        <v>0</v>
      </c>
      <c r="N13" s="252" t="str">
        <f>IF(SCAApp6Postcode="","",IF(IFERROR(VLOOKUP(INT(SCAApp6Postcode),PostcodeRemote[],2,FALSE),1)=1,"ROA","Remote"))</f>
        <v/>
      </c>
      <c r="O13" s="252" t="str">
        <f t="shared" si="2"/>
        <v>Single</v>
      </c>
      <c r="P13" s="252">
        <f>IF(SCAApp6Dependants&gt;=10,"10+",SCAApp6Dependants)</f>
        <v>0</v>
      </c>
      <c r="Q13" s="252" t="str">
        <f>VLOOKUP(M13,HEMIncomeBandTable[],2,TRUE)</f>
        <v>A</v>
      </c>
      <c r="R13" s="1165" t="str">
        <f t="shared" si="3"/>
        <v>_Single_0</v>
      </c>
      <c r="S13" s="252">
        <f t="shared" si="9"/>
        <v>0</v>
      </c>
      <c r="T13" s="252">
        <f t="shared" si="4"/>
        <v>0</v>
      </c>
      <c r="U13" s="252">
        <f t="shared" si="5"/>
        <v>0</v>
      </c>
      <c r="V13" s="252">
        <f t="shared" si="6"/>
        <v>0</v>
      </c>
      <c r="W13" s="252">
        <f>ROUNDUP(V13*ICApp6HouseholdIncomeApportioningRatio,2)</f>
        <v>0</v>
      </c>
      <c r="X13" s="252">
        <f t="shared" si="7"/>
        <v>0</v>
      </c>
      <c r="Y13" s="252">
        <f>SCAApp6CompCDE</f>
        <v>0</v>
      </c>
      <c r="Z13" s="252">
        <f t="shared" si="0"/>
        <v>0</v>
      </c>
      <c r="AA13" s="252">
        <f t="shared" si="8"/>
        <v>0</v>
      </c>
    </row>
    <row r="14" spans="1:27" ht="12.5" x14ac:dyDescent="0.25">
      <c r="A14" s="32"/>
      <c r="B14" s="32"/>
      <c r="C14" s="32"/>
      <c r="D14" s="34"/>
      <c r="E14" s="32"/>
      <c r="F14" s="32"/>
      <c r="G14" s="32"/>
      <c r="H14" s="32"/>
      <c r="I14" s="32"/>
      <c r="J14" s="32"/>
      <c r="K14" s="32"/>
      <c r="L14" s="32"/>
      <c r="M14" s="32"/>
      <c r="N14" s="32"/>
      <c r="O14" s="32"/>
      <c r="P14" s="32"/>
      <c r="Q14" s="32"/>
      <c r="R14" s="32"/>
      <c r="S14" s="32"/>
      <c r="T14" s="32"/>
      <c r="U14" s="32"/>
      <c r="V14" s="32"/>
      <c r="W14" s="32"/>
      <c r="X14" s="32"/>
      <c r="Y14" s="32"/>
      <c r="Z14" s="32"/>
      <c r="AA14" s="32"/>
    </row>
    <row r="15" spans="1:27" ht="12.5" x14ac:dyDescent="0.25">
      <c r="A15" s="32"/>
      <c r="B15" s="32"/>
      <c r="C15" s="32"/>
      <c r="D15" s="34"/>
      <c r="E15" s="32"/>
      <c r="F15" s="32"/>
      <c r="G15" s="32"/>
      <c r="H15" s="32"/>
      <c r="I15" s="32"/>
      <c r="J15" s="32"/>
      <c r="K15" s="32"/>
      <c r="L15" s="32"/>
      <c r="M15" s="32"/>
      <c r="N15" s="32"/>
      <c r="O15" s="32"/>
      <c r="P15" s="32"/>
      <c r="Q15" s="32"/>
      <c r="R15" s="32"/>
      <c r="S15" s="32"/>
      <c r="T15" s="32"/>
      <c r="U15" s="32"/>
      <c r="V15" s="32"/>
      <c r="W15" s="32"/>
      <c r="X15" s="32"/>
      <c r="Y15" s="32"/>
      <c r="Z15" s="32"/>
      <c r="AA15" s="32"/>
    </row>
    <row r="16" spans="1:27" ht="13" x14ac:dyDescent="0.3">
      <c r="A16" s="32"/>
      <c r="B16" s="1460" t="s">
        <v>201</v>
      </c>
      <c r="C16" s="1460"/>
      <c r="D16" s="34"/>
      <c r="E16" s="256" t="s">
        <v>208</v>
      </c>
      <c r="F16" s="257"/>
      <c r="G16" s="257"/>
      <c r="H16" s="257"/>
      <c r="I16" s="257"/>
      <c r="J16" s="257"/>
      <c r="K16" s="257"/>
      <c r="L16" s="257"/>
      <c r="M16" s="257"/>
      <c r="N16" s="257"/>
      <c r="O16" s="257"/>
      <c r="P16" s="257"/>
      <c r="Q16" s="257"/>
      <c r="R16" s="257"/>
      <c r="S16" s="257"/>
      <c r="T16" s="257"/>
      <c r="U16" s="257"/>
      <c r="V16" s="257"/>
      <c r="W16" s="258"/>
      <c r="X16" s="32"/>
      <c r="Y16" s="32"/>
      <c r="Z16" s="32"/>
      <c r="AA16" s="32"/>
    </row>
    <row r="17" spans="1:27" ht="13" x14ac:dyDescent="0.25">
      <c r="A17" s="32"/>
      <c r="D17" s="34"/>
      <c r="E17" s="32"/>
      <c r="F17" s="32"/>
      <c r="G17" s="32"/>
      <c r="H17" s="1164" t="s">
        <v>72</v>
      </c>
      <c r="I17" s="1164" t="s">
        <v>75</v>
      </c>
      <c r="J17" s="1164" t="s">
        <v>78</v>
      </c>
      <c r="K17" s="1164" t="s">
        <v>81</v>
      </c>
      <c r="L17" s="1164" t="s">
        <v>84</v>
      </c>
      <c r="M17" s="1164" t="s">
        <v>87</v>
      </c>
      <c r="N17" s="1164" t="s">
        <v>90</v>
      </c>
      <c r="O17" s="1164" t="s">
        <v>93</v>
      </c>
      <c r="P17" s="1164" t="s">
        <v>96</v>
      </c>
      <c r="Q17" s="1164" t="s">
        <v>99</v>
      </c>
      <c r="R17" s="1164" t="s">
        <v>102</v>
      </c>
      <c r="S17" s="1164" t="s">
        <v>105</v>
      </c>
      <c r="T17" s="1164" t="s">
        <v>108</v>
      </c>
      <c r="U17" s="1164" t="s">
        <v>111</v>
      </c>
      <c r="V17" s="1164" t="s">
        <v>114</v>
      </c>
      <c r="W17" s="32"/>
      <c r="X17" s="32"/>
      <c r="Y17" s="32"/>
      <c r="Z17" s="32"/>
      <c r="AA17" s="32"/>
    </row>
    <row r="18" spans="1:27" ht="13" x14ac:dyDescent="0.3">
      <c r="A18" s="32"/>
      <c r="B18" s="277" t="s">
        <v>16</v>
      </c>
      <c r="C18" s="278" t="s">
        <v>69</v>
      </c>
      <c r="D18" s="34"/>
      <c r="E18" s="259"/>
      <c r="F18" s="1463" t="s">
        <v>65</v>
      </c>
      <c r="G18" s="1463"/>
      <c r="H18" s="260" t="s">
        <v>66</v>
      </c>
      <c r="I18" s="260"/>
      <c r="J18" s="260"/>
      <c r="K18" s="260"/>
      <c r="L18" s="260"/>
      <c r="M18" s="260"/>
      <c r="N18" s="260"/>
      <c r="O18" s="260"/>
      <c r="P18" s="260"/>
      <c r="Q18" s="260"/>
      <c r="R18" s="260"/>
      <c r="S18" s="260"/>
      <c r="T18" s="260"/>
      <c r="U18" s="260"/>
      <c r="V18" s="260"/>
      <c r="W18" s="251"/>
      <c r="X18" s="32"/>
      <c r="Y18" s="32"/>
      <c r="Z18" s="32"/>
      <c r="AA18" s="32"/>
    </row>
    <row r="19" spans="1:27" ht="13" x14ac:dyDescent="0.3">
      <c r="A19" s="32"/>
      <c r="B19" s="279">
        <v>0</v>
      </c>
      <c r="C19" s="280" t="s">
        <v>72</v>
      </c>
      <c r="D19" s="34"/>
      <c r="E19" s="260" t="s">
        <v>14</v>
      </c>
      <c r="F19" s="1461" t="s">
        <v>225</v>
      </c>
      <c r="G19" s="1461"/>
      <c r="H19" s="261" t="s">
        <v>2362</v>
      </c>
      <c r="I19" s="261" t="s">
        <v>2363</v>
      </c>
      <c r="J19" s="261" t="s">
        <v>2411</v>
      </c>
      <c r="K19" s="261" t="s">
        <v>2412</v>
      </c>
      <c r="L19" s="261" t="s">
        <v>2364</v>
      </c>
      <c r="M19" s="261" t="s">
        <v>2365</v>
      </c>
      <c r="N19" s="261" t="s">
        <v>2366</v>
      </c>
      <c r="O19" s="261" t="s">
        <v>2413</v>
      </c>
      <c r="P19" s="261" t="s">
        <v>2414</v>
      </c>
      <c r="Q19" s="261" t="s">
        <v>2367</v>
      </c>
      <c r="R19" s="261" t="s">
        <v>2415</v>
      </c>
      <c r="S19" s="261" t="s">
        <v>2416</v>
      </c>
      <c r="T19" s="261" t="s">
        <v>2417</v>
      </c>
      <c r="U19" s="261" t="s">
        <v>2418</v>
      </c>
      <c r="V19" s="261" t="s">
        <v>2419</v>
      </c>
      <c r="W19" s="262" t="s">
        <v>39</v>
      </c>
      <c r="X19" s="32"/>
      <c r="Y19" s="32"/>
      <c r="Z19" s="32"/>
      <c r="AA19" s="32"/>
    </row>
    <row r="20" spans="1:27" ht="12.75" customHeight="1" x14ac:dyDescent="0.25">
      <c r="A20" s="32"/>
      <c r="B20" s="279">
        <f>INT(MID(I19,2,FIND(" ",I19)-2))</f>
        <v>26001</v>
      </c>
      <c r="C20" s="280" t="s">
        <v>75</v>
      </c>
      <c r="D20" s="34"/>
      <c r="E20" s="263" t="s">
        <v>67</v>
      </c>
      <c r="F20" s="1458" t="s">
        <v>68</v>
      </c>
      <c r="G20" s="1458"/>
      <c r="H20" s="264">
        <v>1323</v>
      </c>
      <c r="I20" s="264">
        <v>1395</v>
      </c>
      <c r="J20" s="264">
        <v>1458</v>
      </c>
      <c r="K20" s="264">
        <v>1580</v>
      </c>
      <c r="L20" s="264">
        <v>1751</v>
      </c>
      <c r="M20" s="264">
        <v>2007</v>
      </c>
      <c r="N20" s="264">
        <v>2384</v>
      </c>
      <c r="O20" s="264">
        <v>2707</v>
      </c>
      <c r="P20" s="264">
        <v>3059</v>
      </c>
      <c r="Q20" s="264">
        <v>3264</v>
      </c>
      <c r="R20" s="264">
        <v>3545</v>
      </c>
      <c r="S20" s="264">
        <v>4037</v>
      </c>
      <c r="T20" s="264">
        <v>4775</v>
      </c>
      <c r="U20" s="264">
        <v>4867</v>
      </c>
      <c r="V20" s="1459" t="s">
        <v>233</v>
      </c>
      <c r="W20" s="265">
        <f>U20-T20</f>
        <v>92</v>
      </c>
      <c r="X20" s="32"/>
      <c r="Y20" s="32"/>
      <c r="Z20" s="32"/>
      <c r="AA20" s="32"/>
    </row>
    <row r="21" spans="1:27" ht="12.5" x14ac:dyDescent="0.25">
      <c r="A21" s="32"/>
      <c r="B21" s="279">
        <f>INT(MID(J19,2,FIND(" ",J19)-2))</f>
        <v>39001</v>
      </c>
      <c r="C21" s="280" t="s">
        <v>78</v>
      </c>
      <c r="D21" s="34"/>
      <c r="E21" s="263" t="s">
        <v>70</v>
      </c>
      <c r="F21" s="1458" t="s">
        <v>71</v>
      </c>
      <c r="G21" s="1458"/>
      <c r="H21" s="264">
        <v>1845</v>
      </c>
      <c r="I21" s="264">
        <v>1845</v>
      </c>
      <c r="J21" s="264">
        <v>1909</v>
      </c>
      <c r="K21" s="264">
        <v>2033</v>
      </c>
      <c r="L21" s="264">
        <v>2208</v>
      </c>
      <c r="M21" s="264">
        <v>2469</v>
      </c>
      <c r="N21" s="264">
        <v>2854</v>
      </c>
      <c r="O21" s="264">
        <v>3184</v>
      </c>
      <c r="P21" s="264">
        <v>3543</v>
      </c>
      <c r="Q21" s="264">
        <v>3752</v>
      </c>
      <c r="R21" s="264">
        <v>4038</v>
      </c>
      <c r="S21" s="264">
        <v>4541</v>
      </c>
      <c r="T21" s="264">
        <v>5293</v>
      </c>
      <c r="U21" s="264">
        <v>5387</v>
      </c>
      <c r="V21" s="1459"/>
      <c r="W21" s="265">
        <f t="shared" ref="W21:W41" si="10">U21-T21</f>
        <v>94</v>
      </c>
      <c r="X21" s="32"/>
      <c r="Y21" s="32"/>
      <c r="Z21" s="32"/>
      <c r="AA21" s="32"/>
    </row>
    <row r="22" spans="1:27" ht="12.5" x14ac:dyDescent="0.25">
      <c r="A22" s="32"/>
      <c r="B22" s="279">
        <f>INT(MID(K19,2,FIND(" ",K19)-2))</f>
        <v>52001</v>
      </c>
      <c r="C22" s="280" t="s">
        <v>81</v>
      </c>
      <c r="D22" s="34"/>
      <c r="E22" s="263" t="s">
        <v>73</v>
      </c>
      <c r="F22" s="1458" t="s">
        <v>74</v>
      </c>
      <c r="G22" s="1458"/>
      <c r="H22" s="264">
        <v>2341</v>
      </c>
      <c r="I22" s="264">
        <v>2341</v>
      </c>
      <c r="J22" s="264">
        <v>2405</v>
      </c>
      <c r="K22" s="264">
        <v>2529</v>
      </c>
      <c r="L22" s="264">
        <v>2703</v>
      </c>
      <c r="M22" s="264">
        <v>2963</v>
      </c>
      <c r="N22" s="264">
        <v>3346</v>
      </c>
      <c r="O22" s="264">
        <v>3674</v>
      </c>
      <c r="P22" s="264">
        <v>4031</v>
      </c>
      <c r="Q22" s="264">
        <v>4240</v>
      </c>
      <c r="R22" s="264">
        <v>4525</v>
      </c>
      <c r="S22" s="264">
        <v>5025</v>
      </c>
      <c r="T22" s="264">
        <v>5774</v>
      </c>
      <c r="U22" s="264">
        <v>5867</v>
      </c>
      <c r="V22" s="1459"/>
      <c r="W22" s="265">
        <f t="shared" si="10"/>
        <v>93</v>
      </c>
      <c r="X22" s="32"/>
      <c r="Y22" s="32"/>
      <c r="Z22" s="32"/>
      <c r="AA22" s="32"/>
    </row>
    <row r="23" spans="1:27" ht="12.5" x14ac:dyDescent="0.25">
      <c r="A23" s="32"/>
      <c r="B23" s="279">
        <f>INT(MID(L19,2,FIND(" ",L19)-2))</f>
        <v>64001</v>
      </c>
      <c r="C23" s="280" t="s">
        <v>84</v>
      </c>
      <c r="D23" s="34"/>
      <c r="E23" s="263" t="s">
        <v>76</v>
      </c>
      <c r="F23" s="1458" t="s">
        <v>77</v>
      </c>
      <c r="G23" s="1458"/>
      <c r="H23" s="264">
        <v>2901</v>
      </c>
      <c r="I23" s="264">
        <v>2901</v>
      </c>
      <c r="J23" s="264">
        <v>2901</v>
      </c>
      <c r="K23" s="264">
        <v>3025</v>
      </c>
      <c r="L23" s="264">
        <v>3197</v>
      </c>
      <c r="M23" s="264">
        <v>3457</v>
      </c>
      <c r="N23" s="264">
        <v>3837</v>
      </c>
      <c r="O23" s="264">
        <v>4164</v>
      </c>
      <c r="P23" s="264">
        <v>4520</v>
      </c>
      <c r="Q23" s="264">
        <v>4727</v>
      </c>
      <c r="R23" s="264">
        <v>5011</v>
      </c>
      <c r="S23" s="264">
        <v>5509</v>
      </c>
      <c r="T23" s="264">
        <v>6255</v>
      </c>
      <c r="U23" s="264">
        <v>6347</v>
      </c>
      <c r="V23" s="1459"/>
      <c r="W23" s="265">
        <f t="shared" si="10"/>
        <v>92</v>
      </c>
      <c r="X23" s="32"/>
      <c r="Y23" s="32"/>
      <c r="Z23" s="32"/>
      <c r="AA23" s="32"/>
    </row>
    <row r="24" spans="1:27" ht="12.5" x14ac:dyDescent="0.25">
      <c r="A24" s="32"/>
      <c r="B24" s="279">
        <f>INT(MID(M19,2,FIND(" ",M19)-2))</f>
        <v>77001</v>
      </c>
      <c r="C24" s="280" t="s">
        <v>87</v>
      </c>
      <c r="D24" s="34"/>
      <c r="E24" s="263" t="s">
        <v>79</v>
      </c>
      <c r="F24" s="1458" t="s">
        <v>80</v>
      </c>
      <c r="G24" s="1458"/>
      <c r="H24" s="264">
        <v>3381</v>
      </c>
      <c r="I24" s="264">
        <v>3381</v>
      </c>
      <c r="J24" s="264">
        <v>3381</v>
      </c>
      <c r="K24" s="264">
        <v>3505</v>
      </c>
      <c r="L24" s="264">
        <v>3677</v>
      </c>
      <c r="M24" s="264">
        <v>3937</v>
      </c>
      <c r="N24" s="264">
        <v>4317</v>
      </c>
      <c r="O24" s="264">
        <v>4644</v>
      </c>
      <c r="P24" s="264">
        <v>5000</v>
      </c>
      <c r="Q24" s="264">
        <v>5207</v>
      </c>
      <c r="R24" s="264">
        <v>5491</v>
      </c>
      <c r="S24" s="264">
        <v>5989</v>
      </c>
      <c r="T24" s="264">
        <v>6735</v>
      </c>
      <c r="U24" s="264">
        <v>6827</v>
      </c>
      <c r="V24" s="1459"/>
      <c r="W24" s="265">
        <f t="shared" si="10"/>
        <v>92</v>
      </c>
      <c r="X24" s="32"/>
      <c r="Y24" s="32"/>
      <c r="Z24" s="32"/>
      <c r="AA24" s="32"/>
    </row>
    <row r="25" spans="1:27" ht="12.5" x14ac:dyDescent="0.25">
      <c r="A25" s="32"/>
      <c r="B25" s="279">
        <f>INT(MID(N19,2,FIND(" ",N19)-2))</f>
        <v>103001</v>
      </c>
      <c r="C25" s="280" t="s">
        <v>90</v>
      </c>
      <c r="D25" s="34"/>
      <c r="E25" s="263" t="s">
        <v>82</v>
      </c>
      <c r="F25" s="1458" t="s">
        <v>83</v>
      </c>
      <c r="G25" s="1458"/>
      <c r="H25" s="264">
        <v>3861</v>
      </c>
      <c r="I25" s="264">
        <v>3861</v>
      </c>
      <c r="J25" s="264">
        <v>3861</v>
      </c>
      <c r="K25" s="264">
        <v>3985</v>
      </c>
      <c r="L25" s="264">
        <v>4157</v>
      </c>
      <c r="M25" s="264">
        <v>4417</v>
      </c>
      <c r="N25" s="264">
        <v>4797</v>
      </c>
      <c r="O25" s="264">
        <v>5124</v>
      </c>
      <c r="P25" s="264">
        <v>5480</v>
      </c>
      <c r="Q25" s="264">
        <v>5687</v>
      </c>
      <c r="R25" s="264">
        <v>5971</v>
      </c>
      <c r="S25" s="264">
        <v>6469</v>
      </c>
      <c r="T25" s="264">
        <v>7215</v>
      </c>
      <c r="U25" s="264">
        <v>7307</v>
      </c>
      <c r="V25" s="1459"/>
      <c r="W25" s="265">
        <f t="shared" si="10"/>
        <v>92</v>
      </c>
      <c r="X25" s="32"/>
      <c r="Y25" s="32"/>
      <c r="Z25" s="32"/>
      <c r="AA25" s="32"/>
    </row>
    <row r="26" spans="1:27" ht="12.5" x14ac:dyDescent="0.25">
      <c r="A26" s="32"/>
      <c r="B26" s="279">
        <f>INT(MID(O19,2,FIND(" ",O19)-2))</f>
        <v>129001</v>
      </c>
      <c r="C26" s="280" t="s">
        <v>93</v>
      </c>
      <c r="D26" s="34"/>
      <c r="E26" s="263" t="s">
        <v>85</v>
      </c>
      <c r="F26" s="1458" t="s">
        <v>86</v>
      </c>
      <c r="G26" s="1458"/>
      <c r="H26" s="264">
        <v>4341</v>
      </c>
      <c r="I26" s="264">
        <v>4341</v>
      </c>
      <c r="J26" s="264">
        <v>4341</v>
      </c>
      <c r="K26" s="264">
        <v>4465</v>
      </c>
      <c r="L26" s="264">
        <v>4637</v>
      </c>
      <c r="M26" s="264">
        <v>4897</v>
      </c>
      <c r="N26" s="264">
        <v>5277</v>
      </c>
      <c r="O26" s="264">
        <v>5604</v>
      </c>
      <c r="P26" s="264">
        <v>5960</v>
      </c>
      <c r="Q26" s="264">
        <v>6167</v>
      </c>
      <c r="R26" s="264">
        <v>6451</v>
      </c>
      <c r="S26" s="264">
        <v>6949</v>
      </c>
      <c r="T26" s="264">
        <v>7695</v>
      </c>
      <c r="U26" s="264">
        <v>7787</v>
      </c>
      <c r="V26" s="1459"/>
      <c r="W26" s="265">
        <f t="shared" si="10"/>
        <v>92</v>
      </c>
      <c r="X26" s="32"/>
      <c r="Y26" s="32"/>
      <c r="Z26" s="32"/>
      <c r="AA26" s="32"/>
    </row>
    <row r="27" spans="1:27" ht="12.5" x14ac:dyDescent="0.25">
      <c r="A27" s="32"/>
      <c r="B27" s="279">
        <f>INT(MID(P19,2,FIND(" ",P19)-2))</f>
        <v>155001</v>
      </c>
      <c r="C27" s="280" t="s">
        <v>96</v>
      </c>
      <c r="D27" s="34"/>
      <c r="E27" s="263" t="s">
        <v>88</v>
      </c>
      <c r="F27" s="1458" t="s">
        <v>89</v>
      </c>
      <c r="G27" s="1458"/>
      <c r="H27" s="264">
        <v>4821</v>
      </c>
      <c r="I27" s="264">
        <v>4821</v>
      </c>
      <c r="J27" s="264">
        <v>4821</v>
      </c>
      <c r="K27" s="264">
        <v>4945</v>
      </c>
      <c r="L27" s="264">
        <v>5117</v>
      </c>
      <c r="M27" s="264">
        <v>5377</v>
      </c>
      <c r="N27" s="264">
        <v>5757</v>
      </c>
      <c r="O27" s="264">
        <v>6084</v>
      </c>
      <c r="P27" s="264">
        <v>6440</v>
      </c>
      <c r="Q27" s="264">
        <v>6647</v>
      </c>
      <c r="R27" s="264">
        <v>6931</v>
      </c>
      <c r="S27" s="264">
        <v>7429</v>
      </c>
      <c r="T27" s="264">
        <v>8175</v>
      </c>
      <c r="U27" s="264">
        <v>8267</v>
      </c>
      <c r="V27" s="1459"/>
      <c r="W27" s="265">
        <f t="shared" si="10"/>
        <v>92</v>
      </c>
      <c r="X27" s="32"/>
      <c r="Y27" s="32"/>
      <c r="Z27" s="32"/>
      <c r="AA27" s="32"/>
    </row>
    <row r="28" spans="1:27" ht="12.5" x14ac:dyDescent="0.25">
      <c r="A28" s="32"/>
      <c r="B28" s="279">
        <f>INT(MID(Q19,2,FIND(" ",Q19)-2))</f>
        <v>180001</v>
      </c>
      <c r="C28" s="280" t="s">
        <v>99</v>
      </c>
      <c r="D28" s="34"/>
      <c r="E28" s="263" t="s">
        <v>91</v>
      </c>
      <c r="F28" s="1458" t="s">
        <v>92</v>
      </c>
      <c r="G28" s="1458"/>
      <c r="H28" s="264">
        <v>5301</v>
      </c>
      <c r="I28" s="264">
        <v>5301</v>
      </c>
      <c r="J28" s="264">
        <v>5301</v>
      </c>
      <c r="K28" s="264">
        <v>5425</v>
      </c>
      <c r="L28" s="264">
        <v>5597</v>
      </c>
      <c r="M28" s="264">
        <v>5857</v>
      </c>
      <c r="N28" s="264">
        <v>6237</v>
      </c>
      <c r="O28" s="264">
        <v>6564</v>
      </c>
      <c r="P28" s="264">
        <v>6920</v>
      </c>
      <c r="Q28" s="264">
        <v>7127</v>
      </c>
      <c r="R28" s="264">
        <v>7411</v>
      </c>
      <c r="S28" s="264">
        <v>7909</v>
      </c>
      <c r="T28" s="264">
        <v>8655</v>
      </c>
      <c r="U28" s="264">
        <v>8747</v>
      </c>
      <c r="V28" s="1459"/>
      <c r="W28" s="265">
        <f t="shared" si="10"/>
        <v>92</v>
      </c>
      <c r="X28" s="32"/>
      <c r="Y28" s="32"/>
      <c r="Z28" s="32"/>
      <c r="AA28" s="32"/>
    </row>
    <row r="29" spans="1:27" ht="12.5" x14ac:dyDescent="0.25">
      <c r="A29" s="32"/>
      <c r="B29" s="279">
        <f>INT(MID(R19,2,FIND(" ",R19)-2))</f>
        <v>206001</v>
      </c>
      <c r="C29" s="280" t="s">
        <v>102</v>
      </c>
      <c r="D29" s="34"/>
      <c r="E29" s="263" t="s">
        <v>94</v>
      </c>
      <c r="F29" s="1458" t="s">
        <v>95</v>
      </c>
      <c r="G29" s="1458"/>
      <c r="H29" s="264">
        <v>5781</v>
      </c>
      <c r="I29" s="264">
        <v>5781</v>
      </c>
      <c r="J29" s="264">
        <v>5781</v>
      </c>
      <c r="K29" s="264">
        <v>5905</v>
      </c>
      <c r="L29" s="264">
        <v>6077</v>
      </c>
      <c r="M29" s="264">
        <v>6337</v>
      </c>
      <c r="N29" s="264">
        <v>6717</v>
      </c>
      <c r="O29" s="264">
        <v>7044</v>
      </c>
      <c r="P29" s="264">
        <v>7400</v>
      </c>
      <c r="Q29" s="264">
        <v>7607</v>
      </c>
      <c r="R29" s="264">
        <v>7891</v>
      </c>
      <c r="S29" s="264">
        <v>8389</v>
      </c>
      <c r="T29" s="264">
        <v>9135</v>
      </c>
      <c r="U29" s="264">
        <v>9227</v>
      </c>
      <c r="V29" s="1459"/>
      <c r="W29" s="265">
        <f t="shared" si="10"/>
        <v>92</v>
      </c>
      <c r="X29" s="32"/>
      <c r="Y29" s="32"/>
      <c r="Z29" s="32"/>
      <c r="AA29" s="32"/>
    </row>
    <row r="30" spans="1:27" ht="12.5" x14ac:dyDescent="0.25">
      <c r="A30" s="32"/>
      <c r="B30" s="279">
        <f>INT(MID(S19,2,FIND(" ",S19)-2))</f>
        <v>258001</v>
      </c>
      <c r="C30" s="280" t="s">
        <v>105</v>
      </c>
      <c r="D30" s="32"/>
      <c r="E30" s="263" t="s">
        <v>97</v>
      </c>
      <c r="F30" s="1458" t="s">
        <v>98</v>
      </c>
      <c r="G30" s="1458"/>
      <c r="H30" s="264">
        <v>6261</v>
      </c>
      <c r="I30" s="264">
        <v>6261</v>
      </c>
      <c r="J30" s="264">
        <v>6261</v>
      </c>
      <c r="K30" s="264">
        <v>6385</v>
      </c>
      <c r="L30" s="264">
        <v>6557</v>
      </c>
      <c r="M30" s="264">
        <v>6817</v>
      </c>
      <c r="N30" s="264">
        <v>7197</v>
      </c>
      <c r="O30" s="264">
        <v>7524</v>
      </c>
      <c r="P30" s="264">
        <v>7880</v>
      </c>
      <c r="Q30" s="264">
        <v>8087</v>
      </c>
      <c r="R30" s="264">
        <v>8371</v>
      </c>
      <c r="S30" s="264">
        <v>8869</v>
      </c>
      <c r="T30" s="264">
        <v>9615</v>
      </c>
      <c r="U30" s="264">
        <v>9707</v>
      </c>
      <c r="V30" s="1459"/>
      <c r="W30" s="265">
        <f t="shared" si="10"/>
        <v>92</v>
      </c>
      <c r="X30" s="32"/>
      <c r="Y30" s="32"/>
      <c r="Z30" s="32"/>
      <c r="AA30" s="32"/>
    </row>
    <row r="31" spans="1:27" ht="12.5" x14ac:dyDescent="0.25">
      <c r="A31" s="32"/>
      <c r="B31" s="279">
        <f>INT(MID(T19,2,FIND(" ",T19)-2))</f>
        <v>322001</v>
      </c>
      <c r="C31" s="280" t="s">
        <v>108</v>
      </c>
      <c r="D31" s="32"/>
      <c r="E31" s="263" t="s">
        <v>100</v>
      </c>
      <c r="F31" s="1458" t="s">
        <v>101</v>
      </c>
      <c r="G31" s="1458"/>
      <c r="H31" s="264">
        <v>1521</v>
      </c>
      <c r="I31" s="264">
        <v>1604</v>
      </c>
      <c r="J31" s="264">
        <v>1677</v>
      </c>
      <c r="K31" s="264">
        <v>1817</v>
      </c>
      <c r="L31" s="264">
        <v>2014</v>
      </c>
      <c r="M31" s="264">
        <v>2308</v>
      </c>
      <c r="N31" s="264">
        <v>2742</v>
      </c>
      <c r="O31" s="264">
        <v>3113</v>
      </c>
      <c r="P31" s="264">
        <v>3518</v>
      </c>
      <c r="Q31" s="264">
        <v>3754</v>
      </c>
      <c r="R31" s="264">
        <v>4077</v>
      </c>
      <c r="S31" s="264">
        <v>4643</v>
      </c>
      <c r="T31" s="264">
        <v>5491</v>
      </c>
      <c r="U31" s="264">
        <v>5597</v>
      </c>
      <c r="V31" s="1459" t="s">
        <v>233</v>
      </c>
      <c r="W31" s="265">
        <f t="shared" si="10"/>
        <v>106</v>
      </c>
      <c r="X31" s="32"/>
      <c r="Y31" s="32"/>
      <c r="Z31" s="32"/>
      <c r="AA31" s="32"/>
    </row>
    <row r="32" spans="1:27" ht="12.5" x14ac:dyDescent="0.25">
      <c r="A32" s="32"/>
      <c r="B32" s="279">
        <f>INT(MID(U19,2,FIND(" ",U19)-2))</f>
        <v>386001</v>
      </c>
      <c r="C32" s="280" t="s">
        <v>111</v>
      </c>
      <c r="D32" s="32"/>
      <c r="E32" s="263" t="s">
        <v>103</v>
      </c>
      <c r="F32" s="1458" t="s">
        <v>104</v>
      </c>
      <c r="G32" s="1458"/>
      <c r="H32" s="264">
        <v>2122</v>
      </c>
      <c r="I32" s="264">
        <v>2122</v>
      </c>
      <c r="J32" s="264">
        <v>2195</v>
      </c>
      <c r="K32" s="264">
        <v>2338</v>
      </c>
      <c r="L32" s="264">
        <v>2539</v>
      </c>
      <c r="M32" s="264">
        <v>2839</v>
      </c>
      <c r="N32" s="264">
        <v>3282</v>
      </c>
      <c r="O32" s="264">
        <v>3662</v>
      </c>
      <c r="P32" s="264">
        <v>4074</v>
      </c>
      <c r="Q32" s="264">
        <v>4315</v>
      </c>
      <c r="R32" s="264">
        <v>4644</v>
      </c>
      <c r="S32" s="264">
        <v>5222</v>
      </c>
      <c r="T32" s="264">
        <v>6087</v>
      </c>
      <c r="U32" s="264">
        <v>6195</v>
      </c>
      <c r="V32" s="1459"/>
      <c r="W32" s="265">
        <f t="shared" si="10"/>
        <v>108</v>
      </c>
      <c r="X32" s="32"/>
      <c r="Y32" s="32"/>
      <c r="Z32" s="32"/>
      <c r="AA32" s="32"/>
    </row>
    <row r="33" spans="1:27" ht="12.5" x14ac:dyDescent="0.25">
      <c r="A33" s="32"/>
      <c r="B33" s="279">
        <f>INT(MID(V19,2,FIND(" ",V19)-2))</f>
        <v>644001</v>
      </c>
      <c r="C33" s="280" t="s">
        <v>114</v>
      </c>
      <c r="D33" s="32"/>
      <c r="E33" s="263" t="s">
        <v>106</v>
      </c>
      <c r="F33" s="1458" t="s">
        <v>107</v>
      </c>
      <c r="G33" s="1458"/>
      <c r="H33" s="264">
        <v>2692</v>
      </c>
      <c r="I33" s="264">
        <v>2692</v>
      </c>
      <c r="J33" s="264">
        <v>2766</v>
      </c>
      <c r="K33" s="264">
        <v>2908</v>
      </c>
      <c r="L33" s="264">
        <v>3108</v>
      </c>
      <c r="M33" s="264">
        <v>3407</v>
      </c>
      <c r="N33" s="264">
        <v>3848</v>
      </c>
      <c r="O33" s="264">
        <v>4225</v>
      </c>
      <c r="P33" s="264">
        <v>4636</v>
      </c>
      <c r="Q33" s="264">
        <v>4876</v>
      </c>
      <c r="R33" s="264">
        <v>5204</v>
      </c>
      <c r="S33" s="264">
        <v>5779</v>
      </c>
      <c r="T33" s="264">
        <v>6640</v>
      </c>
      <c r="U33" s="264">
        <v>6747</v>
      </c>
      <c r="V33" s="1459"/>
      <c r="W33" s="265">
        <f t="shared" si="10"/>
        <v>107</v>
      </c>
      <c r="X33" s="32"/>
      <c r="Y33" s="32"/>
      <c r="Z33" s="32"/>
      <c r="AA33" s="32"/>
    </row>
    <row r="34" spans="1:27" ht="12.75" customHeight="1" x14ac:dyDescent="0.25">
      <c r="A34" s="32"/>
      <c r="B34" s="32"/>
      <c r="C34" s="32"/>
      <c r="D34" s="32"/>
      <c r="E34" s="263" t="s">
        <v>109</v>
      </c>
      <c r="F34" s="1458" t="s">
        <v>110</v>
      </c>
      <c r="G34" s="1458"/>
      <c r="H34" s="264">
        <v>3336</v>
      </c>
      <c r="I34" s="264">
        <v>3336</v>
      </c>
      <c r="J34" s="264">
        <v>3336</v>
      </c>
      <c r="K34" s="264">
        <v>3479</v>
      </c>
      <c r="L34" s="264">
        <v>3677</v>
      </c>
      <c r="M34" s="264">
        <v>3976</v>
      </c>
      <c r="N34" s="264">
        <v>4413</v>
      </c>
      <c r="O34" s="264">
        <v>4789</v>
      </c>
      <c r="P34" s="264">
        <v>5198</v>
      </c>
      <c r="Q34" s="264">
        <v>5436</v>
      </c>
      <c r="R34" s="264">
        <v>5763</v>
      </c>
      <c r="S34" s="264">
        <v>6335</v>
      </c>
      <c r="T34" s="264">
        <v>7193</v>
      </c>
      <c r="U34" s="264">
        <v>7299</v>
      </c>
      <c r="V34" s="1459"/>
      <c r="W34" s="265">
        <f t="shared" si="10"/>
        <v>106</v>
      </c>
      <c r="X34" s="32"/>
      <c r="Y34" s="32"/>
      <c r="Z34" s="32"/>
      <c r="AA34" s="32"/>
    </row>
    <row r="35" spans="1:27" ht="12.5" x14ac:dyDescent="0.25">
      <c r="A35" s="32"/>
      <c r="B35" s="32"/>
      <c r="C35" s="32"/>
      <c r="D35" s="32"/>
      <c r="E35" s="263" t="s">
        <v>112</v>
      </c>
      <c r="F35" s="1458" t="s">
        <v>113</v>
      </c>
      <c r="G35" s="1458"/>
      <c r="H35" s="264">
        <v>3888</v>
      </c>
      <c r="I35" s="264">
        <v>3888</v>
      </c>
      <c r="J35" s="264">
        <v>3888</v>
      </c>
      <c r="K35" s="264">
        <v>4031</v>
      </c>
      <c r="L35" s="264">
        <v>4229</v>
      </c>
      <c r="M35" s="264">
        <v>4528</v>
      </c>
      <c r="N35" s="264">
        <v>4965</v>
      </c>
      <c r="O35" s="264">
        <v>5341</v>
      </c>
      <c r="P35" s="264">
        <v>5750</v>
      </c>
      <c r="Q35" s="264">
        <v>5988</v>
      </c>
      <c r="R35" s="264">
        <v>6315</v>
      </c>
      <c r="S35" s="264">
        <v>6887</v>
      </c>
      <c r="T35" s="264">
        <v>7745</v>
      </c>
      <c r="U35" s="264">
        <v>7851</v>
      </c>
      <c r="V35" s="1459"/>
      <c r="W35" s="265">
        <f t="shared" si="10"/>
        <v>106</v>
      </c>
      <c r="X35" s="32"/>
      <c r="Y35" s="32"/>
      <c r="Z35" s="32"/>
      <c r="AA35" s="32"/>
    </row>
    <row r="36" spans="1:27" ht="13" x14ac:dyDescent="0.3">
      <c r="A36" s="32"/>
      <c r="B36" s="1465" t="s">
        <v>241</v>
      </c>
      <c r="C36" s="1465"/>
      <c r="D36" s="32"/>
      <c r="E36" s="263" t="s">
        <v>115</v>
      </c>
      <c r="F36" s="1458" t="s">
        <v>116</v>
      </c>
      <c r="G36" s="1458"/>
      <c r="H36" s="264">
        <v>4440</v>
      </c>
      <c r="I36" s="264">
        <v>4440</v>
      </c>
      <c r="J36" s="264">
        <v>4440</v>
      </c>
      <c r="K36" s="264">
        <v>4583</v>
      </c>
      <c r="L36" s="264">
        <v>4781</v>
      </c>
      <c r="M36" s="264">
        <v>5080</v>
      </c>
      <c r="N36" s="264">
        <v>5517</v>
      </c>
      <c r="O36" s="264">
        <v>5893</v>
      </c>
      <c r="P36" s="264">
        <v>6302</v>
      </c>
      <c r="Q36" s="264">
        <v>6540</v>
      </c>
      <c r="R36" s="264">
        <v>6867</v>
      </c>
      <c r="S36" s="264">
        <v>7439</v>
      </c>
      <c r="T36" s="264">
        <v>8297</v>
      </c>
      <c r="U36" s="264">
        <v>8403</v>
      </c>
      <c r="V36" s="1459"/>
      <c r="W36" s="265">
        <f t="shared" si="10"/>
        <v>106</v>
      </c>
      <c r="X36" s="32"/>
      <c r="Y36" s="32"/>
      <c r="Z36" s="32"/>
      <c r="AA36" s="32"/>
    </row>
    <row r="37" spans="1:27" ht="12.5" x14ac:dyDescent="0.25">
      <c r="A37" s="32"/>
      <c r="B37" s="32"/>
      <c r="C37" s="32"/>
      <c r="D37" s="32"/>
      <c r="E37" s="263" t="s">
        <v>117</v>
      </c>
      <c r="F37" s="1458" t="s">
        <v>118</v>
      </c>
      <c r="G37" s="1458"/>
      <c r="H37" s="264">
        <v>4992</v>
      </c>
      <c r="I37" s="264">
        <v>4992</v>
      </c>
      <c r="J37" s="264">
        <v>4992</v>
      </c>
      <c r="K37" s="264">
        <v>5135</v>
      </c>
      <c r="L37" s="264">
        <v>5333</v>
      </c>
      <c r="M37" s="264">
        <v>5632</v>
      </c>
      <c r="N37" s="264">
        <v>6069</v>
      </c>
      <c r="O37" s="264">
        <v>6445</v>
      </c>
      <c r="P37" s="264">
        <v>6854</v>
      </c>
      <c r="Q37" s="264">
        <v>7092</v>
      </c>
      <c r="R37" s="264">
        <v>7419</v>
      </c>
      <c r="S37" s="264">
        <v>7991</v>
      </c>
      <c r="T37" s="264">
        <v>8849</v>
      </c>
      <c r="U37" s="264">
        <v>8955</v>
      </c>
      <c r="V37" s="1459"/>
      <c r="W37" s="265">
        <f t="shared" si="10"/>
        <v>106</v>
      </c>
      <c r="X37" s="32"/>
      <c r="Y37" s="32"/>
      <c r="Z37" s="32"/>
      <c r="AA37" s="32"/>
    </row>
    <row r="38" spans="1:27" ht="12.5" x14ac:dyDescent="0.25">
      <c r="A38" s="32"/>
      <c r="B38" s="51" t="s">
        <v>243</v>
      </c>
      <c r="C38" s="32"/>
      <c r="D38" s="32"/>
      <c r="E38" s="263" t="s">
        <v>119</v>
      </c>
      <c r="F38" s="1458" t="s">
        <v>120</v>
      </c>
      <c r="G38" s="1458"/>
      <c r="H38" s="264">
        <v>5544</v>
      </c>
      <c r="I38" s="264">
        <v>5544</v>
      </c>
      <c r="J38" s="264">
        <v>5544</v>
      </c>
      <c r="K38" s="264">
        <v>5687</v>
      </c>
      <c r="L38" s="264">
        <v>5885</v>
      </c>
      <c r="M38" s="264">
        <v>6184</v>
      </c>
      <c r="N38" s="264">
        <v>6621</v>
      </c>
      <c r="O38" s="264">
        <v>6997</v>
      </c>
      <c r="P38" s="264">
        <v>7406</v>
      </c>
      <c r="Q38" s="264">
        <v>7644</v>
      </c>
      <c r="R38" s="264">
        <v>7971</v>
      </c>
      <c r="S38" s="264">
        <v>8543</v>
      </c>
      <c r="T38" s="264">
        <v>9401</v>
      </c>
      <c r="U38" s="264">
        <v>9507</v>
      </c>
      <c r="V38" s="1459"/>
      <c r="W38" s="265">
        <f t="shared" si="10"/>
        <v>106</v>
      </c>
      <c r="X38" s="32"/>
      <c r="Y38" s="32"/>
      <c r="Z38" s="32"/>
      <c r="AA38" s="32"/>
    </row>
    <row r="39" spans="1:27" ht="12.5" x14ac:dyDescent="0.25">
      <c r="A39" s="32"/>
      <c r="B39" s="82" t="s">
        <v>244</v>
      </c>
      <c r="C39" s="32"/>
      <c r="D39" s="32"/>
      <c r="E39" s="263" t="s">
        <v>122</v>
      </c>
      <c r="F39" s="1458" t="s">
        <v>123</v>
      </c>
      <c r="G39" s="1458"/>
      <c r="H39" s="264">
        <v>6096</v>
      </c>
      <c r="I39" s="264">
        <v>6096</v>
      </c>
      <c r="J39" s="264">
        <v>6096</v>
      </c>
      <c r="K39" s="264">
        <v>6239</v>
      </c>
      <c r="L39" s="264">
        <v>6437</v>
      </c>
      <c r="M39" s="264">
        <v>6736</v>
      </c>
      <c r="N39" s="264">
        <v>7173</v>
      </c>
      <c r="O39" s="264">
        <v>7549</v>
      </c>
      <c r="P39" s="264">
        <v>7958</v>
      </c>
      <c r="Q39" s="264">
        <v>8196</v>
      </c>
      <c r="R39" s="264">
        <v>8523</v>
      </c>
      <c r="S39" s="264">
        <v>9095</v>
      </c>
      <c r="T39" s="264">
        <v>9953</v>
      </c>
      <c r="U39" s="264">
        <v>10059</v>
      </c>
      <c r="V39" s="1459"/>
      <c r="W39" s="265">
        <f t="shared" si="10"/>
        <v>106</v>
      </c>
      <c r="X39" s="32"/>
      <c r="Y39" s="32"/>
      <c r="Z39" s="32"/>
      <c r="AA39" s="32"/>
    </row>
    <row r="40" spans="1:27" ht="12.5" x14ac:dyDescent="0.25">
      <c r="A40" s="32"/>
      <c r="B40" s="51"/>
      <c r="C40" s="32"/>
      <c r="D40" s="32"/>
      <c r="E40" s="263" t="s">
        <v>124</v>
      </c>
      <c r="F40" s="1458" t="s">
        <v>125</v>
      </c>
      <c r="G40" s="1458"/>
      <c r="H40" s="264">
        <v>6648</v>
      </c>
      <c r="I40" s="264">
        <v>6648</v>
      </c>
      <c r="J40" s="264">
        <v>6648</v>
      </c>
      <c r="K40" s="264">
        <v>6791</v>
      </c>
      <c r="L40" s="264">
        <v>6989</v>
      </c>
      <c r="M40" s="264">
        <v>7288</v>
      </c>
      <c r="N40" s="264">
        <v>7725</v>
      </c>
      <c r="O40" s="264">
        <v>8101</v>
      </c>
      <c r="P40" s="264">
        <v>8510</v>
      </c>
      <c r="Q40" s="264">
        <v>8748</v>
      </c>
      <c r="R40" s="264">
        <v>9075</v>
      </c>
      <c r="S40" s="264">
        <v>9647</v>
      </c>
      <c r="T40" s="264">
        <v>10505</v>
      </c>
      <c r="U40" s="264">
        <v>10611</v>
      </c>
      <c r="V40" s="1459"/>
      <c r="W40" s="265">
        <f t="shared" si="10"/>
        <v>106</v>
      </c>
      <c r="X40" s="32"/>
      <c r="Y40" s="32"/>
      <c r="Z40" s="32"/>
      <c r="AA40" s="32"/>
    </row>
    <row r="41" spans="1:27" ht="12.5" x14ac:dyDescent="0.25">
      <c r="A41" s="32"/>
      <c r="B41" s="283" t="s">
        <v>43</v>
      </c>
      <c r="C41" s="284" t="s">
        <v>242</v>
      </c>
      <c r="D41" s="32"/>
      <c r="E41" s="263" t="s">
        <v>126</v>
      </c>
      <c r="F41" s="1458" t="s">
        <v>127</v>
      </c>
      <c r="G41" s="1458"/>
      <c r="H41" s="264">
        <v>7200</v>
      </c>
      <c r="I41" s="264">
        <v>7200</v>
      </c>
      <c r="J41" s="264">
        <v>7200</v>
      </c>
      <c r="K41" s="264">
        <v>7343</v>
      </c>
      <c r="L41" s="264">
        <v>7541</v>
      </c>
      <c r="M41" s="264">
        <v>7840</v>
      </c>
      <c r="N41" s="264">
        <v>8277</v>
      </c>
      <c r="O41" s="264">
        <v>8653</v>
      </c>
      <c r="P41" s="264">
        <v>9062</v>
      </c>
      <c r="Q41" s="264">
        <v>9300</v>
      </c>
      <c r="R41" s="264">
        <v>9627</v>
      </c>
      <c r="S41" s="264">
        <v>10199</v>
      </c>
      <c r="T41" s="264">
        <v>11057</v>
      </c>
      <c r="U41" s="264">
        <v>11163</v>
      </c>
      <c r="V41" s="1459"/>
      <c r="W41" s="265">
        <f t="shared" si="10"/>
        <v>106</v>
      </c>
      <c r="X41" s="32"/>
      <c r="Y41" s="32"/>
      <c r="Z41" s="32"/>
      <c r="AA41" s="32"/>
    </row>
    <row r="42" spans="1:27" ht="12.5" x14ac:dyDescent="0.25">
      <c r="A42" s="32"/>
      <c r="B42" s="285">
        <v>822</v>
      </c>
      <c r="C42" s="286" t="s">
        <v>174</v>
      </c>
      <c r="D42" s="32"/>
      <c r="E42" s="32"/>
      <c r="F42" s="32"/>
      <c r="G42" s="32"/>
      <c r="H42" s="35"/>
      <c r="I42" s="35"/>
      <c r="J42" s="35"/>
      <c r="K42" s="35"/>
      <c r="L42" s="35"/>
      <c r="M42" s="35"/>
      <c r="N42" s="35"/>
      <c r="O42" s="35"/>
      <c r="P42" s="35"/>
      <c r="Q42" s="35"/>
      <c r="R42" s="35"/>
      <c r="S42" s="35"/>
      <c r="T42" s="35"/>
      <c r="U42" s="32"/>
      <c r="V42" s="32"/>
      <c r="W42" s="32"/>
      <c r="X42" s="32"/>
      <c r="Y42" s="32"/>
      <c r="Z42" s="32"/>
      <c r="AA42" s="32"/>
    </row>
    <row r="43" spans="1:27" ht="13" x14ac:dyDescent="0.3">
      <c r="A43" s="32"/>
      <c r="B43" s="285">
        <v>840</v>
      </c>
      <c r="C43" s="286" t="s">
        <v>175</v>
      </c>
      <c r="D43" s="32"/>
      <c r="E43" s="259"/>
      <c r="F43" s="1463" t="s">
        <v>128</v>
      </c>
      <c r="G43" s="1463"/>
      <c r="H43" s="260" t="s">
        <v>66</v>
      </c>
      <c r="I43" s="260"/>
      <c r="J43" s="260"/>
      <c r="K43" s="260"/>
      <c r="L43" s="260"/>
      <c r="M43" s="260"/>
      <c r="N43" s="260"/>
      <c r="O43" s="260"/>
      <c r="P43" s="260"/>
      <c r="Q43" s="260"/>
      <c r="R43" s="260"/>
      <c r="S43" s="260"/>
      <c r="T43" s="260"/>
      <c r="U43" s="260"/>
      <c r="V43" s="260"/>
      <c r="W43" s="266"/>
      <c r="X43" s="32"/>
      <c r="Y43" s="32"/>
      <c r="Z43" s="32"/>
      <c r="AA43" s="32"/>
    </row>
    <row r="44" spans="1:27" ht="13" x14ac:dyDescent="0.3">
      <c r="A44" s="32"/>
      <c r="B44" s="285">
        <v>845</v>
      </c>
      <c r="C44" s="286" t="s">
        <v>175</v>
      </c>
      <c r="D44" s="32"/>
      <c r="E44" s="260" t="s">
        <v>14</v>
      </c>
      <c r="F44" s="1461" t="s">
        <v>225</v>
      </c>
      <c r="G44" s="1461"/>
      <c r="H44" s="267" t="str">
        <f t="shared" ref="H44:V44" si="11">H19</f>
        <v>$26000 or less</v>
      </c>
      <c r="I44" s="267" t="str">
        <f t="shared" si="11"/>
        <v>$26001 to $39000</v>
      </c>
      <c r="J44" s="267" t="str">
        <f t="shared" si="11"/>
        <v>$39001 to $52000</v>
      </c>
      <c r="K44" s="267" t="str">
        <f t="shared" si="11"/>
        <v>$52001 to $64000</v>
      </c>
      <c r="L44" s="267" t="str">
        <f t="shared" si="11"/>
        <v>$64001 to $77000</v>
      </c>
      <c r="M44" s="267" t="str">
        <f t="shared" si="11"/>
        <v>$77001 to $103000</v>
      </c>
      <c r="N44" s="267" t="str">
        <f t="shared" si="11"/>
        <v>$103001 to $129000</v>
      </c>
      <c r="O44" s="267" t="str">
        <f t="shared" si="11"/>
        <v>$129001 to $155000</v>
      </c>
      <c r="P44" s="267" t="str">
        <f t="shared" si="11"/>
        <v>$155001 to $180000</v>
      </c>
      <c r="Q44" s="267" t="str">
        <f t="shared" si="11"/>
        <v>$180001 to $206000</v>
      </c>
      <c r="R44" s="267" t="str">
        <f t="shared" si="11"/>
        <v>$206001 to $258000</v>
      </c>
      <c r="S44" s="267" t="str">
        <f t="shared" si="11"/>
        <v>$258001 to $322000</v>
      </c>
      <c r="T44" s="267" t="str">
        <f t="shared" si="11"/>
        <v>$322001 to $386000</v>
      </c>
      <c r="U44" s="267" t="str">
        <f t="shared" si="11"/>
        <v>$386001 to $644000</v>
      </c>
      <c r="V44" s="267" t="str">
        <f t="shared" si="11"/>
        <v>$644001 or more</v>
      </c>
      <c r="W44" s="262" t="s">
        <v>39</v>
      </c>
      <c r="X44" s="32"/>
      <c r="Y44" s="32"/>
      <c r="Z44" s="32"/>
      <c r="AA44" s="32"/>
    </row>
    <row r="45" spans="1:27" ht="12.75" customHeight="1" x14ac:dyDescent="0.25">
      <c r="A45" s="32"/>
      <c r="B45" s="285">
        <v>846</v>
      </c>
      <c r="C45" s="286" t="s">
        <v>175</v>
      </c>
      <c r="D45" s="32"/>
      <c r="E45" s="263" t="s">
        <v>129</v>
      </c>
      <c r="F45" s="1458" t="s">
        <v>68</v>
      </c>
      <c r="G45" s="1458"/>
      <c r="H45" s="264">
        <v>2570</v>
      </c>
      <c r="I45" s="264">
        <v>2570</v>
      </c>
      <c r="J45" s="264">
        <v>2633</v>
      </c>
      <c r="K45" s="264">
        <v>2755</v>
      </c>
      <c r="L45" s="264">
        <v>2926</v>
      </c>
      <c r="M45" s="264">
        <v>3182</v>
      </c>
      <c r="N45" s="264">
        <v>3559</v>
      </c>
      <c r="O45" s="264">
        <v>3883</v>
      </c>
      <c r="P45" s="264">
        <v>4234</v>
      </c>
      <c r="Q45" s="264">
        <v>4440</v>
      </c>
      <c r="R45" s="264">
        <v>4720</v>
      </c>
      <c r="S45" s="264">
        <v>5213</v>
      </c>
      <c r="T45" s="264">
        <v>5950</v>
      </c>
      <c r="U45" s="264">
        <v>6042</v>
      </c>
      <c r="V45" s="1459" t="s">
        <v>233</v>
      </c>
      <c r="W45" s="265">
        <f t="shared" ref="W45:W66" si="12">U45-T45</f>
        <v>92</v>
      </c>
      <c r="X45" s="32"/>
      <c r="Y45" s="32"/>
      <c r="Z45" s="32"/>
      <c r="AA45" s="32"/>
    </row>
    <row r="46" spans="1:27" ht="12.5" x14ac:dyDescent="0.25">
      <c r="A46" s="32"/>
      <c r="B46" s="285">
        <v>847</v>
      </c>
      <c r="C46" s="286" t="s">
        <v>175</v>
      </c>
      <c r="D46" s="32"/>
      <c r="E46" s="263" t="s">
        <v>130</v>
      </c>
      <c r="F46" s="1458" t="s">
        <v>71</v>
      </c>
      <c r="G46" s="1458"/>
      <c r="H46" s="264">
        <v>2984</v>
      </c>
      <c r="I46" s="264">
        <v>2984</v>
      </c>
      <c r="J46" s="264">
        <v>2984</v>
      </c>
      <c r="K46" s="264">
        <v>3105</v>
      </c>
      <c r="L46" s="264">
        <v>3276</v>
      </c>
      <c r="M46" s="264">
        <v>3532</v>
      </c>
      <c r="N46" s="264">
        <v>3908</v>
      </c>
      <c r="O46" s="264">
        <v>4230</v>
      </c>
      <c r="P46" s="264">
        <v>4581</v>
      </c>
      <c r="Q46" s="264">
        <v>4786</v>
      </c>
      <c r="R46" s="264">
        <v>5066</v>
      </c>
      <c r="S46" s="264">
        <v>5557</v>
      </c>
      <c r="T46" s="264">
        <v>6293</v>
      </c>
      <c r="U46" s="264">
        <v>6385</v>
      </c>
      <c r="V46" s="1459"/>
      <c r="W46" s="265">
        <f t="shared" si="12"/>
        <v>92</v>
      </c>
      <c r="X46" s="32"/>
      <c r="Y46" s="32"/>
      <c r="Z46" s="32"/>
      <c r="AA46" s="32"/>
    </row>
    <row r="47" spans="1:27" ht="12.5" x14ac:dyDescent="0.25">
      <c r="A47" s="32"/>
      <c r="B47" s="285">
        <v>850</v>
      </c>
      <c r="C47" s="286" t="s">
        <v>175</v>
      </c>
      <c r="D47" s="32"/>
      <c r="E47" s="263" t="s">
        <v>131</v>
      </c>
      <c r="F47" s="1458" t="s">
        <v>74</v>
      </c>
      <c r="G47" s="1458"/>
      <c r="H47" s="264">
        <v>3328</v>
      </c>
      <c r="I47" s="264">
        <v>3328</v>
      </c>
      <c r="J47" s="264">
        <v>3328</v>
      </c>
      <c r="K47" s="264">
        <v>3450</v>
      </c>
      <c r="L47" s="264">
        <v>3622</v>
      </c>
      <c r="M47" s="264">
        <v>3879</v>
      </c>
      <c r="N47" s="264">
        <v>4258</v>
      </c>
      <c r="O47" s="264">
        <v>4582</v>
      </c>
      <c r="P47" s="264">
        <v>4935</v>
      </c>
      <c r="Q47" s="264">
        <v>5141</v>
      </c>
      <c r="R47" s="264">
        <v>5423</v>
      </c>
      <c r="S47" s="264">
        <v>5917</v>
      </c>
      <c r="T47" s="264">
        <v>6658</v>
      </c>
      <c r="U47" s="264">
        <v>6750</v>
      </c>
      <c r="V47" s="1459"/>
      <c r="W47" s="265">
        <f t="shared" si="12"/>
        <v>92</v>
      </c>
      <c r="X47" s="32"/>
      <c r="Y47" s="32"/>
      <c r="Z47" s="32"/>
      <c r="AA47" s="32"/>
    </row>
    <row r="48" spans="1:27" ht="12.5" x14ac:dyDescent="0.25">
      <c r="A48" s="32"/>
      <c r="B48" s="285">
        <v>852</v>
      </c>
      <c r="C48" s="286" t="s">
        <v>174</v>
      </c>
      <c r="D48" s="32"/>
      <c r="E48" s="263" t="s">
        <v>132</v>
      </c>
      <c r="F48" s="1458" t="s">
        <v>77</v>
      </c>
      <c r="G48" s="1458"/>
      <c r="H48" s="264">
        <v>3725</v>
      </c>
      <c r="I48" s="264">
        <v>3725</v>
      </c>
      <c r="J48" s="264">
        <v>3725</v>
      </c>
      <c r="K48" s="264">
        <v>3725</v>
      </c>
      <c r="L48" s="264">
        <v>3896</v>
      </c>
      <c r="M48" s="264">
        <v>4152</v>
      </c>
      <c r="N48" s="264">
        <v>4529</v>
      </c>
      <c r="O48" s="264">
        <v>4852</v>
      </c>
      <c r="P48" s="264">
        <v>5204</v>
      </c>
      <c r="Q48" s="264">
        <v>5409</v>
      </c>
      <c r="R48" s="264">
        <v>5690</v>
      </c>
      <c r="S48" s="264">
        <v>6182</v>
      </c>
      <c r="T48" s="264">
        <v>6919</v>
      </c>
      <c r="U48" s="264">
        <v>7011</v>
      </c>
      <c r="V48" s="1459"/>
      <c r="W48" s="265">
        <f t="shared" si="12"/>
        <v>92</v>
      </c>
      <c r="X48" s="32"/>
      <c r="Y48" s="32"/>
      <c r="Z48" s="32"/>
      <c r="AA48" s="32"/>
    </row>
    <row r="49" spans="1:27" ht="12.5" x14ac:dyDescent="0.25">
      <c r="A49" s="32"/>
      <c r="B49" s="285">
        <v>853</v>
      </c>
      <c r="C49" s="286" t="s">
        <v>175</v>
      </c>
      <c r="D49" s="32"/>
      <c r="E49" s="263" t="s">
        <v>133</v>
      </c>
      <c r="F49" s="1458" t="s">
        <v>80</v>
      </c>
      <c r="G49" s="1458"/>
      <c r="H49" s="264">
        <v>3986</v>
      </c>
      <c r="I49" s="264">
        <v>3986</v>
      </c>
      <c r="J49" s="264">
        <v>3986</v>
      </c>
      <c r="K49" s="264">
        <v>3986</v>
      </c>
      <c r="L49" s="264">
        <v>4157</v>
      </c>
      <c r="M49" s="264">
        <v>4413</v>
      </c>
      <c r="N49" s="264">
        <v>4790</v>
      </c>
      <c r="O49" s="264">
        <v>5113</v>
      </c>
      <c r="P49" s="264">
        <v>5465</v>
      </c>
      <c r="Q49" s="264">
        <v>5670</v>
      </c>
      <c r="R49" s="264">
        <v>5951</v>
      </c>
      <c r="S49" s="264">
        <v>6443</v>
      </c>
      <c r="T49" s="264">
        <v>7180</v>
      </c>
      <c r="U49" s="264">
        <v>7272</v>
      </c>
      <c r="V49" s="1459"/>
      <c r="W49" s="265">
        <f t="shared" si="12"/>
        <v>92</v>
      </c>
      <c r="X49" s="32"/>
      <c r="Y49" s="32"/>
      <c r="Z49" s="32"/>
      <c r="AA49" s="32"/>
    </row>
    <row r="50" spans="1:27" ht="12.5" x14ac:dyDescent="0.25">
      <c r="A50" s="32"/>
      <c r="B50" s="285">
        <v>854</v>
      </c>
      <c r="C50" s="286" t="s">
        <v>174</v>
      </c>
      <c r="D50" s="32"/>
      <c r="E50" s="263" t="s">
        <v>134</v>
      </c>
      <c r="F50" s="1458" t="s">
        <v>83</v>
      </c>
      <c r="G50" s="1458"/>
      <c r="H50" s="264">
        <v>4247</v>
      </c>
      <c r="I50" s="264">
        <v>4247</v>
      </c>
      <c r="J50" s="264">
        <v>4247</v>
      </c>
      <c r="K50" s="264">
        <v>4247</v>
      </c>
      <c r="L50" s="264">
        <v>4418</v>
      </c>
      <c r="M50" s="264">
        <v>4674</v>
      </c>
      <c r="N50" s="264">
        <v>5051</v>
      </c>
      <c r="O50" s="264">
        <v>5374</v>
      </c>
      <c r="P50" s="264">
        <v>5726</v>
      </c>
      <c r="Q50" s="264">
        <v>5931</v>
      </c>
      <c r="R50" s="264">
        <v>6212</v>
      </c>
      <c r="S50" s="264">
        <v>6704</v>
      </c>
      <c r="T50" s="264">
        <v>7441</v>
      </c>
      <c r="U50" s="264">
        <v>7533</v>
      </c>
      <c r="V50" s="1459"/>
      <c r="W50" s="265">
        <f t="shared" si="12"/>
        <v>92</v>
      </c>
      <c r="X50" s="32"/>
      <c r="Y50" s="32"/>
      <c r="Z50" s="32"/>
      <c r="AA50" s="32"/>
    </row>
    <row r="51" spans="1:27" ht="12.5" x14ac:dyDescent="0.25">
      <c r="A51" s="32"/>
      <c r="B51" s="285">
        <v>860</v>
      </c>
      <c r="C51" s="286" t="s">
        <v>174</v>
      </c>
      <c r="D51" s="32"/>
      <c r="E51" s="263" t="s">
        <v>135</v>
      </c>
      <c r="F51" s="1458" t="s">
        <v>86</v>
      </c>
      <c r="G51" s="1458"/>
      <c r="H51" s="264">
        <v>4508</v>
      </c>
      <c r="I51" s="264">
        <v>4508</v>
      </c>
      <c r="J51" s="264">
        <v>4508</v>
      </c>
      <c r="K51" s="264">
        <v>4508</v>
      </c>
      <c r="L51" s="264">
        <v>4679</v>
      </c>
      <c r="M51" s="264">
        <v>4935</v>
      </c>
      <c r="N51" s="264">
        <v>5312</v>
      </c>
      <c r="O51" s="264">
        <v>5635</v>
      </c>
      <c r="P51" s="264">
        <v>5987</v>
      </c>
      <c r="Q51" s="264">
        <v>6192</v>
      </c>
      <c r="R51" s="264">
        <v>6473</v>
      </c>
      <c r="S51" s="264">
        <v>6965</v>
      </c>
      <c r="T51" s="264">
        <v>7702</v>
      </c>
      <c r="U51" s="264">
        <v>7794</v>
      </c>
      <c r="V51" s="1459"/>
      <c r="W51" s="265">
        <f t="shared" si="12"/>
        <v>92</v>
      </c>
      <c r="X51" s="32"/>
      <c r="Y51" s="32"/>
      <c r="Z51" s="32"/>
      <c r="AA51" s="32"/>
    </row>
    <row r="52" spans="1:27" ht="12.5" x14ac:dyDescent="0.25">
      <c r="A52" s="32"/>
      <c r="B52" s="285">
        <v>862</v>
      </c>
      <c r="C52" s="286" t="s">
        <v>174</v>
      </c>
      <c r="D52" s="32"/>
      <c r="E52" s="263" t="s">
        <v>136</v>
      </c>
      <c r="F52" s="1458" t="s">
        <v>89</v>
      </c>
      <c r="G52" s="1458"/>
      <c r="H52" s="264">
        <v>4769</v>
      </c>
      <c r="I52" s="264">
        <v>4769</v>
      </c>
      <c r="J52" s="264">
        <v>4769</v>
      </c>
      <c r="K52" s="264">
        <v>4769</v>
      </c>
      <c r="L52" s="264">
        <v>4940</v>
      </c>
      <c r="M52" s="264">
        <v>5196</v>
      </c>
      <c r="N52" s="264">
        <v>5573</v>
      </c>
      <c r="O52" s="264">
        <v>5896</v>
      </c>
      <c r="P52" s="264">
        <v>6248</v>
      </c>
      <c r="Q52" s="264">
        <v>6453</v>
      </c>
      <c r="R52" s="264">
        <v>6734</v>
      </c>
      <c r="S52" s="264">
        <v>7226</v>
      </c>
      <c r="T52" s="264">
        <v>7963</v>
      </c>
      <c r="U52" s="264">
        <v>8055</v>
      </c>
      <c r="V52" s="1459"/>
      <c r="W52" s="265">
        <f t="shared" si="12"/>
        <v>92</v>
      </c>
      <c r="X52" s="32"/>
      <c r="Y52" s="32"/>
      <c r="Z52" s="32"/>
      <c r="AA52" s="32"/>
    </row>
    <row r="53" spans="1:27" ht="14.5" x14ac:dyDescent="0.35">
      <c r="A53" s="32"/>
      <c r="B53" s="285">
        <v>870</v>
      </c>
      <c r="C53" s="286" t="s">
        <v>175</v>
      </c>
      <c r="D53" s="36"/>
      <c r="E53" s="263" t="s">
        <v>137</v>
      </c>
      <c r="F53" s="1458" t="s">
        <v>92</v>
      </c>
      <c r="G53" s="1458"/>
      <c r="H53" s="264">
        <v>5030</v>
      </c>
      <c r="I53" s="264">
        <v>5030</v>
      </c>
      <c r="J53" s="264">
        <v>5030</v>
      </c>
      <c r="K53" s="264">
        <v>5030</v>
      </c>
      <c r="L53" s="264">
        <v>5201</v>
      </c>
      <c r="M53" s="264">
        <v>5457</v>
      </c>
      <c r="N53" s="264">
        <v>5834</v>
      </c>
      <c r="O53" s="264">
        <v>6157</v>
      </c>
      <c r="P53" s="264">
        <v>6509</v>
      </c>
      <c r="Q53" s="264">
        <v>6714</v>
      </c>
      <c r="R53" s="264">
        <v>6995</v>
      </c>
      <c r="S53" s="264">
        <v>7487</v>
      </c>
      <c r="T53" s="264">
        <v>8224</v>
      </c>
      <c r="U53" s="264">
        <v>8316</v>
      </c>
      <c r="V53" s="1459"/>
      <c r="W53" s="265">
        <f t="shared" si="12"/>
        <v>92</v>
      </c>
      <c r="X53" s="32"/>
      <c r="Y53" s="32"/>
      <c r="Z53" s="32"/>
      <c r="AA53" s="32"/>
    </row>
    <row r="54" spans="1:27" ht="14.5" x14ac:dyDescent="0.35">
      <c r="A54" s="32"/>
      <c r="B54" s="285">
        <v>872</v>
      </c>
      <c r="C54" s="286" t="s">
        <v>174</v>
      </c>
      <c r="D54" s="36"/>
      <c r="E54" s="263" t="s">
        <v>138</v>
      </c>
      <c r="F54" s="1458" t="s">
        <v>95</v>
      </c>
      <c r="G54" s="1458"/>
      <c r="H54" s="264">
        <v>5291</v>
      </c>
      <c r="I54" s="264">
        <v>5291</v>
      </c>
      <c r="J54" s="264">
        <v>5291</v>
      </c>
      <c r="K54" s="264">
        <v>5291</v>
      </c>
      <c r="L54" s="264">
        <v>5462</v>
      </c>
      <c r="M54" s="264">
        <v>5718</v>
      </c>
      <c r="N54" s="264">
        <v>6095</v>
      </c>
      <c r="O54" s="264">
        <v>6418</v>
      </c>
      <c r="P54" s="264">
        <v>6770</v>
      </c>
      <c r="Q54" s="264">
        <v>6975</v>
      </c>
      <c r="R54" s="264">
        <v>7256</v>
      </c>
      <c r="S54" s="264">
        <v>7748</v>
      </c>
      <c r="T54" s="264">
        <v>8485</v>
      </c>
      <c r="U54" s="264">
        <v>8577</v>
      </c>
      <c r="V54" s="1459"/>
      <c r="W54" s="265">
        <f t="shared" si="12"/>
        <v>92</v>
      </c>
      <c r="X54" s="32"/>
      <c r="Y54" s="32"/>
      <c r="Z54" s="32"/>
      <c r="AA54" s="32"/>
    </row>
    <row r="55" spans="1:27" ht="14.5" x14ac:dyDescent="0.35">
      <c r="A55" s="32"/>
      <c r="B55" s="285">
        <v>873</v>
      </c>
      <c r="C55" s="286" t="s">
        <v>175</v>
      </c>
      <c r="D55" s="36"/>
      <c r="E55" s="263" t="s">
        <v>139</v>
      </c>
      <c r="F55" s="1458" t="s">
        <v>98</v>
      </c>
      <c r="G55" s="1458"/>
      <c r="H55" s="264">
        <v>5552</v>
      </c>
      <c r="I55" s="264">
        <v>5552</v>
      </c>
      <c r="J55" s="264">
        <v>5552</v>
      </c>
      <c r="K55" s="264">
        <v>5552</v>
      </c>
      <c r="L55" s="264">
        <v>5723</v>
      </c>
      <c r="M55" s="264">
        <v>5979</v>
      </c>
      <c r="N55" s="264">
        <v>6356</v>
      </c>
      <c r="O55" s="264">
        <v>6679</v>
      </c>
      <c r="P55" s="264">
        <v>7031</v>
      </c>
      <c r="Q55" s="264">
        <v>7236</v>
      </c>
      <c r="R55" s="264">
        <v>7517</v>
      </c>
      <c r="S55" s="264">
        <v>8009</v>
      </c>
      <c r="T55" s="264">
        <v>8746</v>
      </c>
      <c r="U55" s="264">
        <v>8838</v>
      </c>
      <c r="V55" s="1459"/>
      <c r="W55" s="265">
        <f t="shared" si="12"/>
        <v>92</v>
      </c>
      <c r="X55" s="32"/>
      <c r="Y55" s="32"/>
      <c r="Z55" s="32"/>
      <c r="AA55" s="32"/>
    </row>
    <row r="56" spans="1:27" ht="12.75" customHeight="1" x14ac:dyDescent="0.35">
      <c r="A56" s="32"/>
      <c r="B56" s="285">
        <v>874</v>
      </c>
      <c r="C56" s="286" t="s">
        <v>175</v>
      </c>
      <c r="D56" s="36"/>
      <c r="E56" s="263" t="s">
        <v>140</v>
      </c>
      <c r="F56" s="1458" t="s">
        <v>101</v>
      </c>
      <c r="G56" s="1458"/>
      <c r="H56" s="264">
        <v>2956</v>
      </c>
      <c r="I56" s="264">
        <v>2956</v>
      </c>
      <c r="J56" s="264">
        <v>3028</v>
      </c>
      <c r="K56" s="264">
        <v>3168</v>
      </c>
      <c r="L56" s="264">
        <v>3365</v>
      </c>
      <c r="M56" s="264">
        <v>3659</v>
      </c>
      <c r="N56" s="264">
        <v>4093</v>
      </c>
      <c r="O56" s="264">
        <v>4465</v>
      </c>
      <c r="P56" s="264">
        <v>4869</v>
      </c>
      <c r="Q56" s="264">
        <v>5106</v>
      </c>
      <c r="R56" s="264">
        <v>5428</v>
      </c>
      <c r="S56" s="264">
        <v>5995</v>
      </c>
      <c r="T56" s="264">
        <v>6843</v>
      </c>
      <c r="U56" s="264">
        <v>6948</v>
      </c>
      <c r="V56" s="1459" t="s">
        <v>233</v>
      </c>
      <c r="W56" s="265">
        <f t="shared" si="12"/>
        <v>105</v>
      </c>
      <c r="X56" s="32"/>
      <c r="Y56" s="32"/>
      <c r="Z56" s="32"/>
      <c r="AA56" s="32"/>
    </row>
    <row r="57" spans="1:27" ht="12.75" customHeight="1" x14ac:dyDescent="0.35">
      <c r="A57" s="32"/>
      <c r="B57" s="285">
        <v>875</v>
      </c>
      <c r="C57" s="286" t="s">
        <v>175</v>
      </c>
      <c r="D57" s="36"/>
      <c r="E57" s="263" t="s">
        <v>141</v>
      </c>
      <c r="F57" s="1458" t="s">
        <v>104</v>
      </c>
      <c r="G57" s="1458"/>
      <c r="H57" s="264">
        <v>3432</v>
      </c>
      <c r="I57" s="264">
        <v>3432</v>
      </c>
      <c r="J57" s="264">
        <v>3432</v>
      </c>
      <c r="K57" s="264">
        <v>3571</v>
      </c>
      <c r="L57" s="264">
        <v>3767</v>
      </c>
      <c r="M57" s="264">
        <v>4062</v>
      </c>
      <c r="N57" s="264">
        <v>4494</v>
      </c>
      <c r="O57" s="264">
        <v>4865</v>
      </c>
      <c r="P57" s="264">
        <v>5268</v>
      </c>
      <c r="Q57" s="264">
        <v>5504</v>
      </c>
      <c r="R57" s="264">
        <v>5826</v>
      </c>
      <c r="S57" s="264">
        <v>6391</v>
      </c>
      <c r="T57" s="264">
        <v>7237</v>
      </c>
      <c r="U57" s="264">
        <v>7343</v>
      </c>
      <c r="V57" s="1459"/>
      <c r="W57" s="265">
        <f t="shared" si="12"/>
        <v>106</v>
      </c>
      <c r="X57" s="32"/>
      <c r="Y57" s="32"/>
      <c r="Z57" s="32"/>
      <c r="AA57" s="32"/>
    </row>
    <row r="58" spans="1:27" ht="14.5" x14ac:dyDescent="0.35">
      <c r="A58" s="32"/>
      <c r="B58" s="285">
        <v>880</v>
      </c>
      <c r="C58" s="286" t="s">
        <v>174</v>
      </c>
      <c r="D58" s="36"/>
      <c r="E58" s="263" t="s">
        <v>142</v>
      </c>
      <c r="F58" s="1458" t="s">
        <v>107</v>
      </c>
      <c r="G58" s="1458"/>
      <c r="H58" s="264">
        <v>3827</v>
      </c>
      <c r="I58" s="264">
        <v>3827</v>
      </c>
      <c r="J58" s="264">
        <v>3827</v>
      </c>
      <c r="K58" s="264">
        <v>3968</v>
      </c>
      <c r="L58" s="264">
        <v>4165</v>
      </c>
      <c r="M58" s="264">
        <v>4461</v>
      </c>
      <c r="N58" s="264">
        <v>4897</v>
      </c>
      <c r="O58" s="264">
        <v>5269</v>
      </c>
      <c r="P58" s="264">
        <v>5675</v>
      </c>
      <c r="Q58" s="264">
        <v>5912</v>
      </c>
      <c r="R58" s="264">
        <v>6236</v>
      </c>
      <c r="S58" s="264">
        <v>6805</v>
      </c>
      <c r="T58" s="264">
        <v>7657</v>
      </c>
      <c r="U58" s="264">
        <v>7763</v>
      </c>
      <c r="V58" s="1459"/>
      <c r="W58" s="265">
        <f t="shared" si="12"/>
        <v>106</v>
      </c>
      <c r="X58" s="32"/>
      <c r="Y58" s="32"/>
      <c r="Z58" s="32"/>
      <c r="AA58" s="32"/>
    </row>
    <row r="59" spans="1:27" ht="12.75" customHeight="1" x14ac:dyDescent="0.35">
      <c r="A59" s="32"/>
      <c r="B59" s="285">
        <v>885</v>
      </c>
      <c r="C59" s="286" t="s">
        <v>174</v>
      </c>
      <c r="D59" s="36"/>
      <c r="E59" s="263" t="s">
        <v>143</v>
      </c>
      <c r="F59" s="1458" t="s">
        <v>110</v>
      </c>
      <c r="G59" s="1458"/>
      <c r="H59" s="264">
        <v>4284</v>
      </c>
      <c r="I59" s="264">
        <v>4284</v>
      </c>
      <c r="J59" s="264">
        <v>4284</v>
      </c>
      <c r="K59" s="264">
        <v>4284</v>
      </c>
      <c r="L59" s="264">
        <v>4480</v>
      </c>
      <c r="M59" s="264">
        <v>4775</v>
      </c>
      <c r="N59" s="264">
        <v>5208</v>
      </c>
      <c r="O59" s="264">
        <v>5580</v>
      </c>
      <c r="P59" s="264">
        <v>5985</v>
      </c>
      <c r="Q59" s="264">
        <v>6220</v>
      </c>
      <c r="R59" s="264">
        <v>6544</v>
      </c>
      <c r="S59" s="264">
        <v>7109</v>
      </c>
      <c r="T59" s="264">
        <v>7957</v>
      </c>
      <c r="U59" s="264">
        <v>8063</v>
      </c>
      <c r="V59" s="1459"/>
      <c r="W59" s="265">
        <f t="shared" si="12"/>
        <v>106</v>
      </c>
      <c r="X59" s="32"/>
      <c r="Y59" s="32"/>
      <c r="Z59" s="32"/>
      <c r="AA59" s="32"/>
    </row>
    <row r="60" spans="1:27" ht="14.5" x14ac:dyDescent="0.35">
      <c r="A60" s="32"/>
      <c r="B60" s="285">
        <v>886</v>
      </c>
      <c r="C60" s="286" t="s">
        <v>175</v>
      </c>
      <c r="D60" s="36"/>
      <c r="E60" s="263" t="s">
        <v>144</v>
      </c>
      <c r="F60" s="1458" t="s">
        <v>113</v>
      </c>
      <c r="G60" s="1458"/>
      <c r="H60" s="265">
        <v>4584</v>
      </c>
      <c r="I60" s="265">
        <v>4584</v>
      </c>
      <c r="J60" s="265">
        <v>4584</v>
      </c>
      <c r="K60" s="265">
        <v>4584</v>
      </c>
      <c r="L60" s="265">
        <v>4781</v>
      </c>
      <c r="M60" s="265">
        <v>5075</v>
      </c>
      <c r="N60" s="265">
        <v>5509</v>
      </c>
      <c r="O60" s="265">
        <v>5880</v>
      </c>
      <c r="P60" s="265">
        <v>6285</v>
      </c>
      <c r="Q60" s="265">
        <v>6521</v>
      </c>
      <c r="R60" s="265">
        <v>6844</v>
      </c>
      <c r="S60" s="265">
        <v>7409</v>
      </c>
      <c r="T60" s="264">
        <v>8257</v>
      </c>
      <c r="U60" s="264">
        <v>8363</v>
      </c>
      <c r="V60" s="1459"/>
      <c r="W60" s="265">
        <f t="shared" si="12"/>
        <v>106</v>
      </c>
      <c r="X60" s="32"/>
      <c r="Y60" s="32"/>
      <c r="Z60" s="32"/>
      <c r="AA60" s="32"/>
    </row>
    <row r="61" spans="1:27" ht="14.5" x14ac:dyDescent="0.35">
      <c r="A61" s="32"/>
      <c r="B61" s="285">
        <v>2356</v>
      </c>
      <c r="C61" s="286" t="s">
        <v>175</v>
      </c>
      <c r="D61" s="36"/>
      <c r="E61" s="263" t="s">
        <v>145</v>
      </c>
      <c r="F61" s="1458" t="s">
        <v>116</v>
      </c>
      <c r="G61" s="1458"/>
      <c r="H61" s="265">
        <v>4884</v>
      </c>
      <c r="I61" s="265">
        <v>4884</v>
      </c>
      <c r="J61" s="265">
        <v>4884</v>
      </c>
      <c r="K61" s="265">
        <v>4884</v>
      </c>
      <c r="L61" s="265">
        <v>5081</v>
      </c>
      <c r="M61" s="265">
        <v>5375</v>
      </c>
      <c r="N61" s="265">
        <v>5809</v>
      </c>
      <c r="O61" s="265">
        <v>6180</v>
      </c>
      <c r="P61" s="265">
        <v>6585</v>
      </c>
      <c r="Q61" s="265">
        <v>6821</v>
      </c>
      <c r="R61" s="265">
        <v>7144</v>
      </c>
      <c r="S61" s="265">
        <v>7710</v>
      </c>
      <c r="T61" s="265">
        <v>8557</v>
      </c>
      <c r="U61" s="265">
        <v>8663</v>
      </c>
      <c r="V61" s="1459"/>
      <c r="W61" s="265">
        <f t="shared" si="12"/>
        <v>106</v>
      </c>
      <c r="X61" s="32"/>
      <c r="Y61" s="32"/>
      <c r="Z61" s="32"/>
      <c r="AA61" s="32"/>
    </row>
    <row r="62" spans="1:27" ht="14.5" x14ac:dyDescent="0.35">
      <c r="A62" s="32"/>
      <c r="B62" s="285">
        <v>2386</v>
      </c>
      <c r="C62" s="286" t="s">
        <v>175</v>
      </c>
      <c r="D62" s="36"/>
      <c r="E62" s="263" t="s">
        <v>146</v>
      </c>
      <c r="F62" s="1458" t="s">
        <v>118</v>
      </c>
      <c r="G62" s="1458"/>
      <c r="H62" s="265">
        <v>5184</v>
      </c>
      <c r="I62" s="265">
        <v>5184</v>
      </c>
      <c r="J62" s="265">
        <v>5184</v>
      </c>
      <c r="K62" s="265">
        <v>5184</v>
      </c>
      <c r="L62" s="265">
        <v>5381</v>
      </c>
      <c r="M62" s="265">
        <v>5675</v>
      </c>
      <c r="N62" s="265">
        <v>6109</v>
      </c>
      <c r="O62" s="265">
        <v>6480</v>
      </c>
      <c r="P62" s="265">
        <v>6885</v>
      </c>
      <c r="Q62" s="265">
        <v>7121</v>
      </c>
      <c r="R62" s="265">
        <v>7444</v>
      </c>
      <c r="S62" s="265">
        <v>8010</v>
      </c>
      <c r="T62" s="265">
        <v>8857</v>
      </c>
      <c r="U62" s="265">
        <v>8963</v>
      </c>
      <c r="V62" s="1459"/>
      <c r="W62" s="265">
        <f t="shared" si="12"/>
        <v>106</v>
      </c>
      <c r="X62" s="32"/>
      <c r="Y62" s="32"/>
      <c r="Z62" s="32"/>
      <c r="AA62" s="32"/>
    </row>
    <row r="63" spans="1:27" ht="14.5" x14ac:dyDescent="0.35">
      <c r="A63" s="32"/>
      <c r="B63" s="285">
        <v>2387</v>
      </c>
      <c r="C63" s="286" t="s">
        <v>175</v>
      </c>
      <c r="D63" s="36"/>
      <c r="E63" s="263" t="s">
        <v>147</v>
      </c>
      <c r="F63" s="1458" t="s">
        <v>120</v>
      </c>
      <c r="G63" s="1458"/>
      <c r="H63" s="265">
        <v>5484</v>
      </c>
      <c r="I63" s="265">
        <v>5484</v>
      </c>
      <c r="J63" s="265">
        <v>5484</v>
      </c>
      <c r="K63" s="265">
        <v>5484</v>
      </c>
      <c r="L63" s="265">
        <v>5681</v>
      </c>
      <c r="M63" s="265">
        <v>5975</v>
      </c>
      <c r="N63" s="265">
        <v>6409</v>
      </c>
      <c r="O63" s="265">
        <v>6780</v>
      </c>
      <c r="P63" s="265">
        <v>7185</v>
      </c>
      <c r="Q63" s="265">
        <v>7421</v>
      </c>
      <c r="R63" s="265">
        <v>7744</v>
      </c>
      <c r="S63" s="265">
        <v>8310</v>
      </c>
      <c r="T63" s="265">
        <v>9157</v>
      </c>
      <c r="U63" s="265">
        <v>9263</v>
      </c>
      <c r="V63" s="1459"/>
      <c r="W63" s="265">
        <f t="shared" si="12"/>
        <v>106</v>
      </c>
      <c r="X63" s="32"/>
      <c r="Y63" s="32"/>
      <c r="Z63" s="32"/>
      <c r="AA63" s="32"/>
    </row>
    <row r="64" spans="1:27" ht="14.5" x14ac:dyDescent="0.35">
      <c r="A64" s="32"/>
      <c r="B64" s="285">
        <v>2396</v>
      </c>
      <c r="C64" s="286" t="s">
        <v>175</v>
      </c>
      <c r="D64" s="36"/>
      <c r="E64" s="263" t="s">
        <v>148</v>
      </c>
      <c r="F64" s="1458" t="s">
        <v>123</v>
      </c>
      <c r="G64" s="1458"/>
      <c r="H64" s="265">
        <v>5785</v>
      </c>
      <c r="I64" s="265">
        <v>5785</v>
      </c>
      <c r="J64" s="265">
        <v>5785</v>
      </c>
      <c r="K64" s="265">
        <v>5785</v>
      </c>
      <c r="L64" s="265">
        <v>5981</v>
      </c>
      <c r="M64" s="265">
        <v>6276</v>
      </c>
      <c r="N64" s="265">
        <v>6709</v>
      </c>
      <c r="O64" s="265">
        <v>7081</v>
      </c>
      <c r="P64" s="265">
        <v>7485</v>
      </c>
      <c r="Q64" s="265">
        <v>7721</v>
      </c>
      <c r="R64" s="265">
        <v>8044</v>
      </c>
      <c r="S64" s="265">
        <v>8610</v>
      </c>
      <c r="T64" s="265">
        <v>9458</v>
      </c>
      <c r="U64" s="265">
        <v>9563</v>
      </c>
      <c r="V64" s="1459"/>
      <c r="W64" s="265">
        <f t="shared" si="12"/>
        <v>105</v>
      </c>
      <c r="X64" s="32"/>
      <c r="Y64" s="32"/>
      <c r="Z64" s="32"/>
      <c r="AA64" s="32"/>
    </row>
    <row r="65" spans="1:27" ht="14.5" x14ac:dyDescent="0.35">
      <c r="A65" s="32"/>
      <c r="B65" s="285">
        <v>2405</v>
      </c>
      <c r="C65" s="286" t="s">
        <v>175</v>
      </c>
      <c r="D65" s="36"/>
      <c r="E65" s="263" t="s">
        <v>149</v>
      </c>
      <c r="F65" s="1458" t="s">
        <v>125</v>
      </c>
      <c r="G65" s="1458"/>
      <c r="H65" s="265">
        <v>6085</v>
      </c>
      <c r="I65" s="265">
        <v>6085</v>
      </c>
      <c r="J65" s="265">
        <v>6085</v>
      </c>
      <c r="K65" s="265">
        <v>6085</v>
      </c>
      <c r="L65" s="265">
        <v>6281</v>
      </c>
      <c r="M65" s="265">
        <v>6576</v>
      </c>
      <c r="N65" s="265">
        <v>7009</v>
      </c>
      <c r="O65" s="265">
        <v>7381</v>
      </c>
      <c r="P65" s="265">
        <v>7786</v>
      </c>
      <c r="Q65" s="265">
        <v>8021</v>
      </c>
      <c r="R65" s="265">
        <v>8344</v>
      </c>
      <c r="S65" s="265">
        <v>8910</v>
      </c>
      <c r="T65" s="265">
        <v>9758</v>
      </c>
      <c r="U65" s="265">
        <v>9864</v>
      </c>
      <c r="V65" s="1459"/>
      <c r="W65" s="265">
        <f t="shared" si="12"/>
        <v>106</v>
      </c>
      <c r="X65" s="32"/>
      <c r="Y65" s="32"/>
      <c r="Z65" s="32"/>
      <c r="AA65" s="32"/>
    </row>
    <row r="66" spans="1:27" ht="14.5" x14ac:dyDescent="0.35">
      <c r="A66" s="32"/>
      <c r="B66" s="285">
        <v>2406</v>
      </c>
      <c r="C66" s="286" t="s">
        <v>175</v>
      </c>
      <c r="D66" s="36"/>
      <c r="E66" s="263" t="s">
        <v>150</v>
      </c>
      <c r="F66" s="1458" t="s">
        <v>127</v>
      </c>
      <c r="G66" s="1458"/>
      <c r="H66" s="265">
        <v>6385</v>
      </c>
      <c r="I66" s="265">
        <v>6385</v>
      </c>
      <c r="J66" s="265">
        <v>6385</v>
      </c>
      <c r="K66" s="265">
        <v>6385</v>
      </c>
      <c r="L66" s="265">
        <v>6581</v>
      </c>
      <c r="M66" s="265">
        <v>6876</v>
      </c>
      <c r="N66" s="265">
        <v>7309</v>
      </c>
      <c r="O66" s="265">
        <v>7681</v>
      </c>
      <c r="P66" s="265">
        <v>8086</v>
      </c>
      <c r="Q66" s="265">
        <v>8321</v>
      </c>
      <c r="R66" s="265">
        <v>8645</v>
      </c>
      <c r="S66" s="265">
        <v>9210</v>
      </c>
      <c r="T66" s="265">
        <v>10058</v>
      </c>
      <c r="U66" s="265">
        <v>10164</v>
      </c>
      <c r="V66" s="1459"/>
      <c r="W66" s="265">
        <f t="shared" si="12"/>
        <v>106</v>
      </c>
      <c r="X66" s="32"/>
      <c r="Y66" s="32"/>
      <c r="Z66" s="32"/>
      <c r="AA66" s="32"/>
    </row>
    <row r="67" spans="1:27" ht="14.5" x14ac:dyDescent="0.35">
      <c r="A67" s="32"/>
      <c r="B67" s="285">
        <v>2672</v>
      </c>
      <c r="C67" s="286" t="s">
        <v>175</v>
      </c>
      <c r="D67" s="36"/>
      <c r="E67" s="32"/>
      <c r="F67" s="32"/>
      <c r="G67" s="32"/>
      <c r="H67" s="35"/>
      <c r="I67" s="35"/>
      <c r="J67" s="35"/>
      <c r="K67" s="35"/>
      <c r="L67" s="35"/>
      <c r="M67" s="35"/>
      <c r="N67" s="35"/>
      <c r="O67" s="35"/>
      <c r="P67" s="35"/>
      <c r="Q67" s="35"/>
      <c r="R67" s="35"/>
      <c r="S67" s="35"/>
      <c r="T67" s="35"/>
      <c r="U67" s="32"/>
      <c r="V67" s="32"/>
      <c r="W67" s="32"/>
      <c r="X67" s="32"/>
      <c r="Y67" s="32"/>
      <c r="Z67" s="32"/>
      <c r="AA67" s="32"/>
    </row>
    <row r="68" spans="1:27" ht="14.5" x14ac:dyDescent="0.35">
      <c r="A68" s="32"/>
      <c r="B68" s="285">
        <v>2675</v>
      </c>
      <c r="C68" s="286" t="s">
        <v>175</v>
      </c>
      <c r="D68" s="36"/>
      <c r="E68" s="259"/>
      <c r="F68" s="1464" t="s">
        <v>151</v>
      </c>
      <c r="G68" s="1464"/>
      <c r="H68" s="260" t="s">
        <v>66</v>
      </c>
      <c r="I68" s="260"/>
      <c r="J68" s="260"/>
      <c r="K68" s="260"/>
      <c r="L68" s="260"/>
      <c r="M68" s="260"/>
      <c r="N68" s="260"/>
      <c r="O68" s="260"/>
      <c r="P68" s="260"/>
      <c r="Q68" s="260"/>
      <c r="R68" s="260"/>
      <c r="S68" s="260"/>
      <c r="T68" s="260"/>
      <c r="U68" s="260"/>
      <c r="V68" s="260"/>
      <c r="W68" s="266"/>
      <c r="X68" s="32"/>
      <c r="Y68" s="32"/>
      <c r="Z68" s="32"/>
      <c r="AA68" s="32"/>
    </row>
    <row r="69" spans="1:27" ht="14.5" x14ac:dyDescent="0.35">
      <c r="A69" s="32"/>
      <c r="B69" s="285">
        <v>2825</v>
      </c>
      <c r="C69" s="286" t="s">
        <v>175</v>
      </c>
      <c r="D69" s="36"/>
      <c r="E69" s="260" t="s">
        <v>14</v>
      </c>
      <c r="F69" s="1461" t="s">
        <v>225</v>
      </c>
      <c r="G69" s="1461"/>
      <c r="H69" s="267" t="str">
        <f>H19</f>
        <v>$26000 or less</v>
      </c>
      <c r="I69" s="267" t="str">
        <f t="shared" ref="I69:V69" si="13">I19</f>
        <v>$26001 to $39000</v>
      </c>
      <c r="J69" s="267" t="str">
        <f t="shared" si="13"/>
        <v>$39001 to $52000</v>
      </c>
      <c r="K69" s="267" t="str">
        <f t="shared" si="13"/>
        <v>$52001 to $64000</v>
      </c>
      <c r="L69" s="267" t="str">
        <f t="shared" si="13"/>
        <v>$64001 to $77000</v>
      </c>
      <c r="M69" s="267" t="str">
        <f t="shared" si="13"/>
        <v>$77001 to $103000</v>
      </c>
      <c r="N69" s="267" t="str">
        <f t="shared" si="13"/>
        <v>$103001 to $129000</v>
      </c>
      <c r="O69" s="267" t="str">
        <f t="shared" si="13"/>
        <v>$129001 to $155000</v>
      </c>
      <c r="P69" s="267" t="str">
        <f t="shared" si="13"/>
        <v>$155001 to $180000</v>
      </c>
      <c r="Q69" s="267" t="str">
        <f t="shared" si="13"/>
        <v>$180001 to $206000</v>
      </c>
      <c r="R69" s="267" t="str">
        <f t="shared" si="13"/>
        <v>$206001 to $258000</v>
      </c>
      <c r="S69" s="267" t="str">
        <f t="shared" si="13"/>
        <v>$258001 to $322000</v>
      </c>
      <c r="T69" s="267" t="str">
        <f t="shared" si="13"/>
        <v>$322001 to $386000</v>
      </c>
      <c r="U69" s="267" t="str">
        <f t="shared" si="13"/>
        <v>$386001 to $644000</v>
      </c>
      <c r="V69" s="267" t="str">
        <f t="shared" si="13"/>
        <v>$644001 or more</v>
      </c>
      <c r="W69" s="262" t="s">
        <v>39</v>
      </c>
      <c r="X69" s="32"/>
      <c r="Y69" s="32"/>
      <c r="Z69" s="32"/>
      <c r="AA69" s="32"/>
    </row>
    <row r="70" spans="1:27" ht="12.75" customHeight="1" x14ac:dyDescent="0.35">
      <c r="A70" s="32"/>
      <c r="B70" s="285">
        <v>2826</v>
      </c>
      <c r="C70" s="286" t="s">
        <v>175</v>
      </c>
      <c r="D70" s="36"/>
      <c r="E70" s="263" t="s">
        <v>152</v>
      </c>
      <c r="F70" s="1458" t="s">
        <v>68</v>
      </c>
      <c r="G70" s="1458"/>
      <c r="H70" s="264">
        <v>1285</v>
      </c>
      <c r="I70" s="264">
        <v>1285</v>
      </c>
      <c r="J70" s="264">
        <v>1317</v>
      </c>
      <c r="K70" s="264">
        <v>1378</v>
      </c>
      <c r="L70" s="264">
        <v>1463</v>
      </c>
      <c r="M70" s="264">
        <v>1591</v>
      </c>
      <c r="N70" s="264">
        <v>1780</v>
      </c>
      <c r="O70" s="264">
        <v>1942</v>
      </c>
      <c r="P70" s="264">
        <v>2117</v>
      </c>
      <c r="Q70" s="264">
        <v>2220</v>
      </c>
      <c r="R70" s="264">
        <v>2360</v>
      </c>
      <c r="S70" s="264">
        <v>2607</v>
      </c>
      <c r="T70" s="264">
        <v>2975</v>
      </c>
      <c r="U70" s="264">
        <v>3021</v>
      </c>
      <c r="V70" s="1459" t="s">
        <v>233</v>
      </c>
      <c r="W70" s="265">
        <f t="shared" ref="W70:W91" si="14">U70-T70</f>
        <v>46</v>
      </c>
      <c r="X70" s="32"/>
      <c r="Y70" s="32"/>
      <c r="Z70" s="32"/>
      <c r="AA70" s="32"/>
    </row>
    <row r="71" spans="1:27" ht="14.5" x14ac:dyDescent="0.35">
      <c r="A71" s="32"/>
      <c r="B71" s="285">
        <v>2829</v>
      </c>
      <c r="C71" s="286" t="s">
        <v>175</v>
      </c>
      <c r="D71" s="36"/>
      <c r="E71" s="263" t="s">
        <v>153</v>
      </c>
      <c r="F71" s="1458" t="s">
        <v>71</v>
      </c>
      <c r="G71" s="1458"/>
      <c r="H71" s="264">
        <v>1492</v>
      </c>
      <c r="I71" s="265">
        <v>1492</v>
      </c>
      <c r="J71" s="265">
        <v>1492</v>
      </c>
      <c r="K71" s="265">
        <v>1553</v>
      </c>
      <c r="L71" s="265">
        <v>1638</v>
      </c>
      <c r="M71" s="265">
        <v>1766</v>
      </c>
      <c r="N71" s="265">
        <v>1954</v>
      </c>
      <c r="O71" s="265">
        <v>2115</v>
      </c>
      <c r="P71" s="265">
        <v>2291</v>
      </c>
      <c r="Q71" s="265">
        <v>2393</v>
      </c>
      <c r="R71" s="265">
        <v>2533</v>
      </c>
      <c r="S71" s="265">
        <v>2779</v>
      </c>
      <c r="T71" s="264">
        <v>3147</v>
      </c>
      <c r="U71" s="264">
        <v>3193</v>
      </c>
      <c r="V71" s="1459"/>
      <c r="W71" s="265">
        <f t="shared" si="14"/>
        <v>46</v>
      </c>
      <c r="X71" s="32"/>
      <c r="Y71" s="32"/>
      <c r="Z71" s="32"/>
      <c r="AA71" s="32"/>
    </row>
    <row r="72" spans="1:27" ht="14.5" x14ac:dyDescent="0.35">
      <c r="A72" s="32"/>
      <c r="B72" s="285">
        <v>2832</v>
      </c>
      <c r="C72" s="286" t="s">
        <v>174</v>
      </c>
      <c r="D72" s="36"/>
      <c r="E72" s="263" t="s">
        <v>154</v>
      </c>
      <c r="F72" s="1458" t="s">
        <v>74</v>
      </c>
      <c r="G72" s="1458"/>
      <c r="H72" s="264">
        <v>1664</v>
      </c>
      <c r="I72" s="265">
        <v>1664</v>
      </c>
      <c r="J72" s="265">
        <v>1664</v>
      </c>
      <c r="K72" s="265">
        <v>1725</v>
      </c>
      <c r="L72" s="265">
        <v>1811</v>
      </c>
      <c r="M72" s="265">
        <v>1940</v>
      </c>
      <c r="N72" s="265">
        <v>2129</v>
      </c>
      <c r="O72" s="265">
        <v>2291</v>
      </c>
      <c r="P72" s="265">
        <v>2468</v>
      </c>
      <c r="Q72" s="265">
        <v>2571</v>
      </c>
      <c r="R72" s="265">
        <v>2712</v>
      </c>
      <c r="S72" s="265">
        <v>2959</v>
      </c>
      <c r="T72" s="264">
        <v>3329</v>
      </c>
      <c r="U72" s="264">
        <v>3375</v>
      </c>
      <c r="V72" s="1459"/>
      <c r="W72" s="265">
        <f t="shared" si="14"/>
        <v>46</v>
      </c>
      <c r="X72" s="32"/>
      <c r="Y72" s="32"/>
      <c r="Z72" s="32"/>
      <c r="AA72" s="32"/>
    </row>
    <row r="73" spans="1:27" ht="14.5" x14ac:dyDescent="0.35">
      <c r="A73" s="32"/>
      <c r="B73" s="285">
        <v>2833</v>
      </c>
      <c r="C73" s="286" t="s">
        <v>175</v>
      </c>
      <c r="D73" s="36"/>
      <c r="E73" s="263" t="s">
        <v>155</v>
      </c>
      <c r="F73" s="1458" t="s">
        <v>77</v>
      </c>
      <c r="G73" s="1458"/>
      <c r="H73" s="264">
        <v>1863</v>
      </c>
      <c r="I73" s="265">
        <v>1863</v>
      </c>
      <c r="J73" s="265">
        <v>1863</v>
      </c>
      <c r="K73" s="265">
        <v>1863</v>
      </c>
      <c r="L73" s="265">
        <v>1948</v>
      </c>
      <c r="M73" s="265">
        <v>2076</v>
      </c>
      <c r="N73" s="265">
        <v>2265</v>
      </c>
      <c r="O73" s="265">
        <v>2426</v>
      </c>
      <c r="P73" s="265">
        <v>2602</v>
      </c>
      <c r="Q73" s="265">
        <v>2705</v>
      </c>
      <c r="R73" s="265">
        <v>2845</v>
      </c>
      <c r="S73" s="265">
        <v>3091</v>
      </c>
      <c r="T73" s="264">
        <v>3460</v>
      </c>
      <c r="U73" s="264">
        <v>3506</v>
      </c>
      <c r="V73" s="1459"/>
      <c r="W73" s="265">
        <f t="shared" si="14"/>
        <v>46</v>
      </c>
      <c r="X73" s="32"/>
      <c r="Y73" s="32"/>
      <c r="Z73" s="32"/>
      <c r="AA73" s="32"/>
    </row>
    <row r="74" spans="1:27" ht="14.5" x14ac:dyDescent="0.35">
      <c r="A74" s="32"/>
      <c r="B74" s="285">
        <v>2834</v>
      </c>
      <c r="C74" s="286" t="s">
        <v>174</v>
      </c>
      <c r="D74" s="36"/>
      <c r="E74" s="263" t="s">
        <v>156</v>
      </c>
      <c r="F74" s="1458" t="s">
        <v>80</v>
      </c>
      <c r="G74" s="1458"/>
      <c r="H74" s="264">
        <v>1993</v>
      </c>
      <c r="I74" s="265">
        <v>1993</v>
      </c>
      <c r="J74" s="265">
        <v>1993</v>
      </c>
      <c r="K74" s="265">
        <v>1993</v>
      </c>
      <c r="L74" s="265">
        <v>2079</v>
      </c>
      <c r="M74" s="265">
        <v>2207</v>
      </c>
      <c r="N74" s="265">
        <v>2395</v>
      </c>
      <c r="O74" s="265">
        <v>2557</v>
      </c>
      <c r="P74" s="265">
        <v>2733</v>
      </c>
      <c r="Q74" s="265">
        <v>2835</v>
      </c>
      <c r="R74" s="265">
        <v>2976</v>
      </c>
      <c r="S74" s="265">
        <v>3222</v>
      </c>
      <c r="T74" s="264">
        <v>3590</v>
      </c>
      <c r="U74" s="264">
        <v>3636</v>
      </c>
      <c r="V74" s="1459"/>
      <c r="W74" s="265">
        <f t="shared" si="14"/>
        <v>46</v>
      </c>
      <c r="X74" s="32"/>
      <c r="Y74" s="32"/>
      <c r="Z74" s="32"/>
      <c r="AA74" s="32"/>
    </row>
    <row r="75" spans="1:27" ht="14.5" x14ac:dyDescent="0.35">
      <c r="A75" s="32"/>
      <c r="B75" s="285">
        <v>2835</v>
      </c>
      <c r="C75" s="286" t="s">
        <v>174</v>
      </c>
      <c r="D75" s="36"/>
      <c r="E75" s="263" t="s">
        <v>157</v>
      </c>
      <c r="F75" s="1458" t="s">
        <v>83</v>
      </c>
      <c r="G75" s="1458"/>
      <c r="H75" s="264">
        <v>2124</v>
      </c>
      <c r="I75" s="265">
        <v>2124</v>
      </c>
      <c r="J75" s="265">
        <v>2124</v>
      </c>
      <c r="K75" s="265">
        <v>2124</v>
      </c>
      <c r="L75" s="265">
        <v>2209</v>
      </c>
      <c r="M75" s="265">
        <v>2337</v>
      </c>
      <c r="N75" s="265">
        <v>2526</v>
      </c>
      <c r="O75" s="265">
        <v>2687</v>
      </c>
      <c r="P75" s="265">
        <v>2863</v>
      </c>
      <c r="Q75" s="265">
        <v>2966</v>
      </c>
      <c r="R75" s="265">
        <v>3106</v>
      </c>
      <c r="S75" s="265">
        <v>3352</v>
      </c>
      <c r="T75" s="264">
        <v>3721</v>
      </c>
      <c r="U75" s="264">
        <v>3767</v>
      </c>
      <c r="V75" s="1459"/>
      <c r="W75" s="265">
        <f t="shared" si="14"/>
        <v>46</v>
      </c>
      <c r="X75" s="32"/>
      <c r="Y75" s="32"/>
      <c r="Z75" s="32"/>
      <c r="AA75" s="32"/>
    </row>
    <row r="76" spans="1:27" ht="14.5" x14ac:dyDescent="0.35">
      <c r="A76" s="32"/>
      <c r="B76" s="285">
        <v>2836</v>
      </c>
      <c r="C76" s="286" t="s">
        <v>174</v>
      </c>
      <c r="D76" s="36"/>
      <c r="E76" s="263" t="s">
        <v>158</v>
      </c>
      <c r="F76" s="1458" t="s">
        <v>86</v>
      </c>
      <c r="G76" s="1458"/>
      <c r="H76" s="264">
        <v>2254</v>
      </c>
      <c r="I76" s="265">
        <v>2254</v>
      </c>
      <c r="J76" s="265">
        <v>2254</v>
      </c>
      <c r="K76" s="265">
        <v>2254</v>
      </c>
      <c r="L76" s="265">
        <v>2340</v>
      </c>
      <c r="M76" s="265">
        <v>2468</v>
      </c>
      <c r="N76" s="265">
        <v>2656</v>
      </c>
      <c r="O76" s="265">
        <v>2818</v>
      </c>
      <c r="P76" s="265">
        <v>2994</v>
      </c>
      <c r="Q76" s="265">
        <v>3096</v>
      </c>
      <c r="R76" s="265">
        <v>3237</v>
      </c>
      <c r="S76" s="265">
        <v>3483</v>
      </c>
      <c r="T76" s="264">
        <v>3851</v>
      </c>
      <c r="U76" s="264">
        <v>3897</v>
      </c>
      <c r="V76" s="1459"/>
      <c r="W76" s="265">
        <f t="shared" si="14"/>
        <v>46</v>
      </c>
      <c r="X76" s="32"/>
      <c r="Y76" s="32"/>
      <c r="Z76" s="32"/>
      <c r="AA76" s="32"/>
    </row>
    <row r="77" spans="1:27" ht="14.5" x14ac:dyDescent="0.35">
      <c r="A77" s="32"/>
      <c r="B77" s="285">
        <v>2838</v>
      </c>
      <c r="C77" s="286" t="s">
        <v>174</v>
      </c>
      <c r="D77" s="36"/>
      <c r="E77" s="263" t="s">
        <v>159</v>
      </c>
      <c r="F77" s="1458" t="s">
        <v>89</v>
      </c>
      <c r="G77" s="1458"/>
      <c r="H77" s="264">
        <v>2385</v>
      </c>
      <c r="I77" s="265">
        <v>2385</v>
      </c>
      <c r="J77" s="265">
        <v>2385</v>
      </c>
      <c r="K77" s="265">
        <v>2385</v>
      </c>
      <c r="L77" s="265">
        <v>2470</v>
      </c>
      <c r="M77" s="265">
        <v>2598</v>
      </c>
      <c r="N77" s="265">
        <v>2787</v>
      </c>
      <c r="O77" s="265">
        <v>2948</v>
      </c>
      <c r="P77" s="265">
        <v>3124</v>
      </c>
      <c r="Q77" s="265">
        <v>3227</v>
      </c>
      <c r="R77" s="265">
        <v>3367</v>
      </c>
      <c r="S77" s="265">
        <v>3613</v>
      </c>
      <c r="T77" s="264">
        <v>3982</v>
      </c>
      <c r="U77" s="264">
        <v>4028</v>
      </c>
      <c r="V77" s="1459"/>
      <c r="W77" s="265">
        <f t="shared" si="14"/>
        <v>46</v>
      </c>
      <c r="X77" s="32"/>
      <c r="Y77" s="32"/>
      <c r="Z77" s="32"/>
      <c r="AA77" s="32"/>
    </row>
    <row r="78" spans="1:27" ht="14.5" x14ac:dyDescent="0.35">
      <c r="A78" s="32"/>
      <c r="B78" s="285">
        <v>2839</v>
      </c>
      <c r="C78" s="286" t="s">
        <v>174</v>
      </c>
      <c r="D78" s="36"/>
      <c r="E78" s="263" t="s">
        <v>160</v>
      </c>
      <c r="F78" s="1458" t="s">
        <v>92</v>
      </c>
      <c r="G78" s="1458"/>
      <c r="H78" s="264">
        <v>2515</v>
      </c>
      <c r="I78" s="265">
        <v>2515</v>
      </c>
      <c r="J78" s="265">
        <v>2515</v>
      </c>
      <c r="K78" s="265">
        <v>2515</v>
      </c>
      <c r="L78" s="265">
        <v>2601</v>
      </c>
      <c r="M78" s="265">
        <v>2729</v>
      </c>
      <c r="N78" s="265">
        <v>2917</v>
      </c>
      <c r="O78" s="265">
        <v>3079</v>
      </c>
      <c r="P78" s="265">
        <v>3255</v>
      </c>
      <c r="Q78" s="265">
        <v>3357</v>
      </c>
      <c r="R78" s="265">
        <v>3498</v>
      </c>
      <c r="S78" s="265">
        <v>3744</v>
      </c>
      <c r="T78" s="264">
        <v>4112</v>
      </c>
      <c r="U78" s="264">
        <v>4158</v>
      </c>
      <c r="V78" s="1459"/>
      <c r="W78" s="265">
        <f t="shared" si="14"/>
        <v>46</v>
      </c>
      <c r="X78" s="32"/>
      <c r="Y78" s="32"/>
      <c r="Z78" s="32"/>
      <c r="AA78" s="32"/>
    </row>
    <row r="79" spans="1:27" ht="14.5" x14ac:dyDescent="0.35">
      <c r="A79" s="32"/>
      <c r="B79" s="285">
        <v>2840</v>
      </c>
      <c r="C79" s="286" t="s">
        <v>174</v>
      </c>
      <c r="D79" s="36"/>
      <c r="E79" s="263" t="s">
        <v>161</v>
      </c>
      <c r="F79" s="1458" t="s">
        <v>95</v>
      </c>
      <c r="G79" s="1458"/>
      <c r="H79" s="264">
        <v>2646</v>
      </c>
      <c r="I79" s="265">
        <v>2646</v>
      </c>
      <c r="J79" s="265">
        <v>2646</v>
      </c>
      <c r="K79" s="265">
        <v>2646</v>
      </c>
      <c r="L79" s="265">
        <v>2731</v>
      </c>
      <c r="M79" s="265">
        <v>2859</v>
      </c>
      <c r="N79" s="265">
        <v>3048</v>
      </c>
      <c r="O79" s="265">
        <v>3209</v>
      </c>
      <c r="P79" s="265">
        <v>3385</v>
      </c>
      <c r="Q79" s="265">
        <v>3488</v>
      </c>
      <c r="R79" s="265">
        <v>3628</v>
      </c>
      <c r="S79" s="265">
        <v>3874</v>
      </c>
      <c r="T79" s="264">
        <v>4243</v>
      </c>
      <c r="U79" s="264">
        <v>4289</v>
      </c>
      <c r="V79" s="1459"/>
      <c r="W79" s="265">
        <f t="shared" si="14"/>
        <v>46</v>
      </c>
      <c r="X79" s="32"/>
      <c r="Y79" s="32"/>
      <c r="Z79" s="32"/>
      <c r="AA79" s="32"/>
    </row>
    <row r="80" spans="1:27" ht="14.5" x14ac:dyDescent="0.35">
      <c r="A80" s="32"/>
      <c r="B80" s="285">
        <v>2873</v>
      </c>
      <c r="C80" s="286" t="s">
        <v>175</v>
      </c>
      <c r="D80" s="36"/>
      <c r="E80" s="263" t="s">
        <v>162</v>
      </c>
      <c r="F80" s="1458" t="s">
        <v>98</v>
      </c>
      <c r="G80" s="1458"/>
      <c r="H80" s="264">
        <v>2776</v>
      </c>
      <c r="I80" s="265">
        <v>2776</v>
      </c>
      <c r="J80" s="265">
        <v>2776</v>
      </c>
      <c r="K80" s="265">
        <v>2776</v>
      </c>
      <c r="L80" s="265">
        <v>2862</v>
      </c>
      <c r="M80" s="265">
        <v>2990</v>
      </c>
      <c r="N80" s="265">
        <v>3178</v>
      </c>
      <c r="O80" s="265">
        <v>3340</v>
      </c>
      <c r="P80" s="265">
        <v>3516</v>
      </c>
      <c r="Q80" s="265">
        <v>3618</v>
      </c>
      <c r="R80" s="265">
        <v>3759</v>
      </c>
      <c r="S80" s="265">
        <v>4005</v>
      </c>
      <c r="T80" s="264">
        <v>4373</v>
      </c>
      <c r="U80" s="264">
        <v>4419</v>
      </c>
      <c r="V80" s="1459"/>
      <c r="W80" s="265">
        <f t="shared" si="14"/>
        <v>46</v>
      </c>
      <c r="X80" s="32"/>
      <c r="Y80" s="32"/>
      <c r="Z80" s="32"/>
      <c r="AA80" s="32"/>
    </row>
    <row r="81" spans="1:27" ht="12.75" customHeight="1" x14ac:dyDescent="0.35">
      <c r="A81" s="32"/>
      <c r="B81" s="285">
        <v>2878</v>
      </c>
      <c r="C81" s="286" t="s">
        <v>174</v>
      </c>
      <c r="D81" s="36"/>
      <c r="E81" s="263" t="s">
        <v>163</v>
      </c>
      <c r="F81" s="1458" t="s">
        <v>101</v>
      </c>
      <c r="G81" s="1458"/>
      <c r="H81" s="264">
        <v>1478</v>
      </c>
      <c r="I81" s="265">
        <v>1478</v>
      </c>
      <c r="J81" s="265">
        <v>1514</v>
      </c>
      <c r="K81" s="265">
        <v>1584</v>
      </c>
      <c r="L81" s="265">
        <v>1682</v>
      </c>
      <c r="M81" s="265">
        <v>1830</v>
      </c>
      <c r="N81" s="265">
        <v>2046</v>
      </c>
      <c r="O81" s="265">
        <v>2233</v>
      </c>
      <c r="P81" s="265">
        <v>2435</v>
      </c>
      <c r="Q81" s="265">
        <v>2553</v>
      </c>
      <c r="R81" s="265">
        <v>2714</v>
      </c>
      <c r="S81" s="265">
        <v>2997</v>
      </c>
      <c r="T81" s="264">
        <v>3421</v>
      </c>
      <c r="U81" s="264">
        <v>3474</v>
      </c>
      <c r="V81" s="1459" t="s">
        <v>233</v>
      </c>
      <c r="W81" s="265">
        <f t="shared" si="14"/>
        <v>53</v>
      </c>
      <c r="X81" s="32"/>
      <c r="Y81" s="32"/>
      <c r="Z81" s="32"/>
      <c r="AA81" s="32"/>
    </row>
    <row r="82" spans="1:27" ht="14.5" x14ac:dyDescent="0.35">
      <c r="A82" s="32"/>
      <c r="B82" s="285">
        <v>2879</v>
      </c>
      <c r="C82" s="286" t="s">
        <v>174</v>
      </c>
      <c r="D82" s="36"/>
      <c r="E82" s="263" t="s">
        <v>164</v>
      </c>
      <c r="F82" s="1458" t="s">
        <v>104</v>
      </c>
      <c r="G82" s="1458"/>
      <c r="H82" s="264">
        <v>1716</v>
      </c>
      <c r="I82" s="265">
        <v>1716</v>
      </c>
      <c r="J82" s="265">
        <v>1716</v>
      </c>
      <c r="K82" s="265">
        <v>1785</v>
      </c>
      <c r="L82" s="265">
        <v>1884</v>
      </c>
      <c r="M82" s="265">
        <v>2031</v>
      </c>
      <c r="N82" s="265">
        <v>2247</v>
      </c>
      <c r="O82" s="265">
        <v>2432</v>
      </c>
      <c r="P82" s="265">
        <v>2634</v>
      </c>
      <c r="Q82" s="265">
        <v>2752</v>
      </c>
      <c r="R82" s="265">
        <v>2913</v>
      </c>
      <c r="S82" s="265">
        <v>3195</v>
      </c>
      <c r="T82" s="264">
        <v>3618</v>
      </c>
      <c r="U82" s="264">
        <v>3671</v>
      </c>
      <c r="V82" s="1459"/>
      <c r="W82" s="265">
        <f t="shared" si="14"/>
        <v>53</v>
      </c>
      <c r="X82" s="32"/>
      <c r="Y82" s="32"/>
      <c r="Z82" s="32"/>
      <c r="AA82" s="32"/>
    </row>
    <row r="83" spans="1:27" ht="14.5" x14ac:dyDescent="0.35">
      <c r="A83" s="32"/>
      <c r="B83" s="285">
        <v>2898</v>
      </c>
      <c r="C83" s="286" t="s">
        <v>174</v>
      </c>
      <c r="D83" s="36"/>
      <c r="E83" s="263" t="s">
        <v>165</v>
      </c>
      <c r="F83" s="1458" t="s">
        <v>107</v>
      </c>
      <c r="G83" s="1458"/>
      <c r="H83" s="264">
        <v>1914</v>
      </c>
      <c r="I83" s="265">
        <v>1914</v>
      </c>
      <c r="J83" s="265">
        <v>1914</v>
      </c>
      <c r="K83" s="265">
        <v>1984</v>
      </c>
      <c r="L83" s="265">
        <v>2083</v>
      </c>
      <c r="M83" s="265">
        <v>2230</v>
      </c>
      <c r="N83" s="265">
        <v>2448</v>
      </c>
      <c r="O83" s="265">
        <v>2635</v>
      </c>
      <c r="P83" s="265">
        <v>2838</v>
      </c>
      <c r="Q83" s="265">
        <v>2956</v>
      </c>
      <c r="R83" s="265">
        <v>3118</v>
      </c>
      <c r="S83" s="265">
        <v>3402</v>
      </c>
      <c r="T83" s="264">
        <v>3828</v>
      </c>
      <c r="U83" s="264">
        <v>3881</v>
      </c>
      <c r="V83" s="1459"/>
      <c r="W83" s="265">
        <f t="shared" si="14"/>
        <v>53</v>
      </c>
      <c r="X83" s="32"/>
      <c r="Y83" s="32"/>
      <c r="Z83" s="32"/>
      <c r="AA83" s="32"/>
    </row>
    <row r="84" spans="1:27" ht="14.5" x14ac:dyDescent="0.35">
      <c r="A84" s="32"/>
      <c r="B84" s="285">
        <v>2899</v>
      </c>
      <c r="C84" s="286" t="s">
        <v>174</v>
      </c>
      <c r="D84" s="36"/>
      <c r="E84" s="263" t="s">
        <v>166</v>
      </c>
      <c r="F84" s="1458" t="s">
        <v>110</v>
      </c>
      <c r="G84" s="1458"/>
      <c r="H84" s="264">
        <v>2142</v>
      </c>
      <c r="I84" s="265">
        <v>2142</v>
      </c>
      <c r="J84" s="265">
        <v>2142</v>
      </c>
      <c r="K84" s="265">
        <v>2142</v>
      </c>
      <c r="L84" s="265">
        <v>2240</v>
      </c>
      <c r="M84" s="265">
        <v>2387</v>
      </c>
      <c r="N84" s="265">
        <v>2604</v>
      </c>
      <c r="O84" s="265">
        <v>2790</v>
      </c>
      <c r="P84" s="265">
        <v>2992</v>
      </c>
      <c r="Q84" s="265">
        <v>3110</v>
      </c>
      <c r="R84" s="265">
        <v>3272</v>
      </c>
      <c r="S84" s="265">
        <v>3555</v>
      </c>
      <c r="T84" s="264">
        <v>3978</v>
      </c>
      <c r="U84" s="264">
        <v>4031</v>
      </c>
      <c r="V84" s="1459"/>
      <c r="W84" s="265">
        <f t="shared" si="14"/>
        <v>53</v>
      </c>
      <c r="X84" s="32"/>
      <c r="Y84" s="32"/>
      <c r="Z84" s="32"/>
      <c r="AA84" s="32"/>
    </row>
    <row r="85" spans="1:27" ht="14.5" x14ac:dyDescent="0.35">
      <c r="A85" s="32"/>
      <c r="B85" s="285">
        <v>3395</v>
      </c>
      <c r="C85" s="286" t="s">
        <v>175</v>
      </c>
      <c r="D85" s="36"/>
      <c r="E85" s="263" t="s">
        <v>167</v>
      </c>
      <c r="F85" s="1458" t="s">
        <v>113</v>
      </c>
      <c r="G85" s="1458"/>
      <c r="H85" s="265">
        <v>2292</v>
      </c>
      <c r="I85" s="265">
        <v>2292</v>
      </c>
      <c r="J85" s="265">
        <v>2292</v>
      </c>
      <c r="K85" s="265">
        <v>2292</v>
      </c>
      <c r="L85" s="265">
        <v>2390</v>
      </c>
      <c r="M85" s="265">
        <v>2537</v>
      </c>
      <c r="N85" s="265">
        <v>2754</v>
      </c>
      <c r="O85" s="265">
        <v>2940</v>
      </c>
      <c r="P85" s="265">
        <v>3142</v>
      </c>
      <c r="Q85" s="265">
        <v>3260</v>
      </c>
      <c r="R85" s="265">
        <v>3422</v>
      </c>
      <c r="S85" s="265">
        <v>3705</v>
      </c>
      <c r="T85" s="264">
        <v>4129</v>
      </c>
      <c r="U85" s="264">
        <v>4181</v>
      </c>
      <c r="V85" s="1459"/>
      <c r="W85" s="265">
        <f t="shared" si="14"/>
        <v>52</v>
      </c>
      <c r="X85" s="32"/>
      <c r="Y85" s="32"/>
      <c r="Z85" s="32"/>
      <c r="AA85" s="32"/>
    </row>
    <row r="86" spans="1:27" ht="14.5" x14ac:dyDescent="0.35">
      <c r="A86" s="32"/>
      <c r="B86" s="285">
        <v>3506</v>
      </c>
      <c r="C86" s="286" t="s">
        <v>175</v>
      </c>
      <c r="D86" s="36"/>
      <c r="E86" s="263" t="s">
        <v>168</v>
      </c>
      <c r="F86" s="1458" t="s">
        <v>116</v>
      </c>
      <c r="G86" s="1458"/>
      <c r="H86" s="265">
        <v>2442</v>
      </c>
      <c r="I86" s="265">
        <v>2442</v>
      </c>
      <c r="J86" s="265">
        <v>2442</v>
      </c>
      <c r="K86" s="265">
        <v>2442</v>
      </c>
      <c r="L86" s="265">
        <v>2540</v>
      </c>
      <c r="M86" s="265">
        <v>2688</v>
      </c>
      <c r="N86" s="265">
        <v>2904</v>
      </c>
      <c r="O86" s="265">
        <v>3090</v>
      </c>
      <c r="P86" s="265">
        <v>3292</v>
      </c>
      <c r="Q86" s="265">
        <v>3410</v>
      </c>
      <c r="R86" s="265">
        <v>3572</v>
      </c>
      <c r="S86" s="265">
        <v>3855</v>
      </c>
      <c r="T86" s="265">
        <v>4279</v>
      </c>
      <c r="U86" s="265">
        <v>4331</v>
      </c>
      <c r="V86" s="1459"/>
      <c r="W86" s="265">
        <f t="shared" si="14"/>
        <v>52</v>
      </c>
      <c r="X86" s="32"/>
      <c r="Y86" s="32"/>
      <c r="Z86" s="32"/>
      <c r="AA86" s="32"/>
    </row>
    <row r="87" spans="1:27" ht="14.5" x14ac:dyDescent="0.35">
      <c r="A87" s="32"/>
      <c r="B87" s="285">
        <v>3509</v>
      </c>
      <c r="C87" s="286" t="s">
        <v>175</v>
      </c>
      <c r="D87" s="36"/>
      <c r="E87" s="263" t="s">
        <v>169</v>
      </c>
      <c r="F87" s="1458" t="s">
        <v>118</v>
      </c>
      <c r="G87" s="1458"/>
      <c r="H87" s="265">
        <v>2592</v>
      </c>
      <c r="I87" s="265">
        <v>2592</v>
      </c>
      <c r="J87" s="265">
        <v>2592</v>
      </c>
      <c r="K87" s="265">
        <v>2592</v>
      </c>
      <c r="L87" s="265">
        <v>2690</v>
      </c>
      <c r="M87" s="265">
        <v>2838</v>
      </c>
      <c r="N87" s="265">
        <v>3054</v>
      </c>
      <c r="O87" s="265">
        <v>3240</v>
      </c>
      <c r="P87" s="265">
        <v>3443</v>
      </c>
      <c r="Q87" s="265">
        <v>3560</v>
      </c>
      <c r="R87" s="265">
        <v>3722</v>
      </c>
      <c r="S87" s="265">
        <v>4005</v>
      </c>
      <c r="T87" s="265">
        <v>4429</v>
      </c>
      <c r="U87" s="265">
        <v>4482</v>
      </c>
      <c r="V87" s="1459"/>
      <c r="W87" s="265">
        <f t="shared" si="14"/>
        <v>53</v>
      </c>
      <c r="X87" s="32"/>
      <c r="Y87" s="32"/>
      <c r="Z87" s="32"/>
      <c r="AA87" s="32"/>
    </row>
    <row r="88" spans="1:27" ht="14.5" x14ac:dyDescent="0.35">
      <c r="A88" s="32"/>
      <c r="B88" s="285">
        <v>3512</v>
      </c>
      <c r="C88" s="286" t="s">
        <v>175</v>
      </c>
      <c r="D88" s="36"/>
      <c r="E88" s="263" t="s">
        <v>170</v>
      </c>
      <c r="F88" s="1458" t="s">
        <v>120</v>
      </c>
      <c r="G88" s="1458"/>
      <c r="H88" s="265">
        <v>2742</v>
      </c>
      <c r="I88" s="265">
        <v>2742</v>
      </c>
      <c r="J88" s="265">
        <v>2742</v>
      </c>
      <c r="K88" s="265">
        <v>2742</v>
      </c>
      <c r="L88" s="265">
        <v>2841</v>
      </c>
      <c r="M88" s="265">
        <v>2988</v>
      </c>
      <c r="N88" s="265">
        <v>3204</v>
      </c>
      <c r="O88" s="265">
        <v>3390</v>
      </c>
      <c r="P88" s="265">
        <v>3593</v>
      </c>
      <c r="Q88" s="265">
        <v>3710</v>
      </c>
      <c r="R88" s="265">
        <v>3872</v>
      </c>
      <c r="S88" s="265">
        <v>4155</v>
      </c>
      <c r="T88" s="265">
        <v>4579</v>
      </c>
      <c r="U88" s="265">
        <v>4632</v>
      </c>
      <c r="V88" s="1459"/>
      <c r="W88" s="265">
        <f t="shared" si="14"/>
        <v>53</v>
      </c>
      <c r="X88" s="32"/>
      <c r="Y88" s="32"/>
      <c r="Z88" s="32"/>
      <c r="AA88" s="32"/>
    </row>
    <row r="89" spans="1:27" ht="14.5" x14ac:dyDescent="0.35">
      <c r="A89" s="32"/>
      <c r="B89" s="285">
        <v>3890</v>
      </c>
      <c r="C89" s="286" t="s">
        <v>175</v>
      </c>
      <c r="D89" s="36"/>
      <c r="E89" s="263" t="s">
        <v>171</v>
      </c>
      <c r="F89" s="1458" t="s">
        <v>123</v>
      </c>
      <c r="G89" s="1458"/>
      <c r="H89" s="265">
        <v>2892</v>
      </c>
      <c r="I89" s="265">
        <v>2892</v>
      </c>
      <c r="J89" s="265">
        <v>2892</v>
      </c>
      <c r="K89" s="265">
        <v>2892</v>
      </c>
      <c r="L89" s="265">
        <v>2991</v>
      </c>
      <c r="M89" s="265">
        <v>3138</v>
      </c>
      <c r="N89" s="265">
        <v>3355</v>
      </c>
      <c r="O89" s="265">
        <v>3540</v>
      </c>
      <c r="P89" s="265">
        <v>3743</v>
      </c>
      <c r="Q89" s="265">
        <v>3861</v>
      </c>
      <c r="R89" s="265">
        <v>4022</v>
      </c>
      <c r="S89" s="265">
        <v>4305</v>
      </c>
      <c r="T89" s="265">
        <v>4729</v>
      </c>
      <c r="U89" s="265">
        <v>4782</v>
      </c>
      <c r="V89" s="1459"/>
      <c r="W89" s="265">
        <f t="shared" si="14"/>
        <v>53</v>
      </c>
      <c r="X89" s="32"/>
      <c r="Y89" s="32"/>
      <c r="Z89" s="32"/>
      <c r="AA89" s="32"/>
    </row>
    <row r="90" spans="1:27" ht="14.5" x14ac:dyDescent="0.35">
      <c r="A90" s="32"/>
      <c r="B90" s="285">
        <v>3891</v>
      </c>
      <c r="C90" s="286" t="s">
        <v>175</v>
      </c>
      <c r="D90" s="36"/>
      <c r="E90" s="263" t="s">
        <v>172</v>
      </c>
      <c r="F90" s="1458" t="s">
        <v>125</v>
      </c>
      <c r="G90" s="1458"/>
      <c r="H90" s="265">
        <v>3042</v>
      </c>
      <c r="I90" s="265">
        <v>3042</v>
      </c>
      <c r="J90" s="265">
        <v>3042</v>
      </c>
      <c r="K90" s="265">
        <v>3042</v>
      </c>
      <c r="L90" s="265">
        <v>3141</v>
      </c>
      <c r="M90" s="265">
        <v>3288</v>
      </c>
      <c r="N90" s="265">
        <v>3505</v>
      </c>
      <c r="O90" s="265">
        <v>3690</v>
      </c>
      <c r="P90" s="265">
        <v>3893</v>
      </c>
      <c r="Q90" s="265">
        <v>4011</v>
      </c>
      <c r="R90" s="265">
        <v>4172</v>
      </c>
      <c r="S90" s="265">
        <v>4455</v>
      </c>
      <c r="T90" s="265">
        <v>4879</v>
      </c>
      <c r="U90" s="265">
        <v>4932</v>
      </c>
      <c r="V90" s="1459"/>
      <c r="W90" s="265">
        <f t="shared" si="14"/>
        <v>53</v>
      </c>
      <c r="X90" s="32"/>
      <c r="Y90" s="32"/>
      <c r="Z90" s="32"/>
      <c r="AA90" s="32"/>
    </row>
    <row r="91" spans="1:27" ht="14.5" x14ac:dyDescent="0.35">
      <c r="A91" s="32"/>
      <c r="B91" s="285">
        <v>3892</v>
      </c>
      <c r="C91" s="286" t="s">
        <v>175</v>
      </c>
      <c r="D91" s="36"/>
      <c r="E91" s="263" t="s">
        <v>173</v>
      </c>
      <c r="F91" s="1458" t="s">
        <v>127</v>
      </c>
      <c r="G91" s="1458"/>
      <c r="H91" s="265">
        <v>3192</v>
      </c>
      <c r="I91" s="265">
        <v>3192</v>
      </c>
      <c r="J91" s="265">
        <v>3192</v>
      </c>
      <c r="K91" s="265">
        <v>3192</v>
      </c>
      <c r="L91" s="265">
        <v>3291</v>
      </c>
      <c r="M91" s="265">
        <v>3438</v>
      </c>
      <c r="N91" s="265">
        <v>3655</v>
      </c>
      <c r="O91" s="265">
        <v>3840</v>
      </c>
      <c r="P91" s="265">
        <v>4043</v>
      </c>
      <c r="Q91" s="265">
        <v>4161</v>
      </c>
      <c r="R91" s="265">
        <v>4322</v>
      </c>
      <c r="S91" s="265">
        <v>4605</v>
      </c>
      <c r="T91" s="265">
        <v>5029</v>
      </c>
      <c r="U91" s="265">
        <v>5082</v>
      </c>
      <c r="V91" s="1459"/>
      <c r="W91" s="265">
        <f t="shared" si="14"/>
        <v>53</v>
      </c>
      <c r="X91" s="32"/>
      <c r="Y91" s="32"/>
      <c r="Z91" s="32"/>
      <c r="AA91" s="32"/>
    </row>
    <row r="92" spans="1:27" ht="14.5" x14ac:dyDescent="0.35">
      <c r="A92" s="32"/>
      <c r="B92" s="285">
        <v>4025</v>
      </c>
      <c r="C92" s="286" t="s">
        <v>175</v>
      </c>
      <c r="D92" s="36"/>
      <c r="E92" s="32"/>
      <c r="F92" s="32"/>
      <c r="G92" s="32"/>
      <c r="H92" s="32"/>
      <c r="I92" s="32"/>
      <c r="J92" s="32"/>
      <c r="K92" s="32"/>
      <c r="L92" s="32"/>
      <c r="M92" s="32"/>
      <c r="N92" s="32"/>
      <c r="O92" s="32"/>
      <c r="P92" s="32"/>
      <c r="Q92" s="32"/>
      <c r="R92" s="32"/>
      <c r="S92" s="32"/>
      <c r="T92" s="32"/>
      <c r="U92" s="32"/>
      <c r="V92" s="32"/>
      <c r="W92" s="32"/>
      <c r="X92" s="32"/>
      <c r="Y92" s="32"/>
      <c r="Z92" s="32"/>
      <c r="AA92" s="32"/>
    </row>
    <row r="93" spans="1:27" ht="14.5" x14ac:dyDescent="0.35">
      <c r="A93" s="32"/>
      <c r="B93" s="285">
        <v>4183</v>
      </c>
      <c r="C93" s="286" t="s">
        <v>175</v>
      </c>
      <c r="D93" s="36"/>
      <c r="E93" s="32"/>
      <c r="F93" s="32"/>
      <c r="G93" s="32"/>
      <c r="H93" s="32"/>
      <c r="I93" s="32"/>
      <c r="J93" s="32"/>
      <c r="K93" s="32"/>
      <c r="L93" s="32"/>
      <c r="M93" s="32"/>
      <c r="N93" s="32"/>
      <c r="O93" s="32"/>
      <c r="P93" s="32"/>
      <c r="Q93" s="32"/>
      <c r="R93" s="32"/>
      <c r="S93" s="32"/>
      <c r="T93" s="32"/>
      <c r="U93" s="32"/>
      <c r="V93" s="32"/>
      <c r="W93" s="32"/>
      <c r="X93" s="32"/>
      <c r="Y93" s="32"/>
      <c r="Z93" s="32"/>
      <c r="AA93" s="32"/>
    </row>
    <row r="94" spans="1:27" ht="14.5" x14ac:dyDescent="0.35">
      <c r="A94" s="32"/>
      <c r="B94" s="285">
        <v>4417</v>
      </c>
      <c r="C94" s="286" t="s">
        <v>175</v>
      </c>
      <c r="D94" s="36"/>
      <c r="X94" s="32"/>
      <c r="Y94" s="32"/>
      <c r="Z94" s="32"/>
      <c r="AA94" s="32"/>
    </row>
    <row r="95" spans="1:27" ht="14.5" x14ac:dyDescent="0.35">
      <c r="A95" s="32"/>
      <c r="B95" s="285">
        <v>4418</v>
      </c>
      <c r="C95" s="286" t="s">
        <v>175</v>
      </c>
      <c r="D95" s="36"/>
      <c r="X95" s="32"/>
      <c r="Y95" s="32"/>
      <c r="Z95" s="32"/>
      <c r="AA95" s="32"/>
    </row>
    <row r="96" spans="1:27" ht="14.5" x14ac:dyDescent="0.35">
      <c r="A96" s="32"/>
      <c r="B96" s="285">
        <v>4419</v>
      </c>
      <c r="C96" s="286" t="s">
        <v>175</v>
      </c>
      <c r="D96" s="36"/>
      <c r="E96" s="32"/>
      <c r="F96" s="32"/>
      <c r="G96" s="32"/>
      <c r="H96" s="32"/>
      <c r="I96" s="32"/>
      <c r="J96" s="32"/>
      <c r="K96" s="32"/>
      <c r="L96" s="32"/>
      <c r="M96" s="32"/>
      <c r="N96" s="32"/>
      <c r="O96" s="32"/>
      <c r="P96" s="32"/>
      <c r="Q96" s="32"/>
      <c r="R96" s="32"/>
      <c r="S96" s="32"/>
      <c r="T96" s="32"/>
      <c r="U96" s="32"/>
      <c r="V96" s="32"/>
      <c r="W96" s="32"/>
      <c r="X96" s="32"/>
      <c r="Y96" s="32"/>
      <c r="Z96" s="32"/>
      <c r="AA96" s="32"/>
    </row>
    <row r="97" spans="1:27" ht="12.5" x14ac:dyDescent="0.25">
      <c r="A97" s="32"/>
      <c r="B97" s="285">
        <v>4420</v>
      </c>
      <c r="C97" s="286" t="s">
        <v>175</v>
      </c>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ht="12.5" x14ac:dyDescent="0.25">
      <c r="A98" s="32"/>
      <c r="B98" s="285">
        <v>4422</v>
      </c>
      <c r="C98" s="286" t="s">
        <v>175</v>
      </c>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ht="12.5" x14ac:dyDescent="0.25">
      <c r="A99" s="32"/>
      <c r="B99" s="285">
        <v>4423</v>
      </c>
      <c r="C99" s="286" t="s">
        <v>175</v>
      </c>
      <c r="D99" s="32"/>
      <c r="E99" s="32"/>
      <c r="F99" s="32"/>
      <c r="G99" s="32"/>
      <c r="H99" s="32"/>
      <c r="I99" s="32"/>
      <c r="J99" s="32"/>
      <c r="K99" s="32"/>
      <c r="L99" s="32"/>
      <c r="M99" s="32"/>
      <c r="N99" s="32"/>
      <c r="O99" s="32"/>
      <c r="P99" s="32"/>
      <c r="Q99" s="32"/>
      <c r="R99" s="32"/>
      <c r="S99" s="32"/>
      <c r="T99" s="32"/>
      <c r="U99" s="32"/>
      <c r="V99" s="32"/>
      <c r="W99" s="32"/>
      <c r="X99" s="32"/>
      <c r="Y99" s="32"/>
      <c r="Z99" s="32"/>
      <c r="AA99" s="32"/>
    </row>
    <row r="100" spans="1:27" ht="12.5" x14ac:dyDescent="0.25">
      <c r="A100" s="32"/>
      <c r="B100" s="285">
        <v>4426</v>
      </c>
      <c r="C100" s="286" t="s">
        <v>175</v>
      </c>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2"/>
    </row>
    <row r="101" spans="1:27" ht="12.5" x14ac:dyDescent="0.25">
      <c r="A101" s="32"/>
      <c r="B101" s="285">
        <v>4427</v>
      </c>
      <c r="C101" s="286" t="s">
        <v>175</v>
      </c>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2"/>
    </row>
    <row r="102" spans="1:27" ht="12.5" x14ac:dyDescent="0.25">
      <c r="A102" s="32"/>
      <c r="B102" s="285">
        <v>4428</v>
      </c>
      <c r="C102" s="286" t="s">
        <v>175</v>
      </c>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2"/>
    </row>
    <row r="103" spans="1:27" ht="12.5" x14ac:dyDescent="0.25">
      <c r="A103" s="32"/>
      <c r="B103" s="285">
        <v>4454</v>
      </c>
      <c r="C103" s="286" t="s">
        <v>174</v>
      </c>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2"/>
    </row>
    <row r="104" spans="1:27" ht="12.5" x14ac:dyDescent="0.25">
      <c r="A104" s="32"/>
      <c r="B104" s="285">
        <v>4461</v>
      </c>
      <c r="C104" s="286" t="s">
        <v>175</v>
      </c>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2"/>
    </row>
    <row r="105" spans="1:27" ht="12.5" x14ac:dyDescent="0.25">
      <c r="A105" s="32"/>
      <c r="B105" s="285">
        <v>4462</v>
      </c>
      <c r="C105" s="286" t="s">
        <v>175</v>
      </c>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2"/>
    </row>
    <row r="106" spans="1:27" ht="12.5" x14ac:dyDescent="0.25">
      <c r="A106" s="32"/>
      <c r="B106" s="285">
        <v>4465</v>
      </c>
      <c r="C106" s="286" t="s">
        <v>174</v>
      </c>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2"/>
    </row>
    <row r="107" spans="1:27" ht="12.5" x14ac:dyDescent="0.25">
      <c r="A107" s="32"/>
      <c r="B107" s="285">
        <v>4467</v>
      </c>
      <c r="C107" s="286" t="s">
        <v>174</v>
      </c>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2"/>
    </row>
    <row r="108" spans="1:27" ht="12.5" x14ac:dyDescent="0.25">
      <c r="A108" s="32"/>
      <c r="B108" s="285">
        <v>4468</v>
      </c>
      <c r="C108" s="286" t="s">
        <v>174</v>
      </c>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2"/>
    </row>
    <row r="109" spans="1:27" ht="12.5" x14ac:dyDescent="0.25">
      <c r="A109" s="32"/>
      <c r="B109" s="285">
        <v>4470</v>
      </c>
      <c r="C109" s="286" t="s">
        <v>174</v>
      </c>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2"/>
    </row>
    <row r="110" spans="1:27" ht="12.5" x14ac:dyDescent="0.25">
      <c r="A110" s="32"/>
      <c r="B110" s="285">
        <v>4472</v>
      </c>
      <c r="C110" s="286" t="s">
        <v>174</v>
      </c>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2"/>
    </row>
    <row r="111" spans="1:27" ht="12.5" x14ac:dyDescent="0.25">
      <c r="A111" s="32"/>
      <c r="B111" s="285">
        <v>4474</v>
      </c>
      <c r="C111" s="286" t="s">
        <v>174</v>
      </c>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2"/>
    </row>
    <row r="112" spans="1:27" ht="12.5" x14ac:dyDescent="0.25">
      <c r="A112" s="32"/>
      <c r="B112" s="285">
        <v>4475</v>
      </c>
      <c r="C112" s="286" t="s">
        <v>174</v>
      </c>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2"/>
    </row>
    <row r="113" spans="1:27" ht="12.5" x14ac:dyDescent="0.25">
      <c r="A113" s="32"/>
      <c r="B113" s="285">
        <v>4477</v>
      </c>
      <c r="C113" s="286" t="s">
        <v>174</v>
      </c>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2"/>
    </row>
    <row r="114" spans="1:27" ht="12.5" x14ac:dyDescent="0.25">
      <c r="A114" s="32"/>
      <c r="B114" s="285">
        <v>4478</v>
      </c>
      <c r="C114" s="286" t="s">
        <v>174</v>
      </c>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2"/>
    </row>
    <row r="115" spans="1:27" ht="12.5" x14ac:dyDescent="0.25">
      <c r="A115" s="32"/>
      <c r="B115" s="285">
        <v>4479</v>
      </c>
      <c r="C115" s="286" t="s">
        <v>174</v>
      </c>
      <c r="D115" s="32"/>
      <c r="E115" s="32"/>
      <c r="F115" s="32"/>
      <c r="G115" s="32"/>
      <c r="H115" s="32"/>
      <c r="I115" s="32"/>
      <c r="J115" s="32"/>
      <c r="K115" s="32"/>
      <c r="L115" s="32"/>
      <c r="M115" s="32"/>
      <c r="N115" s="32"/>
      <c r="O115" s="32"/>
      <c r="P115" s="32"/>
      <c r="Q115" s="32"/>
      <c r="R115" s="32"/>
      <c r="S115" s="32"/>
      <c r="T115" s="32"/>
      <c r="U115" s="32"/>
      <c r="V115" s="32"/>
      <c r="W115" s="32"/>
      <c r="X115" s="32"/>
      <c r="Y115" s="32"/>
      <c r="Z115" s="32"/>
      <c r="AA115" s="32"/>
    </row>
    <row r="116" spans="1:27" ht="12.5" x14ac:dyDescent="0.25">
      <c r="A116" s="32"/>
      <c r="B116" s="285">
        <v>4480</v>
      </c>
      <c r="C116" s="286" t="s">
        <v>174</v>
      </c>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2"/>
    </row>
    <row r="117" spans="1:27" ht="12.5" x14ac:dyDescent="0.25">
      <c r="A117" s="32"/>
      <c r="B117" s="285">
        <v>4481</v>
      </c>
      <c r="C117" s="286" t="s">
        <v>174</v>
      </c>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2"/>
    </row>
    <row r="118" spans="1:27" ht="12.5" x14ac:dyDescent="0.25">
      <c r="A118" s="32"/>
      <c r="B118" s="285">
        <v>4482</v>
      </c>
      <c r="C118" s="286" t="s">
        <v>174</v>
      </c>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2"/>
    </row>
    <row r="119" spans="1:27" ht="12.5" x14ac:dyDescent="0.25">
      <c r="A119" s="32"/>
      <c r="B119" s="285">
        <v>4486</v>
      </c>
      <c r="C119" s="286" t="s">
        <v>174</v>
      </c>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2"/>
    </row>
    <row r="120" spans="1:27" ht="12.5" x14ac:dyDescent="0.25">
      <c r="A120" s="32"/>
      <c r="B120" s="285">
        <v>4487</v>
      </c>
      <c r="C120" s="286" t="s">
        <v>175</v>
      </c>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2"/>
    </row>
    <row r="121" spans="1:27" ht="12.5" x14ac:dyDescent="0.25">
      <c r="A121" s="32"/>
      <c r="B121" s="285">
        <v>4488</v>
      </c>
      <c r="C121" s="286" t="s">
        <v>174</v>
      </c>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2"/>
    </row>
    <row r="122" spans="1:27" ht="12.5" x14ac:dyDescent="0.25">
      <c r="A122" s="32"/>
      <c r="B122" s="285">
        <v>4489</v>
      </c>
      <c r="C122" s="286" t="s">
        <v>174</v>
      </c>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2"/>
    </row>
    <row r="123" spans="1:27" ht="12.5" x14ac:dyDescent="0.25">
      <c r="A123" s="32"/>
      <c r="B123" s="285">
        <v>4490</v>
      </c>
      <c r="C123" s="286" t="s">
        <v>174</v>
      </c>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2"/>
    </row>
    <row r="124" spans="1:27" ht="12.5" x14ac:dyDescent="0.25">
      <c r="A124" s="32"/>
      <c r="B124" s="285">
        <v>4491</v>
      </c>
      <c r="C124" s="286" t="s">
        <v>174</v>
      </c>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2"/>
    </row>
    <row r="125" spans="1:27" ht="12.5" x14ac:dyDescent="0.25">
      <c r="A125" s="32"/>
      <c r="B125" s="285">
        <v>4492</v>
      </c>
      <c r="C125" s="286" t="s">
        <v>174</v>
      </c>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2"/>
    </row>
    <row r="126" spans="1:27" ht="12.5" x14ac:dyDescent="0.25">
      <c r="A126" s="32"/>
      <c r="B126" s="285">
        <v>4493</v>
      </c>
      <c r="C126" s="286" t="s">
        <v>174</v>
      </c>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2"/>
    </row>
    <row r="127" spans="1:27" ht="12.5" x14ac:dyDescent="0.25">
      <c r="A127" s="32"/>
      <c r="B127" s="285">
        <v>4494</v>
      </c>
      <c r="C127" s="286" t="s">
        <v>175</v>
      </c>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2"/>
    </row>
    <row r="128" spans="1:27" ht="12.5" x14ac:dyDescent="0.25">
      <c r="A128" s="32"/>
      <c r="B128" s="285">
        <v>4496</v>
      </c>
      <c r="C128" s="286" t="s">
        <v>175</v>
      </c>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2"/>
    </row>
    <row r="129" spans="1:27" ht="12.5" x14ac:dyDescent="0.25">
      <c r="A129" s="32"/>
      <c r="B129" s="285">
        <v>4497</v>
      </c>
      <c r="C129" s="286" t="s">
        <v>175</v>
      </c>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2"/>
    </row>
    <row r="130" spans="1:27" ht="12.5" x14ac:dyDescent="0.25">
      <c r="A130" s="32"/>
      <c r="B130" s="285">
        <v>4705</v>
      </c>
      <c r="C130" s="286" t="s">
        <v>175</v>
      </c>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2"/>
    </row>
    <row r="131" spans="1:27" ht="12.5" x14ac:dyDescent="0.25">
      <c r="A131" s="32"/>
      <c r="B131" s="285">
        <v>4706</v>
      </c>
      <c r="C131" s="286" t="s">
        <v>175</v>
      </c>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2"/>
    </row>
    <row r="132" spans="1:27" ht="12.5" x14ac:dyDescent="0.25">
      <c r="A132" s="32"/>
      <c r="B132" s="285">
        <v>4707</v>
      </c>
      <c r="C132" s="286" t="s">
        <v>175</v>
      </c>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2"/>
    </row>
    <row r="133" spans="1:27" ht="12.5" x14ac:dyDescent="0.25">
      <c r="A133" s="32"/>
      <c r="B133" s="285">
        <v>4709</v>
      </c>
      <c r="C133" s="286" t="s">
        <v>175</v>
      </c>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2"/>
    </row>
    <row r="134" spans="1:27" ht="12.5" x14ac:dyDescent="0.25">
      <c r="A134" s="32"/>
      <c r="B134" s="285">
        <v>4713</v>
      </c>
      <c r="C134" s="286" t="s">
        <v>175</v>
      </c>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2"/>
    </row>
    <row r="135" spans="1:27" ht="12.5" x14ac:dyDescent="0.25">
      <c r="A135" s="32"/>
      <c r="B135" s="285">
        <v>4721</v>
      </c>
      <c r="C135" s="286" t="s">
        <v>174</v>
      </c>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2"/>
    </row>
    <row r="136" spans="1:27" ht="12.5" x14ac:dyDescent="0.25">
      <c r="A136" s="32"/>
      <c r="B136" s="285">
        <v>4722</v>
      </c>
      <c r="C136" s="286" t="s">
        <v>174</v>
      </c>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2"/>
    </row>
    <row r="137" spans="1:27" ht="12.5" x14ac:dyDescent="0.25">
      <c r="A137" s="32"/>
      <c r="B137" s="285">
        <v>4723</v>
      </c>
      <c r="C137" s="286" t="s">
        <v>175</v>
      </c>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2"/>
    </row>
    <row r="138" spans="1:27" ht="12.5" x14ac:dyDescent="0.25">
      <c r="A138" s="32"/>
      <c r="B138" s="285">
        <v>4724</v>
      </c>
      <c r="C138" s="286" t="s">
        <v>174</v>
      </c>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2"/>
    </row>
    <row r="139" spans="1:27" ht="12.5" x14ac:dyDescent="0.25">
      <c r="A139" s="32"/>
      <c r="B139" s="285">
        <v>4725</v>
      </c>
      <c r="C139" s="286" t="s">
        <v>174</v>
      </c>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2"/>
    </row>
    <row r="140" spans="1:27" ht="12.5" x14ac:dyDescent="0.25">
      <c r="A140" s="32"/>
      <c r="B140" s="285">
        <v>4726</v>
      </c>
      <c r="C140" s="286" t="s">
        <v>174</v>
      </c>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2"/>
    </row>
    <row r="141" spans="1:27" ht="12.5" x14ac:dyDescent="0.25">
      <c r="A141" s="32"/>
      <c r="B141" s="285">
        <v>4727</v>
      </c>
      <c r="C141" s="286" t="s">
        <v>174</v>
      </c>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2"/>
    </row>
    <row r="142" spans="1:27" ht="12.5" x14ac:dyDescent="0.25">
      <c r="A142" s="32"/>
      <c r="B142" s="285">
        <v>4728</v>
      </c>
      <c r="C142" s="286" t="s">
        <v>174</v>
      </c>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2"/>
    </row>
    <row r="143" spans="1:27" ht="12.5" x14ac:dyDescent="0.25">
      <c r="A143" s="32"/>
      <c r="B143" s="285">
        <v>4730</v>
      </c>
      <c r="C143" s="286" t="s">
        <v>174</v>
      </c>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2"/>
    </row>
    <row r="144" spans="1:27" ht="12.5" x14ac:dyDescent="0.25">
      <c r="A144" s="32"/>
      <c r="B144" s="285">
        <v>4731</v>
      </c>
      <c r="C144" s="286" t="s">
        <v>174</v>
      </c>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2"/>
    </row>
    <row r="145" spans="1:27" ht="12.5" x14ac:dyDescent="0.25">
      <c r="A145" s="32"/>
      <c r="B145" s="285">
        <v>4732</v>
      </c>
      <c r="C145" s="286" t="s">
        <v>174</v>
      </c>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2"/>
    </row>
    <row r="146" spans="1:27" ht="12.5" x14ac:dyDescent="0.25">
      <c r="A146" s="32"/>
      <c r="B146" s="285">
        <v>4733</v>
      </c>
      <c r="C146" s="286" t="s">
        <v>174</v>
      </c>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2"/>
    </row>
    <row r="147" spans="1:27" ht="12.5" x14ac:dyDescent="0.25">
      <c r="A147" s="32"/>
      <c r="B147" s="285">
        <v>4735</v>
      </c>
      <c r="C147" s="286" t="s">
        <v>174</v>
      </c>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2"/>
    </row>
    <row r="148" spans="1:27" ht="12.5" x14ac:dyDescent="0.25">
      <c r="A148" s="32"/>
      <c r="B148" s="285">
        <v>4736</v>
      </c>
      <c r="C148" s="286" t="s">
        <v>174</v>
      </c>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2"/>
    </row>
    <row r="149" spans="1:27" ht="12.5" x14ac:dyDescent="0.25">
      <c r="A149" s="32"/>
      <c r="B149" s="285">
        <v>4743</v>
      </c>
      <c r="C149" s="286" t="s">
        <v>175</v>
      </c>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2"/>
    </row>
    <row r="150" spans="1:27" ht="12.5" x14ac:dyDescent="0.25">
      <c r="A150" s="32"/>
      <c r="B150" s="285">
        <v>4746</v>
      </c>
      <c r="C150" s="286" t="s">
        <v>175</v>
      </c>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2"/>
    </row>
    <row r="151" spans="1:27" ht="12.5" x14ac:dyDescent="0.25">
      <c r="A151" s="32"/>
      <c r="B151" s="285">
        <v>4801</v>
      </c>
      <c r="C151" s="286" t="s">
        <v>174</v>
      </c>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2"/>
    </row>
    <row r="152" spans="1:27" ht="12.5" x14ac:dyDescent="0.25">
      <c r="A152" s="32"/>
      <c r="B152" s="285">
        <v>4803</v>
      </c>
      <c r="C152" s="286" t="s">
        <v>175</v>
      </c>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2"/>
    </row>
    <row r="153" spans="1:27" ht="12.5" x14ac:dyDescent="0.25">
      <c r="A153" s="32"/>
      <c r="B153" s="285">
        <v>4804</v>
      </c>
      <c r="C153" s="286" t="s">
        <v>175</v>
      </c>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2"/>
    </row>
    <row r="154" spans="1:27" ht="12.5" x14ac:dyDescent="0.25">
      <c r="A154" s="32"/>
      <c r="B154" s="285">
        <v>4821</v>
      </c>
      <c r="C154" s="286" t="s">
        <v>174</v>
      </c>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2"/>
    </row>
    <row r="155" spans="1:27" ht="12.5" x14ac:dyDescent="0.25">
      <c r="A155" s="32"/>
      <c r="B155" s="285">
        <v>4822</v>
      </c>
      <c r="C155" s="286" t="s">
        <v>174</v>
      </c>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2"/>
    </row>
    <row r="156" spans="1:27" ht="12.5" x14ac:dyDescent="0.25">
      <c r="A156" s="32"/>
      <c r="B156" s="285">
        <v>4823</v>
      </c>
      <c r="C156" s="286" t="s">
        <v>174</v>
      </c>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2"/>
    </row>
    <row r="157" spans="1:27" ht="12.5" x14ac:dyDescent="0.25">
      <c r="A157" s="32"/>
      <c r="B157" s="285">
        <v>4824</v>
      </c>
      <c r="C157" s="286" t="s">
        <v>174</v>
      </c>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row>
    <row r="158" spans="1:27" ht="12.5" x14ac:dyDescent="0.25">
      <c r="A158" s="32"/>
      <c r="B158" s="285">
        <v>4825</v>
      </c>
      <c r="C158" s="286" t="s">
        <v>174</v>
      </c>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2"/>
    </row>
    <row r="159" spans="1:27" ht="12.5" x14ac:dyDescent="0.25">
      <c r="A159" s="32"/>
      <c r="B159" s="285">
        <v>4828</v>
      </c>
      <c r="C159" s="286" t="s">
        <v>174</v>
      </c>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2"/>
    </row>
    <row r="160" spans="1:27" ht="12.5" x14ac:dyDescent="0.25">
      <c r="A160" s="32"/>
      <c r="B160" s="285">
        <v>4829</v>
      </c>
      <c r="C160" s="286" t="s">
        <v>174</v>
      </c>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2"/>
    </row>
    <row r="161" spans="1:27" ht="12.5" x14ac:dyDescent="0.25">
      <c r="A161" s="32"/>
      <c r="B161" s="285">
        <v>4830</v>
      </c>
      <c r="C161" s="286" t="s">
        <v>174</v>
      </c>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row>
    <row r="162" spans="1:27" ht="12.5" x14ac:dyDescent="0.25">
      <c r="A162" s="32"/>
      <c r="B162" s="285">
        <v>4874</v>
      </c>
      <c r="C162" s="286" t="s">
        <v>174</v>
      </c>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row>
    <row r="163" spans="1:27" ht="12.5" x14ac:dyDescent="0.25">
      <c r="A163" s="32"/>
      <c r="B163" s="285">
        <v>4875</v>
      </c>
      <c r="C163" s="286" t="s">
        <v>174</v>
      </c>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2"/>
    </row>
    <row r="164" spans="1:27" ht="12.5" x14ac:dyDescent="0.25">
      <c r="A164" s="32"/>
      <c r="B164" s="285">
        <v>4876</v>
      </c>
      <c r="C164" s="286" t="s">
        <v>174</v>
      </c>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2"/>
    </row>
    <row r="165" spans="1:27" ht="12.5" x14ac:dyDescent="0.25">
      <c r="A165" s="32"/>
      <c r="B165" s="285">
        <v>4890</v>
      </c>
      <c r="C165" s="286" t="s">
        <v>174</v>
      </c>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2"/>
    </row>
    <row r="166" spans="1:27" ht="12.5" x14ac:dyDescent="0.25">
      <c r="A166" s="32"/>
      <c r="B166" s="285">
        <v>4891</v>
      </c>
      <c r="C166" s="286" t="s">
        <v>174</v>
      </c>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row>
    <row r="167" spans="1:27" ht="12.5" x14ac:dyDescent="0.25">
      <c r="A167" s="32"/>
      <c r="B167" s="285">
        <v>4892</v>
      </c>
      <c r="C167" s="286" t="s">
        <v>174</v>
      </c>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2"/>
    </row>
    <row r="168" spans="1:27" ht="12.5" x14ac:dyDescent="0.25">
      <c r="A168" s="32"/>
      <c r="B168" s="285">
        <v>4895</v>
      </c>
      <c r="C168" s="286" t="s">
        <v>174</v>
      </c>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2"/>
    </row>
    <row r="169" spans="1:27" ht="12.5" x14ac:dyDescent="0.25">
      <c r="A169" s="32"/>
      <c r="B169" s="285">
        <v>5220</v>
      </c>
      <c r="C169" s="286" t="s">
        <v>175</v>
      </c>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2"/>
    </row>
    <row r="170" spans="1:27" ht="12.5" x14ac:dyDescent="0.25">
      <c r="A170" s="32"/>
      <c r="B170" s="285">
        <v>5221</v>
      </c>
      <c r="C170" s="286" t="s">
        <v>175</v>
      </c>
      <c r="D170" s="32"/>
      <c r="E170" s="32"/>
      <c r="F170" s="32"/>
      <c r="G170" s="32"/>
      <c r="H170" s="32"/>
      <c r="I170" s="32"/>
      <c r="J170" s="32"/>
      <c r="K170" s="32"/>
      <c r="L170" s="32"/>
      <c r="M170" s="32"/>
      <c r="N170" s="32"/>
      <c r="O170" s="32"/>
      <c r="P170" s="32"/>
      <c r="Q170" s="32"/>
      <c r="R170" s="32"/>
      <c r="S170" s="32"/>
      <c r="T170" s="32"/>
      <c r="U170" s="32"/>
      <c r="V170" s="32"/>
      <c r="W170" s="32"/>
      <c r="X170" s="32"/>
      <c r="Y170" s="32"/>
      <c r="Z170" s="32"/>
      <c r="AA170" s="32"/>
    </row>
    <row r="171" spans="1:27" ht="12.5" x14ac:dyDescent="0.25">
      <c r="A171" s="32"/>
      <c r="B171" s="285">
        <v>5222</v>
      </c>
      <c r="C171" s="286" t="s">
        <v>175</v>
      </c>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2"/>
    </row>
    <row r="172" spans="1:27" ht="12.5" x14ac:dyDescent="0.25">
      <c r="A172" s="32"/>
      <c r="B172" s="285">
        <v>5223</v>
      </c>
      <c r="C172" s="286" t="s">
        <v>175</v>
      </c>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2"/>
    </row>
    <row r="173" spans="1:27" ht="12.5" x14ac:dyDescent="0.25">
      <c r="A173" s="32"/>
      <c r="B173" s="285">
        <v>5302</v>
      </c>
      <c r="C173" s="286" t="s">
        <v>175</v>
      </c>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2"/>
    </row>
    <row r="174" spans="1:27" ht="12.5" x14ac:dyDescent="0.25">
      <c r="A174" s="32"/>
      <c r="B174" s="285">
        <v>5303</v>
      </c>
      <c r="C174" s="286" t="s">
        <v>175</v>
      </c>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2"/>
    </row>
    <row r="175" spans="1:27" ht="12.5" x14ac:dyDescent="0.25">
      <c r="A175" s="32"/>
      <c r="B175" s="285">
        <v>5576</v>
      </c>
      <c r="C175" s="286" t="s">
        <v>175</v>
      </c>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row>
    <row r="176" spans="1:27" ht="12.5" x14ac:dyDescent="0.25">
      <c r="A176" s="32"/>
      <c r="B176" s="285">
        <v>5577</v>
      </c>
      <c r="C176" s="286" t="s">
        <v>175</v>
      </c>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row>
    <row r="177" spans="1:27" ht="12.5" x14ac:dyDescent="0.25">
      <c r="A177" s="32"/>
      <c r="B177" s="285">
        <v>5582</v>
      </c>
      <c r="C177" s="286" t="s">
        <v>175</v>
      </c>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row>
    <row r="178" spans="1:27" ht="12.5" x14ac:dyDescent="0.25">
      <c r="A178" s="32"/>
      <c r="B178" s="285">
        <v>5583</v>
      </c>
      <c r="C178" s="286" t="s">
        <v>175</v>
      </c>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2"/>
    </row>
    <row r="179" spans="1:27" ht="12.5" x14ac:dyDescent="0.25">
      <c r="A179" s="32"/>
      <c r="B179" s="285">
        <v>5603</v>
      </c>
      <c r="C179" s="286" t="s">
        <v>175</v>
      </c>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row>
    <row r="180" spans="1:27" ht="12.5" x14ac:dyDescent="0.25">
      <c r="A180" s="32"/>
      <c r="B180" s="285">
        <v>5604</v>
      </c>
      <c r="C180" s="286" t="s">
        <v>175</v>
      </c>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2"/>
    </row>
    <row r="181" spans="1:27" ht="12.5" x14ac:dyDescent="0.25">
      <c r="A181" s="32"/>
      <c r="B181" s="285">
        <v>5605</v>
      </c>
      <c r="C181" s="286" t="s">
        <v>175</v>
      </c>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2"/>
    </row>
    <row r="182" spans="1:27" ht="12.5" x14ac:dyDescent="0.25">
      <c r="A182" s="32"/>
      <c r="B182" s="285">
        <v>5606</v>
      </c>
      <c r="C182" s="286" t="s">
        <v>175</v>
      </c>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2"/>
    </row>
    <row r="183" spans="1:27" ht="12.5" x14ac:dyDescent="0.25">
      <c r="A183" s="32"/>
      <c r="B183" s="285">
        <v>5607</v>
      </c>
      <c r="C183" s="286" t="s">
        <v>174</v>
      </c>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2"/>
    </row>
    <row r="184" spans="1:27" ht="12.5" x14ac:dyDescent="0.25">
      <c r="A184" s="32"/>
      <c r="B184" s="285">
        <v>5611</v>
      </c>
      <c r="C184" s="286" t="s">
        <v>175</v>
      </c>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2"/>
    </row>
    <row r="185" spans="1:27" ht="12.5" x14ac:dyDescent="0.25">
      <c r="A185" s="32"/>
      <c r="B185" s="285">
        <v>5630</v>
      </c>
      <c r="C185" s="286" t="s">
        <v>175</v>
      </c>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2"/>
    </row>
    <row r="186" spans="1:27" ht="12.5" x14ac:dyDescent="0.25">
      <c r="A186" s="32"/>
      <c r="B186" s="285">
        <v>5631</v>
      </c>
      <c r="C186" s="286" t="s">
        <v>175</v>
      </c>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2"/>
    </row>
    <row r="187" spans="1:27" ht="12.5" x14ac:dyDescent="0.25">
      <c r="A187" s="32"/>
      <c r="B187" s="285">
        <v>5632</v>
      </c>
      <c r="C187" s="286" t="s">
        <v>175</v>
      </c>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2"/>
    </row>
    <row r="188" spans="1:27" ht="12.5" x14ac:dyDescent="0.25">
      <c r="A188" s="32"/>
      <c r="B188" s="285">
        <v>5633</v>
      </c>
      <c r="C188" s="286" t="s">
        <v>175</v>
      </c>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2"/>
    </row>
    <row r="189" spans="1:27" ht="12.5" x14ac:dyDescent="0.25">
      <c r="A189" s="32"/>
      <c r="B189" s="285">
        <v>5640</v>
      </c>
      <c r="C189" s="286" t="s">
        <v>175</v>
      </c>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2"/>
    </row>
    <row r="190" spans="1:27" ht="12.5" x14ac:dyDescent="0.25">
      <c r="A190" s="32"/>
      <c r="B190" s="285">
        <v>5641</v>
      </c>
      <c r="C190" s="286" t="s">
        <v>175</v>
      </c>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2"/>
    </row>
    <row r="191" spans="1:27" ht="12.5" x14ac:dyDescent="0.25">
      <c r="A191" s="32"/>
      <c r="B191" s="285">
        <v>5642</v>
      </c>
      <c r="C191" s="286" t="s">
        <v>175</v>
      </c>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row>
    <row r="192" spans="1:27" ht="12.5" x14ac:dyDescent="0.25">
      <c r="A192" s="32"/>
      <c r="B192" s="285">
        <v>5650</v>
      </c>
      <c r="C192" s="286" t="s">
        <v>174</v>
      </c>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2"/>
    </row>
    <row r="193" spans="1:27" ht="12.5" x14ac:dyDescent="0.25">
      <c r="A193" s="32"/>
      <c r="B193" s="285">
        <v>5651</v>
      </c>
      <c r="C193" s="286" t="s">
        <v>174</v>
      </c>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2"/>
    </row>
    <row r="194" spans="1:27" ht="12.5" x14ac:dyDescent="0.25">
      <c r="A194" s="32"/>
      <c r="B194" s="285">
        <v>5652</v>
      </c>
      <c r="C194" s="286" t="s">
        <v>174</v>
      </c>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2"/>
    </row>
    <row r="195" spans="1:27" ht="12.5" x14ac:dyDescent="0.25">
      <c r="A195" s="32"/>
      <c r="B195" s="285">
        <v>5653</v>
      </c>
      <c r="C195" s="286" t="s">
        <v>174</v>
      </c>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2"/>
    </row>
    <row r="196" spans="1:27" ht="12.5" x14ac:dyDescent="0.25">
      <c r="A196" s="32"/>
      <c r="B196" s="285">
        <v>5654</v>
      </c>
      <c r="C196" s="286" t="s">
        <v>174</v>
      </c>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2"/>
    </row>
    <row r="197" spans="1:27" ht="12.5" x14ac:dyDescent="0.25">
      <c r="A197" s="32"/>
      <c r="B197" s="285">
        <v>5655</v>
      </c>
      <c r="C197" s="286" t="s">
        <v>174</v>
      </c>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2"/>
    </row>
    <row r="198" spans="1:27" ht="12.5" x14ac:dyDescent="0.25">
      <c r="A198" s="32"/>
      <c r="B198" s="285">
        <v>5660</v>
      </c>
      <c r="C198" s="286" t="s">
        <v>174</v>
      </c>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2"/>
    </row>
    <row r="199" spans="1:27" ht="12.5" x14ac:dyDescent="0.25">
      <c r="A199" s="32"/>
      <c r="B199" s="285">
        <v>5661</v>
      </c>
      <c r="C199" s="286" t="s">
        <v>174</v>
      </c>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2"/>
    </row>
    <row r="200" spans="1:27" ht="12.5" x14ac:dyDescent="0.25">
      <c r="A200" s="32"/>
      <c r="B200" s="285">
        <v>5670</v>
      </c>
      <c r="C200" s="286" t="s">
        <v>174</v>
      </c>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2"/>
    </row>
    <row r="201" spans="1:27" ht="12.5" x14ac:dyDescent="0.25">
      <c r="A201" s="32"/>
      <c r="B201" s="285">
        <v>5671</v>
      </c>
      <c r="C201" s="286" t="s">
        <v>174</v>
      </c>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2"/>
    </row>
    <row r="202" spans="1:27" ht="12.5" x14ac:dyDescent="0.25">
      <c r="A202" s="32"/>
      <c r="B202" s="285">
        <v>5680</v>
      </c>
      <c r="C202" s="286" t="s">
        <v>174</v>
      </c>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2"/>
    </row>
    <row r="203" spans="1:27" ht="12.5" x14ac:dyDescent="0.25">
      <c r="A203" s="32"/>
      <c r="B203" s="285">
        <v>5690</v>
      </c>
      <c r="C203" s="286" t="s">
        <v>174</v>
      </c>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2"/>
    </row>
    <row r="204" spans="1:27" ht="12.5" x14ac:dyDescent="0.25">
      <c r="A204" s="32"/>
      <c r="B204" s="285">
        <v>5713</v>
      </c>
      <c r="C204" s="286" t="s">
        <v>174</v>
      </c>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2"/>
    </row>
    <row r="205" spans="1:27" ht="12.5" x14ac:dyDescent="0.25">
      <c r="A205" s="32"/>
      <c r="B205" s="285">
        <v>5715</v>
      </c>
      <c r="C205" s="286" t="s">
        <v>175</v>
      </c>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2"/>
    </row>
    <row r="206" spans="1:27" ht="12.5" x14ac:dyDescent="0.25">
      <c r="A206" s="32"/>
      <c r="B206" s="285">
        <v>5717</v>
      </c>
      <c r="C206" s="286" t="s">
        <v>174</v>
      </c>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2"/>
    </row>
    <row r="207" spans="1:27" ht="12.5" x14ac:dyDescent="0.25">
      <c r="A207" s="32"/>
      <c r="B207" s="285">
        <v>5719</v>
      </c>
      <c r="C207" s="286" t="s">
        <v>174</v>
      </c>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2"/>
    </row>
    <row r="208" spans="1:27" ht="12.5" x14ac:dyDescent="0.25">
      <c r="A208" s="32"/>
      <c r="B208" s="285">
        <v>5720</v>
      </c>
      <c r="C208" s="286" t="s">
        <v>174</v>
      </c>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row>
    <row r="209" spans="1:27" ht="12.5" x14ac:dyDescent="0.25">
      <c r="A209" s="32"/>
      <c r="B209" s="285">
        <v>5722</v>
      </c>
      <c r="C209" s="286" t="s">
        <v>174</v>
      </c>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row>
    <row r="210" spans="1:27" ht="12.5" x14ac:dyDescent="0.25">
      <c r="A210" s="32"/>
      <c r="B210" s="285">
        <v>5723</v>
      </c>
      <c r="C210" s="286" t="s">
        <v>174</v>
      </c>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2"/>
    </row>
    <row r="211" spans="1:27" ht="12.5" x14ac:dyDescent="0.25">
      <c r="A211" s="32"/>
      <c r="B211" s="285">
        <v>5724</v>
      </c>
      <c r="C211" s="286" t="s">
        <v>174</v>
      </c>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row>
    <row r="212" spans="1:27" ht="12.5" x14ac:dyDescent="0.25">
      <c r="A212" s="32"/>
      <c r="B212" s="285">
        <v>5725</v>
      </c>
      <c r="C212" s="286" t="s">
        <v>175</v>
      </c>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row>
    <row r="213" spans="1:27" ht="12.5" x14ac:dyDescent="0.25">
      <c r="A213" s="32"/>
      <c r="B213" s="285">
        <v>5730</v>
      </c>
      <c r="C213" s="286" t="s">
        <v>174</v>
      </c>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row>
    <row r="214" spans="1:27" ht="12.5" x14ac:dyDescent="0.25">
      <c r="A214" s="32"/>
      <c r="B214" s="285">
        <v>5731</v>
      </c>
      <c r="C214" s="286" t="s">
        <v>174</v>
      </c>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row>
    <row r="215" spans="1:27" ht="12.5" x14ac:dyDescent="0.25">
      <c r="A215" s="32"/>
      <c r="B215" s="285">
        <v>5732</v>
      </c>
      <c r="C215" s="286" t="s">
        <v>174</v>
      </c>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row>
    <row r="216" spans="1:27" ht="12.5" x14ac:dyDescent="0.25">
      <c r="A216" s="32"/>
      <c r="B216" s="285">
        <v>5733</v>
      </c>
      <c r="C216" s="286" t="s">
        <v>174</v>
      </c>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2"/>
    </row>
    <row r="217" spans="1:27" ht="12.5" x14ac:dyDescent="0.25">
      <c r="A217" s="32"/>
      <c r="B217" s="285">
        <v>5734</v>
      </c>
      <c r="C217" s="286" t="s">
        <v>174</v>
      </c>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2"/>
    </row>
    <row r="218" spans="1:27" ht="12.5" x14ac:dyDescent="0.25">
      <c r="A218" s="32"/>
      <c r="B218" s="285">
        <v>6161</v>
      </c>
      <c r="C218" s="286" t="s">
        <v>175</v>
      </c>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2"/>
    </row>
    <row r="219" spans="1:27" ht="12.5" x14ac:dyDescent="0.25">
      <c r="A219" s="32"/>
      <c r="B219" s="285">
        <v>6335</v>
      </c>
      <c r="C219" s="286" t="s">
        <v>175</v>
      </c>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2"/>
    </row>
    <row r="220" spans="1:27" ht="12.5" x14ac:dyDescent="0.25">
      <c r="A220" s="32"/>
      <c r="B220" s="285">
        <v>6336</v>
      </c>
      <c r="C220" s="286" t="s">
        <v>175</v>
      </c>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2"/>
    </row>
    <row r="221" spans="1:27" ht="12.5" x14ac:dyDescent="0.25">
      <c r="A221" s="32"/>
      <c r="B221" s="285">
        <v>6337</v>
      </c>
      <c r="C221" s="286" t="s">
        <v>175</v>
      </c>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2"/>
    </row>
    <row r="222" spans="1:27" ht="12.5" x14ac:dyDescent="0.25">
      <c r="A222" s="32"/>
      <c r="B222" s="285">
        <v>6338</v>
      </c>
      <c r="C222" s="286" t="s">
        <v>175</v>
      </c>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row>
    <row r="223" spans="1:27" ht="12.5" x14ac:dyDescent="0.25">
      <c r="A223" s="32"/>
      <c r="B223" s="285">
        <v>6341</v>
      </c>
      <c r="C223" s="286" t="s">
        <v>175</v>
      </c>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2"/>
    </row>
    <row r="224" spans="1:27" ht="12.5" x14ac:dyDescent="0.25">
      <c r="A224" s="32"/>
      <c r="B224" s="285">
        <v>6343</v>
      </c>
      <c r="C224" s="286" t="s">
        <v>175</v>
      </c>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2"/>
    </row>
    <row r="225" spans="1:27" ht="12.5" x14ac:dyDescent="0.25">
      <c r="A225" s="32"/>
      <c r="B225" s="285">
        <v>6346</v>
      </c>
      <c r="C225" s="286" t="s">
        <v>174</v>
      </c>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2"/>
    </row>
    <row r="226" spans="1:27" ht="12.5" x14ac:dyDescent="0.25">
      <c r="A226" s="32"/>
      <c r="B226" s="285">
        <v>6348</v>
      </c>
      <c r="C226" s="286" t="s">
        <v>174</v>
      </c>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2"/>
    </row>
    <row r="227" spans="1:27" ht="12.5" x14ac:dyDescent="0.25">
      <c r="A227" s="32"/>
      <c r="B227" s="285">
        <v>6350</v>
      </c>
      <c r="C227" s="286" t="s">
        <v>175</v>
      </c>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2"/>
    </row>
    <row r="228" spans="1:27" ht="12.5" x14ac:dyDescent="0.25">
      <c r="A228" s="32"/>
      <c r="B228" s="285">
        <v>6351</v>
      </c>
      <c r="C228" s="286" t="s">
        <v>175</v>
      </c>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2"/>
    </row>
    <row r="229" spans="1:27" ht="12.5" x14ac:dyDescent="0.25">
      <c r="A229" s="32"/>
      <c r="B229" s="285">
        <v>6352</v>
      </c>
      <c r="C229" s="286" t="s">
        <v>175</v>
      </c>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2"/>
    </row>
    <row r="230" spans="1:27" ht="12.5" x14ac:dyDescent="0.25">
      <c r="A230" s="32"/>
      <c r="B230" s="285">
        <v>6353</v>
      </c>
      <c r="C230" s="286" t="s">
        <v>175</v>
      </c>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2"/>
    </row>
    <row r="231" spans="1:27" ht="12.5" x14ac:dyDescent="0.25">
      <c r="A231" s="32"/>
      <c r="B231" s="285">
        <v>6355</v>
      </c>
      <c r="C231" s="286" t="s">
        <v>174</v>
      </c>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2"/>
    </row>
    <row r="232" spans="1:27" ht="12.5" x14ac:dyDescent="0.25">
      <c r="A232" s="32"/>
      <c r="B232" s="285">
        <v>6356</v>
      </c>
      <c r="C232" s="286" t="s">
        <v>174</v>
      </c>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2"/>
    </row>
    <row r="233" spans="1:27" ht="12.5" x14ac:dyDescent="0.25">
      <c r="A233" s="32"/>
      <c r="B233" s="285">
        <v>6357</v>
      </c>
      <c r="C233" s="286" t="s">
        <v>175</v>
      </c>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2"/>
    </row>
    <row r="234" spans="1:27" ht="12.5" x14ac:dyDescent="0.25">
      <c r="A234" s="32"/>
      <c r="B234" s="285">
        <v>6358</v>
      </c>
      <c r="C234" s="286" t="s">
        <v>175</v>
      </c>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2"/>
    </row>
    <row r="235" spans="1:27" ht="12.5" x14ac:dyDescent="0.25">
      <c r="A235" s="32"/>
      <c r="B235" s="285">
        <v>6359</v>
      </c>
      <c r="C235" s="286" t="s">
        <v>174</v>
      </c>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2"/>
    </row>
    <row r="236" spans="1:27" ht="12.5" x14ac:dyDescent="0.25">
      <c r="A236" s="32"/>
      <c r="B236" s="285">
        <v>6361</v>
      </c>
      <c r="C236" s="286" t="s">
        <v>175</v>
      </c>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2"/>
    </row>
    <row r="237" spans="1:27" ht="12.5" x14ac:dyDescent="0.25">
      <c r="A237" s="32"/>
      <c r="B237" s="285">
        <v>6363</v>
      </c>
      <c r="C237" s="286" t="s">
        <v>175</v>
      </c>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2"/>
    </row>
    <row r="238" spans="1:27" ht="12.5" x14ac:dyDescent="0.25">
      <c r="A238" s="32"/>
      <c r="B238" s="285">
        <v>6365</v>
      </c>
      <c r="C238" s="286" t="s">
        <v>175</v>
      </c>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2"/>
    </row>
    <row r="239" spans="1:27" ht="12.5" x14ac:dyDescent="0.25">
      <c r="A239" s="32"/>
      <c r="B239" s="285">
        <v>6367</v>
      </c>
      <c r="C239" s="286" t="s">
        <v>175</v>
      </c>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2"/>
    </row>
    <row r="240" spans="1:27" ht="12.5" x14ac:dyDescent="0.25">
      <c r="A240" s="32"/>
      <c r="B240" s="285">
        <v>6368</v>
      </c>
      <c r="C240" s="286" t="s">
        <v>175</v>
      </c>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2"/>
    </row>
    <row r="241" spans="1:27" ht="12.5" x14ac:dyDescent="0.25">
      <c r="A241" s="32"/>
      <c r="B241" s="285">
        <v>6369</v>
      </c>
      <c r="C241" s="286" t="s">
        <v>175</v>
      </c>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2"/>
    </row>
    <row r="242" spans="1:27" ht="12.5" x14ac:dyDescent="0.25">
      <c r="A242" s="32"/>
      <c r="B242" s="285">
        <v>6373</v>
      </c>
      <c r="C242" s="286" t="s">
        <v>175</v>
      </c>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row>
    <row r="243" spans="1:27" ht="12.5" x14ac:dyDescent="0.25">
      <c r="A243" s="32"/>
      <c r="B243" s="285">
        <v>6375</v>
      </c>
      <c r="C243" s="286" t="s">
        <v>175</v>
      </c>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row>
    <row r="244" spans="1:27" ht="12.5" x14ac:dyDescent="0.25">
      <c r="A244" s="32"/>
      <c r="B244" s="285">
        <v>6385</v>
      </c>
      <c r="C244" s="286" t="s">
        <v>175</v>
      </c>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row>
    <row r="245" spans="1:27" ht="12.5" x14ac:dyDescent="0.25">
      <c r="A245" s="32"/>
      <c r="B245" s="285">
        <v>6386</v>
      </c>
      <c r="C245" s="286" t="s">
        <v>175</v>
      </c>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row>
    <row r="246" spans="1:27" ht="12.5" x14ac:dyDescent="0.25">
      <c r="A246" s="32"/>
      <c r="B246" s="285">
        <v>6418</v>
      </c>
      <c r="C246" s="286" t="s">
        <v>175</v>
      </c>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row>
    <row r="247" spans="1:27" ht="12.5" x14ac:dyDescent="0.25">
      <c r="A247" s="32"/>
      <c r="B247" s="285">
        <v>6419</v>
      </c>
      <c r="C247" s="286" t="s">
        <v>175</v>
      </c>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row>
    <row r="248" spans="1:27" ht="12.5" x14ac:dyDescent="0.25">
      <c r="A248" s="32"/>
      <c r="B248" s="285">
        <v>6420</v>
      </c>
      <c r="C248" s="286" t="s">
        <v>175</v>
      </c>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row>
    <row r="249" spans="1:27" ht="12.5" x14ac:dyDescent="0.25">
      <c r="A249" s="32"/>
      <c r="B249" s="285">
        <v>6421</v>
      </c>
      <c r="C249" s="286" t="s">
        <v>175</v>
      </c>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row>
    <row r="250" spans="1:27" ht="12.5" x14ac:dyDescent="0.25">
      <c r="A250" s="32"/>
      <c r="B250" s="285">
        <v>6422</v>
      </c>
      <c r="C250" s="286" t="s">
        <v>175</v>
      </c>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row>
    <row r="251" spans="1:27" ht="12.5" x14ac:dyDescent="0.25">
      <c r="A251" s="32"/>
      <c r="B251" s="285">
        <v>6423</v>
      </c>
      <c r="C251" s="286" t="s">
        <v>175</v>
      </c>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2"/>
    </row>
    <row r="252" spans="1:27" ht="12.5" x14ac:dyDescent="0.25">
      <c r="A252" s="32"/>
      <c r="B252" s="285">
        <v>6424</v>
      </c>
      <c r="C252" s="286" t="s">
        <v>175</v>
      </c>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2"/>
    </row>
    <row r="253" spans="1:27" ht="12.5" x14ac:dyDescent="0.25">
      <c r="A253" s="32"/>
      <c r="B253" s="285">
        <v>6425</v>
      </c>
      <c r="C253" s="286" t="s">
        <v>175</v>
      </c>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2"/>
    </row>
    <row r="254" spans="1:27" ht="12.5" x14ac:dyDescent="0.25">
      <c r="A254" s="32"/>
      <c r="B254" s="285">
        <v>6426</v>
      </c>
      <c r="C254" s="286" t="s">
        <v>175</v>
      </c>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2"/>
    </row>
    <row r="255" spans="1:27" ht="12.5" x14ac:dyDescent="0.25">
      <c r="A255" s="32"/>
      <c r="B255" s="285">
        <v>6427</v>
      </c>
      <c r="C255" s="286" t="s">
        <v>175</v>
      </c>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2"/>
    </row>
    <row r="256" spans="1:27" ht="12.5" x14ac:dyDescent="0.25">
      <c r="A256" s="32"/>
      <c r="B256" s="285">
        <v>6428</v>
      </c>
      <c r="C256" s="286" t="s">
        <v>175</v>
      </c>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2"/>
    </row>
    <row r="257" spans="1:27" ht="12.5" x14ac:dyDescent="0.25">
      <c r="A257" s="32"/>
      <c r="B257" s="285">
        <v>6429</v>
      </c>
      <c r="C257" s="286" t="s">
        <v>174</v>
      </c>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2"/>
    </row>
    <row r="258" spans="1:27" ht="12.5" x14ac:dyDescent="0.25">
      <c r="A258" s="32"/>
      <c r="B258" s="285">
        <v>6431</v>
      </c>
      <c r="C258" s="286" t="s">
        <v>174</v>
      </c>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2"/>
    </row>
    <row r="259" spans="1:27" ht="12.5" x14ac:dyDescent="0.25">
      <c r="A259" s="32"/>
      <c r="B259" s="285">
        <v>6436</v>
      </c>
      <c r="C259" s="286" t="s">
        <v>174</v>
      </c>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2"/>
    </row>
    <row r="260" spans="1:27" ht="12.5" x14ac:dyDescent="0.25">
      <c r="A260" s="32"/>
      <c r="B260" s="285">
        <v>6437</v>
      </c>
      <c r="C260" s="286" t="s">
        <v>174</v>
      </c>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2"/>
    </row>
    <row r="261" spans="1:27" ht="12.5" x14ac:dyDescent="0.25">
      <c r="A261" s="32"/>
      <c r="B261" s="285">
        <v>6438</v>
      </c>
      <c r="C261" s="286" t="s">
        <v>174</v>
      </c>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2"/>
    </row>
    <row r="262" spans="1:27" ht="12.5" x14ac:dyDescent="0.25">
      <c r="A262" s="32"/>
      <c r="B262" s="285">
        <v>6440</v>
      </c>
      <c r="C262" s="286" t="s">
        <v>174</v>
      </c>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2"/>
    </row>
    <row r="263" spans="1:27" ht="12.5" x14ac:dyDescent="0.25">
      <c r="A263" s="32"/>
      <c r="B263" s="285">
        <v>6443</v>
      </c>
      <c r="C263" s="286" t="s">
        <v>174</v>
      </c>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2"/>
    </row>
    <row r="264" spans="1:27" ht="12.5" x14ac:dyDescent="0.25">
      <c r="A264" s="32"/>
      <c r="B264" s="285">
        <v>6445</v>
      </c>
      <c r="C264" s="286" t="s">
        <v>174</v>
      </c>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2"/>
    </row>
    <row r="265" spans="1:27" ht="12.5" x14ac:dyDescent="0.25">
      <c r="A265" s="32"/>
      <c r="B265" s="285">
        <v>6446</v>
      </c>
      <c r="C265" s="286" t="s">
        <v>175</v>
      </c>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2"/>
    </row>
    <row r="266" spans="1:27" ht="12.5" x14ac:dyDescent="0.25">
      <c r="A266" s="32"/>
      <c r="B266" s="285">
        <v>6447</v>
      </c>
      <c r="C266" s="286" t="s">
        <v>174</v>
      </c>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2"/>
    </row>
    <row r="267" spans="1:27" ht="12.5" x14ac:dyDescent="0.25">
      <c r="A267" s="32"/>
      <c r="B267" s="285">
        <v>6448</v>
      </c>
      <c r="C267" s="286" t="s">
        <v>175</v>
      </c>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2"/>
    </row>
    <row r="268" spans="1:27" ht="12.5" x14ac:dyDescent="0.25">
      <c r="A268" s="32"/>
      <c r="B268" s="285">
        <v>6450</v>
      </c>
      <c r="C268" s="286" t="s">
        <v>174</v>
      </c>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2"/>
    </row>
    <row r="269" spans="1:27" ht="12.5" x14ac:dyDescent="0.25">
      <c r="A269" s="32"/>
      <c r="B269" s="285">
        <v>6452</v>
      </c>
      <c r="C269" s="286" t="s">
        <v>174</v>
      </c>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2"/>
    </row>
    <row r="270" spans="1:27" ht="12.5" x14ac:dyDescent="0.25">
      <c r="A270" s="32"/>
      <c r="B270" s="285">
        <v>6466</v>
      </c>
      <c r="C270" s="286" t="s">
        <v>175</v>
      </c>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2"/>
    </row>
    <row r="271" spans="1:27" ht="12.5" x14ac:dyDescent="0.25">
      <c r="A271" s="32"/>
      <c r="B271" s="285">
        <v>6467</v>
      </c>
      <c r="C271" s="286" t="s">
        <v>175</v>
      </c>
      <c r="D271" s="32"/>
      <c r="E271" s="32"/>
      <c r="F271" s="32"/>
      <c r="G271" s="32"/>
      <c r="H271" s="32"/>
      <c r="I271" s="32"/>
      <c r="J271" s="32"/>
      <c r="K271" s="32"/>
      <c r="L271" s="32"/>
      <c r="M271" s="32"/>
      <c r="N271" s="32"/>
      <c r="O271" s="32"/>
      <c r="P271" s="32"/>
      <c r="Q271" s="32"/>
      <c r="R271" s="32"/>
      <c r="S271" s="32"/>
      <c r="T271" s="32"/>
      <c r="U271" s="32"/>
      <c r="V271" s="32"/>
      <c r="W271" s="32"/>
      <c r="X271" s="32"/>
      <c r="Y271" s="32"/>
      <c r="Z271" s="32"/>
      <c r="AA271" s="32"/>
    </row>
    <row r="272" spans="1:27" ht="12.5" x14ac:dyDescent="0.25">
      <c r="A272" s="32"/>
      <c r="B272" s="285">
        <v>6468</v>
      </c>
      <c r="C272" s="286" t="s">
        <v>175</v>
      </c>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2"/>
    </row>
    <row r="273" spans="1:27" ht="12.5" x14ac:dyDescent="0.25">
      <c r="A273" s="32"/>
      <c r="B273" s="285">
        <v>6470</v>
      </c>
      <c r="C273" s="286" t="s">
        <v>175</v>
      </c>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2"/>
    </row>
    <row r="274" spans="1:27" ht="12.5" x14ac:dyDescent="0.25">
      <c r="A274" s="32"/>
      <c r="B274" s="285">
        <v>6472</v>
      </c>
      <c r="C274" s="286" t="s">
        <v>175</v>
      </c>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2"/>
    </row>
    <row r="275" spans="1:27" ht="12.5" x14ac:dyDescent="0.25">
      <c r="A275" s="32"/>
      <c r="B275" s="285">
        <v>6473</v>
      </c>
      <c r="C275" s="286" t="s">
        <v>175</v>
      </c>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2"/>
    </row>
    <row r="276" spans="1:27" ht="12.5" x14ac:dyDescent="0.25">
      <c r="A276" s="32"/>
      <c r="B276" s="285">
        <v>6475</v>
      </c>
      <c r="C276" s="286" t="s">
        <v>175</v>
      </c>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2"/>
    </row>
    <row r="277" spans="1:27" ht="12.5" x14ac:dyDescent="0.25">
      <c r="A277" s="32"/>
      <c r="B277" s="285">
        <v>6476</v>
      </c>
      <c r="C277" s="286" t="s">
        <v>175</v>
      </c>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2"/>
    </row>
    <row r="278" spans="1:27" ht="12.5" x14ac:dyDescent="0.25">
      <c r="A278" s="32"/>
      <c r="B278" s="285">
        <v>6477</v>
      </c>
      <c r="C278" s="286" t="s">
        <v>175</v>
      </c>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2"/>
    </row>
    <row r="279" spans="1:27" ht="12.5" x14ac:dyDescent="0.25">
      <c r="A279" s="32"/>
      <c r="B279" s="285">
        <v>6479</v>
      </c>
      <c r="C279" s="286" t="s">
        <v>175</v>
      </c>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row>
    <row r="280" spans="1:27" ht="12.5" x14ac:dyDescent="0.25">
      <c r="A280" s="32"/>
      <c r="B280" s="285">
        <v>6480</v>
      </c>
      <c r="C280" s="286" t="s">
        <v>175</v>
      </c>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2"/>
    </row>
    <row r="281" spans="1:27" ht="12.5" x14ac:dyDescent="0.25">
      <c r="A281" s="32"/>
      <c r="B281" s="285">
        <v>6484</v>
      </c>
      <c r="C281" s="286" t="s">
        <v>175</v>
      </c>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2"/>
    </row>
    <row r="282" spans="1:27" ht="12.5" x14ac:dyDescent="0.25">
      <c r="A282" s="32"/>
      <c r="B282" s="285">
        <v>6487</v>
      </c>
      <c r="C282" s="286" t="s">
        <v>175</v>
      </c>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row>
    <row r="283" spans="1:27" ht="12.5" x14ac:dyDescent="0.25">
      <c r="A283" s="32"/>
      <c r="B283" s="285">
        <v>6488</v>
      </c>
      <c r="C283" s="286" t="s">
        <v>175</v>
      </c>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row>
    <row r="284" spans="1:27" ht="12.5" x14ac:dyDescent="0.25">
      <c r="A284" s="32"/>
      <c r="B284" s="285">
        <v>6489</v>
      </c>
      <c r="C284" s="286" t="s">
        <v>175</v>
      </c>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2"/>
    </row>
    <row r="285" spans="1:27" ht="12.5" x14ac:dyDescent="0.25">
      <c r="A285" s="32"/>
      <c r="B285" s="285">
        <v>6490</v>
      </c>
      <c r="C285" s="286" t="s">
        <v>175</v>
      </c>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2"/>
    </row>
    <row r="286" spans="1:27" ht="12.5" x14ac:dyDescent="0.25">
      <c r="A286" s="32"/>
      <c r="B286" s="285">
        <v>6513</v>
      </c>
      <c r="C286" s="286" t="s">
        <v>175</v>
      </c>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2"/>
    </row>
    <row r="287" spans="1:27" ht="12.5" x14ac:dyDescent="0.25">
      <c r="A287" s="32"/>
      <c r="B287" s="285">
        <v>6515</v>
      </c>
      <c r="C287" s="286" t="s">
        <v>175</v>
      </c>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2"/>
    </row>
    <row r="288" spans="1:27" ht="12.5" x14ac:dyDescent="0.25">
      <c r="A288" s="32"/>
      <c r="B288" s="285">
        <v>6517</v>
      </c>
      <c r="C288" s="286" t="s">
        <v>175</v>
      </c>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2"/>
    </row>
    <row r="289" spans="1:27" ht="12.5" x14ac:dyDescent="0.25">
      <c r="A289" s="32"/>
      <c r="B289" s="285">
        <v>6518</v>
      </c>
      <c r="C289" s="286" t="s">
        <v>175</v>
      </c>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2"/>
    </row>
    <row r="290" spans="1:27" ht="12.5" x14ac:dyDescent="0.25">
      <c r="A290" s="32"/>
      <c r="B290" s="285">
        <v>6519</v>
      </c>
      <c r="C290" s="286" t="s">
        <v>175</v>
      </c>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2"/>
    </row>
    <row r="291" spans="1:27" ht="12.5" x14ac:dyDescent="0.25">
      <c r="A291" s="32"/>
      <c r="B291" s="285">
        <v>6536</v>
      </c>
      <c r="C291" s="286" t="s">
        <v>175</v>
      </c>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2"/>
    </row>
    <row r="292" spans="1:27" ht="12.5" x14ac:dyDescent="0.25">
      <c r="A292" s="32"/>
      <c r="B292" s="285">
        <v>6537</v>
      </c>
      <c r="C292" s="286" t="s">
        <v>174</v>
      </c>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2"/>
    </row>
    <row r="293" spans="1:27" ht="12.5" x14ac:dyDescent="0.25">
      <c r="A293" s="32"/>
      <c r="B293" s="285">
        <v>6605</v>
      </c>
      <c r="C293" s="286" t="s">
        <v>175</v>
      </c>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2"/>
    </row>
    <row r="294" spans="1:27" ht="12.5" x14ac:dyDescent="0.25">
      <c r="A294" s="32"/>
      <c r="B294" s="285">
        <v>6606</v>
      </c>
      <c r="C294" s="286" t="s">
        <v>175</v>
      </c>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2"/>
    </row>
    <row r="295" spans="1:27" ht="12.5" x14ac:dyDescent="0.25">
      <c r="A295" s="32"/>
      <c r="B295" s="285">
        <v>6608</v>
      </c>
      <c r="C295" s="286" t="s">
        <v>175</v>
      </c>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2"/>
    </row>
    <row r="296" spans="1:27" ht="12.5" x14ac:dyDescent="0.25">
      <c r="A296" s="32"/>
      <c r="B296" s="285">
        <v>6609</v>
      </c>
      <c r="C296" s="286" t="s">
        <v>175</v>
      </c>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2"/>
    </row>
    <row r="297" spans="1:27" ht="12.5" x14ac:dyDescent="0.25">
      <c r="A297" s="32"/>
      <c r="B297" s="285">
        <v>6612</v>
      </c>
      <c r="C297" s="286" t="s">
        <v>174</v>
      </c>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2"/>
    </row>
    <row r="298" spans="1:27" ht="12.5" x14ac:dyDescent="0.25">
      <c r="A298" s="32"/>
      <c r="B298" s="285">
        <v>6613</v>
      </c>
      <c r="C298" s="286" t="s">
        <v>175</v>
      </c>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2"/>
    </row>
    <row r="299" spans="1:27" ht="12.5" x14ac:dyDescent="0.25">
      <c r="A299" s="32"/>
      <c r="B299" s="285">
        <v>6614</v>
      </c>
      <c r="C299" s="286" t="s">
        <v>175</v>
      </c>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2"/>
    </row>
    <row r="300" spans="1:27" ht="12.5" x14ac:dyDescent="0.25">
      <c r="A300" s="32"/>
      <c r="B300" s="285">
        <v>6616</v>
      </c>
      <c r="C300" s="286" t="s">
        <v>175</v>
      </c>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2"/>
    </row>
    <row r="301" spans="1:27" ht="12.5" x14ac:dyDescent="0.25">
      <c r="A301" s="32"/>
      <c r="B301" s="285">
        <v>6620</v>
      </c>
      <c r="C301" s="286" t="s">
        <v>175</v>
      </c>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2"/>
    </row>
    <row r="302" spans="1:27" ht="12.5" x14ac:dyDescent="0.25">
      <c r="A302" s="32"/>
      <c r="B302" s="285">
        <v>6623</v>
      </c>
      <c r="C302" s="286" t="s">
        <v>175</v>
      </c>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2"/>
    </row>
    <row r="303" spans="1:27" ht="12.5" x14ac:dyDescent="0.25">
      <c r="A303" s="32"/>
      <c r="B303" s="285">
        <v>6625</v>
      </c>
      <c r="C303" s="286" t="s">
        <v>175</v>
      </c>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2"/>
    </row>
    <row r="304" spans="1:27" ht="12.5" x14ac:dyDescent="0.25">
      <c r="A304" s="32"/>
      <c r="B304" s="285">
        <v>6627</v>
      </c>
      <c r="C304" s="286" t="s">
        <v>175</v>
      </c>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2"/>
    </row>
    <row r="305" spans="1:27" ht="12.5" x14ac:dyDescent="0.25">
      <c r="A305" s="32"/>
      <c r="B305" s="285">
        <v>6628</v>
      </c>
      <c r="C305" s="286" t="s">
        <v>175</v>
      </c>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2"/>
    </row>
    <row r="306" spans="1:27" ht="12.5" x14ac:dyDescent="0.25">
      <c r="A306" s="32"/>
      <c r="B306" s="285">
        <v>6630</v>
      </c>
      <c r="C306" s="286" t="s">
        <v>174</v>
      </c>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2"/>
    </row>
    <row r="307" spans="1:27" ht="12.5" x14ac:dyDescent="0.25">
      <c r="A307" s="32"/>
      <c r="B307" s="285">
        <v>6631</v>
      </c>
      <c r="C307" s="286" t="s">
        <v>175</v>
      </c>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2"/>
    </row>
    <row r="308" spans="1:27" ht="12.5" x14ac:dyDescent="0.25">
      <c r="A308" s="32"/>
      <c r="B308" s="285">
        <v>6632</v>
      </c>
      <c r="C308" s="286" t="s">
        <v>175</v>
      </c>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2"/>
    </row>
    <row r="309" spans="1:27" ht="12.5" x14ac:dyDescent="0.25">
      <c r="A309" s="32"/>
      <c r="B309" s="285">
        <v>6635</v>
      </c>
      <c r="C309" s="286" t="s">
        <v>174</v>
      </c>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2"/>
    </row>
    <row r="310" spans="1:27" ht="12.5" x14ac:dyDescent="0.25">
      <c r="A310" s="32"/>
      <c r="B310" s="285">
        <v>6638</v>
      </c>
      <c r="C310" s="286" t="s">
        <v>174</v>
      </c>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row>
    <row r="311" spans="1:27" ht="12.5" x14ac:dyDescent="0.25">
      <c r="A311" s="32"/>
      <c r="B311" s="285">
        <v>6639</v>
      </c>
      <c r="C311" s="286" t="s">
        <v>174</v>
      </c>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row>
    <row r="312" spans="1:27" ht="12.5" x14ac:dyDescent="0.25">
      <c r="A312" s="32"/>
      <c r="B312" s="285">
        <v>6640</v>
      </c>
      <c r="C312" s="286" t="s">
        <v>174</v>
      </c>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row>
    <row r="313" spans="1:27" ht="12.5" x14ac:dyDescent="0.25">
      <c r="A313" s="32"/>
      <c r="B313" s="285">
        <v>6642</v>
      </c>
      <c r="C313" s="286" t="s">
        <v>174</v>
      </c>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row>
    <row r="314" spans="1:27" ht="12.5" x14ac:dyDescent="0.25">
      <c r="A314" s="32"/>
      <c r="B314" s="285">
        <v>6646</v>
      </c>
      <c r="C314" s="286" t="s">
        <v>174</v>
      </c>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row>
    <row r="315" spans="1:27" ht="12.5" x14ac:dyDescent="0.25">
      <c r="A315" s="32"/>
      <c r="B315" s="285">
        <v>6701</v>
      </c>
      <c r="C315" s="286" t="s">
        <v>174</v>
      </c>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row>
    <row r="316" spans="1:27" ht="12.5" x14ac:dyDescent="0.25">
      <c r="A316" s="32"/>
      <c r="B316" s="285">
        <v>6705</v>
      </c>
      <c r="C316" s="286" t="s">
        <v>174</v>
      </c>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row>
    <row r="317" spans="1:27" ht="12.5" x14ac:dyDescent="0.25">
      <c r="A317" s="32"/>
      <c r="B317" s="285">
        <v>6707</v>
      </c>
      <c r="C317" s="286" t="s">
        <v>174</v>
      </c>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row>
    <row r="318" spans="1:27" ht="12.5" x14ac:dyDescent="0.25">
      <c r="A318" s="32"/>
      <c r="B318" s="285">
        <v>6710</v>
      </c>
      <c r="C318" s="286" t="s">
        <v>174</v>
      </c>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row>
    <row r="319" spans="1:27" ht="12.5" x14ac:dyDescent="0.25">
      <c r="A319" s="32"/>
      <c r="B319" s="285">
        <v>6711</v>
      </c>
      <c r="C319" s="286" t="s">
        <v>174</v>
      </c>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row>
    <row r="320" spans="1:27" ht="12.5" x14ac:dyDescent="0.25">
      <c r="A320" s="32"/>
      <c r="B320" s="285">
        <v>6712</v>
      </c>
      <c r="C320" s="286" t="s">
        <v>174</v>
      </c>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row>
    <row r="321" spans="1:27" ht="12.5" x14ac:dyDescent="0.25">
      <c r="A321" s="32"/>
      <c r="B321" s="285">
        <v>6713</v>
      </c>
      <c r="C321" s="286" t="s">
        <v>175</v>
      </c>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row>
    <row r="322" spans="1:27" ht="12.5" x14ac:dyDescent="0.25">
      <c r="A322" s="32"/>
      <c r="B322" s="285">
        <v>6714</v>
      </c>
      <c r="C322" s="286" t="s">
        <v>174</v>
      </c>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row>
    <row r="323" spans="1:27" ht="12.5" x14ac:dyDescent="0.25">
      <c r="A323" s="32"/>
      <c r="B323" s="285">
        <v>6716</v>
      </c>
      <c r="C323" s="286" t="s">
        <v>174</v>
      </c>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row>
    <row r="324" spans="1:27" ht="12.5" x14ac:dyDescent="0.25">
      <c r="A324" s="32"/>
      <c r="B324" s="285">
        <v>6718</v>
      </c>
      <c r="C324" s="286" t="s">
        <v>174</v>
      </c>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row>
    <row r="325" spans="1:27" ht="12.5" x14ac:dyDescent="0.25">
      <c r="A325" s="32"/>
      <c r="B325" s="285">
        <v>6720</v>
      </c>
      <c r="C325" s="286" t="s">
        <v>175</v>
      </c>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row>
    <row r="326" spans="1:27" ht="12.5" x14ac:dyDescent="0.25">
      <c r="A326" s="32"/>
      <c r="B326" s="285">
        <v>6721</v>
      </c>
      <c r="C326" s="286" t="s">
        <v>174</v>
      </c>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row>
    <row r="327" spans="1:27" ht="12.5" x14ac:dyDescent="0.25">
      <c r="A327" s="32"/>
      <c r="B327" s="285">
        <v>6722</v>
      </c>
      <c r="C327" s="286" t="s">
        <v>174</v>
      </c>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row>
    <row r="328" spans="1:27" ht="12.5" x14ac:dyDescent="0.25">
      <c r="A328" s="32"/>
      <c r="B328" s="285">
        <v>6725</v>
      </c>
      <c r="C328" s="286" t="s">
        <v>174</v>
      </c>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row>
    <row r="329" spans="1:27" ht="12.5" x14ac:dyDescent="0.25">
      <c r="A329" s="32"/>
      <c r="B329" s="285">
        <v>6726</v>
      </c>
      <c r="C329" s="286" t="s">
        <v>175</v>
      </c>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row>
    <row r="330" spans="1:27" ht="12.5" x14ac:dyDescent="0.25">
      <c r="A330" s="32"/>
      <c r="B330" s="285">
        <v>6728</v>
      </c>
      <c r="C330" s="286" t="s">
        <v>174</v>
      </c>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row>
    <row r="331" spans="1:27" ht="12.5" x14ac:dyDescent="0.25">
      <c r="A331" s="32"/>
      <c r="B331" s="285">
        <v>6731</v>
      </c>
      <c r="C331" s="286" t="s">
        <v>174</v>
      </c>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row>
    <row r="332" spans="1:27" ht="12.5" x14ac:dyDescent="0.25">
      <c r="A332" s="32"/>
      <c r="B332" s="285">
        <v>6733</v>
      </c>
      <c r="C332" s="286" t="s">
        <v>174</v>
      </c>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row>
    <row r="333" spans="1:27" ht="12.5" x14ac:dyDescent="0.25">
      <c r="A333" s="32"/>
      <c r="B333" s="285">
        <v>6740</v>
      </c>
      <c r="C333" s="286" t="s">
        <v>174</v>
      </c>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row>
    <row r="334" spans="1:27" ht="12.5" x14ac:dyDescent="0.25">
      <c r="A334" s="32"/>
      <c r="B334" s="285">
        <v>6743</v>
      </c>
      <c r="C334" s="286" t="s">
        <v>174</v>
      </c>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row>
    <row r="335" spans="1:27" ht="12.5" x14ac:dyDescent="0.25">
      <c r="A335" s="32"/>
      <c r="B335" s="285">
        <v>6751</v>
      </c>
      <c r="C335" s="286" t="s">
        <v>174</v>
      </c>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row>
    <row r="336" spans="1:27" ht="12.5" x14ac:dyDescent="0.25">
      <c r="A336" s="32"/>
      <c r="B336" s="285">
        <v>6753</v>
      </c>
      <c r="C336" s="286" t="s">
        <v>174</v>
      </c>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row>
    <row r="337" spans="1:27" ht="12.5" x14ac:dyDescent="0.25">
      <c r="A337" s="32"/>
      <c r="B337" s="285">
        <v>6754</v>
      </c>
      <c r="C337" s="286" t="s">
        <v>174</v>
      </c>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row>
    <row r="338" spans="1:27" ht="12.5" x14ac:dyDescent="0.25">
      <c r="A338" s="32"/>
      <c r="B338" s="285">
        <v>6758</v>
      </c>
      <c r="C338" s="286" t="s">
        <v>174</v>
      </c>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row>
    <row r="339" spans="1:27" ht="12.5" x14ac:dyDescent="0.25">
      <c r="A339" s="32"/>
      <c r="B339" s="285">
        <v>6760</v>
      </c>
      <c r="C339" s="286" t="s">
        <v>174</v>
      </c>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row>
    <row r="340" spans="1:27" ht="12.5" x14ac:dyDescent="0.25">
      <c r="A340" s="32"/>
      <c r="B340" s="285">
        <v>6762</v>
      </c>
      <c r="C340" s="286" t="s">
        <v>174</v>
      </c>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row>
    <row r="341" spans="1:27" ht="12.5" x14ac:dyDescent="0.25">
      <c r="A341" s="32"/>
      <c r="B341" s="285">
        <v>6765</v>
      </c>
      <c r="C341" s="286" t="s">
        <v>174</v>
      </c>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row>
    <row r="342" spans="1:27" ht="12.5" x14ac:dyDescent="0.25">
      <c r="A342" s="32"/>
      <c r="B342" s="285">
        <v>6770</v>
      </c>
      <c r="C342" s="286" t="s">
        <v>174</v>
      </c>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row>
    <row r="343" spans="1:27" ht="12.75" customHeight="1" x14ac:dyDescent="0.25">
      <c r="A343" s="32"/>
      <c r="B343" s="285">
        <v>6798</v>
      </c>
      <c r="C343" s="286" t="s">
        <v>174</v>
      </c>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row>
    <row r="344" spans="1:27" ht="12.5" x14ac:dyDescent="0.25">
      <c r="A344" s="32"/>
      <c r="B344" s="285">
        <v>6799</v>
      </c>
      <c r="C344" s="286" t="s">
        <v>174</v>
      </c>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row>
    <row r="345" spans="1:27" ht="12.5" x14ac:dyDescent="0.25">
      <c r="A345" s="32"/>
      <c r="B345" s="285">
        <v>7139</v>
      </c>
      <c r="C345" s="286" t="s">
        <v>175</v>
      </c>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row>
    <row r="346" spans="1:27" ht="12.5" x14ac:dyDescent="0.25">
      <c r="A346" s="32"/>
      <c r="B346" s="285">
        <v>7255</v>
      </c>
      <c r="C346" s="286" t="s">
        <v>174</v>
      </c>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row>
    <row r="347" spans="1:27" ht="12.5" x14ac:dyDescent="0.25">
      <c r="A347" s="32"/>
      <c r="B347" s="285">
        <v>7256</v>
      </c>
      <c r="C347" s="286" t="s">
        <v>174</v>
      </c>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2"/>
    </row>
    <row r="348" spans="1:27" ht="12.5" x14ac:dyDescent="0.25">
      <c r="A348" s="32"/>
      <c r="B348" s="285">
        <v>7257</v>
      </c>
      <c r="C348" s="286" t="s">
        <v>174</v>
      </c>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2"/>
    </row>
    <row r="349" spans="1:27" ht="12.5" x14ac:dyDescent="0.25">
      <c r="A349" s="32"/>
      <c r="B349" s="285">
        <v>7466</v>
      </c>
      <c r="C349" s="286" t="s">
        <v>175</v>
      </c>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2"/>
    </row>
    <row r="350" spans="1:27" ht="12.5" x14ac:dyDescent="0.25">
      <c r="A350" s="32"/>
      <c r="B350" s="285">
        <v>7467</v>
      </c>
      <c r="C350" s="286" t="s">
        <v>175</v>
      </c>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2"/>
    </row>
    <row r="351" spans="1:27" ht="12.5" x14ac:dyDescent="0.25">
      <c r="A351" s="32"/>
      <c r="B351" s="285">
        <v>7468</v>
      </c>
      <c r="C351" s="286" t="s">
        <v>175</v>
      </c>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2"/>
    </row>
    <row r="352" spans="1:27" ht="12.5" x14ac:dyDescent="0.25">
      <c r="A352" s="32"/>
      <c r="B352" s="287">
        <v>7470</v>
      </c>
      <c r="C352" s="288" t="s">
        <v>175</v>
      </c>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2"/>
    </row>
  </sheetData>
  <sheetProtection algorithmName="SHA-512" hashValue="PfYLvnW9jGZ+bRFKn5t2YOnq8Im1SHVCbSiNWd037HVBnRo5y5mcAOBvwyTpv8rfzNLiwtQDYnRj92jwvDPYOA==" saltValue="p+H90ZEcDu2EtHN6RCLLyQ==" spinCount="100000" sheet="1" objects="1" scenarios="1" selectLockedCells="1"/>
  <dataConsolidate link="1"/>
  <mergeCells count="82">
    <mergeCell ref="B16:C16"/>
    <mergeCell ref="F69:G69"/>
    <mergeCell ref="F44:G44"/>
    <mergeCell ref="F19:G19"/>
    <mergeCell ref="B5:C5"/>
    <mergeCell ref="B11:B13"/>
    <mergeCell ref="F18:G18"/>
    <mergeCell ref="F43:G43"/>
    <mergeCell ref="F68:G68"/>
    <mergeCell ref="B36:C36"/>
    <mergeCell ref="F38:G38"/>
    <mergeCell ref="F39:G39"/>
    <mergeCell ref="F32:G32"/>
    <mergeCell ref="F33:G33"/>
    <mergeCell ref="F34:G34"/>
    <mergeCell ref="F35:G35"/>
    <mergeCell ref="V31:V41"/>
    <mergeCell ref="F20:G20"/>
    <mergeCell ref="F21:G21"/>
    <mergeCell ref="F22:G22"/>
    <mergeCell ref="F23:G23"/>
    <mergeCell ref="F24:G24"/>
    <mergeCell ref="F25:G25"/>
    <mergeCell ref="F26:G26"/>
    <mergeCell ref="F27:G27"/>
    <mergeCell ref="F28:G28"/>
    <mergeCell ref="F29:G29"/>
    <mergeCell ref="F30:G30"/>
    <mergeCell ref="V20:V30"/>
    <mergeCell ref="F31:G31"/>
    <mergeCell ref="F36:G36"/>
    <mergeCell ref="F37:G37"/>
    <mergeCell ref="F41:G41"/>
    <mergeCell ref="F40:G40"/>
    <mergeCell ref="V56:V66"/>
    <mergeCell ref="F45:G45"/>
    <mergeCell ref="F46:G46"/>
    <mergeCell ref="F47:G47"/>
    <mergeCell ref="F48:G48"/>
    <mergeCell ref="F49:G49"/>
    <mergeCell ref="F50:G50"/>
    <mergeCell ref="F51:G51"/>
    <mergeCell ref="F52:G52"/>
    <mergeCell ref="F53:G53"/>
    <mergeCell ref="F54:G54"/>
    <mergeCell ref="F55:G55"/>
    <mergeCell ref="V45:V55"/>
    <mergeCell ref="F56:G56"/>
    <mergeCell ref="F61:G61"/>
    <mergeCell ref="F62:G62"/>
    <mergeCell ref="F63:G63"/>
    <mergeCell ref="F64:G64"/>
    <mergeCell ref="F57:G57"/>
    <mergeCell ref="F58:G58"/>
    <mergeCell ref="F59:G59"/>
    <mergeCell ref="F60:G60"/>
    <mergeCell ref="F65:G65"/>
    <mergeCell ref="V81:V91"/>
    <mergeCell ref="F70:G70"/>
    <mergeCell ref="F71:G71"/>
    <mergeCell ref="F72:G72"/>
    <mergeCell ref="F73:G73"/>
    <mergeCell ref="F74:G74"/>
    <mergeCell ref="F75:G75"/>
    <mergeCell ref="F76:G76"/>
    <mergeCell ref="F77:G77"/>
    <mergeCell ref="F78:G78"/>
    <mergeCell ref="F79:G79"/>
    <mergeCell ref="F80:G80"/>
    <mergeCell ref="V70:V80"/>
    <mergeCell ref="F81:G81"/>
    <mergeCell ref="F82:G82"/>
    <mergeCell ref="F83:G83"/>
    <mergeCell ref="F84:G84"/>
    <mergeCell ref="F85:G85"/>
    <mergeCell ref="F66:G66"/>
    <mergeCell ref="F91:G91"/>
    <mergeCell ref="F90:G90"/>
    <mergeCell ref="F86:G86"/>
    <mergeCell ref="F87:G87"/>
    <mergeCell ref="F88:G88"/>
    <mergeCell ref="F89:G89"/>
  </mergeCells>
  <pageMargins left="0.25" right="0.25" top="0.75" bottom="0.75" header="0.3" footer="0.3"/>
  <pageSetup paperSize="9" scale="17" fitToWidth="0" fitToHeight="0"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DFD4-3D91-41EF-A3A9-224296259115}">
  <sheetPr codeName="shStaticData">
    <tabColor rgb="FF008000"/>
  </sheetPr>
  <dimension ref="A1:AN143"/>
  <sheetViews>
    <sheetView showGridLines="0" showRowColHeaders="0" zoomScaleNormal="100" workbookViewId="0">
      <selection activeCell="B4" sqref="B4"/>
    </sheetView>
  </sheetViews>
  <sheetFormatPr defaultRowHeight="12.75" customHeight="1" x14ac:dyDescent="0.25"/>
  <cols>
    <col min="1" max="1" width="55" bestFit="1" customWidth="1"/>
    <col min="2" max="2" width="26.453125" customWidth="1"/>
    <col min="3" max="3" width="2.81640625" customWidth="1"/>
    <col min="4" max="4" width="25.26953125" customWidth="1"/>
    <col min="5" max="5" width="20.1796875" customWidth="1"/>
    <col min="6" max="6" width="20.453125" customWidth="1"/>
    <col min="7" max="7" width="22.54296875" customWidth="1"/>
    <col min="8" max="8" width="16.7265625" customWidth="1"/>
    <col min="9" max="9" width="29.26953125" customWidth="1"/>
    <col min="10" max="10" width="22.81640625" customWidth="1"/>
    <col min="11" max="11" width="20.26953125" customWidth="1"/>
    <col min="12" max="12" width="18.54296875" customWidth="1"/>
    <col min="13" max="13" width="27.26953125" bestFit="1" customWidth="1"/>
    <col min="14" max="14" width="7.453125" bestFit="1" customWidth="1"/>
    <col min="15" max="20" width="12" customWidth="1"/>
    <col min="21" max="21" width="16.453125" customWidth="1"/>
    <col min="22" max="22" width="12.1796875" bestFit="1" customWidth="1"/>
    <col min="23" max="23" width="2.81640625" customWidth="1"/>
    <col min="24" max="24" width="24" bestFit="1" customWidth="1"/>
    <col min="25" max="25" width="2.81640625" customWidth="1"/>
    <col min="26" max="35" width="18.453125" customWidth="1"/>
    <col min="36" max="36" width="21" customWidth="1"/>
    <col min="37" max="37" width="55" bestFit="1" customWidth="1"/>
    <col min="38" max="38" width="60.81640625" customWidth="1"/>
    <col min="39" max="39" width="32.7265625" customWidth="1"/>
    <col min="40" max="40" width="208" customWidth="1"/>
  </cols>
  <sheetData>
    <row r="1" spans="1:40" ht="12.5" x14ac:dyDescent="0.25"/>
    <row r="2" spans="1:40" ht="13" x14ac:dyDescent="0.3">
      <c r="D2" s="444" t="s">
        <v>815</v>
      </c>
      <c r="E2" s="444"/>
      <c r="F2" s="445">
        <v>45474</v>
      </c>
      <c r="Z2" s="444" t="s">
        <v>64</v>
      </c>
      <c r="AA2" s="445">
        <v>45474</v>
      </c>
    </row>
    <row r="3" spans="1:40" ht="13" x14ac:dyDescent="0.25">
      <c r="A3" s="442" t="s">
        <v>674</v>
      </c>
      <c r="B3" s="563">
        <v>45704</v>
      </c>
      <c r="D3" s="82"/>
      <c r="E3" s="82"/>
      <c r="AK3" t="s">
        <v>2040</v>
      </c>
      <c r="AL3" t="s">
        <v>2046</v>
      </c>
      <c r="AM3" t="s">
        <v>2041</v>
      </c>
      <c r="AN3" t="s">
        <v>723</v>
      </c>
    </row>
    <row r="4" spans="1:40" ht="13" x14ac:dyDescent="0.3">
      <c r="A4" s="442" t="s">
        <v>676</v>
      </c>
      <c r="B4" s="564" t="s">
        <v>2454</v>
      </c>
      <c r="D4" s="1467" t="s">
        <v>197</v>
      </c>
      <c r="E4" s="1467"/>
      <c r="F4" s="1467"/>
      <c r="G4" s="1467"/>
      <c r="I4" s="1467" t="s">
        <v>198</v>
      </c>
      <c r="J4" s="1467"/>
      <c r="K4" s="1467"/>
      <c r="M4" s="446" t="s">
        <v>818</v>
      </c>
      <c r="N4" s="446"/>
      <c r="O4" s="446"/>
      <c r="P4" s="165"/>
      <c r="Q4" s="165"/>
      <c r="R4" s="165"/>
      <c r="S4" s="165"/>
      <c r="T4" s="165"/>
      <c r="U4" s="165"/>
      <c r="V4" s="165"/>
      <c r="Z4" s="1468" t="s">
        <v>382</v>
      </c>
      <c r="AA4" s="1468"/>
      <c r="AB4" s="1468"/>
      <c r="AC4" s="1392"/>
      <c r="AF4" s="446" t="s">
        <v>734</v>
      </c>
      <c r="AK4" t="s">
        <v>1356</v>
      </c>
      <c r="AL4" t="s">
        <v>2047</v>
      </c>
      <c r="AM4" t="s">
        <v>2147</v>
      </c>
      <c r="AN4" t="s">
        <v>2043</v>
      </c>
    </row>
    <row r="5" spans="1:40" ht="13" x14ac:dyDescent="0.3">
      <c r="A5" s="442" t="s">
        <v>677</v>
      </c>
      <c r="B5" s="443" t="str">
        <f>CONCATENATE(INT(LEFT(InternalVersionNumber,FIND(".",InternalVersionNumber)-1)),".",INT(MID(InternalVersionNumber,FIND(".",InternalVersionNumber)+1,2)))</f>
        <v>9.4</v>
      </c>
      <c r="D5" s="1" t="s">
        <v>328</v>
      </c>
      <c r="E5" s="1" t="s">
        <v>329</v>
      </c>
      <c r="F5" s="1" t="s">
        <v>189</v>
      </c>
      <c r="G5" s="1" t="s">
        <v>190</v>
      </c>
      <c r="I5" t="s">
        <v>191</v>
      </c>
      <c r="J5" t="s">
        <v>192</v>
      </c>
      <c r="K5" t="s">
        <v>189</v>
      </c>
      <c r="M5" s="88" t="s">
        <v>369</v>
      </c>
      <c r="N5" s="88" t="s">
        <v>189</v>
      </c>
      <c r="O5" s="88" t="s">
        <v>386</v>
      </c>
      <c r="P5" s="88" t="s">
        <v>385</v>
      </c>
      <c r="Q5" s="88" t="s">
        <v>384</v>
      </c>
      <c r="R5" s="88" t="s">
        <v>389</v>
      </c>
      <c r="S5" s="88" t="s">
        <v>390</v>
      </c>
      <c r="T5" s="88" t="s">
        <v>391</v>
      </c>
      <c r="U5" s="88" t="s">
        <v>422</v>
      </c>
      <c r="V5" s="88" t="s">
        <v>2343</v>
      </c>
      <c r="X5" t="s">
        <v>369</v>
      </c>
      <c r="Z5" t="s">
        <v>26</v>
      </c>
      <c r="AA5" t="s">
        <v>27</v>
      </c>
      <c r="AB5" t="s">
        <v>189</v>
      </c>
      <c r="AF5" s="75" t="s">
        <v>240</v>
      </c>
      <c r="AG5" s="81" t="s">
        <v>239</v>
      </c>
      <c r="AH5" s="80" t="s">
        <v>238</v>
      </c>
      <c r="AK5" t="s">
        <v>1393</v>
      </c>
      <c r="AL5" t="s">
        <v>2047</v>
      </c>
      <c r="AM5" t="s">
        <v>2148</v>
      </c>
      <c r="AN5" t="s">
        <v>2079</v>
      </c>
    </row>
    <row r="6" spans="1:40" ht="13" x14ac:dyDescent="0.25">
      <c r="A6" s="442" t="s">
        <v>675</v>
      </c>
      <c r="B6" s="443" t="str">
        <f>"Version " &amp; VersionNumber</f>
        <v>Version 9.4</v>
      </c>
      <c r="D6" s="119"/>
      <c r="E6" s="120"/>
      <c r="F6" s="121"/>
      <c r="G6" s="122"/>
      <c r="I6" s="192">
        <v>0</v>
      </c>
      <c r="J6" s="1038">
        <v>26000</v>
      </c>
      <c r="K6" s="54">
        <v>0</v>
      </c>
      <c r="M6" s="3" t="s">
        <v>481</v>
      </c>
      <c r="N6" s="55"/>
      <c r="O6" s="3" t="s">
        <v>12</v>
      </c>
      <c r="P6" s="3" t="s">
        <v>12</v>
      </c>
      <c r="Q6" s="3" t="s">
        <v>12</v>
      </c>
      <c r="R6" s="3">
        <v>1</v>
      </c>
      <c r="S6" s="3">
        <v>1</v>
      </c>
      <c r="T6" s="3">
        <v>1</v>
      </c>
      <c r="U6" s="3">
        <v>1</v>
      </c>
      <c r="V6" s="3">
        <v>1</v>
      </c>
      <c r="X6" t="str" cm="1">
        <f t="array" ref="X6">IFERROR(INDEX(M$6:M$21,_xlfn.AGGREGATE(15,6,ROW(M$6:M$21)-ROW(M$6)+1/(M$6:M$21&lt;&gt;""),ROWS(X$6:X6))),"")</f>
        <v>Mortgage - OO</v>
      </c>
      <c r="Z6" s="850">
        <v>0</v>
      </c>
      <c r="AA6" s="850">
        <v>54434</v>
      </c>
      <c r="AB6" s="57">
        <v>0</v>
      </c>
      <c r="AC6" s="57"/>
      <c r="AF6" s="81" t="s">
        <v>736</v>
      </c>
      <c r="AG6" s="428">
        <v>1</v>
      </c>
      <c r="AH6" s="81">
        <v>365</v>
      </c>
      <c r="AK6" t="s">
        <v>1357</v>
      </c>
      <c r="AL6" t="s">
        <v>2047</v>
      </c>
      <c r="AM6" t="s">
        <v>1353</v>
      </c>
      <c r="AN6" t="s">
        <v>2080</v>
      </c>
    </row>
    <row r="7" spans="1:40" ht="13" x14ac:dyDescent="0.25">
      <c r="A7" s="650" t="s">
        <v>1072</v>
      </c>
      <c r="B7" s="1067" t="s">
        <v>1073</v>
      </c>
      <c r="D7" s="53">
        <v>0</v>
      </c>
      <c r="E7" s="53">
        <v>18200</v>
      </c>
      <c r="F7" s="54">
        <v>0</v>
      </c>
      <c r="G7" s="53">
        <v>0</v>
      </c>
      <c r="I7" s="192">
        <f>J6</f>
        <v>26000</v>
      </c>
      <c r="J7" s="192">
        <f>ROUNDDOWN((J6*K7)/(K7-K8),0)</f>
        <v>32500</v>
      </c>
      <c r="K7" s="54">
        <v>0.1</v>
      </c>
      <c r="M7" s="289" t="s">
        <v>482</v>
      </c>
      <c r="N7" s="55"/>
      <c r="O7" s="3" t="s">
        <v>12</v>
      </c>
      <c r="P7" s="3" t="s">
        <v>12</v>
      </c>
      <c r="Q7" s="3" t="s">
        <v>12</v>
      </c>
      <c r="R7" s="3">
        <v>1</v>
      </c>
      <c r="S7" s="3">
        <v>4</v>
      </c>
      <c r="T7" s="3">
        <v>1</v>
      </c>
      <c r="U7" s="3">
        <v>1</v>
      </c>
      <c r="V7" s="3">
        <v>1</v>
      </c>
      <c r="X7" t="str" cm="1">
        <f t="array" ref="X7">IFERROR(INDEX(M$6:M$21,_xlfn.AGGREGATE(15,6,ROW(M$6:M$21)-ROW(M$6)+1/(M$6:M$21&lt;&gt;""),ROWS(X$6:X7))),"")</f>
        <v>Mortgage - IPL</v>
      </c>
      <c r="Z7" s="850">
        <v>54435</v>
      </c>
      <c r="AA7" s="850">
        <v>62850</v>
      </c>
      <c r="AB7" s="57">
        <v>0.01</v>
      </c>
      <c r="AC7" s="57"/>
      <c r="AF7" s="81" t="s">
        <v>10</v>
      </c>
      <c r="AG7" s="428">
        <v>7</v>
      </c>
      <c r="AH7" s="81">
        <v>52</v>
      </c>
      <c r="AK7" t="s">
        <v>1358</v>
      </c>
      <c r="AL7" t="s">
        <v>2047</v>
      </c>
      <c r="AM7" t="s">
        <v>2149</v>
      </c>
      <c r="AN7" t="s">
        <v>2081</v>
      </c>
    </row>
    <row r="8" spans="1:40" ht="13" x14ac:dyDescent="0.25">
      <c r="A8" s="650" t="s">
        <v>1099</v>
      </c>
      <c r="B8" s="1067" t="s">
        <v>2455</v>
      </c>
      <c r="D8" s="53">
        <v>18201</v>
      </c>
      <c r="E8" s="53">
        <v>45000</v>
      </c>
      <c r="F8" s="54">
        <v>0.16</v>
      </c>
      <c r="G8" s="53">
        <f>G7+(F7*(IncomeTaxTable[[#This Row],[MinThreshold]]-D7))</f>
        <v>0</v>
      </c>
      <c r="I8" s="53">
        <v>0</v>
      </c>
      <c r="J8" s="53">
        <v>999999999999</v>
      </c>
      <c r="K8" s="54">
        <v>0.02</v>
      </c>
      <c r="M8" s="3" t="s">
        <v>375</v>
      </c>
      <c r="N8" s="55">
        <v>3.7999999999999999E-2</v>
      </c>
      <c r="O8" s="3" t="s">
        <v>9</v>
      </c>
      <c r="P8" s="3" t="s">
        <v>9</v>
      </c>
      <c r="Q8" s="3" t="s">
        <v>12</v>
      </c>
      <c r="R8" s="3">
        <v>5</v>
      </c>
      <c r="S8" s="3">
        <v>3</v>
      </c>
      <c r="T8" s="3">
        <v>1</v>
      </c>
      <c r="U8" s="3">
        <v>1</v>
      </c>
      <c r="V8" s="3"/>
      <c r="X8" t="str" cm="1">
        <f t="array" ref="X8">IFERROR(INDEX(M$6:M$21,_xlfn.AGGREGATE(15,6,ROW(M$6:M$21)-ROW(M$6)+1/(M$6:M$21&lt;&gt;""),ROWS(X$6:X8))),"")</f>
        <v>Credit card</v>
      </c>
      <c r="Z8" s="850">
        <v>62851</v>
      </c>
      <c r="AA8" s="850">
        <v>66620</v>
      </c>
      <c r="AB8" s="57">
        <v>0.02</v>
      </c>
      <c r="AC8" s="57"/>
      <c r="AF8" s="81" t="s">
        <v>8</v>
      </c>
      <c r="AG8" s="428">
        <v>14</v>
      </c>
      <c r="AH8" s="81">
        <v>26</v>
      </c>
      <c r="AK8" t="s">
        <v>1359</v>
      </c>
      <c r="AL8" t="s">
        <v>2047</v>
      </c>
      <c r="AM8" t="s">
        <v>1448</v>
      </c>
      <c r="AN8" t="s">
        <v>2082</v>
      </c>
    </row>
    <row r="9" spans="1:40" ht="12.5" x14ac:dyDescent="0.25">
      <c r="D9" s="53">
        <v>45001</v>
      </c>
      <c r="E9" s="53">
        <v>135000</v>
      </c>
      <c r="F9" s="54">
        <v>0.3</v>
      </c>
      <c r="G9" s="53">
        <f>G8+(F8*(IncomeTaxTable[[#This Row],[MinThreshold]]-D8))</f>
        <v>4288</v>
      </c>
      <c r="M9" s="3" t="s">
        <v>381</v>
      </c>
      <c r="N9" s="55"/>
      <c r="O9" s="3" t="s">
        <v>9</v>
      </c>
      <c r="P9" s="3" t="s">
        <v>9</v>
      </c>
      <c r="Q9" s="3" t="s">
        <v>12</v>
      </c>
      <c r="R9" s="3">
        <v>4</v>
      </c>
      <c r="S9" s="3"/>
      <c r="T9" s="3"/>
      <c r="U9" s="3">
        <v>2</v>
      </c>
      <c r="V9" s="3"/>
      <c r="X9" t="str" cm="1">
        <f t="array" ref="X9">IFERROR(INDEX(M$6:M$21,_xlfn.AGGREGATE(15,6,ROW(M$6:M$21)-ROW(M$6)+1/(M$6:M$21&lt;&gt;""),ROWS(X$6:X9))),"")</f>
        <v>Hire purchase/leasing</v>
      </c>
      <c r="Z9" s="850">
        <v>66621</v>
      </c>
      <c r="AA9" s="850">
        <v>70618</v>
      </c>
      <c r="AB9" s="57">
        <v>2.5000000000000001E-2</v>
      </c>
      <c r="AC9" s="57"/>
      <c r="AF9" s="81" t="s">
        <v>735</v>
      </c>
      <c r="AG9" s="428">
        <v>15.25</v>
      </c>
      <c r="AH9" s="81">
        <v>24</v>
      </c>
      <c r="AK9" t="s">
        <v>1360</v>
      </c>
      <c r="AL9" t="s">
        <v>2047</v>
      </c>
      <c r="AM9" t="s">
        <v>2150</v>
      </c>
      <c r="AN9" t="s">
        <v>2083</v>
      </c>
    </row>
    <row r="10" spans="1:40" ht="13" x14ac:dyDescent="0.3">
      <c r="A10" s="377" t="s">
        <v>187</v>
      </c>
      <c r="D10" s="53">
        <v>135001</v>
      </c>
      <c r="E10" s="53">
        <v>190000</v>
      </c>
      <c r="F10" s="54">
        <v>0.37</v>
      </c>
      <c r="G10" s="53">
        <f>G9+(F9*(IncomeTaxTable[[#This Row],[MinThreshold]]-D9))</f>
        <v>31288</v>
      </c>
      <c r="M10" s="3" t="s">
        <v>380</v>
      </c>
      <c r="N10" s="55">
        <v>0.10970000000000001</v>
      </c>
      <c r="O10" s="3" t="s">
        <v>9</v>
      </c>
      <c r="P10" s="3" t="s">
        <v>12</v>
      </c>
      <c r="Q10" s="3" t="s">
        <v>12</v>
      </c>
      <c r="R10" s="3">
        <v>1</v>
      </c>
      <c r="S10" s="3">
        <v>3</v>
      </c>
      <c r="T10" s="3">
        <v>4</v>
      </c>
      <c r="U10" s="3">
        <v>1</v>
      </c>
      <c r="V10" s="3">
        <v>12</v>
      </c>
      <c r="X10" t="str" cm="1">
        <f t="array" ref="X10">IFERROR(INDEX(M$6:M$21,_xlfn.AGGREGATE(15,6,ROW(M$6:M$21)-ROW(M$6)+1/(M$6:M$21&lt;&gt;""),ROWS(X$6:X10))),"")</f>
        <v>Personal loan</v>
      </c>
      <c r="Z10" s="850">
        <v>70619</v>
      </c>
      <c r="AA10" s="850">
        <v>74855</v>
      </c>
      <c r="AB10" s="57">
        <v>0.03</v>
      </c>
      <c r="AC10" s="57"/>
      <c r="AF10" s="81" t="s">
        <v>7</v>
      </c>
      <c r="AG10" s="428">
        <v>30.5</v>
      </c>
      <c r="AH10" s="81">
        <v>12</v>
      </c>
      <c r="AK10" t="s">
        <v>1361</v>
      </c>
      <c r="AL10" t="s">
        <v>2047</v>
      </c>
      <c r="AM10" t="s">
        <v>1354</v>
      </c>
      <c r="AN10" t="s">
        <v>2084</v>
      </c>
    </row>
    <row r="11" spans="1:40" ht="12.5" x14ac:dyDescent="0.25">
      <c r="A11" s="268" t="s">
        <v>183</v>
      </c>
      <c r="B11" s="179">
        <v>650</v>
      </c>
      <c r="D11" s="53">
        <v>190001</v>
      </c>
      <c r="E11" s="53"/>
      <c r="F11" s="54">
        <v>0.45</v>
      </c>
      <c r="G11" s="53">
        <f>G10+(F10*(IncomeTaxTable[[#This Row],[MinThreshold]]-D10))</f>
        <v>51638</v>
      </c>
      <c r="M11" s="1419" t="str">
        <f>IF(OR(SDVersionChannel="PW",SDVersionChannel="MQ"),"Interest only bullet loan","")</f>
        <v/>
      </c>
      <c r="N11" s="55"/>
      <c r="O11" s="3" t="s">
        <v>12</v>
      </c>
      <c r="P11" s="3" t="s">
        <v>9</v>
      </c>
      <c r="Q11" s="3" t="s">
        <v>12</v>
      </c>
      <c r="R11" s="3">
        <v>2</v>
      </c>
      <c r="S11" s="3">
        <v>1</v>
      </c>
      <c r="T11" s="3">
        <v>1</v>
      </c>
      <c r="U11" s="3">
        <v>1</v>
      </c>
      <c r="V11" s="3"/>
      <c r="X11" t="str" cm="1">
        <f t="array" ref="X11">IFERROR(INDEX(M$6:M$21,_xlfn.AGGREGATE(15,6,ROW(M$6:M$21)-ROW(M$6)+1/(M$6:M$21&lt;&gt;""),ROWS(X$6:X11))),"")</f>
        <v>Line of credit (secured)</v>
      </c>
      <c r="Z11" s="850">
        <v>74856</v>
      </c>
      <c r="AA11" s="850">
        <v>79346</v>
      </c>
      <c r="AB11" s="57">
        <v>3.5000000000000003E-2</v>
      </c>
      <c r="AC11" s="57"/>
      <c r="AF11" s="81" t="s">
        <v>737</v>
      </c>
      <c r="AG11" s="428">
        <v>91.25</v>
      </c>
      <c r="AH11" s="81">
        <v>4</v>
      </c>
      <c r="AK11" t="s">
        <v>1362</v>
      </c>
      <c r="AL11" t="s">
        <v>2047</v>
      </c>
      <c r="AM11" t="s">
        <v>1362</v>
      </c>
      <c r="AN11" t="s">
        <v>2044</v>
      </c>
    </row>
    <row r="12" spans="1:40" ht="12.5" x14ac:dyDescent="0.25">
      <c r="A12" s="268" t="s">
        <v>478</v>
      </c>
      <c r="B12" s="1068">
        <v>5.0500000000000003E-2</v>
      </c>
      <c r="D12" s="53"/>
      <c r="E12" s="53"/>
      <c r="M12" s="1419" t="s">
        <v>378</v>
      </c>
      <c r="N12" s="55"/>
      <c r="O12" s="3" t="s">
        <v>12</v>
      </c>
      <c r="P12" s="3" t="s">
        <v>12</v>
      </c>
      <c r="Q12" s="3" t="s">
        <v>12</v>
      </c>
      <c r="R12" s="3">
        <v>1</v>
      </c>
      <c r="S12" s="3">
        <v>4</v>
      </c>
      <c r="T12" s="3">
        <v>1</v>
      </c>
      <c r="U12" s="3">
        <v>1</v>
      </c>
      <c r="V12" s="3">
        <v>240</v>
      </c>
      <c r="X12" t="str" cm="1">
        <f t="array" ref="X12">IFERROR(INDEX(M$6:M$21,_xlfn.AGGREGATE(15,6,ROW(M$6:M$21)-ROW(M$6)+1/(M$6:M$21&lt;&gt;""),ROWS(X$6:X12))),"")</f>
        <v>Line of credit (unsecured)</v>
      </c>
      <c r="Z12" s="850">
        <v>79347</v>
      </c>
      <c r="AA12" s="850">
        <v>84107</v>
      </c>
      <c r="AB12" s="57">
        <v>0.04</v>
      </c>
      <c r="AC12" s="57"/>
      <c r="AF12" s="81" t="s">
        <v>1053</v>
      </c>
      <c r="AG12" s="428">
        <f>182.5</f>
        <v>182.5</v>
      </c>
      <c r="AH12" s="81">
        <v>2</v>
      </c>
      <c r="AK12" t="s">
        <v>1380</v>
      </c>
      <c r="AL12" t="s">
        <v>2047</v>
      </c>
      <c r="AM12" t="s">
        <v>2042</v>
      </c>
      <c r="AN12" t="s">
        <v>2085</v>
      </c>
    </row>
    <row r="13" spans="1:40" ht="12.5" x14ac:dyDescent="0.25">
      <c r="A13" s="268" t="s">
        <v>479</v>
      </c>
      <c r="B13" s="1068">
        <v>5.0500000000000003E-2</v>
      </c>
      <c r="M13" s="1419" t="s">
        <v>387</v>
      </c>
      <c r="N13" s="55">
        <v>3.7999999999999999E-2</v>
      </c>
      <c r="O13" s="3" t="s">
        <v>9</v>
      </c>
      <c r="P13" s="3" t="s">
        <v>9</v>
      </c>
      <c r="Q13" s="3" t="s">
        <v>12</v>
      </c>
      <c r="R13" s="3">
        <v>5</v>
      </c>
      <c r="S13" s="3">
        <v>3</v>
      </c>
      <c r="T13" s="3">
        <v>1</v>
      </c>
      <c r="U13" s="3">
        <v>1</v>
      </c>
      <c r="V13" s="3"/>
      <c r="X13" t="str" cm="1">
        <f t="array" ref="X13">IFERROR(INDEX(M$6:M$21,_xlfn.AGGREGATE(15,6,ROW(M$6:M$21)-ROW(M$6)+1/(M$6:M$21&lt;&gt;""),ROWS(X$6:X13))),"")</f>
        <v>Margin loan</v>
      </c>
      <c r="Z13" s="850">
        <v>84108</v>
      </c>
      <c r="AA13" s="850">
        <v>89154</v>
      </c>
      <c r="AB13" s="57">
        <v>4.4999999999999998E-2</v>
      </c>
      <c r="AC13" s="57"/>
      <c r="AF13" s="81" t="s">
        <v>738</v>
      </c>
      <c r="AG13" s="428">
        <v>365</v>
      </c>
      <c r="AH13" s="81">
        <v>1</v>
      </c>
      <c r="AK13" t="s">
        <v>1363</v>
      </c>
      <c r="AL13" t="s">
        <v>2047</v>
      </c>
      <c r="AM13" t="s">
        <v>257</v>
      </c>
      <c r="AN13" t="s">
        <v>2086</v>
      </c>
    </row>
    <row r="14" spans="1:40" ht="13" x14ac:dyDescent="0.25">
      <c r="A14" s="268" t="s">
        <v>353</v>
      </c>
      <c r="B14" s="1068">
        <v>0.03</v>
      </c>
      <c r="I14" s="1417" t="s">
        <v>313</v>
      </c>
      <c r="M14" s="1419" t="s">
        <v>377</v>
      </c>
      <c r="N14" s="55">
        <v>0.01</v>
      </c>
      <c r="O14" s="3" t="s">
        <v>9</v>
      </c>
      <c r="P14" s="3" t="s">
        <v>9</v>
      </c>
      <c r="Q14" s="3" t="s">
        <v>12</v>
      </c>
      <c r="R14" s="3">
        <v>5</v>
      </c>
      <c r="S14" s="3">
        <v>3</v>
      </c>
      <c r="T14" s="3">
        <v>2</v>
      </c>
      <c r="U14" s="3">
        <v>1</v>
      </c>
      <c r="V14" s="3"/>
      <c r="X14" t="str" cm="1">
        <f t="array" ref="X14">IFERROR(INDEX(M$6:M$21,_xlfn.AGGREGATE(15,6,ROW(M$6:M$21)-ROW(M$6)+1/(M$6:M$21&lt;&gt;""),ROWS(X$6:X14))),"")</f>
        <v>Overdraft</v>
      </c>
      <c r="Z14" s="850">
        <v>89155</v>
      </c>
      <c r="AA14" s="1039">
        <v>94503</v>
      </c>
      <c r="AB14" s="57">
        <v>0.05</v>
      </c>
      <c r="AC14" s="57"/>
      <c r="AF14" s="81"/>
      <c r="AG14" s="428"/>
      <c r="AH14" s="81"/>
      <c r="AK14" t="s">
        <v>1364</v>
      </c>
      <c r="AL14" t="s">
        <v>2047</v>
      </c>
      <c r="AM14" t="s">
        <v>1364</v>
      </c>
      <c r="AN14" t="s">
        <v>2044</v>
      </c>
    </row>
    <row r="15" spans="1:40" ht="13" x14ac:dyDescent="0.3">
      <c r="A15" s="268" t="s">
        <v>1559</v>
      </c>
      <c r="B15" s="1068">
        <v>0.01</v>
      </c>
      <c r="D15" s="118" t="s">
        <v>248</v>
      </c>
      <c r="E15" s="118"/>
      <c r="G15" s="118" t="s">
        <v>31</v>
      </c>
      <c r="I15" s="88" t="s">
        <v>314</v>
      </c>
      <c r="M15" s="1419" t="s">
        <v>47</v>
      </c>
      <c r="N15" s="55">
        <v>3.7999999999999999E-2</v>
      </c>
      <c r="O15" s="3" t="s">
        <v>9</v>
      </c>
      <c r="P15" s="3" t="s">
        <v>9</v>
      </c>
      <c r="Q15" s="3" t="s">
        <v>12</v>
      </c>
      <c r="R15" s="3">
        <v>5</v>
      </c>
      <c r="S15" s="3">
        <v>3</v>
      </c>
      <c r="T15" s="3">
        <v>1</v>
      </c>
      <c r="U15" s="3">
        <v>1</v>
      </c>
      <c r="V15" s="3"/>
      <c r="X15" t="str" cm="1">
        <f t="array" ref="X15">IFERROR(INDEX(M$6:M$21,_xlfn.AGGREGATE(15,6,ROW(M$6:M$21)-ROW(M$6)+1/(M$6:M$21&lt;&gt;""),ROWS(X$6:X15))),"")</f>
        <v>Store account</v>
      </c>
      <c r="Z15" s="1039">
        <v>94504</v>
      </c>
      <c r="AA15" s="850">
        <v>100174</v>
      </c>
      <c r="AB15" s="57">
        <v>5.5E-2</v>
      </c>
      <c r="AC15" s="57"/>
      <c r="AF15" s="446" t="s">
        <v>739</v>
      </c>
      <c r="AK15" t="s">
        <v>1343</v>
      </c>
      <c r="AL15" t="s">
        <v>2047</v>
      </c>
      <c r="AM15" t="s">
        <v>1343</v>
      </c>
      <c r="AN15" t="s">
        <v>2087</v>
      </c>
    </row>
    <row r="16" spans="1:40" ht="13" x14ac:dyDescent="0.3">
      <c r="A16" s="268" t="s">
        <v>1635</v>
      </c>
      <c r="B16" s="1068">
        <v>0.01</v>
      </c>
      <c r="D16" s="1" t="s">
        <v>245</v>
      </c>
      <c r="E16" s="1"/>
      <c r="G16" s="1" t="s">
        <v>246</v>
      </c>
      <c r="I16" s="25" t="s">
        <v>5</v>
      </c>
      <c r="M16" s="1419" t="s">
        <v>376</v>
      </c>
      <c r="N16" s="55">
        <v>3.7999999999999999E-2</v>
      </c>
      <c r="O16" s="3" t="s">
        <v>9</v>
      </c>
      <c r="P16" s="3" t="s">
        <v>9</v>
      </c>
      <c r="Q16" s="3" t="s">
        <v>12</v>
      </c>
      <c r="R16" s="3">
        <v>5</v>
      </c>
      <c r="S16" s="3">
        <v>3</v>
      </c>
      <c r="T16" s="3">
        <v>1</v>
      </c>
      <c r="U16" s="3">
        <v>1</v>
      </c>
      <c r="V16" s="3"/>
      <c r="X16" t="str" cm="1">
        <f t="array" ref="X16">IFERROR(INDEX(M$6:M$21,_xlfn.AGGREGATE(15,6,ROW(M$6:M$21)-ROW(M$6)+1/(M$6:M$21&lt;&gt;""),ROWS(X$6:X16))),"")</f>
        <v>Reverse mortgage - ICAP</v>
      </c>
      <c r="Z16" s="850">
        <v>100175</v>
      </c>
      <c r="AA16" s="850">
        <v>106185</v>
      </c>
      <c r="AB16" s="57">
        <v>0.06</v>
      </c>
      <c r="AC16" s="57"/>
      <c r="AF16" s="75" t="s">
        <v>240</v>
      </c>
      <c r="AK16" t="s">
        <v>1365</v>
      </c>
      <c r="AL16" t="s">
        <v>2047</v>
      </c>
      <c r="AM16" t="s">
        <v>2151</v>
      </c>
      <c r="AN16" t="s">
        <v>2045</v>
      </c>
    </row>
    <row r="17" spans="1:40" ht="12.5" x14ac:dyDescent="0.25">
      <c r="A17" s="268" t="s">
        <v>1636</v>
      </c>
      <c r="B17" s="1068">
        <v>0.01</v>
      </c>
      <c r="D17" s="1" t="s">
        <v>12</v>
      </c>
      <c r="E17" s="1"/>
      <c r="G17" s="1" t="s">
        <v>327</v>
      </c>
      <c r="I17" s="25" t="s">
        <v>315</v>
      </c>
      <c r="M17" s="1419" t="s">
        <v>1126</v>
      </c>
      <c r="N17" s="55"/>
      <c r="O17" s="3" t="s">
        <v>9</v>
      </c>
      <c r="P17" s="3" t="s">
        <v>9</v>
      </c>
      <c r="Q17" s="3" t="s">
        <v>9</v>
      </c>
      <c r="R17" s="3">
        <v>3</v>
      </c>
      <c r="S17" s="3"/>
      <c r="T17" s="3"/>
      <c r="U17" s="3">
        <v>2</v>
      </c>
      <c r="V17" s="3"/>
      <c r="X17" t="str" cm="1">
        <f t="array" ref="X17">IFERROR(INDEX(M$6:M$21,_xlfn.AGGREGATE(15,6,ROW(M$6:M$21)-ROW(M$6)+1/(M$6:M$21&lt;&gt;""),ROWS(X$6:X17))),"")</f>
        <v>Reverse mortgage - IO</v>
      </c>
      <c r="Z17" s="850">
        <v>106186</v>
      </c>
      <c r="AA17" s="850">
        <v>112556</v>
      </c>
      <c r="AB17" s="57">
        <v>6.5000000000000002E-2</v>
      </c>
      <c r="AC17" s="57"/>
      <c r="AF17" s="81" t="s">
        <v>10</v>
      </c>
      <c r="AJ17" s="25"/>
      <c r="AK17" t="s">
        <v>1303</v>
      </c>
      <c r="AL17" t="s">
        <v>2048</v>
      </c>
      <c r="AM17" t="s">
        <v>1303</v>
      </c>
      <c r="AN17" t="s">
        <v>2139</v>
      </c>
    </row>
    <row r="18" spans="1:40" ht="12.5" x14ac:dyDescent="0.25">
      <c r="A18" s="268" t="s">
        <v>231</v>
      </c>
      <c r="B18" s="180">
        <v>1</v>
      </c>
      <c r="D18" s="1" t="s">
        <v>9</v>
      </c>
      <c r="E18" s="1"/>
      <c r="G18" s="1" t="s">
        <v>475</v>
      </c>
      <c r="I18" s="25" t="s">
        <v>308</v>
      </c>
      <c r="K18" s="56"/>
      <c r="M18" s="1419" t="s">
        <v>1127</v>
      </c>
      <c r="N18" s="55"/>
      <c r="O18" s="3" t="s">
        <v>12</v>
      </c>
      <c r="P18" s="3" t="s">
        <v>9</v>
      </c>
      <c r="Q18" s="3" t="s">
        <v>12</v>
      </c>
      <c r="R18" s="3">
        <v>2</v>
      </c>
      <c r="S18" s="3">
        <v>1</v>
      </c>
      <c r="T18" s="3">
        <v>1</v>
      </c>
      <c r="U18" s="3">
        <v>2</v>
      </c>
      <c r="V18" s="3"/>
      <c r="X18" t="str" cm="1">
        <f t="array" ref="X18">IFERROR(INDEX(M$6:M$21,_xlfn.AGGREGATE(15,6,ROW(M$6:M$21)-ROW(M$6)+1/(M$6:M$21&lt;&gt;""),ROWS(X$6:X18))),"")</f>
        <v>Business/commercial loan</v>
      </c>
      <c r="Z18" s="850">
        <v>112557</v>
      </c>
      <c r="AA18" s="850">
        <v>119309</v>
      </c>
      <c r="AB18" s="57">
        <v>7.0000000000000007E-2</v>
      </c>
      <c r="AC18" s="57"/>
      <c r="AF18" s="81" t="s">
        <v>8</v>
      </c>
      <c r="AK18" t="s">
        <v>2138</v>
      </c>
      <c r="AL18" t="s">
        <v>2048</v>
      </c>
      <c r="AM18" t="s">
        <v>1613</v>
      </c>
      <c r="AN18" t="s">
        <v>2140</v>
      </c>
    </row>
    <row r="19" spans="1:40" ht="12.5" x14ac:dyDescent="0.25">
      <c r="A19" s="268" t="s">
        <v>226</v>
      </c>
      <c r="B19" s="180">
        <v>1</v>
      </c>
      <c r="K19" s="2"/>
      <c r="M19" s="1419" t="s">
        <v>379</v>
      </c>
      <c r="N19" s="55">
        <v>7.6700000000000004E-2</v>
      </c>
      <c r="O19" s="3" t="s">
        <v>12</v>
      </c>
      <c r="P19" s="3" t="s">
        <v>12</v>
      </c>
      <c r="Q19" s="3" t="s">
        <v>12</v>
      </c>
      <c r="R19" s="3">
        <v>1</v>
      </c>
      <c r="S19" s="3">
        <v>2</v>
      </c>
      <c r="T19" s="3">
        <v>1</v>
      </c>
      <c r="U19" s="3">
        <v>1</v>
      </c>
      <c r="V19" s="3">
        <v>1</v>
      </c>
      <c r="X19" t="str" cm="1">
        <f t="array" ref="X19">IFERROR(INDEX(M$6:M$21,_xlfn.AGGREGATE(15,6,ROW(M$6:M$21)-ROW(M$6)+1/(M$6:M$21&lt;&gt;""),ROWS(X$6:X19))),"")</f>
        <v>Other</v>
      </c>
      <c r="Z19" s="850">
        <v>119310</v>
      </c>
      <c r="AA19" s="850">
        <v>126467</v>
      </c>
      <c r="AB19" s="57">
        <v>7.4999999999999997E-2</v>
      </c>
      <c r="AC19" s="57"/>
      <c r="AF19" s="81" t="s">
        <v>735</v>
      </c>
      <c r="AK19" t="s">
        <v>2123</v>
      </c>
      <c r="AL19" t="s">
        <v>2048</v>
      </c>
      <c r="AM19" t="s">
        <v>1614</v>
      </c>
      <c r="AN19" t="s">
        <v>2141</v>
      </c>
    </row>
    <row r="20" spans="1:40" ht="12.5" x14ac:dyDescent="0.25">
      <c r="A20" s="268" t="s">
        <v>781</v>
      </c>
      <c r="B20" s="180">
        <v>1</v>
      </c>
      <c r="K20" s="2"/>
      <c r="M20" s="1419" t="s">
        <v>25</v>
      </c>
      <c r="N20" s="55">
        <v>3.7999999999999999E-2</v>
      </c>
      <c r="O20" s="3" t="s">
        <v>9</v>
      </c>
      <c r="P20" s="3" t="s">
        <v>9</v>
      </c>
      <c r="Q20" s="3" t="s">
        <v>12</v>
      </c>
      <c r="R20" s="3">
        <v>5</v>
      </c>
      <c r="S20" s="3">
        <v>3</v>
      </c>
      <c r="T20" s="3">
        <v>1</v>
      </c>
      <c r="U20" s="3">
        <v>2</v>
      </c>
      <c r="V20" s="3"/>
      <c r="X20" t="str" cm="1">
        <f t="array" ref="X20">IFERROR(INDEX(M$6:M$21,_xlfn.AGGREGATE(15,6,ROW(M$6:M$21)-ROW(M$6)+1/(M$6:M$21&lt;&gt;""),ROWS(X$6:X20))),"")</f>
        <v>Portfolio loan - sub account</v>
      </c>
      <c r="Z20" s="850">
        <v>126468</v>
      </c>
      <c r="AA20" s="850">
        <v>134056</v>
      </c>
      <c r="AB20" s="57">
        <v>0.08</v>
      </c>
      <c r="AC20" s="57"/>
      <c r="AF20" s="81" t="s">
        <v>7</v>
      </c>
      <c r="AK20" t="s">
        <v>316</v>
      </c>
      <c r="AL20" t="s">
        <v>2048</v>
      </c>
      <c r="AM20" t="s">
        <v>2152</v>
      </c>
      <c r="AN20" t="s">
        <v>2072</v>
      </c>
    </row>
    <row r="21" spans="1:40" ht="12.5" x14ac:dyDescent="0.25">
      <c r="A21" s="268" t="s">
        <v>199</v>
      </c>
      <c r="B21" s="180">
        <v>0.8</v>
      </c>
      <c r="K21" s="2"/>
      <c r="M21" s="1419" t="s">
        <v>846</v>
      </c>
      <c r="N21" s="55"/>
      <c r="O21" s="3" t="s">
        <v>12</v>
      </c>
      <c r="P21" s="3" t="s">
        <v>9</v>
      </c>
      <c r="Q21" s="3" t="s">
        <v>12</v>
      </c>
      <c r="R21" s="3">
        <v>7</v>
      </c>
      <c r="S21" s="3">
        <v>5</v>
      </c>
      <c r="T21" s="3">
        <v>3</v>
      </c>
      <c r="U21" s="3">
        <v>1</v>
      </c>
      <c r="V21" s="3"/>
      <c r="X21" t="str" cm="1">
        <f t="array" ref="X21">IFERROR(INDEX(M$6:M$21,_xlfn.AGGREGATE(15,6,ROW(M$6:M$21)-ROW(M$6)+1/(M$6:M$21&lt;&gt;""),ROWS(X$6:X21))),"")</f>
        <v/>
      </c>
      <c r="Z21" s="850">
        <v>134057</v>
      </c>
      <c r="AA21" s="850">
        <v>142100</v>
      </c>
      <c r="AB21" s="57">
        <v>8.5000000000000006E-2</v>
      </c>
      <c r="AC21" s="57"/>
      <c r="AK21" t="s">
        <v>317</v>
      </c>
      <c r="AL21" t="s">
        <v>2048</v>
      </c>
      <c r="AM21" t="s">
        <v>317</v>
      </c>
      <c r="AN21" t="s">
        <v>2111</v>
      </c>
    </row>
    <row r="22" spans="1:40" ht="13" x14ac:dyDescent="0.25">
      <c r="A22" s="268" t="s">
        <v>200</v>
      </c>
      <c r="B22" s="180">
        <v>0.8</v>
      </c>
      <c r="D22" s="118" t="s">
        <v>392</v>
      </c>
      <c r="G22" s="118" t="s">
        <v>405</v>
      </c>
      <c r="M22" s="1419"/>
      <c r="N22" s="55"/>
      <c r="O22" s="3"/>
      <c r="P22" s="3"/>
      <c r="Q22" s="3"/>
      <c r="R22" s="3"/>
      <c r="S22" s="3"/>
      <c r="T22" s="3"/>
      <c r="U22" s="3"/>
      <c r="V22" s="3"/>
      <c r="Z22" s="850">
        <v>142101</v>
      </c>
      <c r="AA22" s="850">
        <v>150626</v>
      </c>
      <c r="AB22" s="57">
        <v>0.09</v>
      </c>
      <c r="AC22" s="57"/>
      <c r="AK22" t="s">
        <v>318</v>
      </c>
      <c r="AL22" t="s">
        <v>2048</v>
      </c>
      <c r="AM22" t="s">
        <v>284</v>
      </c>
      <c r="AN22" t="s">
        <v>2112</v>
      </c>
    </row>
    <row r="23" spans="1:40" ht="12.5" x14ac:dyDescent="0.25">
      <c r="A23" s="268" t="s">
        <v>474</v>
      </c>
      <c r="B23" s="180">
        <v>0.8</v>
      </c>
      <c r="D23" s="1" t="s">
        <v>394</v>
      </c>
      <c r="E23" s="1" t="s">
        <v>404</v>
      </c>
      <c r="G23" s="1" t="s">
        <v>406</v>
      </c>
      <c r="Z23" s="850">
        <v>150627</v>
      </c>
      <c r="AA23" s="850">
        <v>159663</v>
      </c>
      <c r="AB23" s="57">
        <v>9.5000000000000001E-2</v>
      </c>
      <c r="AC23" s="57"/>
      <c r="AK23" t="s">
        <v>319</v>
      </c>
      <c r="AL23" t="s">
        <v>2048</v>
      </c>
      <c r="AM23" t="s">
        <v>800</v>
      </c>
      <c r="AN23" t="s">
        <v>2158</v>
      </c>
    </row>
    <row r="24" spans="1:40" ht="12.5" x14ac:dyDescent="0.25">
      <c r="A24" s="268" t="s">
        <v>423</v>
      </c>
      <c r="B24" s="180">
        <v>1</v>
      </c>
      <c r="D24" s="1" t="s">
        <v>395</v>
      </c>
      <c r="E24" s="1014">
        <v>5000000</v>
      </c>
      <c r="F24" s="56"/>
      <c r="G24" s="25">
        <v>880</v>
      </c>
      <c r="Z24" s="850">
        <v>159664</v>
      </c>
      <c r="AA24" s="850" t="s">
        <v>51</v>
      </c>
      <c r="AB24" s="57">
        <v>0.1</v>
      </c>
      <c r="AC24" s="57"/>
      <c r="AK24" s="1" t="s">
        <v>2360</v>
      </c>
      <c r="AL24" s="1" t="s">
        <v>2048</v>
      </c>
      <c r="AM24" s="1" t="s">
        <v>2357</v>
      </c>
      <c r="AN24" t="str">
        <f>"If the borrower’s or income guarantor's salary package includes a car fully maintained by the company then enter an annual amount here up to the maximum allowed by policy (" &amp; TEXT(SDOICCompanyCarYearlyMaximum,"$0,000") &amp; ")"</f>
        <v>If the borrower’s or income guarantor's salary package includes a car fully maintained by the company then enter an annual amount here up to the maximum allowed by policy ($5,000)</v>
      </c>
    </row>
    <row r="25" spans="1:40" ht="13" x14ac:dyDescent="0.3">
      <c r="A25" s="268" t="s">
        <v>229</v>
      </c>
      <c r="B25" s="180">
        <v>1</v>
      </c>
      <c r="D25" s="1" t="s">
        <v>396</v>
      </c>
      <c r="E25" s="1014">
        <v>5000000</v>
      </c>
      <c r="G25" s="25">
        <v>881</v>
      </c>
      <c r="M25" s="446" t="s">
        <v>819</v>
      </c>
      <c r="N25" s="446"/>
      <c r="O25" s="446"/>
      <c r="P25" s="165"/>
      <c r="Q25" s="165"/>
      <c r="R25" s="165"/>
      <c r="S25" s="165"/>
      <c r="AK25" t="s">
        <v>449</v>
      </c>
      <c r="AL25" t="s">
        <v>2048</v>
      </c>
      <c r="AM25" t="s">
        <v>449</v>
      </c>
      <c r="AN25" t="s">
        <v>2073</v>
      </c>
    </row>
    <row r="26" spans="1:40" ht="12.5" x14ac:dyDescent="0.25">
      <c r="A26" s="268" t="s">
        <v>447</v>
      </c>
      <c r="B26" s="180">
        <v>1</v>
      </c>
      <c r="D26" s="1" t="s">
        <v>397</v>
      </c>
      <c r="E26" s="1014">
        <v>3500000</v>
      </c>
      <c r="G26" s="25">
        <v>4717</v>
      </c>
      <c r="M26" s="88" t="s">
        <v>369</v>
      </c>
      <c r="N26" s="88" t="s">
        <v>189</v>
      </c>
      <c r="O26" s="88" t="s">
        <v>383</v>
      </c>
      <c r="P26" s="88" t="s">
        <v>1290</v>
      </c>
      <c r="Q26" s="88" t="s">
        <v>384</v>
      </c>
      <c r="R26" s="88" t="s">
        <v>389</v>
      </c>
      <c r="S26" s="88" t="s">
        <v>422</v>
      </c>
      <c r="AK26" t="s">
        <v>452</v>
      </c>
      <c r="AL26" t="s">
        <v>2048</v>
      </c>
      <c r="AM26" t="s">
        <v>448</v>
      </c>
      <c r="AN26" t="s">
        <v>2049</v>
      </c>
    </row>
    <row r="27" spans="1:40" ht="12.5" x14ac:dyDescent="0.25">
      <c r="A27" s="268" t="s">
        <v>450</v>
      </c>
      <c r="B27" s="180">
        <v>1</v>
      </c>
      <c r="D27" s="1" t="s">
        <v>398</v>
      </c>
      <c r="E27" s="1014">
        <v>3500000</v>
      </c>
      <c r="G27" s="25">
        <v>4718</v>
      </c>
      <c r="M27" s="3" t="s">
        <v>374</v>
      </c>
      <c r="N27" s="3"/>
      <c r="O27" s="166" t="s">
        <v>12</v>
      </c>
      <c r="P27" s="3" t="s">
        <v>9</v>
      </c>
      <c r="Q27" s="3" t="s">
        <v>9</v>
      </c>
      <c r="R27" s="3">
        <v>1</v>
      </c>
      <c r="S27" s="3">
        <v>1</v>
      </c>
      <c r="AK27" t="s">
        <v>825</v>
      </c>
      <c r="AL27" t="s">
        <v>2048</v>
      </c>
      <c r="AM27" t="s">
        <v>2153</v>
      </c>
      <c r="AN27" t="s">
        <v>2074</v>
      </c>
    </row>
    <row r="28" spans="1:40" ht="13" x14ac:dyDescent="0.3">
      <c r="A28" s="268" t="s">
        <v>453</v>
      </c>
      <c r="B28" s="180">
        <v>0.8</v>
      </c>
      <c r="D28" s="1" t="s">
        <v>399</v>
      </c>
      <c r="E28" s="1014">
        <v>3500000</v>
      </c>
      <c r="G28" s="25">
        <v>4742</v>
      </c>
      <c r="M28" s="88" t="s">
        <v>484</v>
      </c>
      <c r="N28" s="3"/>
      <c r="O28" s="88" t="s">
        <v>12</v>
      </c>
      <c r="P28" s="88" t="s">
        <v>9</v>
      </c>
      <c r="Q28" s="88" t="s">
        <v>9</v>
      </c>
      <c r="R28" s="474">
        <v>2</v>
      </c>
      <c r="S28" s="474">
        <v>1</v>
      </c>
      <c r="U28" s="165"/>
      <c r="V28" s="165"/>
      <c r="Z28" s="118" t="s">
        <v>247</v>
      </c>
      <c r="AB28" s="539" t="s">
        <v>2143</v>
      </c>
      <c r="AC28" s="539"/>
      <c r="AK28" t="s">
        <v>826</v>
      </c>
      <c r="AL28" t="s">
        <v>2048</v>
      </c>
      <c r="AM28" t="s">
        <v>2154</v>
      </c>
      <c r="AN28" t="s">
        <v>2075</v>
      </c>
    </row>
    <row r="29" spans="1:40" ht="12.5" x14ac:dyDescent="0.25">
      <c r="A29" s="268" t="s">
        <v>1550</v>
      </c>
      <c r="B29" s="180">
        <v>0.9</v>
      </c>
      <c r="D29" s="1" t="s">
        <v>400</v>
      </c>
      <c r="E29" s="1014">
        <v>3500000</v>
      </c>
      <c r="G29" s="25">
        <v>4744</v>
      </c>
      <c r="M29" s="88" t="s">
        <v>1291</v>
      </c>
      <c r="N29" s="3"/>
      <c r="O29" s="88" t="s">
        <v>12</v>
      </c>
      <c r="P29" s="88" t="s">
        <v>9</v>
      </c>
      <c r="Q29" s="88" t="s">
        <v>12</v>
      </c>
      <c r="R29" s="474">
        <v>3</v>
      </c>
      <c r="S29" s="474">
        <v>1</v>
      </c>
      <c r="U29" s="1"/>
      <c r="V29" s="1"/>
      <c r="Z29" s="83" t="s">
        <v>733</v>
      </c>
      <c r="AB29" t="s">
        <v>1517</v>
      </c>
      <c r="AK29" t="s">
        <v>834</v>
      </c>
      <c r="AL29" t="s">
        <v>2048</v>
      </c>
      <c r="AM29" t="s">
        <v>2155</v>
      </c>
      <c r="AN29" t="s">
        <v>2076</v>
      </c>
    </row>
    <row r="30" spans="1:40" ht="12.5" x14ac:dyDescent="0.25">
      <c r="A30" s="268" t="s">
        <v>1553</v>
      </c>
      <c r="B30" s="180">
        <v>0.8</v>
      </c>
      <c r="D30" s="1" t="s">
        <v>401</v>
      </c>
      <c r="E30" s="1014">
        <v>3500000</v>
      </c>
      <c r="G30" s="25">
        <v>4745</v>
      </c>
      <c r="M30" s="687" t="s">
        <v>1292</v>
      </c>
      <c r="N30" s="688">
        <v>3.7999999999999999E-2</v>
      </c>
      <c r="O30" s="25" t="s">
        <v>12</v>
      </c>
      <c r="P30" s="3" t="s">
        <v>12</v>
      </c>
      <c r="Q30" s="3" t="s">
        <v>12</v>
      </c>
      <c r="R30" s="3">
        <v>4</v>
      </c>
      <c r="S30" s="3">
        <v>2</v>
      </c>
      <c r="U30" s="3"/>
      <c r="V30" s="3"/>
      <c r="Z30" s="427" t="s">
        <v>11</v>
      </c>
      <c r="AB30" s="580">
        <v>40</v>
      </c>
      <c r="AC30" s="580"/>
      <c r="AK30" t="s">
        <v>835</v>
      </c>
      <c r="AL30" t="s">
        <v>2048</v>
      </c>
      <c r="AM30" t="s">
        <v>2156</v>
      </c>
      <c r="AN30" t="s">
        <v>2077</v>
      </c>
    </row>
    <row r="31" spans="1:40" ht="12.5" x14ac:dyDescent="0.25">
      <c r="A31" s="268" t="s">
        <v>1090</v>
      </c>
      <c r="B31" s="180">
        <v>0.7</v>
      </c>
      <c r="D31" s="1" t="s">
        <v>402</v>
      </c>
      <c r="E31" s="1014">
        <v>3500000</v>
      </c>
      <c r="G31" s="25">
        <v>4746</v>
      </c>
      <c r="M31" s="3" t="s">
        <v>1499</v>
      </c>
      <c r="N31" s="3"/>
      <c r="O31" s="25" t="s">
        <v>12</v>
      </c>
      <c r="P31" s="3" t="s">
        <v>9</v>
      </c>
      <c r="Q31" s="3" t="s">
        <v>12</v>
      </c>
      <c r="R31" s="3">
        <v>3</v>
      </c>
      <c r="S31" s="3">
        <v>1</v>
      </c>
      <c r="U31" s="3"/>
      <c r="V31" s="3"/>
      <c r="Z31" s="427" t="s">
        <v>657</v>
      </c>
      <c r="AB31" s="580">
        <v>48</v>
      </c>
      <c r="AC31" s="580"/>
      <c r="AK31" t="s">
        <v>2062</v>
      </c>
      <c r="AL31" t="s">
        <v>253</v>
      </c>
      <c r="AM31" t="s">
        <v>48</v>
      </c>
      <c r="AN31" t="s">
        <v>2078</v>
      </c>
    </row>
    <row r="32" spans="1:40" ht="12.5" x14ac:dyDescent="0.25">
      <c r="A32" s="268" t="s">
        <v>1091</v>
      </c>
      <c r="B32" s="180">
        <v>0.6</v>
      </c>
      <c r="D32" s="1" t="s">
        <v>403</v>
      </c>
      <c r="E32" s="1014" t="s">
        <v>61</v>
      </c>
      <c r="G32" s="25">
        <v>4803</v>
      </c>
      <c r="U32" s="3"/>
      <c r="V32" s="3"/>
      <c r="Z32" s="427" t="s">
        <v>512</v>
      </c>
      <c r="AH32" s="25"/>
      <c r="AK32" t="s">
        <v>2055</v>
      </c>
      <c r="AL32" t="s">
        <v>253</v>
      </c>
      <c r="AM32" t="s">
        <v>295</v>
      </c>
      <c r="AN32" t="s">
        <v>446</v>
      </c>
    </row>
    <row r="33" spans="1:40" ht="12.5" x14ac:dyDescent="0.25">
      <c r="A33" s="268" t="s">
        <v>1092</v>
      </c>
      <c r="B33" s="180">
        <v>1</v>
      </c>
      <c r="G33" s="25">
        <v>4804</v>
      </c>
      <c r="Z33" s="427"/>
      <c r="AH33" s="25"/>
      <c r="AK33" t="s">
        <v>49</v>
      </c>
      <c r="AL33" t="s">
        <v>253</v>
      </c>
      <c r="AM33" t="s">
        <v>49</v>
      </c>
      <c r="AN33" t="s">
        <v>2088</v>
      </c>
    </row>
    <row r="34" spans="1:40" ht="13" x14ac:dyDescent="0.3">
      <c r="A34" s="268" t="s">
        <v>1555</v>
      </c>
      <c r="B34" s="180">
        <v>0.8</v>
      </c>
      <c r="D34" s="582" t="s">
        <v>394</v>
      </c>
      <c r="G34" s="25">
        <v>4854</v>
      </c>
      <c r="M34" s="727"/>
      <c r="AK34" t="s">
        <v>2056</v>
      </c>
      <c r="AL34" t="s">
        <v>253</v>
      </c>
      <c r="AM34" t="s">
        <v>469</v>
      </c>
      <c r="AN34" t="s">
        <v>2089</v>
      </c>
    </row>
    <row r="35" spans="1:40" ht="13" x14ac:dyDescent="0.3">
      <c r="A35" s="268" t="s">
        <v>961</v>
      </c>
      <c r="B35" s="180">
        <v>0.1</v>
      </c>
      <c r="D35" s="636" t="s">
        <v>395</v>
      </c>
      <c r="G35" s="25">
        <v>4874</v>
      </c>
      <c r="M35" s="724"/>
      <c r="Z35" s="118" t="s">
        <v>732</v>
      </c>
      <c r="AK35" t="s">
        <v>2057</v>
      </c>
      <c r="AL35" t="s">
        <v>253</v>
      </c>
      <c r="AM35" t="s">
        <v>291</v>
      </c>
      <c r="AN35" t="s">
        <v>2090</v>
      </c>
    </row>
    <row r="36" spans="1:40" ht="13" x14ac:dyDescent="0.3">
      <c r="A36" s="268" t="s">
        <v>424</v>
      </c>
      <c r="B36" s="179">
        <v>30000</v>
      </c>
      <c r="D36" s="637" t="s">
        <v>396</v>
      </c>
      <c r="G36" s="25">
        <v>5725</v>
      </c>
      <c r="M36" s="724"/>
      <c r="Z36" s="83" t="s">
        <v>733</v>
      </c>
      <c r="AK36" t="s">
        <v>2064</v>
      </c>
      <c r="AL36" t="s">
        <v>253</v>
      </c>
      <c r="AM36" t="s">
        <v>289</v>
      </c>
      <c r="AN36" t="s">
        <v>2091</v>
      </c>
    </row>
    <row r="37" spans="1:40" ht="13" x14ac:dyDescent="0.25">
      <c r="A37" s="268" t="s">
        <v>435</v>
      </c>
      <c r="B37" s="178">
        <v>10</v>
      </c>
      <c r="D37" s="636" t="s">
        <v>397</v>
      </c>
      <c r="G37" s="25">
        <v>6348</v>
      </c>
      <c r="M37" s="1417" t="s">
        <v>2433</v>
      </c>
      <c r="Z37" s="427" t="s">
        <v>11</v>
      </c>
      <c r="AK37" t="s">
        <v>2065</v>
      </c>
      <c r="AL37" t="s">
        <v>253</v>
      </c>
      <c r="AM37" t="s">
        <v>292</v>
      </c>
      <c r="AN37" t="s">
        <v>2092</v>
      </c>
    </row>
    <row r="38" spans="1:40" ht="12.5" x14ac:dyDescent="0.25">
      <c r="A38" s="268" t="s">
        <v>436</v>
      </c>
      <c r="B38" s="992">
        <v>7</v>
      </c>
      <c r="D38" s="637" t="s">
        <v>398</v>
      </c>
      <c r="G38" s="25">
        <v>6390</v>
      </c>
      <c r="M38" t="s">
        <v>2434</v>
      </c>
      <c r="N38" t="s">
        <v>385</v>
      </c>
      <c r="O38" t="s">
        <v>2438</v>
      </c>
      <c r="P38" s="1" t="s">
        <v>2436</v>
      </c>
      <c r="Q38" s="1" t="s">
        <v>2435</v>
      </c>
      <c r="R38" t="s">
        <v>2437</v>
      </c>
      <c r="S38" t="s">
        <v>389</v>
      </c>
      <c r="U38" t="s">
        <v>2441</v>
      </c>
      <c r="Z38" s="427" t="s">
        <v>657</v>
      </c>
      <c r="AK38" t="s">
        <v>2066</v>
      </c>
      <c r="AL38" t="s">
        <v>253</v>
      </c>
      <c r="AM38" t="s">
        <v>468</v>
      </c>
      <c r="AN38" t="s">
        <v>2093</v>
      </c>
    </row>
    <row r="39" spans="1:40" ht="12.5" x14ac:dyDescent="0.25">
      <c r="A39" s="268" t="s">
        <v>782</v>
      </c>
      <c r="B39" s="180">
        <v>0.6</v>
      </c>
      <c r="D39" s="636" t="s">
        <v>399</v>
      </c>
      <c r="G39" s="25">
        <v>6429</v>
      </c>
      <c r="M39" t="s">
        <v>481</v>
      </c>
      <c r="N39" s="25" t="s">
        <v>12</v>
      </c>
      <c r="O39" s="25" t="s">
        <v>12</v>
      </c>
      <c r="P39" s="25">
        <f>IF(OR(SDVersionChannel="MQ",SDVersionChannel="PL"),35,30)</f>
        <v>30</v>
      </c>
      <c r="Q39" s="25">
        <v>5</v>
      </c>
      <c r="R39" s="25">
        <v>1</v>
      </c>
      <c r="S39" s="25">
        <v>1</v>
      </c>
      <c r="U39" t="str" cm="1">
        <f t="array" ref="U39">IFERROR(INDEX(M$39:M$41,_xlfn.AGGREGATE(15,6,ROW(M$39:M$41)-ROW(M$39)+1/(M$39:M$41&lt;&gt;""),ROWS(U$39:U39))),"")</f>
        <v>Mortgage - OO</v>
      </c>
      <c r="Z39" s="427" t="s">
        <v>658</v>
      </c>
      <c r="AK39" t="s">
        <v>2059</v>
      </c>
      <c r="AL39" t="s">
        <v>253</v>
      </c>
      <c r="AM39" t="s">
        <v>294</v>
      </c>
      <c r="AN39" t="s">
        <v>2060</v>
      </c>
    </row>
    <row r="40" spans="1:40" ht="12.5" x14ac:dyDescent="0.25">
      <c r="A40" s="268" t="s">
        <v>2007</v>
      </c>
      <c r="B40" s="1116">
        <v>6.1899999999999997E-2</v>
      </c>
      <c r="D40" s="637" t="s">
        <v>400</v>
      </c>
      <c r="G40" s="25">
        <v>6442</v>
      </c>
      <c r="M40" t="s">
        <v>482</v>
      </c>
      <c r="N40" s="25" t="s">
        <v>12</v>
      </c>
      <c r="O40" s="25" t="s">
        <v>12</v>
      </c>
      <c r="P40" s="25">
        <f>IF(OR(SDVersionChannel="MQ",SDVersionChannel="PL"),35,30)</f>
        <v>30</v>
      </c>
      <c r="Q40" s="25">
        <v>10</v>
      </c>
      <c r="R40" s="25">
        <v>1</v>
      </c>
      <c r="S40" s="25">
        <v>1</v>
      </c>
      <c r="U40" t="str" cm="1">
        <f t="array" ref="U40">IFERROR(INDEX(M$39:M$41,_xlfn.AGGREGATE(15,6,ROW(M$39:M$41)-ROW(M$39)+1/(M$39:M$41&lt;&gt;""),ROWS(U$39:U40))),"")</f>
        <v>Mortgage - IPL</v>
      </c>
      <c r="Z40" s="427" t="s">
        <v>512</v>
      </c>
      <c r="AK40" t="s">
        <v>50</v>
      </c>
      <c r="AL40" t="s">
        <v>253</v>
      </c>
      <c r="AM40" t="s">
        <v>50</v>
      </c>
      <c r="AN40" t="s">
        <v>2094</v>
      </c>
    </row>
    <row r="41" spans="1:40" ht="12.5" x14ac:dyDescent="0.25">
      <c r="A41" s="268" t="s">
        <v>2008</v>
      </c>
      <c r="B41" s="1116">
        <v>7.1900000000000006E-2</v>
      </c>
      <c r="D41" s="636" t="s">
        <v>401</v>
      </c>
      <c r="G41" s="25">
        <v>6714</v>
      </c>
      <c r="M41" t="str">
        <f>IF(OR(SDVersionChannel="PW",SDVersionChannel="MQ"),"Interest only bullet loan","")</f>
        <v/>
      </c>
      <c r="N41" s="25" t="s">
        <v>9</v>
      </c>
      <c r="O41" s="25" t="s">
        <v>9</v>
      </c>
      <c r="P41" s="25"/>
      <c r="Q41" s="25"/>
      <c r="R41" s="25"/>
      <c r="S41" s="25">
        <v>2</v>
      </c>
      <c r="U41" t="str" cm="1">
        <f t="array" ref="U41">IFERROR(INDEX(M$39:M$41,_xlfn.AGGREGATE(15,6,ROW(M$39:M$41)-ROW(M$39)+1/(M$39:M$41&lt;&gt;""),ROWS(U$39:U41))),"")</f>
        <v/>
      </c>
      <c r="Z41" s="427" t="s">
        <v>1521</v>
      </c>
      <c r="AB41" s="414" t="s">
        <v>1520</v>
      </c>
      <c r="AC41" s="414"/>
      <c r="AK41" t="s">
        <v>2058</v>
      </c>
      <c r="AL41" t="s">
        <v>253</v>
      </c>
      <c r="AM41" t="s">
        <v>293</v>
      </c>
      <c r="AN41" t="s">
        <v>2095</v>
      </c>
    </row>
    <row r="42" spans="1:40" ht="13" x14ac:dyDescent="0.3">
      <c r="A42" s="268" t="s">
        <v>1071</v>
      </c>
      <c r="B42" s="180">
        <v>0.3</v>
      </c>
      <c r="D42" s="638" t="s">
        <v>402</v>
      </c>
      <c r="G42" s="25">
        <v>6720</v>
      </c>
      <c r="M42" s="724"/>
      <c r="Z42" s="427"/>
      <c r="AK42" t="s">
        <v>2067</v>
      </c>
      <c r="AL42" t="s">
        <v>253</v>
      </c>
      <c r="AM42" t="s">
        <v>290</v>
      </c>
      <c r="AN42" t="s">
        <v>2351</v>
      </c>
    </row>
    <row r="43" spans="1:40" ht="13" x14ac:dyDescent="0.3">
      <c r="A43" s="268" t="s">
        <v>2142</v>
      </c>
      <c r="B43" s="180">
        <v>0.25</v>
      </c>
      <c r="G43" s="25">
        <v>6721</v>
      </c>
      <c r="M43" s="724"/>
      <c r="AK43" t="s">
        <v>2063</v>
      </c>
      <c r="AL43" t="s">
        <v>253</v>
      </c>
      <c r="AM43" t="s">
        <v>2157</v>
      </c>
      <c r="AN43" t="s">
        <v>2214</v>
      </c>
    </row>
    <row r="44" spans="1:40" ht="13" x14ac:dyDescent="0.3">
      <c r="A44" s="268" t="s">
        <v>1273</v>
      </c>
      <c r="B44" s="732" t="s">
        <v>1274</v>
      </c>
      <c r="E44" t="s">
        <v>853</v>
      </c>
      <c r="G44" s="25">
        <v>6722</v>
      </c>
      <c r="M44" s="724"/>
      <c r="AK44" t="s">
        <v>2068</v>
      </c>
      <c r="AL44" t="s">
        <v>253</v>
      </c>
      <c r="AM44" t="s">
        <v>2349</v>
      </c>
      <c r="AN44" t="s">
        <v>2350</v>
      </c>
    </row>
    <row r="45" spans="1:40" ht="13" x14ac:dyDescent="0.3">
      <c r="A45" s="268" t="s">
        <v>1456</v>
      </c>
      <c r="B45" s="180">
        <v>0.03</v>
      </c>
      <c r="E45" t="s">
        <v>42</v>
      </c>
      <c r="G45" s="25">
        <v>6751</v>
      </c>
      <c r="M45" s="724"/>
      <c r="AK45" t="s">
        <v>2069</v>
      </c>
      <c r="AL45" t="s">
        <v>253</v>
      </c>
      <c r="AM45" t="s">
        <v>296</v>
      </c>
      <c r="AN45" t="s">
        <v>2096</v>
      </c>
    </row>
    <row r="46" spans="1:40" ht="13" x14ac:dyDescent="0.3">
      <c r="A46" s="268" t="s">
        <v>1518</v>
      </c>
      <c r="B46" s="992">
        <f>MAX(CasualIncomeAnnualiseWeeksTable[AnnualiseWeeks])</f>
        <v>48</v>
      </c>
      <c r="E46" t="s">
        <v>1558</v>
      </c>
      <c r="G46" s="25">
        <v>6753</v>
      </c>
      <c r="M46" s="724"/>
      <c r="AK46" t="s">
        <v>2070</v>
      </c>
      <c r="AL46" t="s">
        <v>253</v>
      </c>
      <c r="AM46" t="s">
        <v>297</v>
      </c>
      <c r="AN46" t="s">
        <v>2097</v>
      </c>
    </row>
    <row r="47" spans="1:40" ht="13" x14ac:dyDescent="0.3">
      <c r="A47" s="268" t="s">
        <v>1547</v>
      </c>
      <c r="B47" s="180">
        <v>0.1</v>
      </c>
      <c r="G47" s="25">
        <v>6798</v>
      </c>
      <c r="M47" s="724"/>
      <c r="Z47" s="446" t="s">
        <v>1392</v>
      </c>
      <c r="AK47" t="s">
        <v>2061</v>
      </c>
      <c r="AL47" t="s">
        <v>253</v>
      </c>
      <c r="AM47" t="s">
        <v>62</v>
      </c>
      <c r="AN47" t="s">
        <v>2098</v>
      </c>
    </row>
    <row r="48" spans="1:40" ht="13" x14ac:dyDescent="0.3">
      <c r="A48" s="268" t="s">
        <v>2166</v>
      </c>
      <c r="B48" s="180">
        <v>0.25</v>
      </c>
      <c r="M48" s="724"/>
      <c r="Z48" s="1" t="s">
        <v>1381</v>
      </c>
      <c r="AA48" s="1274" t="s">
        <v>2370</v>
      </c>
      <c r="AB48" s="1274" t="s">
        <v>396</v>
      </c>
      <c r="AC48" s="1274" t="s">
        <v>395</v>
      </c>
      <c r="AD48" s="1274" t="s">
        <v>397</v>
      </c>
      <c r="AE48" s="1274" t="s">
        <v>399</v>
      </c>
      <c r="AF48" s="1274" t="s">
        <v>401</v>
      </c>
      <c r="AG48" s="1274" t="s">
        <v>402</v>
      </c>
      <c r="AH48" s="1274" t="s">
        <v>398</v>
      </c>
      <c r="AI48" s="1274" t="s">
        <v>400</v>
      </c>
      <c r="AK48" t="s">
        <v>25</v>
      </c>
      <c r="AL48" t="s">
        <v>253</v>
      </c>
      <c r="AM48" t="s">
        <v>63</v>
      </c>
      <c r="AN48" t="s">
        <v>2099</v>
      </c>
    </row>
    <row r="49" spans="1:40" ht="13" x14ac:dyDescent="0.3">
      <c r="A49" s="268" t="s">
        <v>2352</v>
      </c>
      <c r="B49" s="992">
        <v>6</v>
      </c>
      <c r="M49" s="724"/>
      <c r="Z49" t="s">
        <v>1382</v>
      </c>
      <c r="AA49" s="850" t="s">
        <v>1384</v>
      </c>
      <c r="AB49" s="850">
        <v>83124</v>
      </c>
      <c r="AC49" s="850">
        <v>76009</v>
      </c>
      <c r="AD49" s="850">
        <v>90141</v>
      </c>
      <c r="AE49" s="850">
        <v>87580</v>
      </c>
      <c r="AF49" s="850">
        <v>78757</v>
      </c>
      <c r="AG49" s="850">
        <v>77898</v>
      </c>
      <c r="AH49" s="850">
        <v>81814</v>
      </c>
      <c r="AI49" s="850">
        <v>87000</v>
      </c>
      <c r="AK49" t="s">
        <v>185</v>
      </c>
      <c r="AL49" t="s">
        <v>253</v>
      </c>
      <c r="AM49" t="s">
        <v>472</v>
      </c>
      <c r="AN49" t="s">
        <v>2100</v>
      </c>
    </row>
    <row r="50" spans="1:40" ht="13" x14ac:dyDescent="0.3">
      <c r="A50" s="268" t="s">
        <v>2356</v>
      </c>
      <c r="B50" s="1390">
        <v>5000</v>
      </c>
      <c r="G50" t="s">
        <v>1426</v>
      </c>
      <c r="M50" s="724"/>
      <c r="Z50" t="s">
        <v>1383</v>
      </c>
      <c r="AA50" s="850" t="s">
        <v>1385</v>
      </c>
      <c r="AB50" s="850">
        <v>88397</v>
      </c>
      <c r="AC50" s="850">
        <v>89095</v>
      </c>
      <c r="AD50" s="850">
        <v>97657</v>
      </c>
      <c r="AE50" s="850">
        <v>95802</v>
      </c>
      <c r="AF50" s="850">
        <v>91319</v>
      </c>
      <c r="AG50" s="850">
        <v>91153</v>
      </c>
      <c r="AH50" s="850">
        <v>89253</v>
      </c>
      <c r="AI50" s="850">
        <v>92500</v>
      </c>
      <c r="AK50" t="s">
        <v>2159</v>
      </c>
      <c r="AL50" t="s">
        <v>253</v>
      </c>
      <c r="AM50" t="s">
        <v>754</v>
      </c>
      <c r="AN50" t="s">
        <v>2109</v>
      </c>
    </row>
    <row r="51" spans="1:40" ht="13" x14ac:dyDescent="0.3">
      <c r="A51" s="268" t="s">
        <v>2450</v>
      </c>
      <c r="B51" s="180">
        <v>0.04</v>
      </c>
      <c r="D51" t="s">
        <v>853</v>
      </c>
      <c r="G51" s="1" t="s">
        <v>25</v>
      </c>
      <c r="H51" s="118"/>
      <c r="M51" s="724"/>
      <c r="Z51" t="s">
        <v>1384</v>
      </c>
      <c r="AA51" s="850" t="s">
        <v>1386</v>
      </c>
      <c r="AB51" s="850">
        <v>95829</v>
      </c>
      <c r="AC51" s="850">
        <v>97993</v>
      </c>
      <c r="AD51" s="850">
        <v>105166</v>
      </c>
      <c r="AE51" s="850">
        <v>104844</v>
      </c>
      <c r="AF51" s="850">
        <v>97432</v>
      </c>
      <c r="AG51" s="850">
        <v>99996</v>
      </c>
      <c r="AH51" s="850">
        <v>96690</v>
      </c>
      <c r="AI51" s="850">
        <v>99000</v>
      </c>
      <c r="AK51" t="s">
        <v>2005</v>
      </c>
      <c r="AL51" t="s">
        <v>2071</v>
      </c>
      <c r="AM51" t="str">
        <f>'Self-employed Business'!B15</f>
        <v>Associated applicant</v>
      </c>
      <c r="AN51" t="s">
        <v>2335</v>
      </c>
    </row>
    <row r="52" spans="1:40" ht="13" x14ac:dyDescent="0.3">
      <c r="A52" s="268"/>
      <c r="B52" s="180"/>
      <c r="D52" t="s">
        <v>854</v>
      </c>
      <c r="G52" s="1" t="s">
        <v>1554</v>
      </c>
      <c r="M52" s="724"/>
      <c r="Z52" t="s">
        <v>1385</v>
      </c>
      <c r="AA52" s="850" t="s">
        <v>1387</v>
      </c>
      <c r="AB52" s="850">
        <v>116952</v>
      </c>
      <c r="AC52" s="850">
        <v>110986</v>
      </c>
      <c r="AD52" s="850">
        <v>129583</v>
      </c>
      <c r="AE52" s="850">
        <v>114858</v>
      </c>
      <c r="AF52" s="850">
        <v>103336</v>
      </c>
      <c r="AG52" s="850">
        <v>112917</v>
      </c>
      <c r="AH52" s="850">
        <v>112309</v>
      </c>
      <c r="AI52" s="850">
        <v>105000</v>
      </c>
      <c r="AK52" t="s">
        <v>2125</v>
      </c>
      <c r="AL52" t="s">
        <v>2071</v>
      </c>
      <c r="AM52" t="s">
        <v>1614</v>
      </c>
      <c r="AN52" t="s">
        <v>2127</v>
      </c>
    </row>
    <row r="53" spans="1:40" ht="13" x14ac:dyDescent="0.3">
      <c r="A53" s="268"/>
      <c r="B53" s="180"/>
      <c r="D53" t="s">
        <v>855</v>
      </c>
      <c r="G53" s="1" t="s">
        <v>1443</v>
      </c>
      <c r="M53" s="724"/>
      <c r="Z53" t="s">
        <v>1386</v>
      </c>
      <c r="AA53" s="850" t="s">
        <v>1388</v>
      </c>
      <c r="AB53" s="850">
        <v>124296</v>
      </c>
      <c r="AC53" s="850">
        <v>120489</v>
      </c>
      <c r="AD53" s="850">
        <v>133335</v>
      </c>
      <c r="AE53" s="850">
        <v>120492</v>
      </c>
      <c r="AF53" s="850">
        <v>108630</v>
      </c>
      <c r="AG53" s="850">
        <v>122359</v>
      </c>
      <c r="AH53" s="850">
        <v>121977</v>
      </c>
      <c r="AI53" s="850">
        <v>131000</v>
      </c>
      <c r="AK53" t="s">
        <v>2126</v>
      </c>
      <c r="AL53" t="s">
        <v>2071</v>
      </c>
      <c r="AM53" t="s">
        <v>2124</v>
      </c>
      <c r="AN53" t="s">
        <v>2129</v>
      </c>
    </row>
    <row r="54" spans="1:40" ht="13" x14ac:dyDescent="0.3">
      <c r="A54" s="268"/>
      <c r="B54" s="180"/>
      <c r="G54" s="1"/>
      <c r="M54" s="724"/>
      <c r="Z54" t="s">
        <v>1387</v>
      </c>
      <c r="AA54" s="850" t="s">
        <v>1389</v>
      </c>
      <c r="AB54" s="850">
        <v>131591</v>
      </c>
      <c r="AC54" s="850">
        <v>130027</v>
      </c>
      <c r="AD54" s="850">
        <v>137086</v>
      </c>
      <c r="AE54" s="850">
        <v>126410</v>
      </c>
      <c r="AF54" s="850">
        <v>111699</v>
      </c>
      <c r="AG54" s="850">
        <v>131840</v>
      </c>
      <c r="AH54" s="850">
        <v>129416</v>
      </c>
      <c r="AI54" s="850">
        <v>138000</v>
      </c>
      <c r="AK54" t="s">
        <v>2234</v>
      </c>
      <c r="AL54" t="s">
        <v>2071</v>
      </c>
      <c r="AM54" t="s">
        <v>891</v>
      </c>
      <c r="AN54" t="s">
        <v>2235</v>
      </c>
    </row>
    <row r="55" spans="1:40" ht="13" x14ac:dyDescent="0.3">
      <c r="F55" s="1" t="s">
        <v>2010</v>
      </c>
      <c r="G55" s="1"/>
      <c r="M55" s="724"/>
      <c r="Z55" t="s">
        <v>1388</v>
      </c>
      <c r="AA55" s="850" t="s">
        <v>1390</v>
      </c>
      <c r="AB55" s="850">
        <v>138913</v>
      </c>
      <c r="AC55" s="850">
        <v>139187</v>
      </c>
      <c r="AD55" s="850">
        <v>142727</v>
      </c>
      <c r="AE55" s="850">
        <v>135729</v>
      </c>
      <c r="AF55" s="850">
        <v>119351</v>
      </c>
      <c r="AG55" s="850">
        <v>141084</v>
      </c>
      <c r="AH55" s="850">
        <v>136852</v>
      </c>
      <c r="AI55" s="850">
        <v>144000</v>
      </c>
      <c r="AK55" t="s">
        <v>2236</v>
      </c>
      <c r="AL55" t="s">
        <v>2071</v>
      </c>
      <c r="AM55" t="s">
        <v>1628</v>
      </c>
      <c r="AN55" t="s">
        <v>2237</v>
      </c>
    </row>
    <row r="56" spans="1:40" ht="13" x14ac:dyDescent="0.3">
      <c r="A56" s="440" t="s">
        <v>720</v>
      </c>
      <c r="B56" s="441">
        <f ca="1">DATEVALUE("1 July " &amp; YEAR(TODAY()) - IF(MONTH(TODAY())&lt;7,1,0))</f>
        <v>45474</v>
      </c>
      <c r="D56" t="s">
        <v>856</v>
      </c>
      <c r="F56" t="s">
        <v>856</v>
      </c>
      <c r="G56" s="1"/>
      <c r="M56" s="724"/>
      <c r="Z56" t="s">
        <v>1389</v>
      </c>
      <c r="AA56" s="850" t="s">
        <v>1391</v>
      </c>
      <c r="AB56" s="850">
        <v>146230</v>
      </c>
      <c r="AC56" s="850">
        <v>149930</v>
      </c>
      <c r="AD56" s="850">
        <v>146481</v>
      </c>
      <c r="AE56" s="850">
        <v>142408</v>
      </c>
      <c r="AF56" s="850">
        <v>127526</v>
      </c>
      <c r="AG56" s="850">
        <v>151467</v>
      </c>
      <c r="AH56" s="850">
        <v>144291</v>
      </c>
      <c r="AI56" s="850">
        <v>150000</v>
      </c>
      <c r="AK56" t="s">
        <v>2239</v>
      </c>
      <c r="AL56" t="s">
        <v>2071</v>
      </c>
      <c r="AM56" t="s">
        <v>1629</v>
      </c>
      <c r="AN56" t="s">
        <v>2238</v>
      </c>
    </row>
    <row r="57" spans="1:40" ht="13" x14ac:dyDescent="0.3">
      <c r="A57" s="440" t="s">
        <v>721</v>
      </c>
      <c r="B57" s="441">
        <f ca="1">DATEVALUE("30 June " &amp; YEAR(TODAY()) + IF(MONTH(TODAY())&gt;=7,1,0))</f>
        <v>45838</v>
      </c>
      <c r="D57" t="s">
        <v>868</v>
      </c>
      <c r="F57" t="s">
        <v>869</v>
      </c>
      <c r="G57" s="1"/>
      <c r="M57" s="724"/>
      <c r="Z57" t="s">
        <v>1390</v>
      </c>
      <c r="AA57" s="850" t="s">
        <v>1391</v>
      </c>
      <c r="AB57" s="850">
        <v>155004</v>
      </c>
      <c r="AC57" s="850">
        <v>156494</v>
      </c>
      <c r="AD57" s="850">
        <v>150240</v>
      </c>
      <c r="AE57" s="850">
        <v>149420</v>
      </c>
      <c r="AF57" s="850">
        <v>136260</v>
      </c>
      <c r="AG57" s="850">
        <v>158100</v>
      </c>
      <c r="AH57" s="850">
        <v>148753</v>
      </c>
      <c r="AI57" s="850">
        <v>170500</v>
      </c>
      <c r="AK57" t="s">
        <v>2103</v>
      </c>
      <c r="AL57" t="s">
        <v>2104</v>
      </c>
      <c r="AM57" t="s">
        <v>354</v>
      </c>
      <c r="AN57" t="s">
        <v>2106</v>
      </c>
    </row>
    <row r="58" spans="1:40" ht="13" x14ac:dyDescent="0.3">
      <c r="D58" t="s">
        <v>869</v>
      </c>
      <c r="F58" t="s">
        <v>870</v>
      </c>
      <c r="G58" s="1"/>
      <c r="M58" s="724"/>
      <c r="Z58" t="s">
        <v>1391</v>
      </c>
      <c r="AA58" s="850"/>
      <c r="AB58" s="850">
        <v>164352</v>
      </c>
      <c r="AC58" s="850">
        <v>161777</v>
      </c>
      <c r="AD58" s="850">
        <v>165257</v>
      </c>
      <c r="AE58" s="850">
        <v>156782</v>
      </c>
      <c r="AF58" s="850">
        <v>145597</v>
      </c>
      <c r="AG58" s="850">
        <v>163434</v>
      </c>
      <c r="AH58" s="850">
        <v>154702</v>
      </c>
      <c r="AI58" s="850">
        <v>178500</v>
      </c>
      <c r="AK58" t="s">
        <v>2105</v>
      </c>
      <c r="AL58" t="s">
        <v>2104</v>
      </c>
      <c r="AM58" t="s">
        <v>355</v>
      </c>
      <c r="AN58" t="s">
        <v>2348</v>
      </c>
    </row>
    <row r="59" spans="1:40" ht="13" x14ac:dyDescent="0.3">
      <c r="D59" t="s">
        <v>870</v>
      </c>
      <c r="F59" t="s">
        <v>871</v>
      </c>
      <c r="G59" s="1"/>
      <c r="M59" s="724"/>
      <c r="AK59" t="s">
        <v>2108</v>
      </c>
      <c r="AL59" t="s">
        <v>2104</v>
      </c>
      <c r="AM59" t="s">
        <v>2107</v>
      </c>
      <c r="AN59" t="s">
        <v>2446</v>
      </c>
    </row>
    <row r="60" spans="1:40" ht="13" x14ac:dyDescent="0.3">
      <c r="D60" t="s">
        <v>871</v>
      </c>
      <c r="M60" s="724"/>
      <c r="AK60" t="s">
        <v>2374</v>
      </c>
      <c r="AL60" t="s">
        <v>2104</v>
      </c>
      <c r="AM60" t="s">
        <v>2101</v>
      </c>
      <c r="AN60" t="s">
        <v>2376</v>
      </c>
    </row>
    <row r="61" spans="1:40" ht="13" x14ac:dyDescent="0.3">
      <c r="M61" s="724"/>
      <c r="AK61" t="s">
        <v>2375</v>
      </c>
      <c r="AL61" t="s">
        <v>2104</v>
      </c>
      <c r="AM61" t="s">
        <v>2102</v>
      </c>
      <c r="AN61" t="s">
        <v>2377</v>
      </c>
    </row>
    <row r="62" spans="1:40" ht="13" x14ac:dyDescent="0.3">
      <c r="M62" s="724"/>
      <c r="AK62" t="s">
        <v>2378</v>
      </c>
      <c r="AL62" t="s">
        <v>2104</v>
      </c>
      <c r="AM62" t="s">
        <v>849</v>
      </c>
      <c r="AN62" t="s">
        <v>2379</v>
      </c>
    </row>
    <row r="63" spans="1:40" ht="13" x14ac:dyDescent="0.3">
      <c r="M63" s="724"/>
      <c r="AK63" t="s">
        <v>2451</v>
      </c>
      <c r="AL63" t="s">
        <v>2104</v>
      </c>
      <c r="AM63" t="s">
        <v>2452</v>
      </c>
      <c r="AN63" t="s">
        <v>2453</v>
      </c>
    </row>
    <row r="64" spans="1:40" ht="13" x14ac:dyDescent="0.3">
      <c r="E64" s="118"/>
      <c r="G64" s="1" t="s">
        <v>2011</v>
      </c>
      <c r="M64" s="724"/>
      <c r="AK64" s="1" t="s">
        <v>2391</v>
      </c>
      <c r="AL64" s="1" t="s">
        <v>2389</v>
      </c>
      <c r="AM64" s="1" t="s">
        <v>2408</v>
      </c>
      <c r="AN64" s="1" t="s">
        <v>2402</v>
      </c>
    </row>
    <row r="65" spans="4:40" ht="12.5" x14ac:dyDescent="0.25">
      <c r="D65" s="83" t="s">
        <v>853</v>
      </c>
      <c r="E65" s="83" t="s">
        <v>857</v>
      </c>
      <c r="F65" s="83"/>
      <c r="G65" t="s">
        <v>853</v>
      </c>
      <c r="AK65" s="1" t="s">
        <v>2392</v>
      </c>
      <c r="AL65" s="1" t="s">
        <v>2389</v>
      </c>
      <c r="AM65" s="1" t="s">
        <v>2401</v>
      </c>
      <c r="AN65" s="1" t="s">
        <v>2390</v>
      </c>
    </row>
    <row r="66" spans="4:40" ht="12.5" x14ac:dyDescent="0.25">
      <c r="D66" s="2" t="s">
        <v>307</v>
      </c>
      <c r="E66" s="2" t="s">
        <v>859</v>
      </c>
      <c r="F66" s="2"/>
      <c r="G66" t="s">
        <v>307</v>
      </c>
      <c r="AK66" s="1" t="s">
        <v>2421</v>
      </c>
      <c r="AL66" s="1" t="s">
        <v>2389</v>
      </c>
      <c r="AM66" s="1" t="s">
        <v>2397</v>
      </c>
      <c r="AN66" s="1" t="s">
        <v>2431</v>
      </c>
    </row>
    <row r="67" spans="4:40" ht="12.5" x14ac:dyDescent="0.25">
      <c r="D67" s="2" t="s">
        <v>42</v>
      </c>
      <c r="E67" s="2" t="s">
        <v>42</v>
      </c>
      <c r="F67" s="2"/>
      <c r="G67" t="s">
        <v>42</v>
      </c>
      <c r="AK67" s="1" t="s">
        <v>2425</v>
      </c>
      <c r="AL67" s="1" t="s">
        <v>2389</v>
      </c>
      <c r="AM67" s="1" t="s">
        <v>2405</v>
      </c>
      <c r="AN67" s="1" t="s">
        <v>2430</v>
      </c>
    </row>
    <row r="68" spans="4:40" ht="12.5" x14ac:dyDescent="0.25">
      <c r="D68" s="2" t="s">
        <v>858</v>
      </c>
      <c r="E68" s="2" t="s">
        <v>859</v>
      </c>
      <c r="F68" s="2"/>
      <c r="G68" t="s">
        <v>858</v>
      </c>
      <c r="AK68" s="1" t="s">
        <v>2422</v>
      </c>
      <c r="AL68" s="1" t="s">
        <v>2389</v>
      </c>
      <c r="AM68" s="1" t="s">
        <v>2409</v>
      </c>
      <c r="AN68" s="1" t="s">
        <v>2432</v>
      </c>
    </row>
    <row r="69" spans="4:40" ht="12.5" x14ac:dyDescent="0.25">
      <c r="D69" s="2" t="s">
        <v>1612</v>
      </c>
      <c r="E69" s="2"/>
      <c r="F69" s="2"/>
      <c r="AK69" s="1" t="s">
        <v>2423</v>
      </c>
      <c r="AL69" s="1" t="s">
        <v>2389</v>
      </c>
      <c r="AM69" s="1" t="s">
        <v>2404</v>
      </c>
      <c r="AN69" s="1" t="s">
        <v>2428</v>
      </c>
    </row>
    <row r="70" spans="4:40" ht="12.5" x14ac:dyDescent="0.25">
      <c r="D70" s="2"/>
      <c r="E70" s="2"/>
      <c r="AK70" s="1" t="s">
        <v>2424</v>
      </c>
      <c r="AL70" s="1" t="s">
        <v>2389</v>
      </c>
      <c r="AM70" s="1" t="s">
        <v>2395</v>
      </c>
      <c r="AN70" s="1" t="s">
        <v>2427</v>
      </c>
    </row>
    <row r="71" spans="4:40" ht="12.5" x14ac:dyDescent="0.25">
      <c r="AK71" s="1" t="s">
        <v>2426</v>
      </c>
      <c r="AL71" s="1" t="s">
        <v>2389</v>
      </c>
      <c r="AM71" s="1" t="s">
        <v>2420</v>
      </c>
      <c r="AN71" s="1" t="s">
        <v>2429</v>
      </c>
    </row>
    <row r="72" spans="4:40" ht="12.5" x14ac:dyDescent="0.25">
      <c r="AK72" s="1" t="s">
        <v>2393</v>
      </c>
      <c r="AL72" s="1" t="s">
        <v>2389</v>
      </c>
      <c r="AM72" s="1" t="s">
        <v>2403</v>
      </c>
      <c r="AN72" s="1" t="s">
        <v>2406</v>
      </c>
    </row>
    <row r="73" spans="4:40" ht="13" x14ac:dyDescent="0.25">
      <c r="D73" s="69" t="s">
        <v>860</v>
      </c>
      <c r="G73" s="2"/>
      <c r="J73" s="1"/>
      <c r="AK73" s="1" t="s">
        <v>2394</v>
      </c>
      <c r="AL73" s="1" t="s">
        <v>2389</v>
      </c>
      <c r="AM73" s="1" t="s">
        <v>2396</v>
      </c>
      <c r="AN73" s="1" t="s">
        <v>2407</v>
      </c>
    </row>
    <row r="74" spans="4:40" ht="12.5" x14ac:dyDescent="0.25">
      <c r="D74" s="83" t="s">
        <v>861</v>
      </c>
      <c r="E74" s="83" t="s">
        <v>862</v>
      </c>
      <c r="F74" s="83" t="s">
        <v>863</v>
      </c>
      <c r="G74" s="2"/>
      <c r="AK74" t="s">
        <v>2444</v>
      </c>
      <c r="AL74" t="s">
        <v>2389</v>
      </c>
      <c r="AM74" t="s">
        <v>2383</v>
      </c>
      <c r="AN74" t="s">
        <v>2445</v>
      </c>
    </row>
    <row r="75" spans="4:40" ht="13" x14ac:dyDescent="0.25">
      <c r="D75" s="1" t="s">
        <v>72</v>
      </c>
      <c r="E75" s="1" t="s">
        <v>865</v>
      </c>
      <c r="F75" s="1" t="s">
        <v>1441</v>
      </c>
      <c r="G75" s="118"/>
    </row>
    <row r="76" spans="4:40" ht="12.5" x14ac:dyDescent="0.25">
      <c r="D76" s="1" t="s">
        <v>75</v>
      </c>
      <c r="E76" s="1" t="s">
        <v>864</v>
      </c>
      <c r="F76" s="1" t="s">
        <v>1791</v>
      </c>
      <c r="G76" s="88"/>
    </row>
    <row r="77" spans="4:40" ht="12.5" x14ac:dyDescent="0.25">
      <c r="D77" s="1" t="s">
        <v>78</v>
      </c>
      <c r="E77" s="1" t="s">
        <v>864</v>
      </c>
      <c r="F77" s="1" t="s">
        <v>2016</v>
      </c>
      <c r="G77" s="2"/>
    </row>
    <row r="78" spans="4:40" ht="12.5" x14ac:dyDescent="0.25">
      <c r="D78" s="1" t="s">
        <v>81</v>
      </c>
      <c r="E78" s="1" t="s">
        <v>864</v>
      </c>
      <c r="F78" s="1" t="s">
        <v>2017</v>
      </c>
      <c r="G78" s="2"/>
    </row>
    <row r="79" spans="4:40" ht="12.5" x14ac:dyDescent="0.25">
      <c r="D79" s="1" t="s">
        <v>84</v>
      </c>
      <c r="E79" s="1" t="s">
        <v>864</v>
      </c>
      <c r="F79" s="1" t="s">
        <v>2336</v>
      </c>
      <c r="G79" s="2"/>
    </row>
    <row r="80" spans="4:40" ht="12.5" x14ac:dyDescent="0.25">
      <c r="D80" s="2" t="s">
        <v>2018</v>
      </c>
      <c r="E80" s="2" t="s">
        <v>864</v>
      </c>
      <c r="F80" s="2" t="s">
        <v>2232</v>
      </c>
      <c r="G80" s="2"/>
    </row>
    <row r="81" spans="4:35" ht="12.5" x14ac:dyDescent="0.25"/>
    <row r="82" spans="4:35" ht="13" x14ac:dyDescent="0.25">
      <c r="D82" s="864" t="s">
        <v>866</v>
      </c>
      <c r="E82" s="865"/>
      <c r="F82" s="865"/>
      <c r="AG82" s="1466" t="s">
        <v>522</v>
      </c>
      <c r="AH82" s="1466"/>
      <c r="AI82" s="2"/>
    </row>
    <row r="83" spans="4:35" ht="12.5" x14ac:dyDescent="0.25">
      <c r="D83" s="574" t="s">
        <v>872</v>
      </c>
      <c r="E83" s="574" t="s">
        <v>873</v>
      </c>
      <c r="F83" s="83" t="s">
        <v>867</v>
      </c>
      <c r="AG83" s="83" t="s">
        <v>523</v>
      </c>
      <c r="AH83" s="426" t="s">
        <v>722</v>
      </c>
      <c r="AI83" s="426" t="s">
        <v>723</v>
      </c>
    </row>
    <row r="84" spans="4:35" ht="12.5" x14ac:dyDescent="0.25">
      <c r="D84" s="573" t="str">
        <f>IF(TaxYearTable[[#This Row],[YearsFromNow]]=0,"Projected",YEAR(SDFinancialYearEndDate)-TaxYearTable[[#This Row],[YearsFromNow]])</f>
        <v>Projected</v>
      </c>
      <c r="E84" s="573">
        <f ca="1">YEAR(SDFinancialYearEndDate)-(TaxYearTable[[#This Row],[YearsFromNow]]+1)</f>
        <v>2024</v>
      </c>
      <c r="F84" s="573">
        <v>0</v>
      </c>
      <c r="AG84" s="554" t="s">
        <v>524</v>
      </c>
      <c r="AH84" s="555" t="s">
        <v>724</v>
      </c>
      <c r="AI84" s="555" t="s">
        <v>725</v>
      </c>
    </row>
    <row r="85" spans="4:35" ht="12.5" x14ac:dyDescent="0.25">
      <c r="D85" s="573">
        <f ca="1">IF(TaxYearTable[[#This Row],[YearsFromNow]]=0,"Projected",YEAR(SDFinancialYearEndDate)-TaxYearTable[[#This Row],[YearsFromNow]])</f>
        <v>2024</v>
      </c>
      <c r="E85" s="573">
        <f ca="1">YEAR(SDFinancialYearEndDate)-(TaxYearTable[[#This Row],[YearsFromNow]]+1)</f>
        <v>2023</v>
      </c>
      <c r="F85" s="573">
        <v>1</v>
      </c>
      <c r="AG85" s="554" t="s">
        <v>525</v>
      </c>
      <c r="AH85" s="555" t="s">
        <v>726</v>
      </c>
      <c r="AI85" s="555" t="s">
        <v>727</v>
      </c>
    </row>
    <row r="86" spans="4:35" ht="12.5" x14ac:dyDescent="0.25">
      <c r="D86" s="573">
        <f ca="1">IF(TaxYearTable[[#This Row],[YearsFromNow]]=0,"Projected",YEAR(SDFinancialYearEndDate)-TaxYearTable[[#This Row],[YearsFromNow]])</f>
        <v>2023</v>
      </c>
      <c r="E86" s="573">
        <f ca="1">YEAR(SDFinancialYearEndDate)-(TaxYearTable[[#This Row],[YearsFromNow]]+1)</f>
        <v>2022</v>
      </c>
      <c r="F86" s="573">
        <v>2</v>
      </c>
      <c r="AG86" s="554" t="s">
        <v>1306</v>
      </c>
      <c r="AH86" s="555" t="s">
        <v>728</v>
      </c>
      <c r="AI86" s="555" t="s">
        <v>729</v>
      </c>
    </row>
    <row r="87" spans="4:35" ht="12.5" x14ac:dyDescent="0.25">
      <c r="D87" s="573">
        <f ca="1">IF(TaxYearTable[[#This Row],[YearsFromNow]]=0,"Projected",YEAR(SDFinancialYearEndDate)-TaxYearTable[[#This Row],[YearsFromNow]])</f>
        <v>2022</v>
      </c>
      <c r="E87" s="573">
        <f ca="1">YEAR(SDFinancialYearEndDate)-(TaxYearTable[[#This Row],[YearsFromNow]]+1)</f>
        <v>2021</v>
      </c>
      <c r="F87" s="573">
        <v>3</v>
      </c>
      <c r="AG87" s="554" t="s">
        <v>526</v>
      </c>
      <c r="AH87" s="555" t="s">
        <v>730</v>
      </c>
      <c r="AI87" s="555" t="s">
        <v>731</v>
      </c>
    </row>
    <row r="88" spans="4:35" ht="12.5" x14ac:dyDescent="0.25">
      <c r="D88" s="573">
        <f ca="1">IF(TaxYearTable[[#This Row],[YearsFromNow]]=0,"Projected",YEAR(SDFinancialYearEndDate)-TaxYearTable[[#This Row],[YearsFromNow]])</f>
        <v>2021</v>
      </c>
      <c r="E88" s="573">
        <f ca="1">YEAR(SDFinancialYearEndDate)-(TaxYearTable[[#This Row],[YearsFromNow]]+1)</f>
        <v>2020</v>
      </c>
      <c r="F88" s="573">
        <v>4</v>
      </c>
    </row>
    <row r="89" spans="4:35" ht="12.5" x14ac:dyDescent="0.25"/>
    <row r="90" spans="4:35" ht="13" x14ac:dyDescent="0.3">
      <c r="D90" s="1" t="s">
        <v>934</v>
      </c>
      <c r="E90" s="1" t="s">
        <v>2222</v>
      </c>
      <c r="F90" s="1" t="s">
        <v>2221</v>
      </c>
      <c r="G90" t="s">
        <v>390</v>
      </c>
      <c r="H90" s="1" t="s">
        <v>980</v>
      </c>
      <c r="I90" s="1" t="s">
        <v>981</v>
      </c>
      <c r="J90" s="1" t="s">
        <v>978</v>
      </c>
      <c r="K90" s="1" t="s">
        <v>979</v>
      </c>
      <c r="L90" t="s">
        <v>389</v>
      </c>
      <c r="M90" s="1" t="s">
        <v>2220</v>
      </c>
      <c r="N90" t="s">
        <v>385</v>
      </c>
      <c r="O90" t="s">
        <v>383</v>
      </c>
      <c r="P90" t="s">
        <v>1290</v>
      </c>
      <c r="Q90" t="s">
        <v>2224</v>
      </c>
      <c r="R90" t="s">
        <v>2227</v>
      </c>
      <c r="S90" t="s">
        <v>2226</v>
      </c>
      <c r="T90" s="1" t="s">
        <v>2225</v>
      </c>
      <c r="U90" t="s">
        <v>2230</v>
      </c>
      <c r="V90" t="s">
        <v>2344</v>
      </c>
      <c r="X90" t="s">
        <v>934</v>
      </c>
      <c r="AF90" s="446" t="s">
        <v>1447</v>
      </c>
    </row>
    <row r="91" spans="4:35" ht="12.5" x14ac:dyDescent="0.25">
      <c r="D91" t="s">
        <v>976</v>
      </c>
      <c r="E91" s="1421">
        <f>FloorRateMCIR</f>
        <v>5.0500000000000003E-2</v>
      </c>
      <c r="F91" s="1421">
        <f>BufferRate</f>
        <v>0.03</v>
      </c>
      <c r="G91" s="25">
        <v>1</v>
      </c>
      <c r="H91" s="25">
        <v>1</v>
      </c>
      <c r="I91" s="25">
        <v>1</v>
      </c>
      <c r="J91" s="25">
        <v>1</v>
      </c>
      <c r="K91" s="25">
        <v>1</v>
      </c>
      <c r="L91" s="25">
        <v>1</v>
      </c>
      <c r="M91" t="b">
        <v>0</v>
      </c>
      <c r="N91" t="b">
        <v>1</v>
      </c>
      <c r="O91" t="b">
        <v>1</v>
      </c>
      <c r="P91" t="b">
        <v>1</v>
      </c>
      <c r="Q91" t="b">
        <v>1</v>
      </c>
      <c r="R91" t="b">
        <v>0</v>
      </c>
      <c r="S91" t="b">
        <v>0</v>
      </c>
      <c r="T91" t="b">
        <v>1</v>
      </c>
      <c r="U91" s="25"/>
      <c r="V91" s="25">
        <v>1</v>
      </c>
      <c r="X91" t="str" cm="1">
        <f t="array" ref="X91">IFERROR(INDEX(D$91:D$102,_xlfn.AGGREGATE(15,6,ROW(D$91:D$102)-ROW(D$91)+1/(D$91:D$102&lt;&gt;""),ROWS(X$91:X91))),"")</f>
        <v>Mortgage</v>
      </c>
      <c r="AF91" s="1" t="s">
        <v>1445</v>
      </c>
      <c r="AG91" s="82" t="s">
        <v>1444</v>
      </c>
    </row>
    <row r="92" spans="4:35" ht="12.5" x14ac:dyDescent="0.25">
      <c r="D92" t="s">
        <v>375</v>
      </c>
      <c r="E92" s="1420">
        <v>0.36</v>
      </c>
      <c r="F92" s="1420"/>
      <c r="G92" s="25">
        <v>3</v>
      </c>
      <c r="H92" s="25">
        <v>1</v>
      </c>
      <c r="I92" s="25">
        <v>1</v>
      </c>
      <c r="J92" s="25">
        <v>3</v>
      </c>
      <c r="K92" s="25">
        <v>4</v>
      </c>
      <c r="L92" s="25">
        <v>4</v>
      </c>
      <c r="M92" t="b">
        <v>0</v>
      </c>
      <c r="N92" t="b">
        <v>0</v>
      </c>
      <c r="O92" t="b">
        <v>1</v>
      </c>
      <c r="P92" t="b">
        <v>1</v>
      </c>
      <c r="Q92" t="b">
        <v>1</v>
      </c>
      <c r="R92" t="b">
        <v>0</v>
      </c>
      <c r="S92" t="b">
        <v>0</v>
      </c>
      <c r="T92" t="b">
        <v>1</v>
      </c>
      <c r="U92" s="25"/>
      <c r="V92" s="25"/>
      <c r="X92" t="str" cm="1">
        <f t="array" ref="X92">IFERROR(INDEX(D$91:D$102,_xlfn.AGGREGATE(15,6,ROW(D$91:D$102)-ROW(D$91)+1/(D$91:D$102&lt;&gt;""),ROWS(X$91:X92))),"")</f>
        <v>Credit card</v>
      </c>
      <c r="AF92" s="1" t="s">
        <v>1446</v>
      </c>
      <c r="AG92" s="82" t="s">
        <v>1451</v>
      </c>
    </row>
    <row r="93" spans="4:35" ht="12.5" x14ac:dyDescent="0.25">
      <c r="D93" t="s">
        <v>47</v>
      </c>
      <c r="E93" s="1420">
        <v>7.2499999999999995E-2</v>
      </c>
      <c r="F93" s="1420">
        <v>0.01</v>
      </c>
      <c r="G93" s="25">
        <v>4</v>
      </c>
      <c r="H93" s="25">
        <v>1</v>
      </c>
      <c r="I93" s="25">
        <v>1</v>
      </c>
      <c r="J93" s="25">
        <v>3</v>
      </c>
      <c r="K93" s="25">
        <v>3</v>
      </c>
      <c r="L93" s="25">
        <v>4</v>
      </c>
      <c r="M93" t="b">
        <v>0</v>
      </c>
      <c r="N93" t="b">
        <v>0</v>
      </c>
      <c r="O93" t="b">
        <v>1</v>
      </c>
      <c r="P93" t="b">
        <v>1</v>
      </c>
      <c r="Q93" t="b">
        <v>1</v>
      </c>
      <c r="R93" t="b">
        <v>0</v>
      </c>
      <c r="S93" t="b">
        <v>0</v>
      </c>
      <c r="T93" t="b">
        <v>1</v>
      </c>
      <c r="U93" s="25"/>
      <c r="V93" s="25"/>
      <c r="X93" t="str" cm="1">
        <f t="array" ref="X93">IFERROR(INDEX(D$91:D$102,_xlfn.AGGREGATE(15,6,ROW(D$91:D$102)-ROW(D$91)+1/(D$91:D$102&lt;&gt;""),ROWS(X$91:X93))),"")</f>
        <v>Overdraft</v>
      </c>
    </row>
    <row r="94" spans="4:35" ht="12.5" x14ac:dyDescent="0.25">
      <c r="D94" t="s">
        <v>977</v>
      </c>
      <c r="E94" s="1420">
        <v>6.5000000000000002E-2</v>
      </c>
      <c r="F94" s="1420">
        <v>0.01</v>
      </c>
      <c r="G94" s="25">
        <v>4</v>
      </c>
      <c r="H94" s="25">
        <v>1</v>
      </c>
      <c r="I94" s="25">
        <v>1</v>
      </c>
      <c r="J94" s="25">
        <v>1</v>
      </c>
      <c r="K94" s="25">
        <v>5</v>
      </c>
      <c r="L94" s="25">
        <v>3</v>
      </c>
      <c r="M94" t="b">
        <v>0</v>
      </c>
      <c r="N94" t="b">
        <v>1</v>
      </c>
      <c r="O94" t="b">
        <v>1</v>
      </c>
      <c r="P94" t="b">
        <v>1</v>
      </c>
      <c r="Q94" t="b">
        <v>1</v>
      </c>
      <c r="R94" t="b">
        <v>0</v>
      </c>
      <c r="S94" t="b">
        <v>1</v>
      </c>
      <c r="T94" t="b">
        <v>1</v>
      </c>
      <c r="U94" s="25">
        <v>7</v>
      </c>
      <c r="V94" s="25"/>
      <c r="X94" t="str" cm="1">
        <f t="array" ref="X94">IFERROR(INDEX(D$91:D$102,_xlfn.AGGREGATE(15,6,ROW(D$91:D$102)-ROW(D$91)+1/(D$91:D$102&lt;&gt;""),ROWS(X$91:X94))),"")</f>
        <v>Term loan</v>
      </c>
    </row>
    <row r="95" spans="4:35" ht="13" x14ac:dyDescent="0.3">
      <c r="D95" t="s">
        <v>1500</v>
      </c>
      <c r="E95" s="1420"/>
      <c r="F95" s="1420"/>
      <c r="G95" s="25">
        <v>6</v>
      </c>
      <c r="H95" s="25">
        <v>3</v>
      </c>
      <c r="I95" s="25">
        <v>4</v>
      </c>
      <c r="J95" s="25">
        <v>4</v>
      </c>
      <c r="K95" s="25">
        <v>7</v>
      </c>
      <c r="L95" s="25">
        <v>4</v>
      </c>
      <c r="M95" t="b">
        <v>1</v>
      </c>
      <c r="N95" t="b">
        <v>0</v>
      </c>
      <c r="O95" t="b">
        <v>0</v>
      </c>
      <c r="P95" t="b">
        <v>0</v>
      </c>
      <c r="Q95" t="b">
        <v>0</v>
      </c>
      <c r="R95" t="b">
        <v>0</v>
      </c>
      <c r="S95" t="b">
        <v>0</v>
      </c>
      <c r="T95" t="b">
        <v>1</v>
      </c>
      <c r="U95" s="25"/>
      <c r="V95" s="25"/>
      <c r="X95" t="str" cm="1">
        <f t="array" ref="X95">IFERROR(INDEX(D$91:D$102,_xlfn.AGGREGATE(15,6,ROW(D$91:D$102)-ROW(D$91)+1/(D$91:D$102&lt;&gt;""),ROWS(X$91:X95))),"")</f>
        <v>Hire purchase/lease</v>
      </c>
      <c r="AF95" s="727" t="s">
        <v>1129</v>
      </c>
      <c r="AG95" s="727" t="s">
        <v>1130</v>
      </c>
      <c r="AH95" s="727" t="s">
        <v>1131</v>
      </c>
      <c r="AI95" s="727" t="s">
        <v>1132</v>
      </c>
    </row>
    <row r="96" spans="4:35" ht="13" x14ac:dyDescent="0.3">
      <c r="D96" t="s">
        <v>2218</v>
      </c>
      <c r="E96" s="1420">
        <v>6.5000000000000002E-2</v>
      </c>
      <c r="F96" s="1420">
        <v>0.01</v>
      </c>
      <c r="G96" s="25">
        <v>4</v>
      </c>
      <c r="H96" s="25">
        <v>1</v>
      </c>
      <c r="I96" s="25">
        <v>1</v>
      </c>
      <c r="J96" s="25">
        <v>1</v>
      </c>
      <c r="K96" s="25">
        <v>5</v>
      </c>
      <c r="L96" s="25">
        <v>3</v>
      </c>
      <c r="M96" t="b">
        <v>0</v>
      </c>
      <c r="N96" t="b">
        <v>1</v>
      </c>
      <c r="O96" t="b">
        <v>1</v>
      </c>
      <c r="P96" t="b">
        <v>1</v>
      </c>
      <c r="Q96" t="b">
        <v>1</v>
      </c>
      <c r="R96" t="b">
        <v>0</v>
      </c>
      <c r="S96" t="b">
        <v>1</v>
      </c>
      <c r="T96" t="b">
        <v>1</v>
      </c>
      <c r="U96" s="25">
        <v>15</v>
      </c>
      <c r="V96" s="25"/>
      <c r="X96" t="str" cm="1">
        <f t="array" ref="X96">IFERROR(INDEX(D$91:D$102,_xlfn.AGGREGATE(15,6,ROW(D$91:D$102)-ROW(D$91)+1/(D$91:D$102&lt;&gt;""),ROWS(X$91:X96))),"")</f>
        <v>Commercial bill</v>
      </c>
      <c r="AF96" s="725" t="str">
        <f>CONCATENATE(CurrencyDataTable[[#This Row],[CurrencyCode]]," - ",CurrencyDataTable[[#This Row],[CurrencyName]])</f>
        <v>AED - Emirati Dirham</v>
      </c>
      <c r="AG96" s="726" t="s">
        <v>1133</v>
      </c>
      <c r="AH96" s="724" t="s">
        <v>1134</v>
      </c>
      <c r="AI96" s="724" t="s">
        <v>1135</v>
      </c>
    </row>
    <row r="97" spans="4:35" ht="13" x14ac:dyDescent="0.3">
      <c r="D97" t="str">
        <f>IF(OR(SDVersionChannel="PW",SDVersionChannel="MQ"),"Interest only bullet loan","")</f>
        <v/>
      </c>
      <c r="E97" s="1421">
        <f>FloorRateMCIR</f>
        <v>5.0500000000000003E-2</v>
      </c>
      <c r="F97" s="1421">
        <f>BufferRate</f>
        <v>0.03</v>
      </c>
      <c r="G97" s="25">
        <v>1</v>
      </c>
      <c r="H97" s="25">
        <v>1</v>
      </c>
      <c r="I97" s="25">
        <v>1</v>
      </c>
      <c r="J97" s="25">
        <v>3</v>
      </c>
      <c r="K97" s="25">
        <v>3</v>
      </c>
      <c r="L97" s="25">
        <v>4</v>
      </c>
      <c r="M97" t="b">
        <v>0</v>
      </c>
      <c r="N97" t="b">
        <v>0</v>
      </c>
      <c r="O97" t="b">
        <v>1</v>
      </c>
      <c r="P97" t="b">
        <v>1</v>
      </c>
      <c r="Q97" t="b">
        <v>1</v>
      </c>
      <c r="R97" t="b">
        <v>0</v>
      </c>
      <c r="S97" t="b">
        <v>0</v>
      </c>
      <c r="T97" t="b">
        <v>1</v>
      </c>
      <c r="U97" s="25"/>
      <c r="V97" s="25"/>
      <c r="X97" t="str" cm="1">
        <f t="array" ref="X97">IFERROR(INDEX(D$91:D$102,_xlfn.AGGREGATE(15,6,ROW(D$91:D$102)-ROW(D$91)+1/(D$91:D$102&lt;&gt;""),ROWS(X$91:X97))),"")</f>
        <v>Margin loan</v>
      </c>
      <c r="AF97" s="725" t="str">
        <f>CONCATENATE(CurrencyDataTable[[#This Row],[CurrencyCode]]," - ",CurrencyDataTable[[#This Row],[CurrencyName]])</f>
        <v>BHD - Bahrani Dinar</v>
      </c>
      <c r="AG97" s="726" t="s">
        <v>1136</v>
      </c>
      <c r="AH97" s="724" t="s">
        <v>1137</v>
      </c>
      <c r="AI97" s="724" t="s">
        <v>1138</v>
      </c>
    </row>
    <row r="98" spans="4:35" ht="13" x14ac:dyDescent="0.3">
      <c r="D98" t="s">
        <v>377</v>
      </c>
      <c r="E98" s="1420">
        <v>0.12</v>
      </c>
      <c r="F98" s="1420"/>
      <c r="G98" s="25">
        <v>3</v>
      </c>
      <c r="H98" s="25">
        <v>3</v>
      </c>
      <c r="I98" s="25">
        <v>3</v>
      </c>
      <c r="J98" s="25">
        <v>4</v>
      </c>
      <c r="K98" s="25">
        <v>6</v>
      </c>
      <c r="L98" s="25">
        <v>4</v>
      </c>
      <c r="M98" t="b">
        <v>1</v>
      </c>
      <c r="N98" t="b">
        <v>0</v>
      </c>
      <c r="O98" t="b">
        <v>1</v>
      </c>
      <c r="P98" t="b">
        <v>0</v>
      </c>
      <c r="Q98" t="b">
        <v>0</v>
      </c>
      <c r="R98" t="b">
        <v>0</v>
      </c>
      <c r="S98" t="b">
        <v>0</v>
      </c>
      <c r="T98" t="b">
        <v>1</v>
      </c>
      <c r="U98" s="25"/>
      <c r="V98" s="25"/>
      <c r="X98" t="str" cm="1">
        <f t="array" ref="X98">IFERROR(INDEX(D$91:D$102,_xlfn.AGGREGATE(15,6,ROW(D$91:D$102)-ROW(D$91)+1/(D$91:D$102&lt;&gt;""),ROWS(X$91:X98))),"")</f>
        <v>Tax debt</v>
      </c>
      <c r="AF98" s="725" t="str">
        <f>CONCATENATE(CurrencyDataTable[[#This Row],[CurrencyCode]]," - ",CurrencyDataTable[[#This Row],[CurrencyName]])</f>
        <v>BND - Bruneian dollar</v>
      </c>
      <c r="AG98" s="726" t="s">
        <v>1139</v>
      </c>
      <c r="AH98" s="724" t="s">
        <v>1140</v>
      </c>
      <c r="AI98" s="724" t="s">
        <v>1141</v>
      </c>
    </row>
    <row r="99" spans="4:35" ht="13" x14ac:dyDescent="0.3">
      <c r="D99" t="s">
        <v>2219</v>
      </c>
      <c r="E99" s="1420"/>
      <c r="F99" s="1420"/>
      <c r="G99" s="25">
        <v>5</v>
      </c>
      <c r="H99" s="25">
        <v>2</v>
      </c>
      <c r="I99" s="25">
        <v>3</v>
      </c>
      <c r="J99" s="25">
        <v>5</v>
      </c>
      <c r="K99" s="25">
        <v>7</v>
      </c>
      <c r="L99" s="25">
        <v>1</v>
      </c>
      <c r="M99" t="b">
        <v>0</v>
      </c>
      <c r="N99" t="b">
        <v>1</v>
      </c>
      <c r="O99" t="b">
        <v>1</v>
      </c>
      <c r="P99" t="b">
        <v>0</v>
      </c>
      <c r="Q99" t="b">
        <v>1</v>
      </c>
      <c r="R99" t="b">
        <v>0</v>
      </c>
      <c r="S99" t="b">
        <v>0</v>
      </c>
      <c r="T99" t="b">
        <v>0</v>
      </c>
      <c r="U99" s="25"/>
      <c r="V99" s="25"/>
      <c r="X99" t="str" cm="1">
        <f t="array" ref="X99">IFERROR(INDEX(D$91:D$102,_xlfn.AGGREGATE(15,6,ROW(D$91:D$102)-ROW(D$91)+1/(D$91:D$102&lt;&gt;""),ROWS(X$91:X99))),"")</f>
        <v>Inter-entity loan</v>
      </c>
      <c r="AF99" s="725" t="str">
        <f>CONCATENATE(CurrencyDataTable[[#This Row],[CurrencyCode]]," - ",CurrencyDataTable[[#This Row],[CurrencyName]])</f>
        <v>CAD - Canadian dollar</v>
      </c>
      <c r="AG99" s="726" t="s">
        <v>1139</v>
      </c>
      <c r="AH99" s="724" t="s">
        <v>1142</v>
      </c>
      <c r="AI99" s="724" t="s">
        <v>1143</v>
      </c>
    </row>
    <row r="100" spans="4:35" ht="13" x14ac:dyDescent="0.3">
      <c r="D100" t="s">
        <v>2223</v>
      </c>
      <c r="E100" s="1420"/>
      <c r="F100" s="1420"/>
      <c r="G100" s="25">
        <v>5</v>
      </c>
      <c r="H100" s="25">
        <v>2</v>
      </c>
      <c r="I100" s="25">
        <v>3</v>
      </c>
      <c r="J100" s="25">
        <v>5</v>
      </c>
      <c r="K100" s="25">
        <v>7</v>
      </c>
      <c r="L100" s="25">
        <v>1</v>
      </c>
      <c r="M100" t="b">
        <v>0</v>
      </c>
      <c r="N100" t="b">
        <v>1</v>
      </c>
      <c r="O100" t="b">
        <v>1</v>
      </c>
      <c r="P100" t="b">
        <v>0</v>
      </c>
      <c r="Q100" t="b">
        <v>1</v>
      </c>
      <c r="R100" t="b">
        <v>0</v>
      </c>
      <c r="S100" t="b">
        <v>0</v>
      </c>
      <c r="T100" t="b">
        <v>0</v>
      </c>
      <c r="U100" s="25"/>
      <c r="V100" s="25"/>
      <c r="X100" t="str" cm="1">
        <f t="array" ref="X100">IFERROR(INDEX(D$91:D$102,_xlfn.AGGREGATE(15,6,ROW(D$91:D$102)-ROW(D$91)+1/(D$91:D$102&lt;&gt;""),ROWS(X$91:X100))),"")</f>
        <v>Portfolio loan - sub account</v>
      </c>
      <c r="AF100" s="725" t="str">
        <f>CONCATENATE(CurrencyDataTable[[#This Row],[CurrencyCode]]," - ",CurrencyDataTable[[#This Row],[CurrencyName]])</f>
        <v>CHF - Swiss Franc</v>
      </c>
      <c r="AG100" s="726" t="s">
        <v>1144</v>
      </c>
      <c r="AH100" s="724" t="s">
        <v>1144</v>
      </c>
      <c r="AI100" s="724" t="s">
        <v>1145</v>
      </c>
    </row>
    <row r="101" spans="4:35" ht="13" x14ac:dyDescent="0.3">
      <c r="D101" t="s">
        <v>846</v>
      </c>
      <c r="E101" s="1421">
        <f>FloorRateMCIR</f>
        <v>5.0500000000000003E-2</v>
      </c>
      <c r="F101" s="1421">
        <f>BufferRate</f>
        <v>0.03</v>
      </c>
      <c r="G101" s="25">
        <v>2</v>
      </c>
      <c r="H101" s="25">
        <v>1</v>
      </c>
      <c r="I101" s="25">
        <v>2</v>
      </c>
      <c r="J101" s="25">
        <v>2</v>
      </c>
      <c r="K101" s="25">
        <v>2</v>
      </c>
      <c r="L101" s="25">
        <v>2</v>
      </c>
      <c r="M101" t="b">
        <v>0</v>
      </c>
      <c r="N101" t="b">
        <v>0</v>
      </c>
      <c r="O101" t="b">
        <v>1</v>
      </c>
      <c r="P101" t="b">
        <v>1</v>
      </c>
      <c r="Q101" t="b">
        <v>1</v>
      </c>
      <c r="R101" t="b">
        <v>1</v>
      </c>
      <c r="S101" t="b">
        <v>0</v>
      </c>
      <c r="T101" t="b">
        <v>1</v>
      </c>
      <c r="U101" s="25"/>
      <c r="V101" s="25"/>
      <c r="X101" t="str" cm="1">
        <f t="array" ref="X101">IFERROR(INDEX(D$91:D$102,_xlfn.AGGREGATE(15,6,ROW(D$91:D$102)-ROW(D$91)+1/(D$91:D$102&lt;&gt;""),ROWS(X$91:X101))),"")</f>
        <v>Other</v>
      </c>
      <c r="AF101" s="725" t="str">
        <f>CONCATENATE(CurrencyDataTable[[#This Row],[CurrencyCode]]," - ",CurrencyDataTable[[#This Row],[CurrencyName]])</f>
        <v>CNY - Chinese Yuan Renminbi</v>
      </c>
      <c r="AG101" s="726" t="s">
        <v>1146</v>
      </c>
      <c r="AH101" s="724" t="s">
        <v>1147</v>
      </c>
      <c r="AI101" s="724" t="s">
        <v>1148</v>
      </c>
    </row>
    <row r="102" spans="4:35" ht="13" x14ac:dyDescent="0.3">
      <c r="D102" t="s">
        <v>25</v>
      </c>
      <c r="E102" s="1420">
        <v>0.45600000000000002</v>
      </c>
      <c r="F102" s="1420"/>
      <c r="G102" s="25">
        <v>3</v>
      </c>
      <c r="H102" s="25">
        <v>1</v>
      </c>
      <c r="I102" s="25">
        <v>1</v>
      </c>
      <c r="J102" s="25">
        <v>3</v>
      </c>
      <c r="K102" s="25">
        <v>4</v>
      </c>
      <c r="L102" s="25">
        <v>4</v>
      </c>
      <c r="M102" t="b">
        <v>0</v>
      </c>
      <c r="N102" t="b">
        <v>0</v>
      </c>
      <c r="O102" t="b">
        <v>1</v>
      </c>
      <c r="P102" t="b">
        <v>1</v>
      </c>
      <c r="Q102" t="b">
        <v>1</v>
      </c>
      <c r="R102" t="b">
        <v>0</v>
      </c>
      <c r="S102" t="b">
        <v>0</v>
      </c>
      <c r="T102" t="b">
        <v>1</v>
      </c>
      <c r="U102" s="25"/>
      <c r="V102" s="25"/>
      <c r="X102" t="str" cm="1">
        <f t="array" ref="X102">IFERROR(INDEX(D$91:D$102,_xlfn.AGGREGATE(15,6,ROW(D$91:D$102)-ROW(D$91)+1/(D$91:D$102&lt;&gt;""),ROWS(X$91:X102))),"")</f>
        <v/>
      </c>
      <c r="AF102" s="725" t="str">
        <f>CONCATENATE(CurrencyDataTable[[#This Row],[CurrencyCode]]," - ",CurrencyDataTable[[#This Row],[CurrencyName]])</f>
        <v>DKK - Danish Kroner</v>
      </c>
      <c r="AG102" s="726" t="s">
        <v>1149</v>
      </c>
      <c r="AH102" s="724" t="s">
        <v>1150</v>
      </c>
      <c r="AI102" s="724" t="s">
        <v>1270</v>
      </c>
    </row>
    <row r="103" spans="4:35" ht="13" x14ac:dyDescent="0.3">
      <c r="X103" t="str" cm="1">
        <f t="array" ref="X103">IFERROR(INDEX(M$6:M$21,_xlfn.AGGREGATE(15,6,ROW(M$6:M$21)-ROW(M$6)+1/(M$6:M$21&lt;&gt;""),ROWS(X$6:X103))),"")</f>
        <v/>
      </c>
      <c r="AF103" s="725" t="str">
        <f>CONCATENATE(CurrencyDataTable[[#This Row],[CurrencyCode]]," - ",CurrencyDataTable[[#This Row],[CurrencyName]])</f>
        <v>EUR - Euro</v>
      </c>
      <c r="AG103" s="726" t="s">
        <v>1151</v>
      </c>
      <c r="AH103" s="724" t="s">
        <v>1152</v>
      </c>
      <c r="AI103" s="724" t="s">
        <v>1153</v>
      </c>
    </row>
    <row r="104" spans="4:35" ht="13" x14ac:dyDescent="0.3">
      <c r="D104" t="s">
        <v>2216</v>
      </c>
      <c r="F104" t="s">
        <v>2216</v>
      </c>
      <c r="X104" t="str" cm="1">
        <f t="array" ref="X104">IFERROR(INDEX(M$6:M$21,_xlfn.AGGREGATE(15,6,ROW(M$6:M$21)-ROW(M$6)+1/(M$6:M$21&lt;&gt;""),ROWS(X$6:X104))),"")</f>
        <v/>
      </c>
      <c r="AF104" s="725" t="str">
        <f>CONCATENATE(CurrencyDataTable[[#This Row],[CurrencyCode]]," - ",CurrencyDataTable[[#This Row],[CurrencyName]])</f>
        <v>FJD - Fijian dollar</v>
      </c>
      <c r="AG104" s="726" t="s">
        <v>1139</v>
      </c>
      <c r="AH104" s="724" t="s">
        <v>1154</v>
      </c>
      <c r="AI104" s="724" t="s">
        <v>1155</v>
      </c>
    </row>
    <row r="105" spans="4:35" ht="13" x14ac:dyDescent="0.3">
      <c r="D105" s="25">
        <v>10</v>
      </c>
      <c r="F105" s="25">
        <v>7</v>
      </c>
      <c r="X105" t="str" cm="1">
        <f t="array" ref="X105">IFERROR(INDEX(M$6:M$21,_xlfn.AGGREGATE(15,6,ROW(M$6:M$21)-ROW(M$6)+1/(M$6:M$21&lt;&gt;""),ROWS(X$6:X105))),"")</f>
        <v/>
      </c>
      <c r="AF105" s="725" t="str">
        <f>CONCATENATE(CurrencyDataTable[[#This Row],[CurrencyCode]]," - ",CurrencyDataTable[[#This Row],[CurrencyName]])</f>
        <v>GPB - Great British Pound</v>
      </c>
      <c r="AG105" s="726" t="s">
        <v>1156</v>
      </c>
      <c r="AH105" s="724" t="s">
        <v>1157</v>
      </c>
      <c r="AI105" s="724" t="s">
        <v>1158</v>
      </c>
    </row>
    <row r="106" spans="4:35" ht="13" x14ac:dyDescent="0.3">
      <c r="D106" s="25">
        <v>15</v>
      </c>
      <c r="F106" s="25">
        <v>8</v>
      </c>
      <c r="X106" t="str" cm="1">
        <f t="array" ref="X106">IFERROR(INDEX(M$6:M$21,_xlfn.AGGREGATE(15,6,ROW(M$6:M$21)-ROW(M$6)+1/(M$6:M$21&lt;&gt;""),ROWS(X$6:X106))),"")</f>
        <v/>
      </c>
      <c r="AF106" s="725" t="str">
        <f>CONCATENATE(CurrencyDataTable[[#This Row],[CurrencyCode]]," - ",CurrencyDataTable[[#This Row],[CurrencyName]])</f>
        <v>HKD - Hong Kong dollar</v>
      </c>
      <c r="AG106" s="726" t="s">
        <v>1139</v>
      </c>
      <c r="AH106" s="724" t="s">
        <v>1159</v>
      </c>
      <c r="AI106" s="724" t="s">
        <v>1160</v>
      </c>
    </row>
    <row r="107" spans="4:35" ht="13" x14ac:dyDescent="0.3">
      <c r="D107" s="25">
        <v>20</v>
      </c>
      <c r="F107" s="25">
        <v>9</v>
      </c>
      <c r="AF107" s="725" t="str">
        <f>CONCATENATE(CurrencyDataTable[[#This Row],[CurrencyCode]]," - ",CurrencyDataTable[[#This Row],[CurrencyName]])</f>
        <v>IDR - Indonesian Rupiah</v>
      </c>
      <c r="AG107" s="726" t="s">
        <v>1161</v>
      </c>
      <c r="AH107" s="724" t="s">
        <v>1162</v>
      </c>
      <c r="AI107" s="724" t="s">
        <v>1163</v>
      </c>
    </row>
    <row r="108" spans="4:35" ht="13" x14ac:dyDescent="0.3">
      <c r="D108" s="25">
        <v>25</v>
      </c>
      <c r="F108" s="25">
        <v>10</v>
      </c>
      <c r="AF108" s="725" t="str">
        <f>CONCATENATE(CurrencyDataTable[[#This Row],[CurrencyCode]]," - ",CurrencyDataTable[[#This Row],[CurrencyName]])</f>
        <v>INR - Indian Rupee</v>
      </c>
      <c r="AG108" s="726" t="s">
        <v>1164</v>
      </c>
      <c r="AH108" s="724" t="s">
        <v>1165</v>
      </c>
      <c r="AI108" s="724" t="s">
        <v>1166</v>
      </c>
    </row>
    <row r="109" spans="4:35" ht="13" x14ac:dyDescent="0.3">
      <c r="D109" s="25">
        <v>30</v>
      </c>
      <c r="F109" s="25">
        <v>11</v>
      </c>
      <c r="AF109" s="725" t="str">
        <f>CONCATENATE(CurrencyDataTable[[#This Row],[CurrencyCode]]," - ",CurrencyDataTable[[#This Row],[CurrencyName]])</f>
        <v>JPY - Japanese Yen</v>
      </c>
      <c r="AG109" s="726" t="s">
        <v>1146</v>
      </c>
      <c r="AH109" s="724" t="s">
        <v>1167</v>
      </c>
      <c r="AI109" s="724" t="s">
        <v>1168</v>
      </c>
    </row>
    <row r="110" spans="4:35" ht="13" x14ac:dyDescent="0.3">
      <c r="D110" s="25"/>
      <c r="F110" s="25">
        <v>12</v>
      </c>
      <c r="AF110" s="725" t="str">
        <f>CONCATENATE(CurrencyDataTable[[#This Row],[CurrencyCode]]," - ",CurrencyDataTable[[#This Row],[CurrencyName]])</f>
        <v>KRW - South Korean Won</v>
      </c>
      <c r="AG110" s="726" t="s">
        <v>1169</v>
      </c>
      <c r="AH110" s="724" t="s">
        <v>1170</v>
      </c>
      <c r="AI110" s="724" t="s">
        <v>1171</v>
      </c>
    </row>
    <row r="111" spans="4:35" ht="13" x14ac:dyDescent="0.3">
      <c r="D111" s="25"/>
      <c r="F111" s="25">
        <v>13</v>
      </c>
      <c r="AF111" s="725" t="str">
        <f>CONCATENATE(CurrencyDataTable[[#This Row],[CurrencyCode]]," - ",CurrencyDataTable[[#This Row],[CurrencyName]])</f>
        <v>KWD - Kuwait Dinar</v>
      </c>
      <c r="AG111" s="726" t="s">
        <v>1172</v>
      </c>
      <c r="AH111" s="724" t="s">
        <v>1173</v>
      </c>
      <c r="AI111" s="724" t="s">
        <v>1174</v>
      </c>
    </row>
    <row r="112" spans="4:35" ht="13" x14ac:dyDescent="0.3">
      <c r="D112" s="25"/>
      <c r="F112" s="25">
        <v>14</v>
      </c>
      <c r="AF112" s="725" t="str">
        <f>CONCATENATE(CurrencyDataTable[[#This Row],[CurrencyCode]]," - ",CurrencyDataTable[[#This Row],[CurrencyName]])</f>
        <v>LKR - Sri Lankan Rupee</v>
      </c>
      <c r="AG112" s="726" t="s">
        <v>1175</v>
      </c>
      <c r="AH112" s="724" t="s">
        <v>1176</v>
      </c>
      <c r="AI112" s="724" t="s">
        <v>1177</v>
      </c>
    </row>
    <row r="113" spans="4:35" ht="13" x14ac:dyDescent="0.3">
      <c r="D113" s="25"/>
      <c r="F113" s="25">
        <v>15</v>
      </c>
      <c r="AF113" s="725" t="str">
        <f>CONCATENATE(CurrencyDataTable[[#This Row],[CurrencyCode]]," - ",CurrencyDataTable[[#This Row],[CurrencyName]])</f>
        <v>MOP - Macau Pataca</v>
      </c>
      <c r="AG113" s="726" t="s">
        <v>1178</v>
      </c>
      <c r="AH113" s="724" t="s">
        <v>1179</v>
      </c>
      <c r="AI113" s="724" t="s">
        <v>1180</v>
      </c>
    </row>
    <row r="114" spans="4:35" ht="13" x14ac:dyDescent="0.3">
      <c r="F114" s="25">
        <v>16</v>
      </c>
      <c r="AF114" s="725" t="str">
        <f>CONCATENATE(CurrencyDataTable[[#This Row],[CurrencyCode]]," - ",CurrencyDataTable[[#This Row],[CurrencyName]])</f>
        <v>MUR - Mauritian Rupee</v>
      </c>
      <c r="AG114" s="726" t="s">
        <v>1175</v>
      </c>
      <c r="AH114" s="724" t="s">
        <v>1181</v>
      </c>
      <c r="AI114" s="724" t="s">
        <v>1182</v>
      </c>
    </row>
    <row r="115" spans="4:35" ht="13" x14ac:dyDescent="0.3">
      <c r="F115" s="25">
        <v>17</v>
      </c>
      <c r="AF115" s="725" t="str">
        <f>CONCATENATE(CurrencyDataTable[[#This Row],[CurrencyCode]]," - ",CurrencyDataTable[[#This Row],[CurrencyName]])</f>
        <v>MYR - Malaysian Ringgit</v>
      </c>
      <c r="AG115" s="726" t="s">
        <v>1183</v>
      </c>
      <c r="AH115" s="724" t="s">
        <v>1184</v>
      </c>
      <c r="AI115" s="724" t="s">
        <v>1185</v>
      </c>
    </row>
    <row r="116" spans="4:35" ht="13" x14ac:dyDescent="0.3">
      <c r="F116" s="25">
        <v>18</v>
      </c>
      <c r="AF116" s="725" t="str">
        <f>CONCATENATE(CurrencyDataTable[[#This Row],[CurrencyCode]]," - ",CurrencyDataTable[[#This Row],[CurrencyName]])</f>
        <v>NOK - Norwegian Krone</v>
      </c>
      <c r="AG116" s="726" t="s">
        <v>1149</v>
      </c>
      <c r="AH116" s="724" t="s">
        <v>1186</v>
      </c>
      <c r="AI116" s="724" t="s">
        <v>1187</v>
      </c>
    </row>
    <row r="117" spans="4:35" ht="13" x14ac:dyDescent="0.3">
      <c r="F117" s="25">
        <v>19</v>
      </c>
      <c r="AF117" s="725" t="str">
        <f>CONCATENATE(CurrencyDataTable[[#This Row],[CurrencyCode]]," - ",CurrencyDataTable[[#This Row],[CurrencyName]])</f>
        <v>NZD - New Zealand dollar</v>
      </c>
      <c r="AG117" s="726" t="s">
        <v>1139</v>
      </c>
      <c r="AH117" s="724" t="s">
        <v>1188</v>
      </c>
      <c r="AI117" s="724" t="s">
        <v>1189</v>
      </c>
    </row>
    <row r="118" spans="4:35" ht="13" x14ac:dyDescent="0.3">
      <c r="F118" s="25">
        <v>20</v>
      </c>
      <c r="AF118" s="725" t="str">
        <f>CONCATENATE(CurrencyDataTable[[#This Row],[CurrencyCode]]," - ",CurrencyDataTable[[#This Row],[CurrencyName]])</f>
        <v>OMR - Omani Rial</v>
      </c>
      <c r="AG118" s="726" t="s">
        <v>1190</v>
      </c>
      <c r="AH118" s="724" t="s">
        <v>1191</v>
      </c>
      <c r="AI118" s="724" t="s">
        <v>1192</v>
      </c>
    </row>
    <row r="119" spans="4:35" ht="13" x14ac:dyDescent="0.3">
      <c r="F119" s="25">
        <v>21</v>
      </c>
      <c r="AF119" s="725" t="str">
        <f>CONCATENATE(CurrencyDataTable[[#This Row],[CurrencyCode]]," - ",CurrencyDataTable[[#This Row],[CurrencyName]])</f>
        <v>PGK - Papua New Guinean Kina</v>
      </c>
      <c r="AG119" s="726" t="s">
        <v>102</v>
      </c>
      <c r="AH119" s="724" t="s">
        <v>1193</v>
      </c>
      <c r="AI119" s="724" t="s">
        <v>1194</v>
      </c>
    </row>
    <row r="120" spans="4:35" ht="13" x14ac:dyDescent="0.3">
      <c r="F120" s="25">
        <v>22</v>
      </c>
      <c r="AF120" s="725" t="str">
        <f>CONCATENATE(CurrencyDataTable[[#This Row],[CurrencyCode]]," - ",CurrencyDataTable[[#This Row],[CurrencyName]])</f>
        <v>PHP - Philippine Peso</v>
      </c>
      <c r="AG120" s="726" t="s">
        <v>1195</v>
      </c>
      <c r="AH120" s="724" t="s">
        <v>1196</v>
      </c>
      <c r="AI120" s="724" t="s">
        <v>1197</v>
      </c>
    </row>
    <row r="121" spans="4:35" ht="13" x14ac:dyDescent="0.3">
      <c r="F121" s="25">
        <v>23</v>
      </c>
      <c r="AF121" s="725" t="str">
        <f>CONCATENATE(CurrencyDataTable[[#This Row],[CurrencyCode]]," - ",CurrencyDataTable[[#This Row],[CurrencyName]])</f>
        <v>QAR - Qatar Riyal</v>
      </c>
      <c r="AG121" s="726" t="s">
        <v>1190</v>
      </c>
      <c r="AH121" s="724" t="s">
        <v>1198</v>
      </c>
      <c r="AI121" s="724" t="s">
        <v>1199</v>
      </c>
    </row>
    <row r="122" spans="4:35" ht="13" x14ac:dyDescent="0.3">
      <c r="F122" s="25">
        <v>24</v>
      </c>
      <c r="AF122" s="725" t="str">
        <f>CONCATENATE(CurrencyDataTable[[#This Row],[CurrencyCode]]," - ",CurrencyDataTable[[#This Row],[CurrencyName]])</f>
        <v>ZAR - South African Rand</v>
      </c>
      <c r="AG122" s="726" t="s">
        <v>121</v>
      </c>
      <c r="AH122" s="724" t="s">
        <v>1200</v>
      </c>
      <c r="AI122" s="724" t="s">
        <v>1201</v>
      </c>
    </row>
    <row r="123" spans="4:35" ht="13" x14ac:dyDescent="0.3">
      <c r="F123" s="25">
        <v>25</v>
      </c>
      <c r="AF123" s="725" t="str">
        <f>CONCATENATE(CurrencyDataTable[[#This Row],[CurrencyCode]]," - ",CurrencyDataTable[[#This Row],[CurrencyName]])</f>
        <v>SAR - Saudi Arabian Riyal</v>
      </c>
      <c r="AG123" s="726" t="s">
        <v>1190</v>
      </c>
      <c r="AH123" s="724" t="s">
        <v>1202</v>
      </c>
      <c r="AI123" s="724" t="s">
        <v>1203</v>
      </c>
    </row>
    <row r="124" spans="4:35" ht="13" x14ac:dyDescent="0.3">
      <c r="F124" s="25">
        <v>26</v>
      </c>
      <c r="AF124" s="725" t="str">
        <f>CONCATENATE(CurrencyDataTable[[#This Row],[CurrencyCode]]," - ",CurrencyDataTable[[#This Row],[CurrencyName]])</f>
        <v>SBD - Solomon Island dollar</v>
      </c>
      <c r="AG124" s="726" t="s">
        <v>1139</v>
      </c>
      <c r="AH124" s="724" t="s">
        <v>1204</v>
      </c>
      <c r="AI124" s="724" t="s">
        <v>1205</v>
      </c>
    </row>
    <row r="125" spans="4:35" ht="13" x14ac:dyDescent="0.3">
      <c r="F125" s="25">
        <v>27</v>
      </c>
      <c r="AF125" s="725" t="str">
        <f>CONCATENATE(CurrencyDataTable[[#This Row],[CurrencyCode]]," - ",CurrencyDataTable[[#This Row],[CurrencyName]])</f>
        <v>SEK - Swedish Krona</v>
      </c>
      <c r="AG125" s="726" t="s">
        <v>1149</v>
      </c>
      <c r="AH125" s="724" t="s">
        <v>1206</v>
      </c>
      <c r="AI125" s="724" t="s">
        <v>1207</v>
      </c>
    </row>
    <row r="126" spans="4:35" ht="13" x14ac:dyDescent="0.3">
      <c r="F126" s="25">
        <v>28</v>
      </c>
      <c r="AF126" s="725" t="str">
        <f>CONCATENATE(CurrencyDataTable[[#This Row],[CurrencyCode]]," - ",CurrencyDataTable[[#This Row],[CurrencyName]])</f>
        <v>SGD - Singapore dollar</v>
      </c>
      <c r="AG126" s="726" t="s">
        <v>1139</v>
      </c>
      <c r="AH126" s="724" t="s">
        <v>1208</v>
      </c>
      <c r="AI126" s="724" t="s">
        <v>1209</v>
      </c>
    </row>
    <row r="127" spans="4:35" ht="13" x14ac:dyDescent="0.3">
      <c r="F127" s="25">
        <v>29</v>
      </c>
      <c r="AF127" s="725" t="str">
        <f>CONCATENATE(CurrencyDataTable[[#This Row],[CurrencyCode]]," - ",CurrencyDataTable[[#This Row],[CurrencyName]])</f>
        <v>THB - Thai Baht</v>
      </c>
      <c r="AG127" s="726" t="s">
        <v>1210</v>
      </c>
      <c r="AH127" s="724" t="s">
        <v>1211</v>
      </c>
      <c r="AI127" s="724" t="s">
        <v>1212</v>
      </c>
    </row>
    <row r="128" spans="4:35" ht="13" x14ac:dyDescent="0.3">
      <c r="F128" s="25">
        <v>30</v>
      </c>
      <c r="AF128" s="725" t="str">
        <f>CONCATENATE(CurrencyDataTable[[#This Row],[CurrencyCode]]," - ",CurrencyDataTable[[#This Row],[CurrencyName]])</f>
        <v>TOP - Tongan Pa'anga</v>
      </c>
      <c r="AG128" s="726" t="s">
        <v>1213</v>
      </c>
      <c r="AH128" s="724" t="s">
        <v>1214</v>
      </c>
      <c r="AI128" s="724" t="s">
        <v>1215</v>
      </c>
    </row>
    <row r="129" spans="4:35" ht="13" x14ac:dyDescent="0.3">
      <c r="AF129" s="725" t="str">
        <f>CONCATENATE(CurrencyDataTable[[#This Row],[CurrencyCode]]," - ",CurrencyDataTable[[#This Row],[CurrencyName]])</f>
        <v>TWD - Taiwan New dollar</v>
      </c>
      <c r="AG129" s="726" t="s">
        <v>1216</v>
      </c>
      <c r="AH129" s="724" t="s">
        <v>1217</v>
      </c>
      <c r="AI129" s="724" t="s">
        <v>1218</v>
      </c>
    </row>
    <row r="130" spans="4:35" ht="13" x14ac:dyDescent="0.3">
      <c r="AF130" s="725" t="str">
        <f>CONCATENATE(CurrencyDataTable[[#This Row],[CurrencyCode]]," - ",CurrencyDataTable[[#This Row],[CurrencyName]])</f>
        <v>USD - United States dollar</v>
      </c>
      <c r="AG130" s="726" t="s">
        <v>1139</v>
      </c>
      <c r="AH130" s="724" t="s">
        <v>1219</v>
      </c>
      <c r="AI130" s="724" t="s">
        <v>1220</v>
      </c>
    </row>
    <row r="131" spans="4:35" ht="13" x14ac:dyDescent="0.3">
      <c r="D131" s="1" t="s">
        <v>1366</v>
      </c>
      <c r="E131" s="1" t="s">
        <v>1367</v>
      </c>
      <c r="F131" s="1" t="s">
        <v>1502</v>
      </c>
      <c r="G131" s="1" t="s">
        <v>1503</v>
      </c>
      <c r="H131" s="1" t="s">
        <v>1504</v>
      </c>
      <c r="I131" s="1" t="s">
        <v>1505</v>
      </c>
      <c r="J131" s="1" t="s">
        <v>1506</v>
      </c>
      <c r="K131" s="1" t="s">
        <v>1507</v>
      </c>
      <c r="L131" s="1" t="s">
        <v>1508</v>
      </c>
      <c r="M131" s="1" t="s">
        <v>1509</v>
      </c>
      <c r="N131" s="1" t="s">
        <v>1510</v>
      </c>
      <c r="O131" s="1" t="s">
        <v>1511</v>
      </c>
      <c r="P131" s="1" t="s">
        <v>1512</v>
      </c>
      <c r="Q131" s="1" t="s">
        <v>1513</v>
      </c>
      <c r="R131" s="1" t="s">
        <v>1514</v>
      </c>
      <c r="S131" s="1" t="s">
        <v>1515</v>
      </c>
      <c r="T131" s="1" t="s">
        <v>2442</v>
      </c>
      <c r="AF131" s="725" t="str">
        <f>CONCATENATE(CurrencyDataTable[[#This Row],[CurrencyCode]]," - ",CurrencyDataTable[[#This Row],[CurrencyName]])</f>
        <v>VND - Vietnam Dong</v>
      </c>
      <c r="AG131" s="726" t="s">
        <v>1221</v>
      </c>
      <c r="AH131" s="724" t="s">
        <v>1222</v>
      </c>
      <c r="AI131" s="724" t="s">
        <v>1223</v>
      </c>
    </row>
    <row r="132" spans="4:35" ht="13" x14ac:dyDescent="0.3">
      <c r="D132" s="66">
        <v>1</v>
      </c>
      <c r="E132" s="1414" t="s">
        <v>1313</v>
      </c>
      <c r="F132" s="65" t="s">
        <v>12</v>
      </c>
      <c r="G132" s="65" t="s">
        <v>12</v>
      </c>
      <c r="H132" s="65" t="s">
        <v>12</v>
      </c>
      <c r="I132" s="65" t="s">
        <v>12</v>
      </c>
      <c r="J132" s="65" t="s">
        <v>12</v>
      </c>
      <c r="K132" s="65" t="s">
        <v>12</v>
      </c>
      <c r="L132" s="65" t="s">
        <v>12</v>
      </c>
      <c r="M132" s="65" t="s">
        <v>12</v>
      </c>
      <c r="N132" s="65" t="s">
        <v>9</v>
      </c>
      <c r="O132" s="65" t="s">
        <v>9</v>
      </c>
      <c r="P132" s="65" t="s">
        <v>9</v>
      </c>
      <c r="Q132" s="65" t="s">
        <v>9</v>
      </c>
      <c r="R132" s="65" t="s">
        <v>12</v>
      </c>
      <c r="S132" s="65" t="s">
        <v>12</v>
      </c>
      <c r="T132" s="65" t="s">
        <v>12</v>
      </c>
      <c r="AF132" s="725" t="str">
        <f>CONCATENATE(CurrencyDataTable[[#This Row],[CurrencyCode]]," - ",CurrencyDataTable[[#This Row],[CurrencyName]])</f>
        <v>VUV - Ni-Vanuatu Vatu</v>
      </c>
      <c r="AG132" s="726" t="s">
        <v>1224</v>
      </c>
      <c r="AH132" s="724" t="s">
        <v>1225</v>
      </c>
      <c r="AI132" s="724" t="s">
        <v>1226</v>
      </c>
    </row>
    <row r="133" spans="4:35" ht="13" x14ac:dyDescent="0.3">
      <c r="D133" s="66">
        <v>2</v>
      </c>
      <c r="E133" s="1414" t="s">
        <v>1368</v>
      </c>
      <c r="F133" s="65" t="s">
        <v>12</v>
      </c>
      <c r="G133" s="65" t="s">
        <v>12</v>
      </c>
      <c r="H133" s="65" t="s">
        <v>12</v>
      </c>
      <c r="I133" s="65" t="s">
        <v>12</v>
      </c>
      <c r="J133" s="65" t="s">
        <v>12</v>
      </c>
      <c r="K133" s="65" t="s">
        <v>12</v>
      </c>
      <c r="L133" s="65" t="s">
        <v>12</v>
      </c>
      <c r="M133" s="65" t="s">
        <v>12</v>
      </c>
      <c r="N133" s="65" t="s">
        <v>12</v>
      </c>
      <c r="O133" s="65" t="s">
        <v>12</v>
      </c>
      <c r="P133" s="65" t="s">
        <v>12</v>
      </c>
      <c r="Q133" s="65" t="s">
        <v>12</v>
      </c>
      <c r="R133" s="65" t="s">
        <v>12</v>
      </c>
      <c r="S133" s="65" t="s">
        <v>12</v>
      </c>
      <c r="T133" s="65" t="s">
        <v>12</v>
      </c>
      <c r="AF133" s="725" t="str">
        <f>CONCATENATE(CurrencyDataTable[[#This Row],[CurrencyCode]]," - ",CurrencyDataTable[[#This Row],[CurrencyName]])</f>
        <v>WST - Samoan Tala</v>
      </c>
      <c r="AG133" s="726" t="s">
        <v>1227</v>
      </c>
      <c r="AH133" s="724" t="s">
        <v>1228</v>
      </c>
      <c r="AI133" s="724" t="s">
        <v>1229</v>
      </c>
    </row>
    <row r="134" spans="4:35" ht="12.5" x14ac:dyDescent="0.25">
      <c r="D134" s="66">
        <v>3</v>
      </c>
      <c r="E134" s="1414" t="s">
        <v>1369</v>
      </c>
      <c r="F134" s="65" t="s">
        <v>12</v>
      </c>
      <c r="G134" s="65" t="s">
        <v>12</v>
      </c>
      <c r="H134" s="65" t="s">
        <v>12</v>
      </c>
      <c r="I134" s="65" t="s">
        <v>12</v>
      </c>
      <c r="J134" s="1413" t="s">
        <v>12</v>
      </c>
      <c r="K134" s="65" t="s">
        <v>12</v>
      </c>
      <c r="L134" s="65" t="s">
        <v>12</v>
      </c>
      <c r="M134" s="65" t="s">
        <v>12</v>
      </c>
      <c r="N134" s="65" t="s">
        <v>12</v>
      </c>
      <c r="O134" s="65" t="s">
        <v>12</v>
      </c>
      <c r="P134" s="65" t="s">
        <v>12</v>
      </c>
      <c r="Q134" s="65" t="s">
        <v>12</v>
      </c>
      <c r="R134" s="65" t="s">
        <v>12</v>
      </c>
      <c r="S134" s="65" t="s">
        <v>12</v>
      </c>
      <c r="T134" s="65" t="s">
        <v>12</v>
      </c>
    </row>
    <row r="135" spans="4:35" ht="12.5" x14ac:dyDescent="0.25">
      <c r="D135" s="66">
        <v>4</v>
      </c>
      <c r="E135" s="1414" t="s">
        <v>1105</v>
      </c>
      <c r="F135" s="65" t="s">
        <v>12</v>
      </c>
      <c r="G135" s="65" t="s">
        <v>12</v>
      </c>
      <c r="H135" s="65" t="s">
        <v>12</v>
      </c>
      <c r="I135" s="65" t="s">
        <v>12</v>
      </c>
      <c r="J135" s="1413" t="s">
        <v>12</v>
      </c>
      <c r="K135" s="65" t="s">
        <v>12</v>
      </c>
      <c r="L135" s="65" t="s">
        <v>12</v>
      </c>
      <c r="M135" s="65" t="s">
        <v>12</v>
      </c>
      <c r="N135" s="65" t="s">
        <v>12</v>
      </c>
      <c r="O135" s="65" t="s">
        <v>12</v>
      </c>
      <c r="P135" s="65" t="s">
        <v>12</v>
      </c>
      <c r="Q135" s="65" t="s">
        <v>12</v>
      </c>
      <c r="R135" s="65" t="s">
        <v>12</v>
      </c>
      <c r="S135" s="65" t="s">
        <v>12</v>
      </c>
      <c r="T135" s="65" t="s">
        <v>12</v>
      </c>
    </row>
    <row r="136" spans="4:35" ht="12.5" x14ac:dyDescent="0.25">
      <c r="D136" s="66">
        <v>5</v>
      </c>
      <c r="E136" s="1414" t="s">
        <v>1370</v>
      </c>
      <c r="F136" s="65" t="s">
        <v>12</v>
      </c>
      <c r="G136" s="65" t="s">
        <v>12</v>
      </c>
      <c r="H136" s="65" t="s">
        <v>12</v>
      </c>
      <c r="I136" s="65" t="s">
        <v>12</v>
      </c>
      <c r="J136" s="1413" t="s">
        <v>12</v>
      </c>
      <c r="K136" s="65" t="s">
        <v>12</v>
      </c>
      <c r="L136" s="65" t="s">
        <v>12</v>
      </c>
      <c r="M136" s="65" t="s">
        <v>12</v>
      </c>
      <c r="N136" s="65" t="s">
        <v>12</v>
      </c>
      <c r="O136" s="65" t="s">
        <v>12</v>
      </c>
      <c r="P136" s="65" t="s">
        <v>12</v>
      </c>
      <c r="Q136" s="65" t="s">
        <v>12</v>
      </c>
      <c r="R136" s="65" t="s">
        <v>12</v>
      </c>
      <c r="S136" s="65" t="s">
        <v>12</v>
      </c>
      <c r="T136" s="65" t="s">
        <v>12</v>
      </c>
    </row>
    <row r="137" spans="4:35" ht="12.5" x14ac:dyDescent="0.25">
      <c r="D137" s="66">
        <v>6</v>
      </c>
      <c r="E137" s="1414" t="s">
        <v>2410</v>
      </c>
      <c r="F137" s="65" t="s">
        <v>12</v>
      </c>
      <c r="G137" s="65" t="s">
        <v>12</v>
      </c>
      <c r="H137" s="65" t="s">
        <v>12</v>
      </c>
      <c r="I137" s="65" t="s">
        <v>12</v>
      </c>
      <c r="J137" s="1413" t="s">
        <v>12</v>
      </c>
      <c r="K137" s="65" t="s">
        <v>12</v>
      </c>
      <c r="L137" s="65" t="s">
        <v>12</v>
      </c>
      <c r="M137" s="65" t="s">
        <v>12</v>
      </c>
      <c r="N137" s="65" t="s">
        <v>12</v>
      </c>
      <c r="O137" s="65" t="s">
        <v>12</v>
      </c>
      <c r="P137" s="65" t="s">
        <v>12</v>
      </c>
      <c r="Q137" s="65" t="s">
        <v>12</v>
      </c>
      <c r="R137" s="65" t="s">
        <v>12</v>
      </c>
      <c r="S137" s="65" t="s">
        <v>12</v>
      </c>
      <c r="T137" s="65" t="s">
        <v>12</v>
      </c>
    </row>
    <row r="138" spans="4:35" ht="12.5" x14ac:dyDescent="0.25">
      <c r="D138" s="66">
        <v>7</v>
      </c>
      <c r="E138" s="1414" t="s">
        <v>1371</v>
      </c>
      <c r="F138" s="65" t="s">
        <v>12</v>
      </c>
      <c r="G138" s="65" t="s">
        <v>12</v>
      </c>
      <c r="H138" s="65" t="s">
        <v>12</v>
      </c>
      <c r="I138" s="65" t="s">
        <v>12</v>
      </c>
      <c r="J138" s="1413" t="s">
        <v>12</v>
      </c>
      <c r="K138" s="65" t="s">
        <v>12</v>
      </c>
      <c r="L138" s="65" t="s">
        <v>12</v>
      </c>
      <c r="M138" s="65" t="s">
        <v>12</v>
      </c>
      <c r="N138" s="65" t="s">
        <v>12</v>
      </c>
      <c r="O138" s="65" t="s">
        <v>12</v>
      </c>
      <c r="P138" s="65" t="s">
        <v>12</v>
      </c>
      <c r="Q138" s="65" t="s">
        <v>12</v>
      </c>
      <c r="R138" s="65" t="s">
        <v>12</v>
      </c>
      <c r="S138" s="65" t="s">
        <v>12</v>
      </c>
      <c r="T138" s="65" t="s">
        <v>12</v>
      </c>
    </row>
    <row r="139" spans="4:35" ht="12.5" x14ac:dyDescent="0.25">
      <c r="D139" s="66">
        <v>8</v>
      </c>
      <c r="E139" s="1414" t="s">
        <v>1372</v>
      </c>
      <c r="F139" s="65" t="s">
        <v>12</v>
      </c>
      <c r="G139" s="65" t="s">
        <v>12</v>
      </c>
      <c r="H139" s="65" t="s">
        <v>12</v>
      </c>
      <c r="I139" s="65" t="s">
        <v>12</v>
      </c>
      <c r="J139" s="1413" t="s">
        <v>9</v>
      </c>
      <c r="K139" s="65" t="s">
        <v>9</v>
      </c>
      <c r="L139" s="65" t="s">
        <v>9</v>
      </c>
      <c r="M139" s="65" t="s">
        <v>9</v>
      </c>
      <c r="N139" s="65" t="s">
        <v>12</v>
      </c>
      <c r="O139" s="65" t="s">
        <v>12</v>
      </c>
      <c r="P139" s="65" t="s">
        <v>12</v>
      </c>
      <c r="Q139" s="65" t="s">
        <v>12</v>
      </c>
      <c r="R139" s="65" t="s">
        <v>12</v>
      </c>
      <c r="S139" s="65" t="s">
        <v>12</v>
      </c>
      <c r="T139" s="65" t="s">
        <v>12</v>
      </c>
    </row>
    <row r="140" spans="4:35" ht="12.5" x14ac:dyDescent="0.25">
      <c r="D140" s="66">
        <v>9</v>
      </c>
      <c r="E140" s="1414" t="s">
        <v>1373</v>
      </c>
      <c r="F140" s="65" t="s">
        <v>12</v>
      </c>
      <c r="G140" s="65" t="s">
        <v>12</v>
      </c>
      <c r="H140" s="65" t="s">
        <v>12</v>
      </c>
      <c r="I140" s="65" t="s">
        <v>12</v>
      </c>
      <c r="J140" s="1413" t="s">
        <v>12</v>
      </c>
      <c r="K140" s="65" t="s">
        <v>12</v>
      </c>
      <c r="L140" s="65" t="s">
        <v>12</v>
      </c>
      <c r="M140" s="65" t="s">
        <v>12</v>
      </c>
      <c r="N140" s="65" t="s">
        <v>12</v>
      </c>
      <c r="O140" s="65" t="s">
        <v>12</v>
      </c>
      <c r="P140" s="65" t="s">
        <v>12</v>
      </c>
      <c r="Q140" s="65" t="s">
        <v>12</v>
      </c>
      <c r="R140" s="65" t="s">
        <v>12</v>
      </c>
      <c r="S140" s="65" t="s">
        <v>12</v>
      </c>
      <c r="T140" s="65" t="s">
        <v>12</v>
      </c>
    </row>
    <row r="141" spans="4:35" ht="12.5" x14ac:dyDescent="0.25">
      <c r="D141" s="66">
        <v>10</v>
      </c>
      <c r="E141" s="1414" t="s">
        <v>1374</v>
      </c>
      <c r="F141" s="65" t="s">
        <v>12</v>
      </c>
      <c r="G141" s="65" t="s">
        <v>12</v>
      </c>
      <c r="H141" s="65" t="s">
        <v>12</v>
      </c>
      <c r="I141" s="65" t="s">
        <v>12</v>
      </c>
      <c r="J141" s="1413" t="s">
        <v>12</v>
      </c>
      <c r="K141" s="65" t="s">
        <v>12</v>
      </c>
      <c r="L141" s="65" t="s">
        <v>12</v>
      </c>
      <c r="M141" s="65" t="s">
        <v>12</v>
      </c>
      <c r="N141" s="65" t="s">
        <v>12</v>
      </c>
      <c r="O141" s="65" t="s">
        <v>12</v>
      </c>
      <c r="P141" s="65" t="s">
        <v>12</v>
      </c>
      <c r="Q141" s="65" t="s">
        <v>12</v>
      </c>
      <c r="R141" s="65" t="s">
        <v>12</v>
      </c>
      <c r="S141" s="65" t="s">
        <v>12</v>
      </c>
      <c r="T141" s="65" t="s">
        <v>12</v>
      </c>
    </row>
    <row r="142" spans="4:35" ht="12.75" customHeight="1" x14ac:dyDescent="0.25">
      <c r="D142" s="66">
        <v>11</v>
      </c>
      <c r="E142" s="1414" t="s">
        <v>2245</v>
      </c>
      <c r="F142" s="65" t="s">
        <v>9</v>
      </c>
      <c r="G142" s="65" t="s">
        <v>12</v>
      </c>
      <c r="H142" s="65" t="s">
        <v>12</v>
      </c>
      <c r="I142" s="65" t="s">
        <v>12</v>
      </c>
      <c r="J142" s="65" t="s">
        <v>9</v>
      </c>
      <c r="K142" s="65" t="s">
        <v>9</v>
      </c>
      <c r="L142" s="65" t="s">
        <v>9</v>
      </c>
      <c r="M142" s="65" t="s">
        <v>9</v>
      </c>
      <c r="N142" s="65" t="s">
        <v>9</v>
      </c>
      <c r="O142" s="65" t="s">
        <v>9</v>
      </c>
      <c r="P142" s="65" t="s">
        <v>9</v>
      </c>
      <c r="Q142" s="65" t="s">
        <v>9</v>
      </c>
      <c r="R142" s="65" t="s">
        <v>9</v>
      </c>
      <c r="S142" s="65" t="s">
        <v>12</v>
      </c>
      <c r="T142" s="65" t="s">
        <v>9</v>
      </c>
    </row>
    <row r="143" spans="4:35" ht="12.75" customHeight="1" x14ac:dyDescent="0.25">
      <c r="D143" s="66">
        <v>12</v>
      </c>
      <c r="E143" s="1414" t="s">
        <v>1450</v>
      </c>
      <c r="F143" s="65" t="s">
        <v>12</v>
      </c>
      <c r="G143" s="65" t="s">
        <v>12</v>
      </c>
      <c r="H143" s="65" t="s">
        <v>12</v>
      </c>
      <c r="I143" s="65" t="s">
        <v>12</v>
      </c>
      <c r="J143" s="1413" t="s">
        <v>12</v>
      </c>
      <c r="K143" s="65" t="s">
        <v>12</v>
      </c>
      <c r="L143" s="65" t="s">
        <v>12</v>
      </c>
      <c r="M143" s="65" t="s">
        <v>12</v>
      </c>
      <c r="N143" s="65" t="s">
        <v>12</v>
      </c>
      <c r="O143" s="65" t="s">
        <v>12</v>
      </c>
      <c r="P143" s="65" t="s">
        <v>12</v>
      </c>
      <c r="Q143" s="65" t="s">
        <v>12</v>
      </c>
      <c r="R143" s="65" t="s">
        <v>12</v>
      </c>
      <c r="S143" s="65" t="s">
        <v>12</v>
      </c>
      <c r="T143" s="65" t="s">
        <v>12</v>
      </c>
    </row>
  </sheetData>
  <sheetProtection algorithmName="SHA-512" hashValue="7eRlHLQt5oscd649IqKs5UE+BM75fCfrke5GxhtbCAkwLf33XzAFiFo3k39aQ+Dxsy1Ixt+4XsJQqOIqMGFB8Q==" saltValue="1ZS9HzXB0oVyxUW54afLxg==" spinCount="100000" sheet="1" objects="1" scenarios="1" selectLockedCells="1"/>
  <dataConsolidate link="1"/>
  <mergeCells count="4">
    <mergeCell ref="AG82:AH82"/>
    <mergeCell ref="D4:G4"/>
    <mergeCell ref="I4:K4"/>
    <mergeCell ref="Z4:AB4"/>
  </mergeCells>
  <dataValidations disablePrompts="1" count="1">
    <dataValidation type="decimal" operator="greaterThanOrEqual" allowBlank="1" showInputMessage="1" showErrorMessage="1" sqref="AA6:AA15 Z6:Z24" xr:uid="{0B65FDCB-25B0-4B24-BEDD-BE84B2C36A54}">
      <formula1>0</formula1>
    </dataValidation>
  </dataValidations>
  <pageMargins left="0.25" right="0.25" top="0.75" bottom="0.75" header="0.3" footer="0.3"/>
  <pageSetup paperSize="9" scale="10" fitToWidth="0" fitToHeight="0" orientation="portrait" r:id="rId1"/>
  <legacyDrawing r:id="rId2"/>
  <tableParts count="3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B3CA1-2D5B-4C37-8932-11F4BF408FFE}">
  <sheetPr codeName="shServiceabilityCalculator">
    <pageSetUpPr fitToPage="1"/>
  </sheetPr>
  <dimension ref="A1:CZ408"/>
  <sheetViews>
    <sheetView showGridLines="0" showRowColHeaders="0" tabSelected="1" topLeftCell="A28" zoomScaleNormal="100" workbookViewId="0">
      <selection activeCell="C103" sqref="C103:I103"/>
    </sheetView>
  </sheetViews>
  <sheetFormatPr defaultRowHeight="12.75" customHeight="1" x14ac:dyDescent="0.25"/>
  <cols>
    <col min="1" max="2" width="2.81640625" customWidth="1"/>
    <col min="3" max="3" width="20.7265625" customWidth="1"/>
    <col min="4" max="80" width="2.81640625" customWidth="1"/>
    <col min="81" max="81" width="34.26953125" customWidth="1"/>
    <col min="82" max="82" width="2.81640625" customWidth="1"/>
    <col min="83" max="83" width="10" hidden="1" customWidth="1"/>
    <col min="84" max="85" width="14.7265625" hidden="1" customWidth="1"/>
    <col min="86" max="86" width="10" hidden="1" customWidth="1"/>
    <col min="87" max="87" width="14.7265625" hidden="1" customWidth="1"/>
    <col min="88" max="88" width="10.26953125" hidden="1" customWidth="1"/>
    <col min="89" max="104" width="9.1796875" hidden="1" customWidth="1"/>
  </cols>
  <sheetData>
    <row r="1" spans="1:82" ht="15" customHeight="1" x14ac:dyDescent="0.25">
      <c r="A1" s="4"/>
      <c r="B1" s="4"/>
      <c r="C1" s="4"/>
      <c r="D1" s="4"/>
      <c r="E1" s="4"/>
      <c r="F1" s="1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4"/>
      <c r="BN1" s="4"/>
      <c r="BO1" s="4"/>
      <c r="BP1" s="4"/>
      <c r="BQ1" s="4"/>
      <c r="BR1" s="4"/>
      <c r="BS1" s="4"/>
      <c r="BT1" s="4"/>
      <c r="BU1" s="4"/>
      <c r="BV1" s="4"/>
    </row>
    <row r="2" spans="1:82" ht="15" customHeight="1" x14ac:dyDescent="0.25">
      <c r="A2" s="4"/>
      <c r="B2" s="4"/>
      <c r="C2" s="4"/>
      <c r="D2" s="4"/>
      <c r="E2" s="4"/>
      <c r="F2" s="13"/>
      <c r="G2" s="63"/>
      <c r="H2" s="63"/>
      <c r="I2" s="63"/>
      <c r="J2" s="63"/>
      <c r="K2" s="63"/>
      <c r="L2" s="63"/>
      <c r="M2" s="63"/>
      <c r="N2" s="63"/>
      <c r="O2" s="63"/>
      <c r="P2" s="63"/>
      <c r="Q2" s="63"/>
      <c r="R2" s="63"/>
      <c r="S2" s="63"/>
      <c r="T2" s="63"/>
      <c r="U2" s="63"/>
      <c r="V2" s="63"/>
      <c r="W2" s="63"/>
      <c r="X2" s="63"/>
      <c r="Y2" s="63"/>
      <c r="Z2" s="63"/>
      <c r="AA2" s="63"/>
      <c r="AB2" s="63"/>
      <c r="AC2" s="63"/>
      <c r="AD2" s="63"/>
      <c r="AE2" s="63"/>
      <c r="AF2" s="63"/>
      <c r="AG2" s="63"/>
      <c r="AH2" s="63"/>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4"/>
      <c r="BN2" s="4"/>
      <c r="BO2" s="4"/>
      <c r="BP2" s="4"/>
      <c r="BQ2" s="4"/>
      <c r="BR2" s="4"/>
      <c r="BS2" s="4"/>
      <c r="BT2" s="4"/>
      <c r="BU2" s="4"/>
      <c r="BV2" s="4"/>
    </row>
    <row r="3" spans="1:82" ht="15" customHeight="1" x14ac:dyDescent="0.25">
      <c r="A3" s="4"/>
      <c r="B3" s="4"/>
      <c r="C3" s="4"/>
      <c r="D3" s="4"/>
      <c r="E3" s="4"/>
      <c r="F3" s="1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4"/>
      <c r="BN3" s="4"/>
      <c r="BO3" s="4"/>
      <c r="BP3" s="4"/>
      <c r="BQ3" s="4"/>
      <c r="BR3" s="4"/>
      <c r="BS3" s="4"/>
      <c r="BT3" s="4"/>
      <c r="BU3" s="4"/>
      <c r="BV3" s="4"/>
    </row>
    <row r="4" spans="1:82" ht="30" customHeight="1" x14ac:dyDescent="0.55000000000000004">
      <c r="A4" s="4"/>
      <c r="B4" s="1621" t="s">
        <v>473</v>
      </c>
      <c r="C4" s="1621"/>
      <c r="D4" s="1621"/>
      <c r="E4" s="1621"/>
      <c r="F4" s="1621"/>
      <c r="G4" s="1621"/>
      <c r="H4" s="1621"/>
      <c r="I4" s="1621"/>
      <c r="J4" s="1621"/>
      <c r="K4" s="1621"/>
      <c r="L4" s="1621"/>
      <c r="M4" s="1621"/>
      <c r="N4" s="1621"/>
      <c r="O4" s="1621"/>
      <c r="P4" s="1621"/>
      <c r="Q4" s="1621"/>
      <c r="R4" s="1621"/>
      <c r="S4" s="1621"/>
      <c r="T4" s="1621"/>
      <c r="U4" s="1621"/>
      <c r="V4" s="1621"/>
      <c r="W4" s="1621"/>
      <c r="X4" s="1621"/>
      <c r="Y4" s="1621"/>
      <c r="Z4" s="1621"/>
      <c r="AA4" s="1621"/>
      <c r="AB4" s="1621"/>
      <c r="AC4" s="1621"/>
      <c r="AD4" s="1621"/>
      <c r="AE4" s="1621"/>
      <c r="AF4" s="1621"/>
      <c r="AG4" s="1621"/>
      <c r="AH4" s="1621"/>
      <c r="AI4" s="1621"/>
      <c r="AJ4" s="1621"/>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row>
    <row r="5" spans="1:82" ht="7.5" customHeight="1" x14ac:dyDescent="0.6">
      <c r="A5" s="4"/>
      <c r="B5" s="376"/>
      <c r="C5" s="376"/>
      <c r="D5" s="376"/>
      <c r="E5" s="376"/>
      <c r="F5" s="376"/>
      <c r="G5" s="376"/>
      <c r="H5" s="376"/>
      <c r="I5" s="376"/>
      <c r="J5" s="376"/>
      <c r="K5" s="376"/>
      <c r="L5" s="376"/>
      <c r="M5" s="376"/>
      <c r="N5" s="376"/>
      <c r="O5" s="376"/>
      <c r="P5" s="376"/>
      <c r="Q5" s="376"/>
      <c r="R5" s="376"/>
      <c r="S5" s="376"/>
      <c r="T5" s="376"/>
      <c r="U5" s="376"/>
      <c r="V5" s="376"/>
      <c r="W5" s="376"/>
      <c r="X5" s="376"/>
      <c r="Y5" s="376"/>
      <c r="Z5" s="376"/>
      <c r="AA5" s="376"/>
      <c r="AB5" s="376"/>
      <c r="AC5" s="376"/>
      <c r="AD5" s="376"/>
      <c r="AE5" s="376"/>
      <c r="AF5" s="376"/>
      <c r="AG5" s="376"/>
      <c r="AH5" s="376"/>
      <c r="AI5" s="376"/>
      <c r="AJ5" s="376"/>
      <c r="AK5" s="13"/>
      <c r="AL5" s="13"/>
      <c r="AM5" s="13"/>
      <c r="AN5" s="13"/>
      <c r="AO5" s="13"/>
      <c r="AP5" s="13"/>
      <c r="AQ5" s="13"/>
      <c r="AR5" s="13"/>
      <c r="AS5" s="13"/>
      <c r="AT5" s="13"/>
      <c r="AU5" s="13"/>
      <c r="AV5" s="13"/>
      <c r="AW5" s="13"/>
      <c r="AX5" s="13"/>
      <c r="AY5" s="13"/>
      <c r="AZ5" s="13"/>
      <c r="BA5" s="13"/>
      <c r="BB5" s="13"/>
      <c r="BC5" s="13"/>
      <c r="BD5" s="13"/>
      <c r="BE5" s="13"/>
      <c r="BF5" s="13"/>
      <c r="BG5" s="13"/>
      <c r="BH5" s="13"/>
      <c r="BI5" s="13"/>
      <c r="BJ5" s="13"/>
      <c r="BK5" s="13"/>
      <c r="BL5" s="13"/>
      <c r="BM5" s="13"/>
      <c r="BN5" s="13"/>
      <c r="BO5" s="13"/>
      <c r="BP5" s="13"/>
      <c r="BQ5" s="13"/>
      <c r="BR5" s="13"/>
      <c r="BS5" s="13"/>
      <c r="BT5" s="13"/>
      <c r="BU5" s="13"/>
      <c r="BV5" s="13"/>
    </row>
    <row r="6" spans="1:82" ht="18.75" customHeight="1" x14ac:dyDescent="0.6">
      <c r="A6" s="4"/>
      <c r="B6" s="437" t="s">
        <v>740</v>
      </c>
      <c r="C6" s="438"/>
      <c r="D6" s="438"/>
      <c r="E6" s="438"/>
      <c r="F6" s="438"/>
      <c r="G6" s="438"/>
      <c r="H6" s="438"/>
      <c r="I6" s="438"/>
      <c r="J6" s="438"/>
      <c r="K6" s="438"/>
      <c r="L6" s="438"/>
      <c r="M6" s="438"/>
      <c r="N6" s="438"/>
      <c r="O6" s="438"/>
      <c r="P6" s="438"/>
      <c r="Q6" s="438"/>
      <c r="R6" s="438"/>
      <c r="S6" s="438"/>
      <c r="T6" s="438"/>
      <c r="U6" s="438"/>
      <c r="V6" s="438"/>
      <c r="W6" s="438"/>
      <c r="X6" s="438"/>
      <c r="Y6" s="438"/>
      <c r="Z6" s="438"/>
      <c r="AA6" s="438"/>
      <c r="AB6" s="438"/>
      <c r="AC6" s="438"/>
      <c r="AD6" s="438"/>
      <c r="AE6" s="438"/>
      <c r="AF6" s="438"/>
      <c r="AG6" s="438"/>
      <c r="AH6" s="438"/>
      <c r="AI6" s="438"/>
      <c r="AJ6" s="438"/>
      <c r="AK6" s="439"/>
      <c r="AL6" s="439"/>
      <c r="AM6" s="439"/>
      <c r="AN6" s="439"/>
      <c r="AO6" s="439"/>
      <c r="AP6" s="439"/>
      <c r="AQ6" s="439"/>
      <c r="AR6" s="439"/>
      <c r="AS6" s="439"/>
      <c r="AT6" s="439"/>
      <c r="AU6" s="439"/>
      <c r="AV6" s="439"/>
      <c r="AW6" s="439"/>
      <c r="AX6" s="439"/>
      <c r="AY6" s="439"/>
      <c r="AZ6" s="439"/>
      <c r="BA6" s="439"/>
      <c r="BB6" s="439"/>
      <c r="BC6" s="439"/>
      <c r="BD6" s="439"/>
      <c r="BE6" s="439"/>
      <c r="BF6" s="439"/>
      <c r="BG6" s="439"/>
      <c r="BH6" s="439"/>
      <c r="BI6" s="439"/>
      <c r="BJ6" s="439"/>
      <c r="BK6" s="439"/>
      <c r="BL6" s="439"/>
      <c r="BM6" s="439"/>
      <c r="BN6" s="439"/>
      <c r="BO6" s="439"/>
      <c r="BP6" s="439"/>
      <c r="BQ6" s="439"/>
      <c r="BR6" s="439"/>
      <c r="BS6" s="439"/>
      <c r="BT6" s="439"/>
      <c r="BU6" s="439"/>
      <c r="BV6" s="13"/>
    </row>
    <row r="7" spans="1:82" ht="7.5" customHeight="1"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row>
    <row r="8" spans="1:82" ht="15" customHeight="1" x14ac:dyDescent="0.25">
      <c r="A8" s="4"/>
      <c r="B8" s="1604" t="s">
        <v>325</v>
      </c>
      <c r="C8" s="1604"/>
      <c r="D8" s="1604"/>
      <c r="E8" s="1604"/>
      <c r="F8" s="1604"/>
      <c r="G8" s="1604"/>
      <c r="H8" s="1604"/>
      <c r="I8" s="1604"/>
      <c r="J8" s="1604"/>
      <c r="K8" s="1604"/>
      <c r="L8" s="1604" t="s">
        <v>324</v>
      </c>
      <c r="M8" s="1604"/>
      <c r="N8" s="1604"/>
      <c r="O8" s="1604"/>
      <c r="P8" s="1604"/>
      <c r="Q8" s="1604"/>
      <c r="R8" s="1604"/>
      <c r="S8" s="1604"/>
      <c r="T8" s="1604"/>
      <c r="U8" s="1604"/>
      <c r="V8" s="1604" t="s">
        <v>321</v>
      </c>
      <c r="W8" s="1604"/>
      <c r="X8" s="1604"/>
      <c r="Y8" s="1604"/>
      <c r="Z8" s="1604"/>
      <c r="AA8" s="1604"/>
      <c r="AB8" s="1604"/>
      <c r="AC8" s="1604"/>
      <c r="AD8" s="1604"/>
      <c r="AE8" s="1604"/>
      <c r="AF8" s="1604"/>
      <c r="AG8" s="1604" t="s">
        <v>322</v>
      </c>
      <c r="AH8" s="1604"/>
      <c r="AI8" s="1604"/>
      <c r="AJ8" s="1604"/>
      <c r="AK8" s="1604"/>
      <c r="AL8" s="1604"/>
      <c r="AM8" s="1604"/>
      <c r="AN8" s="1604"/>
      <c r="AO8" s="1604"/>
      <c r="AP8" s="1604"/>
      <c r="AQ8" s="1604" t="s">
        <v>323</v>
      </c>
      <c r="AR8" s="1604"/>
      <c r="AS8" s="1604"/>
      <c r="AT8" s="1604"/>
      <c r="AU8" s="1604"/>
      <c r="AV8" s="1604"/>
      <c r="AW8" s="1604"/>
      <c r="AX8" s="1604"/>
      <c r="AY8" s="1604"/>
      <c r="AZ8" s="1604"/>
      <c r="BA8" s="1604" t="s">
        <v>0</v>
      </c>
      <c r="BB8" s="1604"/>
      <c r="BC8" s="1604"/>
      <c r="BD8" s="1604"/>
      <c r="BE8" s="1604"/>
      <c r="BF8" s="1604"/>
      <c r="BG8" s="1604"/>
      <c r="BH8" s="1604"/>
      <c r="BI8" s="1604"/>
      <c r="BJ8" s="1604"/>
      <c r="BK8" s="1604" t="s">
        <v>1</v>
      </c>
      <c r="BL8" s="1604"/>
      <c r="BM8" s="1604"/>
      <c r="BN8" s="1604"/>
      <c r="BO8" s="1604"/>
      <c r="BP8" s="1604"/>
      <c r="BQ8" s="1604"/>
      <c r="BR8" s="1604"/>
      <c r="BS8" s="1604"/>
      <c r="BT8" s="1604"/>
      <c r="BU8" s="1604"/>
      <c r="BV8" s="195"/>
    </row>
    <row r="9" spans="1:82" ht="15" customHeight="1" x14ac:dyDescent="0.25">
      <c r="A9" s="4"/>
      <c r="B9" s="1604" t="str">
        <f>VersionNumber</f>
        <v>9.4</v>
      </c>
      <c r="C9" s="1604"/>
      <c r="D9" s="1604"/>
      <c r="E9" s="1604"/>
      <c r="F9" s="1604"/>
      <c r="G9" s="1604"/>
      <c r="H9" s="1604"/>
      <c r="I9" s="1604"/>
      <c r="J9" s="1604"/>
      <c r="K9" s="1604"/>
      <c r="L9" s="1603">
        <f>VersionReleaseDate</f>
        <v>45704</v>
      </c>
      <c r="M9" s="1603"/>
      <c r="N9" s="1603"/>
      <c r="O9" s="1603"/>
      <c r="P9" s="1603"/>
      <c r="Q9" s="1603"/>
      <c r="R9" s="1603"/>
      <c r="S9" s="1603"/>
      <c r="T9" s="1603"/>
      <c r="U9" s="1603"/>
      <c r="V9" s="1603">
        <f>IncomeTaxEffectiveDate</f>
        <v>45474</v>
      </c>
      <c r="W9" s="1603"/>
      <c r="X9" s="1603"/>
      <c r="Y9" s="1603"/>
      <c r="Z9" s="1603"/>
      <c r="AA9" s="1603"/>
      <c r="AB9" s="1603"/>
      <c r="AC9" s="1603"/>
      <c r="AD9" s="1603"/>
      <c r="AE9" s="1603"/>
      <c r="AF9" s="1603"/>
      <c r="AG9" s="1603">
        <f>HELPRateEffectiveDate</f>
        <v>45474</v>
      </c>
      <c r="AH9" s="1603"/>
      <c r="AI9" s="1603"/>
      <c r="AJ9" s="1603"/>
      <c r="AK9" s="1603"/>
      <c r="AL9" s="1603"/>
      <c r="AM9" s="1603"/>
      <c r="AN9" s="1603"/>
      <c r="AO9" s="1603"/>
      <c r="AP9" s="1603"/>
      <c r="AQ9" s="1603">
        <f>HEMEffectiveDate</f>
        <v>45704</v>
      </c>
      <c r="AR9" s="1603"/>
      <c r="AS9" s="1603"/>
      <c r="AT9" s="1603"/>
      <c r="AU9" s="1603"/>
      <c r="AV9" s="1603"/>
      <c r="AW9" s="1603"/>
      <c r="AX9" s="1603"/>
      <c r="AY9" s="1603"/>
      <c r="AZ9" s="1603"/>
      <c r="BA9" s="1603">
        <f ca="1">TODAY()</f>
        <v>45714</v>
      </c>
      <c r="BB9" s="1603"/>
      <c r="BC9" s="1603"/>
      <c r="BD9" s="1603"/>
      <c r="BE9" s="1603"/>
      <c r="BF9" s="1603"/>
      <c r="BG9" s="1603"/>
      <c r="BH9" s="1603"/>
      <c r="BI9" s="1603"/>
      <c r="BJ9" s="1603"/>
      <c r="BK9" s="1604" t="s">
        <v>2457</v>
      </c>
      <c r="BL9" s="1604"/>
      <c r="BM9" s="1604"/>
      <c r="BN9" s="1604"/>
      <c r="BO9" s="1604"/>
      <c r="BP9" s="1604"/>
      <c r="BQ9" s="1604"/>
      <c r="BR9" s="1604"/>
      <c r="BS9" s="1604"/>
      <c r="BT9" s="1604"/>
      <c r="BU9" s="1604"/>
      <c r="BV9" s="197"/>
    </row>
    <row r="10" spans="1:82" ht="7.5" customHeight="1" x14ac:dyDescent="0.25">
      <c r="A10" s="196"/>
      <c r="B10" s="38"/>
      <c r="C10" s="196"/>
      <c r="D10" s="38"/>
      <c r="E10" s="196"/>
      <c r="F10" s="38"/>
      <c r="G10" s="196"/>
      <c r="H10" s="38"/>
      <c r="I10" s="196"/>
      <c r="J10" s="38"/>
      <c r="K10" s="196"/>
      <c r="L10" s="38"/>
      <c r="M10" s="196"/>
      <c r="N10" s="38"/>
      <c r="O10" s="196"/>
      <c r="P10" s="38"/>
      <c r="Q10" s="196"/>
      <c r="R10" s="38"/>
      <c r="S10" s="196"/>
      <c r="T10" s="38"/>
      <c r="U10" s="196"/>
      <c r="V10" s="38"/>
      <c r="W10" s="196"/>
      <c r="X10" s="38"/>
      <c r="Y10" s="196"/>
      <c r="Z10" s="38"/>
      <c r="AA10" s="196"/>
      <c r="AB10" s="38"/>
      <c r="AC10" s="196"/>
      <c r="AD10" s="38"/>
      <c r="AE10" s="196"/>
      <c r="AF10" s="38"/>
      <c r="AG10" s="196"/>
      <c r="AH10" s="38"/>
      <c r="AI10" s="196"/>
      <c r="AJ10" s="38"/>
      <c r="AK10" s="196"/>
      <c r="AL10" s="38"/>
      <c r="AM10" s="196"/>
      <c r="AN10" s="38"/>
      <c r="AO10" s="196"/>
      <c r="AP10" s="38"/>
      <c r="AQ10" s="196"/>
      <c r="AR10" s="38"/>
      <c r="AS10" s="196"/>
      <c r="AT10" s="38"/>
      <c r="AU10" s="196"/>
      <c r="AV10" s="38"/>
      <c r="AW10" s="196"/>
      <c r="AX10" s="38"/>
      <c r="AY10" s="196"/>
      <c r="AZ10" s="38"/>
      <c r="BA10" s="196"/>
      <c r="BB10" s="38"/>
      <c r="BC10" s="196"/>
      <c r="BD10" s="38"/>
      <c r="BE10" s="196"/>
      <c r="BF10" s="38"/>
      <c r="BG10" s="196"/>
      <c r="BH10" s="38"/>
      <c r="BI10" s="196"/>
      <c r="BJ10" s="38"/>
      <c r="BK10" s="196"/>
      <c r="BL10" s="38"/>
      <c r="BM10" s="196"/>
      <c r="BN10" s="38"/>
      <c r="BO10" s="196"/>
      <c r="BP10" s="38"/>
      <c r="BQ10" s="196"/>
      <c r="BR10" s="38"/>
      <c r="BS10" s="38"/>
      <c r="BT10" s="196"/>
      <c r="BU10" s="38"/>
      <c r="BV10" s="196"/>
    </row>
    <row r="11" spans="1:82" ht="18.75" customHeight="1" x14ac:dyDescent="0.25">
      <c r="A11" s="141"/>
      <c r="B11" s="1153" t="s">
        <v>360</v>
      </c>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142"/>
      <c r="AC11" s="142"/>
      <c r="AD11" s="142"/>
      <c r="AE11" s="142"/>
      <c r="AF11" s="142"/>
      <c r="AG11" s="142"/>
      <c r="AH11" s="142"/>
      <c r="AI11" s="142"/>
      <c r="AJ11" s="142"/>
      <c r="AK11" s="142"/>
      <c r="AL11" s="142"/>
      <c r="AM11" s="142"/>
      <c r="AN11" s="142"/>
      <c r="AO11" s="142"/>
      <c r="AP11" s="142"/>
      <c r="AQ11" s="142"/>
      <c r="AR11" s="142"/>
      <c r="AS11" s="142"/>
      <c r="AT11" s="142"/>
      <c r="AU11" s="142"/>
      <c r="AV11" s="142"/>
      <c r="AW11" s="142"/>
      <c r="AX11" s="142"/>
      <c r="AY11" s="142"/>
      <c r="AZ11" s="142"/>
      <c r="BA11" s="142"/>
      <c r="BB11" s="142"/>
      <c r="BC11" s="142"/>
      <c r="BD11" s="142"/>
      <c r="BE11" s="142"/>
      <c r="BF11" s="142"/>
      <c r="BG11" s="142"/>
      <c r="BH11" s="142"/>
      <c r="BI11" s="142"/>
      <c r="BJ11" s="142"/>
      <c r="BK11" s="142"/>
      <c r="BL11" s="142"/>
      <c r="BM11" s="142"/>
      <c r="BN11" s="142"/>
      <c r="BO11" s="142"/>
      <c r="BP11" s="142"/>
      <c r="BQ11" s="142"/>
      <c r="BR11" s="142"/>
      <c r="BS11" s="142"/>
      <c r="BT11" s="142"/>
      <c r="BU11" s="141"/>
      <c r="BV11" s="142"/>
      <c r="BW11" s="142"/>
      <c r="BX11" s="142"/>
      <c r="BY11" s="142"/>
      <c r="BZ11" s="142"/>
      <c r="CA11" s="142"/>
      <c r="CB11" s="142"/>
      <c r="CC11" s="142"/>
      <c r="CD11" s="142"/>
    </row>
    <row r="12" spans="1:82" ht="7.5" customHeight="1" x14ac:dyDescent="0.25"/>
    <row r="13" spans="1:82" ht="18.75" customHeight="1" x14ac:dyDescent="0.3">
      <c r="B13" s="117" t="s">
        <v>753</v>
      </c>
      <c r="C13" s="154"/>
      <c r="D13" s="154"/>
      <c r="E13" s="154"/>
      <c r="F13" s="154"/>
      <c r="G13" s="154"/>
      <c r="H13" s="154"/>
      <c r="I13" s="154"/>
      <c r="J13" s="154"/>
      <c r="K13" s="1605"/>
      <c r="L13" s="1605"/>
      <c r="M13" s="1605"/>
      <c r="N13" s="1605"/>
      <c r="O13" s="1605"/>
      <c r="P13" s="1605"/>
      <c r="Q13" s="1605"/>
      <c r="R13" s="1605"/>
      <c r="U13" s="230" t="s">
        <v>461</v>
      </c>
      <c r="AA13" s="230"/>
      <c r="AB13" s="230"/>
      <c r="AC13" s="230"/>
      <c r="AD13" s="230"/>
      <c r="AE13" s="230"/>
      <c r="AF13" s="230"/>
      <c r="AG13" s="230"/>
      <c r="AH13" s="230"/>
      <c r="AI13" s="230"/>
      <c r="AJ13" s="230"/>
      <c r="AK13" s="230"/>
      <c r="AL13" s="230"/>
      <c r="AM13" s="1622" t="s">
        <v>9</v>
      </c>
      <c r="AN13" s="1623"/>
      <c r="AO13" s="1623"/>
      <c r="AP13" s="1623"/>
      <c r="AQ13" s="1623"/>
      <c r="AR13" s="1623"/>
      <c r="AS13" s="1623"/>
      <c r="AT13" s="1624"/>
    </row>
    <row r="14" spans="1:82" ht="18.75" customHeight="1" x14ac:dyDescent="0.3">
      <c r="B14" s="117" t="s">
        <v>249</v>
      </c>
      <c r="C14" s="154"/>
      <c r="D14" s="154"/>
      <c r="E14" s="154"/>
      <c r="F14" s="154"/>
      <c r="G14" s="154"/>
      <c r="H14" s="154"/>
      <c r="I14" s="154"/>
      <c r="J14" s="154"/>
      <c r="K14" s="1625"/>
      <c r="L14" s="1626"/>
      <c r="M14" s="1626"/>
      <c r="N14" s="1626"/>
      <c r="O14" s="1626"/>
      <c r="P14" s="1626"/>
      <c r="Q14" s="1626"/>
      <c r="R14" s="1627"/>
      <c r="U14" s="205" t="s">
        <v>460</v>
      </c>
      <c r="AA14" s="205"/>
      <c r="AB14" s="205"/>
      <c r="AC14" s="205"/>
      <c r="AD14" s="205"/>
      <c r="AE14" s="205"/>
      <c r="AF14" s="205"/>
      <c r="AG14" s="205"/>
      <c r="AH14" s="205"/>
      <c r="AI14" s="205"/>
      <c r="AJ14" s="205"/>
      <c r="AK14" s="160"/>
      <c r="AL14" s="160"/>
      <c r="AM14" s="1622" t="s">
        <v>9</v>
      </c>
      <c r="AN14" s="1623"/>
      <c r="AO14" s="1623"/>
      <c r="AP14" s="1623"/>
      <c r="AQ14" s="1623"/>
      <c r="AR14" s="1623"/>
      <c r="AS14" s="1623"/>
      <c r="AT14" s="1624"/>
      <c r="AX14" s="189"/>
      <c r="AY14" s="190"/>
      <c r="AZ14" s="190"/>
      <c r="BA14" s="190"/>
    </row>
    <row r="15" spans="1:82" ht="18.75" customHeight="1" x14ac:dyDescent="0.25">
      <c r="B15" s="205" t="s">
        <v>459</v>
      </c>
      <c r="C15" s="205"/>
      <c r="D15" s="205"/>
      <c r="E15" s="205"/>
      <c r="F15" s="205"/>
      <c r="G15" s="205"/>
      <c r="H15" s="205"/>
      <c r="I15" s="205"/>
      <c r="J15" s="205"/>
      <c r="K15" s="1622">
        <v>2</v>
      </c>
      <c r="L15" s="1623"/>
      <c r="M15" s="1623"/>
      <c r="N15" s="1623"/>
      <c r="O15" s="1623"/>
      <c r="P15" s="1623"/>
      <c r="Q15" s="1623"/>
      <c r="R15" s="1624"/>
      <c r="U15" s="205" t="s">
        <v>1557</v>
      </c>
      <c r="AA15" s="205"/>
      <c r="AB15" s="205"/>
      <c r="AC15" s="205"/>
      <c r="AD15" s="205"/>
      <c r="AE15" s="205"/>
      <c r="AF15" s="205"/>
      <c r="AG15" s="205"/>
      <c r="AH15" s="205"/>
      <c r="AI15" s="205"/>
      <c r="AJ15" s="205"/>
      <c r="AK15" s="160"/>
      <c r="AL15" s="160"/>
      <c r="AM15" s="1622" t="s">
        <v>42</v>
      </c>
      <c r="AN15" s="1623"/>
      <c r="AO15" s="1623"/>
      <c r="AP15" s="1623"/>
      <c r="AQ15" s="1623"/>
      <c r="AR15" s="1623"/>
      <c r="AS15" s="1623"/>
      <c r="AT15" s="1624"/>
    </row>
    <row r="16" spans="1:82" ht="7.5" customHeight="1" x14ac:dyDescent="0.25"/>
    <row r="17" spans="1:82" ht="18.75" customHeight="1" x14ac:dyDescent="0.25">
      <c r="A17" s="86"/>
      <c r="B17" s="1152" t="s">
        <v>456</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c r="AP17" s="193"/>
      <c r="AQ17" s="193"/>
      <c r="AR17" s="193"/>
      <c r="AS17" s="193"/>
      <c r="AT17" s="193"/>
      <c r="AU17" s="193"/>
      <c r="AV17" s="193"/>
      <c r="AW17" s="143"/>
      <c r="AX17" s="143"/>
      <c r="AY17" s="143"/>
      <c r="AZ17" s="143"/>
      <c r="BA17" s="143"/>
      <c r="BB17" s="143"/>
      <c r="BC17" s="143"/>
      <c r="BD17" s="143"/>
      <c r="BE17" s="143"/>
      <c r="BF17" s="143"/>
      <c r="BG17" s="143"/>
      <c r="BH17" s="143"/>
      <c r="BI17" s="143"/>
      <c r="BJ17" s="143"/>
      <c r="BK17" s="143"/>
      <c r="BL17" s="143"/>
      <c r="BM17" s="143"/>
      <c r="BN17" s="143"/>
      <c r="BO17" s="143"/>
      <c r="BP17" s="143"/>
      <c r="BQ17" s="143"/>
      <c r="BR17" s="143"/>
      <c r="BS17" s="143"/>
      <c r="BT17" s="143"/>
      <c r="BU17" s="143"/>
      <c r="BV17" s="143"/>
      <c r="BW17" s="143"/>
      <c r="BX17" s="143"/>
      <c r="BY17" s="143"/>
      <c r="BZ17" s="143"/>
      <c r="CA17" s="143"/>
      <c r="CB17" s="143"/>
      <c r="CC17" s="143"/>
      <c r="CD17" s="143"/>
    </row>
    <row r="18" spans="1:82" ht="18.75" customHeight="1" x14ac:dyDescent="0.25">
      <c r="A18" s="19"/>
      <c r="B18" s="292"/>
      <c r="C18" s="292"/>
      <c r="D18" s="292"/>
      <c r="E18" s="292"/>
      <c r="F18" s="292"/>
      <c r="G18" s="292"/>
      <c r="H18" s="292"/>
      <c r="I18" s="292"/>
      <c r="J18" s="292"/>
      <c r="K18" s="293" t="s">
        <v>33</v>
      </c>
      <c r="L18" s="294"/>
      <c r="M18" s="294"/>
      <c r="N18" s="295"/>
      <c r="O18" s="295"/>
      <c r="P18" s="295"/>
      <c r="Q18" s="295"/>
      <c r="R18" s="295"/>
      <c r="S18" s="295"/>
      <c r="T18" s="295"/>
      <c r="U18" s="293" t="s">
        <v>34</v>
      </c>
      <c r="V18" s="295"/>
      <c r="W18" s="295"/>
      <c r="X18" s="295"/>
      <c r="Y18" s="296"/>
      <c r="Z18" s="294"/>
      <c r="AA18" s="321">
        <v>2</v>
      </c>
      <c r="AB18" s="321" t="b">
        <f>SCAApplicantCount&gt;=AA18</f>
        <v>1</v>
      </c>
      <c r="AC18" s="298"/>
      <c r="AD18" s="298"/>
      <c r="AE18" s="293" t="s">
        <v>35</v>
      </c>
      <c r="AF18" s="294"/>
      <c r="AG18" s="294"/>
      <c r="AH18" s="294"/>
      <c r="AI18" s="294"/>
      <c r="AJ18" s="294"/>
      <c r="AK18" s="321">
        <v>3</v>
      </c>
      <c r="AL18" s="321" t="b">
        <f>SCAApplicantCount&gt;=AK18</f>
        <v>0</v>
      </c>
      <c r="AM18" s="296"/>
      <c r="AN18" s="296"/>
      <c r="AO18" s="293" t="s">
        <v>36</v>
      </c>
      <c r="AP18" s="296"/>
      <c r="AQ18" s="296"/>
      <c r="AR18" s="296"/>
      <c r="AS18" s="296"/>
      <c r="AT18" s="296"/>
      <c r="AU18" s="321">
        <v>4</v>
      </c>
      <c r="AV18" s="321" t="b">
        <f>SCAApplicantCount&gt;=AU18</f>
        <v>0</v>
      </c>
      <c r="AW18" s="299"/>
      <c r="AX18" s="299"/>
      <c r="AY18" s="293" t="s">
        <v>37</v>
      </c>
      <c r="AZ18" s="299"/>
      <c r="BA18" s="299"/>
      <c r="BB18" s="296"/>
      <c r="BC18" s="296"/>
      <c r="BD18" s="296"/>
      <c r="BE18" s="321">
        <v>5</v>
      </c>
      <c r="BF18" s="321" t="b">
        <f>SCAApplicantCount&gt;=BE18</f>
        <v>0</v>
      </c>
      <c r="BG18" s="296"/>
      <c r="BH18" s="296"/>
      <c r="BI18" s="293" t="s">
        <v>38</v>
      </c>
      <c r="BJ18" s="296"/>
      <c r="BK18" s="296"/>
      <c r="BL18" s="296"/>
      <c r="BM18" s="296"/>
      <c r="BN18" s="296"/>
      <c r="BO18" s="321">
        <v>6</v>
      </c>
      <c r="BP18" s="321" t="b">
        <f>SCAApplicantCount&gt;=BO18</f>
        <v>0</v>
      </c>
      <c r="BQ18" s="22"/>
      <c r="BR18" s="22"/>
      <c r="BS18" s="22"/>
      <c r="BT18" s="22"/>
      <c r="BU18" s="22"/>
      <c r="BV18" s="22"/>
      <c r="BW18" s="22"/>
      <c r="BX18" s="22"/>
      <c r="BY18" s="22"/>
      <c r="BZ18" s="22"/>
      <c r="CA18" s="22"/>
      <c r="CB18" s="22"/>
      <c r="CC18" s="22"/>
      <c r="CD18" s="22"/>
    </row>
    <row r="19" spans="1:82" ht="18.75" customHeight="1" x14ac:dyDescent="0.25">
      <c r="A19" s="4"/>
      <c r="B19" s="1619" t="s">
        <v>252</v>
      </c>
      <c r="C19" s="1619"/>
      <c r="D19" s="1619"/>
      <c r="E19" s="1619"/>
      <c r="F19" s="1619"/>
      <c r="G19" s="1619"/>
      <c r="H19" s="1619"/>
      <c r="I19" s="1619"/>
      <c r="J19" s="1620"/>
      <c r="K19" s="1606"/>
      <c r="L19" s="1607"/>
      <c r="M19" s="1607"/>
      <c r="N19" s="1607"/>
      <c r="O19" s="1607"/>
      <c r="P19" s="1607"/>
      <c r="Q19" s="1607"/>
      <c r="R19" s="1608"/>
      <c r="U19" s="1646"/>
      <c r="V19" s="1647"/>
      <c r="W19" s="1647"/>
      <c r="X19" s="1647"/>
      <c r="Y19" s="1647"/>
      <c r="Z19" s="1647"/>
      <c r="AA19" s="1647"/>
      <c r="AB19" s="1648"/>
      <c r="AE19" s="1643"/>
      <c r="AF19" s="1644"/>
      <c r="AG19" s="1644"/>
      <c r="AH19" s="1644"/>
      <c r="AI19" s="1644"/>
      <c r="AJ19" s="1644"/>
      <c r="AK19" s="1644"/>
      <c r="AL19" s="1645"/>
      <c r="AO19" s="1643"/>
      <c r="AP19" s="1644"/>
      <c r="AQ19" s="1644"/>
      <c r="AR19" s="1644"/>
      <c r="AS19" s="1644"/>
      <c r="AT19" s="1644"/>
      <c r="AU19" s="1644"/>
      <c r="AV19" s="1645"/>
      <c r="AY19" s="1643"/>
      <c r="AZ19" s="1644"/>
      <c r="BA19" s="1644"/>
      <c r="BB19" s="1644"/>
      <c r="BC19" s="1644"/>
      <c r="BD19" s="1644"/>
      <c r="BE19" s="1644"/>
      <c r="BF19" s="1645"/>
      <c r="BI19" s="1643"/>
      <c r="BJ19" s="1644"/>
      <c r="BK19" s="1644"/>
      <c r="BL19" s="1644"/>
      <c r="BM19" s="1644"/>
      <c r="BN19" s="1644"/>
      <c r="BO19" s="1644"/>
      <c r="BP19" s="1645"/>
      <c r="BV19" s="13"/>
      <c r="BW19" s="13"/>
      <c r="BX19" s="13"/>
      <c r="BY19" s="13"/>
      <c r="BZ19" s="13"/>
      <c r="CA19" s="13"/>
      <c r="CB19" s="13"/>
      <c r="CC19" s="13"/>
      <c r="CD19" s="13"/>
    </row>
    <row r="20" spans="1:82" ht="18.75" customHeight="1" x14ac:dyDescent="0.25">
      <c r="A20" s="4"/>
      <c r="B20" s="1619" t="s">
        <v>357</v>
      </c>
      <c r="C20" s="1619"/>
      <c r="D20" s="1619"/>
      <c r="E20" s="1619"/>
      <c r="F20" s="1619"/>
      <c r="G20" s="1619"/>
      <c r="H20" s="1619"/>
      <c r="I20" s="1619"/>
      <c r="J20" s="1620"/>
      <c r="K20" s="1640"/>
      <c r="L20" s="1641"/>
      <c r="M20" s="1641"/>
      <c r="N20" s="1641"/>
      <c r="O20" s="1641"/>
      <c r="P20" s="1641"/>
      <c r="Q20" s="1641"/>
      <c r="R20" s="1642"/>
      <c r="S20" s="743"/>
      <c r="U20" s="1640"/>
      <c r="V20" s="1641"/>
      <c r="W20" s="1641"/>
      <c r="X20" s="1641"/>
      <c r="Y20" s="1641"/>
      <c r="Z20" s="1641"/>
      <c r="AA20" s="1641"/>
      <c r="AB20" s="1642"/>
      <c r="AE20" s="1612"/>
      <c r="AF20" s="1613"/>
      <c r="AG20" s="1613"/>
      <c r="AH20" s="1613"/>
      <c r="AI20" s="1613"/>
      <c r="AJ20" s="1613"/>
      <c r="AK20" s="1613"/>
      <c r="AL20" s="1614"/>
      <c r="AO20" s="1612"/>
      <c r="AP20" s="1613"/>
      <c r="AQ20" s="1613"/>
      <c r="AR20" s="1613"/>
      <c r="AS20" s="1613"/>
      <c r="AT20" s="1613"/>
      <c r="AU20" s="1613"/>
      <c r="AV20" s="1614"/>
      <c r="AY20" s="1612"/>
      <c r="AZ20" s="1613"/>
      <c r="BA20" s="1613"/>
      <c r="BB20" s="1613"/>
      <c r="BC20" s="1613"/>
      <c r="BD20" s="1613"/>
      <c r="BE20" s="1613"/>
      <c r="BF20" s="1614"/>
      <c r="BI20" s="1612"/>
      <c r="BJ20" s="1613"/>
      <c r="BK20" s="1613"/>
      <c r="BL20" s="1613"/>
      <c r="BM20" s="1613"/>
      <c r="BN20" s="1613"/>
      <c r="BO20" s="1613"/>
      <c r="BP20" s="1614"/>
      <c r="BV20" s="4"/>
      <c r="BW20" s="4"/>
      <c r="BX20" s="4"/>
      <c r="BY20" s="4"/>
      <c r="BZ20" s="4"/>
      <c r="CA20" s="4"/>
      <c r="CB20" s="4"/>
      <c r="CC20" s="4"/>
      <c r="CD20" s="4"/>
    </row>
    <row r="21" spans="1:82" ht="18.75" customHeight="1" x14ac:dyDescent="0.25">
      <c r="A21" s="4"/>
      <c r="B21" s="1619" t="s">
        <v>184</v>
      </c>
      <c r="C21" s="1619"/>
      <c r="D21" s="1619"/>
      <c r="E21" s="1619"/>
      <c r="F21" s="1619"/>
      <c r="G21" s="1619"/>
      <c r="H21" s="1619"/>
      <c r="I21" s="1619"/>
      <c r="J21" s="1620"/>
      <c r="K21" s="1640"/>
      <c r="L21" s="1641"/>
      <c r="M21" s="1641"/>
      <c r="N21" s="1641"/>
      <c r="O21" s="1641"/>
      <c r="P21" s="1641"/>
      <c r="Q21" s="1641"/>
      <c r="R21" s="1642"/>
      <c r="S21" s="123">
        <f ca="1">IFERROR(VLOOKUP(SCAApp1Spouse,ApplicantList[],2,FALSE),0)</f>
        <v>0</v>
      </c>
      <c r="U21" s="1640"/>
      <c r="V21" s="1641"/>
      <c r="W21" s="1641"/>
      <c r="X21" s="1641"/>
      <c r="Y21" s="1641"/>
      <c r="Z21" s="1641"/>
      <c r="AA21" s="1641"/>
      <c r="AB21" s="1642"/>
      <c r="AC21" s="123">
        <f ca="1">IFERROR(VLOOKUP(SCAApp2Spouse,ApplicantList[],2,FALSE),0)</f>
        <v>0</v>
      </c>
      <c r="AE21" s="1612"/>
      <c r="AF21" s="1613"/>
      <c r="AG21" s="1613"/>
      <c r="AH21" s="1613"/>
      <c r="AI21" s="1613"/>
      <c r="AJ21" s="1613"/>
      <c r="AK21" s="1613"/>
      <c r="AL21" s="1614"/>
      <c r="AM21" s="123">
        <f ca="1">IFERROR(VLOOKUP(SCAApp3Spouse,ApplicantList[],2,FALSE),0)</f>
        <v>0</v>
      </c>
      <c r="AO21" s="1612"/>
      <c r="AP21" s="1613"/>
      <c r="AQ21" s="1613"/>
      <c r="AR21" s="1613"/>
      <c r="AS21" s="1613"/>
      <c r="AT21" s="1613"/>
      <c r="AU21" s="1613"/>
      <c r="AV21" s="1614"/>
      <c r="AW21" s="123">
        <f ca="1">IFERROR(VLOOKUP(SCAApp4Spouse,ApplicantList[],2,FALSE),0)</f>
        <v>0</v>
      </c>
      <c r="AY21" s="1612"/>
      <c r="AZ21" s="1613"/>
      <c r="BA21" s="1613"/>
      <c r="BB21" s="1613"/>
      <c r="BC21" s="1613"/>
      <c r="BD21" s="1613"/>
      <c r="BE21" s="1613"/>
      <c r="BF21" s="1614"/>
      <c r="BG21" s="123">
        <f ca="1">IFERROR(VLOOKUP(SCAApp5Spouse,ApplicantList[],2,FALSE),0)</f>
        <v>0</v>
      </c>
      <c r="BI21" s="1612"/>
      <c r="BJ21" s="1613"/>
      <c r="BK21" s="1613"/>
      <c r="BL21" s="1613"/>
      <c r="BM21" s="1613"/>
      <c r="BN21" s="1613"/>
      <c r="BO21" s="1613"/>
      <c r="BP21" s="1614"/>
      <c r="BQ21" s="123">
        <f ca="1">IFERROR(VLOOKUP(SCAApp6Spouse,ApplicantList[],2,FALSE),0)</f>
        <v>0</v>
      </c>
      <c r="BV21" s="4"/>
      <c r="BW21" s="4"/>
      <c r="BX21" s="4"/>
      <c r="BY21" s="4"/>
      <c r="BZ21" s="4"/>
      <c r="CA21" s="4"/>
      <c r="CB21" s="4"/>
      <c r="CC21" s="4"/>
      <c r="CD21" s="4"/>
    </row>
    <row r="22" spans="1:82" ht="18.75" customHeight="1" x14ac:dyDescent="0.25">
      <c r="A22" s="4"/>
      <c r="B22" s="1619" t="s">
        <v>326</v>
      </c>
      <c r="C22" s="1619"/>
      <c r="D22" s="1619"/>
      <c r="E22" s="1619"/>
      <c r="F22" s="1619"/>
      <c r="G22" s="1619"/>
      <c r="H22" s="1619"/>
      <c r="I22" s="1619"/>
      <c r="J22" s="1620"/>
      <c r="K22" s="1640"/>
      <c r="L22" s="1641"/>
      <c r="M22" s="1641"/>
      <c r="N22" s="1641"/>
      <c r="O22" s="1641"/>
      <c r="P22" s="1641"/>
      <c r="Q22" s="1641"/>
      <c r="R22" s="1642"/>
      <c r="S22" s="743"/>
      <c r="U22" s="1640"/>
      <c r="V22" s="1641"/>
      <c r="W22" s="1641"/>
      <c r="X22" s="1641"/>
      <c r="Y22" s="1641"/>
      <c r="Z22" s="1641"/>
      <c r="AA22" s="1641"/>
      <c r="AB22" s="1642"/>
      <c r="AE22" s="1612"/>
      <c r="AF22" s="1613"/>
      <c r="AG22" s="1613"/>
      <c r="AH22" s="1613"/>
      <c r="AI22" s="1613"/>
      <c r="AJ22" s="1613"/>
      <c r="AK22" s="1613"/>
      <c r="AL22" s="1614"/>
      <c r="AO22" s="1612"/>
      <c r="AP22" s="1613"/>
      <c r="AQ22" s="1613"/>
      <c r="AR22" s="1613"/>
      <c r="AS22" s="1613"/>
      <c r="AT22" s="1613"/>
      <c r="AU22" s="1613"/>
      <c r="AV22" s="1614"/>
      <c r="AY22" s="1612"/>
      <c r="AZ22" s="1613"/>
      <c r="BA22" s="1613"/>
      <c r="BB22" s="1613"/>
      <c r="BC22" s="1613"/>
      <c r="BD22" s="1613"/>
      <c r="BE22" s="1613"/>
      <c r="BF22" s="1614"/>
      <c r="BI22" s="1612"/>
      <c r="BJ22" s="1613"/>
      <c r="BK22" s="1613"/>
      <c r="BL22" s="1613"/>
      <c r="BM22" s="1613"/>
      <c r="BN22" s="1613"/>
      <c r="BO22" s="1613"/>
      <c r="BP22" s="1614"/>
      <c r="BV22" s="4"/>
      <c r="BW22" s="4"/>
      <c r="BX22" s="4"/>
      <c r="BY22" s="4"/>
      <c r="BZ22" s="4"/>
      <c r="CA22" s="4"/>
      <c r="CB22" s="4"/>
      <c r="CC22" s="4"/>
      <c r="CD22" s="4"/>
    </row>
    <row r="23" spans="1:82" ht="18.75" customHeight="1" x14ac:dyDescent="0.25">
      <c r="A23" s="4"/>
      <c r="B23" s="1619" t="s">
        <v>24</v>
      </c>
      <c r="C23" s="1619"/>
      <c r="D23" s="1619"/>
      <c r="E23" s="1619"/>
      <c r="F23" s="1619"/>
      <c r="G23" s="1619"/>
      <c r="H23" s="1619"/>
      <c r="I23" s="1619"/>
      <c r="J23" s="1620"/>
      <c r="K23" s="1640"/>
      <c r="L23" s="1641"/>
      <c r="M23" s="1641"/>
      <c r="N23" s="1641"/>
      <c r="O23" s="1641"/>
      <c r="P23" s="1641"/>
      <c r="Q23" s="1641"/>
      <c r="R23" s="1642"/>
      <c r="S23" s="743"/>
      <c r="U23" s="1640"/>
      <c r="V23" s="1641"/>
      <c r="W23" s="1641"/>
      <c r="X23" s="1641"/>
      <c r="Y23" s="1641"/>
      <c r="Z23" s="1641"/>
      <c r="AA23" s="1641"/>
      <c r="AB23" s="1642"/>
      <c r="AE23" s="1612"/>
      <c r="AF23" s="1613"/>
      <c r="AG23" s="1613"/>
      <c r="AH23" s="1613"/>
      <c r="AI23" s="1613"/>
      <c r="AJ23" s="1613"/>
      <c r="AK23" s="1613"/>
      <c r="AL23" s="1614"/>
      <c r="AO23" s="1612"/>
      <c r="AP23" s="1613"/>
      <c r="AQ23" s="1613"/>
      <c r="AR23" s="1613"/>
      <c r="AS23" s="1613"/>
      <c r="AT23" s="1613"/>
      <c r="AU23" s="1613"/>
      <c r="AV23" s="1614"/>
      <c r="AY23" s="1612"/>
      <c r="AZ23" s="1613"/>
      <c r="BA23" s="1613"/>
      <c r="BB23" s="1613"/>
      <c r="BC23" s="1613"/>
      <c r="BD23" s="1613"/>
      <c r="BE23" s="1613"/>
      <c r="BF23" s="1614"/>
      <c r="BI23" s="1612"/>
      <c r="BJ23" s="1613"/>
      <c r="BK23" s="1613"/>
      <c r="BL23" s="1613"/>
      <c r="BM23" s="1613"/>
      <c r="BN23" s="1613"/>
      <c r="BO23" s="1613"/>
      <c r="BP23" s="1614"/>
      <c r="BV23" s="4"/>
      <c r="BW23" s="4"/>
      <c r="BX23" s="4"/>
      <c r="BY23" s="4"/>
      <c r="BZ23" s="4"/>
      <c r="CA23" s="4"/>
      <c r="CB23" s="4"/>
      <c r="CC23" s="4"/>
      <c r="CD23" s="4"/>
    </row>
    <row r="24" spans="1:82" ht="18.75" customHeight="1" x14ac:dyDescent="0.25">
      <c r="A24" s="4"/>
      <c r="B24" s="1619" t="s">
        <v>356</v>
      </c>
      <c r="C24" s="1619"/>
      <c r="D24" s="1619"/>
      <c r="E24" s="1619"/>
      <c r="F24" s="1619"/>
      <c r="G24" s="1619"/>
      <c r="H24" s="1619"/>
      <c r="I24" s="1619"/>
      <c r="J24" s="1620"/>
      <c r="K24" s="1631"/>
      <c r="L24" s="1632"/>
      <c r="M24" s="1632"/>
      <c r="N24" s="1632"/>
      <c r="O24" s="1632"/>
      <c r="P24" s="1632"/>
      <c r="Q24" s="1632"/>
      <c r="R24" s="1633"/>
      <c r="S24" s="743"/>
      <c r="U24" s="1631"/>
      <c r="V24" s="1632"/>
      <c r="W24" s="1632"/>
      <c r="X24" s="1632"/>
      <c r="Y24" s="1632"/>
      <c r="Z24" s="1632"/>
      <c r="AA24" s="1632"/>
      <c r="AB24" s="1633"/>
      <c r="AE24" s="1628"/>
      <c r="AF24" s="1629"/>
      <c r="AG24" s="1629"/>
      <c r="AH24" s="1629"/>
      <c r="AI24" s="1629"/>
      <c r="AJ24" s="1629"/>
      <c r="AK24" s="1629"/>
      <c r="AL24" s="1630"/>
      <c r="AO24" s="1628"/>
      <c r="AP24" s="1629"/>
      <c r="AQ24" s="1629"/>
      <c r="AR24" s="1629"/>
      <c r="AS24" s="1629"/>
      <c r="AT24" s="1629"/>
      <c r="AU24" s="1629"/>
      <c r="AV24" s="1630"/>
      <c r="AY24" s="1628"/>
      <c r="AZ24" s="1629"/>
      <c r="BA24" s="1629"/>
      <c r="BB24" s="1629"/>
      <c r="BC24" s="1629"/>
      <c r="BD24" s="1629"/>
      <c r="BE24" s="1629"/>
      <c r="BF24" s="1630"/>
      <c r="BI24" s="1628"/>
      <c r="BJ24" s="1629"/>
      <c r="BK24" s="1629"/>
      <c r="BL24" s="1629"/>
      <c r="BM24" s="1629"/>
      <c r="BN24" s="1629"/>
      <c r="BO24" s="1629"/>
      <c r="BP24" s="1630"/>
      <c r="BV24" s="4"/>
      <c r="BW24" s="4"/>
      <c r="BX24" s="4"/>
      <c r="BY24" s="4"/>
      <c r="BZ24" s="4"/>
      <c r="CA24" s="4"/>
      <c r="CB24" s="4"/>
      <c r="CC24" s="4"/>
      <c r="CD24" s="4"/>
    </row>
    <row r="25" spans="1:82" ht="7.5" customHeight="1" x14ac:dyDescent="0.25">
      <c r="A25" s="4"/>
      <c r="B25" s="743"/>
      <c r="C25" s="743"/>
      <c r="D25" s="743"/>
      <c r="E25" s="743"/>
      <c r="F25" s="743"/>
      <c r="G25" s="743"/>
      <c r="H25" s="743"/>
      <c r="I25" s="743"/>
      <c r="J25" s="743"/>
      <c r="K25" s="743"/>
      <c r="L25" s="743"/>
      <c r="N25" s="744"/>
      <c r="O25" s="744"/>
      <c r="AA25" s="743"/>
      <c r="AB25" s="743"/>
      <c r="AC25" s="743"/>
      <c r="AD25" s="743"/>
      <c r="AF25" s="744"/>
      <c r="AG25" s="744"/>
      <c r="AH25" s="744"/>
      <c r="AI25" s="744"/>
      <c r="AJ25" s="744"/>
      <c r="AV25" s="745"/>
      <c r="AW25" s="745"/>
      <c r="AX25" s="745"/>
      <c r="AY25" s="745"/>
      <c r="AZ25" s="745"/>
      <c r="BA25" s="745"/>
      <c r="BV25" s="4"/>
      <c r="BW25" s="4"/>
      <c r="BX25" s="4"/>
      <c r="BY25" s="4"/>
      <c r="BZ25" s="4"/>
      <c r="CA25" s="4"/>
      <c r="CB25" s="4"/>
      <c r="CC25" s="4"/>
      <c r="CD25" s="4"/>
    </row>
    <row r="26" spans="1:82" ht="18.75" customHeight="1" x14ac:dyDescent="0.25">
      <c r="A26" s="86"/>
      <c r="B26" s="1152" t="s">
        <v>492</v>
      </c>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43"/>
      <c r="AX26" s="143"/>
      <c r="AY26" s="143"/>
      <c r="AZ26" s="143"/>
      <c r="BA26" s="143"/>
      <c r="BB26" s="143"/>
      <c r="BC26" s="143"/>
      <c r="BD26" s="143"/>
      <c r="BE26" s="143"/>
      <c r="BF26" s="143"/>
      <c r="BG26" s="143"/>
      <c r="BH26" s="143"/>
      <c r="BI26" s="143"/>
      <c r="BJ26" s="143"/>
      <c r="BK26" s="143"/>
      <c r="BL26" s="143"/>
      <c r="BM26" s="143"/>
      <c r="BN26" s="143"/>
      <c r="BO26" s="143"/>
      <c r="BP26" s="143"/>
      <c r="BQ26" s="143"/>
      <c r="BR26" s="143"/>
      <c r="BS26" s="143"/>
      <c r="BT26" s="143"/>
      <c r="BU26" s="143"/>
      <c r="BV26" s="143"/>
      <c r="BW26" s="143"/>
      <c r="BX26" s="143"/>
      <c r="BY26" s="143"/>
      <c r="BZ26" s="143"/>
      <c r="CA26" s="143"/>
      <c r="CB26" s="143"/>
      <c r="CC26" s="143"/>
      <c r="CD26" s="143"/>
    </row>
    <row r="27" spans="1:82" ht="18.75" customHeight="1" x14ac:dyDescent="0.25">
      <c r="A27" s="157"/>
      <c r="B27" s="1069" t="s">
        <v>790</v>
      </c>
      <c r="C27" s="158"/>
      <c r="D27" s="158"/>
      <c r="E27" s="158"/>
      <c r="F27" s="158"/>
      <c r="G27" s="158"/>
      <c r="H27" s="158"/>
      <c r="I27" s="158"/>
      <c r="J27" s="158"/>
      <c r="K27" s="202"/>
      <c r="L27" s="203"/>
      <c r="M27" s="203"/>
      <c r="N27" s="204"/>
      <c r="O27" s="204"/>
      <c r="P27" s="1064"/>
      <c r="Q27" s="204"/>
      <c r="R27" s="1076" t="s">
        <v>1621</v>
      </c>
      <c r="S27" s="204"/>
      <c r="T27" s="204"/>
      <c r="U27" s="202"/>
      <c r="V27" s="204"/>
      <c r="W27" s="204"/>
      <c r="X27" s="204"/>
      <c r="Y27" s="206"/>
      <c r="Z27" s="203"/>
      <c r="AA27" s="207"/>
      <c r="AB27" s="207"/>
      <c r="AC27" s="208"/>
      <c r="AD27" s="208"/>
      <c r="AE27" s="202"/>
      <c r="AF27" s="203"/>
      <c r="AG27" s="203"/>
      <c r="AH27" s="203"/>
      <c r="AI27" s="203"/>
      <c r="AJ27" s="203"/>
      <c r="AK27" s="207"/>
      <c r="AL27" s="207"/>
      <c r="AM27" s="206"/>
      <c r="AN27" s="206"/>
      <c r="AO27" s="202"/>
      <c r="AP27" s="206"/>
      <c r="AQ27" s="206"/>
      <c r="AR27" s="206"/>
      <c r="AS27" s="206"/>
      <c r="AT27" s="206"/>
      <c r="AU27" s="207"/>
      <c r="AV27" s="207"/>
      <c r="AW27" s="209"/>
      <c r="AX27" s="209"/>
      <c r="AY27" s="202"/>
      <c r="AZ27" s="209"/>
      <c r="BA27" s="209"/>
      <c r="BB27" s="206"/>
      <c r="BC27" s="206"/>
      <c r="BD27" s="206"/>
      <c r="BE27" s="207"/>
      <c r="BF27" s="207"/>
      <c r="BG27" s="206"/>
      <c r="BH27" s="206"/>
      <c r="BI27" s="202"/>
      <c r="BJ27" s="206"/>
      <c r="BK27" s="206"/>
      <c r="BL27" s="206"/>
      <c r="BM27" s="206"/>
      <c r="BN27" s="206"/>
      <c r="BO27" s="207"/>
      <c r="BP27" s="207"/>
      <c r="BQ27" s="152"/>
      <c r="BR27" s="152"/>
      <c r="BS27" s="152"/>
      <c r="BT27" s="152"/>
      <c r="BU27" s="152"/>
      <c r="BV27" s="152"/>
      <c r="BW27" s="152"/>
      <c r="BX27" s="152"/>
      <c r="BY27" s="152"/>
      <c r="BZ27" s="152"/>
      <c r="CA27" s="152"/>
      <c r="CB27" s="152"/>
      <c r="CC27" s="152"/>
      <c r="CD27" s="152"/>
    </row>
    <row r="28" spans="1:82" ht="7.5" customHeight="1" x14ac:dyDescent="0.25"/>
    <row r="29" spans="1:82" ht="18.75" customHeight="1" x14ac:dyDescent="0.25">
      <c r="B29" s="198" t="s">
        <v>2101</v>
      </c>
      <c r="K29" s="1502" t="s">
        <v>2372</v>
      </c>
      <c r="L29" s="1502"/>
      <c r="M29" s="1502"/>
      <c r="N29" s="1502"/>
      <c r="O29" s="1502"/>
      <c r="P29" s="1502"/>
      <c r="Q29" s="1502"/>
      <c r="R29" s="1502"/>
    </row>
    <row r="30" spans="1:82" ht="18.75" customHeight="1" x14ac:dyDescent="0.25">
      <c r="A30" s="19"/>
      <c r="B30" s="198"/>
      <c r="C30" s="292"/>
      <c r="D30" s="292"/>
      <c r="E30" s="292"/>
      <c r="F30" s="292"/>
      <c r="G30" s="292"/>
      <c r="H30" s="292"/>
      <c r="I30" s="292"/>
      <c r="J30" s="292"/>
      <c r="K30" s="1307" t="str">
        <f>IF(SCAApp1Name="","Applicant 1",SCAApp1Name)</f>
        <v>Applicant 1</v>
      </c>
      <c r="L30" s="1159"/>
      <c r="M30" s="1159"/>
      <c r="N30" s="1160"/>
      <c r="O30" s="1160"/>
      <c r="P30" s="1160"/>
      <c r="Q30" s="1160"/>
      <c r="R30" s="1160"/>
      <c r="S30" s="295"/>
      <c r="T30" s="295"/>
      <c r="U30" s="1307" t="str">
        <f>IF(SCAApp2Name="","Applicant 2",SCAApp2Name)</f>
        <v>Applicant 2</v>
      </c>
      <c r="V30" s="1160"/>
      <c r="W30" s="1160"/>
      <c r="X30" s="1160"/>
      <c r="Y30" s="1161"/>
      <c r="Z30" s="1159"/>
      <c r="AA30" s="1162"/>
      <c r="AB30" s="1162"/>
      <c r="AC30" s="298"/>
      <c r="AD30" s="298"/>
      <c r="AE30" s="1307" t="str">
        <f>IF(SCAApp3Name="","Applicant 3",SCAApp3Name)</f>
        <v>Applicant 3</v>
      </c>
      <c r="AF30" s="1159"/>
      <c r="AG30" s="1159"/>
      <c r="AH30" s="1159"/>
      <c r="AI30" s="1159"/>
      <c r="AJ30" s="1159"/>
      <c r="AK30" s="1162"/>
      <c r="AL30" s="1162"/>
      <c r="AM30" s="296"/>
      <c r="AN30" s="296"/>
      <c r="AO30" s="1307" t="str">
        <f>IF(SCAApp4Name="","Applicant 4",SCAApp4Name)</f>
        <v>Applicant 4</v>
      </c>
      <c r="AP30" s="1161"/>
      <c r="AQ30" s="1161"/>
      <c r="AR30" s="1161"/>
      <c r="AS30" s="1161"/>
      <c r="AT30" s="1161"/>
      <c r="AU30" s="1162"/>
      <c r="AV30" s="1162"/>
      <c r="AW30" s="299"/>
      <c r="AX30" s="299"/>
      <c r="AY30" s="1307" t="str">
        <f>IF(SCAApp5Name="","Applicant 5",SCAApp5Name)</f>
        <v>Applicant 5</v>
      </c>
      <c r="AZ30" s="1163"/>
      <c r="BA30" s="1163"/>
      <c r="BB30" s="1161"/>
      <c r="BC30" s="1161"/>
      <c r="BD30" s="1161"/>
      <c r="BE30" s="1162"/>
      <c r="BF30" s="1162"/>
      <c r="BG30" s="296"/>
      <c r="BH30" s="296"/>
      <c r="BI30" s="1307" t="str">
        <f>IF(SCAApp6Name="","Applicant 6",SCAApp6Name)</f>
        <v>Applicant 6</v>
      </c>
      <c r="BJ30" s="1161"/>
      <c r="BK30" s="1161"/>
      <c r="BL30" s="1161"/>
      <c r="BM30" s="1161"/>
      <c r="BN30" s="1161"/>
      <c r="BO30" s="1162"/>
      <c r="BP30" s="1162"/>
      <c r="BQ30" s="22"/>
      <c r="BR30" s="22"/>
      <c r="BS30" s="22"/>
      <c r="BT30" s="22"/>
      <c r="BU30" s="22"/>
      <c r="BV30" s="22"/>
      <c r="BW30" s="22"/>
      <c r="BX30" s="22"/>
      <c r="BY30" s="22"/>
      <c r="BZ30" s="22"/>
      <c r="CA30" s="22"/>
      <c r="CB30" s="22"/>
      <c r="CC30" s="22"/>
      <c r="CD30" s="22"/>
    </row>
    <row r="31" spans="1:82" ht="18.75" hidden="1" customHeight="1" x14ac:dyDescent="0.25">
      <c r="A31" s="19"/>
      <c r="B31" s="198" t="s">
        <v>2037</v>
      </c>
      <c r="C31" s="292"/>
      <c r="D31" s="292"/>
      <c r="E31" s="292"/>
      <c r="F31" s="292"/>
      <c r="G31" s="292"/>
      <c r="H31" s="292"/>
      <c r="I31" s="292"/>
      <c r="J31" s="292"/>
      <c r="K31" s="1477"/>
      <c r="L31" s="1478"/>
      <c r="M31" s="1478"/>
      <c r="N31" s="1478"/>
      <c r="O31" s="1478"/>
      <c r="P31" s="1478"/>
      <c r="Q31" s="1478"/>
      <c r="R31" s="1479"/>
      <c r="S31" s="169"/>
      <c r="T31" s="83" t="s">
        <v>539</v>
      </c>
      <c r="U31" s="1477"/>
      <c r="V31" s="1478"/>
      <c r="W31" s="1478"/>
      <c r="X31" s="1478"/>
      <c r="Y31" s="1478"/>
      <c r="Z31" s="1478"/>
      <c r="AA31" s="1478"/>
      <c r="AB31" s="1479"/>
      <c r="AC31" s="169"/>
      <c r="AD31" s="83" t="s">
        <v>549</v>
      </c>
      <c r="AE31" s="1477"/>
      <c r="AF31" s="1478"/>
      <c r="AG31" s="1478"/>
      <c r="AH31" s="1478"/>
      <c r="AI31" s="1478"/>
      <c r="AJ31" s="1478"/>
      <c r="AK31" s="1478"/>
      <c r="AL31" s="1479"/>
      <c r="AM31" s="169"/>
      <c r="AN31" s="83" t="s">
        <v>559</v>
      </c>
      <c r="AO31" s="1477"/>
      <c r="AP31" s="1478"/>
      <c r="AQ31" s="1478"/>
      <c r="AR31" s="1478"/>
      <c r="AS31" s="1478"/>
      <c r="AT31" s="1478"/>
      <c r="AU31" s="1478"/>
      <c r="AV31" s="1479"/>
      <c r="AW31" s="169"/>
      <c r="AX31" s="83" t="s">
        <v>569</v>
      </c>
      <c r="AY31" s="1477"/>
      <c r="AZ31" s="1478"/>
      <c r="BA31" s="1478"/>
      <c r="BB31" s="1478"/>
      <c r="BC31" s="1478"/>
      <c r="BD31" s="1478"/>
      <c r="BE31" s="1478"/>
      <c r="BF31" s="1479"/>
      <c r="BG31" s="169"/>
      <c r="BH31" s="83" t="s">
        <v>579</v>
      </c>
      <c r="BI31" s="1477"/>
      <c r="BJ31" s="1478"/>
      <c r="BK31" s="1478"/>
      <c r="BL31" s="1478"/>
      <c r="BM31" s="1478"/>
      <c r="BN31" s="1478"/>
      <c r="BO31" s="1478"/>
      <c r="BP31" s="1479"/>
      <c r="BQ31" s="169"/>
      <c r="CC31" s="22"/>
      <c r="CD31" s="22"/>
    </row>
    <row r="32" spans="1:82" ht="18.75" hidden="1" customHeight="1" x14ac:dyDescent="0.25">
      <c r="A32" s="19"/>
      <c r="B32" s="198" t="s">
        <v>2038</v>
      </c>
      <c r="C32" s="292"/>
      <c r="D32" s="292"/>
      <c r="E32" s="292"/>
      <c r="F32" s="292"/>
      <c r="G32" s="292"/>
      <c r="H32" s="292"/>
      <c r="I32" s="292"/>
      <c r="J32" s="292"/>
      <c r="K32" s="1477"/>
      <c r="L32" s="1478"/>
      <c r="M32" s="1478"/>
      <c r="N32" s="1478"/>
      <c r="O32" s="1478"/>
      <c r="P32" s="1478"/>
      <c r="Q32" s="1478"/>
      <c r="R32" s="1479"/>
      <c r="S32" s="169"/>
      <c r="T32" s="83" t="s">
        <v>539</v>
      </c>
      <c r="U32" s="1477"/>
      <c r="V32" s="1478"/>
      <c r="W32" s="1478"/>
      <c r="X32" s="1478"/>
      <c r="Y32" s="1478"/>
      <c r="Z32" s="1478"/>
      <c r="AA32" s="1478"/>
      <c r="AB32" s="1479"/>
      <c r="AC32" s="169"/>
      <c r="AD32" s="83" t="s">
        <v>549</v>
      </c>
      <c r="AE32" s="1477"/>
      <c r="AF32" s="1478"/>
      <c r="AG32" s="1478"/>
      <c r="AH32" s="1478"/>
      <c r="AI32" s="1478"/>
      <c r="AJ32" s="1478"/>
      <c r="AK32" s="1478"/>
      <c r="AL32" s="1479"/>
      <c r="AM32" s="169"/>
      <c r="AN32" s="83" t="s">
        <v>559</v>
      </c>
      <c r="AO32" s="1477"/>
      <c r="AP32" s="1478"/>
      <c r="AQ32" s="1478"/>
      <c r="AR32" s="1478"/>
      <c r="AS32" s="1478"/>
      <c r="AT32" s="1478"/>
      <c r="AU32" s="1478"/>
      <c r="AV32" s="1479"/>
      <c r="AW32" s="169"/>
      <c r="AX32" s="83" t="s">
        <v>569</v>
      </c>
      <c r="AY32" s="1477"/>
      <c r="AZ32" s="1478"/>
      <c r="BA32" s="1478"/>
      <c r="BB32" s="1478"/>
      <c r="BC32" s="1478"/>
      <c r="BD32" s="1478"/>
      <c r="BE32" s="1478"/>
      <c r="BF32" s="1479"/>
      <c r="BG32" s="169"/>
      <c r="BH32" s="83" t="s">
        <v>579</v>
      </c>
      <c r="BI32" s="1477"/>
      <c r="BJ32" s="1478"/>
      <c r="BK32" s="1478"/>
      <c r="BL32" s="1478"/>
      <c r="BM32" s="1478"/>
      <c r="BN32" s="1478"/>
      <c r="BO32" s="1478"/>
      <c r="BP32" s="1479"/>
      <c r="BQ32" s="169"/>
      <c r="CC32" s="22"/>
      <c r="CD32" s="22"/>
    </row>
    <row r="33" spans="1:82" ht="18.75" hidden="1" customHeight="1" x14ac:dyDescent="0.25">
      <c r="A33" s="19"/>
      <c r="B33" s="198" t="s">
        <v>2039</v>
      </c>
      <c r="C33" s="292"/>
      <c r="D33" s="292"/>
      <c r="E33" s="292"/>
      <c r="F33" s="292"/>
      <c r="G33" s="292"/>
      <c r="H33" s="292"/>
      <c r="I33" s="292"/>
      <c r="J33" s="292"/>
      <c r="K33" s="1477"/>
      <c r="L33" s="1478"/>
      <c r="M33" s="1478"/>
      <c r="N33" s="1478"/>
      <c r="O33" s="1478"/>
      <c r="P33" s="1478"/>
      <c r="Q33" s="1478"/>
      <c r="R33" s="1479"/>
      <c r="S33" s="169"/>
      <c r="T33" s="83" t="s">
        <v>539</v>
      </c>
      <c r="U33" s="1477"/>
      <c r="V33" s="1478"/>
      <c r="W33" s="1478"/>
      <c r="X33" s="1478"/>
      <c r="Y33" s="1478"/>
      <c r="Z33" s="1478"/>
      <c r="AA33" s="1478"/>
      <c r="AB33" s="1479"/>
      <c r="AC33" s="169"/>
      <c r="AD33" s="83" t="s">
        <v>549</v>
      </c>
      <c r="AE33" s="1477"/>
      <c r="AF33" s="1478"/>
      <c r="AG33" s="1478"/>
      <c r="AH33" s="1478"/>
      <c r="AI33" s="1478"/>
      <c r="AJ33" s="1478"/>
      <c r="AK33" s="1478"/>
      <c r="AL33" s="1479"/>
      <c r="AM33" s="169"/>
      <c r="AN33" s="83" t="s">
        <v>559</v>
      </c>
      <c r="AO33" s="1477"/>
      <c r="AP33" s="1478"/>
      <c r="AQ33" s="1478"/>
      <c r="AR33" s="1478"/>
      <c r="AS33" s="1478"/>
      <c r="AT33" s="1478"/>
      <c r="AU33" s="1478"/>
      <c r="AV33" s="1479"/>
      <c r="AW33" s="169"/>
      <c r="AX33" s="83" t="s">
        <v>569</v>
      </c>
      <c r="AY33" s="1477"/>
      <c r="AZ33" s="1478"/>
      <c r="BA33" s="1478"/>
      <c r="BB33" s="1478"/>
      <c r="BC33" s="1478"/>
      <c r="BD33" s="1478"/>
      <c r="BE33" s="1478"/>
      <c r="BF33" s="1479"/>
      <c r="BG33" s="169"/>
      <c r="BH33" s="83" t="s">
        <v>579</v>
      </c>
      <c r="BI33" s="1477"/>
      <c r="BJ33" s="1478"/>
      <c r="BK33" s="1478"/>
      <c r="BL33" s="1478"/>
      <c r="BM33" s="1478"/>
      <c r="BN33" s="1478"/>
      <c r="BO33" s="1478"/>
      <c r="BP33" s="1479"/>
      <c r="BQ33" s="169"/>
      <c r="CC33" s="22"/>
      <c r="CD33" s="22"/>
    </row>
    <row r="34" spans="1:82" ht="18.75" customHeight="1" x14ac:dyDescent="0.25">
      <c r="A34" s="19"/>
      <c r="B34" s="198" t="s">
        <v>850</v>
      </c>
      <c r="C34" s="292"/>
      <c r="D34" s="292"/>
      <c r="E34" s="292"/>
      <c r="F34" s="292"/>
      <c r="G34" s="292"/>
      <c r="H34" s="292"/>
      <c r="I34" s="292"/>
      <c r="J34" s="562">
        <f>MAX(SCAApp1NumberofEmployers,SCAApp2NumberofEmployers,SCAApp3NumberofEmployers,SCAApp4NumberofEmployers,SCAApp5NumberofEmployers,SCAApp6NumberofEmployers)</f>
        <v>1</v>
      </c>
      <c r="K34" s="1597">
        <v>1</v>
      </c>
      <c r="L34" s="1598"/>
      <c r="M34" s="1598"/>
      <c r="N34" s="1598"/>
      <c r="O34" s="1598"/>
      <c r="P34" s="1598"/>
      <c r="Q34" s="1598"/>
      <c r="R34" s="1599"/>
      <c r="S34" s="295"/>
      <c r="T34" s="295"/>
      <c r="U34" s="1597">
        <v>1</v>
      </c>
      <c r="V34" s="1598"/>
      <c r="W34" s="1598"/>
      <c r="X34" s="1598"/>
      <c r="Y34" s="1598"/>
      <c r="Z34" s="1598"/>
      <c r="AA34" s="1598"/>
      <c r="AB34" s="1599"/>
      <c r="AC34" s="298"/>
      <c r="AD34" s="298"/>
      <c r="AE34" s="1485">
        <v>1</v>
      </c>
      <c r="AF34" s="1486"/>
      <c r="AG34" s="1486"/>
      <c r="AH34" s="1486"/>
      <c r="AI34" s="1486"/>
      <c r="AJ34" s="1486"/>
      <c r="AK34" s="1486"/>
      <c r="AL34" s="1487"/>
      <c r="AM34" s="296"/>
      <c r="AN34" s="296"/>
      <c r="AO34" s="1485">
        <v>1</v>
      </c>
      <c r="AP34" s="1486"/>
      <c r="AQ34" s="1486"/>
      <c r="AR34" s="1486"/>
      <c r="AS34" s="1486"/>
      <c r="AT34" s="1486"/>
      <c r="AU34" s="1486"/>
      <c r="AV34" s="1487"/>
      <c r="AW34" s="299"/>
      <c r="AX34" s="299"/>
      <c r="AY34" s="1485">
        <v>1</v>
      </c>
      <c r="AZ34" s="1486"/>
      <c r="BA34" s="1486"/>
      <c r="BB34" s="1486"/>
      <c r="BC34" s="1486"/>
      <c r="BD34" s="1486"/>
      <c r="BE34" s="1486"/>
      <c r="BF34" s="1487"/>
      <c r="BG34" s="296"/>
      <c r="BH34" s="296"/>
      <c r="BI34" s="1485">
        <v>1</v>
      </c>
      <c r="BJ34" s="1486"/>
      <c r="BK34" s="1486"/>
      <c r="BL34" s="1486"/>
      <c r="BM34" s="1486"/>
      <c r="BN34" s="1486"/>
      <c r="BO34" s="1486"/>
      <c r="BP34" s="1487"/>
      <c r="BQ34" s="22"/>
      <c r="BR34" s="22"/>
      <c r="BS34" s="22"/>
      <c r="BT34" s="22"/>
      <c r="BU34" s="22"/>
      <c r="BV34" s="22"/>
      <c r="BW34" s="22"/>
      <c r="BX34" s="22"/>
      <c r="BY34" s="22"/>
      <c r="BZ34" s="22"/>
      <c r="CA34" s="22"/>
      <c r="CB34" s="22"/>
      <c r="CC34" s="22"/>
      <c r="CD34" s="22"/>
    </row>
    <row r="35" spans="1:82" ht="18.75" customHeight="1" x14ac:dyDescent="0.25">
      <c r="B35" s="198" t="s">
        <v>486</v>
      </c>
      <c r="J35" s="83" t="s">
        <v>528</v>
      </c>
      <c r="K35" s="1469">
        <f>VLOOKUP(J35,AICEmployerIncomeDataTable[],MATCH("TotalAssessedAnnualIncome",AICEmployerIncomeDataTable[#Headers],0),FALSE)</f>
        <v>300000</v>
      </c>
      <c r="L35" s="1470"/>
      <c r="M35" s="1470"/>
      <c r="N35" s="1470"/>
      <c r="O35" s="1470"/>
      <c r="P35" s="1470"/>
      <c r="Q35" s="1470"/>
      <c r="R35" s="1471"/>
      <c r="S35" s="169"/>
      <c r="T35" s="83" t="s">
        <v>538</v>
      </c>
      <c r="U35" s="1469">
        <f>VLOOKUP(T35,AICEmployerIncomeDataTable[],MATCH("TotalAssessedAnnualIncome",AICEmployerIncomeDataTable[#Headers],0),FALSE)</f>
        <v>0</v>
      </c>
      <c r="V35" s="1470"/>
      <c r="W35" s="1470"/>
      <c r="X35" s="1470"/>
      <c r="Y35" s="1470"/>
      <c r="Z35" s="1470"/>
      <c r="AA35" s="1470"/>
      <c r="AB35" s="1471"/>
      <c r="AC35" s="169"/>
      <c r="AD35" s="83" t="s">
        <v>548</v>
      </c>
      <c r="AE35" s="1469">
        <f>VLOOKUP(AD35,AICEmployerIncomeDataTable[],MATCH("TotalAssessedAnnualIncome",AICEmployerIncomeDataTable[#Headers],0),FALSE)</f>
        <v>0</v>
      </c>
      <c r="AF35" s="1470"/>
      <c r="AG35" s="1470"/>
      <c r="AH35" s="1470"/>
      <c r="AI35" s="1470"/>
      <c r="AJ35" s="1470"/>
      <c r="AK35" s="1470"/>
      <c r="AL35" s="1471"/>
      <c r="AM35" s="169"/>
      <c r="AN35" s="83" t="s">
        <v>558</v>
      </c>
      <c r="AO35" s="1469">
        <f>VLOOKUP(AN35,AICEmployerIncomeDataTable[],MATCH("TotalAssessedAnnualIncome",AICEmployerIncomeDataTable[#Headers],0),FALSE)</f>
        <v>0</v>
      </c>
      <c r="AP35" s="1470"/>
      <c r="AQ35" s="1470"/>
      <c r="AR35" s="1470"/>
      <c r="AS35" s="1470"/>
      <c r="AT35" s="1470"/>
      <c r="AU35" s="1470"/>
      <c r="AV35" s="1471"/>
      <c r="AW35" s="169"/>
      <c r="AX35" s="83" t="s">
        <v>568</v>
      </c>
      <c r="AY35" s="1469">
        <f>VLOOKUP(AX35,AICEmployerIncomeDataTable[],MATCH("TotalAssessedAnnualIncome",AICEmployerIncomeDataTable[#Headers],0),FALSE)</f>
        <v>0</v>
      </c>
      <c r="AZ35" s="1470"/>
      <c r="BA35" s="1470"/>
      <c r="BB35" s="1470"/>
      <c r="BC35" s="1470"/>
      <c r="BD35" s="1470"/>
      <c r="BE35" s="1470"/>
      <c r="BF35" s="1471"/>
      <c r="BG35" s="169"/>
      <c r="BH35" s="83" t="s">
        <v>578</v>
      </c>
      <c r="BI35" s="1469">
        <f>VLOOKUP(BH35,AICEmployerIncomeDataTable[],MATCH("TotalAssessedAnnualIncome",AICEmployerIncomeDataTable[#Headers],0),FALSE)</f>
        <v>0</v>
      </c>
      <c r="BJ35" s="1470"/>
      <c r="BK35" s="1470"/>
      <c r="BL35" s="1470"/>
      <c r="BM35" s="1470"/>
      <c r="BN35" s="1470"/>
      <c r="BO35" s="1470"/>
      <c r="BP35" s="1471"/>
      <c r="BQ35" s="169"/>
    </row>
    <row r="36" spans="1:82" ht="18.75" hidden="1" customHeight="1" x14ac:dyDescent="0.25">
      <c r="B36" s="198" t="s">
        <v>487</v>
      </c>
      <c r="J36" s="83" t="s">
        <v>529</v>
      </c>
      <c r="K36" s="1469">
        <f>VLOOKUP(J36,AICEmployerIncomeDataTable[],MATCH("TotalAssessedAnnualIncome",AICEmployerIncomeDataTable[#Headers],0),FALSE)</f>
        <v>0</v>
      </c>
      <c r="L36" s="1470"/>
      <c r="M36" s="1470"/>
      <c r="N36" s="1470"/>
      <c r="O36" s="1470"/>
      <c r="P36" s="1470"/>
      <c r="Q36" s="1470"/>
      <c r="R36" s="1471"/>
      <c r="S36" s="169"/>
      <c r="T36" s="83" t="s">
        <v>539</v>
      </c>
      <c r="U36" s="1469">
        <f>VLOOKUP(T36,AICEmployerIncomeDataTable[],MATCH("TotalAssessedAnnualIncome",AICEmployerIncomeDataTable[#Headers],0),FALSE)</f>
        <v>0</v>
      </c>
      <c r="V36" s="1470"/>
      <c r="W36" s="1470"/>
      <c r="X36" s="1470"/>
      <c r="Y36" s="1470"/>
      <c r="Z36" s="1470"/>
      <c r="AA36" s="1470"/>
      <c r="AB36" s="1471"/>
      <c r="AC36" s="169"/>
      <c r="AD36" s="83" t="s">
        <v>549</v>
      </c>
      <c r="AE36" s="1469">
        <f>VLOOKUP(AD36,AICEmployerIncomeDataTable[],MATCH("TotalAssessedAnnualIncome",AICEmployerIncomeDataTable[#Headers],0),FALSE)</f>
        <v>0</v>
      </c>
      <c r="AF36" s="1470"/>
      <c r="AG36" s="1470"/>
      <c r="AH36" s="1470"/>
      <c r="AI36" s="1470"/>
      <c r="AJ36" s="1470"/>
      <c r="AK36" s="1470"/>
      <c r="AL36" s="1471"/>
      <c r="AM36" s="169"/>
      <c r="AN36" s="83" t="s">
        <v>559</v>
      </c>
      <c r="AO36" s="1469">
        <f>VLOOKUP(AN36,AICEmployerIncomeDataTable[],MATCH("TotalAssessedAnnualIncome",AICEmployerIncomeDataTable[#Headers],0),FALSE)</f>
        <v>0</v>
      </c>
      <c r="AP36" s="1470"/>
      <c r="AQ36" s="1470"/>
      <c r="AR36" s="1470"/>
      <c r="AS36" s="1470"/>
      <c r="AT36" s="1470"/>
      <c r="AU36" s="1470"/>
      <c r="AV36" s="1471"/>
      <c r="AW36" s="169"/>
      <c r="AX36" s="83" t="s">
        <v>569</v>
      </c>
      <c r="AY36" s="1469">
        <f>VLOOKUP(AX36,AICEmployerIncomeDataTable[],MATCH("TotalAssessedAnnualIncome",AICEmployerIncomeDataTable[#Headers],0),FALSE)</f>
        <v>0</v>
      </c>
      <c r="AZ36" s="1470"/>
      <c r="BA36" s="1470"/>
      <c r="BB36" s="1470"/>
      <c r="BC36" s="1470"/>
      <c r="BD36" s="1470"/>
      <c r="BE36" s="1470"/>
      <c r="BF36" s="1471"/>
      <c r="BG36" s="169"/>
      <c r="BH36" s="83" t="s">
        <v>579</v>
      </c>
      <c r="BI36" s="1469">
        <f>VLOOKUP(BH36,AICEmployerIncomeDataTable[],MATCH("TotalAssessedAnnualIncome",AICEmployerIncomeDataTable[#Headers],0),FALSE)</f>
        <v>0</v>
      </c>
      <c r="BJ36" s="1470"/>
      <c r="BK36" s="1470"/>
      <c r="BL36" s="1470"/>
      <c r="BM36" s="1470"/>
      <c r="BN36" s="1470"/>
      <c r="BO36" s="1470"/>
      <c r="BP36" s="1471"/>
      <c r="BQ36" s="169"/>
    </row>
    <row r="37" spans="1:82" ht="18.75" hidden="1" customHeight="1" x14ac:dyDescent="0.25">
      <c r="B37" s="198" t="s">
        <v>488</v>
      </c>
      <c r="J37" s="83" t="s">
        <v>530</v>
      </c>
      <c r="K37" s="1469">
        <f>VLOOKUP(J37,AICEmployerIncomeDataTable[],MATCH("TotalAssessedAnnualIncome",AICEmployerIncomeDataTable[#Headers],0),FALSE)</f>
        <v>0</v>
      </c>
      <c r="L37" s="1470"/>
      <c r="M37" s="1470"/>
      <c r="N37" s="1470"/>
      <c r="O37" s="1470"/>
      <c r="P37" s="1470"/>
      <c r="Q37" s="1470"/>
      <c r="R37" s="1471"/>
      <c r="S37" s="169"/>
      <c r="T37" s="83" t="s">
        <v>540</v>
      </c>
      <c r="U37" s="1469">
        <f>VLOOKUP(T37,AICEmployerIncomeDataTable[],MATCH("TotalAssessedAnnualIncome",AICEmployerIncomeDataTable[#Headers],0),FALSE)</f>
        <v>0</v>
      </c>
      <c r="V37" s="1470"/>
      <c r="W37" s="1470"/>
      <c r="X37" s="1470"/>
      <c r="Y37" s="1470"/>
      <c r="Z37" s="1470"/>
      <c r="AA37" s="1470"/>
      <c r="AB37" s="1471"/>
      <c r="AC37" s="169"/>
      <c r="AD37" s="83" t="s">
        <v>550</v>
      </c>
      <c r="AE37" s="1469">
        <f>VLOOKUP(AD37,AICEmployerIncomeDataTable[],MATCH("TotalAssessedAnnualIncome",AICEmployerIncomeDataTable[#Headers],0),FALSE)</f>
        <v>0</v>
      </c>
      <c r="AF37" s="1470"/>
      <c r="AG37" s="1470"/>
      <c r="AH37" s="1470"/>
      <c r="AI37" s="1470"/>
      <c r="AJ37" s="1470"/>
      <c r="AK37" s="1470"/>
      <c r="AL37" s="1471"/>
      <c r="AM37" s="169"/>
      <c r="AN37" s="83" t="s">
        <v>560</v>
      </c>
      <c r="AO37" s="1469">
        <f>VLOOKUP(AN37,AICEmployerIncomeDataTable[],MATCH("TotalAssessedAnnualIncome",AICEmployerIncomeDataTable[#Headers],0),FALSE)</f>
        <v>0</v>
      </c>
      <c r="AP37" s="1470"/>
      <c r="AQ37" s="1470"/>
      <c r="AR37" s="1470"/>
      <c r="AS37" s="1470"/>
      <c r="AT37" s="1470"/>
      <c r="AU37" s="1470"/>
      <c r="AV37" s="1471"/>
      <c r="AW37" s="169"/>
      <c r="AX37" s="83" t="s">
        <v>570</v>
      </c>
      <c r="AY37" s="1469">
        <f>VLOOKUP(AX37,AICEmployerIncomeDataTable[],MATCH("TotalAssessedAnnualIncome",AICEmployerIncomeDataTable[#Headers],0),FALSE)</f>
        <v>0</v>
      </c>
      <c r="AZ37" s="1470"/>
      <c r="BA37" s="1470"/>
      <c r="BB37" s="1470"/>
      <c r="BC37" s="1470"/>
      <c r="BD37" s="1470"/>
      <c r="BE37" s="1470"/>
      <c r="BF37" s="1471"/>
      <c r="BG37" s="169"/>
      <c r="BH37" s="83" t="s">
        <v>580</v>
      </c>
      <c r="BI37" s="1469">
        <f>VLOOKUP(BH37,AICEmployerIncomeDataTable[],MATCH("TotalAssessedAnnualIncome",AICEmployerIncomeDataTable[#Headers],0),FALSE)</f>
        <v>0</v>
      </c>
      <c r="BJ37" s="1470"/>
      <c r="BK37" s="1470"/>
      <c r="BL37" s="1470"/>
      <c r="BM37" s="1470"/>
      <c r="BN37" s="1470"/>
      <c r="BO37" s="1470"/>
      <c r="BP37" s="1471"/>
      <c r="BQ37" s="169"/>
    </row>
    <row r="38" spans="1:82" ht="18.75" hidden="1" customHeight="1" x14ac:dyDescent="0.25">
      <c r="B38" s="198" t="s">
        <v>489</v>
      </c>
      <c r="J38" s="83" t="s">
        <v>531</v>
      </c>
      <c r="K38" s="1469">
        <f>VLOOKUP(J38,AICEmployerIncomeDataTable[],MATCH("TotalAssessedAnnualIncome",AICEmployerIncomeDataTable[#Headers],0),FALSE)</f>
        <v>0</v>
      </c>
      <c r="L38" s="1470"/>
      <c r="M38" s="1470"/>
      <c r="N38" s="1470"/>
      <c r="O38" s="1470"/>
      <c r="P38" s="1470"/>
      <c r="Q38" s="1470"/>
      <c r="R38" s="1471"/>
      <c r="S38" s="169"/>
      <c r="T38" s="83" t="s">
        <v>541</v>
      </c>
      <c r="U38" s="1469">
        <f>VLOOKUP(T38,AICEmployerIncomeDataTable[],MATCH("TotalAssessedAnnualIncome",AICEmployerIncomeDataTable[#Headers],0),FALSE)</f>
        <v>0</v>
      </c>
      <c r="V38" s="1470"/>
      <c r="W38" s="1470"/>
      <c r="X38" s="1470"/>
      <c r="Y38" s="1470"/>
      <c r="Z38" s="1470"/>
      <c r="AA38" s="1470"/>
      <c r="AB38" s="1471"/>
      <c r="AC38" s="169"/>
      <c r="AD38" s="83" t="s">
        <v>551</v>
      </c>
      <c r="AE38" s="1469">
        <f>VLOOKUP(AD38,AICEmployerIncomeDataTable[],MATCH("TotalAssessedAnnualIncome",AICEmployerIncomeDataTable[#Headers],0),FALSE)</f>
        <v>0</v>
      </c>
      <c r="AF38" s="1470"/>
      <c r="AG38" s="1470"/>
      <c r="AH38" s="1470"/>
      <c r="AI38" s="1470"/>
      <c r="AJ38" s="1470"/>
      <c r="AK38" s="1470"/>
      <c r="AL38" s="1471"/>
      <c r="AM38" s="169"/>
      <c r="AN38" s="83" t="s">
        <v>561</v>
      </c>
      <c r="AO38" s="1469">
        <f>VLOOKUP(AN38,AICEmployerIncomeDataTable[],MATCH("TotalAssessedAnnualIncome",AICEmployerIncomeDataTable[#Headers],0),FALSE)</f>
        <v>0</v>
      </c>
      <c r="AP38" s="1470"/>
      <c r="AQ38" s="1470"/>
      <c r="AR38" s="1470"/>
      <c r="AS38" s="1470"/>
      <c r="AT38" s="1470"/>
      <c r="AU38" s="1470"/>
      <c r="AV38" s="1471"/>
      <c r="AW38" s="169"/>
      <c r="AX38" s="83" t="s">
        <v>571</v>
      </c>
      <c r="AY38" s="1469">
        <f>VLOOKUP(AX38,AICEmployerIncomeDataTable[],MATCH("TotalAssessedAnnualIncome",AICEmployerIncomeDataTable[#Headers],0),FALSE)</f>
        <v>0</v>
      </c>
      <c r="AZ38" s="1470"/>
      <c r="BA38" s="1470"/>
      <c r="BB38" s="1470"/>
      <c r="BC38" s="1470"/>
      <c r="BD38" s="1470"/>
      <c r="BE38" s="1470"/>
      <c r="BF38" s="1471"/>
      <c r="BG38" s="169"/>
      <c r="BH38" s="83" t="s">
        <v>581</v>
      </c>
      <c r="BI38" s="1469">
        <f>VLOOKUP(BH38,AICEmployerIncomeDataTable[],MATCH("TotalAssessedAnnualIncome",AICEmployerIncomeDataTable[#Headers],0),FALSE)</f>
        <v>0</v>
      </c>
      <c r="BJ38" s="1470"/>
      <c r="BK38" s="1470"/>
      <c r="BL38" s="1470"/>
      <c r="BM38" s="1470"/>
      <c r="BN38" s="1470"/>
      <c r="BO38" s="1470"/>
      <c r="BP38" s="1471"/>
      <c r="BQ38" s="169"/>
    </row>
    <row r="39" spans="1:82" ht="18.75" hidden="1" customHeight="1" x14ac:dyDescent="0.25">
      <c r="B39" s="198" t="s">
        <v>490</v>
      </c>
      <c r="J39" s="83" t="s">
        <v>532</v>
      </c>
      <c r="K39" s="1469">
        <f>VLOOKUP(J39,AICEmployerIncomeDataTable[],MATCH("TotalAssessedAnnualIncome",AICEmployerIncomeDataTable[#Headers],0),FALSE)</f>
        <v>0</v>
      </c>
      <c r="L39" s="1470"/>
      <c r="M39" s="1470"/>
      <c r="N39" s="1470"/>
      <c r="O39" s="1470"/>
      <c r="P39" s="1470"/>
      <c r="Q39" s="1470"/>
      <c r="R39" s="1471"/>
      <c r="S39" s="169"/>
      <c r="T39" s="83" t="s">
        <v>542</v>
      </c>
      <c r="U39" s="1469">
        <f>VLOOKUP(T39,AICEmployerIncomeDataTable[],MATCH("TotalAssessedAnnualIncome",AICEmployerIncomeDataTable[#Headers],0),FALSE)</f>
        <v>0</v>
      </c>
      <c r="V39" s="1470"/>
      <c r="W39" s="1470"/>
      <c r="X39" s="1470"/>
      <c r="Y39" s="1470"/>
      <c r="Z39" s="1470"/>
      <c r="AA39" s="1470"/>
      <c r="AB39" s="1471"/>
      <c r="AC39" s="169"/>
      <c r="AD39" s="83" t="s">
        <v>552</v>
      </c>
      <c r="AE39" s="1469">
        <f>VLOOKUP(AD39,AICEmployerIncomeDataTable[],MATCH("TotalAssessedAnnualIncome",AICEmployerIncomeDataTable[#Headers],0),FALSE)</f>
        <v>0</v>
      </c>
      <c r="AF39" s="1470"/>
      <c r="AG39" s="1470"/>
      <c r="AH39" s="1470"/>
      <c r="AI39" s="1470"/>
      <c r="AJ39" s="1470"/>
      <c r="AK39" s="1470"/>
      <c r="AL39" s="1471"/>
      <c r="AM39" s="169"/>
      <c r="AN39" s="83" t="s">
        <v>562</v>
      </c>
      <c r="AO39" s="1469">
        <f>VLOOKUP(AN39,AICEmployerIncomeDataTable[],MATCH("TotalAssessedAnnualIncome",AICEmployerIncomeDataTable[#Headers],0),FALSE)</f>
        <v>0</v>
      </c>
      <c r="AP39" s="1470"/>
      <c r="AQ39" s="1470"/>
      <c r="AR39" s="1470"/>
      <c r="AS39" s="1470"/>
      <c r="AT39" s="1470"/>
      <c r="AU39" s="1470"/>
      <c r="AV39" s="1471"/>
      <c r="AW39" s="169"/>
      <c r="AX39" s="83" t="s">
        <v>572</v>
      </c>
      <c r="AY39" s="1469">
        <f>VLOOKUP(AX39,AICEmployerIncomeDataTable[],MATCH("TotalAssessedAnnualIncome",AICEmployerIncomeDataTable[#Headers],0),FALSE)</f>
        <v>0</v>
      </c>
      <c r="AZ39" s="1470"/>
      <c r="BA39" s="1470"/>
      <c r="BB39" s="1470"/>
      <c r="BC39" s="1470"/>
      <c r="BD39" s="1470"/>
      <c r="BE39" s="1470"/>
      <c r="BF39" s="1471"/>
      <c r="BG39" s="169"/>
      <c r="BH39" s="83" t="s">
        <v>582</v>
      </c>
      <c r="BI39" s="1469">
        <f>VLOOKUP(BH39,AICEmployerIncomeDataTable[],MATCH("TotalAssessedAnnualIncome",AICEmployerIncomeDataTable[#Headers],0),FALSE)</f>
        <v>0</v>
      </c>
      <c r="BJ39" s="1470"/>
      <c r="BK39" s="1470"/>
      <c r="BL39" s="1470"/>
      <c r="BM39" s="1470"/>
      <c r="BN39" s="1470"/>
      <c r="BO39" s="1470"/>
      <c r="BP39" s="1471"/>
      <c r="BQ39" s="169"/>
    </row>
    <row r="40" spans="1:82" ht="18.75" customHeight="1" x14ac:dyDescent="0.25">
      <c r="B40" s="198" t="s">
        <v>777</v>
      </c>
      <c r="J40" s="83" t="b">
        <f>AND(VLOOKUP("1No",SEAApplicantDataTable[],MATCH("HasDataFlag",SEAApplicantDataTable[#Headers],0),FALSE),K40=0)</f>
        <v>0</v>
      </c>
      <c r="K40" s="1469">
        <f>SUM('Income Calculation'!E8:E9,'Income Calculation'!E29:E30)</f>
        <v>0</v>
      </c>
      <c r="L40" s="1470"/>
      <c r="M40" s="1470"/>
      <c r="N40" s="1470"/>
      <c r="O40" s="1470"/>
      <c r="P40" s="1470"/>
      <c r="Q40" s="1470"/>
      <c r="R40" s="1471"/>
      <c r="S40" s="169"/>
      <c r="T40" s="83" t="b">
        <f>AND(VLOOKUP("2No",SEAApplicantDataTable[],MATCH("HasDataFlag",SEAApplicantDataTable[#Headers],0),FALSE),U40=0)</f>
        <v>0</v>
      </c>
      <c r="U40" s="1469">
        <f>SUM('Income Calculation'!G8:G9,'Income Calculation'!G29:G30)</f>
        <v>0</v>
      </c>
      <c r="V40" s="1470"/>
      <c r="W40" s="1470"/>
      <c r="X40" s="1470"/>
      <c r="Y40" s="1470"/>
      <c r="Z40" s="1470"/>
      <c r="AA40" s="1470"/>
      <c r="AB40" s="1471"/>
      <c r="AC40" s="169"/>
      <c r="AD40" s="83" t="b">
        <f>AND(VLOOKUP("3No",SEAApplicantDataTable[],MATCH("HasDataFlag",SEAApplicantDataTable[#Headers],0),FALSE),AE40=0)</f>
        <v>0</v>
      </c>
      <c r="AE40" s="1469">
        <f>SUM('Income Calculation'!I8:I9,'Income Calculation'!I29:I30)</f>
        <v>0</v>
      </c>
      <c r="AF40" s="1470"/>
      <c r="AG40" s="1470"/>
      <c r="AH40" s="1470"/>
      <c r="AI40" s="1470"/>
      <c r="AJ40" s="1470"/>
      <c r="AK40" s="1470"/>
      <c r="AL40" s="1471"/>
      <c r="AM40" s="169"/>
      <c r="AN40" s="83" t="b">
        <f>AND(VLOOKUP("4No",SEAApplicantDataTable[],MATCH("HasDataFlag",SEAApplicantDataTable[#Headers],0),FALSE),AO40=0)</f>
        <v>0</v>
      </c>
      <c r="AO40" s="1469">
        <f>SUM('Income Calculation'!K8:K9,'Income Calculation'!K29:K30)</f>
        <v>0</v>
      </c>
      <c r="AP40" s="1470"/>
      <c r="AQ40" s="1470"/>
      <c r="AR40" s="1470"/>
      <c r="AS40" s="1470"/>
      <c r="AT40" s="1470"/>
      <c r="AU40" s="1470"/>
      <c r="AV40" s="1471"/>
      <c r="AW40" s="169"/>
      <c r="AX40" s="83" t="b">
        <f>AND(VLOOKUP("5No",SEAApplicantDataTable[],MATCH("HasDataFlag",SEAApplicantDataTable[#Headers],0),FALSE),AY40=0)</f>
        <v>0</v>
      </c>
      <c r="AY40" s="1469">
        <f>SUM('Income Calculation'!M8:M9,'Income Calculation'!M29:M30)</f>
        <v>0</v>
      </c>
      <c r="AZ40" s="1470"/>
      <c r="BA40" s="1470"/>
      <c r="BB40" s="1470"/>
      <c r="BC40" s="1470"/>
      <c r="BD40" s="1470"/>
      <c r="BE40" s="1470"/>
      <c r="BF40" s="1471"/>
      <c r="BG40" s="169"/>
      <c r="BH40" s="83" t="b">
        <f>AND(VLOOKUP("6No",SEAApplicantDataTable[],MATCH("HasDataFlag",SEAApplicantDataTable[#Headers],0),FALSE),BI40=0)</f>
        <v>0</v>
      </c>
      <c r="BI40" s="1469">
        <f>SUM('Income Calculation'!O8:O9,'Income Calculation'!O29:O30)</f>
        <v>0</v>
      </c>
      <c r="BJ40" s="1470"/>
      <c r="BK40" s="1470"/>
      <c r="BL40" s="1470"/>
      <c r="BM40" s="1470"/>
      <c r="BN40" s="1470"/>
      <c r="BO40" s="1470"/>
      <c r="BP40" s="1471"/>
      <c r="BQ40" s="169"/>
    </row>
    <row r="41" spans="1:82" ht="18.75" customHeight="1" x14ac:dyDescent="0.25">
      <c r="B41" s="198" t="s">
        <v>44</v>
      </c>
      <c r="K41" s="1469">
        <f>'Income Calculation'!E14</f>
        <v>0</v>
      </c>
      <c r="L41" s="1470"/>
      <c r="M41" s="1470"/>
      <c r="N41" s="1470"/>
      <c r="O41" s="1470"/>
      <c r="P41" s="1470"/>
      <c r="Q41" s="1470"/>
      <c r="R41" s="1471"/>
      <c r="U41" s="1469">
        <f>'Income Calculation'!G14</f>
        <v>0</v>
      </c>
      <c r="V41" s="1470"/>
      <c r="W41" s="1470"/>
      <c r="X41" s="1470"/>
      <c r="Y41" s="1470"/>
      <c r="Z41" s="1470"/>
      <c r="AA41" s="1470"/>
      <c r="AB41" s="1471"/>
      <c r="AC41" s="169"/>
      <c r="AE41" s="1469">
        <f>'Income Calculation'!I14</f>
        <v>0</v>
      </c>
      <c r="AF41" s="1470"/>
      <c r="AG41" s="1470"/>
      <c r="AH41" s="1470"/>
      <c r="AI41" s="1470"/>
      <c r="AJ41" s="1470"/>
      <c r="AK41" s="1470"/>
      <c r="AL41" s="1471"/>
      <c r="AM41" s="169"/>
      <c r="AO41" s="1469">
        <f>'Income Calculation'!K14</f>
        <v>0</v>
      </c>
      <c r="AP41" s="1470"/>
      <c r="AQ41" s="1470"/>
      <c r="AR41" s="1470"/>
      <c r="AS41" s="1470"/>
      <c r="AT41" s="1470"/>
      <c r="AU41" s="1470"/>
      <c r="AV41" s="1471"/>
      <c r="AW41" s="169"/>
      <c r="AY41" s="1469">
        <f>'Income Calculation'!M14</f>
        <v>0</v>
      </c>
      <c r="AZ41" s="1470"/>
      <c r="BA41" s="1470"/>
      <c r="BB41" s="1470"/>
      <c r="BC41" s="1470"/>
      <c r="BD41" s="1470"/>
      <c r="BE41" s="1470"/>
      <c r="BF41" s="1471"/>
      <c r="BG41" s="169"/>
      <c r="BI41" s="1469">
        <f>'Income Calculation'!O14</f>
        <v>0</v>
      </c>
      <c r="BJ41" s="1470"/>
      <c r="BK41" s="1470"/>
      <c r="BL41" s="1470"/>
      <c r="BM41" s="1470"/>
      <c r="BN41" s="1470"/>
      <c r="BO41" s="1470"/>
      <c r="BP41" s="1471"/>
      <c r="BQ41" s="169"/>
    </row>
    <row r="42" spans="1:82" ht="18.75" customHeight="1" x14ac:dyDescent="0.25">
      <c r="B42" s="561" t="s">
        <v>849</v>
      </c>
      <c r="K42" s="1609">
        <f>RITDApp1DeductionTotal</f>
        <v>0</v>
      </c>
      <c r="L42" s="1610"/>
      <c r="M42" s="1610"/>
      <c r="N42" s="1610"/>
      <c r="O42" s="1610"/>
      <c r="P42" s="1610"/>
      <c r="Q42" s="1610"/>
      <c r="R42" s="1611"/>
      <c r="U42" s="1609">
        <f>RITDApp2DeductionTotal</f>
        <v>0</v>
      </c>
      <c r="V42" s="1610"/>
      <c r="W42" s="1610"/>
      <c r="X42" s="1610"/>
      <c r="Y42" s="1610"/>
      <c r="Z42" s="1610"/>
      <c r="AA42" s="1610"/>
      <c r="AB42" s="1611"/>
      <c r="AC42" s="169"/>
      <c r="AE42" s="1609">
        <f>RITDApp3DeductionTotal</f>
        <v>0</v>
      </c>
      <c r="AF42" s="1610"/>
      <c r="AG42" s="1610"/>
      <c r="AH42" s="1610"/>
      <c r="AI42" s="1610"/>
      <c r="AJ42" s="1610"/>
      <c r="AK42" s="1610"/>
      <c r="AL42" s="1611"/>
      <c r="AM42" s="169"/>
      <c r="AO42" s="1609">
        <f>RITDApp4DeductionTotal</f>
        <v>0</v>
      </c>
      <c r="AP42" s="1610"/>
      <c r="AQ42" s="1610"/>
      <c r="AR42" s="1610"/>
      <c r="AS42" s="1610"/>
      <c r="AT42" s="1610"/>
      <c r="AU42" s="1610"/>
      <c r="AV42" s="1611"/>
      <c r="AW42" s="169"/>
      <c r="AY42" s="1609">
        <f>RITDApp5DeductionTotal</f>
        <v>0</v>
      </c>
      <c r="AZ42" s="1610"/>
      <c r="BA42" s="1610"/>
      <c r="BB42" s="1610"/>
      <c r="BC42" s="1610"/>
      <c r="BD42" s="1610"/>
      <c r="BE42" s="1610"/>
      <c r="BF42" s="1611"/>
      <c r="BG42" s="169"/>
      <c r="BI42" s="1609">
        <f>RITDApp6DeductionTotal</f>
        <v>0</v>
      </c>
      <c r="BJ42" s="1610"/>
      <c r="BK42" s="1610"/>
      <c r="BL42" s="1610"/>
      <c r="BM42" s="1610"/>
      <c r="BN42" s="1610"/>
      <c r="BO42" s="1610"/>
      <c r="BP42" s="1611"/>
      <c r="BQ42" s="169"/>
    </row>
    <row r="43" spans="1:82" ht="18.75" customHeight="1" x14ac:dyDescent="0.25">
      <c r="B43" s="198" t="s">
        <v>457</v>
      </c>
      <c r="J43" s="83" t="s">
        <v>659</v>
      </c>
      <c r="K43" s="1469">
        <f>SUM('Income Calculation'!E15:E28)</f>
        <v>0</v>
      </c>
      <c r="L43" s="1470"/>
      <c r="M43" s="1470"/>
      <c r="N43" s="1470"/>
      <c r="O43" s="1470"/>
      <c r="P43" s="1470"/>
      <c r="Q43" s="1470"/>
      <c r="R43" s="1471"/>
      <c r="S43" s="169"/>
      <c r="T43" s="83" t="s">
        <v>660</v>
      </c>
      <c r="U43" s="1469">
        <f>SUM('Income Calculation'!G15:G28)</f>
        <v>0</v>
      </c>
      <c r="V43" s="1470"/>
      <c r="W43" s="1470"/>
      <c r="X43" s="1470"/>
      <c r="Y43" s="1470"/>
      <c r="Z43" s="1470"/>
      <c r="AA43" s="1470"/>
      <c r="AB43" s="1471"/>
      <c r="AC43" s="169"/>
      <c r="AD43" s="83" t="s">
        <v>661</v>
      </c>
      <c r="AE43" s="1469">
        <f>SUM('Income Calculation'!I15:I28)</f>
        <v>0</v>
      </c>
      <c r="AF43" s="1470"/>
      <c r="AG43" s="1470"/>
      <c r="AH43" s="1470"/>
      <c r="AI43" s="1470"/>
      <c r="AJ43" s="1470"/>
      <c r="AK43" s="1470"/>
      <c r="AL43" s="1471"/>
      <c r="AM43" s="169"/>
      <c r="AN43" s="83" t="s">
        <v>662</v>
      </c>
      <c r="AO43" s="1469">
        <f>SUM('Income Calculation'!K15:K28)</f>
        <v>0</v>
      </c>
      <c r="AP43" s="1470"/>
      <c r="AQ43" s="1470"/>
      <c r="AR43" s="1470"/>
      <c r="AS43" s="1470"/>
      <c r="AT43" s="1470"/>
      <c r="AU43" s="1470"/>
      <c r="AV43" s="1471"/>
      <c r="AW43" s="169"/>
      <c r="AX43" s="83" t="s">
        <v>663</v>
      </c>
      <c r="AY43" s="1469">
        <f>SUM('Income Calculation'!M15:M28)</f>
        <v>0</v>
      </c>
      <c r="AZ43" s="1470"/>
      <c r="BA43" s="1470"/>
      <c r="BB43" s="1470"/>
      <c r="BC43" s="1470"/>
      <c r="BD43" s="1470"/>
      <c r="BE43" s="1470"/>
      <c r="BF43" s="1471"/>
      <c r="BG43" s="169"/>
      <c r="BH43" s="83" t="s">
        <v>664</v>
      </c>
      <c r="BI43" s="1469">
        <f>SUM('Income Calculation'!O15:O28)</f>
        <v>0</v>
      </c>
      <c r="BJ43" s="1470"/>
      <c r="BK43" s="1470"/>
      <c r="BL43" s="1470"/>
      <c r="BM43" s="1470"/>
      <c r="BN43" s="1470"/>
      <c r="BO43" s="1470"/>
      <c r="BP43" s="1471"/>
      <c r="BQ43" s="169"/>
    </row>
    <row r="44" spans="1:82" ht="18.75" customHeight="1" x14ac:dyDescent="0.25">
      <c r="B44" s="198" t="s">
        <v>288</v>
      </c>
      <c r="K44" s="1506">
        <f>SUM(K31:R33,K35:R41,K43)</f>
        <v>300000</v>
      </c>
      <c r="L44" s="1507"/>
      <c r="M44" s="1507"/>
      <c r="N44" s="1507"/>
      <c r="O44" s="1507"/>
      <c r="P44" s="1507"/>
      <c r="Q44" s="1507"/>
      <c r="R44" s="1508"/>
      <c r="U44" s="1506">
        <f>SUM(U31:AB33,U35:AB41,U43)</f>
        <v>0</v>
      </c>
      <c r="V44" s="1507"/>
      <c r="W44" s="1507"/>
      <c r="X44" s="1507"/>
      <c r="Y44" s="1507"/>
      <c r="Z44" s="1507"/>
      <c r="AA44" s="1507"/>
      <c r="AB44" s="1508"/>
      <c r="AE44" s="1506">
        <f>SUM(AE31:AL33,AE35:AL41,AE43)</f>
        <v>0</v>
      </c>
      <c r="AF44" s="1507"/>
      <c r="AG44" s="1507"/>
      <c r="AH44" s="1507"/>
      <c r="AI44" s="1507"/>
      <c r="AJ44" s="1507"/>
      <c r="AK44" s="1507"/>
      <c r="AL44" s="1508"/>
      <c r="AO44" s="1506">
        <f>SUM(AO31:AV33,AO35:AV41,AO43)</f>
        <v>0</v>
      </c>
      <c r="AP44" s="1507"/>
      <c r="AQ44" s="1507"/>
      <c r="AR44" s="1507"/>
      <c r="AS44" s="1507"/>
      <c r="AT44" s="1507"/>
      <c r="AU44" s="1507"/>
      <c r="AV44" s="1508"/>
      <c r="AY44" s="1506">
        <f>SUM(AY31:BF33,AY35:BF41,AY43)</f>
        <v>0</v>
      </c>
      <c r="AZ44" s="1507"/>
      <c r="BA44" s="1507"/>
      <c r="BB44" s="1507"/>
      <c r="BC44" s="1507"/>
      <c r="BD44" s="1507"/>
      <c r="BE44" s="1507"/>
      <c r="BF44" s="1508"/>
      <c r="BI44" s="1506">
        <f>SUM(BI31:BP33,BI35:BP41,BI43)</f>
        <v>0</v>
      </c>
      <c r="BJ44" s="1507"/>
      <c r="BK44" s="1507"/>
      <c r="BL44" s="1507"/>
      <c r="BM44" s="1507"/>
      <c r="BN44" s="1507"/>
      <c r="BO44" s="1507"/>
      <c r="BP44" s="1508"/>
    </row>
    <row r="45" spans="1:82" ht="7.5" customHeight="1" x14ac:dyDescent="0.25"/>
    <row r="46" spans="1:82" ht="18.75" hidden="1" customHeight="1" x14ac:dyDescent="0.25">
      <c r="A46" s="157"/>
      <c r="B46" s="1069" t="s">
        <v>491</v>
      </c>
      <c r="C46" s="158"/>
      <c r="D46" s="158"/>
      <c r="E46" s="158"/>
      <c r="F46" s="158"/>
      <c r="G46" s="158"/>
      <c r="H46" s="158"/>
      <c r="I46" s="158"/>
      <c r="J46" s="158"/>
      <c r="K46" s="202"/>
      <c r="L46" s="203"/>
      <c r="M46" s="203"/>
      <c r="N46" s="204"/>
      <c r="O46" s="204"/>
      <c r="P46" s="1064"/>
      <c r="Q46" s="204"/>
      <c r="R46" s="1065"/>
      <c r="S46" s="204"/>
      <c r="T46" s="204"/>
      <c r="U46" s="202"/>
      <c r="V46" s="204"/>
      <c r="W46" s="204"/>
      <c r="X46" s="204"/>
      <c r="Y46" s="206"/>
      <c r="Z46" s="203"/>
      <c r="AA46" s="207"/>
      <c r="AB46" s="207"/>
      <c r="AC46" s="208"/>
      <c r="AD46" s="208"/>
      <c r="AE46" s="202"/>
      <c r="AF46" s="203"/>
      <c r="AG46" s="203"/>
      <c r="AH46" s="203"/>
      <c r="AI46" s="203"/>
      <c r="AJ46" s="203"/>
      <c r="AK46" s="207"/>
      <c r="AL46" s="207"/>
      <c r="AM46" s="206"/>
      <c r="AN46" s="206"/>
      <c r="AO46" s="202"/>
      <c r="AP46" s="206"/>
      <c r="AQ46" s="206"/>
      <c r="AR46" s="206"/>
      <c r="AS46" s="206"/>
      <c r="AT46" s="206"/>
      <c r="AU46" s="207"/>
      <c r="AV46" s="207"/>
      <c r="AW46" s="209"/>
      <c r="AX46" s="209"/>
      <c r="AY46" s="202"/>
      <c r="AZ46" s="209"/>
      <c r="BA46" s="209"/>
      <c r="BB46" s="206"/>
      <c r="BC46" s="206"/>
      <c r="BD46" s="206"/>
      <c r="BE46" s="207"/>
      <c r="BF46" s="207"/>
      <c r="BG46" s="206"/>
      <c r="BH46" s="206"/>
      <c r="BI46" s="202"/>
      <c r="BJ46" s="206"/>
      <c r="BK46" s="206"/>
      <c r="BL46" s="206"/>
      <c r="BM46" s="206"/>
      <c r="BN46" s="206"/>
      <c r="BO46" s="207"/>
      <c r="BP46" s="207"/>
      <c r="BQ46" s="152"/>
      <c r="BR46" s="152"/>
      <c r="BS46" s="152"/>
      <c r="BT46" s="152"/>
      <c r="BU46" s="152"/>
      <c r="BV46" s="152"/>
      <c r="BW46" s="152"/>
      <c r="BX46" s="152"/>
      <c r="BY46" s="152"/>
      <c r="BZ46" s="152"/>
      <c r="CA46" s="152"/>
      <c r="CB46" s="152"/>
      <c r="CC46" s="152"/>
      <c r="CD46" s="152"/>
    </row>
    <row r="47" spans="1:82" ht="7.5" hidden="1" customHeight="1" x14ac:dyDescent="0.25">
      <c r="B47" s="198"/>
    </row>
    <row r="48" spans="1:82" ht="18.75" hidden="1" customHeight="1" x14ac:dyDescent="0.25">
      <c r="A48" s="19"/>
      <c r="B48" s="198" t="s">
        <v>2037</v>
      </c>
      <c r="C48" s="292"/>
      <c r="D48" s="292"/>
      <c r="E48" s="292"/>
      <c r="F48" s="292"/>
      <c r="G48" s="292"/>
      <c r="H48" s="292"/>
      <c r="I48" s="292"/>
      <c r="J48" s="292"/>
      <c r="K48" s="1615"/>
      <c r="L48" s="1616"/>
      <c r="M48" s="1616"/>
      <c r="N48" s="1616"/>
      <c r="O48" s="1616"/>
      <c r="P48" s="1616"/>
      <c r="Q48" s="1616"/>
      <c r="R48" s="1617"/>
      <c r="T48" s="83" t="s">
        <v>539</v>
      </c>
      <c r="U48" s="1615"/>
      <c r="V48" s="1616"/>
      <c r="W48" s="1616"/>
      <c r="X48" s="1616"/>
      <c r="Y48" s="1616"/>
      <c r="Z48" s="1616"/>
      <c r="AA48" s="1616"/>
      <c r="AB48" s="1617"/>
      <c r="AD48" s="83" t="s">
        <v>549</v>
      </c>
      <c r="AE48" s="1615"/>
      <c r="AF48" s="1616"/>
      <c r="AG48" s="1616"/>
      <c r="AH48" s="1616"/>
      <c r="AI48" s="1616"/>
      <c r="AJ48" s="1616"/>
      <c r="AK48" s="1616"/>
      <c r="AL48" s="1617"/>
      <c r="AN48" s="83" t="s">
        <v>559</v>
      </c>
      <c r="AO48" s="1615"/>
      <c r="AP48" s="1616"/>
      <c r="AQ48" s="1616"/>
      <c r="AR48" s="1616"/>
      <c r="AS48" s="1616"/>
      <c r="AT48" s="1616"/>
      <c r="AU48" s="1616"/>
      <c r="AV48" s="1617"/>
      <c r="AX48" s="83" t="s">
        <v>569</v>
      </c>
      <c r="AY48" s="1615"/>
      <c r="AZ48" s="1616"/>
      <c r="BA48" s="1616"/>
      <c r="BB48" s="1616"/>
      <c r="BC48" s="1616"/>
      <c r="BD48" s="1616"/>
      <c r="BE48" s="1616"/>
      <c r="BF48" s="1617"/>
      <c r="BH48" s="83" t="s">
        <v>579</v>
      </c>
      <c r="BI48" s="1615"/>
      <c r="BJ48" s="1616"/>
      <c r="BK48" s="1616"/>
      <c r="BL48" s="1616"/>
      <c r="BM48" s="1616"/>
      <c r="BN48" s="1616"/>
      <c r="BO48" s="1616"/>
      <c r="BP48" s="1617"/>
      <c r="BQ48" s="169"/>
      <c r="CC48" s="22"/>
      <c r="CD48" s="22"/>
    </row>
    <row r="49" spans="1:82" ht="18.75" hidden="1" customHeight="1" x14ac:dyDescent="0.25">
      <c r="A49" s="19"/>
      <c r="B49" s="198" t="s">
        <v>2038</v>
      </c>
      <c r="C49" s="292"/>
      <c r="D49" s="292"/>
      <c r="E49" s="292"/>
      <c r="F49" s="292"/>
      <c r="G49" s="292"/>
      <c r="H49" s="292"/>
      <c r="I49" s="292"/>
      <c r="J49" s="292"/>
      <c r="K49" s="1615"/>
      <c r="L49" s="1616"/>
      <c r="M49" s="1616"/>
      <c r="N49" s="1616"/>
      <c r="O49" s="1616"/>
      <c r="P49" s="1616"/>
      <c r="Q49" s="1616"/>
      <c r="R49" s="1617"/>
      <c r="T49" s="83" t="s">
        <v>539</v>
      </c>
      <c r="U49" s="1615"/>
      <c r="V49" s="1616"/>
      <c r="W49" s="1616"/>
      <c r="X49" s="1616"/>
      <c r="Y49" s="1616"/>
      <c r="Z49" s="1616"/>
      <c r="AA49" s="1616"/>
      <c r="AB49" s="1617"/>
      <c r="AD49" s="83" t="s">
        <v>549</v>
      </c>
      <c r="AE49" s="1615"/>
      <c r="AF49" s="1616"/>
      <c r="AG49" s="1616"/>
      <c r="AH49" s="1616"/>
      <c r="AI49" s="1616"/>
      <c r="AJ49" s="1616"/>
      <c r="AK49" s="1616"/>
      <c r="AL49" s="1617"/>
      <c r="AN49" s="83" t="s">
        <v>559</v>
      </c>
      <c r="AO49" s="1615"/>
      <c r="AP49" s="1616"/>
      <c r="AQ49" s="1616"/>
      <c r="AR49" s="1616"/>
      <c r="AS49" s="1616"/>
      <c r="AT49" s="1616"/>
      <c r="AU49" s="1616"/>
      <c r="AV49" s="1617"/>
      <c r="AX49" s="83" t="s">
        <v>569</v>
      </c>
      <c r="AY49" s="1615"/>
      <c r="AZ49" s="1616"/>
      <c r="BA49" s="1616"/>
      <c r="BB49" s="1616"/>
      <c r="BC49" s="1616"/>
      <c r="BD49" s="1616"/>
      <c r="BE49" s="1616"/>
      <c r="BF49" s="1617"/>
      <c r="BH49" s="83" t="s">
        <v>579</v>
      </c>
      <c r="BI49" s="1615"/>
      <c r="BJ49" s="1616"/>
      <c r="BK49" s="1616"/>
      <c r="BL49" s="1616"/>
      <c r="BM49" s="1616"/>
      <c r="BN49" s="1616"/>
      <c r="BO49" s="1616"/>
      <c r="BP49" s="1617"/>
      <c r="BQ49" s="169"/>
      <c r="CC49" s="22"/>
      <c r="CD49" s="22"/>
    </row>
    <row r="50" spans="1:82" ht="18.75" hidden="1" customHeight="1" x14ac:dyDescent="0.25">
      <c r="A50" s="19"/>
      <c r="B50" s="198" t="s">
        <v>2039</v>
      </c>
      <c r="C50" s="292"/>
      <c r="D50" s="292"/>
      <c r="E50" s="292"/>
      <c r="F50" s="292"/>
      <c r="G50" s="292"/>
      <c r="H50" s="292"/>
      <c r="I50" s="292"/>
      <c r="J50" s="292"/>
      <c r="K50" s="1615"/>
      <c r="L50" s="1616"/>
      <c r="M50" s="1616"/>
      <c r="N50" s="1616"/>
      <c r="O50" s="1616"/>
      <c r="P50" s="1616"/>
      <c r="Q50" s="1616"/>
      <c r="R50" s="1617"/>
      <c r="T50" s="83" t="s">
        <v>539</v>
      </c>
      <c r="U50" s="1615"/>
      <c r="V50" s="1616"/>
      <c r="W50" s="1616"/>
      <c r="X50" s="1616"/>
      <c r="Y50" s="1616"/>
      <c r="Z50" s="1616"/>
      <c r="AA50" s="1616"/>
      <c r="AB50" s="1617"/>
      <c r="AD50" s="83" t="s">
        <v>549</v>
      </c>
      <c r="AE50" s="1615"/>
      <c r="AF50" s="1616"/>
      <c r="AG50" s="1616"/>
      <c r="AH50" s="1616"/>
      <c r="AI50" s="1616"/>
      <c r="AJ50" s="1616"/>
      <c r="AK50" s="1616"/>
      <c r="AL50" s="1617"/>
      <c r="AN50" s="83" t="s">
        <v>559</v>
      </c>
      <c r="AO50" s="1615"/>
      <c r="AP50" s="1616"/>
      <c r="AQ50" s="1616"/>
      <c r="AR50" s="1616"/>
      <c r="AS50" s="1616"/>
      <c r="AT50" s="1616"/>
      <c r="AU50" s="1616"/>
      <c r="AV50" s="1617"/>
      <c r="AX50" s="83" t="s">
        <v>569</v>
      </c>
      <c r="AY50" s="1615"/>
      <c r="AZ50" s="1616"/>
      <c r="BA50" s="1616"/>
      <c r="BB50" s="1616"/>
      <c r="BC50" s="1616"/>
      <c r="BD50" s="1616"/>
      <c r="BE50" s="1616"/>
      <c r="BF50" s="1617"/>
      <c r="BH50" s="83" t="s">
        <v>579</v>
      </c>
      <c r="BI50" s="1615"/>
      <c r="BJ50" s="1616"/>
      <c r="BK50" s="1616"/>
      <c r="BL50" s="1616"/>
      <c r="BM50" s="1616"/>
      <c r="BN50" s="1616"/>
      <c r="BO50" s="1616"/>
      <c r="BP50" s="1617"/>
      <c r="BQ50" s="169"/>
      <c r="CC50" s="22"/>
      <c r="CD50" s="22"/>
    </row>
    <row r="51" spans="1:82" ht="18.75" hidden="1" customHeight="1" x14ac:dyDescent="0.25">
      <c r="B51" s="198" t="s">
        <v>850</v>
      </c>
      <c r="J51" s="574">
        <f>MAX(SCAApp1SpouseNumberofEmployers,SCAApp2SpouseNumberofEmployers,SCAApp3SpouseNumberofEmployers,SCAApp4SpouseNumberofEmployers,SCAApp5SpouseNumberofEmployers,SCAApp6SpouseNumberofEmployers)</f>
        <v>1</v>
      </c>
      <c r="K51" s="1637">
        <v>1</v>
      </c>
      <c r="L51" s="1638"/>
      <c r="M51" s="1638"/>
      <c r="N51" s="1638"/>
      <c r="O51" s="1638"/>
      <c r="P51" s="1638"/>
      <c r="Q51" s="1638"/>
      <c r="R51" s="1639"/>
      <c r="T51" s="83"/>
      <c r="U51" s="1637">
        <v>1</v>
      </c>
      <c r="V51" s="1638"/>
      <c r="W51" s="1638"/>
      <c r="X51" s="1638"/>
      <c r="Y51" s="1638"/>
      <c r="Z51" s="1638"/>
      <c r="AA51" s="1638"/>
      <c r="AB51" s="1639"/>
      <c r="AD51" s="83"/>
      <c r="AE51" s="1637">
        <v>1</v>
      </c>
      <c r="AF51" s="1638"/>
      <c r="AG51" s="1638"/>
      <c r="AH51" s="1638"/>
      <c r="AI51" s="1638"/>
      <c r="AJ51" s="1638"/>
      <c r="AK51" s="1638"/>
      <c r="AL51" s="1639"/>
      <c r="AN51" s="83"/>
      <c r="AO51" s="1637">
        <v>1</v>
      </c>
      <c r="AP51" s="1638"/>
      <c r="AQ51" s="1638"/>
      <c r="AR51" s="1638"/>
      <c r="AS51" s="1638"/>
      <c r="AT51" s="1638"/>
      <c r="AU51" s="1638"/>
      <c r="AV51" s="1639"/>
      <c r="AX51" s="83"/>
      <c r="AY51" s="1637">
        <v>1</v>
      </c>
      <c r="AZ51" s="1638"/>
      <c r="BA51" s="1638"/>
      <c r="BB51" s="1638"/>
      <c r="BC51" s="1638"/>
      <c r="BD51" s="1638"/>
      <c r="BE51" s="1638"/>
      <c r="BF51" s="1639"/>
      <c r="BH51" s="83"/>
      <c r="BI51" s="1637">
        <v>1</v>
      </c>
      <c r="BJ51" s="1638"/>
      <c r="BK51" s="1638"/>
      <c r="BL51" s="1638"/>
      <c r="BM51" s="1638"/>
      <c r="BN51" s="1638"/>
      <c r="BO51" s="1638"/>
      <c r="BP51" s="1639"/>
    </row>
    <row r="52" spans="1:82" ht="18.75" hidden="1" customHeight="1" x14ac:dyDescent="0.25">
      <c r="B52" s="198" t="s">
        <v>486</v>
      </c>
      <c r="J52" s="83" t="s">
        <v>533</v>
      </c>
      <c r="K52" s="1592">
        <f>VLOOKUP(J52,AICEmployerIncomeDataTable[],MATCH("TotalAssessedAnnualIncome",AICEmployerIncomeDataTable[#Headers],0),FALSE)</f>
        <v>0</v>
      </c>
      <c r="L52" s="1593"/>
      <c r="M52" s="1593"/>
      <c r="N52" s="1593"/>
      <c r="O52" s="1593"/>
      <c r="P52" s="1593"/>
      <c r="Q52" s="1593"/>
      <c r="R52" s="1594"/>
      <c r="T52" s="83" t="s">
        <v>543</v>
      </c>
      <c r="U52" s="1592">
        <f>VLOOKUP(T52,AICEmployerIncomeDataTable[],MATCH("TotalAssessedAnnualIncome",AICEmployerIncomeDataTable[#Headers],0),FALSE)</f>
        <v>0</v>
      </c>
      <c r="V52" s="1593"/>
      <c r="W52" s="1593"/>
      <c r="X52" s="1593"/>
      <c r="Y52" s="1593"/>
      <c r="Z52" s="1593"/>
      <c r="AA52" s="1593"/>
      <c r="AB52" s="1594"/>
      <c r="AD52" s="83" t="s">
        <v>553</v>
      </c>
      <c r="AE52" s="1592">
        <f>VLOOKUP(AD52,AICEmployerIncomeDataTable[],MATCH("TotalAssessedAnnualIncome",AICEmployerIncomeDataTable[#Headers],0),FALSE)</f>
        <v>0</v>
      </c>
      <c r="AF52" s="1593"/>
      <c r="AG52" s="1593"/>
      <c r="AH52" s="1593"/>
      <c r="AI52" s="1593"/>
      <c r="AJ52" s="1593"/>
      <c r="AK52" s="1593"/>
      <c r="AL52" s="1594"/>
      <c r="AN52" s="83" t="s">
        <v>563</v>
      </c>
      <c r="AO52" s="1592">
        <f>VLOOKUP(AN52,AICEmployerIncomeDataTable[],MATCH("TotalAssessedAnnualIncome",AICEmployerIncomeDataTable[#Headers],0),FALSE)</f>
        <v>0</v>
      </c>
      <c r="AP52" s="1593"/>
      <c r="AQ52" s="1593"/>
      <c r="AR52" s="1593"/>
      <c r="AS52" s="1593"/>
      <c r="AT52" s="1593"/>
      <c r="AU52" s="1593"/>
      <c r="AV52" s="1594"/>
      <c r="AX52" s="83" t="s">
        <v>573</v>
      </c>
      <c r="AY52" s="1592">
        <f>VLOOKUP(AX52,AICEmployerIncomeDataTable[],MATCH("TotalAssessedAnnualIncome",AICEmployerIncomeDataTable[#Headers],0),FALSE)</f>
        <v>0</v>
      </c>
      <c r="AZ52" s="1593"/>
      <c r="BA52" s="1593"/>
      <c r="BB52" s="1593"/>
      <c r="BC52" s="1593"/>
      <c r="BD52" s="1593"/>
      <c r="BE52" s="1593"/>
      <c r="BF52" s="1594"/>
      <c r="BH52" s="83" t="s">
        <v>583</v>
      </c>
      <c r="BI52" s="1592">
        <f>VLOOKUP(BH52,AICEmployerIncomeDataTable[],MATCH("TotalAssessedAnnualIncome",AICEmployerIncomeDataTable[#Headers],0),FALSE)</f>
        <v>0</v>
      </c>
      <c r="BJ52" s="1593"/>
      <c r="BK52" s="1593"/>
      <c r="BL52" s="1593"/>
      <c r="BM52" s="1593"/>
      <c r="BN52" s="1593"/>
      <c r="BO52" s="1593"/>
      <c r="BP52" s="1594"/>
    </row>
    <row r="53" spans="1:82" ht="18.75" hidden="1" customHeight="1" x14ac:dyDescent="0.25">
      <c r="B53" s="198" t="s">
        <v>487</v>
      </c>
      <c r="J53" s="83" t="s">
        <v>534</v>
      </c>
      <c r="K53" s="1592">
        <f>VLOOKUP(J53,AICEmployerIncomeDataTable[],MATCH("TotalAssessedAnnualIncome",AICEmployerIncomeDataTable[#Headers],0),FALSE)</f>
        <v>0</v>
      </c>
      <c r="L53" s="1593"/>
      <c r="M53" s="1593"/>
      <c r="N53" s="1593"/>
      <c r="O53" s="1593"/>
      <c r="P53" s="1593"/>
      <c r="Q53" s="1593"/>
      <c r="R53" s="1594"/>
      <c r="T53" s="83" t="s">
        <v>544</v>
      </c>
      <c r="U53" s="1592">
        <f>VLOOKUP(T53,AICEmployerIncomeDataTable[],MATCH("TotalAssessedAnnualIncome",AICEmployerIncomeDataTable[#Headers],0),FALSE)</f>
        <v>0</v>
      </c>
      <c r="V53" s="1593"/>
      <c r="W53" s="1593"/>
      <c r="X53" s="1593"/>
      <c r="Y53" s="1593"/>
      <c r="Z53" s="1593"/>
      <c r="AA53" s="1593"/>
      <c r="AB53" s="1594"/>
      <c r="AD53" s="83" t="s">
        <v>554</v>
      </c>
      <c r="AE53" s="1592">
        <f>VLOOKUP(AD53,AICEmployerIncomeDataTable[],MATCH("TotalAssessedAnnualIncome",AICEmployerIncomeDataTable[#Headers],0),FALSE)</f>
        <v>0</v>
      </c>
      <c r="AF53" s="1593"/>
      <c r="AG53" s="1593"/>
      <c r="AH53" s="1593"/>
      <c r="AI53" s="1593"/>
      <c r="AJ53" s="1593"/>
      <c r="AK53" s="1593"/>
      <c r="AL53" s="1594"/>
      <c r="AN53" s="83" t="s">
        <v>564</v>
      </c>
      <c r="AO53" s="1592">
        <f>VLOOKUP(AN53,AICEmployerIncomeDataTable[],MATCH("TotalAssessedAnnualIncome",AICEmployerIncomeDataTable[#Headers],0),FALSE)</f>
        <v>0</v>
      </c>
      <c r="AP53" s="1593"/>
      <c r="AQ53" s="1593"/>
      <c r="AR53" s="1593"/>
      <c r="AS53" s="1593"/>
      <c r="AT53" s="1593"/>
      <c r="AU53" s="1593"/>
      <c r="AV53" s="1594"/>
      <c r="AX53" s="83" t="s">
        <v>574</v>
      </c>
      <c r="AY53" s="1592">
        <f>VLOOKUP(AX53,AICEmployerIncomeDataTable[],MATCH("TotalAssessedAnnualIncome",AICEmployerIncomeDataTable[#Headers],0),FALSE)</f>
        <v>0</v>
      </c>
      <c r="AZ53" s="1593"/>
      <c r="BA53" s="1593"/>
      <c r="BB53" s="1593"/>
      <c r="BC53" s="1593"/>
      <c r="BD53" s="1593"/>
      <c r="BE53" s="1593"/>
      <c r="BF53" s="1594"/>
      <c r="BH53" s="83" t="s">
        <v>584</v>
      </c>
      <c r="BI53" s="1592">
        <f>VLOOKUP(BH53,AICEmployerIncomeDataTable[],MATCH("TotalAssessedAnnualIncome",AICEmployerIncomeDataTable[#Headers],0),FALSE)</f>
        <v>0</v>
      </c>
      <c r="BJ53" s="1593"/>
      <c r="BK53" s="1593"/>
      <c r="BL53" s="1593"/>
      <c r="BM53" s="1593"/>
      <c r="BN53" s="1593"/>
      <c r="BO53" s="1593"/>
      <c r="BP53" s="1594"/>
    </row>
    <row r="54" spans="1:82" ht="18.75" hidden="1" customHeight="1" x14ac:dyDescent="0.25">
      <c r="B54" s="198" t="s">
        <v>488</v>
      </c>
      <c r="J54" s="83" t="s">
        <v>535</v>
      </c>
      <c r="K54" s="1592">
        <f>VLOOKUP(J54,AICEmployerIncomeDataTable[],MATCH("TotalAssessedAnnualIncome",AICEmployerIncomeDataTable[#Headers],0),FALSE)</f>
        <v>0</v>
      </c>
      <c r="L54" s="1593"/>
      <c r="M54" s="1593"/>
      <c r="N54" s="1593"/>
      <c r="O54" s="1593"/>
      <c r="P54" s="1593"/>
      <c r="Q54" s="1593"/>
      <c r="R54" s="1594"/>
      <c r="T54" s="83" t="s">
        <v>545</v>
      </c>
      <c r="U54" s="1592">
        <f>VLOOKUP(T54,AICEmployerIncomeDataTable[],MATCH("TotalAssessedAnnualIncome",AICEmployerIncomeDataTable[#Headers],0),FALSE)</f>
        <v>0</v>
      </c>
      <c r="V54" s="1593"/>
      <c r="W54" s="1593"/>
      <c r="X54" s="1593"/>
      <c r="Y54" s="1593"/>
      <c r="Z54" s="1593"/>
      <c r="AA54" s="1593"/>
      <c r="AB54" s="1594"/>
      <c r="AD54" s="83" t="s">
        <v>555</v>
      </c>
      <c r="AE54" s="1592">
        <f>VLOOKUP(AD54,AICEmployerIncomeDataTable[],MATCH("TotalAssessedAnnualIncome",AICEmployerIncomeDataTable[#Headers],0),FALSE)</f>
        <v>0</v>
      </c>
      <c r="AF54" s="1593"/>
      <c r="AG54" s="1593"/>
      <c r="AH54" s="1593"/>
      <c r="AI54" s="1593"/>
      <c r="AJ54" s="1593"/>
      <c r="AK54" s="1593"/>
      <c r="AL54" s="1594"/>
      <c r="AN54" s="83" t="s">
        <v>565</v>
      </c>
      <c r="AO54" s="1592">
        <f>VLOOKUP(AN54,AICEmployerIncomeDataTable[],MATCH("TotalAssessedAnnualIncome",AICEmployerIncomeDataTable[#Headers],0),FALSE)</f>
        <v>0</v>
      </c>
      <c r="AP54" s="1593"/>
      <c r="AQ54" s="1593"/>
      <c r="AR54" s="1593"/>
      <c r="AS54" s="1593"/>
      <c r="AT54" s="1593"/>
      <c r="AU54" s="1593"/>
      <c r="AV54" s="1594"/>
      <c r="AX54" s="83" t="s">
        <v>575</v>
      </c>
      <c r="AY54" s="1592">
        <f>VLOOKUP(AX54,AICEmployerIncomeDataTable[],MATCH("TotalAssessedAnnualIncome",AICEmployerIncomeDataTable[#Headers],0),FALSE)</f>
        <v>0</v>
      </c>
      <c r="AZ54" s="1593"/>
      <c r="BA54" s="1593"/>
      <c r="BB54" s="1593"/>
      <c r="BC54" s="1593"/>
      <c r="BD54" s="1593"/>
      <c r="BE54" s="1593"/>
      <c r="BF54" s="1594"/>
      <c r="BH54" s="83" t="s">
        <v>585</v>
      </c>
      <c r="BI54" s="1592">
        <f>VLOOKUP(BH54,AICEmployerIncomeDataTable[],MATCH("TotalAssessedAnnualIncome",AICEmployerIncomeDataTable[#Headers],0),FALSE)</f>
        <v>0</v>
      </c>
      <c r="BJ54" s="1593"/>
      <c r="BK54" s="1593"/>
      <c r="BL54" s="1593"/>
      <c r="BM54" s="1593"/>
      <c r="BN54" s="1593"/>
      <c r="BO54" s="1593"/>
      <c r="BP54" s="1594"/>
    </row>
    <row r="55" spans="1:82" ht="18.75" hidden="1" customHeight="1" x14ac:dyDescent="0.25">
      <c r="B55" s="198" t="s">
        <v>489</v>
      </c>
      <c r="J55" s="83" t="s">
        <v>536</v>
      </c>
      <c r="K55" s="1592">
        <f>VLOOKUP(J55,AICEmployerIncomeDataTable[],MATCH("TotalAssessedAnnualIncome",AICEmployerIncomeDataTable[#Headers],0),FALSE)</f>
        <v>0</v>
      </c>
      <c r="L55" s="1593"/>
      <c r="M55" s="1593"/>
      <c r="N55" s="1593"/>
      <c r="O55" s="1593"/>
      <c r="P55" s="1593"/>
      <c r="Q55" s="1593"/>
      <c r="R55" s="1594"/>
      <c r="T55" s="83" t="s">
        <v>546</v>
      </c>
      <c r="U55" s="1592">
        <f>VLOOKUP(T55,AICEmployerIncomeDataTable[],MATCH("TotalAssessedAnnualIncome",AICEmployerIncomeDataTable[#Headers],0),FALSE)</f>
        <v>0</v>
      </c>
      <c r="V55" s="1593"/>
      <c r="W55" s="1593"/>
      <c r="X55" s="1593"/>
      <c r="Y55" s="1593"/>
      <c r="Z55" s="1593"/>
      <c r="AA55" s="1593"/>
      <c r="AB55" s="1594"/>
      <c r="AD55" s="83" t="s">
        <v>556</v>
      </c>
      <c r="AE55" s="1592">
        <f>VLOOKUP(AD55,AICEmployerIncomeDataTable[],MATCH("TotalAssessedAnnualIncome",AICEmployerIncomeDataTable[#Headers],0),FALSE)</f>
        <v>0</v>
      </c>
      <c r="AF55" s="1593"/>
      <c r="AG55" s="1593"/>
      <c r="AH55" s="1593"/>
      <c r="AI55" s="1593"/>
      <c r="AJ55" s="1593"/>
      <c r="AK55" s="1593"/>
      <c r="AL55" s="1594"/>
      <c r="AN55" s="83" t="s">
        <v>566</v>
      </c>
      <c r="AO55" s="1592">
        <f>VLOOKUP(AN55,AICEmployerIncomeDataTable[],MATCH("TotalAssessedAnnualIncome",AICEmployerIncomeDataTable[#Headers],0),FALSE)</f>
        <v>0</v>
      </c>
      <c r="AP55" s="1593"/>
      <c r="AQ55" s="1593"/>
      <c r="AR55" s="1593"/>
      <c r="AS55" s="1593"/>
      <c r="AT55" s="1593"/>
      <c r="AU55" s="1593"/>
      <c r="AV55" s="1594"/>
      <c r="AX55" s="83" t="s">
        <v>576</v>
      </c>
      <c r="AY55" s="1592">
        <f>VLOOKUP(AX55,AICEmployerIncomeDataTable[],MATCH("TotalAssessedAnnualIncome",AICEmployerIncomeDataTable[#Headers],0),FALSE)</f>
        <v>0</v>
      </c>
      <c r="AZ55" s="1593"/>
      <c r="BA55" s="1593"/>
      <c r="BB55" s="1593"/>
      <c r="BC55" s="1593"/>
      <c r="BD55" s="1593"/>
      <c r="BE55" s="1593"/>
      <c r="BF55" s="1594"/>
      <c r="BH55" s="83" t="s">
        <v>586</v>
      </c>
      <c r="BI55" s="1592">
        <f>VLOOKUP(BH55,AICEmployerIncomeDataTable[],MATCH("TotalAssessedAnnualIncome",AICEmployerIncomeDataTable[#Headers],0),FALSE)</f>
        <v>0</v>
      </c>
      <c r="BJ55" s="1593"/>
      <c r="BK55" s="1593"/>
      <c r="BL55" s="1593"/>
      <c r="BM55" s="1593"/>
      <c r="BN55" s="1593"/>
      <c r="BO55" s="1593"/>
      <c r="BP55" s="1594"/>
    </row>
    <row r="56" spans="1:82" ht="18.75" hidden="1" customHeight="1" x14ac:dyDescent="0.25">
      <c r="B56" s="198" t="s">
        <v>490</v>
      </c>
      <c r="J56" s="83" t="s">
        <v>537</v>
      </c>
      <c r="K56" s="1592">
        <f>VLOOKUP(J56,AICEmployerIncomeDataTable[],MATCH("TotalAssessedAnnualIncome",AICEmployerIncomeDataTable[#Headers],0),FALSE)</f>
        <v>0</v>
      </c>
      <c r="L56" s="1593"/>
      <c r="M56" s="1593"/>
      <c r="N56" s="1593"/>
      <c r="O56" s="1593"/>
      <c r="P56" s="1593"/>
      <c r="Q56" s="1593"/>
      <c r="R56" s="1594"/>
      <c r="T56" s="83" t="s">
        <v>547</v>
      </c>
      <c r="U56" s="1592">
        <f>VLOOKUP(T56,AICEmployerIncomeDataTable[],MATCH("TotalAssessedAnnualIncome",AICEmployerIncomeDataTable[#Headers],0),FALSE)</f>
        <v>0</v>
      </c>
      <c r="V56" s="1593"/>
      <c r="W56" s="1593"/>
      <c r="X56" s="1593"/>
      <c r="Y56" s="1593"/>
      <c r="Z56" s="1593"/>
      <c r="AA56" s="1593"/>
      <c r="AB56" s="1594"/>
      <c r="AD56" s="83" t="s">
        <v>557</v>
      </c>
      <c r="AE56" s="1592">
        <f>VLOOKUP(AD56,AICEmployerIncomeDataTable[],MATCH("TotalAssessedAnnualIncome",AICEmployerIncomeDataTable[#Headers],0),FALSE)</f>
        <v>0</v>
      </c>
      <c r="AF56" s="1593"/>
      <c r="AG56" s="1593"/>
      <c r="AH56" s="1593"/>
      <c r="AI56" s="1593"/>
      <c r="AJ56" s="1593"/>
      <c r="AK56" s="1593"/>
      <c r="AL56" s="1594"/>
      <c r="AN56" s="83" t="s">
        <v>567</v>
      </c>
      <c r="AO56" s="1592">
        <f>VLOOKUP(AN56,AICEmployerIncomeDataTable[],MATCH("TotalAssessedAnnualIncome",AICEmployerIncomeDataTable[#Headers],0),FALSE)</f>
        <v>0</v>
      </c>
      <c r="AP56" s="1593"/>
      <c r="AQ56" s="1593"/>
      <c r="AR56" s="1593"/>
      <c r="AS56" s="1593"/>
      <c r="AT56" s="1593"/>
      <c r="AU56" s="1593"/>
      <c r="AV56" s="1594"/>
      <c r="AX56" s="83" t="s">
        <v>577</v>
      </c>
      <c r="AY56" s="1592">
        <f>VLOOKUP(AX56,AICEmployerIncomeDataTable[],MATCH("TotalAssessedAnnualIncome",AICEmployerIncomeDataTable[#Headers],0),FALSE)</f>
        <v>0</v>
      </c>
      <c r="AZ56" s="1593"/>
      <c r="BA56" s="1593"/>
      <c r="BB56" s="1593"/>
      <c r="BC56" s="1593"/>
      <c r="BD56" s="1593"/>
      <c r="BE56" s="1593"/>
      <c r="BF56" s="1594"/>
      <c r="BH56" s="83" t="s">
        <v>587</v>
      </c>
      <c r="BI56" s="1592">
        <f>VLOOKUP(BH56,AICEmployerIncomeDataTable[],MATCH("TotalAssessedAnnualIncome",AICEmployerIncomeDataTable[#Headers],0),FALSE)</f>
        <v>0</v>
      </c>
      <c r="BJ56" s="1593"/>
      <c r="BK56" s="1593"/>
      <c r="BL56" s="1593"/>
      <c r="BM56" s="1593"/>
      <c r="BN56" s="1593"/>
      <c r="BO56" s="1593"/>
      <c r="BP56" s="1594"/>
    </row>
    <row r="57" spans="1:82" ht="18.75" hidden="1" customHeight="1" x14ac:dyDescent="0.25">
      <c r="B57" s="198" t="s">
        <v>777</v>
      </c>
      <c r="J57" s="83"/>
      <c r="K57" s="1592">
        <f>'Income Calculation'!E57</f>
        <v>0</v>
      </c>
      <c r="L57" s="1593"/>
      <c r="M57" s="1593"/>
      <c r="N57" s="1593"/>
      <c r="O57" s="1593"/>
      <c r="P57" s="1593"/>
      <c r="Q57" s="1593"/>
      <c r="R57" s="1594"/>
      <c r="T57" s="83"/>
      <c r="U57" s="1592">
        <f>'Income Calculation'!G57</f>
        <v>0</v>
      </c>
      <c r="V57" s="1593"/>
      <c r="W57" s="1593"/>
      <c r="X57" s="1593"/>
      <c r="Y57" s="1593"/>
      <c r="Z57" s="1593"/>
      <c r="AA57" s="1593"/>
      <c r="AB57" s="1594"/>
      <c r="AD57" s="83"/>
      <c r="AE57" s="1592">
        <f>'Income Calculation'!I57</f>
        <v>0</v>
      </c>
      <c r="AF57" s="1593"/>
      <c r="AG57" s="1593"/>
      <c r="AH57" s="1593"/>
      <c r="AI57" s="1593"/>
      <c r="AJ57" s="1593"/>
      <c r="AK57" s="1593"/>
      <c r="AL57" s="1594"/>
      <c r="AN57" s="83"/>
      <c r="AO57" s="1592">
        <f>'Income Calculation'!K57</f>
        <v>0</v>
      </c>
      <c r="AP57" s="1593"/>
      <c r="AQ57" s="1593"/>
      <c r="AR57" s="1593"/>
      <c r="AS57" s="1593"/>
      <c r="AT57" s="1593"/>
      <c r="AU57" s="1593"/>
      <c r="AV57" s="1594"/>
      <c r="AX57" s="83"/>
      <c r="AY57" s="1592">
        <f>'Income Calculation'!M57</f>
        <v>0</v>
      </c>
      <c r="AZ57" s="1593"/>
      <c r="BA57" s="1593"/>
      <c r="BB57" s="1593"/>
      <c r="BC57" s="1593"/>
      <c r="BD57" s="1593"/>
      <c r="BE57" s="1593"/>
      <c r="BF57" s="1594"/>
      <c r="BH57" s="83"/>
      <c r="BI57" s="1592">
        <f>'Income Calculation'!O57</f>
        <v>0</v>
      </c>
      <c r="BJ57" s="1593"/>
      <c r="BK57" s="1593"/>
      <c r="BL57" s="1593"/>
      <c r="BM57" s="1593"/>
      <c r="BN57" s="1593"/>
      <c r="BO57" s="1593"/>
      <c r="BP57" s="1594"/>
    </row>
    <row r="58" spans="1:82" ht="18.75" hidden="1" customHeight="1" x14ac:dyDescent="0.25">
      <c r="B58" s="198" t="s">
        <v>44</v>
      </c>
      <c r="K58" s="1592">
        <f>'Income Calculation'!E62</f>
        <v>0</v>
      </c>
      <c r="L58" s="1593"/>
      <c r="M58" s="1593"/>
      <c r="N58" s="1593"/>
      <c r="O58" s="1593"/>
      <c r="P58" s="1593"/>
      <c r="Q58" s="1593"/>
      <c r="R58" s="1594"/>
      <c r="U58" s="1592">
        <f>'Income Calculation'!G62</f>
        <v>0</v>
      </c>
      <c r="V58" s="1593"/>
      <c r="W58" s="1593"/>
      <c r="X58" s="1593"/>
      <c r="Y58" s="1593"/>
      <c r="Z58" s="1593"/>
      <c r="AA58" s="1593"/>
      <c r="AB58" s="1594"/>
      <c r="AE58" s="1592">
        <f>'Income Calculation'!I62</f>
        <v>0</v>
      </c>
      <c r="AF58" s="1593"/>
      <c r="AG58" s="1593"/>
      <c r="AH58" s="1593"/>
      <c r="AI58" s="1593"/>
      <c r="AJ58" s="1593"/>
      <c r="AK58" s="1593"/>
      <c r="AL58" s="1594"/>
      <c r="AO58" s="1592">
        <f>'Income Calculation'!K62</f>
        <v>0</v>
      </c>
      <c r="AP58" s="1593"/>
      <c r="AQ58" s="1593"/>
      <c r="AR58" s="1593"/>
      <c r="AS58" s="1593"/>
      <c r="AT58" s="1593"/>
      <c r="AU58" s="1593"/>
      <c r="AV58" s="1594"/>
      <c r="AY58" s="1592">
        <f>'Income Calculation'!M62</f>
        <v>0</v>
      </c>
      <c r="AZ58" s="1593"/>
      <c r="BA58" s="1593"/>
      <c r="BB58" s="1593"/>
      <c r="BC58" s="1593"/>
      <c r="BD58" s="1593"/>
      <c r="BE58" s="1593"/>
      <c r="BF58" s="1594"/>
      <c r="BI58" s="1592">
        <f>'Income Calculation'!O62</f>
        <v>0</v>
      </c>
      <c r="BJ58" s="1593"/>
      <c r="BK58" s="1593"/>
      <c r="BL58" s="1593"/>
      <c r="BM58" s="1593"/>
      <c r="BN58" s="1593"/>
      <c r="BO58" s="1593"/>
      <c r="BP58" s="1594"/>
    </row>
    <row r="59" spans="1:82" ht="18.75" hidden="1" customHeight="1" x14ac:dyDescent="0.25">
      <c r="B59" s="198" t="s">
        <v>457</v>
      </c>
      <c r="K59" s="1592">
        <f>SUM('Income Calculation'!E63:E76)</f>
        <v>0</v>
      </c>
      <c r="L59" s="1593"/>
      <c r="M59" s="1593"/>
      <c r="N59" s="1593"/>
      <c r="O59" s="1593"/>
      <c r="P59" s="1593"/>
      <c r="Q59" s="1593"/>
      <c r="R59" s="1594"/>
      <c r="U59" s="1592">
        <f>SUM('Income Calculation'!G63:G76)</f>
        <v>0</v>
      </c>
      <c r="V59" s="1593"/>
      <c r="W59" s="1593"/>
      <c r="X59" s="1593"/>
      <c r="Y59" s="1593"/>
      <c r="Z59" s="1593"/>
      <c r="AA59" s="1593"/>
      <c r="AB59" s="1594"/>
      <c r="AE59" s="1592">
        <f>SUM('Income Calculation'!I63:I76)</f>
        <v>0</v>
      </c>
      <c r="AF59" s="1593"/>
      <c r="AG59" s="1593"/>
      <c r="AH59" s="1593"/>
      <c r="AI59" s="1593"/>
      <c r="AJ59" s="1593"/>
      <c r="AK59" s="1593"/>
      <c r="AL59" s="1594"/>
      <c r="AO59" s="1592">
        <f>SUM('Income Calculation'!K63:K76)</f>
        <v>0</v>
      </c>
      <c r="AP59" s="1593"/>
      <c r="AQ59" s="1593"/>
      <c r="AR59" s="1593"/>
      <c r="AS59" s="1593"/>
      <c r="AT59" s="1593"/>
      <c r="AU59" s="1593"/>
      <c r="AV59" s="1594"/>
      <c r="AY59" s="1592">
        <f>SUM('Income Calculation'!M63:M76)</f>
        <v>0</v>
      </c>
      <c r="AZ59" s="1593"/>
      <c r="BA59" s="1593"/>
      <c r="BB59" s="1593"/>
      <c r="BC59" s="1593"/>
      <c r="BD59" s="1593"/>
      <c r="BE59" s="1593"/>
      <c r="BF59" s="1594"/>
      <c r="BI59" s="1592">
        <f>SUM('Income Calculation'!O63:O76)</f>
        <v>0</v>
      </c>
      <c r="BJ59" s="1593"/>
      <c r="BK59" s="1593"/>
      <c r="BL59" s="1593"/>
      <c r="BM59" s="1593"/>
      <c r="BN59" s="1593"/>
      <c r="BO59" s="1593"/>
      <c r="BP59" s="1594"/>
    </row>
    <row r="60" spans="1:82" ht="18.75" hidden="1" customHeight="1" x14ac:dyDescent="0.25">
      <c r="B60" s="198" t="s">
        <v>288</v>
      </c>
      <c r="K60" s="1600">
        <f>SUM(K48:R50,K52:R59)</f>
        <v>0</v>
      </c>
      <c r="L60" s="1601"/>
      <c r="M60" s="1601"/>
      <c r="N60" s="1601"/>
      <c r="O60" s="1601"/>
      <c r="P60" s="1601"/>
      <c r="Q60" s="1601"/>
      <c r="R60" s="1602"/>
      <c r="U60" s="1600">
        <f>SUM(U48:AB50,U52:AB59)</f>
        <v>0</v>
      </c>
      <c r="V60" s="1601"/>
      <c r="W60" s="1601"/>
      <c r="X60" s="1601"/>
      <c r="Y60" s="1601"/>
      <c r="Z60" s="1601"/>
      <c r="AA60" s="1601"/>
      <c r="AB60" s="1602"/>
      <c r="AE60" s="1600">
        <f>SUM(AE48:AL50,AE52:AL59)</f>
        <v>0</v>
      </c>
      <c r="AF60" s="1601"/>
      <c r="AG60" s="1601"/>
      <c r="AH60" s="1601"/>
      <c r="AI60" s="1601"/>
      <c r="AJ60" s="1601"/>
      <c r="AK60" s="1601"/>
      <c r="AL60" s="1602"/>
      <c r="AO60" s="1600">
        <f>SUM(AO48:AV50,AO52:AV59)</f>
        <v>0</v>
      </c>
      <c r="AP60" s="1601"/>
      <c r="AQ60" s="1601"/>
      <c r="AR60" s="1601"/>
      <c r="AS60" s="1601"/>
      <c r="AT60" s="1601"/>
      <c r="AU60" s="1601"/>
      <c r="AV60" s="1602"/>
      <c r="AY60" s="1600">
        <f>SUM(AY48:BF50,AY52:BF59)</f>
        <v>0</v>
      </c>
      <c r="AZ60" s="1601"/>
      <c r="BA60" s="1601"/>
      <c r="BB60" s="1601"/>
      <c r="BC60" s="1601"/>
      <c r="BD60" s="1601"/>
      <c r="BE60" s="1601"/>
      <c r="BF60" s="1602"/>
      <c r="BI60" s="1600">
        <f>SUM(BI48:BP50,BI52:BP59)</f>
        <v>0</v>
      </c>
      <c r="BJ60" s="1601"/>
      <c r="BK60" s="1601"/>
      <c r="BL60" s="1601"/>
      <c r="BM60" s="1601"/>
      <c r="BN60" s="1601"/>
      <c r="BO60" s="1601"/>
      <c r="BP60" s="1602"/>
    </row>
    <row r="61" spans="1:82" ht="18.75" hidden="1" customHeight="1" x14ac:dyDescent="0.25">
      <c r="B61" s="198" t="s">
        <v>786</v>
      </c>
      <c r="C61" s="1127"/>
      <c r="D61" s="198"/>
      <c r="E61" s="198"/>
      <c r="F61" s="198"/>
      <c r="G61" s="198"/>
      <c r="H61" s="198"/>
      <c r="I61" s="198"/>
      <c r="J61" s="292"/>
      <c r="K61" s="1499">
        <f>ICApp1HouseholdIncomeApportioningRatio</f>
        <v>1</v>
      </c>
      <c r="L61" s="1500"/>
      <c r="M61" s="1500"/>
      <c r="N61" s="1500"/>
      <c r="O61" s="1500"/>
      <c r="P61" s="1500"/>
      <c r="Q61" s="1500"/>
      <c r="R61" s="1501"/>
      <c r="U61" s="1499">
        <f>ICApp2HouseholdIncomeApportioningRatio</f>
        <v>1</v>
      </c>
      <c r="V61" s="1500"/>
      <c r="W61" s="1500"/>
      <c r="X61" s="1500"/>
      <c r="Y61" s="1500"/>
      <c r="Z61" s="1500"/>
      <c r="AA61" s="1500"/>
      <c r="AB61" s="1501"/>
      <c r="AE61" s="1499">
        <f>ICApp3HouseholdIncomeApportioningRatio</f>
        <v>1</v>
      </c>
      <c r="AF61" s="1500"/>
      <c r="AG61" s="1500"/>
      <c r="AH61" s="1500"/>
      <c r="AI61" s="1500"/>
      <c r="AJ61" s="1500"/>
      <c r="AK61" s="1500"/>
      <c r="AL61" s="1501"/>
      <c r="AO61" s="1499">
        <f>ICApp4HouseholdIncomeApportioningRatio</f>
        <v>1</v>
      </c>
      <c r="AP61" s="1500"/>
      <c r="AQ61" s="1500"/>
      <c r="AR61" s="1500"/>
      <c r="AS61" s="1500"/>
      <c r="AT61" s="1500"/>
      <c r="AU61" s="1500"/>
      <c r="AV61" s="1501"/>
      <c r="AY61" s="1499">
        <f>ICApp5HouseholdIncomeApportioningRatio</f>
        <v>1</v>
      </c>
      <c r="AZ61" s="1500"/>
      <c r="BA61" s="1500"/>
      <c r="BB61" s="1500"/>
      <c r="BC61" s="1500"/>
      <c r="BD61" s="1500"/>
      <c r="BE61" s="1500"/>
      <c r="BF61" s="1501"/>
      <c r="BI61" s="1499">
        <f>ICApp6HouseholdIncomeApportioningRatio</f>
        <v>1</v>
      </c>
      <c r="BJ61" s="1500"/>
      <c r="BK61" s="1500"/>
      <c r="BL61" s="1500"/>
      <c r="BM61" s="1500"/>
      <c r="BN61" s="1500"/>
      <c r="BO61" s="1500"/>
      <c r="BP61" s="1501"/>
    </row>
    <row r="62" spans="1:82" ht="7.5" hidden="1" customHeight="1" x14ac:dyDescent="0.25"/>
    <row r="63" spans="1:82" ht="18.75" customHeight="1" x14ac:dyDescent="0.25">
      <c r="A63" s="157"/>
      <c r="B63" s="1069" t="s">
        <v>462</v>
      </c>
      <c r="C63" s="158"/>
      <c r="D63" s="158"/>
      <c r="E63" s="158"/>
      <c r="F63" s="158"/>
      <c r="G63" s="158"/>
      <c r="H63" s="158"/>
      <c r="I63" s="158"/>
      <c r="J63" s="158"/>
      <c r="K63" s="202"/>
      <c r="L63" s="203"/>
      <c r="M63" s="203"/>
      <c r="N63" s="204"/>
      <c r="O63" s="204"/>
      <c r="P63" s="204"/>
      <c r="Q63" s="204"/>
      <c r="R63" s="204"/>
      <c r="S63" s="204"/>
      <c r="T63" s="204"/>
      <c r="U63" s="202"/>
      <c r="V63" s="204"/>
      <c r="W63" s="204"/>
      <c r="X63" s="204"/>
      <c r="Y63" s="206"/>
      <c r="Z63" s="203"/>
      <c r="AA63" s="207"/>
      <c r="AB63" s="207"/>
      <c r="AC63" s="208"/>
      <c r="AD63" s="208"/>
      <c r="AE63" s="202"/>
      <c r="AF63" s="203"/>
      <c r="AG63" s="203"/>
      <c r="AH63" s="203"/>
      <c r="AI63" s="203"/>
      <c r="AJ63" s="203"/>
      <c r="AK63" s="207"/>
      <c r="AL63" s="207"/>
      <c r="AM63" s="206"/>
      <c r="AN63" s="206"/>
      <c r="AO63" s="202"/>
      <c r="AP63" s="206"/>
      <c r="AQ63" s="206"/>
      <c r="AR63" s="206"/>
      <c r="AS63" s="206"/>
      <c r="AT63" s="206"/>
      <c r="AU63" s="207"/>
      <c r="AV63" s="207"/>
      <c r="AW63" s="209"/>
      <c r="AX63" s="209"/>
      <c r="AY63" s="202"/>
      <c r="AZ63" s="209"/>
      <c r="BA63" s="209"/>
      <c r="BB63" s="206"/>
      <c r="BC63" s="206"/>
      <c r="BD63" s="206"/>
      <c r="BE63" s="207"/>
      <c r="BF63" s="207"/>
      <c r="BG63" s="206"/>
      <c r="BH63" s="206"/>
      <c r="BI63" s="202"/>
      <c r="BJ63" s="206"/>
      <c r="BK63" s="206"/>
      <c r="BL63" s="206"/>
      <c r="BM63" s="206"/>
      <c r="BN63" s="206"/>
      <c r="BO63" s="207"/>
      <c r="BP63" s="207"/>
      <c r="BQ63" s="152"/>
      <c r="BR63" s="152"/>
      <c r="BS63" s="152"/>
      <c r="BT63" s="152"/>
      <c r="BU63" s="152"/>
      <c r="BV63" s="152"/>
      <c r="BW63" s="152"/>
      <c r="BX63" s="152"/>
      <c r="BY63" s="152"/>
      <c r="BZ63" s="152"/>
      <c r="CA63" s="152"/>
      <c r="CB63" s="152"/>
      <c r="CC63" s="152"/>
      <c r="CD63" s="152"/>
    </row>
    <row r="64" spans="1:82" ht="7.5" customHeight="1" x14ac:dyDescent="0.25">
      <c r="B64" s="198"/>
    </row>
    <row r="65" spans="1:82" ht="18.75" customHeight="1" x14ac:dyDescent="0.25">
      <c r="B65" s="198" t="s">
        <v>649</v>
      </c>
      <c r="K65" s="1503" t="str">
        <f>ICApp1ForeignIncomeFlag</f>
        <v>No</v>
      </c>
      <c r="L65" s="1504"/>
      <c r="M65" s="1504"/>
      <c r="N65" s="1504"/>
      <c r="O65" s="1504"/>
      <c r="P65" s="1504"/>
      <c r="Q65" s="1504"/>
      <c r="R65" s="1505"/>
      <c r="U65" s="1503" t="str">
        <f>ICApp2ForeignIncomeFlag</f>
        <v>No</v>
      </c>
      <c r="V65" s="1504"/>
      <c r="W65" s="1504"/>
      <c r="X65" s="1504"/>
      <c r="Y65" s="1504"/>
      <c r="Z65" s="1504"/>
      <c r="AA65" s="1504"/>
      <c r="AB65" s="1505"/>
      <c r="AE65" s="1503" t="str">
        <f>ICApp3ForeignIncomeFlag</f>
        <v>No</v>
      </c>
      <c r="AF65" s="1504"/>
      <c r="AG65" s="1504"/>
      <c r="AH65" s="1504"/>
      <c r="AI65" s="1504"/>
      <c r="AJ65" s="1504"/>
      <c r="AK65" s="1504"/>
      <c r="AL65" s="1505"/>
      <c r="AO65" s="1503" t="str">
        <f>ICApp4ForeignIncomeFlag</f>
        <v>No</v>
      </c>
      <c r="AP65" s="1504"/>
      <c r="AQ65" s="1504"/>
      <c r="AR65" s="1504"/>
      <c r="AS65" s="1504"/>
      <c r="AT65" s="1504"/>
      <c r="AU65" s="1504"/>
      <c r="AV65" s="1505"/>
      <c r="AY65" s="1503" t="str">
        <f>ICApp5ForeignIncomeFlag</f>
        <v>No</v>
      </c>
      <c r="AZ65" s="1504"/>
      <c r="BA65" s="1504"/>
      <c r="BB65" s="1504"/>
      <c r="BC65" s="1504"/>
      <c r="BD65" s="1504"/>
      <c r="BE65" s="1504"/>
      <c r="BF65" s="1505"/>
      <c r="BI65" s="1503" t="str">
        <f>ICApp6ForeignIncomeFlag</f>
        <v>No</v>
      </c>
      <c r="BJ65" s="1504"/>
      <c r="BK65" s="1504"/>
      <c r="BL65" s="1504"/>
      <c r="BM65" s="1504"/>
      <c r="BN65" s="1504"/>
      <c r="BO65" s="1504"/>
      <c r="BP65" s="1505"/>
    </row>
    <row r="66" spans="1:82" ht="18.75" customHeight="1" x14ac:dyDescent="0.25">
      <c r="B66" s="198" t="s">
        <v>302</v>
      </c>
      <c r="K66" s="1469">
        <f>SUM('Income Calculation'!E10,'Income Calculation'!E29:E30)/12</f>
        <v>25000</v>
      </c>
      <c r="L66" s="1470"/>
      <c r="M66" s="1470"/>
      <c r="N66" s="1470"/>
      <c r="O66" s="1470"/>
      <c r="P66" s="1470"/>
      <c r="Q66" s="1470"/>
      <c r="R66" s="1471"/>
      <c r="U66" s="1469">
        <f>SUM('Income Calculation'!G10,'Income Calculation'!G29:G30)/12</f>
        <v>0</v>
      </c>
      <c r="V66" s="1470"/>
      <c r="W66" s="1470"/>
      <c r="X66" s="1470"/>
      <c r="Y66" s="1470"/>
      <c r="Z66" s="1470"/>
      <c r="AA66" s="1470"/>
      <c r="AB66" s="1471"/>
      <c r="AE66" s="1469">
        <f>SUM('Income Calculation'!I10,'Income Calculation'!I29:I30)/12</f>
        <v>0</v>
      </c>
      <c r="AF66" s="1470"/>
      <c r="AG66" s="1470"/>
      <c r="AH66" s="1470"/>
      <c r="AI66" s="1470"/>
      <c r="AJ66" s="1470"/>
      <c r="AK66" s="1470"/>
      <c r="AL66" s="1471"/>
      <c r="AO66" s="1469">
        <f>SUM('Income Calculation'!K10,'Income Calculation'!K29:K30)/12</f>
        <v>0</v>
      </c>
      <c r="AP66" s="1470"/>
      <c r="AQ66" s="1470"/>
      <c r="AR66" s="1470"/>
      <c r="AS66" s="1470"/>
      <c r="AT66" s="1470"/>
      <c r="AU66" s="1470"/>
      <c r="AV66" s="1471"/>
      <c r="AY66" s="1469">
        <f>SUM('Income Calculation'!M10,'Income Calculation'!M29:M30)/12</f>
        <v>0</v>
      </c>
      <c r="AZ66" s="1470"/>
      <c r="BA66" s="1470"/>
      <c r="BB66" s="1470"/>
      <c r="BC66" s="1470"/>
      <c r="BD66" s="1470"/>
      <c r="BE66" s="1470"/>
      <c r="BF66" s="1471"/>
      <c r="BI66" s="1469">
        <f>SUM('Income Calculation'!O10,'Income Calculation'!O29:O30)/12</f>
        <v>0</v>
      </c>
      <c r="BJ66" s="1470"/>
      <c r="BK66" s="1470"/>
      <c r="BL66" s="1470"/>
      <c r="BM66" s="1470"/>
      <c r="BN66" s="1470"/>
      <c r="BO66" s="1470"/>
      <c r="BP66" s="1471"/>
    </row>
    <row r="67" spans="1:82" ht="18.75" customHeight="1" x14ac:dyDescent="0.25">
      <c r="B67" s="198" t="s">
        <v>301</v>
      </c>
      <c r="K67" s="1469">
        <f>'Income Calculation'!E11/12</f>
        <v>0</v>
      </c>
      <c r="L67" s="1470"/>
      <c r="M67" s="1470"/>
      <c r="N67" s="1470"/>
      <c r="O67" s="1470"/>
      <c r="P67" s="1470"/>
      <c r="Q67" s="1470"/>
      <c r="R67" s="1471"/>
      <c r="U67" s="1469">
        <f>'Income Calculation'!G11/12</f>
        <v>0</v>
      </c>
      <c r="V67" s="1470"/>
      <c r="W67" s="1470"/>
      <c r="X67" s="1470"/>
      <c r="Y67" s="1470"/>
      <c r="Z67" s="1470"/>
      <c r="AA67" s="1470"/>
      <c r="AB67" s="1471"/>
      <c r="AE67" s="1469">
        <f>'Income Calculation'!I11/12</f>
        <v>0</v>
      </c>
      <c r="AF67" s="1470"/>
      <c r="AG67" s="1470"/>
      <c r="AH67" s="1470"/>
      <c r="AI67" s="1470"/>
      <c r="AJ67" s="1470"/>
      <c r="AK67" s="1470"/>
      <c r="AL67" s="1471"/>
      <c r="AO67" s="1469">
        <f>'Income Calculation'!K11/12</f>
        <v>0</v>
      </c>
      <c r="AP67" s="1470"/>
      <c r="AQ67" s="1470"/>
      <c r="AR67" s="1470"/>
      <c r="AS67" s="1470"/>
      <c r="AT67" s="1470"/>
      <c r="AU67" s="1470"/>
      <c r="AV67" s="1471"/>
      <c r="AY67" s="1469">
        <f>'Income Calculation'!M11/12</f>
        <v>0</v>
      </c>
      <c r="AZ67" s="1470"/>
      <c r="BA67" s="1470"/>
      <c r="BB67" s="1470"/>
      <c r="BC67" s="1470"/>
      <c r="BD67" s="1470"/>
      <c r="BE67" s="1470"/>
      <c r="BF67" s="1471"/>
      <c r="BI67" s="1469">
        <f>'Income Calculation'!O11/12</f>
        <v>0</v>
      </c>
      <c r="BJ67" s="1470"/>
      <c r="BK67" s="1470"/>
      <c r="BL67" s="1470"/>
      <c r="BM67" s="1470"/>
      <c r="BN67" s="1470"/>
      <c r="BO67" s="1470"/>
      <c r="BP67" s="1471"/>
    </row>
    <row r="68" spans="1:82" ht="18.75" customHeight="1" x14ac:dyDescent="0.25">
      <c r="B68" s="198" t="s">
        <v>300</v>
      </c>
      <c r="K68" s="1469">
        <f>'Income Calculation'!E12/12</f>
        <v>0</v>
      </c>
      <c r="L68" s="1470"/>
      <c r="M68" s="1470"/>
      <c r="N68" s="1470"/>
      <c r="O68" s="1470"/>
      <c r="P68" s="1470"/>
      <c r="Q68" s="1470"/>
      <c r="R68" s="1471"/>
      <c r="U68" s="1469">
        <f>'Income Calculation'!G12/12</f>
        <v>0</v>
      </c>
      <c r="V68" s="1470"/>
      <c r="W68" s="1470"/>
      <c r="X68" s="1470"/>
      <c r="Y68" s="1470"/>
      <c r="Z68" s="1470"/>
      <c r="AA68" s="1470"/>
      <c r="AB68" s="1471"/>
      <c r="AE68" s="1469">
        <f>'Income Calculation'!I12/12</f>
        <v>0</v>
      </c>
      <c r="AF68" s="1470"/>
      <c r="AG68" s="1470"/>
      <c r="AH68" s="1470"/>
      <c r="AI68" s="1470"/>
      <c r="AJ68" s="1470"/>
      <c r="AK68" s="1470"/>
      <c r="AL68" s="1471"/>
      <c r="AO68" s="1469">
        <f>'Income Calculation'!K12/12</f>
        <v>0</v>
      </c>
      <c r="AP68" s="1470"/>
      <c r="AQ68" s="1470"/>
      <c r="AR68" s="1470"/>
      <c r="AS68" s="1470"/>
      <c r="AT68" s="1470"/>
      <c r="AU68" s="1470"/>
      <c r="AV68" s="1471"/>
      <c r="AY68" s="1469">
        <f>'Income Calculation'!M12/12</f>
        <v>0</v>
      </c>
      <c r="AZ68" s="1470"/>
      <c r="BA68" s="1470"/>
      <c r="BB68" s="1470"/>
      <c r="BC68" s="1470"/>
      <c r="BD68" s="1470"/>
      <c r="BE68" s="1470"/>
      <c r="BF68" s="1471"/>
      <c r="BI68" s="1469">
        <f>'Income Calculation'!O12/12</f>
        <v>0</v>
      </c>
      <c r="BJ68" s="1470"/>
      <c r="BK68" s="1470"/>
      <c r="BL68" s="1470"/>
      <c r="BM68" s="1470"/>
      <c r="BN68" s="1470"/>
      <c r="BO68" s="1470"/>
      <c r="BP68" s="1471"/>
    </row>
    <row r="69" spans="1:82" ht="18.75" customHeight="1" x14ac:dyDescent="0.25">
      <c r="B69" s="198" t="s">
        <v>44</v>
      </c>
      <c r="K69" s="1469">
        <f>K41/12</f>
        <v>0</v>
      </c>
      <c r="L69" s="1470"/>
      <c r="M69" s="1470"/>
      <c r="N69" s="1470"/>
      <c r="O69" s="1470"/>
      <c r="P69" s="1470"/>
      <c r="Q69" s="1470"/>
      <c r="R69" s="1471"/>
      <c r="U69" s="1469">
        <f>U41/12</f>
        <v>0</v>
      </c>
      <c r="V69" s="1470"/>
      <c r="W69" s="1470"/>
      <c r="X69" s="1470"/>
      <c r="Y69" s="1470"/>
      <c r="Z69" s="1470"/>
      <c r="AA69" s="1470"/>
      <c r="AB69" s="1471"/>
      <c r="AE69" s="1469">
        <f>AE41/12</f>
        <v>0</v>
      </c>
      <c r="AF69" s="1470"/>
      <c r="AG69" s="1470"/>
      <c r="AH69" s="1470"/>
      <c r="AI69" s="1470"/>
      <c r="AJ69" s="1470"/>
      <c r="AK69" s="1470"/>
      <c r="AL69" s="1471"/>
      <c r="AO69" s="1469">
        <f>AO41/12</f>
        <v>0</v>
      </c>
      <c r="AP69" s="1470"/>
      <c r="AQ69" s="1470"/>
      <c r="AR69" s="1470"/>
      <c r="AS69" s="1470"/>
      <c r="AT69" s="1470"/>
      <c r="AU69" s="1470"/>
      <c r="AV69" s="1471"/>
      <c r="AY69" s="1469">
        <f>AY41/12</f>
        <v>0</v>
      </c>
      <c r="AZ69" s="1470"/>
      <c r="BA69" s="1470"/>
      <c r="BB69" s="1470"/>
      <c r="BC69" s="1470"/>
      <c r="BD69" s="1470"/>
      <c r="BE69" s="1470"/>
      <c r="BF69" s="1471"/>
      <c r="BI69" s="1469">
        <f>BI41/12</f>
        <v>0</v>
      </c>
      <c r="BJ69" s="1470"/>
      <c r="BK69" s="1470"/>
      <c r="BL69" s="1470"/>
      <c r="BM69" s="1470"/>
      <c r="BN69" s="1470"/>
      <c r="BO69" s="1470"/>
      <c r="BP69" s="1471"/>
    </row>
    <row r="70" spans="1:82" ht="18.75" customHeight="1" x14ac:dyDescent="0.25">
      <c r="B70" s="198" t="s">
        <v>457</v>
      </c>
      <c r="K70" s="1469">
        <f>K43/12</f>
        <v>0</v>
      </c>
      <c r="L70" s="1470"/>
      <c r="M70" s="1470"/>
      <c r="N70" s="1470"/>
      <c r="O70" s="1470"/>
      <c r="P70" s="1470"/>
      <c r="Q70" s="1470"/>
      <c r="R70" s="1471"/>
      <c r="U70" s="1469">
        <f>U43/12</f>
        <v>0</v>
      </c>
      <c r="V70" s="1470"/>
      <c r="W70" s="1470"/>
      <c r="X70" s="1470"/>
      <c r="Y70" s="1470"/>
      <c r="Z70" s="1470"/>
      <c r="AA70" s="1470"/>
      <c r="AB70" s="1471"/>
      <c r="AE70" s="1469">
        <f>AE43/12</f>
        <v>0</v>
      </c>
      <c r="AF70" s="1470"/>
      <c r="AG70" s="1470"/>
      <c r="AH70" s="1470"/>
      <c r="AI70" s="1470"/>
      <c r="AJ70" s="1470"/>
      <c r="AK70" s="1470"/>
      <c r="AL70" s="1471"/>
      <c r="AO70" s="1469">
        <f>AO43/12</f>
        <v>0</v>
      </c>
      <c r="AP70" s="1470"/>
      <c r="AQ70" s="1470"/>
      <c r="AR70" s="1470"/>
      <c r="AS70" s="1470"/>
      <c r="AT70" s="1470"/>
      <c r="AU70" s="1470"/>
      <c r="AV70" s="1471"/>
      <c r="AY70" s="1469">
        <f>AY43/12</f>
        <v>0</v>
      </c>
      <c r="AZ70" s="1470"/>
      <c r="BA70" s="1470"/>
      <c r="BB70" s="1470"/>
      <c r="BC70" s="1470"/>
      <c r="BD70" s="1470"/>
      <c r="BE70" s="1470"/>
      <c r="BF70" s="1471"/>
      <c r="BI70" s="1469">
        <f>BI43/12</f>
        <v>0</v>
      </c>
      <c r="BJ70" s="1470"/>
      <c r="BK70" s="1470"/>
      <c r="BL70" s="1470"/>
      <c r="BM70" s="1470"/>
      <c r="BN70" s="1470"/>
      <c r="BO70" s="1470"/>
      <c r="BP70" s="1471"/>
    </row>
    <row r="71" spans="1:82" ht="18.75" customHeight="1" x14ac:dyDescent="0.25">
      <c r="B71" s="500" t="s">
        <v>650</v>
      </c>
      <c r="K71" s="1506">
        <f>ICApp1NetIncomeServicing/12</f>
        <v>16071.833333333334</v>
      </c>
      <c r="L71" s="1507"/>
      <c r="M71" s="1507"/>
      <c r="N71" s="1507"/>
      <c r="O71" s="1507"/>
      <c r="P71" s="1507"/>
      <c r="Q71" s="1507"/>
      <c r="R71" s="1508"/>
      <c r="U71" s="1506">
        <f>ICApp2NetIncomeServicing/12</f>
        <v>0</v>
      </c>
      <c r="V71" s="1507"/>
      <c r="W71" s="1507"/>
      <c r="X71" s="1507"/>
      <c r="Y71" s="1507"/>
      <c r="Z71" s="1507"/>
      <c r="AA71" s="1507"/>
      <c r="AB71" s="1508"/>
      <c r="AE71" s="1506">
        <f>ICApp3NetIncomeServicing/12</f>
        <v>0</v>
      </c>
      <c r="AF71" s="1507"/>
      <c r="AG71" s="1507"/>
      <c r="AH71" s="1507"/>
      <c r="AI71" s="1507"/>
      <c r="AJ71" s="1507"/>
      <c r="AK71" s="1507"/>
      <c r="AL71" s="1508"/>
      <c r="AO71" s="1506">
        <f>ICApp4NetIncomeServicing/12</f>
        <v>0</v>
      </c>
      <c r="AP71" s="1507"/>
      <c r="AQ71" s="1507"/>
      <c r="AR71" s="1507"/>
      <c r="AS71" s="1507"/>
      <c r="AT71" s="1507"/>
      <c r="AU71" s="1507"/>
      <c r="AV71" s="1508"/>
      <c r="AY71" s="1506">
        <f>ICApp5NetIncomeServicing/12</f>
        <v>0</v>
      </c>
      <c r="AZ71" s="1507"/>
      <c r="BA71" s="1507"/>
      <c r="BB71" s="1507"/>
      <c r="BC71" s="1507"/>
      <c r="BD71" s="1507"/>
      <c r="BE71" s="1507"/>
      <c r="BF71" s="1508"/>
      <c r="BI71" s="1506">
        <f>ICApp6NetIncomeServicing/12</f>
        <v>0</v>
      </c>
      <c r="BJ71" s="1507"/>
      <c r="BK71" s="1507"/>
      <c r="BL71" s="1507"/>
      <c r="BM71" s="1507"/>
      <c r="BN71" s="1507"/>
      <c r="BO71" s="1507"/>
      <c r="BP71" s="1508"/>
    </row>
    <row r="72" spans="1:82" ht="7.5" customHeight="1" x14ac:dyDescent="0.25"/>
    <row r="73" spans="1:82" ht="18.75" customHeight="1" x14ac:dyDescent="0.25">
      <c r="A73" s="86"/>
      <c r="B73" s="1152" t="s">
        <v>339</v>
      </c>
      <c r="C73" s="193"/>
      <c r="D73" s="193"/>
      <c r="E73" s="193"/>
      <c r="F73" s="193"/>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43"/>
      <c r="AX73" s="143"/>
      <c r="AY73" s="143"/>
      <c r="AZ73" s="143"/>
      <c r="BA73" s="143"/>
      <c r="BB73" s="143"/>
      <c r="BC73" s="143"/>
      <c r="BD73" s="143"/>
      <c r="BE73" s="143"/>
      <c r="BF73" s="143"/>
      <c r="BG73" s="143"/>
      <c r="BH73" s="143"/>
      <c r="BI73" s="143"/>
      <c r="BJ73" s="143"/>
      <c r="BK73" s="143"/>
      <c r="BL73" s="143"/>
      <c r="BM73" s="143"/>
      <c r="BN73" s="143"/>
      <c r="BO73" s="143"/>
      <c r="BP73" s="143"/>
      <c r="BQ73" s="143"/>
      <c r="BR73" s="143"/>
      <c r="BS73" s="143"/>
      <c r="BT73" s="143"/>
      <c r="BU73" s="143"/>
      <c r="BV73" s="143"/>
      <c r="BW73" s="143"/>
      <c r="BX73" s="143"/>
      <c r="BY73" s="143"/>
      <c r="BZ73" s="143"/>
      <c r="CA73" s="143"/>
      <c r="CB73" s="143"/>
      <c r="CC73" s="143"/>
      <c r="CD73" s="143"/>
    </row>
    <row r="74" spans="1:82" ht="7.5" customHeight="1" x14ac:dyDescent="0.25">
      <c r="A74" s="19"/>
      <c r="B74" s="292"/>
      <c r="C74" s="292"/>
      <c r="D74" s="292"/>
      <c r="E74" s="292"/>
      <c r="F74" s="292"/>
      <c r="G74" s="292"/>
      <c r="H74" s="292"/>
      <c r="I74" s="292"/>
      <c r="J74" s="292"/>
      <c r="K74" s="293"/>
      <c r="L74" s="294"/>
      <c r="M74" s="294"/>
      <c r="N74" s="295"/>
      <c r="O74" s="295"/>
      <c r="P74" s="295"/>
      <c r="Q74" s="295"/>
      <c r="R74" s="295"/>
      <c r="S74" s="295"/>
      <c r="T74" s="295"/>
      <c r="U74" s="293"/>
      <c r="V74" s="295"/>
      <c r="W74" s="295"/>
      <c r="X74" s="295"/>
      <c r="Y74" s="296"/>
      <c r="Z74" s="294"/>
      <c r="AA74" s="297"/>
      <c r="AB74" s="297"/>
      <c r="AC74" s="298"/>
      <c r="AD74" s="298"/>
      <c r="AE74" s="293"/>
      <c r="AF74" s="294"/>
      <c r="AG74" s="294"/>
      <c r="AH74" s="294"/>
      <c r="AI74" s="294"/>
      <c r="AJ74" s="294"/>
      <c r="AK74" s="297"/>
      <c r="AL74" s="297"/>
      <c r="AM74" s="296"/>
      <c r="AN74" s="296"/>
      <c r="AO74" s="293"/>
      <c r="AP74" s="296"/>
      <c r="AQ74" s="296"/>
      <c r="AR74" s="296"/>
      <c r="AS74" s="296"/>
      <c r="AT74" s="296"/>
      <c r="AU74" s="297"/>
      <c r="AV74" s="297"/>
      <c r="AW74" s="299"/>
      <c r="AX74" s="299"/>
      <c r="AY74" s="293"/>
      <c r="AZ74" s="299"/>
      <c r="BA74" s="299"/>
      <c r="BB74" s="296"/>
      <c r="BC74" s="296"/>
      <c r="BD74" s="296"/>
      <c r="BE74" s="297"/>
      <c r="BF74" s="297"/>
      <c r="BG74" s="296"/>
      <c r="BH74" s="296"/>
      <c r="BI74" s="293"/>
      <c r="BJ74" s="296"/>
      <c r="BK74" s="296"/>
      <c r="BL74" s="296"/>
      <c r="BM74" s="296"/>
      <c r="BN74" s="296"/>
      <c r="BO74" s="297"/>
      <c r="BP74" s="297"/>
      <c r="BQ74" s="22"/>
      <c r="BR74" s="22"/>
      <c r="BS74" s="22"/>
      <c r="BT74" s="22"/>
      <c r="BU74" s="22"/>
      <c r="BV74" s="22"/>
      <c r="BW74" s="22"/>
      <c r="BX74" s="22"/>
      <c r="BY74" s="22"/>
      <c r="BZ74" s="22"/>
      <c r="CA74" s="22"/>
      <c r="CB74" s="22"/>
      <c r="CC74" s="22"/>
      <c r="CD74" s="22"/>
    </row>
    <row r="75" spans="1:82" ht="18.75" hidden="1" customHeight="1" x14ac:dyDescent="0.25">
      <c r="A75" s="19"/>
      <c r="B75" s="198" t="s">
        <v>2102</v>
      </c>
      <c r="C75" s="1"/>
      <c r="K75" s="1502" t="s">
        <v>2456</v>
      </c>
      <c r="L75" s="1502"/>
      <c r="M75" s="1502"/>
      <c r="N75" s="1502"/>
      <c r="O75" s="1502"/>
      <c r="P75" s="1502"/>
      <c r="Q75" s="1502"/>
      <c r="R75" s="1502"/>
      <c r="BR75" s="22"/>
      <c r="BS75" s="22"/>
      <c r="BT75" s="22"/>
      <c r="BU75" s="22"/>
      <c r="BV75" s="22"/>
      <c r="BW75" s="22"/>
      <c r="BX75" s="22"/>
      <c r="BY75" s="22"/>
      <c r="BZ75" s="22"/>
      <c r="CA75" s="22"/>
      <c r="CB75" s="22"/>
      <c r="CC75" s="22"/>
      <c r="CD75" s="22"/>
    </row>
    <row r="76" spans="1:82" ht="7.5" customHeight="1" x14ac:dyDescent="0.25">
      <c r="A76" s="19"/>
      <c r="B76" s="198"/>
      <c r="C76" s="1127"/>
      <c r="D76" s="198"/>
      <c r="E76" s="198"/>
      <c r="F76" s="198"/>
      <c r="G76" s="198"/>
      <c r="H76" s="198"/>
      <c r="I76" s="198"/>
      <c r="J76" s="292"/>
      <c r="K76" s="293"/>
      <c r="L76" s="294"/>
      <c r="M76" s="294"/>
      <c r="N76" s="295"/>
      <c r="O76" s="295"/>
      <c r="P76" s="295"/>
      <c r="Q76" s="295"/>
      <c r="R76" s="295"/>
      <c r="S76" s="295"/>
      <c r="T76" s="295"/>
      <c r="U76" s="293"/>
      <c r="V76" s="295"/>
      <c r="W76" s="295"/>
      <c r="X76" s="295"/>
      <c r="Y76" s="296"/>
      <c r="Z76" s="294"/>
      <c r="AA76" s="297"/>
      <c r="AB76" s="297"/>
      <c r="AC76" s="298"/>
      <c r="AD76" s="298"/>
      <c r="AE76" s="293"/>
      <c r="AF76" s="294"/>
      <c r="AG76" s="294"/>
      <c r="AH76" s="294"/>
      <c r="AI76" s="294"/>
      <c r="AJ76" s="294"/>
      <c r="AK76" s="297"/>
      <c r="AL76" s="297"/>
      <c r="AM76" s="296"/>
      <c r="AN76" s="296"/>
      <c r="AO76" s="293"/>
      <c r="AP76" s="296"/>
      <c r="AQ76" s="296"/>
      <c r="AR76" s="296"/>
      <c r="AS76" s="296"/>
      <c r="AT76" s="296"/>
      <c r="AU76" s="297"/>
      <c r="AV76" s="297"/>
      <c r="AW76" s="299"/>
      <c r="AX76" s="299"/>
      <c r="AY76" s="293"/>
      <c r="AZ76" s="299"/>
      <c r="BA76" s="299"/>
      <c r="BB76" s="296"/>
      <c r="BC76" s="296"/>
      <c r="BD76" s="296"/>
      <c r="BE76" s="297"/>
      <c r="BF76" s="297"/>
      <c r="BG76" s="296"/>
      <c r="BH76" s="296"/>
      <c r="BI76" s="293"/>
      <c r="BJ76" s="296"/>
      <c r="BK76" s="296"/>
      <c r="BL76" s="296"/>
      <c r="BM76" s="296"/>
      <c r="BN76" s="296"/>
      <c r="BO76" s="297"/>
      <c r="BP76" s="297"/>
      <c r="BQ76" s="22"/>
      <c r="BR76" s="22"/>
      <c r="BS76" s="22"/>
      <c r="BT76" s="22"/>
      <c r="BU76" s="22"/>
      <c r="BV76" s="22"/>
      <c r="BW76" s="22"/>
      <c r="BX76" s="22"/>
      <c r="BY76" s="22"/>
      <c r="BZ76" s="22"/>
      <c r="CA76" s="22"/>
      <c r="CB76" s="22"/>
      <c r="CC76" s="22"/>
      <c r="CD76" s="22"/>
    </row>
    <row r="77" spans="1:82" ht="18.75" customHeight="1" x14ac:dyDescent="0.25">
      <c r="A77" s="19"/>
      <c r="B77" s="1127"/>
      <c r="C77" s="198"/>
      <c r="D77" s="198"/>
      <c r="E77" s="198"/>
      <c r="F77" s="198"/>
      <c r="G77" s="198"/>
      <c r="H77" s="198"/>
      <c r="I77" s="198"/>
      <c r="J77" s="292"/>
      <c r="K77" s="1307" t="str">
        <f>K30</f>
        <v>Applicant 1</v>
      </c>
      <c r="L77" s="1159"/>
      <c r="M77" s="1159"/>
      <c r="N77" s="1160"/>
      <c r="O77" s="1160"/>
      <c r="P77" s="1160"/>
      <c r="Q77" s="1160"/>
      <c r="R77" s="1160"/>
      <c r="S77" s="295"/>
      <c r="T77" s="295"/>
      <c r="U77" s="1307" t="str">
        <f>U30</f>
        <v>Applicant 2</v>
      </c>
      <c r="V77" s="1160"/>
      <c r="W77" s="1160"/>
      <c r="X77" s="1160"/>
      <c r="Y77" s="1161"/>
      <c r="Z77" s="1159"/>
      <c r="AA77" s="1162"/>
      <c r="AB77" s="1162"/>
      <c r="AC77" s="298"/>
      <c r="AD77" s="298"/>
      <c r="AE77" s="1307" t="str">
        <f>AE30</f>
        <v>Applicant 3</v>
      </c>
      <c r="AF77" s="1159"/>
      <c r="AG77" s="1159"/>
      <c r="AH77" s="1159"/>
      <c r="AI77" s="1159"/>
      <c r="AJ77" s="1159"/>
      <c r="AK77" s="1162"/>
      <c r="AL77" s="1162"/>
      <c r="AM77" s="296"/>
      <c r="AN77" s="296"/>
      <c r="AO77" s="1307" t="str">
        <f>AO30</f>
        <v>Applicant 4</v>
      </c>
      <c r="AP77" s="1161"/>
      <c r="AQ77" s="1161"/>
      <c r="AR77" s="1161"/>
      <c r="AS77" s="1161"/>
      <c r="AT77" s="1161"/>
      <c r="AU77" s="1162"/>
      <c r="AV77" s="1162"/>
      <c r="AW77" s="299"/>
      <c r="AX77" s="299"/>
      <c r="AY77" s="1307" t="str">
        <f>AY30</f>
        <v>Applicant 5</v>
      </c>
      <c r="AZ77" s="1163"/>
      <c r="BA77" s="1163"/>
      <c r="BB77" s="1161"/>
      <c r="BC77" s="1161"/>
      <c r="BD77" s="1161"/>
      <c r="BE77" s="1162"/>
      <c r="BF77" s="1162"/>
      <c r="BG77" s="296"/>
      <c r="BH77" s="296"/>
      <c r="BI77" s="1307" t="str">
        <f>BI30</f>
        <v>Applicant 6</v>
      </c>
      <c r="BJ77" s="1161"/>
      <c r="BK77" s="1161"/>
      <c r="BL77" s="1161"/>
      <c r="BM77" s="1161"/>
      <c r="BN77" s="1161"/>
      <c r="BO77" s="1162"/>
      <c r="BP77" s="1162"/>
      <c r="BQ77" s="22"/>
      <c r="BR77" s="22"/>
      <c r="BS77" s="22"/>
      <c r="BT77" s="22"/>
      <c r="BU77" s="22"/>
      <c r="BV77" s="22"/>
      <c r="BW77" s="22"/>
      <c r="BX77" s="22"/>
      <c r="BY77" s="22"/>
      <c r="BZ77" s="22"/>
      <c r="CA77" s="22"/>
      <c r="CB77" s="22"/>
      <c r="CC77" s="22"/>
      <c r="CD77" s="22"/>
    </row>
    <row r="78" spans="1:82" ht="18.75" customHeight="1" x14ac:dyDescent="0.25">
      <c r="A78" s="19"/>
      <c r="B78" s="198" t="s">
        <v>354</v>
      </c>
      <c r="C78" s="1127"/>
      <c r="D78" s="198"/>
      <c r="E78" s="198"/>
      <c r="F78" s="198"/>
      <c r="G78" s="198"/>
      <c r="H78" s="198"/>
      <c r="I78" s="198"/>
      <c r="J78" s="292"/>
      <c r="K78" s="1474"/>
      <c r="L78" s="1475"/>
      <c r="M78" s="1475"/>
      <c r="N78" s="1475"/>
      <c r="O78" s="1475"/>
      <c r="P78" s="1475"/>
      <c r="Q78" s="1475"/>
      <c r="R78" s="1476"/>
      <c r="S78" s="169"/>
      <c r="T78" s="83" t="s">
        <v>539</v>
      </c>
      <c r="U78" s="1474"/>
      <c r="V78" s="1475"/>
      <c r="W78" s="1475"/>
      <c r="X78" s="1475"/>
      <c r="Y78" s="1475"/>
      <c r="Z78" s="1475"/>
      <c r="AA78" s="1475"/>
      <c r="AB78" s="1476"/>
      <c r="AC78" s="169"/>
      <c r="AD78" s="83" t="s">
        <v>549</v>
      </c>
      <c r="AE78" s="1477"/>
      <c r="AF78" s="1478"/>
      <c r="AG78" s="1478"/>
      <c r="AH78" s="1478"/>
      <c r="AI78" s="1478"/>
      <c r="AJ78" s="1478"/>
      <c r="AK78" s="1478"/>
      <c r="AL78" s="1479"/>
      <c r="AM78" s="169"/>
      <c r="AN78" s="83" t="s">
        <v>559</v>
      </c>
      <c r="AO78" s="1477"/>
      <c r="AP78" s="1478"/>
      <c r="AQ78" s="1478"/>
      <c r="AR78" s="1478"/>
      <c r="AS78" s="1478"/>
      <c r="AT78" s="1478"/>
      <c r="AU78" s="1478"/>
      <c r="AV78" s="1479"/>
      <c r="AW78" s="169"/>
      <c r="AX78" s="83" t="s">
        <v>569</v>
      </c>
      <c r="AY78" s="1477"/>
      <c r="AZ78" s="1478"/>
      <c r="BA78" s="1478"/>
      <c r="BB78" s="1478"/>
      <c r="BC78" s="1478"/>
      <c r="BD78" s="1478"/>
      <c r="BE78" s="1478"/>
      <c r="BF78" s="1479"/>
      <c r="BG78" s="169"/>
      <c r="BH78" s="83" t="s">
        <v>579</v>
      </c>
      <c r="BI78" s="1477"/>
      <c r="BJ78" s="1478"/>
      <c r="BK78" s="1478"/>
      <c r="BL78" s="1478"/>
      <c r="BM78" s="1478"/>
      <c r="BN78" s="1478"/>
      <c r="BO78" s="1478"/>
      <c r="BP78" s="1479"/>
      <c r="BQ78" s="22"/>
      <c r="BR78" s="22"/>
      <c r="BS78" s="22"/>
      <c r="BT78" s="22"/>
      <c r="BU78" s="22"/>
      <c r="BV78" s="22"/>
      <c r="BW78" s="22"/>
      <c r="BX78" s="22"/>
      <c r="BY78" s="22"/>
      <c r="BZ78" s="22"/>
      <c r="CA78" s="22"/>
      <c r="CB78" s="22"/>
      <c r="CC78" s="22"/>
      <c r="CD78" s="22"/>
    </row>
    <row r="79" spans="1:82" ht="18.75" hidden="1" customHeight="1" x14ac:dyDescent="0.25">
      <c r="A79" s="19"/>
      <c r="B79" s="198" t="s">
        <v>2051</v>
      </c>
      <c r="C79" s="1127"/>
      <c r="D79" s="198"/>
      <c r="E79" s="198"/>
      <c r="F79" s="198"/>
      <c r="G79" s="198"/>
      <c r="H79" s="198"/>
      <c r="I79" s="198"/>
      <c r="J79" s="292"/>
      <c r="K79" s="1469">
        <f>ROUNDUP(K$61*K78,2)</f>
        <v>0</v>
      </c>
      <c r="L79" s="1470"/>
      <c r="M79" s="1470"/>
      <c r="N79" s="1470"/>
      <c r="O79" s="1470"/>
      <c r="P79" s="1470"/>
      <c r="Q79" s="1470"/>
      <c r="R79" s="1471"/>
      <c r="U79" s="1469">
        <f>ROUNDUP(U$61*U78,2)</f>
        <v>0</v>
      </c>
      <c r="V79" s="1470"/>
      <c r="W79" s="1470"/>
      <c r="X79" s="1470"/>
      <c r="Y79" s="1470"/>
      <c r="Z79" s="1470"/>
      <c r="AA79" s="1470"/>
      <c r="AB79" s="1471"/>
      <c r="AE79" s="1469">
        <f>ROUNDUP(AE$61*AE78,2)</f>
        <v>0</v>
      </c>
      <c r="AF79" s="1470"/>
      <c r="AG79" s="1470"/>
      <c r="AH79" s="1470"/>
      <c r="AI79" s="1470"/>
      <c r="AJ79" s="1470"/>
      <c r="AK79" s="1470"/>
      <c r="AL79" s="1471"/>
      <c r="AO79" s="1469">
        <f>ROUNDUP(AO$61*AO78,2)</f>
        <v>0</v>
      </c>
      <c r="AP79" s="1470"/>
      <c r="AQ79" s="1470"/>
      <c r="AR79" s="1470"/>
      <c r="AS79" s="1470"/>
      <c r="AT79" s="1470"/>
      <c r="AU79" s="1470"/>
      <c r="AV79" s="1471"/>
      <c r="AY79" s="1469">
        <f>ROUNDUP(AY$61*AY78,2)</f>
        <v>0</v>
      </c>
      <c r="AZ79" s="1470"/>
      <c r="BA79" s="1470"/>
      <c r="BB79" s="1470"/>
      <c r="BC79" s="1470"/>
      <c r="BD79" s="1470"/>
      <c r="BE79" s="1470"/>
      <c r="BF79" s="1471"/>
      <c r="BI79" s="1469">
        <f>ROUNDUP(BI$61*BI78,2)</f>
        <v>0</v>
      </c>
      <c r="BJ79" s="1470"/>
      <c r="BK79" s="1470"/>
      <c r="BL79" s="1470"/>
      <c r="BM79" s="1470"/>
      <c r="BN79" s="1470"/>
      <c r="BO79" s="1470"/>
      <c r="BP79" s="1471"/>
      <c r="BQ79" s="22"/>
      <c r="BR79" s="22"/>
      <c r="BS79" s="22"/>
      <c r="BT79" s="22"/>
      <c r="BU79" s="22"/>
      <c r="BV79" s="22"/>
      <c r="BW79" s="22"/>
      <c r="BX79" s="22"/>
      <c r="BY79" s="22"/>
      <c r="BZ79" s="22"/>
      <c r="CA79" s="22"/>
      <c r="CB79" s="22"/>
      <c r="CC79" s="22"/>
      <c r="CD79" s="22"/>
    </row>
    <row r="80" spans="1:82" ht="18.75" customHeight="1" x14ac:dyDescent="0.25">
      <c r="A80" s="19"/>
      <c r="B80" s="198" t="s">
        <v>355</v>
      </c>
      <c r="C80" s="1127"/>
      <c r="D80" s="198"/>
      <c r="E80" s="198"/>
      <c r="F80" s="198"/>
      <c r="G80" s="198"/>
      <c r="H80" s="198"/>
      <c r="I80" s="198"/>
      <c r="J80" s="292"/>
      <c r="K80" s="1474"/>
      <c r="L80" s="1475"/>
      <c r="M80" s="1475"/>
      <c r="N80" s="1475"/>
      <c r="O80" s="1475"/>
      <c r="P80" s="1475"/>
      <c r="Q80" s="1475"/>
      <c r="R80" s="1476"/>
      <c r="S80" s="169"/>
      <c r="T80" s="83" t="s">
        <v>539</v>
      </c>
      <c r="U80" s="1474"/>
      <c r="V80" s="1475"/>
      <c r="W80" s="1475"/>
      <c r="X80" s="1475"/>
      <c r="Y80" s="1475"/>
      <c r="Z80" s="1475"/>
      <c r="AA80" s="1475"/>
      <c r="AB80" s="1476"/>
      <c r="AC80" s="169"/>
      <c r="AD80" s="83" t="s">
        <v>549</v>
      </c>
      <c r="AE80" s="1477"/>
      <c r="AF80" s="1478"/>
      <c r="AG80" s="1478"/>
      <c r="AH80" s="1478"/>
      <c r="AI80" s="1478"/>
      <c r="AJ80" s="1478"/>
      <c r="AK80" s="1478"/>
      <c r="AL80" s="1479"/>
      <c r="AM80" s="169"/>
      <c r="AN80" s="83" t="s">
        <v>559</v>
      </c>
      <c r="AO80" s="1477"/>
      <c r="AP80" s="1478"/>
      <c r="AQ80" s="1478"/>
      <c r="AR80" s="1478"/>
      <c r="AS80" s="1478"/>
      <c r="AT80" s="1478"/>
      <c r="AU80" s="1478"/>
      <c r="AV80" s="1479"/>
      <c r="AW80" s="169"/>
      <c r="AX80" s="83" t="s">
        <v>569</v>
      </c>
      <c r="AY80" s="1477"/>
      <c r="AZ80" s="1478"/>
      <c r="BA80" s="1478"/>
      <c r="BB80" s="1478"/>
      <c r="BC80" s="1478"/>
      <c r="BD80" s="1478"/>
      <c r="BE80" s="1478"/>
      <c r="BF80" s="1479"/>
      <c r="BG80" s="169"/>
      <c r="BH80" s="83" t="s">
        <v>579</v>
      </c>
      <c r="BI80" s="1477"/>
      <c r="BJ80" s="1478"/>
      <c r="BK80" s="1478"/>
      <c r="BL80" s="1478"/>
      <c r="BM80" s="1478"/>
      <c r="BN80" s="1478"/>
      <c r="BO80" s="1478"/>
      <c r="BP80" s="1479"/>
      <c r="BQ80" s="22"/>
      <c r="BR80" s="22"/>
      <c r="BS80" s="22"/>
      <c r="BT80" s="22"/>
      <c r="BU80" s="22"/>
      <c r="BV80" s="22"/>
      <c r="BW80" s="22"/>
      <c r="BX80" s="22"/>
      <c r="BY80" s="22"/>
      <c r="BZ80" s="22"/>
      <c r="CA80" s="22"/>
      <c r="CB80" s="22"/>
      <c r="CC80" s="22"/>
      <c r="CD80" s="22"/>
    </row>
    <row r="81" spans="1:82" ht="18.75" hidden="1" customHeight="1" x14ac:dyDescent="0.25">
      <c r="A81" s="19"/>
      <c r="B81" s="198" t="s">
        <v>2052</v>
      </c>
      <c r="C81" s="1127"/>
      <c r="D81" s="198"/>
      <c r="E81" s="198"/>
      <c r="F81" s="198"/>
      <c r="G81" s="198"/>
      <c r="H81" s="198"/>
      <c r="I81" s="198"/>
      <c r="J81" s="292"/>
      <c r="K81" s="1469">
        <f>ROUNDUP(K$61*K80,2)</f>
        <v>0</v>
      </c>
      <c r="L81" s="1470"/>
      <c r="M81" s="1470"/>
      <c r="N81" s="1470"/>
      <c r="O81" s="1470"/>
      <c r="P81" s="1470"/>
      <c r="Q81" s="1470"/>
      <c r="R81" s="1471"/>
      <c r="U81" s="1469">
        <f>ROUNDUP(U$61*U80,2)</f>
        <v>0</v>
      </c>
      <c r="V81" s="1470"/>
      <c r="W81" s="1470"/>
      <c r="X81" s="1470"/>
      <c r="Y81" s="1470"/>
      <c r="Z81" s="1470"/>
      <c r="AA81" s="1470"/>
      <c r="AB81" s="1471"/>
      <c r="AE81" s="1469">
        <f>ROUNDUP(AE$61*AE80,2)</f>
        <v>0</v>
      </c>
      <c r="AF81" s="1470"/>
      <c r="AG81" s="1470"/>
      <c r="AH81" s="1470"/>
      <c r="AI81" s="1470"/>
      <c r="AJ81" s="1470"/>
      <c r="AK81" s="1470"/>
      <c r="AL81" s="1471"/>
      <c r="AO81" s="1469">
        <f>ROUNDUP(AO$61*AO80,2)</f>
        <v>0</v>
      </c>
      <c r="AP81" s="1470"/>
      <c r="AQ81" s="1470"/>
      <c r="AR81" s="1470"/>
      <c r="AS81" s="1470"/>
      <c r="AT81" s="1470"/>
      <c r="AU81" s="1470"/>
      <c r="AV81" s="1471"/>
      <c r="AY81" s="1469">
        <f>ROUNDUP(AY$61*AY80,2)</f>
        <v>0</v>
      </c>
      <c r="AZ81" s="1470"/>
      <c r="BA81" s="1470"/>
      <c r="BB81" s="1470"/>
      <c r="BC81" s="1470"/>
      <c r="BD81" s="1470"/>
      <c r="BE81" s="1470"/>
      <c r="BF81" s="1471"/>
      <c r="BI81" s="1469">
        <f>ROUNDUP(BI$61*BI80,2)</f>
        <v>0</v>
      </c>
      <c r="BJ81" s="1470"/>
      <c r="BK81" s="1470"/>
      <c r="BL81" s="1470"/>
      <c r="BM81" s="1470"/>
      <c r="BN81" s="1470"/>
      <c r="BO81" s="1470"/>
      <c r="BP81" s="1471"/>
      <c r="BQ81" s="22"/>
      <c r="BR81" s="22"/>
      <c r="BS81" s="22"/>
      <c r="BT81" s="22"/>
      <c r="BU81" s="22"/>
      <c r="BV81" s="22"/>
      <c r="BW81" s="22"/>
      <c r="BX81" s="22"/>
      <c r="BY81" s="22"/>
      <c r="BZ81" s="22"/>
      <c r="CA81" s="22"/>
      <c r="CB81" s="22"/>
      <c r="CC81" s="22"/>
      <c r="CD81" s="22"/>
    </row>
    <row r="82" spans="1:82" ht="18.75" customHeight="1" x14ac:dyDescent="0.25">
      <c r="A82" s="19"/>
      <c r="B82" s="198" t="s">
        <v>754</v>
      </c>
      <c r="C82" s="1127"/>
      <c r="D82" s="198"/>
      <c r="E82" s="198"/>
      <c r="F82" s="198"/>
      <c r="G82" s="198"/>
      <c r="H82" s="198"/>
      <c r="I82" s="198"/>
      <c r="J82" s="292"/>
      <c r="K82" s="1474"/>
      <c r="L82" s="1475"/>
      <c r="M82" s="1475"/>
      <c r="N82" s="1475"/>
      <c r="O82" s="1475"/>
      <c r="P82" s="1475"/>
      <c r="Q82" s="1475"/>
      <c r="R82" s="1476"/>
      <c r="S82" s="169"/>
      <c r="T82" s="83" t="s">
        <v>539</v>
      </c>
      <c r="U82" s="1474"/>
      <c r="V82" s="1475"/>
      <c r="W82" s="1475"/>
      <c r="X82" s="1475"/>
      <c r="Y82" s="1475"/>
      <c r="Z82" s="1475"/>
      <c r="AA82" s="1475"/>
      <c r="AB82" s="1476"/>
      <c r="AC82" s="169"/>
      <c r="AD82" s="83" t="s">
        <v>549</v>
      </c>
      <c r="AE82" s="1477"/>
      <c r="AF82" s="1478"/>
      <c r="AG82" s="1478"/>
      <c r="AH82" s="1478"/>
      <c r="AI82" s="1478"/>
      <c r="AJ82" s="1478"/>
      <c r="AK82" s="1478"/>
      <c r="AL82" s="1479"/>
      <c r="AM82" s="169"/>
      <c r="AN82" s="83" t="s">
        <v>559</v>
      </c>
      <c r="AO82" s="1477"/>
      <c r="AP82" s="1478"/>
      <c r="AQ82" s="1478"/>
      <c r="AR82" s="1478"/>
      <c r="AS82" s="1478"/>
      <c r="AT82" s="1478"/>
      <c r="AU82" s="1478"/>
      <c r="AV82" s="1479"/>
      <c r="AW82" s="169"/>
      <c r="AX82" s="83" t="s">
        <v>569</v>
      </c>
      <c r="AY82" s="1477"/>
      <c r="AZ82" s="1478"/>
      <c r="BA82" s="1478"/>
      <c r="BB82" s="1478"/>
      <c r="BC82" s="1478"/>
      <c r="BD82" s="1478"/>
      <c r="BE82" s="1478"/>
      <c r="BF82" s="1479"/>
      <c r="BG82" s="169"/>
      <c r="BH82" s="83" t="s">
        <v>579</v>
      </c>
      <c r="BI82" s="1477"/>
      <c r="BJ82" s="1478"/>
      <c r="BK82" s="1478"/>
      <c r="BL82" s="1478"/>
      <c r="BM82" s="1478"/>
      <c r="BN82" s="1478"/>
      <c r="BO82" s="1478"/>
      <c r="BP82" s="1479"/>
      <c r="BQ82" s="22"/>
      <c r="BR82" s="22"/>
      <c r="BS82" s="22"/>
      <c r="BT82" s="22"/>
      <c r="BU82" s="22"/>
      <c r="BV82" s="22"/>
      <c r="BW82" s="22"/>
      <c r="BX82" s="22"/>
      <c r="BY82" s="22"/>
      <c r="BZ82" s="22"/>
      <c r="CA82" s="22"/>
      <c r="CB82" s="22"/>
      <c r="CC82" s="22"/>
      <c r="CD82" s="22"/>
    </row>
    <row r="83" spans="1:82" ht="7.5" customHeight="1" x14ac:dyDescent="0.25">
      <c r="A83" s="19"/>
      <c r="B83" s="198"/>
      <c r="C83" s="198"/>
      <c r="D83" s="198"/>
      <c r="E83" s="198"/>
      <c r="F83" s="198"/>
      <c r="G83" s="198"/>
      <c r="H83" s="198"/>
      <c r="I83" s="198"/>
      <c r="J83" s="292"/>
      <c r="K83" s="293"/>
      <c r="L83" s="294"/>
      <c r="M83" s="294"/>
      <c r="N83" s="295"/>
      <c r="O83" s="295"/>
      <c r="P83" s="295"/>
      <c r="Q83" s="295"/>
      <c r="R83" s="295"/>
      <c r="S83" s="295"/>
      <c r="T83" s="295"/>
      <c r="U83" s="293"/>
      <c r="V83" s="295"/>
      <c r="W83" s="295"/>
      <c r="X83" s="295"/>
      <c r="Y83" s="296"/>
      <c r="Z83" s="294"/>
      <c r="AA83" s="297"/>
      <c r="AB83" s="297"/>
      <c r="AC83" s="298"/>
      <c r="AD83" s="298"/>
      <c r="AE83" s="293"/>
      <c r="AF83" s="294"/>
      <c r="AG83" s="294"/>
      <c r="AH83" s="294"/>
      <c r="AI83" s="294"/>
      <c r="AJ83" s="294"/>
      <c r="AK83" s="297"/>
      <c r="AL83" s="297"/>
      <c r="AM83" s="296"/>
      <c r="AN83" s="296"/>
      <c r="AO83" s="293"/>
      <c r="AP83" s="296"/>
      <c r="AQ83" s="296"/>
      <c r="AR83" s="296"/>
      <c r="AS83" s="296"/>
      <c r="AT83" s="296"/>
      <c r="AU83" s="297"/>
      <c r="AV83" s="297"/>
      <c r="AW83" s="299"/>
      <c r="AX83" s="299"/>
      <c r="AY83" s="293"/>
      <c r="AZ83" s="299"/>
      <c r="BA83" s="299"/>
      <c r="BB83" s="296"/>
      <c r="BC83" s="296"/>
      <c r="BD83" s="296"/>
      <c r="BE83" s="297"/>
      <c r="BF83" s="297"/>
      <c r="BG83" s="296"/>
      <c r="BH83" s="296"/>
      <c r="BI83" s="293"/>
      <c r="BJ83" s="296"/>
      <c r="BK83" s="296"/>
      <c r="BL83" s="296"/>
      <c r="BM83" s="296"/>
      <c r="BN83" s="296"/>
      <c r="BO83" s="297"/>
      <c r="BP83" s="297"/>
      <c r="BQ83" s="22"/>
      <c r="BR83" s="22"/>
      <c r="BS83" s="22"/>
      <c r="BT83" s="22"/>
      <c r="BU83" s="22"/>
      <c r="BV83" s="22"/>
      <c r="BW83" s="22"/>
      <c r="BX83" s="22"/>
      <c r="BY83" s="22"/>
      <c r="BZ83" s="22"/>
      <c r="CA83" s="22"/>
      <c r="CB83" s="22"/>
      <c r="CC83" s="22"/>
      <c r="CD83" s="22"/>
    </row>
    <row r="84" spans="1:82" ht="18.75" customHeight="1" x14ac:dyDescent="0.25">
      <c r="A84" s="157"/>
      <c r="B84" s="1069" t="s">
        <v>465</v>
      </c>
      <c r="C84" s="158"/>
      <c r="D84" s="158"/>
      <c r="E84" s="158"/>
      <c r="F84" s="158"/>
      <c r="G84" s="158"/>
      <c r="H84" s="158"/>
      <c r="I84" s="158"/>
      <c r="J84" s="158"/>
      <c r="K84" s="202"/>
      <c r="L84" s="203"/>
      <c r="M84" s="203"/>
      <c r="N84" s="204"/>
      <c r="O84" s="204"/>
      <c r="P84" s="204"/>
      <c r="Q84" s="204"/>
      <c r="R84" s="204"/>
      <c r="S84" s="204"/>
      <c r="T84" s="204"/>
      <c r="U84" s="202"/>
      <c r="V84" s="204"/>
      <c r="W84" s="204"/>
      <c r="X84" s="204"/>
      <c r="Y84" s="206"/>
      <c r="Z84" s="203"/>
      <c r="AA84" s="207"/>
      <c r="AB84" s="207"/>
      <c r="AC84" s="208"/>
      <c r="AD84" s="208"/>
      <c r="AE84" s="202"/>
      <c r="AF84" s="203"/>
      <c r="AG84" s="203"/>
      <c r="AH84" s="203"/>
      <c r="AI84" s="203"/>
      <c r="AJ84" s="203"/>
      <c r="AK84" s="207"/>
      <c r="AL84" s="207"/>
      <c r="AM84" s="206"/>
      <c r="AN84" s="206"/>
      <c r="AO84" s="202"/>
      <c r="AP84" s="206"/>
      <c r="AQ84" s="206"/>
      <c r="AR84" s="206"/>
      <c r="AS84" s="206"/>
      <c r="AT84" s="206"/>
      <c r="AU84" s="207"/>
      <c r="AV84" s="207"/>
      <c r="AW84" s="209"/>
      <c r="AX84" s="209"/>
      <c r="AY84" s="202"/>
      <c r="AZ84" s="209"/>
      <c r="BA84" s="209"/>
      <c r="BB84" s="206"/>
      <c r="BC84" s="206"/>
      <c r="BD84" s="206"/>
      <c r="BE84" s="207"/>
      <c r="BF84" s="207"/>
      <c r="BG84" s="206"/>
      <c r="BH84" s="206"/>
      <c r="BI84" s="202"/>
      <c r="BJ84" s="206"/>
      <c r="BK84" s="206"/>
      <c r="BL84" s="206"/>
      <c r="BM84" s="206"/>
      <c r="BN84" s="206"/>
      <c r="BO84" s="207"/>
      <c r="BP84" s="207"/>
      <c r="BQ84" s="152"/>
      <c r="BR84" s="152"/>
      <c r="BS84" s="152"/>
      <c r="BT84" s="152"/>
      <c r="BU84" s="152"/>
      <c r="BV84" s="152"/>
      <c r="BW84" s="152"/>
      <c r="BX84" s="152"/>
      <c r="BY84" s="152"/>
      <c r="BZ84" s="152"/>
      <c r="CA84" s="152"/>
      <c r="CB84" s="152"/>
      <c r="CC84" s="152"/>
      <c r="CD84" s="152"/>
    </row>
    <row r="85" spans="1:82" ht="7.5" customHeight="1" x14ac:dyDescent="0.25">
      <c r="A85" s="19"/>
      <c r="K85" s="293"/>
      <c r="L85" s="294"/>
      <c r="M85" s="294"/>
      <c r="N85" s="295"/>
      <c r="O85" s="295"/>
      <c r="P85" s="295"/>
      <c r="Q85" s="295"/>
      <c r="R85" s="295"/>
      <c r="S85" s="295"/>
      <c r="T85" s="295"/>
      <c r="U85" s="293"/>
      <c r="V85" s="295"/>
      <c r="W85" s="295"/>
      <c r="X85" s="295"/>
      <c r="Y85" s="296"/>
      <c r="Z85" s="294"/>
      <c r="AA85" s="297"/>
      <c r="AB85" s="297"/>
      <c r="AC85" s="298"/>
      <c r="AD85" s="298"/>
      <c r="AE85" s="293"/>
      <c r="AF85" s="294"/>
      <c r="AG85" s="294"/>
      <c r="AH85" s="294"/>
      <c r="AI85" s="294"/>
      <c r="AJ85" s="294"/>
      <c r="AK85" s="297"/>
      <c r="AL85" s="297"/>
      <c r="AM85" s="296"/>
      <c r="AN85" s="296"/>
      <c r="AO85" s="293"/>
      <c r="AP85" s="296"/>
      <c r="AQ85" s="296"/>
      <c r="AR85" s="296"/>
      <c r="AS85" s="296"/>
      <c r="AT85" s="296"/>
      <c r="AU85" s="297"/>
      <c r="AV85" s="297"/>
      <c r="AW85" s="299"/>
      <c r="AX85" s="299"/>
      <c r="AY85" s="293"/>
      <c r="AZ85" s="299"/>
      <c r="BA85" s="299"/>
      <c r="BB85" s="296"/>
      <c r="BC85" s="296"/>
      <c r="BD85" s="296"/>
      <c r="BE85" s="297"/>
      <c r="BF85" s="297"/>
      <c r="BG85" s="296"/>
      <c r="BH85" s="296"/>
      <c r="BI85" s="293"/>
      <c r="BJ85" s="296"/>
      <c r="BK85" s="296"/>
      <c r="BL85" s="296"/>
      <c r="BM85" s="296"/>
      <c r="BN85" s="296"/>
      <c r="BO85" s="297"/>
      <c r="BP85" s="297"/>
      <c r="BQ85" s="22"/>
      <c r="BR85" s="22"/>
      <c r="BS85" s="22"/>
      <c r="BT85" s="22"/>
      <c r="BU85" s="22"/>
      <c r="BV85" s="22"/>
      <c r="BW85" s="22"/>
      <c r="BX85" s="22"/>
      <c r="BY85" s="22"/>
      <c r="BZ85" s="22"/>
      <c r="CA85" s="22"/>
      <c r="CB85" s="22"/>
      <c r="CC85" s="22"/>
      <c r="CD85" s="22"/>
    </row>
    <row r="86" spans="1:82" ht="18.75" customHeight="1" x14ac:dyDescent="0.25">
      <c r="A86" s="19"/>
      <c r="B86" s="198" t="s">
        <v>2053</v>
      </c>
      <c r="C86" s="198"/>
      <c r="D86" s="198"/>
      <c r="E86" s="198"/>
      <c r="F86" s="198"/>
      <c r="G86" s="198"/>
      <c r="H86" s="198"/>
      <c r="I86" s="198"/>
      <c r="J86" s="292"/>
      <c r="K86" s="1597"/>
      <c r="L86" s="1598"/>
      <c r="M86" s="1598"/>
      <c r="N86" s="1598"/>
      <c r="O86" s="1598"/>
      <c r="P86" s="1598"/>
      <c r="Q86" s="1598"/>
      <c r="R86" s="1599"/>
      <c r="S86" s="169"/>
      <c r="T86" s="83" t="s">
        <v>539</v>
      </c>
      <c r="U86" s="1597"/>
      <c r="V86" s="1598"/>
      <c r="W86" s="1598"/>
      <c r="X86" s="1598"/>
      <c r="Y86" s="1598"/>
      <c r="Z86" s="1598"/>
      <c r="AA86" s="1598"/>
      <c r="AB86" s="1599"/>
      <c r="AC86" s="169"/>
      <c r="AD86" s="83" t="s">
        <v>549</v>
      </c>
      <c r="AE86" s="1485"/>
      <c r="AF86" s="1486"/>
      <c r="AG86" s="1486"/>
      <c r="AH86" s="1486"/>
      <c r="AI86" s="1486"/>
      <c r="AJ86" s="1486"/>
      <c r="AK86" s="1486"/>
      <c r="AL86" s="1487"/>
      <c r="AM86" s="169"/>
      <c r="AN86" s="83" t="s">
        <v>559</v>
      </c>
      <c r="AO86" s="1485"/>
      <c r="AP86" s="1486"/>
      <c r="AQ86" s="1486"/>
      <c r="AR86" s="1486"/>
      <c r="AS86" s="1486"/>
      <c r="AT86" s="1486"/>
      <c r="AU86" s="1486"/>
      <c r="AV86" s="1487"/>
      <c r="AW86" s="169"/>
      <c r="AX86" s="83" t="s">
        <v>569</v>
      </c>
      <c r="AY86" s="1485"/>
      <c r="AZ86" s="1486"/>
      <c r="BA86" s="1486"/>
      <c r="BB86" s="1486"/>
      <c r="BC86" s="1486"/>
      <c r="BD86" s="1486"/>
      <c r="BE86" s="1486"/>
      <c r="BF86" s="1487"/>
      <c r="BG86" s="169"/>
      <c r="BH86" s="83" t="s">
        <v>579</v>
      </c>
      <c r="BI86" s="1485"/>
      <c r="BJ86" s="1486"/>
      <c r="BK86" s="1486"/>
      <c r="BL86" s="1486"/>
      <c r="BM86" s="1486"/>
      <c r="BN86" s="1486"/>
      <c r="BO86" s="1486"/>
      <c r="BP86" s="1487"/>
      <c r="BQ86" s="22"/>
      <c r="BR86" s="22"/>
      <c r="BS86" s="22"/>
      <c r="BT86" s="22"/>
      <c r="BU86" s="22"/>
      <c r="BV86" s="22"/>
      <c r="BW86" s="22"/>
      <c r="BX86" s="22"/>
      <c r="BY86" s="22"/>
      <c r="BZ86" s="22"/>
      <c r="CA86" s="22"/>
      <c r="CB86" s="22"/>
      <c r="CC86" s="22"/>
      <c r="CD86" s="22"/>
    </row>
    <row r="87" spans="1:82" ht="18.75" customHeight="1" x14ac:dyDescent="0.25">
      <c r="A87" s="19"/>
      <c r="B87" s="198" t="s">
        <v>2054</v>
      </c>
      <c r="C87" s="198"/>
      <c r="D87" s="198"/>
      <c r="E87" s="198"/>
      <c r="F87" s="198"/>
      <c r="G87" s="198"/>
      <c r="H87" s="198"/>
      <c r="I87" s="198"/>
      <c r="J87" s="292"/>
      <c r="K87" s="1474"/>
      <c r="L87" s="1475"/>
      <c r="M87" s="1475"/>
      <c r="N87" s="1475"/>
      <c r="O87" s="1475"/>
      <c r="P87" s="1475"/>
      <c r="Q87" s="1475"/>
      <c r="R87" s="1476"/>
      <c r="S87" s="169"/>
      <c r="T87" s="83" t="s">
        <v>539</v>
      </c>
      <c r="U87" s="1474"/>
      <c r="V87" s="1475"/>
      <c r="W87" s="1475"/>
      <c r="X87" s="1475"/>
      <c r="Y87" s="1475"/>
      <c r="Z87" s="1475"/>
      <c r="AA87" s="1475"/>
      <c r="AB87" s="1476"/>
      <c r="AC87" s="169"/>
      <c r="AD87" s="83" t="s">
        <v>549</v>
      </c>
      <c r="AE87" s="1477"/>
      <c r="AF87" s="1478"/>
      <c r="AG87" s="1478"/>
      <c r="AH87" s="1478"/>
      <c r="AI87" s="1478"/>
      <c r="AJ87" s="1478"/>
      <c r="AK87" s="1478"/>
      <c r="AL87" s="1479"/>
      <c r="AM87" s="169"/>
      <c r="AN87" s="83" t="s">
        <v>559</v>
      </c>
      <c r="AO87" s="1477"/>
      <c r="AP87" s="1478"/>
      <c r="AQ87" s="1478"/>
      <c r="AR87" s="1478"/>
      <c r="AS87" s="1478"/>
      <c r="AT87" s="1478"/>
      <c r="AU87" s="1478"/>
      <c r="AV87" s="1479"/>
      <c r="AW87" s="169"/>
      <c r="AX87" s="83" t="s">
        <v>569</v>
      </c>
      <c r="AY87" s="1477"/>
      <c r="AZ87" s="1478"/>
      <c r="BA87" s="1478"/>
      <c r="BB87" s="1478"/>
      <c r="BC87" s="1478"/>
      <c r="BD87" s="1478"/>
      <c r="BE87" s="1478"/>
      <c r="BF87" s="1479"/>
      <c r="BG87" s="169"/>
      <c r="BH87" s="83" t="s">
        <v>579</v>
      </c>
      <c r="BI87" s="1477"/>
      <c r="BJ87" s="1478"/>
      <c r="BK87" s="1478"/>
      <c r="BL87" s="1478"/>
      <c r="BM87" s="1478"/>
      <c r="BN87" s="1478"/>
      <c r="BO87" s="1478"/>
      <c r="BP87" s="1479"/>
      <c r="BQ87" s="22"/>
      <c r="BR87" s="22"/>
      <c r="BS87" s="22"/>
      <c r="BT87" s="22"/>
      <c r="BU87" s="22"/>
      <c r="BV87" s="22"/>
      <c r="BW87" s="22"/>
      <c r="BX87" s="22"/>
      <c r="BY87" s="22"/>
      <c r="BZ87" s="22"/>
      <c r="CA87" s="22"/>
      <c r="CB87" s="22"/>
      <c r="CC87" s="22"/>
      <c r="CD87" s="22"/>
    </row>
    <row r="88" spans="1:82" ht="18.75" customHeight="1" x14ac:dyDescent="0.25">
      <c r="A88" s="19"/>
      <c r="B88" s="198" t="s">
        <v>471</v>
      </c>
      <c r="C88" s="198"/>
      <c r="D88" s="198"/>
      <c r="E88" s="198"/>
      <c r="F88" s="198"/>
      <c r="G88" s="198"/>
      <c r="H88" s="198"/>
      <c r="I88" s="198"/>
      <c r="J88" s="292"/>
      <c r="K88" s="1469" cm="1">
        <f t="array" aca="1" ref="K88" ca="1">IF(OR(SCACDEApp1RentFlag="Yes",SCACDEApp1Rent&gt;0),IF(OR(SCAApp1Spouse="",SCAApp1Spouse="Non-applicant"),MAX(NotionalRent,SCACDEApp1Rent),IF(AND(SCAApp1SameHousehold ="Yes", INDIRECT("SCAApp" &amp; SCAApp1SpouseApplicantNumber &amp; "SameHousehold")="Yes"),IF(SCACDEApp1Rent+INDIRECT("SCACDEApp" &amp; SCAApp1SpouseApplicantNumber &amp; "Rent")&gt;NotionalRent,SCACDEApp1Rent,NotionalRent/2),MAX(NotionalRent,SCACDEApp1Rent))),0)</f>
        <v>0</v>
      </c>
      <c r="L88" s="1470"/>
      <c r="M88" s="1470"/>
      <c r="N88" s="1470"/>
      <c r="O88" s="1470"/>
      <c r="P88" s="1470"/>
      <c r="Q88" s="1470"/>
      <c r="R88" s="1471"/>
      <c r="U88" s="1469" cm="1">
        <f t="array" aca="1" ref="U88" ca="1">IF(OR(SCACDEApp2RentFlag="Yes",SCACDEApp2Rent&gt;0),IF(OR(SCAApp2Spouse="",SCAApp2Spouse="Non-applicant"),MAX(NotionalRent,SCACDEApp2Rent),IF(AND(SCAApp2SameHousehold ="Yes", INDIRECT("SCAApp" &amp; SCAApp2SpouseApplicantNumber &amp; "SameHousehold")="Yes"),IF(SCACDEApp2Rent+INDIRECT("SCACDEApp" &amp; SCAApp2SpouseApplicantNumber &amp; "Rent")&gt;NotionalRent,SCACDEApp2Rent,NotionalRent/2),MAX(NotionalRent,SCACDEApp2Rent))),0)</f>
        <v>0</v>
      </c>
      <c r="V88" s="1470"/>
      <c r="W88" s="1470"/>
      <c r="X88" s="1470"/>
      <c r="Y88" s="1470"/>
      <c r="Z88" s="1470"/>
      <c r="AA88" s="1470"/>
      <c r="AB88" s="1471"/>
      <c r="AE88" s="1469" cm="1">
        <f t="array" aca="1" ref="AE88" ca="1">IF(OR(SCACDEApp3RentFlag="Yes",SCACDEApp3Rent&gt;0),IF(OR(SCAApp3Spouse="",SCAApp3Spouse="Non-applicant"),MAX(NotionalRent,SCACDEApp3Rent),IF(AND(SCAApp3SameHousehold ="Yes", INDIRECT("SCAApp" &amp; SCAApp3SpouseApplicantNumber &amp; "SameHousehold")="Yes"),IF(SCACDEApp3Rent+INDIRECT("SCACDEApp" &amp; SCAApp3SpouseApplicantNumber &amp; "Rent")&gt;NotionalRent,SCACDEApp3Rent,NotionalRent/2),MAX(NotionalRent,SCACDEApp3Rent))),0)</f>
        <v>0</v>
      </c>
      <c r="AF88" s="1470"/>
      <c r="AG88" s="1470"/>
      <c r="AH88" s="1470"/>
      <c r="AI88" s="1470"/>
      <c r="AJ88" s="1470"/>
      <c r="AK88" s="1470"/>
      <c r="AL88" s="1471"/>
      <c r="AO88" s="1469" cm="1">
        <f t="array" aca="1" ref="AO88" ca="1">IF(OR(SCACDEApp4RentFlag="Yes",SCACDEApp4Rent&gt;0),IF(OR(SCAApp4Spouse="",SCAApp4Spouse="Non-applicant"),MAX(NotionalRent,SCACDEApp4Rent),IF(AND(SCAApp4SameHousehold ="Yes", INDIRECT("SCAApp" &amp; SCAApp4SpouseApplicantNumber &amp; "SameHousehold")="Yes"),IF(SCACDEApp4Rent+INDIRECT("SCACDEApp" &amp; SCAApp4SpouseApplicantNumber &amp; "Rent")&gt;NotionalRent,SCACDEApp4Rent,NotionalRent/2),MAX(NotionalRent,SCACDEApp4Rent))),0)</f>
        <v>0</v>
      </c>
      <c r="AP88" s="1470"/>
      <c r="AQ88" s="1470"/>
      <c r="AR88" s="1470"/>
      <c r="AS88" s="1470"/>
      <c r="AT88" s="1470"/>
      <c r="AU88" s="1470"/>
      <c r="AV88" s="1471"/>
      <c r="AY88" s="1469" cm="1">
        <f t="array" aca="1" ref="AY88" ca="1">IF(OR(SCACDEApp5RentFlag="Yes",SCACDEApp5Rent&gt;0),IF(OR(SCAApp5Spouse="",SCAApp5Spouse="Non-applicant"),MAX(NotionalRent,SCACDEApp5Rent),IF(AND(SCAApp5SameHousehold ="Yes", INDIRECT("SCAApp" &amp; SCAApp5SpouseApplicantNumber &amp; "SameHousehold")="Yes"),IF(SCACDEApp5Rent+INDIRECT("SCACDEApp" &amp; SCAApp5SpouseApplicantNumber &amp; "Rent")&gt;NotionalRent,SCACDEApp5Rent,NotionalRent/2),MAX(NotionalRent,SCACDEApp5Rent))),0)</f>
        <v>0</v>
      </c>
      <c r="AZ88" s="1470"/>
      <c r="BA88" s="1470"/>
      <c r="BB88" s="1470"/>
      <c r="BC88" s="1470"/>
      <c r="BD88" s="1470"/>
      <c r="BE88" s="1470"/>
      <c r="BF88" s="1471"/>
      <c r="BI88" s="1469" cm="1">
        <f t="array" aca="1" ref="BI88" ca="1">IF(OR(SCACDEApp6RentFlag="Yes",SCACDEApp6Rent&gt;0),IF(OR(SCAApp6Spouse="",SCAApp6Spouse="Non-applicant"),MAX(NotionalRent,SCACDEApp6Rent),IF(AND(SCAApp6SameHousehold ="Yes", INDIRECT("SCAApp" &amp; SCAApp6SpouseApplicantNumber &amp; "SameHousehold")="Yes"),IF(SCACDEApp6Rent+INDIRECT("SCACDEApp" &amp; SCAApp6SpouseApplicantNumber &amp; "Rent")&gt;NotionalRent,SCACDEApp6Rent,NotionalRent/2),MAX(NotionalRent,SCACDEApp6Rent))),0)</f>
        <v>0</v>
      </c>
      <c r="BJ88" s="1470"/>
      <c r="BK88" s="1470"/>
      <c r="BL88" s="1470"/>
      <c r="BM88" s="1470"/>
      <c r="BN88" s="1470"/>
      <c r="BO88" s="1470"/>
      <c r="BP88" s="1471"/>
      <c r="BQ88" s="22"/>
      <c r="BR88" s="22"/>
      <c r="BS88" s="22"/>
      <c r="BT88" s="22"/>
      <c r="BU88" s="22"/>
      <c r="BV88" s="22"/>
      <c r="BW88" s="22"/>
      <c r="BX88" s="22"/>
      <c r="BY88" s="22"/>
      <c r="BZ88" s="22"/>
      <c r="CA88" s="22"/>
      <c r="CB88" s="22"/>
      <c r="CC88" s="22"/>
      <c r="CD88" s="22"/>
    </row>
    <row r="89" spans="1:82" ht="18.75" hidden="1" customHeight="1" x14ac:dyDescent="0.25">
      <c r="A89" s="19"/>
      <c r="B89" s="198" t="s">
        <v>789</v>
      </c>
      <c r="C89" s="198"/>
      <c r="D89" s="198"/>
      <c r="E89" s="198"/>
      <c r="F89" s="198"/>
      <c r="G89" s="198"/>
      <c r="H89" s="198"/>
      <c r="I89" s="198"/>
      <c r="J89" s="292"/>
      <c r="K89" s="1469">
        <f ca="1">ROUNDUP(K$61*K88,2)</f>
        <v>0</v>
      </c>
      <c r="L89" s="1470"/>
      <c r="M89" s="1470"/>
      <c r="N89" s="1470"/>
      <c r="O89" s="1470"/>
      <c r="P89" s="1470"/>
      <c r="Q89" s="1470"/>
      <c r="R89" s="1471"/>
      <c r="U89" s="1469">
        <f ca="1">ROUNDUP(U$61*U88,2)</f>
        <v>0</v>
      </c>
      <c r="V89" s="1470"/>
      <c r="W89" s="1470"/>
      <c r="X89" s="1470"/>
      <c r="Y89" s="1470"/>
      <c r="Z89" s="1470"/>
      <c r="AA89" s="1470"/>
      <c r="AB89" s="1471"/>
      <c r="AE89" s="1469">
        <f ca="1">ROUNDUP(AE$61*AE88,2)</f>
        <v>0</v>
      </c>
      <c r="AF89" s="1470"/>
      <c r="AG89" s="1470"/>
      <c r="AH89" s="1470"/>
      <c r="AI89" s="1470"/>
      <c r="AJ89" s="1470"/>
      <c r="AK89" s="1470"/>
      <c r="AL89" s="1471"/>
      <c r="AO89" s="1469">
        <f ca="1">ROUNDUP(AO$61*AO88,2)</f>
        <v>0</v>
      </c>
      <c r="AP89" s="1470"/>
      <c r="AQ89" s="1470"/>
      <c r="AR89" s="1470"/>
      <c r="AS89" s="1470"/>
      <c r="AT89" s="1470"/>
      <c r="AU89" s="1470"/>
      <c r="AV89" s="1471"/>
      <c r="AY89" s="1469">
        <f ca="1">ROUNDUP(AY$61*AY88,2)</f>
        <v>0</v>
      </c>
      <c r="AZ89" s="1470"/>
      <c r="BA89" s="1470"/>
      <c r="BB89" s="1470"/>
      <c r="BC89" s="1470"/>
      <c r="BD89" s="1470"/>
      <c r="BE89" s="1470"/>
      <c r="BF89" s="1471"/>
      <c r="BI89" s="1469">
        <f ca="1">ROUNDUP(BI$61*BI88,2)</f>
        <v>0</v>
      </c>
      <c r="BJ89" s="1470"/>
      <c r="BK89" s="1470"/>
      <c r="BL89" s="1470"/>
      <c r="BM89" s="1470"/>
      <c r="BN89" s="1470"/>
      <c r="BO89" s="1470"/>
      <c r="BP89" s="1471"/>
      <c r="BQ89" s="22"/>
      <c r="BR89" s="22"/>
      <c r="BS89" s="22"/>
      <c r="BT89" s="22"/>
      <c r="BU89" s="22"/>
      <c r="BV89" s="22"/>
      <c r="BW89" s="22"/>
      <c r="BX89" s="22"/>
      <c r="BY89" s="22"/>
      <c r="BZ89" s="22"/>
      <c r="CA89" s="22"/>
      <c r="CB89" s="22"/>
      <c r="CC89" s="22"/>
      <c r="CD89" s="22"/>
    </row>
    <row r="90" spans="1:82" ht="18.75" hidden="1" customHeight="1" x14ac:dyDescent="0.25">
      <c r="B90" s="198" t="str">
        <f>B78</f>
        <v>Monthly expenses comparable to HEM</v>
      </c>
      <c r="K90" s="1469">
        <f>'Customer Declared Expenses'!D26+K79</f>
        <v>0</v>
      </c>
      <c r="L90" s="1470"/>
      <c r="M90" s="1470"/>
      <c r="N90" s="1470"/>
      <c r="O90" s="1470"/>
      <c r="P90" s="1470"/>
      <c r="Q90" s="1470"/>
      <c r="R90" s="1471"/>
      <c r="U90" s="1469">
        <f>'Customer Declared Expenses'!F26+U79</f>
        <v>0</v>
      </c>
      <c r="V90" s="1470"/>
      <c r="W90" s="1470"/>
      <c r="X90" s="1470"/>
      <c r="Y90" s="1470"/>
      <c r="Z90" s="1470"/>
      <c r="AA90" s="1470"/>
      <c r="AB90" s="1471"/>
      <c r="AE90" s="1469">
        <f>'Customer Declared Expenses'!H26+AE79</f>
        <v>0</v>
      </c>
      <c r="AF90" s="1470"/>
      <c r="AG90" s="1470"/>
      <c r="AH90" s="1470"/>
      <c r="AI90" s="1470"/>
      <c r="AJ90" s="1470"/>
      <c r="AK90" s="1470"/>
      <c r="AL90" s="1471"/>
      <c r="AO90" s="1469">
        <f>'Customer Declared Expenses'!J26+AO79</f>
        <v>0</v>
      </c>
      <c r="AP90" s="1470"/>
      <c r="AQ90" s="1470"/>
      <c r="AR90" s="1470"/>
      <c r="AS90" s="1470"/>
      <c r="AT90" s="1470"/>
      <c r="AU90" s="1470"/>
      <c r="AV90" s="1471"/>
      <c r="AY90" s="1469">
        <f>'Customer Declared Expenses'!L26+AY79</f>
        <v>0</v>
      </c>
      <c r="AZ90" s="1470"/>
      <c r="BA90" s="1470"/>
      <c r="BB90" s="1470"/>
      <c r="BC90" s="1470"/>
      <c r="BD90" s="1470"/>
      <c r="BE90" s="1470"/>
      <c r="BF90" s="1471"/>
      <c r="BI90" s="1469">
        <f>'Customer Declared Expenses'!N26+BI79</f>
        <v>0</v>
      </c>
      <c r="BJ90" s="1470"/>
      <c r="BK90" s="1470"/>
      <c r="BL90" s="1470"/>
      <c r="BM90" s="1470"/>
      <c r="BN90" s="1470"/>
      <c r="BO90" s="1470"/>
      <c r="BP90" s="1471"/>
    </row>
    <row r="91" spans="1:82" ht="18.75" hidden="1" customHeight="1" x14ac:dyDescent="0.25">
      <c r="B91" s="198" t="str">
        <f>B80</f>
        <v>Monthly expenses not comparable to HEM</v>
      </c>
      <c r="K91" s="1469">
        <f>SUM('Customer Declared Expenses'!D37,K81,K82)</f>
        <v>0</v>
      </c>
      <c r="L91" s="1470"/>
      <c r="M91" s="1470"/>
      <c r="N91" s="1470"/>
      <c r="O91" s="1470"/>
      <c r="P91" s="1470"/>
      <c r="Q91" s="1470"/>
      <c r="R91" s="1471"/>
      <c r="U91" s="1469">
        <f>SUM('Customer Declared Expenses'!F37,U81,U82)</f>
        <v>0</v>
      </c>
      <c r="V91" s="1470"/>
      <c r="W91" s="1470"/>
      <c r="X91" s="1470"/>
      <c r="Y91" s="1470"/>
      <c r="Z91" s="1470"/>
      <c r="AA91" s="1470"/>
      <c r="AB91" s="1471"/>
      <c r="AE91" s="1469">
        <f>SUM('Customer Declared Expenses'!H37,AE81,AE82)</f>
        <v>0</v>
      </c>
      <c r="AF91" s="1470"/>
      <c r="AG91" s="1470"/>
      <c r="AH91" s="1470"/>
      <c r="AI91" s="1470"/>
      <c r="AJ91" s="1470"/>
      <c r="AK91" s="1470"/>
      <c r="AL91" s="1471"/>
      <c r="AO91" s="1469">
        <f>SUM('Customer Declared Expenses'!J37,AO81,AO82)</f>
        <v>0</v>
      </c>
      <c r="AP91" s="1470"/>
      <c r="AQ91" s="1470"/>
      <c r="AR91" s="1470"/>
      <c r="AS91" s="1470"/>
      <c r="AT91" s="1470"/>
      <c r="AU91" s="1470"/>
      <c r="AV91" s="1471"/>
      <c r="AY91" s="1469">
        <f>SUM('Customer Declared Expenses'!L37,AY81,AY82)</f>
        <v>0</v>
      </c>
      <c r="AZ91" s="1470"/>
      <c r="BA91" s="1470"/>
      <c r="BB91" s="1470"/>
      <c r="BC91" s="1470"/>
      <c r="BD91" s="1470"/>
      <c r="BE91" s="1470"/>
      <c r="BF91" s="1471"/>
      <c r="BI91" s="1469">
        <f>SUM('Customer Declared Expenses'!N37,BI81,BI82)</f>
        <v>0</v>
      </c>
      <c r="BJ91" s="1470"/>
      <c r="BK91" s="1470"/>
      <c r="BL91" s="1470"/>
      <c r="BM91" s="1470"/>
      <c r="BN91" s="1470"/>
      <c r="BO91" s="1470"/>
      <c r="BP91" s="1471"/>
    </row>
    <row r="92" spans="1:82" ht="18.75" hidden="1" customHeight="1" x14ac:dyDescent="0.25">
      <c r="B92" s="198" t="s">
        <v>471</v>
      </c>
      <c r="K92" s="1469">
        <f ca="1">CDEApp1RentAssessed+K89</f>
        <v>0</v>
      </c>
      <c r="L92" s="1470"/>
      <c r="M92" s="1470"/>
      <c r="N92" s="1470"/>
      <c r="O92" s="1470"/>
      <c r="P92" s="1470"/>
      <c r="Q92" s="1470"/>
      <c r="R92" s="1471"/>
      <c r="U92" s="1469">
        <f ca="1">CDEApp2RentAssessed+U89</f>
        <v>0</v>
      </c>
      <c r="V92" s="1470"/>
      <c r="W92" s="1470"/>
      <c r="X92" s="1470"/>
      <c r="Y92" s="1470"/>
      <c r="Z92" s="1470"/>
      <c r="AA92" s="1470"/>
      <c r="AB92" s="1471"/>
      <c r="AE92" s="1469">
        <f ca="1">CDEApp3RentAssessed+AE89</f>
        <v>0</v>
      </c>
      <c r="AF92" s="1470"/>
      <c r="AG92" s="1470"/>
      <c r="AH92" s="1470"/>
      <c r="AI92" s="1470"/>
      <c r="AJ92" s="1470"/>
      <c r="AK92" s="1470"/>
      <c r="AL92" s="1471"/>
      <c r="AO92" s="1469">
        <f ca="1">CDEApp4RentAssessed+AO89</f>
        <v>0</v>
      </c>
      <c r="AP92" s="1470"/>
      <c r="AQ92" s="1470"/>
      <c r="AR92" s="1470"/>
      <c r="AS92" s="1470"/>
      <c r="AT92" s="1470"/>
      <c r="AU92" s="1470"/>
      <c r="AV92" s="1471"/>
      <c r="AY92" s="1469">
        <f ca="1">CDEApp5RentAssessed+AY89</f>
        <v>0</v>
      </c>
      <c r="AZ92" s="1470"/>
      <c r="BA92" s="1470"/>
      <c r="BB92" s="1470"/>
      <c r="BC92" s="1470"/>
      <c r="BD92" s="1470"/>
      <c r="BE92" s="1470"/>
      <c r="BF92" s="1471"/>
      <c r="BI92" s="1469">
        <f ca="1">CDEApp6RentAssessed+BI88</f>
        <v>0</v>
      </c>
      <c r="BJ92" s="1470"/>
      <c r="BK92" s="1470"/>
      <c r="BL92" s="1470"/>
      <c r="BM92" s="1470"/>
      <c r="BN92" s="1470"/>
      <c r="BO92" s="1470"/>
      <c r="BP92" s="1471"/>
    </row>
    <row r="93" spans="1:82" ht="18.75" customHeight="1" x14ac:dyDescent="0.25">
      <c r="B93" s="198" t="s">
        <v>285</v>
      </c>
      <c r="K93" s="1469">
        <f>RICApp1ExpenseTotal/12</f>
        <v>0</v>
      </c>
      <c r="L93" s="1470"/>
      <c r="M93" s="1470"/>
      <c r="N93" s="1470"/>
      <c r="O93" s="1470"/>
      <c r="P93" s="1470"/>
      <c r="Q93" s="1470"/>
      <c r="R93" s="1471"/>
      <c r="U93" s="1469">
        <f>RICApp2ExpenseTotal/12</f>
        <v>0</v>
      </c>
      <c r="V93" s="1470"/>
      <c r="W93" s="1470"/>
      <c r="X93" s="1470"/>
      <c r="Y93" s="1470"/>
      <c r="Z93" s="1470"/>
      <c r="AA93" s="1470"/>
      <c r="AB93" s="1471"/>
      <c r="AE93" s="1469">
        <f>RICApp3ExpenseTotal/12</f>
        <v>0</v>
      </c>
      <c r="AF93" s="1470"/>
      <c r="AG93" s="1470"/>
      <c r="AH93" s="1470"/>
      <c r="AI93" s="1470"/>
      <c r="AJ93" s="1470"/>
      <c r="AK93" s="1470"/>
      <c r="AL93" s="1471"/>
      <c r="AO93" s="1469">
        <f>RICApp4ExpenseTotal/12</f>
        <v>0</v>
      </c>
      <c r="AP93" s="1470"/>
      <c r="AQ93" s="1470"/>
      <c r="AR93" s="1470"/>
      <c r="AS93" s="1470"/>
      <c r="AT93" s="1470"/>
      <c r="AU93" s="1470"/>
      <c r="AV93" s="1471"/>
      <c r="AY93" s="1469">
        <f>RICApp5ExpenseTotal/12</f>
        <v>0</v>
      </c>
      <c r="AZ93" s="1470"/>
      <c r="BA93" s="1470"/>
      <c r="BB93" s="1470"/>
      <c r="BC93" s="1470"/>
      <c r="BD93" s="1470"/>
      <c r="BE93" s="1470"/>
      <c r="BF93" s="1471"/>
      <c r="BI93" s="1469">
        <f>RICApp6ExpenseTotal/12</f>
        <v>0</v>
      </c>
      <c r="BJ93" s="1470"/>
      <c r="BK93" s="1470"/>
      <c r="BL93" s="1470"/>
      <c r="BM93" s="1470"/>
      <c r="BN93" s="1470"/>
      <c r="BO93" s="1470"/>
      <c r="BP93" s="1471"/>
    </row>
    <row r="94" spans="1:82" ht="18.75" customHeight="1" x14ac:dyDescent="0.25">
      <c r="B94" s="198" t="s">
        <v>2050</v>
      </c>
      <c r="K94" s="1469">
        <f>'Expense Calculation'!W8</f>
        <v>0</v>
      </c>
      <c r="L94" s="1470"/>
      <c r="M94" s="1470"/>
      <c r="N94" s="1470"/>
      <c r="O94" s="1470"/>
      <c r="P94" s="1470"/>
      <c r="Q94" s="1470"/>
      <c r="R94" s="1471"/>
      <c r="U94" s="1469">
        <f>'Expense Calculation'!W9</f>
        <v>0</v>
      </c>
      <c r="V94" s="1470"/>
      <c r="W94" s="1470"/>
      <c r="X94" s="1470"/>
      <c r="Y94" s="1470"/>
      <c r="Z94" s="1470"/>
      <c r="AA94" s="1470"/>
      <c r="AB94" s="1471"/>
      <c r="AE94" s="1469">
        <f>'Expense Calculation'!W10</f>
        <v>0</v>
      </c>
      <c r="AF94" s="1470"/>
      <c r="AG94" s="1470"/>
      <c r="AH94" s="1470"/>
      <c r="AI94" s="1470"/>
      <c r="AJ94" s="1470"/>
      <c r="AK94" s="1470"/>
      <c r="AL94" s="1471"/>
      <c r="AO94" s="1469">
        <f>'Expense Calculation'!W11</f>
        <v>0</v>
      </c>
      <c r="AP94" s="1470"/>
      <c r="AQ94" s="1470"/>
      <c r="AR94" s="1470"/>
      <c r="AS94" s="1470"/>
      <c r="AT94" s="1470"/>
      <c r="AU94" s="1470"/>
      <c r="AV94" s="1471"/>
      <c r="AY94" s="1469">
        <f>'Expense Calculation'!W12</f>
        <v>0</v>
      </c>
      <c r="AZ94" s="1470"/>
      <c r="BA94" s="1470"/>
      <c r="BB94" s="1470"/>
      <c r="BC94" s="1470"/>
      <c r="BD94" s="1470"/>
      <c r="BE94" s="1470"/>
      <c r="BF94" s="1471"/>
      <c r="BI94" s="1469">
        <f>'Expense Calculation'!W13</f>
        <v>0</v>
      </c>
      <c r="BJ94" s="1470"/>
      <c r="BK94" s="1470"/>
      <c r="BL94" s="1470"/>
      <c r="BM94" s="1470"/>
      <c r="BN94" s="1470"/>
      <c r="BO94" s="1470"/>
      <c r="BP94" s="1471"/>
    </row>
    <row r="95" spans="1:82" ht="7.5" customHeight="1" x14ac:dyDescent="0.25"/>
    <row r="96" spans="1:82" ht="18.75" customHeight="1" x14ac:dyDescent="0.25">
      <c r="A96" s="86"/>
      <c r="B96" s="1151" t="s">
        <v>358</v>
      </c>
      <c r="C96" s="227"/>
      <c r="D96" s="227"/>
      <c r="E96" s="227"/>
      <c r="F96" s="227"/>
      <c r="G96" s="227"/>
      <c r="H96" s="227"/>
      <c r="I96" s="227"/>
      <c r="J96" s="227"/>
      <c r="K96" s="227"/>
      <c r="L96" s="227"/>
      <c r="M96" s="227"/>
      <c r="N96" s="227"/>
      <c r="O96" s="227"/>
      <c r="P96" s="227"/>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3"/>
      <c r="AX96" s="143"/>
      <c r="AY96" s="143"/>
      <c r="AZ96" s="143"/>
      <c r="BA96" s="143"/>
      <c r="BB96" s="143"/>
      <c r="BC96" s="143"/>
      <c r="BD96" s="143"/>
      <c r="BE96" s="143"/>
      <c r="BF96" s="143"/>
      <c r="BG96" s="143"/>
      <c r="BH96" s="143"/>
      <c r="BI96" s="143"/>
      <c r="BJ96" s="143"/>
      <c r="BK96" s="143"/>
      <c r="BL96" s="143"/>
      <c r="BM96" s="143"/>
      <c r="BN96" s="143"/>
      <c r="BO96" s="143"/>
      <c r="BP96" s="143"/>
      <c r="BQ96" s="143"/>
      <c r="BR96" s="143"/>
      <c r="BS96" s="143"/>
      <c r="BT96" s="143"/>
      <c r="BU96" s="143"/>
      <c r="BV96" s="143"/>
      <c r="BW96" s="143"/>
      <c r="BX96" s="143"/>
      <c r="BY96" s="143"/>
      <c r="BZ96" s="143"/>
      <c r="CA96" s="143"/>
      <c r="CB96" s="143"/>
      <c r="CC96" s="143"/>
      <c r="CD96" s="143"/>
    </row>
    <row r="97" spans="1:93" ht="18.75" customHeight="1" x14ac:dyDescent="0.25">
      <c r="A97" s="124"/>
      <c r="B97" s="1079" t="s">
        <v>791</v>
      </c>
      <c r="C97" s="228"/>
      <c r="D97" s="228"/>
      <c r="E97" s="228"/>
      <c r="F97" s="228"/>
      <c r="G97" s="228"/>
      <c r="H97" s="228"/>
      <c r="I97" s="228"/>
      <c r="J97" s="228"/>
      <c r="K97" s="228"/>
      <c r="L97" s="228"/>
      <c r="M97" s="145"/>
      <c r="N97" s="145"/>
      <c r="O97" s="145"/>
      <c r="P97" s="145"/>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24"/>
      <c r="AX97" s="124"/>
      <c r="AY97" s="124"/>
      <c r="AZ97" s="124"/>
      <c r="BA97" s="124"/>
      <c r="BB97" s="145"/>
      <c r="BC97" s="145"/>
      <c r="BD97" s="145"/>
      <c r="BE97" s="145"/>
      <c r="BF97" s="145"/>
      <c r="BG97" s="145"/>
      <c r="BH97" s="145"/>
      <c r="BI97" s="145"/>
      <c r="BJ97" s="145"/>
      <c r="BK97" s="145"/>
      <c r="BL97" s="145"/>
      <c r="BM97" s="145"/>
      <c r="BN97" s="145"/>
      <c r="BO97" s="145"/>
      <c r="BP97" s="145"/>
      <c r="BQ97" s="145"/>
      <c r="BR97" s="145"/>
      <c r="BS97" s="145"/>
      <c r="BT97" s="145"/>
      <c r="BU97" s="145"/>
      <c r="BV97" s="145"/>
      <c r="BW97" s="145"/>
      <c r="BX97" s="145"/>
      <c r="BY97" s="145"/>
      <c r="BZ97" s="145"/>
      <c r="CA97" s="145"/>
      <c r="CB97" s="145"/>
      <c r="CC97" s="145"/>
      <c r="CD97" s="145"/>
    </row>
    <row r="98" spans="1:93" ht="7.15" customHeight="1" x14ac:dyDescent="0.25">
      <c r="A98" s="8"/>
      <c r="B98" s="147"/>
      <c r="C98" s="147"/>
      <c r="D98" s="147"/>
      <c r="E98" s="147"/>
      <c r="F98" s="147"/>
      <c r="G98" s="147"/>
      <c r="H98" s="147"/>
      <c r="I98" s="147"/>
      <c r="J98" s="147"/>
      <c r="K98" s="147"/>
      <c r="L98" s="147"/>
      <c r="M98" s="8"/>
      <c r="O98" s="148"/>
      <c r="P98" s="148"/>
      <c r="Q98" s="148"/>
      <c r="R98" s="148"/>
      <c r="S98" s="148"/>
      <c r="T98" s="148"/>
      <c r="U98" s="148"/>
      <c r="V98" s="148"/>
      <c r="W98" s="148"/>
      <c r="X98" s="14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c r="BL98" s="8"/>
      <c r="BM98" s="8"/>
      <c r="BN98" s="8"/>
      <c r="BO98" s="8"/>
      <c r="BP98" s="8"/>
      <c r="BQ98" s="8"/>
      <c r="BR98" s="8"/>
      <c r="BS98" s="8"/>
      <c r="BT98" s="8"/>
      <c r="BU98" s="8"/>
      <c r="BV98" s="8"/>
      <c r="BW98" s="8"/>
      <c r="BX98" s="8"/>
      <c r="BY98" s="8"/>
      <c r="BZ98" s="8"/>
      <c r="CA98" s="8"/>
      <c r="CB98" s="8"/>
      <c r="CC98" s="8"/>
      <c r="CD98" s="8"/>
    </row>
    <row r="99" spans="1:93" ht="18.75" customHeight="1" x14ac:dyDescent="0.25">
      <c r="A99" s="8"/>
      <c r="AD99" s="1127" t="s">
        <v>2036</v>
      </c>
      <c r="AE99" s="468"/>
      <c r="AF99" s="468"/>
      <c r="AG99" s="468"/>
      <c r="AH99" s="468"/>
      <c r="AI99" s="469"/>
      <c r="AJ99" s="1540">
        <f>IF(SCAServiceabilityAssessmentType="Standard",BufferRate,IF(AND(BM125="OK",BM127="OK",BM129="OK",BM131="OK"),SDStreamlinedRefinanceBufferRate,BufferRate))</f>
        <v>0.03</v>
      </c>
      <c r="AK99" s="1541"/>
      <c r="AL99" s="1541"/>
      <c r="AM99" s="1541"/>
      <c r="AN99" s="1542"/>
      <c r="AO99" s="1"/>
      <c r="AP99" s="468" t="s">
        <v>476</v>
      </c>
      <c r="AQ99" s="468"/>
      <c r="AR99" s="469"/>
      <c r="AS99" s="1540">
        <f>FloorRateMCAR</f>
        <v>5.0500000000000003E-2</v>
      </c>
      <c r="AT99" s="1541"/>
      <c r="AU99" s="1541"/>
      <c r="AV99" s="1541"/>
      <c r="AW99" s="1542"/>
      <c r="AX99" s="274"/>
      <c r="AY99" s="371" t="s">
        <v>477</v>
      </c>
      <c r="AZ99" s="371"/>
      <c r="BA99" s="371"/>
      <c r="BB99" s="1657" cm="1">
        <f t="array" ref="BB99">FloorRateMCIR</f>
        <v>5.0500000000000003E-2</v>
      </c>
      <c r="BC99" s="1657"/>
      <c r="BD99" s="1657"/>
      <c r="BE99" s="1657"/>
      <c r="BF99" s="1657"/>
      <c r="BI99" s="168" t="b">
        <f>SCSProLoanPolicy&lt;&gt;"Standard"</f>
        <v>0</v>
      </c>
    </row>
    <row r="100" spans="1:93" ht="7.5" customHeight="1" x14ac:dyDescent="0.25">
      <c r="A100" s="8"/>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O100" s="9"/>
      <c r="AP100" s="9"/>
      <c r="AQ100" s="9"/>
      <c r="AR100" s="9"/>
      <c r="AS100" s="9"/>
      <c r="AT100" s="9"/>
      <c r="AU100" s="9"/>
      <c r="AV100" s="9"/>
      <c r="AW100" s="9"/>
      <c r="AX100" s="9"/>
      <c r="AY100" s="9"/>
      <c r="AZ100" s="9"/>
      <c r="BA100" s="9"/>
      <c r="BG100" s="9"/>
    </row>
    <row r="101" spans="1:93" ht="27" customHeight="1" x14ac:dyDescent="0.25">
      <c r="A101" s="149"/>
      <c r="C101" s="1543" t="s">
        <v>483</v>
      </c>
      <c r="D101" s="1543"/>
      <c r="E101" s="1543"/>
      <c r="F101" s="1543"/>
      <c r="G101" s="1543"/>
      <c r="H101" s="1543"/>
      <c r="I101" s="1543"/>
      <c r="J101" s="1543" t="s">
        <v>45</v>
      </c>
      <c r="K101" s="1543"/>
      <c r="L101" s="1543"/>
      <c r="M101" s="1543"/>
      <c r="N101" s="1543"/>
      <c r="O101" s="1543"/>
      <c r="P101" s="1543"/>
      <c r="Q101" s="1543"/>
      <c r="R101" s="1543"/>
      <c r="S101" s="1543"/>
      <c r="T101" s="1543"/>
      <c r="U101" s="1543" t="s">
        <v>1430</v>
      </c>
      <c r="V101" s="1543"/>
      <c r="W101" s="1543"/>
      <c r="X101" s="1543"/>
      <c r="Y101" s="1543"/>
      <c r="Z101" s="1543"/>
      <c r="AA101" s="1543"/>
      <c r="AB101" s="1481" t="s">
        <v>480</v>
      </c>
      <c r="AC101" s="1481"/>
      <c r="AD101" s="1481"/>
      <c r="AE101" s="1481"/>
      <c r="AF101" s="1481"/>
      <c r="AG101" s="1481"/>
      <c r="AH101" s="1481"/>
      <c r="AI101" s="1481" t="s">
        <v>519</v>
      </c>
      <c r="AJ101" s="1481"/>
      <c r="AK101" s="1481"/>
      <c r="AL101" s="1481"/>
      <c r="AM101" s="1481"/>
      <c r="AN101" s="1481"/>
      <c r="AO101" s="1481"/>
      <c r="AP101" s="1481" t="s">
        <v>848</v>
      </c>
      <c r="AQ101" s="1481"/>
      <c r="AR101" s="1481"/>
      <c r="AS101" s="1649" t="s">
        <v>518</v>
      </c>
      <c r="AT101" s="1649"/>
      <c r="AU101" s="1649"/>
      <c r="AV101" s="1543" t="s">
        <v>368</v>
      </c>
      <c r="AW101" s="1543"/>
      <c r="AX101" s="1543"/>
      <c r="AY101" s="1543"/>
      <c r="AZ101" s="1543"/>
      <c r="BA101" s="1543"/>
      <c r="BB101" s="1543"/>
      <c r="BC101" s="1543"/>
      <c r="BD101" s="1543"/>
      <c r="BE101" s="1543"/>
      <c r="BF101" s="1543"/>
      <c r="BH101" s="1656" t="s">
        <v>1425</v>
      </c>
      <c r="BI101" s="1656"/>
      <c r="BJ101" s="1656"/>
      <c r="BL101" s="1481" t="s">
        <v>1570</v>
      </c>
      <c r="BM101" s="1481"/>
      <c r="BN101" s="1481"/>
      <c r="BO101" s="1481"/>
      <c r="BP101" s="1481"/>
      <c r="BQ101" s="1481"/>
      <c r="BR101" s="1481"/>
      <c r="CF101" s="530" t="s">
        <v>2436</v>
      </c>
      <c r="CG101" s="530" t="s">
        <v>2435</v>
      </c>
      <c r="CH101" s="1224" t="s">
        <v>2437</v>
      </c>
      <c r="CI101" s="530" t="s">
        <v>385</v>
      </c>
      <c r="CJ101" s="530" t="s">
        <v>2438</v>
      </c>
      <c r="CK101" s="530" t="s">
        <v>2439</v>
      </c>
      <c r="CL101" s="530" t="s">
        <v>2440</v>
      </c>
      <c r="CM101" s="530" t="s">
        <v>2448</v>
      </c>
      <c r="CN101" s="530" t="s">
        <v>2447</v>
      </c>
      <c r="CO101" s="530"/>
    </row>
    <row r="102" spans="1:93" ht="7.5" customHeight="1" x14ac:dyDescent="0.25">
      <c r="A102" s="149"/>
      <c r="B102" s="149"/>
      <c r="C102" s="17"/>
      <c r="D102" s="15"/>
      <c r="E102" s="15"/>
      <c r="F102" s="15"/>
      <c r="G102" s="15"/>
      <c r="H102" s="15"/>
      <c r="I102" s="15"/>
      <c r="J102" s="15"/>
      <c r="K102" s="15"/>
      <c r="L102" s="15"/>
      <c r="M102" s="15"/>
      <c r="N102" s="15"/>
      <c r="O102" s="15"/>
      <c r="P102" s="15"/>
      <c r="Q102" s="15"/>
      <c r="R102" s="15"/>
      <c r="S102" s="15"/>
      <c r="T102" s="15"/>
      <c r="U102" s="17"/>
      <c r="V102" s="15"/>
      <c r="W102" s="15"/>
      <c r="X102" s="15"/>
      <c r="Y102" s="15"/>
      <c r="Z102" s="15"/>
      <c r="AA102" s="15"/>
      <c r="AB102" s="15"/>
      <c r="AC102" s="15"/>
      <c r="AD102" s="15"/>
      <c r="AE102" s="15"/>
      <c r="AF102" s="15"/>
      <c r="AG102" s="16"/>
      <c r="AH102" s="16"/>
      <c r="AI102" s="15"/>
      <c r="AJ102" s="15"/>
      <c r="AK102" s="15"/>
      <c r="AL102" s="15"/>
      <c r="AM102" s="15"/>
      <c r="AN102" s="16"/>
      <c r="AO102" s="16"/>
      <c r="AP102" s="16"/>
      <c r="AQ102" s="16"/>
      <c r="AR102" s="16"/>
      <c r="AS102" s="16"/>
      <c r="AT102" s="4"/>
      <c r="AU102" s="4"/>
      <c r="AV102" s="16"/>
      <c r="AW102" s="15"/>
      <c r="AX102" s="15"/>
      <c r="AY102" s="15"/>
      <c r="AZ102" s="15"/>
      <c r="BA102" s="15"/>
      <c r="BB102" s="15"/>
      <c r="BC102" s="15"/>
      <c r="BD102" s="15"/>
      <c r="BE102" s="15"/>
      <c r="BF102" s="15"/>
      <c r="BL102" s="147"/>
      <c r="BM102" s="147"/>
      <c r="BN102" s="147"/>
      <c r="BO102" s="147"/>
      <c r="BP102" s="147"/>
      <c r="BQ102" s="147"/>
      <c r="BR102" s="147"/>
      <c r="CF102" s="530"/>
      <c r="CG102" s="530"/>
      <c r="CH102" s="1224"/>
      <c r="CI102" s="530"/>
      <c r="CJ102" s="530"/>
    </row>
    <row r="103" spans="1:93" ht="18.75" customHeight="1" x14ac:dyDescent="0.25">
      <c r="A103" s="560">
        <v>1</v>
      </c>
      <c r="B103" s="170"/>
      <c r="C103" s="1596"/>
      <c r="D103" s="1596"/>
      <c r="E103" s="1596"/>
      <c r="F103" s="1596"/>
      <c r="G103" s="1596"/>
      <c r="H103" s="1596"/>
      <c r="I103" s="1596"/>
      <c r="J103" s="1480"/>
      <c r="K103" s="1480"/>
      <c r="L103" s="1480"/>
      <c r="M103" s="1480"/>
      <c r="N103" s="1480"/>
      <c r="O103" s="1480"/>
      <c r="P103" s="1480"/>
      <c r="Q103" s="1480"/>
      <c r="R103" s="1480"/>
      <c r="S103" s="1480"/>
      <c r="T103" s="1480"/>
      <c r="U103" s="1472"/>
      <c r="V103" s="1472"/>
      <c r="W103" s="1472"/>
      <c r="X103" s="1472"/>
      <c r="Y103" s="1472"/>
      <c r="Z103" s="1472"/>
      <c r="AA103" s="1472"/>
      <c r="AB103" s="1488" t="str">
        <f t="shared" ref="AB103:AB112" si="0">IF(C103="","",IF(C103="Mortgage - OO",FloorRateMCAR,FloorRateMCIR))</f>
        <v/>
      </c>
      <c r="AC103" s="1488"/>
      <c r="AD103" s="1488"/>
      <c r="AE103" s="1488"/>
      <c r="AF103" s="1488"/>
      <c r="AG103" s="1488"/>
      <c r="AH103" s="1488"/>
      <c r="AI103" s="1488" t="str">
        <f>IF(OR(ISBLANK(C103),ISBLANK(U103)),"",MAX(U103+$AJ$99,AB103))</f>
        <v/>
      </c>
      <c r="AJ103" s="1488"/>
      <c r="AK103" s="1488"/>
      <c r="AL103" s="1488"/>
      <c r="AM103" s="1488"/>
      <c r="AN103" s="1488"/>
      <c r="AO103" s="1488"/>
      <c r="AP103" s="1482"/>
      <c r="AQ103" s="1483"/>
      <c r="AR103" s="1484"/>
      <c r="AS103" s="1482"/>
      <c r="AT103" s="1483"/>
      <c r="AU103" s="1484"/>
      <c r="AV103" s="1595" t="str">
        <f>IFERROR(IF(CN103,ROUNDUP(CHOOSE(VLOOKUP(C103,NewLoanTypeTable[],MATCH("RepaymentCalcType",NewLoanTypeTable[#Headers],0),FALSE),PMT(AI103/12,CH103*12,-J103),J103*AI103/12),2),""),"")</f>
        <v/>
      </c>
      <c r="AW103" s="1595"/>
      <c r="AX103" s="1595"/>
      <c r="AY103" s="1595"/>
      <c r="AZ103" s="1595"/>
      <c r="BA103" s="1595"/>
      <c r="BB103" s="1595"/>
      <c r="BC103" s="1595"/>
      <c r="BD103" s="1595"/>
      <c r="BE103" s="1595"/>
      <c r="BF103" s="1595"/>
      <c r="BH103" s="1489"/>
      <c r="BI103" s="1490"/>
      <c r="BJ103" s="1491"/>
      <c r="BL103" s="1618"/>
      <c r="BM103" s="1618"/>
      <c r="BN103" s="1618"/>
      <c r="BO103" s="1618"/>
      <c r="BP103" s="1618"/>
      <c r="BQ103" s="1618"/>
      <c r="BR103" s="1618"/>
      <c r="BT103" s="169" t="str">
        <f t="array" ref="BT103">IFERROR(IFERROR(SMALL(IF((COUNTIF($BT$102:BT102, $BL$103:$BL$112)=0)*ISNUMBER($BL$103:$BL$112), $BL$103:$BL$112, "A"), 1), INDEX($BL$103:$BL$112, MATCH(SMALL(IF(ISTEXT($BL$103:$BL$112)*(COUNTIF(BT$102:$BT102, $BL$103:$BL$112)=0), COUNTIF($BL$103:$BL$112, "&lt;"&amp;$BL$103:$BL$112), ""), 1), IF(ISTEXT($BL$103:$BL$112), COUNTIF($BL$103:$BL$112, "&lt;"&amp;$BL$103:$BL$112), ""), 0))),"")</f>
        <v/>
      </c>
      <c r="BV103" s="169" t="str">
        <f t="shared" ref="BV103:BV112" si="1">IF(BH103="","",MAX(BH103+$AJ$99,AB103))</f>
        <v/>
      </c>
      <c r="BW103" s="168" t="str">
        <f t="shared" ref="BW103:BW112" si="2">IFERROR(IF(AS103&gt;0,J103*BV103/12,AV103),"")</f>
        <v/>
      </c>
      <c r="BX103" s="169" t="str">
        <f t="shared" ref="BX103:BX112" si="3">IFERROR(IF(AS103&gt;0,IF(AS103&gt;=$AJ$282,J103*BV103/12,AV103),AV103),"")</f>
        <v/>
      </c>
      <c r="BY103" s="169"/>
      <c r="BZ103" s="169">
        <f>IFERROR(ROUND(PMT(U103/12,(AP103-AS103)*12,-J103),2),0)</f>
        <v>0</v>
      </c>
      <c r="CF103" s="1418" t="str">
        <f>IFERROR(VLOOKUP($C103,NewLoanTypeTable[],MATCH(CF$101,NewLoanTypeTable[#Headers],0),FALSE),"")</f>
        <v/>
      </c>
      <c r="CG103" s="1418" t="str">
        <f>IFERROR(VLOOKUP($C103,NewLoanTypeTable[],MATCH(CG$101,NewLoanTypeTable[#Headers],0),FALSE),"")</f>
        <v/>
      </c>
      <c r="CH103" s="1224" t="str">
        <f>IFERROR(CHOOSE(VLOOKUP($C103,NewLoanTypeTable[],MATCH(CH$101,NewLoanTypeTable[#Headers],0),FALSE),IF(AP103=AS103,AP103,AP103-AS103),0),"")</f>
        <v/>
      </c>
      <c r="CI103" s="530" t="str">
        <f>IFERROR(VLOOKUP($C103,NewLoanTypeTable[],MATCH(CI$101,NewLoanTypeTable[#Headers],0),FALSE),"")</f>
        <v/>
      </c>
      <c r="CJ103" s="530" t="str">
        <f>IFERROR(VLOOKUP($C103,NewLoanTypeTable[],MATCH(CJ$101,NewLoanTypeTable[#Headers],0),FALSE),"")</f>
        <v/>
      </c>
      <c r="CK103" s="530" t="b">
        <f>OR(CF103=0,AND(AP103&gt;0,AP103&lt;=CF103))</f>
        <v>0</v>
      </c>
      <c r="CL103" s="530" t="b">
        <f>OR(CG103=0,AND(AS103&gt;=0,AS103&lt;=CG103))</f>
        <v>1</v>
      </c>
      <c r="CM103" s="530" t="b">
        <f>AND(ISBLANK(C103),OR(NOT(ISBLANK(J103)),NOT(ISBLANK(U103)),NOT(ISBLANK(AP103)),NOT(ISBLANK(AS103))))</f>
        <v>0</v>
      </c>
      <c r="CN103" s="530" t="b">
        <f>AND(NOT(ISBLANK(C103)),NOT(ISBLANK(J103)),NOT(ISBLANK(U103)),IF(CI103="Yes",NOT(ISBLANK(AP103)),TRUE))</f>
        <v>0</v>
      </c>
      <c r="CO103" s="530"/>
    </row>
    <row r="104" spans="1:93" ht="18.75" hidden="1" customHeight="1" x14ac:dyDescent="0.25">
      <c r="A104" s="560">
        <v>2</v>
      </c>
      <c r="B104" s="171"/>
      <c r="C104" s="1596"/>
      <c r="D104" s="1596"/>
      <c r="E104" s="1596"/>
      <c r="F104" s="1596"/>
      <c r="G104" s="1596"/>
      <c r="H104" s="1596"/>
      <c r="I104" s="1596"/>
      <c r="J104" s="1480"/>
      <c r="K104" s="1480"/>
      <c r="L104" s="1480"/>
      <c r="M104" s="1480"/>
      <c r="N104" s="1480"/>
      <c r="O104" s="1480"/>
      <c r="P104" s="1480"/>
      <c r="Q104" s="1480"/>
      <c r="R104" s="1480"/>
      <c r="S104" s="1480"/>
      <c r="T104" s="1480"/>
      <c r="U104" s="1472"/>
      <c r="V104" s="1472"/>
      <c r="W104" s="1472"/>
      <c r="X104" s="1472"/>
      <c r="Y104" s="1472"/>
      <c r="Z104" s="1472"/>
      <c r="AA104" s="1472"/>
      <c r="AB104" s="1488" t="str">
        <f t="shared" si="0"/>
        <v/>
      </c>
      <c r="AC104" s="1488"/>
      <c r="AD104" s="1488"/>
      <c r="AE104" s="1488"/>
      <c r="AF104" s="1488"/>
      <c r="AG104" s="1488"/>
      <c r="AH104" s="1488"/>
      <c r="AI104" s="1488" t="str">
        <f t="shared" ref="AI104:AI112" si="4">IF(OR(ISBLANK(C104),ISBLANK(U104)),"",MAX(U104+$AJ$99,AB104))</f>
        <v/>
      </c>
      <c r="AJ104" s="1488"/>
      <c r="AK104" s="1488"/>
      <c r="AL104" s="1488"/>
      <c r="AM104" s="1488"/>
      <c r="AN104" s="1488"/>
      <c r="AO104" s="1488"/>
      <c r="AP104" s="1482"/>
      <c r="AQ104" s="1483"/>
      <c r="AR104" s="1484"/>
      <c r="AS104" s="1482"/>
      <c r="AT104" s="1483"/>
      <c r="AU104" s="1484"/>
      <c r="AV104" s="1595" t="str">
        <f>IFERROR(IF(CN104,ROUNDUP(CHOOSE(VLOOKUP(C104,NewLoanTypeTable[],MATCH("RepaymentCalcType",NewLoanTypeTable[#Headers],0),FALSE),PMT(AI104/12,CH104*12,-J104),J104*AI104/12),2),""),"")</f>
        <v/>
      </c>
      <c r="AW104" s="1595"/>
      <c r="AX104" s="1595"/>
      <c r="AY104" s="1595"/>
      <c r="AZ104" s="1595"/>
      <c r="BA104" s="1595"/>
      <c r="BB104" s="1595"/>
      <c r="BC104" s="1595"/>
      <c r="BD104" s="1595"/>
      <c r="BE104" s="1595"/>
      <c r="BF104" s="1595"/>
      <c r="BH104" s="1489"/>
      <c r="BI104" s="1490"/>
      <c r="BJ104" s="1491"/>
      <c r="BL104" s="1618"/>
      <c r="BM104" s="1618"/>
      <c r="BN104" s="1618"/>
      <c r="BO104" s="1618"/>
      <c r="BP104" s="1618"/>
      <c r="BQ104" s="1618"/>
      <c r="BR104" s="1618"/>
      <c r="BT104" s="169" t="str">
        <f t="array" ref="BT104">IFERROR(IFERROR(SMALL(IF((COUNTIF($BT$102:BT103, $BL$103:$BL$112)=0)*ISNUMBER($BL$103:$BL$112), $BL$103:$BL$112, "A"), 1), INDEX($BL$103:$BL$112, MATCH(SMALL(IF(ISTEXT($BL$103:$BL$112)*(COUNTIF(BT$102:$BT103, $BL$103:$BL$112)=0), COUNTIF($BL$103:$BL$112, "&lt;"&amp;$BL$103:$BL$112), ""), 1), IF(ISTEXT($BL$103:$BL$112), COUNTIF($BL$103:$BL$112, "&lt;"&amp;$BL$103:$BL$112), ""), 0))),"")</f>
        <v/>
      </c>
      <c r="BV104" s="169" t="str">
        <f t="shared" si="1"/>
        <v/>
      </c>
      <c r="BW104" s="168" t="str">
        <f t="shared" si="2"/>
        <v/>
      </c>
      <c r="BX104" s="169" t="str">
        <f t="shared" si="3"/>
        <v/>
      </c>
      <c r="BY104" s="169"/>
      <c r="BZ104" s="169">
        <f t="shared" ref="BZ104:BZ112" si="5">IFERROR(ROUND(PMT(U104/12,(AP104-AS104)*12,-J104),2),0)</f>
        <v>0</v>
      </c>
      <c r="CF104" s="1418" t="str">
        <f>IFERROR(VLOOKUP($C104,NewLoanTypeTable[],MATCH(CF$101,NewLoanTypeTable[#Headers],0),FALSE),"")</f>
        <v/>
      </c>
      <c r="CG104" s="1418" t="str">
        <f>IFERROR(VLOOKUP($C104,NewLoanTypeTable[],MATCH(CG$101,NewLoanTypeTable[#Headers],0),FALSE),"")</f>
        <v/>
      </c>
      <c r="CH104" s="1224" t="str">
        <f>IFERROR(CHOOSE(VLOOKUP($C104,NewLoanTypeTable[],MATCH(CH$101,NewLoanTypeTable[#Headers],0),FALSE),IF(AP104=AS104,AP104,AP104-AS104),0),"")</f>
        <v/>
      </c>
      <c r="CI104" s="530" t="str">
        <f>IFERROR(VLOOKUP($C104,NewLoanTypeTable[],MATCH(CI$101,NewLoanTypeTable[#Headers],0),FALSE),"")</f>
        <v/>
      </c>
      <c r="CJ104" s="530" t="str">
        <f>IFERROR(VLOOKUP($C104,NewLoanTypeTable[],MATCH(CJ$101,NewLoanTypeTable[#Headers],0),FALSE),"")</f>
        <v/>
      </c>
      <c r="CK104" s="530" t="b">
        <f t="shared" ref="CK104:CK112" si="6">OR(CF104=0,AND(AP104&gt;0,AP104&lt;=CF104))</f>
        <v>0</v>
      </c>
      <c r="CL104" s="530" t="b">
        <f t="shared" ref="CL104:CL112" si="7">OR(CG104=0,AND(AS104&gt;=0,AS104&lt;=CG104))</f>
        <v>1</v>
      </c>
      <c r="CM104" s="530" t="b">
        <f t="shared" ref="CM104:CM112" si="8">AND(ISBLANK(C104),OR(NOT(ISBLANK(J104)),NOT(ISBLANK(U104)),NOT(ISBLANK(AP104)),NOT(ISBLANK(AS104))))</f>
        <v>0</v>
      </c>
      <c r="CN104" s="530" t="b">
        <f t="shared" ref="CN104:CN112" si="9">AND(NOT(ISBLANK(C104)),NOT(ISBLANK(J104)),NOT(ISBLANK(U104)),IF(CI104="Yes",NOT(ISBLANK(AP104)),TRUE))</f>
        <v>0</v>
      </c>
    </row>
    <row r="105" spans="1:93" ht="18.75" hidden="1" customHeight="1" x14ac:dyDescent="0.25">
      <c r="A105" s="560">
        <v>3</v>
      </c>
      <c r="B105" s="171"/>
      <c r="C105" s="1596"/>
      <c r="D105" s="1596"/>
      <c r="E105" s="1596"/>
      <c r="F105" s="1596"/>
      <c r="G105" s="1596"/>
      <c r="H105" s="1596"/>
      <c r="I105" s="1596"/>
      <c r="J105" s="1480"/>
      <c r="K105" s="1480"/>
      <c r="L105" s="1480"/>
      <c r="M105" s="1480"/>
      <c r="N105" s="1480"/>
      <c r="O105" s="1480"/>
      <c r="P105" s="1480"/>
      <c r="Q105" s="1480"/>
      <c r="R105" s="1480"/>
      <c r="S105" s="1480"/>
      <c r="T105" s="1480"/>
      <c r="U105" s="1472"/>
      <c r="V105" s="1472"/>
      <c r="W105" s="1472"/>
      <c r="X105" s="1472"/>
      <c r="Y105" s="1472"/>
      <c r="Z105" s="1472"/>
      <c r="AA105" s="1472"/>
      <c r="AB105" s="1488" t="str">
        <f t="shared" si="0"/>
        <v/>
      </c>
      <c r="AC105" s="1488"/>
      <c r="AD105" s="1488"/>
      <c r="AE105" s="1488"/>
      <c r="AF105" s="1488"/>
      <c r="AG105" s="1488"/>
      <c r="AH105" s="1488"/>
      <c r="AI105" s="1488" t="str">
        <f t="shared" si="4"/>
        <v/>
      </c>
      <c r="AJ105" s="1488"/>
      <c r="AK105" s="1488"/>
      <c r="AL105" s="1488"/>
      <c r="AM105" s="1488"/>
      <c r="AN105" s="1488"/>
      <c r="AO105" s="1488"/>
      <c r="AP105" s="1482"/>
      <c r="AQ105" s="1483"/>
      <c r="AR105" s="1484"/>
      <c r="AS105" s="1482"/>
      <c r="AT105" s="1483"/>
      <c r="AU105" s="1484"/>
      <c r="AV105" s="1595" t="str">
        <f>IFERROR(IF(CN105,ROUNDUP(CHOOSE(VLOOKUP(C105,NewLoanTypeTable[],MATCH("RepaymentCalcType",NewLoanTypeTable[#Headers],0),FALSE),PMT(AI105/12,CH105*12,-J105),J105*AI105/12),2),""),"")</f>
        <v/>
      </c>
      <c r="AW105" s="1595"/>
      <c r="AX105" s="1595"/>
      <c r="AY105" s="1595"/>
      <c r="AZ105" s="1595"/>
      <c r="BA105" s="1595"/>
      <c r="BB105" s="1595"/>
      <c r="BC105" s="1595"/>
      <c r="BD105" s="1595"/>
      <c r="BE105" s="1595"/>
      <c r="BF105" s="1595"/>
      <c r="BH105" s="1489"/>
      <c r="BI105" s="1490"/>
      <c r="BJ105" s="1491"/>
      <c r="BL105" s="1618"/>
      <c r="BM105" s="1618"/>
      <c r="BN105" s="1618"/>
      <c r="BO105" s="1618"/>
      <c r="BP105" s="1618"/>
      <c r="BQ105" s="1618"/>
      <c r="BR105" s="1618"/>
      <c r="BT105" s="169" t="str">
        <f t="array" ref="BT105">IFERROR(IFERROR(SMALL(IF((COUNTIF($BT$102:BT104, $BL$103:$BL$112)=0)*ISNUMBER($BL$103:$BL$112), $BL$103:$BL$112, "A"), 1), INDEX($BL$103:$BL$112, MATCH(SMALL(IF(ISTEXT($BL$103:$BL$112)*(COUNTIF(BT$102:$BT104, $BL$103:$BL$112)=0), COUNTIF($BL$103:$BL$112, "&lt;"&amp;$BL$103:$BL$112), ""), 1), IF(ISTEXT($BL$103:$BL$112), COUNTIF($BL$103:$BL$112, "&lt;"&amp;$BL$103:$BL$112), ""), 0))),"")</f>
        <v/>
      </c>
      <c r="BV105" s="169" t="str">
        <f t="shared" si="1"/>
        <v/>
      </c>
      <c r="BW105" s="168" t="str">
        <f t="shared" si="2"/>
        <v/>
      </c>
      <c r="BX105" s="169" t="str">
        <f t="shared" si="3"/>
        <v/>
      </c>
      <c r="BY105" s="169"/>
      <c r="BZ105" s="169">
        <f t="shared" si="5"/>
        <v>0</v>
      </c>
      <c r="CF105" s="1418" t="str">
        <f>IFERROR(VLOOKUP($C105,NewLoanTypeTable[],MATCH(CF$101,NewLoanTypeTable[#Headers],0),FALSE),"")</f>
        <v/>
      </c>
      <c r="CG105" s="1418" t="str">
        <f>IFERROR(VLOOKUP($C105,NewLoanTypeTable[],MATCH(CG$101,NewLoanTypeTable[#Headers],0),FALSE),"")</f>
        <v/>
      </c>
      <c r="CH105" s="1224" t="str">
        <f>IFERROR(CHOOSE(VLOOKUP($C105,NewLoanTypeTable[],MATCH(CH$101,NewLoanTypeTable[#Headers],0),FALSE),IF(AP105=AS105,AP105,AP105-AS105),0),"")</f>
        <v/>
      </c>
      <c r="CI105" s="530" t="str">
        <f>IFERROR(VLOOKUP($C105,NewLoanTypeTable[],MATCH(CI$101,NewLoanTypeTable[#Headers],0),FALSE),"")</f>
        <v/>
      </c>
      <c r="CJ105" s="530" t="str">
        <f>IFERROR(VLOOKUP($C105,NewLoanTypeTable[],MATCH(CJ$101,NewLoanTypeTable[#Headers],0),FALSE),"")</f>
        <v/>
      </c>
      <c r="CK105" s="530" t="b">
        <f t="shared" si="6"/>
        <v>0</v>
      </c>
      <c r="CL105" s="530" t="b">
        <f t="shared" si="7"/>
        <v>1</v>
      </c>
      <c r="CM105" s="530" t="b">
        <f t="shared" si="8"/>
        <v>0</v>
      </c>
      <c r="CN105" s="530" t="b">
        <f t="shared" si="9"/>
        <v>0</v>
      </c>
    </row>
    <row r="106" spans="1:93" ht="18.75" hidden="1" customHeight="1" x14ac:dyDescent="0.25">
      <c r="A106" s="560">
        <v>4</v>
      </c>
      <c r="B106" s="171"/>
      <c r="C106" s="1596"/>
      <c r="D106" s="1596"/>
      <c r="E106" s="1596"/>
      <c r="F106" s="1596"/>
      <c r="G106" s="1596"/>
      <c r="H106" s="1596"/>
      <c r="I106" s="1596"/>
      <c r="J106" s="1480"/>
      <c r="K106" s="1480"/>
      <c r="L106" s="1480"/>
      <c r="M106" s="1480"/>
      <c r="N106" s="1480"/>
      <c r="O106" s="1480"/>
      <c r="P106" s="1480"/>
      <c r="Q106" s="1480"/>
      <c r="R106" s="1480"/>
      <c r="S106" s="1480"/>
      <c r="T106" s="1480"/>
      <c r="U106" s="1472"/>
      <c r="V106" s="1472"/>
      <c r="W106" s="1472"/>
      <c r="X106" s="1472"/>
      <c r="Y106" s="1472"/>
      <c r="Z106" s="1472"/>
      <c r="AA106" s="1472"/>
      <c r="AB106" s="1488" t="str">
        <f t="shared" si="0"/>
        <v/>
      </c>
      <c r="AC106" s="1488"/>
      <c r="AD106" s="1488"/>
      <c r="AE106" s="1488"/>
      <c r="AF106" s="1488"/>
      <c r="AG106" s="1488"/>
      <c r="AH106" s="1488"/>
      <c r="AI106" s="1488" t="str">
        <f t="shared" si="4"/>
        <v/>
      </c>
      <c r="AJ106" s="1488"/>
      <c r="AK106" s="1488"/>
      <c r="AL106" s="1488"/>
      <c r="AM106" s="1488"/>
      <c r="AN106" s="1488"/>
      <c r="AO106" s="1488"/>
      <c r="AP106" s="1482"/>
      <c r="AQ106" s="1483"/>
      <c r="AR106" s="1484"/>
      <c r="AS106" s="1482"/>
      <c r="AT106" s="1483"/>
      <c r="AU106" s="1484"/>
      <c r="AV106" s="1595" t="str">
        <f>IFERROR(IF(CN106,ROUNDUP(CHOOSE(VLOOKUP(C106,NewLoanTypeTable[],MATCH("RepaymentCalcType",NewLoanTypeTable[#Headers],0),FALSE),PMT(AI106/12,CH106*12,-J106),J106*AI106/12),2),""),"")</f>
        <v/>
      </c>
      <c r="AW106" s="1595"/>
      <c r="AX106" s="1595"/>
      <c r="AY106" s="1595"/>
      <c r="AZ106" s="1595"/>
      <c r="BA106" s="1595"/>
      <c r="BB106" s="1595"/>
      <c r="BC106" s="1595"/>
      <c r="BD106" s="1595"/>
      <c r="BE106" s="1595"/>
      <c r="BF106" s="1595"/>
      <c r="BH106" s="1489"/>
      <c r="BI106" s="1490"/>
      <c r="BJ106" s="1491"/>
      <c r="BL106" s="1618"/>
      <c r="BM106" s="1618"/>
      <c r="BN106" s="1618"/>
      <c r="BO106" s="1618"/>
      <c r="BP106" s="1618"/>
      <c r="BQ106" s="1618"/>
      <c r="BR106" s="1618"/>
      <c r="BT106" s="169" t="str">
        <f t="array" ref="BT106">IFERROR(IFERROR(SMALL(IF((COUNTIF($BT$102:BT105, $BL$103:$BL$112)=0)*ISNUMBER($BL$103:$BL$112), $BL$103:$BL$112, "A"), 1), INDEX($BL$103:$BL$112, MATCH(SMALL(IF(ISTEXT($BL$103:$BL$112)*(COUNTIF(BT$102:$BT105, $BL$103:$BL$112)=0), COUNTIF($BL$103:$BL$112, "&lt;"&amp;$BL$103:$BL$112), ""), 1), IF(ISTEXT($BL$103:$BL$112), COUNTIF($BL$103:$BL$112, "&lt;"&amp;$BL$103:$BL$112), ""), 0))),"")</f>
        <v/>
      </c>
      <c r="BV106" s="169" t="str">
        <f t="shared" si="1"/>
        <v/>
      </c>
      <c r="BW106" s="168" t="str">
        <f t="shared" si="2"/>
        <v/>
      </c>
      <c r="BX106" s="169" t="str">
        <f t="shared" si="3"/>
        <v/>
      </c>
      <c r="BY106" s="169"/>
      <c r="BZ106" s="169">
        <f t="shared" si="5"/>
        <v>0</v>
      </c>
      <c r="CF106" s="1418" t="str">
        <f>IFERROR(VLOOKUP($C106,NewLoanTypeTable[],MATCH(CF$101,NewLoanTypeTable[#Headers],0),FALSE),"")</f>
        <v/>
      </c>
      <c r="CG106" s="1418" t="str">
        <f>IFERROR(VLOOKUP($C106,NewLoanTypeTable[],MATCH(CG$101,NewLoanTypeTable[#Headers],0),FALSE),"")</f>
        <v/>
      </c>
      <c r="CH106" s="1224" t="str">
        <f>IFERROR(CHOOSE(VLOOKUP($C106,NewLoanTypeTable[],MATCH(CH$101,NewLoanTypeTable[#Headers],0),FALSE),IF(AP106=AS106,AP106,AP106-AS106),0),"")</f>
        <v/>
      </c>
      <c r="CI106" s="530" t="str">
        <f>IFERROR(VLOOKUP($C106,NewLoanTypeTable[],MATCH(CI$101,NewLoanTypeTable[#Headers],0),FALSE),"")</f>
        <v/>
      </c>
      <c r="CJ106" s="530" t="str">
        <f>IFERROR(VLOOKUP($C106,NewLoanTypeTable[],MATCH(CJ$101,NewLoanTypeTable[#Headers],0),FALSE),"")</f>
        <v/>
      </c>
      <c r="CK106" s="530" t="b">
        <f t="shared" si="6"/>
        <v>0</v>
      </c>
      <c r="CL106" s="530" t="b">
        <f t="shared" si="7"/>
        <v>1</v>
      </c>
      <c r="CM106" s="530" t="b">
        <f t="shared" si="8"/>
        <v>0</v>
      </c>
      <c r="CN106" s="530" t="b">
        <f t="shared" si="9"/>
        <v>0</v>
      </c>
    </row>
    <row r="107" spans="1:93" ht="18.75" hidden="1" customHeight="1" x14ac:dyDescent="0.25">
      <c r="A107" s="560">
        <v>5</v>
      </c>
      <c r="B107" s="171"/>
      <c r="C107" s="1596"/>
      <c r="D107" s="1596"/>
      <c r="E107" s="1596"/>
      <c r="F107" s="1596"/>
      <c r="G107" s="1596"/>
      <c r="H107" s="1596"/>
      <c r="I107" s="1596"/>
      <c r="J107" s="1480"/>
      <c r="K107" s="1480"/>
      <c r="L107" s="1480"/>
      <c r="M107" s="1480"/>
      <c r="N107" s="1480"/>
      <c r="O107" s="1480"/>
      <c r="P107" s="1480"/>
      <c r="Q107" s="1480"/>
      <c r="R107" s="1480"/>
      <c r="S107" s="1480"/>
      <c r="T107" s="1480"/>
      <c r="U107" s="1472"/>
      <c r="V107" s="1472"/>
      <c r="W107" s="1472"/>
      <c r="X107" s="1472"/>
      <c r="Y107" s="1472"/>
      <c r="Z107" s="1472"/>
      <c r="AA107" s="1472"/>
      <c r="AB107" s="1488" t="str">
        <f t="shared" si="0"/>
        <v/>
      </c>
      <c r="AC107" s="1488"/>
      <c r="AD107" s="1488"/>
      <c r="AE107" s="1488"/>
      <c r="AF107" s="1488"/>
      <c r="AG107" s="1488"/>
      <c r="AH107" s="1488"/>
      <c r="AI107" s="1488" t="str">
        <f t="shared" si="4"/>
        <v/>
      </c>
      <c r="AJ107" s="1488"/>
      <c r="AK107" s="1488"/>
      <c r="AL107" s="1488"/>
      <c r="AM107" s="1488"/>
      <c r="AN107" s="1488"/>
      <c r="AO107" s="1488"/>
      <c r="AP107" s="1482"/>
      <c r="AQ107" s="1483"/>
      <c r="AR107" s="1484"/>
      <c r="AS107" s="1482"/>
      <c r="AT107" s="1483"/>
      <c r="AU107" s="1484"/>
      <c r="AV107" s="1595" t="str">
        <f>IFERROR(IF(CN107,ROUNDUP(CHOOSE(VLOOKUP(C107,NewLoanTypeTable[],MATCH("RepaymentCalcType",NewLoanTypeTable[#Headers],0),FALSE),PMT(AI107/12,CH107*12,-J107),J107*AI107/12),2),""),"")</f>
        <v/>
      </c>
      <c r="AW107" s="1595"/>
      <c r="AX107" s="1595"/>
      <c r="AY107" s="1595"/>
      <c r="AZ107" s="1595"/>
      <c r="BA107" s="1595"/>
      <c r="BB107" s="1595"/>
      <c r="BC107" s="1595"/>
      <c r="BD107" s="1595"/>
      <c r="BE107" s="1595"/>
      <c r="BF107" s="1595"/>
      <c r="BH107" s="1489"/>
      <c r="BI107" s="1490"/>
      <c r="BJ107" s="1491"/>
      <c r="BL107" s="1618"/>
      <c r="BM107" s="1618"/>
      <c r="BN107" s="1618"/>
      <c r="BO107" s="1618"/>
      <c r="BP107" s="1618"/>
      <c r="BQ107" s="1618"/>
      <c r="BR107" s="1618"/>
      <c r="BT107" s="169" t="str">
        <f t="array" ref="BT107">IFERROR(IFERROR(SMALL(IF((COUNTIF($BT$102:BT106, $BL$103:$BL$112)=0)*ISNUMBER($BL$103:$BL$112), $BL$103:$BL$112, "A"), 1), INDEX($BL$103:$BL$112, MATCH(SMALL(IF(ISTEXT($BL$103:$BL$112)*(COUNTIF(BT$102:$BT106, $BL$103:$BL$112)=0), COUNTIF($BL$103:$BL$112, "&lt;"&amp;$BL$103:$BL$112), ""), 1), IF(ISTEXT($BL$103:$BL$112), COUNTIF($BL$103:$BL$112, "&lt;"&amp;$BL$103:$BL$112), ""), 0))),"")</f>
        <v/>
      </c>
      <c r="BV107" s="169" t="str">
        <f t="shared" si="1"/>
        <v/>
      </c>
      <c r="BW107" s="168" t="str">
        <f t="shared" si="2"/>
        <v/>
      </c>
      <c r="BX107" s="169" t="str">
        <f t="shared" si="3"/>
        <v/>
      </c>
      <c r="BY107" s="169"/>
      <c r="BZ107" s="169">
        <f t="shared" si="5"/>
        <v>0</v>
      </c>
      <c r="CF107" s="1418" t="str">
        <f>IFERROR(VLOOKUP($C107,NewLoanTypeTable[],MATCH(CF$101,NewLoanTypeTable[#Headers],0),FALSE),"")</f>
        <v/>
      </c>
      <c r="CG107" s="1418" t="str">
        <f>IFERROR(VLOOKUP($C107,NewLoanTypeTable[],MATCH(CG$101,NewLoanTypeTable[#Headers],0),FALSE),"")</f>
        <v/>
      </c>
      <c r="CH107" s="1224" t="str">
        <f>IFERROR(CHOOSE(VLOOKUP($C107,NewLoanTypeTable[],MATCH(CH$101,NewLoanTypeTable[#Headers],0),FALSE),IF(AP107=AS107,AP107,AP107-AS107),0),"")</f>
        <v/>
      </c>
      <c r="CI107" s="530" t="str">
        <f>IFERROR(VLOOKUP($C107,NewLoanTypeTable[],MATCH(CI$101,NewLoanTypeTable[#Headers],0),FALSE),"")</f>
        <v/>
      </c>
      <c r="CJ107" s="530" t="str">
        <f>IFERROR(VLOOKUP($C107,NewLoanTypeTable[],MATCH(CJ$101,NewLoanTypeTable[#Headers],0),FALSE),"")</f>
        <v/>
      </c>
      <c r="CK107" s="530" t="b">
        <f t="shared" si="6"/>
        <v>0</v>
      </c>
      <c r="CL107" s="530" t="b">
        <f t="shared" si="7"/>
        <v>1</v>
      </c>
      <c r="CM107" s="530" t="b">
        <f t="shared" si="8"/>
        <v>0</v>
      </c>
      <c r="CN107" s="530" t="b">
        <f t="shared" si="9"/>
        <v>0</v>
      </c>
    </row>
    <row r="108" spans="1:93" ht="18.75" hidden="1" customHeight="1" x14ac:dyDescent="0.25">
      <c r="A108" s="560">
        <v>6</v>
      </c>
      <c r="B108" s="171"/>
      <c r="C108" s="1596"/>
      <c r="D108" s="1596"/>
      <c r="E108" s="1596"/>
      <c r="F108" s="1596"/>
      <c r="G108" s="1596"/>
      <c r="H108" s="1596"/>
      <c r="I108" s="1596"/>
      <c r="J108" s="1480"/>
      <c r="K108" s="1480"/>
      <c r="L108" s="1480"/>
      <c r="M108" s="1480"/>
      <c r="N108" s="1480"/>
      <c r="O108" s="1480"/>
      <c r="P108" s="1480"/>
      <c r="Q108" s="1480"/>
      <c r="R108" s="1480"/>
      <c r="S108" s="1480"/>
      <c r="T108" s="1480"/>
      <c r="U108" s="1472"/>
      <c r="V108" s="1472"/>
      <c r="W108" s="1472"/>
      <c r="X108" s="1472"/>
      <c r="Y108" s="1472"/>
      <c r="Z108" s="1472"/>
      <c r="AA108" s="1472"/>
      <c r="AB108" s="1488" t="str">
        <f t="shared" si="0"/>
        <v/>
      </c>
      <c r="AC108" s="1488"/>
      <c r="AD108" s="1488"/>
      <c r="AE108" s="1488"/>
      <c r="AF108" s="1488"/>
      <c r="AG108" s="1488"/>
      <c r="AH108" s="1488"/>
      <c r="AI108" s="1488" t="str">
        <f t="shared" si="4"/>
        <v/>
      </c>
      <c r="AJ108" s="1488"/>
      <c r="AK108" s="1488"/>
      <c r="AL108" s="1488"/>
      <c r="AM108" s="1488"/>
      <c r="AN108" s="1488"/>
      <c r="AO108" s="1488"/>
      <c r="AP108" s="1482"/>
      <c r="AQ108" s="1483"/>
      <c r="AR108" s="1484"/>
      <c r="AS108" s="1482"/>
      <c r="AT108" s="1483"/>
      <c r="AU108" s="1484"/>
      <c r="AV108" s="1595" t="str">
        <f>IFERROR(IF(CN108,ROUNDUP(CHOOSE(VLOOKUP(C108,NewLoanTypeTable[],MATCH("RepaymentCalcType",NewLoanTypeTable[#Headers],0),FALSE),PMT(AI108/12,CH108*12,-J108),J108*AI108/12),2),""),"")</f>
        <v/>
      </c>
      <c r="AW108" s="1595"/>
      <c r="AX108" s="1595"/>
      <c r="AY108" s="1595"/>
      <c r="AZ108" s="1595"/>
      <c r="BA108" s="1595"/>
      <c r="BB108" s="1595"/>
      <c r="BC108" s="1595"/>
      <c r="BD108" s="1595"/>
      <c r="BE108" s="1595"/>
      <c r="BF108" s="1595"/>
      <c r="BH108" s="1489"/>
      <c r="BI108" s="1490"/>
      <c r="BJ108" s="1491"/>
      <c r="BL108" s="1618"/>
      <c r="BM108" s="1618"/>
      <c r="BN108" s="1618"/>
      <c r="BO108" s="1618"/>
      <c r="BP108" s="1618"/>
      <c r="BQ108" s="1618"/>
      <c r="BR108" s="1618"/>
      <c r="BT108" s="169" t="str">
        <f t="array" ref="BT108">IFERROR(IFERROR(SMALL(IF((COUNTIF($BT$102:BT107, $BL$103:$BL$112)=0)*ISNUMBER($BL$103:$BL$112), $BL$103:$BL$112, "A"), 1), INDEX($BL$103:$BL$112, MATCH(SMALL(IF(ISTEXT($BL$103:$BL$112)*(COUNTIF(BT$102:$BT107, $BL$103:$BL$112)=0), COUNTIF($BL$103:$BL$112, "&lt;"&amp;$BL$103:$BL$112), ""), 1), IF(ISTEXT($BL$103:$BL$112), COUNTIF($BL$103:$BL$112, "&lt;"&amp;$BL$103:$BL$112), ""), 0))),"")</f>
        <v/>
      </c>
      <c r="BV108" s="169" t="str">
        <f t="shared" si="1"/>
        <v/>
      </c>
      <c r="BW108" s="168" t="str">
        <f t="shared" si="2"/>
        <v/>
      </c>
      <c r="BX108" s="169" t="str">
        <f t="shared" si="3"/>
        <v/>
      </c>
      <c r="BY108" s="169"/>
      <c r="BZ108" s="169">
        <f t="shared" si="5"/>
        <v>0</v>
      </c>
      <c r="CF108" s="1418" t="str">
        <f>IFERROR(VLOOKUP($C108,NewLoanTypeTable[],MATCH(CF$101,NewLoanTypeTable[#Headers],0),FALSE),"")</f>
        <v/>
      </c>
      <c r="CG108" s="1418" t="str">
        <f>IFERROR(VLOOKUP($C108,NewLoanTypeTable[],MATCH(CG$101,NewLoanTypeTable[#Headers],0),FALSE),"")</f>
        <v/>
      </c>
      <c r="CH108" s="1224" t="str">
        <f>IFERROR(CHOOSE(VLOOKUP($C108,NewLoanTypeTable[],MATCH(CH$101,NewLoanTypeTable[#Headers],0),FALSE),IF(AP108=AS108,AP108,AP108-AS108),0),"")</f>
        <v/>
      </c>
      <c r="CI108" s="530" t="str">
        <f>IFERROR(VLOOKUP($C108,NewLoanTypeTable[],MATCH(CI$101,NewLoanTypeTable[#Headers],0),FALSE),"")</f>
        <v/>
      </c>
      <c r="CJ108" s="530" t="str">
        <f>IFERROR(VLOOKUP($C108,NewLoanTypeTable[],MATCH(CJ$101,NewLoanTypeTable[#Headers],0),FALSE),"")</f>
        <v/>
      </c>
      <c r="CK108" s="530" t="b">
        <f t="shared" si="6"/>
        <v>0</v>
      </c>
      <c r="CL108" s="530" t="b">
        <f t="shared" si="7"/>
        <v>1</v>
      </c>
      <c r="CM108" s="530" t="b">
        <f t="shared" si="8"/>
        <v>0</v>
      </c>
      <c r="CN108" s="530" t="b">
        <f t="shared" si="9"/>
        <v>0</v>
      </c>
    </row>
    <row r="109" spans="1:93" ht="18.75" hidden="1" customHeight="1" x14ac:dyDescent="0.25">
      <c r="A109" s="560">
        <v>7</v>
      </c>
      <c r="B109" s="171"/>
      <c r="C109" s="1596"/>
      <c r="D109" s="1596"/>
      <c r="E109" s="1596"/>
      <c r="F109" s="1596"/>
      <c r="G109" s="1596"/>
      <c r="H109" s="1596"/>
      <c r="I109" s="1596"/>
      <c r="J109" s="1480"/>
      <c r="K109" s="1480"/>
      <c r="L109" s="1480"/>
      <c r="M109" s="1480"/>
      <c r="N109" s="1480"/>
      <c r="O109" s="1480"/>
      <c r="P109" s="1480"/>
      <c r="Q109" s="1480"/>
      <c r="R109" s="1480"/>
      <c r="S109" s="1480"/>
      <c r="T109" s="1480"/>
      <c r="U109" s="1472"/>
      <c r="V109" s="1472"/>
      <c r="W109" s="1472"/>
      <c r="X109" s="1472"/>
      <c r="Y109" s="1472"/>
      <c r="Z109" s="1472"/>
      <c r="AA109" s="1472"/>
      <c r="AB109" s="1488" t="str">
        <f t="shared" si="0"/>
        <v/>
      </c>
      <c r="AC109" s="1488"/>
      <c r="AD109" s="1488"/>
      <c r="AE109" s="1488"/>
      <c r="AF109" s="1488"/>
      <c r="AG109" s="1488"/>
      <c r="AH109" s="1488"/>
      <c r="AI109" s="1488" t="str">
        <f t="shared" si="4"/>
        <v/>
      </c>
      <c r="AJ109" s="1488"/>
      <c r="AK109" s="1488"/>
      <c r="AL109" s="1488"/>
      <c r="AM109" s="1488"/>
      <c r="AN109" s="1488"/>
      <c r="AO109" s="1488"/>
      <c r="AP109" s="1482"/>
      <c r="AQ109" s="1483"/>
      <c r="AR109" s="1484"/>
      <c r="AS109" s="1482"/>
      <c r="AT109" s="1483"/>
      <c r="AU109" s="1484"/>
      <c r="AV109" s="1595" t="str">
        <f>IFERROR(IF(CN109,ROUNDUP(CHOOSE(VLOOKUP(C109,NewLoanTypeTable[],MATCH("RepaymentCalcType",NewLoanTypeTable[#Headers],0),FALSE),PMT(AI109/12,CH109*12,-J109),J109*AI109/12),2),""),"")</f>
        <v/>
      </c>
      <c r="AW109" s="1595"/>
      <c r="AX109" s="1595"/>
      <c r="AY109" s="1595"/>
      <c r="AZ109" s="1595"/>
      <c r="BA109" s="1595"/>
      <c r="BB109" s="1595"/>
      <c r="BC109" s="1595"/>
      <c r="BD109" s="1595"/>
      <c r="BE109" s="1595"/>
      <c r="BF109" s="1595"/>
      <c r="BH109" s="1489"/>
      <c r="BI109" s="1490"/>
      <c r="BJ109" s="1491"/>
      <c r="BL109" s="1618"/>
      <c r="BM109" s="1618"/>
      <c r="BN109" s="1618"/>
      <c r="BO109" s="1618"/>
      <c r="BP109" s="1618"/>
      <c r="BQ109" s="1618"/>
      <c r="BR109" s="1618"/>
      <c r="BT109" s="169" t="str">
        <f t="array" ref="BT109">IFERROR(IFERROR(SMALL(IF((COUNTIF($BT$102:BT108, $BL$103:$BL$112)=0)*ISNUMBER($BL$103:$BL$112), $BL$103:$BL$112, "A"), 1), INDEX($BL$103:$BL$112, MATCH(SMALL(IF(ISTEXT($BL$103:$BL$112)*(COUNTIF(BT$102:$BT108, $BL$103:$BL$112)=0), COUNTIF($BL$103:$BL$112, "&lt;"&amp;$BL$103:$BL$112), ""), 1), IF(ISTEXT($BL$103:$BL$112), COUNTIF($BL$103:$BL$112, "&lt;"&amp;$BL$103:$BL$112), ""), 0))),"")</f>
        <v/>
      </c>
      <c r="BV109" s="169" t="str">
        <f t="shared" si="1"/>
        <v/>
      </c>
      <c r="BW109" s="168" t="str">
        <f t="shared" si="2"/>
        <v/>
      </c>
      <c r="BX109" s="169" t="str">
        <f t="shared" si="3"/>
        <v/>
      </c>
      <c r="BY109" s="169"/>
      <c r="BZ109" s="169">
        <f t="shared" si="5"/>
        <v>0</v>
      </c>
      <c r="CF109" s="1418" t="str">
        <f>IFERROR(VLOOKUP($C109,NewLoanTypeTable[],MATCH(CF$101,NewLoanTypeTable[#Headers],0),FALSE),"")</f>
        <v/>
      </c>
      <c r="CG109" s="1418" t="str">
        <f>IFERROR(VLOOKUP($C109,NewLoanTypeTable[],MATCH(CG$101,NewLoanTypeTable[#Headers],0),FALSE),"")</f>
        <v/>
      </c>
      <c r="CH109" s="1224" t="str">
        <f>IFERROR(CHOOSE(VLOOKUP($C109,NewLoanTypeTable[],MATCH(CH$101,NewLoanTypeTable[#Headers],0),FALSE),IF(AP109=AS109,AP109,AP109-AS109),0),"")</f>
        <v/>
      </c>
      <c r="CI109" s="530" t="str">
        <f>IFERROR(VLOOKUP($C109,NewLoanTypeTable[],MATCH(CI$101,NewLoanTypeTable[#Headers],0),FALSE),"")</f>
        <v/>
      </c>
      <c r="CJ109" s="530" t="str">
        <f>IFERROR(VLOOKUP($C109,NewLoanTypeTable[],MATCH(CJ$101,NewLoanTypeTable[#Headers],0),FALSE),"")</f>
        <v/>
      </c>
      <c r="CK109" s="530" t="b">
        <f t="shared" si="6"/>
        <v>0</v>
      </c>
      <c r="CL109" s="530" t="b">
        <f t="shared" si="7"/>
        <v>1</v>
      </c>
      <c r="CM109" s="530" t="b">
        <f t="shared" si="8"/>
        <v>0</v>
      </c>
      <c r="CN109" s="530" t="b">
        <f t="shared" si="9"/>
        <v>0</v>
      </c>
    </row>
    <row r="110" spans="1:93" ht="18.75" hidden="1" customHeight="1" x14ac:dyDescent="0.25">
      <c r="A110" s="560">
        <v>8</v>
      </c>
      <c r="B110" s="171"/>
      <c r="C110" s="1596"/>
      <c r="D110" s="1596"/>
      <c r="E110" s="1596"/>
      <c r="F110" s="1596"/>
      <c r="G110" s="1596"/>
      <c r="H110" s="1596"/>
      <c r="I110" s="1596"/>
      <c r="J110" s="1480"/>
      <c r="K110" s="1480"/>
      <c r="L110" s="1480"/>
      <c r="M110" s="1480"/>
      <c r="N110" s="1480"/>
      <c r="O110" s="1480"/>
      <c r="P110" s="1480"/>
      <c r="Q110" s="1480"/>
      <c r="R110" s="1480"/>
      <c r="S110" s="1480"/>
      <c r="T110" s="1480"/>
      <c r="U110" s="1472"/>
      <c r="V110" s="1472"/>
      <c r="W110" s="1472"/>
      <c r="X110" s="1472"/>
      <c r="Y110" s="1472"/>
      <c r="Z110" s="1472"/>
      <c r="AA110" s="1472"/>
      <c r="AB110" s="1488" t="str">
        <f t="shared" si="0"/>
        <v/>
      </c>
      <c r="AC110" s="1488"/>
      <c r="AD110" s="1488"/>
      <c r="AE110" s="1488"/>
      <c r="AF110" s="1488"/>
      <c r="AG110" s="1488"/>
      <c r="AH110" s="1488"/>
      <c r="AI110" s="1488" t="str">
        <f t="shared" si="4"/>
        <v/>
      </c>
      <c r="AJ110" s="1488"/>
      <c r="AK110" s="1488"/>
      <c r="AL110" s="1488"/>
      <c r="AM110" s="1488"/>
      <c r="AN110" s="1488"/>
      <c r="AO110" s="1488"/>
      <c r="AP110" s="1482"/>
      <c r="AQ110" s="1483"/>
      <c r="AR110" s="1484"/>
      <c r="AS110" s="1482"/>
      <c r="AT110" s="1483"/>
      <c r="AU110" s="1484"/>
      <c r="AV110" s="1595" t="str">
        <f>IFERROR(IF(CN110,ROUNDUP(CHOOSE(VLOOKUP(C110,NewLoanTypeTable[],MATCH("RepaymentCalcType",NewLoanTypeTable[#Headers],0),FALSE),PMT(AI110/12,CH110*12,-J110),J110*AI110/12),2),""),"")</f>
        <v/>
      </c>
      <c r="AW110" s="1595"/>
      <c r="AX110" s="1595"/>
      <c r="AY110" s="1595"/>
      <c r="AZ110" s="1595"/>
      <c r="BA110" s="1595"/>
      <c r="BB110" s="1595"/>
      <c r="BC110" s="1595"/>
      <c r="BD110" s="1595"/>
      <c r="BE110" s="1595"/>
      <c r="BF110" s="1595"/>
      <c r="BH110" s="1489"/>
      <c r="BI110" s="1490"/>
      <c r="BJ110" s="1491"/>
      <c r="BL110" s="1618"/>
      <c r="BM110" s="1618"/>
      <c r="BN110" s="1618"/>
      <c r="BO110" s="1618"/>
      <c r="BP110" s="1618"/>
      <c r="BQ110" s="1618"/>
      <c r="BR110" s="1618"/>
      <c r="BT110" s="169" t="str">
        <f t="array" ref="BT110">IFERROR(IFERROR(SMALL(IF((COUNTIF($BT$102:BT109, $BL$103:$BL$112)=0)*ISNUMBER($BL$103:$BL$112), $BL$103:$BL$112, "A"), 1), INDEX($BL$103:$BL$112, MATCH(SMALL(IF(ISTEXT($BL$103:$BL$112)*(COUNTIF(BT$102:$BT109, $BL$103:$BL$112)=0), COUNTIF($BL$103:$BL$112, "&lt;"&amp;$BL$103:$BL$112), ""), 1), IF(ISTEXT($BL$103:$BL$112), COUNTIF($BL$103:$BL$112, "&lt;"&amp;$BL$103:$BL$112), ""), 0))),"")</f>
        <v/>
      </c>
      <c r="BV110" s="169" t="str">
        <f t="shared" si="1"/>
        <v/>
      </c>
      <c r="BW110" s="168" t="str">
        <f t="shared" si="2"/>
        <v/>
      </c>
      <c r="BX110" s="169" t="str">
        <f t="shared" si="3"/>
        <v/>
      </c>
      <c r="BY110" s="169"/>
      <c r="BZ110" s="169">
        <f t="shared" si="5"/>
        <v>0</v>
      </c>
      <c r="CF110" s="1418" t="str">
        <f>IFERROR(VLOOKUP($C110,NewLoanTypeTable[],MATCH(CF$101,NewLoanTypeTable[#Headers],0),FALSE),"")</f>
        <v/>
      </c>
      <c r="CG110" s="1418" t="str">
        <f>IFERROR(VLOOKUP($C110,NewLoanTypeTable[],MATCH(CG$101,NewLoanTypeTable[#Headers],0),FALSE),"")</f>
        <v/>
      </c>
      <c r="CH110" s="1224" t="str">
        <f>IFERROR(CHOOSE(VLOOKUP($C110,NewLoanTypeTable[],MATCH(CH$101,NewLoanTypeTable[#Headers],0),FALSE),IF(AP110=AS110,AP110,AP110-AS110),0),"")</f>
        <v/>
      </c>
      <c r="CI110" s="530" t="str">
        <f>IFERROR(VLOOKUP($C110,NewLoanTypeTable[],MATCH(CI$101,NewLoanTypeTable[#Headers],0),FALSE),"")</f>
        <v/>
      </c>
      <c r="CJ110" s="530" t="str">
        <f>IFERROR(VLOOKUP($C110,NewLoanTypeTable[],MATCH(CJ$101,NewLoanTypeTable[#Headers],0),FALSE),"")</f>
        <v/>
      </c>
      <c r="CK110" s="530" t="b">
        <f t="shared" si="6"/>
        <v>0</v>
      </c>
      <c r="CL110" s="530" t="b">
        <f t="shared" si="7"/>
        <v>1</v>
      </c>
      <c r="CM110" s="530" t="b">
        <f t="shared" si="8"/>
        <v>0</v>
      </c>
      <c r="CN110" s="530" t="b">
        <f t="shared" si="9"/>
        <v>0</v>
      </c>
    </row>
    <row r="111" spans="1:93" ht="18.75" hidden="1" customHeight="1" x14ac:dyDescent="0.25">
      <c r="A111" s="560">
        <v>9</v>
      </c>
      <c r="B111" s="171"/>
      <c r="C111" s="1596"/>
      <c r="D111" s="1596"/>
      <c r="E111" s="1596"/>
      <c r="F111" s="1596"/>
      <c r="G111" s="1596"/>
      <c r="H111" s="1596"/>
      <c r="I111" s="1596"/>
      <c r="J111" s="1480"/>
      <c r="K111" s="1480"/>
      <c r="L111" s="1480"/>
      <c r="M111" s="1480"/>
      <c r="N111" s="1480"/>
      <c r="O111" s="1480"/>
      <c r="P111" s="1480"/>
      <c r="Q111" s="1480"/>
      <c r="R111" s="1480"/>
      <c r="S111" s="1480"/>
      <c r="T111" s="1480"/>
      <c r="U111" s="1472"/>
      <c r="V111" s="1472"/>
      <c r="W111" s="1472"/>
      <c r="X111" s="1472"/>
      <c r="Y111" s="1472"/>
      <c r="Z111" s="1472"/>
      <c r="AA111" s="1472"/>
      <c r="AB111" s="1488" t="str">
        <f t="shared" si="0"/>
        <v/>
      </c>
      <c r="AC111" s="1488"/>
      <c r="AD111" s="1488"/>
      <c r="AE111" s="1488"/>
      <c r="AF111" s="1488"/>
      <c r="AG111" s="1488"/>
      <c r="AH111" s="1488"/>
      <c r="AI111" s="1488" t="str">
        <f t="shared" si="4"/>
        <v/>
      </c>
      <c r="AJ111" s="1488"/>
      <c r="AK111" s="1488"/>
      <c r="AL111" s="1488"/>
      <c r="AM111" s="1488"/>
      <c r="AN111" s="1488"/>
      <c r="AO111" s="1488"/>
      <c r="AP111" s="1482"/>
      <c r="AQ111" s="1483"/>
      <c r="AR111" s="1484"/>
      <c r="AS111" s="1482"/>
      <c r="AT111" s="1483"/>
      <c r="AU111" s="1484"/>
      <c r="AV111" s="1595" t="str">
        <f>IFERROR(IF(CN111,ROUNDUP(CHOOSE(VLOOKUP(C111,NewLoanTypeTable[],MATCH("RepaymentCalcType",NewLoanTypeTable[#Headers],0),FALSE),PMT(AI111/12,CH111*12,-J111),J111*AI111/12),2),""),"")</f>
        <v/>
      </c>
      <c r="AW111" s="1595"/>
      <c r="AX111" s="1595"/>
      <c r="AY111" s="1595"/>
      <c r="AZ111" s="1595"/>
      <c r="BA111" s="1595"/>
      <c r="BB111" s="1595"/>
      <c r="BC111" s="1595"/>
      <c r="BD111" s="1595"/>
      <c r="BE111" s="1595"/>
      <c r="BF111" s="1595"/>
      <c r="BH111" s="1489"/>
      <c r="BI111" s="1490"/>
      <c r="BJ111" s="1491"/>
      <c r="BL111" s="1618"/>
      <c r="BM111" s="1618"/>
      <c r="BN111" s="1618"/>
      <c r="BO111" s="1618"/>
      <c r="BP111" s="1618"/>
      <c r="BQ111" s="1618"/>
      <c r="BR111" s="1618"/>
      <c r="BT111" s="169" t="str">
        <f t="array" ref="BT111">IFERROR(IFERROR(SMALL(IF((COUNTIF($BT$102:BT110, $BL$103:$BL$112)=0)*ISNUMBER($BL$103:$BL$112), $BL$103:$BL$112, "A"), 1), INDEX($BL$103:$BL$112, MATCH(SMALL(IF(ISTEXT($BL$103:$BL$112)*(COUNTIF(BT$102:$BT110, $BL$103:$BL$112)=0), COUNTIF($BL$103:$BL$112, "&lt;"&amp;$BL$103:$BL$112), ""), 1), IF(ISTEXT($BL$103:$BL$112), COUNTIF($BL$103:$BL$112, "&lt;"&amp;$BL$103:$BL$112), ""), 0))),"")</f>
        <v/>
      </c>
      <c r="BV111" s="169" t="str">
        <f t="shared" si="1"/>
        <v/>
      </c>
      <c r="BW111" s="168" t="str">
        <f t="shared" si="2"/>
        <v/>
      </c>
      <c r="BX111" s="169" t="str">
        <f t="shared" si="3"/>
        <v/>
      </c>
      <c r="BY111" s="169"/>
      <c r="BZ111" s="169">
        <f t="shared" si="5"/>
        <v>0</v>
      </c>
      <c r="CF111" s="1418" t="str">
        <f>IFERROR(VLOOKUP($C111,NewLoanTypeTable[],MATCH(CF$101,NewLoanTypeTable[#Headers],0),FALSE),"")</f>
        <v/>
      </c>
      <c r="CG111" s="1418" t="str">
        <f>IFERROR(VLOOKUP($C111,NewLoanTypeTable[],MATCH(CG$101,NewLoanTypeTable[#Headers],0),FALSE),"")</f>
        <v/>
      </c>
      <c r="CH111" s="1224" t="str">
        <f>IFERROR(CHOOSE(VLOOKUP($C111,NewLoanTypeTable[],MATCH(CH$101,NewLoanTypeTable[#Headers],0),FALSE),IF(AP111=AS111,AP111,AP111-AS111),0),"")</f>
        <v/>
      </c>
      <c r="CI111" s="530" t="str">
        <f>IFERROR(VLOOKUP($C111,NewLoanTypeTable[],MATCH(CI$101,NewLoanTypeTable[#Headers],0),FALSE),"")</f>
        <v/>
      </c>
      <c r="CJ111" s="530" t="str">
        <f>IFERROR(VLOOKUP($C111,NewLoanTypeTable[],MATCH(CJ$101,NewLoanTypeTable[#Headers],0),FALSE),"")</f>
        <v/>
      </c>
      <c r="CK111" s="530" t="b">
        <f t="shared" si="6"/>
        <v>0</v>
      </c>
      <c r="CL111" s="530" t="b">
        <f t="shared" si="7"/>
        <v>1</v>
      </c>
      <c r="CM111" s="530" t="b">
        <f t="shared" si="8"/>
        <v>0</v>
      </c>
      <c r="CN111" s="530" t="b">
        <f t="shared" si="9"/>
        <v>0</v>
      </c>
    </row>
    <row r="112" spans="1:93" ht="18.75" hidden="1" customHeight="1" x14ac:dyDescent="0.25">
      <c r="A112" s="560">
        <v>10</v>
      </c>
      <c r="B112" s="171"/>
      <c r="C112" s="1596"/>
      <c r="D112" s="1596"/>
      <c r="E112" s="1596"/>
      <c r="F112" s="1596"/>
      <c r="G112" s="1596"/>
      <c r="H112" s="1596"/>
      <c r="I112" s="1596"/>
      <c r="J112" s="1480"/>
      <c r="K112" s="1480"/>
      <c r="L112" s="1480"/>
      <c r="M112" s="1480"/>
      <c r="N112" s="1480"/>
      <c r="O112" s="1480"/>
      <c r="P112" s="1480"/>
      <c r="Q112" s="1480"/>
      <c r="R112" s="1480"/>
      <c r="S112" s="1480"/>
      <c r="T112" s="1480"/>
      <c r="U112" s="1472"/>
      <c r="V112" s="1472"/>
      <c r="W112" s="1472"/>
      <c r="X112" s="1472"/>
      <c r="Y112" s="1472"/>
      <c r="Z112" s="1472"/>
      <c r="AA112" s="1472"/>
      <c r="AB112" s="1488" t="str">
        <f t="shared" si="0"/>
        <v/>
      </c>
      <c r="AC112" s="1488"/>
      <c r="AD112" s="1488"/>
      <c r="AE112" s="1488"/>
      <c r="AF112" s="1488"/>
      <c r="AG112" s="1488"/>
      <c r="AH112" s="1488"/>
      <c r="AI112" s="1488" t="str">
        <f t="shared" si="4"/>
        <v/>
      </c>
      <c r="AJ112" s="1488"/>
      <c r="AK112" s="1488"/>
      <c r="AL112" s="1488"/>
      <c r="AM112" s="1488"/>
      <c r="AN112" s="1488"/>
      <c r="AO112" s="1488"/>
      <c r="AP112" s="1482"/>
      <c r="AQ112" s="1483"/>
      <c r="AR112" s="1484"/>
      <c r="AS112" s="1482"/>
      <c r="AT112" s="1483"/>
      <c r="AU112" s="1484"/>
      <c r="AV112" s="1595" t="str">
        <f>IFERROR(IF(CN112,ROUNDUP(CHOOSE(VLOOKUP(C112,NewLoanTypeTable[],MATCH("RepaymentCalcType",NewLoanTypeTable[#Headers],0),FALSE),PMT(AI112/12,CH112*12,-J112),J112*AI112/12),2),""),"")</f>
        <v/>
      </c>
      <c r="AW112" s="1595"/>
      <c r="AX112" s="1595"/>
      <c r="AY112" s="1595"/>
      <c r="AZ112" s="1595"/>
      <c r="BA112" s="1595"/>
      <c r="BB112" s="1595"/>
      <c r="BC112" s="1595"/>
      <c r="BD112" s="1595"/>
      <c r="BE112" s="1595"/>
      <c r="BF112" s="1595"/>
      <c r="BH112" s="1489"/>
      <c r="BI112" s="1490"/>
      <c r="BJ112" s="1491"/>
      <c r="BL112" s="1618"/>
      <c r="BM112" s="1618"/>
      <c r="BN112" s="1618"/>
      <c r="BO112" s="1618"/>
      <c r="BP112" s="1618"/>
      <c r="BQ112" s="1618"/>
      <c r="BR112" s="1618"/>
      <c r="BT112" s="169" t="str">
        <f t="array" ref="BT112">IFERROR(IFERROR(SMALL(IF((COUNTIF($BT$102:BT111, $BL$103:$BL$112)=0)*ISNUMBER($BL$103:$BL$112), $BL$103:$BL$112, "A"), 1), INDEX($BL$103:$BL$112, MATCH(SMALL(IF(ISTEXT($BL$103:$BL$112)*(COUNTIF(BT$102:$BT111, $BL$103:$BL$112)=0), COUNTIF($BL$103:$BL$112, "&lt;"&amp;$BL$103:$BL$112), ""), 1), IF(ISTEXT($BL$103:$BL$112), COUNTIF($BL$103:$BL$112, "&lt;"&amp;$BL$103:$BL$112), ""), 0))),"")</f>
        <v/>
      </c>
      <c r="BV112" s="169" t="str">
        <f t="shared" si="1"/>
        <v/>
      </c>
      <c r="BW112" s="168" t="str">
        <f t="shared" si="2"/>
        <v/>
      </c>
      <c r="BX112" s="169" t="str">
        <f t="shared" si="3"/>
        <v/>
      </c>
      <c r="BY112" s="169"/>
      <c r="BZ112" s="169">
        <f t="shared" si="5"/>
        <v>0</v>
      </c>
      <c r="CF112" s="1418" t="str">
        <f>IFERROR(VLOOKUP($C112,NewLoanTypeTable[],MATCH(CF$101,NewLoanTypeTable[#Headers],0),FALSE),"")</f>
        <v/>
      </c>
      <c r="CG112" s="1418" t="str">
        <f>IFERROR(VLOOKUP($C112,NewLoanTypeTable[],MATCH(CG$101,NewLoanTypeTable[#Headers],0),FALSE),"")</f>
        <v/>
      </c>
      <c r="CH112" s="1224" t="str">
        <f>IFERROR(CHOOSE(VLOOKUP($C112,NewLoanTypeTable[],MATCH(CH$101,NewLoanTypeTable[#Headers],0),FALSE),IF(AP112=AS112,AP112,AP112-AS112),0),"")</f>
        <v/>
      </c>
      <c r="CI112" s="530" t="str">
        <f>IFERROR(VLOOKUP($C112,NewLoanTypeTable[],MATCH(CI$101,NewLoanTypeTable[#Headers],0),FALSE),"")</f>
        <v/>
      </c>
      <c r="CJ112" s="530" t="str">
        <f>IFERROR(VLOOKUP($C112,NewLoanTypeTable[],MATCH(CJ$101,NewLoanTypeTable[#Headers],0),FALSE),"")</f>
        <v/>
      </c>
      <c r="CK112" s="530" t="b">
        <f t="shared" si="6"/>
        <v>0</v>
      </c>
      <c r="CL112" s="530" t="b">
        <f t="shared" si="7"/>
        <v>1</v>
      </c>
      <c r="CM112" s="530" t="b">
        <f t="shared" si="8"/>
        <v>0</v>
      </c>
      <c r="CN112" s="530" t="b">
        <f t="shared" si="9"/>
        <v>0</v>
      </c>
    </row>
    <row r="113" spans="1:88" ht="7.5" customHeight="1" x14ac:dyDescent="0.25">
      <c r="A113" s="4"/>
      <c r="B113" s="11"/>
      <c r="C113" s="11"/>
      <c r="D113" s="11"/>
      <c r="E113" s="11"/>
      <c r="F113" s="11"/>
      <c r="G113" s="11"/>
      <c r="H113" s="11"/>
      <c r="I113" s="11"/>
      <c r="J113" s="11"/>
      <c r="K113" s="11"/>
      <c r="L113" s="11"/>
      <c r="M113" s="11"/>
      <c r="N113" s="150"/>
      <c r="O113" s="150"/>
      <c r="P113" s="150"/>
      <c r="Q113" s="150"/>
      <c r="R113" s="150"/>
      <c r="S113" s="150"/>
      <c r="T113" s="150"/>
      <c r="U113" s="150"/>
      <c r="V113" s="150"/>
      <c r="W113" s="150"/>
      <c r="X113" s="151"/>
      <c r="Y113" s="151"/>
      <c r="Z113" s="151"/>
      <c r="AA113" s="151"/>
      <c r="AB113" s="151"/>
      <c r="AC113" s="151"/>
      <c r="AD113" s="151"/>
      <c r="AE113" s="151"/>
      <c r="AF113" s="151"/>
      <c r="AG113" s="151"/>
      <c r="AH113" s="151"/>
      <c r="AI113" s="151"/>
      <c r="AJ113" s="151"/>
      <c r="AK113" s="151"/>
      <c r="AL113" s="150"/>
      <c r="AM113" s="150"/>
      <c r="AN113" s="150"/>
      <c r="AO113" s="150"/>
      <c r="AP113" s="150"/>
      <c r="AQ113" s="150"/>
      <c r="AR113" s="150"/>
      <c r="AS113" s="150"/>
      <c r="AT113" s="150"/>
      <c r="AU113" s="150"/>
      <c r="AV113" s="150"/>
      <c r="AW113" s="151"/>
      <c r="AX113" s="151"/>
      <c r="AY113" s="151"/>
      <c r="AZ113" s="151"/>
      <c r="BA113" s="151"/>
      <c r="BB113" s="151"/>
      <c r="BC113" s="151"/>
      <c r="BD113" s="150"/>
      <c r="BE113" s="150"/>
      <c r="BF113" s="150"/>
      <c r="BG113" s="150"/>
      <c r="BH113" s="150"/>
      <c r="BI113" s="150"/>
      <c r="BJ113" s="150"/>
      <c r="BK113" s="150"/>
      <c r="BL113" s="150"/>
      <c r="BM113" s="150"/>
      <c r="BN113" s="150"/>
      <c r="BO113" s="150"/>
      <c r="BP113" s="150"/>
      <c r="BQ113" s="150"/>
      <c r="BR113" s="150"/>
      <c r="BS113" s="150"/>
      <c r="BT113" s="150"/>
      <c r="BU113" s="150"/>
      <c r="BV113" s="16"/>
      <c r="BW113" s="16"/>
      <c r="BX113" s="16"/>
      <c r="BY113" s="16"/>
      <c r="BZ113" s="16"/>
      <c r="CA113" s="16"/>
      <c r="CB113" s="16"/>
      <c r="CC113" s="16"/>
      <c r="CD113" s="16"/>
      <c r="CF113" s="1418"/>
      <c r="CG113" s="1418"/>
      <c r="CH113" s="1224"/>
      <c r="CI113" s="530"/>
      <c r="CJ113" s="530"/>
    </row>
    <row r="114" spans="1:88" ht="15" customHeight="1" x14ac:dyDescent="0.25">
      <c r="A114" s="4"/>
      <c r="B114" s="11"/>
      <c r="G114" s="11"/>
      <c r="H114" s="11"/>
      <c r="I114" s="11"/>
      <c r="J114" s="11"/>
      <c r="K114" s="11"/>
      <c r="L114" s="11"/>
      <c r="M114" s="11"/>
      <c r="R114" s="151"/>
      <c r="S114" s="1636">
        <f>SUBTOTAL(102,A103:A112)</f>
        <v>1</v>
      </c>
      <c r="T114" s="1636"/>
      <c r="U114" s="1636"/>
      <c r="V114" s="1636"/>
      <c r="W114" s="151"/>
      <c r="X114" s="151"/>
      <c r="Y114" s="151"/>
      <c r="Z114" s="151"/>
      <c r="AA114" s="151"/>
      <c r="AB114" s="151"/>
      <c r="AC114" s="151"/>
      <c r="AD114" s="151"/>
      <c r="AE114" s="151"/>
      <c r="AF114" s="151"/>
      <c r="AG114" s="151"/>
      <c r="AH114" s="151"/>
      <c r="AI114" s="151"/>
      <c r="AJ114" s="151"/>
      <c r="AK114" s="151"/>
      <c r="AL114" s="150"/>
      <c r="AM114" s="150"/>
      <c r="AN114" s="150"/>
      <c r="AO114" s="150"/>
      <c r="AP114" s="150"/>
      <c r="AQ114" s="150"/>
      <c r="AR114" s="150"/>
      <c r="AS114" s="150"/>
      <c r="AT114" s="150"/>
      <c r="AU114" s="150"/>
      <c r="AV114" s="150"/>
      <c r="AW114" s="151"/>
      <c r="AX114" s="151"/>
      <c r="AY114" s="151"/>
      <c r="AZ114" s="151"/>
      <c r="BA114" s="151"/>
      <c r="BB114" s="151"/>
      <c r="BC114" s="151"/>
      <c r="BD114" s="150"/>
      <c r="BE114" s="150"/>
      <c r="BF114" s="150"/>
      <c r="BG114" s="150"/>
      <c r="BH114" s="150"/>
      <c r="BI114" s="150"/>
      <c r="BJ114" s="150"/>
      <c r="BK114" s="150"/>
      <c r="BL114" s="150"/>
      <c r="BM114" s="150"/>
      <c r="BN114" s="150"/>
      <c r="BO114" s="150"/>
      <c r="BP114" s="150"/>
      <c r="BQ114" s="150"/>
      <c r="BR114" s="150"/>
      <c r="BS114" s="150"/>
      <c r="BT114" s="150"/>
      <c r="BU114" s="150"/>
      <c r="BV114" s="16"/>
      <c r="BW114" s="16"/>
      <c r="BX114" s="16"/>
      <c r="BY114" s="16"/>
      <c r="BZ114" s="16"/>
      <c r="CA114" s="16"/>
      <c r="CB114" s="16"/>
      <c r="CC114" s="16"/>
      <c r="CD114" s="16"/>
      <c r="CF114" s="1274"/>
      <c r="CG114" s="1274"/>
      <c r="CI114" s="530"/>
      <c r="CJ114" s="530"/>
    </row>
    <row r="115" spans="1:88" ht="15" customHeight="1" x14ac:dyDescent="0.25">
      <c r="A115" s="4"/>
      <c r="B115" s="11"/>
      <c r="C115" s="11"/>
      <c r="D115" s="11"/>
      <c r="E115" s="11"/>
      <c r="F115" s="11"/>
      <c r="G115" s="11"/>
      <c r="H115" s="11"/>
      <c r="I115" s="11"/>
      <c r="J115" s="11"/>
      <c r="K115" s="11"/>
      <c r="L115" s="11"/>
      <c r="M115" s="11"/>
      <c r="N115" s="11"/>
      <c r="O115" s="11"/>
      <c r="P115" s="151"/>
      <c r="Q115" s="151"/>
      <c r="R115" s="151"/>
      <c r="S115" s="151"/>
      <c r="T115" s="151"/>
      <c r="U115" s="151"/>
      <c r="V115" s="151"/>
      <c r="W115" s="151"/>
      <c r="X115" s="151"/>
      <c r="Y115" s="151"/>
      <c r="Z115" s="151"/>
      <c r="AA115" s="151"/>
      <c r="AB115" s="151"/>
      <c r="AC115" s="151"/>
      <c r="AD115" s="151"/>
      <c r="AE115" s="151"/>
      <c r="AF115" s="151"/>
      <c r="AG115" s="151"/>
      <c r="AH115" s="151"/>
      <c r="AI115" s="151"/>
      <c r="AJ115" s="151"/>
      <c r="AK115" s="151"/>
      <c r="AL115" s="150"/>
      <c r="AM115" s="150"/>
      <c r="AN115" s="150"/>
      <c r="AO115" s="150"/>
      <c r="AP115" s="150"/>
      <c r="AQ115" s="150"/>
      <c r="AR115" s="150"/>
      <c r="AS115" s="150"/>
      <c r="AT115" s="150"/>
      <c r="AU115" s="150"/>
      <c r="AV115" s="150"/>
      <c r="AW115" s="151"/>
      <c r="AX115" s="151"/>
      <c r="AY115" s="151"/>
      <c r="AZ115" s="151"/>
      <c r="BA115" s="151"/>
      <c r="BB115" s="151"/>
      <c r="BC115" s="151"/>
      <c r="BD115" s="150"/>
      <c r="BE115" s="150"/>
      <c r="BF115" s="150"/>
      <c r="BG115" s="150"/>
      <c r="BH115" s="150"/>
      <c r="BI115" s="150"/>
      <c r="BJ115" s="150"/>
      <c r="BK115" s="150"/>
      <c r="BL115" s="150"/>
      <c r="BM115" s="150"/>
      <c r="BN115" s="150"/>
      <c r="BO115" s="150"/>
      <c r="BP115" s="150"/>
      <c r="BQ115" s="150"/>
      <c r="BR115" s="150"/>
      <c r="BS115" s="150"/>
      <c r="BT115" s="150"/>
      <c r="BU115" s="150"/>
      <c r="BV115" s="16"/>
      <c r="BW115" s="16"/>
      <c r="BX115" s="16"/>
      <c r="BY115" s="16"/>
      <c r="BZ115" s="16"/>
      <c r="CA115" s="16"/>
      <c r="CB115" s="16"/>
      <c r="CC115" s="16"/>
      <c r="CD115" s="16"/>
    </row>
    <row r="116" spans="1:88" ht="7.5" customHeight="1"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row>
    <row r="117" spans="1:88" ht="18.75" hidden="1" customHeight="1" x14ac:dyDescent="0.25">
      <c r="A117" s="124"/>
      <c r="B117" s="1079" t="s">
        <v>1564</v>
      </c>
      <c r="C117" s="228"/>
      <c r="D117" s="228"/>
      <c r="E117" s="228"/>
      <c r="F117" s="228"/>
      <c r="G117" s="228"/>
      <c r="H117" s="228"/>
      <c r="I117" s="228"/>
      <c r="J117" s="228"/>
      <c r="K117" s="228"/>
      <c r="L117" s="228"/>
      <c r="M117" s="145"/>
      <c r="N117" s="145"/>
      <c r="O117" s="145"/>
      <c r="P117" s="145"/>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24"/>
      <c r="AX117" s="124"/>
      <c r="AY117" s="124"/>
      <c r="AZ117" s="124"/>
      <c r="BA117" s="124"/>
      <c r="BB117" s="145"/>
      <c r="BC117" s="145"/>
      <c r="BD117" s="145"/>
      <c r="BE117" s="145"/>
      <c r="BF117" s="145"/>
      <c r="BG117" s="145"/>
      <c r="BH117" s="145"/>
      <c r="BI117" s="145"/>
      <c r="BJ117" s="145"/>
      <c r="BK117" s="145"/>
      <c r="BL117" s="145"/>
      <c r="BM117" s="145"/>
      <c r="BN117" s="145"/>
      <c r="BO117" s="145"/>
      <c r="BP117" s="145"/>
      <c r="BQ117" s="145"/>
      <c r="BR117" s="145"/>
      <c r="BS117" s="145"/>
      <c r="BT117" s="145"/>
      <c r="BU117" s="145"/>
      <c r="BV117" s="145"/>
      <c r="BW117" s="145"/>
      <c r="BX117" s="145"/>
      <c r="BY117" s="145"/>
      <c r="BZ117" s="145"/>
      <c r="CA117" s="145"/>
      <c r="CB117" s="145"/>
      <c r="CC117" s="145"/>
      <c r="CD117" s="145"/>
    </row>
    <row r="118" spans="1:88" ht="7.15" hidden="1" customHeight="1" x14ac:dyDescent="0.25">
      <c r="A118" s="8"/>
      <c r="B118" s="147"/>
      <c r="C118" s="147"/>
      <c r="D118" s="147"/>
      <c r="E118" s="147"/>
      <c r="F118" s="147"/>
      <c r="G118" s="147"/>
      <c r="H118" s="147"/>
      <c r="I118" s="147"/>
      <c r="J118" s="147"/>
      <c r="K118" s="147"/>
      <c r="L118" s="147"/>
      <c r="M118" s="8"/>
      <c r="O118" s="148"/>
      <c r="P118" s="148"/>
      <c r="Q118" s="148"/>
      <c r="R118" s="148"/>
      <c r="S118" s="148"/>
      <c r="T118" s="148"/>
      <c r="U118" s="148"/>
      <c r="V118" s="148"/>
      <c r="W118" s="148"/>
      <c r="X118" s="14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L118" s="8"/>
      <c r="BM118" s="8"/>
      <c r="BN118" s="8"/>
      <c r="BO118" s="8"/>
      <c r="BP118" s="8"/>
      <c r="BQ118" s="8"/>
      <c r="BR118" s="8"/>
      <c r="BS118" s="8"/>
      <c r="BT118" s="8"/>
      <c r="BU118" s="8"/>
      <c r="BV118" s="8"/>
      <c r="BW118" s="8"/>
      <c r="BX118" s="8"/>
      <c r="BY118" s="8"/>
      <c r="BZ118" s="8"/>
      <c r="CA118" s="8"/>
      <c r="CB118" s="8"/>
      <c r="CC118" s="8"/>
      <c r="CD118" s="8"/>
    </row>
    <row r="119" spans="1:88" ht="22.5" hidden="1" customHeight="1" x14ac:dyDescent="0.25">
      <c r="A119" s="8"/>
      <c r="B119" s="91" t="s">
        <v>1566</v>
      </c>
      <c r="C119" s="147"/>
      <c r="D119" s="147"/>
      <c r="E119" s="147"/>
      <c r="F119" s="147"/>
      <c r="G119" s="147"/>
      <c r="H119" s="147"/>
      <c r="I119" s="147"/>
      <c r="J119" s="147"/>
      <c r="K119" s="147"/>
      <c r="L119" s="147"/>
      <c r="M119" s="8"/>
      <c r="O119" s="148"/>
      <c r="P119" s="148"/>
      <c r="Q119" s="148"/>
      <c r="R119" s="148"/>
      <c r="S119" s="148"/>
      <c r="T119" s="148"/>
      <c r="AB119" s="164" t="s">
        <v>1567</v>
      </c>
    </row>
    <row r="120" spans="1:88" ht="7.15" hidden="1" customHeight="1" x14ac:dyDescent="0.25">
      <c r="A120" s="8"/>
      <c r="B120" s="147"/>
      <c r="C120" s="147"/>
      <c r="D120" s="147"/>
      <c r="E120" s="147"/>
      <c r="F120" s="147"/>
      <c r="G120" s="147"/>
      <c r="H120" s="147"/>
      <c r="I120" s="147"/>
      <c r="J120" s="147"/>
      <c r="K120" s="147"/>
      <c r="L120" s="147"/>
      <c r="M120" s="8"/>
      <c r="O120" s="148"/>
      <c r="P120" s="148"/>
      <c r="Q120" s="148"/>
      <c r="R120" s="148"/>
      <c r="S120" s="148"/>
      <c r="T120" s="148"/>
    </row>
    <row r="121" spans="1:88" ht="27" hidden="1" customHeight="1" x14ac:dyDescent="0.25">
      <c r="A121" s="149"/>
      <c r="C121" s="1481" t="s">
        <v>1568</v>
      </c>
      <c r="D121" s="1481"/>
      <c r="E121" s="1481"/>
      <c r="F121" s="1481"/>
      <c r="G121" s="1481"/>
      <c r="H121" s="1481"/>
      <c r="I121" s="1481"/>
      <c r="J121" s="1481" t="s">
        <v>1571</v>
      </c>
      <c r="K121" s="1481"/>
      <c r="L121" s="1481"/>
      <c r="M121" s="1481"/>
      <c r="N121" s="1481"/>
      <c r="O121" s="1481"/>
      <c r="P121" s="1481"/>
      <c r="Q121" s="1481" t="s">
        <v>1560</v>
      </c>
      <c r="R121" s="1481"/>
      <c r="S121" s="1481"/>
      <c r="T121" s="1481"/>
      <c r="U121" s="1481"/>
      <c r="V121" s="1481"/>
      <c r="AB121" s="1481" t="s">
        <v>1570</v>
      </c>
      <c r="AC121" s="1481"/>
      <c r="AD121" s="1481"/>
      <c r="AE121" s="1481"/>
      <c r="AF121" s="1481"/>
      <c r="AG121" s="1481"/>
      <c r="AH121" s="1481"/>
      <c r="AI121" s="1481" t="s">
        <v>1560</v>
      </c>
      <c r="AJ121" s="1481"/>
      <c r="AK121" s="1481"/>
      <c r="AL121" s="1481"/>
      <c r="AM121" s="1481"/>
      <c r="AN121" s="1481"/>
      <c r="AO121" s="1481" t="s">
        <v>1569</v>
      </c>
      <c r="AP121" s="1481"/>
      <c r="AQ121" s="1481"/>
      <c r="AR121" s="1481"/>
      <c r="AS121" s="1481"/>
      <c r="AT121" s="1481"/>
      <c r="AY121" s="1029"/>
      <c r="AZ121" s="1650" t="s">
        <v>1565</v>
      </c>
      <c r="BA121" s="1650"/>
      <c r="BB121" s="1650"/>
      <c r="BC121" s="1650"/>
      <c r="BD121" s="1650"/>
      <c r="BE121" s="1650"/>
      <c r="BF121" s="1650"/>
      <c r="BG121" s="1650"/>
      <c r="BH121" s="1650"/>
      <c r="BI121" s="1650"/>
      <c r="BJ121" s="1650"/>
      <c r="BK121" s="1650"/>
      <c r="BL121" s="1650"/>
      <c r="BM121" s="1650"/>
      <c r="BN121" s="1650"/>
      <c r="BO121" s="1650"/>
      <c r="BP121" s="1650"/>
      <c r="BQ121" s="1650"/>
      <c r="BR121" s="1029"/>
    </row>
    <row r="122" spans="1:88" ht="7.15" hidden="1" customHeight="1" x14ac:dyDescent="0.25">
      <c r="A122" s="8"/>
      <c r="B122" s="147"/>
      <c r="C122" s="147"/>
      <c r="D122" s="147"/>
      <c r="E122" s="147"/>
      <c r="F122" s="147"/>
      <c r="G122" s="147"/>
      <c r="H122" s="147"/>
      <c r="I122" s="147"/>
      <c r="J122" s="147"/>
      <c r="K122" s="147"/>
      <c r="L122" s="147"/>
      <c r="M122" s="147"/>
      <c r="N122" s="147"/>
      <c r="O122" s="147"/>
      <c r="P122" s="147"/>
      <c r="Q122" s="147"/>
      <c r="R122" s="147"/>
      <c r="S122" s="147"/>
      <c r="T122" s="8"/>
      <c r="V122" s="148"/>
      <c r="AB122" s="147"/>
      <c r="AC122" s="147"/>
      <c r="AD122" s="147"/>
      <c r="AE122" s="147"/>
      <c r="AF122" s="147"/>
      <c r="AG122" s="147"/>
      <c r="AH122" s="147"/>
      <c r="AI122" s="147"/>
      <c r="AJ122" s="147"/>
      <c r="AK122" s="147"/>
      <c r="AL122" s="8"/>
      <c r="AN122" s="148"/>
      <c r="AO122" s="147"/>
      <c r="AP122" s="147"/>
      <c r="AQ122" s="147"/>
      <c r="AR122" s="8"/>
      <c r="AT122" s="148"/>
      <c r="AY122" s="1030"/>
      <c r="AZ122" s="1651"/>
      <c r="BA122" s="1651"/>
      <c r="BB122" s="1651"/>
      <c r="BC122" s="1651"/>
      <c r="BD122" s="1651"/>
      <c r="BE122" s="1651"/>
      <c r="BF122" s="1651"/>
      <c r="BG122" s="1651"/>
      <c r="BH122" s="1651"/>
      <c r="BI122" s="1651"/>
      <c r="BJ122" s="1651"/>
      <c r="BK122" s="1651"/>
      <c r="BL122" s="1651"/>
      <c r="BM122" s="1651"/>
      <c r="BN122" s="1651"/>
      <c r="BO122" s="1651"/>
      <c r="BP122" s="1651"/>
      <c r="BQ122" s="1651"/>
      <c r="BR122" s="1030"/>
    </row>
    <row r="123" spans="1:88" ht="18.75" hidden="1" customHeight="1" x14ac:dyDescent="0.25">
      <c r="A123" s="8"/>
      <c r="B123" s="147"/>
      <c r="C123" s="1590"/>
      <c r="D123" s="1590"/>
      <c r="E123" s="1590"/>
      <c r="F123" s="1590"/>
      <c r="G123" s="1590"/>
      <c r="H123" s="1590"/>
      <c r="I123" s="1590"/>
      <c r="J123" s="1590"/>
      <c r="K123" s="1590"/>
      <c r="L123" s="1590"/>
      <c r="M123" s="1590"/>
      <c r="N123" s="1590"/>
      <c r="O123" s="1590"/>
      <c r="P123" s="1590"/>
      <c r="Q123" s="1591"/>
      <c r="R123" s="1591"/>
      <c r="S123" s="1591"/>
      <c r="T123" s="1591"/>
      <c r="U123" s="1591"/>
      <c r="V123" s="1591"/>
      <c r="AB123" s="1654" t="str">
        <f>BT103</f>
        <v/>
      </c>
      <c r="AC123" s="1654"/>
      <c r="AD123" s="1654"/>
      <c r="AE123" s="1654"/>
      <c r="AF123" s="1654"/>
      <c r="AG123" s="1654"/>
      <c r="AH123" s="1654"/>
      <c r="AI123" s="1498">
        <f>IF(AB123&lt;&gt;"",SUMIF($J$123:$P$132,AB123,$Q$123:$V$132),0)</f>
        <v>0</v>
      </c>
      <c r="AJ123" s="1498"/>
      <c r="AK123" s="1498"/>
      <c r="AL123" s="1498"/>
      <c r="AM123" s="1498"/>
      <c r="AN123" s="1498"/>
      <c r="AO123" s="1498">
        <f>IF(AB123&lt;&gt;"",SUMIF($BL$103:$BR$112,AB123,$BZ$103:$BZ$112),0)</f>
        <v>0</v>
      </c>
      <c r="AP123" s="1498"/>
      <c r="AQ123" s="1498"/>
      <c r="AR123" s="1498"/>
      <c r="AS123" s="1498"/>
      <c r="AT123" s="1498"/>
      <c r="AY123" s="1031"/>
      <c r="AZ123" s="1652"/>
      <c r="BA123" s="1652"/>
      <c r="BB123" s="1652"/>
      <c r="BC123" s="1652"/>
      <c r="BD123" s="1652"/>
      <c r="BE123" s="1652"/>
      <c r="BF123" s="1652"/>
      <c r="BG123" s="1652"/>
      <c r="BH123" s="1652"/>
      <c r="BI123" s="1652"/>
      <c r="BJ123" s="1652"/>
      <c r="BK123" s="1652"/>
      <c r="BL123" s="1652"/>
      <c r="BM123" s="1652"/>
      <c r="BN123" s="1652"/>
      <c r="BO123" s="1652"/>
      <c r="BP123" s="1652"/>
      <c r="BQ123" s="1652"/>
      <c r="BR123" s="1031"/>
    </row>
    <row r="124" spans="1:88" ht="18.75" hidden="1" customHeight="1" x14ac:dyDescent="0.25">
      <c r="A124" s="8"/>
      <c r="B124" s="147"/>
      <c r="C124" s="1590"/>
      <c r="D124" s="1590"/>
      <c r="E124" s="1590"/>
      <c r="F124" s="1590"/>
      <c r="G124" s="1590"/>
      <c r="H124" s="1590"/>
      <c r="I124" s="1590"/>
      <c r="J124" s="1590"/>
      <c r="K124" s="1590"/>
      <c r="L124" s="1590"/>
      <c r="M124" s="1590"/>
      <c r="N124" s="1590"/>
      <c r="O124" s="1590"/>
      <c r="P124" s="1590"/>
      <c r="Q124" s="1591"/>
      <c r="R124" s="1591"/>
      <c r="S124" s="1591"/>
      <c r="T124" s="1591"/>
      <c r="U124" s="1591"/>
      <c r="V124" s="1591"/>
      <c r="AB124" s="1654" t="str">
        <f t="shared" ref="AB124:AB132" si="10">BT104</f>
        <v/>
      </c>
      <c r="AC124" s="1654"/>
      <c r="AD124" s="1654"/>
      <c r="AE124" s="1654"/>
      <c r="AF124" s="1654"/>
      <c r="AG124" s="1654"/>
      <c r="AH124" s="1654"/>
      <c r="AI124" s="1498">
        <f t="shared" ref="AI124:AI132" si="11">IF(AB124&lt;&gt;"",SUMIF($J$123:$P$132,AB124,$Q$123:$V$132),0)</f>
        <v>0</v>
      </c>
      <c r="AJ124" s="1498"/>
      <c r="AK124" s="1498"/>
      <c r="AL124" s="1498"/>
      <c r="AM124" s="1498"/>
      <c r="AN124" s="1498"/>
      <c r="AO124" s="1498">
        <f t="shared" ref="AO124:AO132" si="12">IF(AB124&lt;&gt;"",SUMIF($BL$103:$BR$112,AB124,$BZ$103:$BZ$112),0)</f>
        <v>0</v>
      </c>
      <c r="AP124" s="1498"/>
      <c r="AQ124" s="1498"/>
      <c r="AR124" s="1498"/>
      <c r="AS124" s="1498"/>
      <c r="AT124" s="1498"/>
    </row>
    <row r="125" spans="1:88" ht="18.75" hidden="1" customHeight="1" x14ac:dyDescent="0.25">
      <c r="A125" s="8"/>
      <c r="B125" s="147"/>
      <c r="C125" s="1590"/>
      <c r="D125" s="1590"/>
      <c r="E125" s="1590"/>
      <c r="F125" s="1590"/>
      <c r="G125" s="1590"/>
      <c r="H125" s="1590"/>
      <c r="I125" s="1590"/>
      <c r="J125" s="1590"/>
      <c r="K125" s="1590"/>
      <c r="L125" s="1590"/>
      <c r="M125" s="1590"/>
      <c r="N125" s="1590"/>
      <c r="O125" s="1590"/>
      <c r="P125" s="1590"/>
      <c r="Q125" s="1591"/>
      <c r="R125" s="1591"/>
      <c r="S125" s="1591"/>
      <c r="T125" s="1591"/>
      <c r="U125" s="1591"/>
      <c r="V125" s="1591"/>
      <c r="AB125" s="1654" t="str">
        <f t="shared" si="10"/>
        <v/>
      </c>
      <c r="AC125" s="1654"/>
      <c r="AD125" s="1654"/>
      <c r="AE125" s="1654"/>
      <c r="AF125" s="1654"/>
      <c r="AG125" s="1654"/>
      <c r="AH125" s="1654"/>
      <c r="AI125" s="1498">
        <f t="shared" si="11"/>
        <v>0</v>
      </c>
      <c r="AJ125" s="1498"/>
      <c r="AK125" s="1498"/>
      <c r="AL125" s="1498"/>
      <c r="AM125" s="1498"/>
      <c r="AN125" s="1498"/>
      <c r="AO125" s="1498">
        <f t="shared" si="12"/>
        <v>0</v>
      </c>
      <c r="AP125" s="1498"/>
      <c r="AQ125" s="1498"/>
      <c r="AR125" s="1498"/>
      <c r="AS125" s="1498"/>
      <c r="AT125" s="1498"/>
      <c r="AY125" s="1028" t="s">
        <v>1561</v>
      </c>
      <c r="AZ125" s="148"/>
      <c r="BA125" s="148"/>
      <c r="BB125" s="148"/>
      <c r="BC125" s="8"/>
      <c r="BD125" s="8"/>
      <c r="BE125" s="8"/>
      <c r="BF125" s="8"/>
      <c r="BG125" s="8"/>
      <c r="BH125" s="8"/>
      <c r="BI125" s="8"/>
      <c r="BJ125" s="8"/>
      <c r="BK125" s="8"/>
      <c r="BL125" s="8"/>
      <c r="BM125" s="1653" t="str">
        <f>IF(OR(SUM(AI123:AN132)=0,SUM(AO123:AT132)=0),"",IF(AND(AI123&gt;=AO123,AI124&gt;=AO124,AI125&gt;=AO125,AI126&gt;=AO126,AI127&gt;=AO127,AI128&gt;=AO128,AI129&gt;=AO129,AI130&gt;=AO130,AI131&gt;=AO131,AI132&gt;=AO132),"OK","FAIL"))</f>
        <v/>
      </c>
      <c r="BN125" s="1653"/>
      <c r="BO125" s="1653"/>
      <c r="BP125" s="1653"/>
      <c r="BQ125" s="1653"/>
      <c r="BR125" s="1653"/>
      <c r="BS125" s="8"/>
      <c r="BT125" s="1032"/>
      <c r="BU125" s="1032" t="str">
        <f>IF(BM125="FAIL","New repayments are higher than current repayments","")</f>
        <v/>
      </c>
      <c r="BV125" s="1032"/>
      <c r="BW125" s="1032"/>
      <c r="BX125" s="1032"/>
      <c r="BY125" s="1032"/>
      <c r="BZ125" s="1032"/>
      <c r="CA125" s="1032"/>
      <c r="CB125" s="1032"/>
      <c r="CC125" s="1032"/>
    </row>
    <row r="126" spans="1:88" ht="18.75" hidden="1" customHeight="1" x14ac:dyDescent="0.25">
      <c r="A126" s="8"/>
      <c r="B126" s="147"/>
      <c r="C126" s="1590"/>
      <c r="D126" s="1590"/>
      <c r="E126" s="1590"/>
      <c r="F126" s="1590"/>
      <c r="G126" s="1590"/>
      <c r="H126" s="1590"/>
      <c r="I126" s="1590"/>
      <c r="J126" s="1590"/>
      <c r="K126" s="1590"/>
      <c r="L126" s="1590"/>
      <c r="M126" s="1590"/>
      <c r="N126" s="1590"/>
      <c r="O126" s="1590"/>
      <c r="P126" s="1590"/>
      <c r="Q126" s="1591"/>
      <c r="R126" s="1591"/>
      <c r="S126" s="1591"/>
      <c r="T126" s="1591"/>
      <c r="U126" s="1591"/>
      <c r="V126" s="1591"/>
      <c r="AB126" s="1654" t="str">
        <f t="shared" si="10"/>
        <v/>
      </c>
      <c r="AC126" s="1654"/>
      <c r="AD126" s="1654"/>
      <c r="AE126" s="1654"/>
      <c r="AF126" s="1654"/>
      <c r="AG126" s="1654"/>
      <c r="AH126" s="1654"/>
      <c r="AI126" s="1498">
        <f t="shared" si="11"/>
        <v>0</v>
      </c>
      <c r="AJ126" s="1498"/>
      <c r="AK126" s="1498"/>
      <c r="AL126" s="1498"/>
      <c r="AM126" s="1498"/>
      <c r="AN126" s="1498"/>
      <c r="AO126" s="1498">
        <f t="shared" si="12"/>
        <v>0</v>
      </c>
      <c r="AP126" s="1498"/>
      <c r="AQ126" s="1498"/>
      <c r="AR126" s="1498"/>
      <c r="AS126" s="1498"/>
      <c r="AT126" s="1498"/>
    </row>
    <row r="127" spans="1:88" ht="18.75" hidden="1" customHeight="1" x14ac:dyDescent="0.25">
      <c r="A127" s="8"/>
      <c r="B127" s="147"/>
      <c r="C127" s="1590"/>
      <c r="D127" s="1590"/>
      <c r="E127" s="1590"/>
      <c r="F127" s="1590"/>
      <c r="G127" s="1590"/>
      <c r="H127" s="1590"/>
      <c r="I127" s="1590"/>
      <c r="J127" s="1590"/>
      <c r="K127" s="1590"/>
      <c r="L127" s="1590"/>
      <c r="M127" s="1590"/>
      <c r="N127" s="1590"/>
      <c r="O127" s="1590"/>
      <c r="P127" s="1590"/>
      <c r="Q127" s="1591"/>
      <c r="R127" s="1591"/>
      <c r="S127" s="1591"/>
      <c r="T127" s="1591"/>
      <c r="U127" s="1591"/>
      <c r="V127" s="1591"/>
      <c r="AB127" s="1654" t="str">
        <f t="shared" si="10"/>
        <v/>
      </c>
      <c r="AC127" s="1654"/>
      <c r="AD127" s="1654"/>
      <c r="AE127" s="1654"/>
      <c r="AF127" s="1654"/>
      <c r="AG127" s="1654"/>
      <c r="AH127" s="1654"/>
      <c r="AI127" s="1498">
        <f t="shared" si="11"/>
        <v>0</v>
      </c>
      <c r="AJ127" s="1498"/>
      <c r="AK127" s="1498"/>
      <c r="AL127" s="1498"/>
      <c r="AM127" s="1498"/>
      <c r="AN127" s="1498"/>
      <c r="AO127" s="1498">
        <f t="shared" si="12"/>
        <v>0</v>
      </c>
      <c r="AP127" s="1498"/>
      <c r="AQ127" s="1498"/>
      <c r="AR127" s="1498"/>
      <c r="AS127" s="1498"/>
      <c r="AT127" s="1498"/>
      <c r="AY127" s="1028" t="s">
        <v>1562</v>
      </c>
      <c r="AZ127" s="148"/>
      <c r="BA127" s="148"/>
      <c r="BB127" s="148"/>
      <c r="BC127" s="8"/>
      <c r="BD127" s="8"/>
      <c r="BE127" s="8"/>
      <c r="BF127" s="8"/>
      <c r="BG127" s="8"/>
      <c r="BH127" s="8"/>
      <c r="BI127" s="8"/>
      <c r="BJ127" s="8"/>
      <c r="BK127" s="8"/>
      <c r="BL127" s="8"/>
      <c r="BM127" s="1653" t="str">
        <f>IF(SUM(AI123:AN132)=0,"",IF(AND(COUNTIF(C103:C112,"Interest only bullet loan")=0,SUM(AS103:AU112)=0),"OK","FAIL"))</f>
        <v/>
      </c>
      <c r="BN127" s="1653"/>
      <c r="BO127" s="1653"/>
      <c r="BP127" s="1653"/>
      <c r="BQ127" s="1653"/>
      <c r="BR127" s="1653"/>
      <c r="BS127" s="8"/>
      <c r="BT127" s="1032"/>
      <c r="BU127" s="1032" t="str">
        <f>IF(BM127="FAIL","New lending cannot include any interest only period","")</f>
        <v/>
      </c>
      <c r="BV127" s="1032"/>
      <c r="BW127" s="1032"/>
      <c r="BX127" s="1032"/>
      <c r="BY127" s="1032"/>
      <c r="BZ127" s="1032"/>
      <c r="CA127" s="1032"/>
      <c r="CB127" s="1032"/>
      <c r="CC127" s="1032"/>
    </row>
    <row r="128" spans="1:88" ht="18.75" hidden="1" customHeight="1" x14ac:dyDescent="0.25">
      <c r="A128" s="8"/>
      <c r="B128" s="147"/>
      <c r="C128" s="1590"/>
      <c r="D128" s="1590"/>
      <c r="E128" s="1590"/>
      <c r="F128" s="1590"/>
      <c r="G128" s="1590"/>
      <c r="H128" s="1590"/>
      <c r="I128" s="1590"/>
      <c r="J128" s="1590"/>
      <c r="K128" s="1590"/>
      <c r="L128" s="1590"/>
      <c r="M128" s="1590"/>
      <c r="N128" s="1590"/>
      <c r="O128" s="1590"/>
      <c r="P128" s="1590"/>
      <c r="Q128" s="1591"/>
      <c r="R128" s="1591"/>
      <c r="S128" s="1591"/>
      <c r="T128" s="1591"/>
      <c r="U128" s="1591"/>
      <c r="V128" s="1591"/>
      <c r="AB128" s="1654" t="str">
        <f t="shared" si="10"/>
        <v/>
      </c>
      <c r="AC128" s="1654"/>
      <c r="AD128" s="1654"/>
      <c r="AE128" s="1654"/>
      <c r="AF128" s="1654"/>
      <c r="AG128" s="1654"/>
      <c r="AH128" s="1654"/>
      <c r="AI128" s="1498">
        <f t="shared" si="11"/>
        <v>0</v>
      </c>
      <c r="AJ128" s="1498"/>
      <c r="AK128" s="1498"/>
      <c r="AL128" s="1498"/>
      <c r="AM128" s="1498"/>
      <c r="AN128" s="1498"/>
      <c r="AO128" s="1498">
        <f t="shared" si="12"/>
        <v>0</v>
      </c>
      <c r="AP128" s="1498"/>
      <c r="AQ128" s="1498"/>
      <c r="AR128" s="1498"/>
      <c r="AS128" s="1498"/>
      <c r="AT128" s="1498"/>
    </row>
    <row r="129" spans="1:91" ht="18.75" hidden="1" customHeight="1" x14ac:dyDescent="0.25">
      <c r="A129" s="8"/>
      <c r="B129" s="147"/>
      <c r="C129" s="1590"/>
      <c r="D129" s="1590"/>
      <c r="E129" s="1590"/>
      <c r="F129" s="1590"/>
      <c r="G129" s="1590"/>
      <c r="H129" s="1590"/>
      <c r="I129" s="1590"/>
      <c r="J129" s="1590"/>
      <c r="K129" s="1590"/>
      <c r="L129" s="1590"/>
      <c r="M129" s="1590"/>
      <c r="N129" s="1590"/>
      <c r="O129" s="1590"/>
      <c r="P129" s="1590"/>
      <c r="Q129" s="1591"/>
      <c r="R129" s="1591"/>
      <c r="S129" s="1591"/>
      <c r="T129" s="1591"/>
      <c r="U129" s="1591"/>
      <c r="V129" s="1591"/>
      <c r="AB129" s="1654" t="str">
        <f t="shared" si="10"/>
        <v/>
      </c>
      <c r="AC129" s="1654"/>
      <c r="AD129" s="1654"/>
      <c r="AE129" s="1654"/>
      <c r="AF129" s="1654"/>
      <c r="AG129" s="1654"/>
      <c r="AH129" s="1654"/>
      <c r="AI129" s="1498">
        <f t="shared" si="11"/>
        <v>0</v>
      </c>
      <c r="AJ129" s="1498"/>
      <c r="AK129" s="1498"/>
      <c r="AL129" s="1498"/>
      <c r="AM129" s="1498"/>
      <c r="AN129" s="1498"/>
      <c r="AO129" s="1498">
        <f t="shared" si="12"/>
        <v>0</v>
      </c>
      <c r="AP129" s="1498"/>
      <c r="AQ129" s="1498"/>
      <c r="AR129" s="1498"/>
      <c r="AS129" s="1498"/>
      <c r="AT129" s="1498"/>
      <c r="AY129" s="1028" t="s">
        <v>2353</v>
      </c>
      <c r="AZ129" s="148"/>
      <c r="BA129" s="148"/>
      <c r="BB129" s="148"/>
      <c r="BC129" s="8"/>
      <c r="BD129" s="8"/>
      <c r="BE129" s="8"/>
      <c r="BF129" s="8"/>
      <c r="BG129" s="8"/>
      <c r="BH129" s="8"/>
      <c r="BI129" s="8"/>
      <c r="BJ129" s="8"/>
      <c r="BK129" s="8"/>
      <c r="BL129" s="8"/>
      <c r="BM129" s="1653" t="str">
        <f>IF(SCSMeasureDTI&lt;=DTIThresholdStreamlinedRefinance,"OK","FAIL")</f>
        <v>OK</v>
      </c>
      <c r="BN129" s="1653"/>
      <c r="BO129" s="1653"/>
      <c r="BP129" s="1653"/>
      <c r="BQ129" s="1653"/>
      <c r="BR129" s="1653"/>
      <c r="BS129" s="8"/>
      <c r="BT129" s="1032"/>
      <c r="BU129" s="1032" t="str">
        <f>IF(BM129="FAIL","Not eligible when DTI is greater than "&amp;DTIThresholdStreamlinedRefinance,"")</f>
        <v/>
      </c>
      <c r="BV129" s="1032"/>
      <c r="BW129" s="1032"/>
      <c r="BX129" s="1032"/>
      <c r="BY129" s="1032"/>
      <c r="BZ129" s="1032"/>
      <c r="CA129" s="1032"/>
      <c r="CB129" s="1032"/>
      <c r="CC129" s="1032"/>
    </row>
    <row r="130" spans="1:91" ht="18.75" hidden="1" customHeight="1" x14ac:dyDescent="0.25">
      <c r="A130" s="8"/>
      <c r="B130" s="147"/>
      <c r="C130" s="1590"/>
      <c r="D130" s="1590"/>
      <c r="E130" s="1590"/>
      <c r="F130" s="1590"/>
      <c r="G130" s="1590"/>
      <c r="H130" s="1590"/>
      <c r="I130" s="1590"/>
      <c r="J130" s="1590"/>
      <c r="K130" s="1590"/>
      <c r="L130" s="1590"/>
      <c r="M130" s="1590"/>
      <c r="N130" s="1590"/>
      <c r="O130" s="1590"/>
      <c r="P130" s="1590"/>
      <c r="Q130" s="1591"/>
      <c r="R130" s="1591"/>
      <c r="S130" s="1591"/>
      <c r="T130" s="1591"/>
      <c r="U130" s="1591"/>
      <c r="V130" s="1591"/>
      <c r="AB130" s="1654" t="str">
        <f t="shared" si="10"/>
        <v/>
      </c>
      <c r="AC130" s="1654"/>
      <c r="AD130" s="1654"/>
      <c r="AE130" s="1654"/>
      <c r="AF130" s="1654"/>
      <c r="AG130" s="1654"/>
      <c r="AH130" s="1654"/>
      <c r="AI130" s="1498">
        <f t="shared" si="11"/>
        <v>0</v>
      </c>
      <c r="AJ130" s="1498"/>
      <c r="AK130" s="1498"/>
      <c r="AL130" s="1498"/>
      <c r="AM130" s="1498"/>
      <c r="AN130" s="1498"/>
      <c r="AO130" s="1498">
        <f t="shared" si="12"/>
        <v>0</v>
      </c>
      <c r="AP130" s="1498"/>
      <c r="AQ130" s="1498"/>
      <c r="AR130" s="1498"/>
      <c r="AS130" s="1498"/>
      <c r="AT130" s="1498"/>
    </row>
    <row r="131" spans="1:91" ht="18.75" hidden="1" customHeight="1" x14ac:dyDescent="0.25">
      <c r="A131" s="8"/>
      <c r="B131" s="147"/>
      <c r="C131" s="1590"/>
      <c r="D131" s="1590"/>
      <c r="E131" s="1590"/>
      <c r="F131" s="1590"/>
      <c r="G131" s="1590"/>
      <c r="H131" s="1590"/>
      <c r="I131" s="1590"/>
      <c r="J131" s="1590"/>
      <c r="K131" s="1590"/>
      <c r="L131" s="1590"/>
      <c r="M131" s="1590"/>
      <c r="N131" s="1590"/>
      <c r="O131" s="1590"/>
      <c r="P131" s="1590"/>
      <c r="Q131" s="1591"/>
      <c r="R131" s="1591"/>
      <c r="S131" s="1591"/>
      <c r="T131" s="1591"/>
      <c r="U131" s="1591"/>
      <c r="V131" s="1591"/>
      <c r="AB131" s="1654" t="str">
        <f t="shared" si="10"/>
        <v/>
      </c>
      <c r="AC131" s="1654"/>
      <c r="AD131" s="1654"/>
      <c r="AE131" s="1654"/>
      <c r="AF131" s="1654"/>
      <c r="AG131" s="1654"/>
      <c r="AH131" s="1654"/>
      <c r="AI131" s="1498">
        <f t="shared" si="11"/>
        <v>0</v>
      </c>
      <c r="AJ131" s="1498"/>
      <c r="AK131" s="1498"/>
      <c r="AL131" s="1498"/>
      <c r="AM131" s="1498"/>
      <c r="AN131" s="1498"/>
      <c r="AO131" s="1498">
        <f t="shared" si="12"/>
        <v>0</v>
      </c>
      <c r="AP131" s="1498"/>
      <c r="AQ131" s="1498"/>
      <c r="AR131" s="1498"/>
      <c r="AS131" s="1498"/>
      <c r="AT131" s="1498"/>
      <c r="AY131" s="1028" t="s">
        <v>1563</v>
      </c>
      <c r="AZ131" s="148"/>
      <c r="BA131" s="148"/>
      <c r="BB131" s="148"/>
      <c r="BC131" s="8"/>
      <c r="BD131" s="8"/>
      <c r="BE131" s="8"/>
      <c r="BF131" s="8"/>
      <c r="BG131" s="8"/>
      <c r="BH131" s="8"/>
      <c r="BI131" s="8"/>
      <c r="BJ131" s="8"/>
      <c r="BK131" s="8"/>
      <c r="BL131" s="8"/>
      <c r="BM131" s="1653" t="str">
        <f>IF(SCALMIFlag="No","OK","FAIL")</f>
        <v>OK</v>
      </c>
      <c r="BN131" s="1653"/>
      <c r="BO131" s="1653"/>
      <c r="BP131" s="1653"/>
      <c r="BQ131" s="1653"/>
      <c r="BR131" s="1653"/>
      <c r="BS131" s="8"/>
      <c r="BT131" s="1032"/>
      <c r="BU131" s="1032" t="str">
        <f>IF(BM131="FAIL","Not eligible when application requires LMI","")</f>
        <v/>
      </c>
      <c r="BV131" s="1032"/>
      <c r="BW131" s="1032"/>
      <c r="BX131" s="1032"/>
      <c r="BY131" s="1032"/>
      <c r="BZ131" s="1032"/>
      <c r="CA131" s="1032"/>
      <c r="CB131" s="1032"/>
      <c r="CC131" s="1032"/>
    </row>
    <row r="132" spans="1:91" ht="18.75" hidden="1" customHeight="1" x14ac:dyDescent="0.25">
      <c r="A132" s="8"/>
      <c r="B132" s="147"/>
      <c r="C132" s="1590"/>
      <c r="D132" s="1590"/>
      <c r="E132" s="1590"/>
      <c r="F132" s="1590"/>
      <c r="G132" s="1590"/>
      <c r="H132" s="1590"/>
      <c r="I132" s="1590"/>
      <c r="J132" s="1590"/>
      <c r="K132" s="1590"/>
      <c r="L132" s="1590"/>
      <c r="M132" s="1590"/>
      <c r="N132" s="1590"/>
      <c r="O132" s="1590"/>
      <c r="P132" s="1590"/>
      <c r="Q132" s="1591"/>
      <c r="R132" s="1591"/>
      <c r="S132" s="1591"/>
      <c r="T132" s="1591"/>
      <c r="U132" s="1591"/>
      <c r="V132" s="1591"/>
      <c r="AB132" s="1654" t="str">
        <f t="shared" si="10"/>
        <v/>
      </c>
      <c r="AC132" s="1654"/>
      <c r="AD132" s="1654"/>
      <c r="AE132" s="1654"/>
      <c r="AF132" s="1654"/>
      <c r="AG132" s="1654"/>
      <c r="AH132" s="1654"/>
      <c r="AI132" s="1498">
        <f t="shared" si="11"/>
        <v>0</v>
      </c>
      <c r="AJ132" s="1498"/>
      <c r="AK132" s="1498"/>
      <c r="AL132" s="1498"/>
      <c r="AM132" s="1498"/>
      <c r="AN132" s="1498"/>
      <c r="AO132" s="1498">
        <f t="shared" si="12"/>
        <v>0</v>
      </c>
      <c r="AP132" s="1498"/>
      <c r="AQ132" s="1498"/>
      <c r="AR132" s="1498"/>
      <c r="AS132" s="1498"/>
      <c r="AT132" s="1498"/>
      <c r="AU132" s="8"/>
      <c r="AV132" s="8"/>
      <c r="AW132" s="8"/>
    </row>
    <row r="133" spans="1:91" ht="7.15" hidden="1" customHeight="1" x14ac:dyDescent="0.25">
      <c r="A133" s="8"/>
      <c r="B133" s="147"/>
      <c r="C133" s="147"/>
      <c r="D133" s="147"/>
      <c r="E133" s="147"/>
      <c r="F133" s="147"/>
      <c r="G133" s="147"/>
      <c r="H133" s="147"/>
      <c r="I133" s="147"/>
      <c r="J133" s="147"/>
      <c r="K133" s="147"/>
      <c r="L133" s="147"/>
      <c r="M133" s="8"/>
      <c r="O133" s="148"/>
      <c r="P133" s="148"/>
      <c r="Q133" s="148"/>
      <c r="R133" s="148"/>
      <c r="S133" s="148"/>
      <c r="T133" s="148"/>
      <c r="U133" s="148"/>
      <c r="V133" s="148"/>
      <c r="W133" s="148"/>
      <c r="X133" s="14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row>
    <row r="134" spans="1:91" ht="18.75" customHeight="1" x14ac:dyDescent="0.25">
      <c r="A134" s="87"/>
      <c r="B134" s="1079" t="s">
        <v>359</v>
      </c>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25"/>
      <c r="Z134" s="125"/>
      <c r="AA134" s="125"/>
      <c r="AB134" s="125"/>
      <c r="AC134" s="125"/>
      <c r="AD134" s="125"/>
      <c r="AE134" s="125"/>
      <c r="AF134" s="125"/>
      <c r="AG134" s="125"/>
      <c r="AH134" s="125"/>
      <c r="AI134" s="125"/>
      <c r="AJ134" s="125"/>
      <c r="AK134" s="125"/>
      <c r="AL134" s="125"/>
      <c r="AM134" s="125"/>
      <c r="AN134" s="125"/>
      <c r="AO134" s="125"/>
      <c r="AP134" s="125"/>
      <c r="AQ134" s="125"/>
      <c r="AR134" s="125"/>
      <c r="AS134" s="125"/>
      <c r="AT134" s="125"/>
      <c r="AU134" s="125"/>
      <c r="AV134" s="125"/>
      <c r="AW134" s="125"/>
      <c r="AX134" s="125"/>
      <c r="AY134" s="125"/>
      <c r="AZ134" s="125"/>
      <c r="BA134" s="125"/>
      <c r="BB134" s="125"/>
      <c r="BC134" s="152"/>
      <c r="BD134" s="152"/>
      <c r="BE134" s="152"/>
      <c r="BF134" s="152"/>
      <c r="BG134" s="152"/>
      <c r="BH134" s="152"/>
      <c r="BI134" s="152"/>
      <c r="BJ134" s="152"/>
      <c r="BK134" s="152"/>
      <c r="BL134" s="152"/>
      <c r="BM134" s="152"/>
      <c r="BN134" s="152"/>
      <c r="BO134" s="152"/>
      <c r="BP134" s="152"/>
      <c r="BQ134" s="152"/>
      <c r="BR134" s="152"/>
      <c r="BS134" s="152"/>
      <c r="BT134" s="152"/>
      <c r="BU134" s="152"/>
      <c r="BV134" s="152"/>
      <c r="BW134" s="152"/>
      <c r="BX134" s="152"/>
      <c r="BY134" s="152"/>
      <c r="BZ134" s="152"/>
      <c r="CA134" s="152"/>
      <c r="CB134" s="152"/>
      <c r="CC134" s="152"/>
      <c r="CD134" s="152"/>
    </row>
    <row r="135" spans="1:91" ht="22.5" customHeight="1" x14ac:dyDescent="0.25">
      <c r="A135" s="8"/>
      <c r="B135" s="91" t="s">
        <v>817</v>
      </c>
      <c r="C135" s="163"/>
      <c r="D135" s="163"/>
      <c r="E135" s="163"/>
      <c r="F135" s="163"/>
      <c r="G135" s="163"/>
      <c r="H135" s="163"/>
      <c r="I135" s="163"/>
      <c r="J135" s="163"/>
      <c r="K135" s="163"/>
      <c r="L135" s="163"/>
      <c r="M135" s="163"/>
      <c r="N135" s="163"/>
      <c r="O135" s="163"/>
      <c r="P135" s="163"/>
      <c r="Q135" s="163"/>
      <c r="R135" s="163"/>
      <c r="S135" s="163"/>
      <c r="T135" s="163"/>
      <c r="U135" s="163"/>
      <c r="V135" s="163"/>
      <c r="W135" s="163"/>
      <c r="X135" s="163"/>
    </row>
    <row r="136" spans="1:91" ht="18.75" customHeight="1" x14ac:dyDescent="0.25">
      <c r="A136" s="8"/>
      <c r="C136" s="1634" t="s">
        <v>371</v>
      </c>
      <c r="D136" s="1634"/>
      <c r="E136" s="1634"/>
      <c r="F136" s="1634"/>
      <c r="G136" s="1634"/>
      <c r="H136" s="1634"/>
      <c r="I136" s="1634"/>
      <c r="J136" s="1634"/>
      <c r="K136" s="1634"/>
      <c r="L136" s="1634"/>
      <c r="M136" s="1634"/>
      <c r="N136" s="1634"/>
      <c r="O136" s="1634"/>
      <c r="P136" s="1634"/>
      <c r="Q136" s="1634"/>
      <c r="R136" s="1634"/>
      <c r="S136" s="1634"/>
      <c r="T136" s="1634"/>
      <c r="U136" s="1634"/>
      <c r="V136" s="1634"/>
      <c r="W136" s="1634"/>
      <c r="X136" s="1634"/>
      <c r="Y136" s="1634"/>
      <c r="Z136" s="1634"/>
      <c r="AA136" s="1634"/>
      <c r="AB136" s="1634"/>
      <c r="AC136" s="1634"/>
      <c r="AD136" s="1634"/>
      <c r="AE136" s="1634"/>
      <c r="AF136" s="1634"/>
      <c r="AG136" s="1634"/>
      <c r="AY136" s="1127" t="s">
        <v>2036</v>
      </c>
      <c r="AZ136" s="468"/>
      <c r="BA136" s="468"/>
      <c r="BB136" s="468"/>
      <c r="BC136" s="468"/>
      <c r="BD136" s="469"/>
      <c r="BE136" s="1540">
        <f>AJ99</f>
        <v>0.03</v>
      </c>
      <c r="BF136" s="1541"/>
      <c r="BG136" s="1541"/>
      <c r="BH136" s="1541"/>
      <c r="BI136" s="1542"/>
      <c r="BK136" s="468" t="s">
        <v>476</v>
      </c>
      <c r="BL136" s="274"/>
      <c r="BM136" s="275"/>
      <c r="BN136" s="1540">
        <f>FloorRateMCAR</f>
        <v>5.0500000000000003E-2</v>
      </c>
      <c r="BO136" s="1541"/>
      <c r="BP136" s="1541"/>
      <c r="BQ136" s="1541"/>
      <c r="BR136" s="1542"/>
      <c r="BS136" s="274"/>
      <c r="BT136" s="274"/>
      <c r="BU136" s="371" t="s">
        <v>477</v>
      </c>
      <c r="BV136" s="371"/>
      <c r="BW136" s="371"/>
      <c r="BX136" s="1657" cm="1">
        <f t="array" ref="BX136">FloorRateMCIR</f>
        <v>5.0500000000000003E-2</v>
      </c>
      <c r="BY136" s="1657"/>
      <c r="BZ136" s="1657"/>
      <c r="CA136" s="1657"/>
      <c r="CB136" s="1657"/>
      <c r="CC136" s="645"/>
      <c r="CI136" s="1117" t="s">
        <v>2009</v>
      </c>
      <c r="CJ136" s="1118">
        <f>IF(SCAServiceabilityAssessmentType="Standard",SDExistingMortgageTempFloorStandard,IF(AND(BM125="OK",BM127="OK",BM129="OK",BM131="OK"),SDExistingMortgageTempFloorStreamlinedRefi,SDExistingMortgageTempFloorStandard))</f>
        <v>6.1899999999999997E-2</v>
      </c>
    </row>
    <row r="137" spans="1:91" ht="7.5" customHeight="1" x14ac:dyDescent="0.25">
      <c r="A137" s="8"/>
      <c r="B137" s="161"/>
      <c r="C137" s="1635"/>
      <c r="D137" s="1635"/>
      <c r="E137" s="1635"/>
      <c r="F137" s="1635"/>
      <c r="G137" s="1635"/>
      <c r="H137" s="1635"/>
      <c r="I137" s="1635"/>
      <c r="J137" s="1635"/>
      <c r="K137" s="1635"/>
      <c r="L137" s="1635"/>
      <c r="M137" s="1635"/>
      <c r="N137" s="1635"/>
      <c r="O137" s="1635"/>
      <c r="P137" s="1635"/>
      <c r="Q137" s="1635"/>
      <c r="R137" s="1635"/>
      <c r="S137" s="1635"/>
      <c r="T137" s="1635"/>
      <c r="U137" s="1635"/>
      <c r="V137" s="1635"/>
      <c r="W137" s="1635"/>
      <c r="X137" s="1635"/>
      <c r="Y137" s="1635"/>
      <c r="Z137" s="1635"/>
      <c r="AA137" s="1635"/>
      <c r="AB137" s="1635"/>
      <c r="AC137" s="1635"/>
      <c r="AD137" s="1635"/>
      <c r="AE137" s="1635"/>
      <c r="AF137" s="1635"/>
      <c r="AG137" s="1635"/>
    </row>
    <row r="138" spans="1:91" ht="60" customHeight="1" x14ac:dyDescent="0.25">
      <c r="A138" s="20"/>
      <c r="C138" s="167" t="s">
        <v>362</v>
      </c>
      <c r="D138" s="167"/>
      <c r="E138" s="167"/>
      <c r="F138" s="167"/>
      <c r="G138" s="167"/>
      <c r="H138" s="167"/>
      <c r="I138" s="167"/>
      <c r="J138" s="167"/>
      <c r="K138" s="114"/>
      <c r="L138" s="114"/>
      <c r="M138" s="1557" t="s">
        <v>361</v>
      </c>
      <c r="N138" s="1557"/>
      <c r="O138" s="1557"/>
      <c r="P138" s="1557"/>
      <c r="Q138" s="1557"/>
      <c r="R138" s="1557" t="s">
        <v>372</v>
      </c>
      <c r="S138" s="1557"/>
      <c r="T138" s="1557"/>
      <c r="U138" s="1565" t="s">
        <v>252</v>
      </c>
      <c r="V138" s="1565"/>
      <c r="W138" s="1565"/>
      <c r="X138" s="1565"/>
      <c r="Y138" s="1565"/>
      <c r="Z138" s="1557" t="s">
        <v>463</v>
      </c>
      <c r="AA138" s="1557"/>
      <c r="AB138" s="1557"/>
      <c r="AC138" s="1557"/>
      <c r="AD138" s="1557" t="s">
        <v>464</v>
      </c>
      <c r="AE138" s="1557"/>
      <c r="AF138" s="1557"/>
      <c r="AG138" s="1557"/>
      <c r="AH138" s="1557" t="s">
        <v>364</v>
      </c>
      <c r="AI138" s="1557"/>
      <c r="AJ138" s="1557"/>
      <c r="AK138" s="1557" t="s">
        <v>367</v>
      </c>
      <c r="AL138" s="1557"/>
      <c r="AM138" s="1557"/>
      <c r="AN138" s="1557" t="s">
        <v>366</v>
      </c>
      <c r="AO138" s="1557"/>
      <c r="AP138" s="1557"/>
      <c r="AQ138" s="1557"/>
      <c r="AR138" s="1557" t="s">
        <v>365</v>
      </c>
      <c r="AS138" s="1557"/>
      <c r="AT138" s="1557"/>
      <c r="AU138" s="1557"/>
      <c r="AV138" s="1558" t="s">
        <v>931</v>
      </c>
      <c r="AW138" s="1558"/>
      <c r="AX138" s="1558"/>
      <c r="AY138" s="1558"/>
      <c r="AZ138" s="1558" t="s">
        <v>932</v>
      </c>
      <c r="BA138" s="1655"/>
      <c r="BB138" s="1655"/>
      <c r="BC138" s="1655"/>
      <c r="BD138" s="1558" t="s">
        <v>1476</v>
      </c>
      <c r="BE138" s="1558"/>
      <c r="BF138" s="1558"/>
      <c r="BG138" s="1558" t="s">
        <v>1429</v>
      </c>
      <c r="BH138" s="1558"/>
      <c r="BI138" s="1558" t="s">
        <v>363</v>
      </c>
      <c r="BJ138" s="1558"/>
      <c r="BK138" s="1558"/>
      <c r="BL138" s="1558"/>
      <c r="BM138" s="1558" t="s">
        <v>1051</v>
      </c>
      <c r="BN138" s="1558"/>
      <c r="BO138" s="1558"/>
      <c r="BP138" s="1558"/>
      <c r="BQ138" s="1558" t="s">
        <v>847</v>
      </c>
      <c r="BR138" s="1558"/>
      <c r="BS138" s="1558"/>
      <c r="BT138" s="1558"/>
      <c r="BU138" s="1558" t="s">
        <v>388</v>
      </c>
      <c r="BV138" s="1558"/>
      <c r="BW138" s="1558"/>
      <c r="BX138" s="1558"/>
      <c r="BY138" s="1558" t="s">
        <v>368</v>
      </c>
      <c r="BZ138" s="1558"/>
      <c r="CA138" s="1558"/>
      <c r="CB138" s="1558"/>
      <c r="CC138" s="1054" t="s">
        <v>927</v>
      </c>
      <c r="CD138" s="1059"/>
      <c r="CE138" s="1060" t="s">
        <v>1601</v>
      </c>
      <c r="CF138" s="1058" t="s">
        <v>1600</v>
      </c>
      <c r="CG138" s="1058" t="s">
        <v>519</v>
      </c>
      <c r="CH138" s="1058" t="s">
        <v>1599</v>
      </c>
      <c r="CI138" s="1058" t="s">
        <v>1602</v>
      </c>
      <c r="CJ138" s="1058" t="s">
        <v>2342</v>
      </c>
      <c r="CK138" s="1058" t="s">
        <v>386</v>
      </c>
      <c r="CL138" s="1058" t="s">
        <v>385</v>
      </c>
      <c r="CM138" s="1058" t="s">
        <v>384</v>
      </c>
    </row>
    <row r="139" spans="1:91" ht="7.5" customHeight="1" x14ac:dyDescent="0.3">
      <c r="A139" s="20"/>
      <c r="C139" s="154"/>
      <c r="D139" s="154"/>
      <c r="E139" s="154"/>
      <c r="F139" s="154"/>
      <c r="G139" s="154"/>
      <c r="H139" s="154"/>
      <c r="I139" s="154"/>
      <c r="J139" s="154"/>
      <c r="M139" s="154"/>
      <c r="N139" s="162"/>
      <c r="O139" s="162"/>
      <c r="P139" s="155"/>
      <c r="Q139" s="154"/>
      <c r="BB139" s="154"/>
    </row>
    <row r="140" spans="1:91" ht="18.75" customHeight="1" x14ac:dyDescent="0.25">
      <c r="A140" s="175">
        <v>1</v>
      </c>
      <c r="C140" s="1473"/>
      <c r="D140" s="1473"/>
      <c r="E140" s="1473"/>
      <c r="F140" s="1473"/>
      <c r="G140" s="1473"/>
      <c r="H140" s="1473"/>
      <c r="I140" s="1473"/>
      <c r="J140" s="1473"/>
      <c r="K140" s="1473"/>
      <c r="L140" s="1473"/>
      <c r="M140" s="1566" t="s">
        <v>373</v>
      </c>
      <c r="N140" s="1566"/>
      <c r="O140" s="1566"/>
      <c r="P140" s="1566"/>
      <c r="Q140" s="1566"/>
      <c r="R140" s="1566">
        <v>1</v>
      </c>
      <c r="S140" s="1566"/>
      <c r="T140" s="1566"/>
      <c r="U140" s="1473"/>
      <c r="V140" s="1473"/>
      <c r="W140" s="1473"/>
      <c r="X140" s="1473"/>
      <c r="Y140" s="1473"/>
      <c r="Z140" s="1497"/>
      <c r="AA140" s="1497"/>
      <c r="AB140" s="1497"/>
      <c r="AC140" s="1497"/>
      <c r="AD140" s="1497"/>
      <c r="AE140" s="1497"/>
      <c r="AF140" s="1497"/>
      <c r="AG140" s="1497"/>
      <c r="AH140" s="1556"/>
      <c r="AI140" s="1556"/>
      <c r="AJ140" s="1556"/>
      <c r="AK140" s="1556"/>
      <c r="AL140" s="1556"/>
      <c r="AM140" s="1556"/>
      <c r="AN140" s="1497"/>
      <c r="AO140" s="1497"/>
      <c r="AP140" s="1497"/>
      <c r="AQ140" s="1497"/>
      <c r="AR140" s="1497"/>
      <c r="AS140" s="1497"/>
      <c r="AT140" s="1497"/>
      <c r="AU140" s="1497"/>
      <c r="AV140" s="1563"/>
      <c r="AW140" s="1563"/>
      <c r="AX140" s="1563"/>
      <c r="AY140" s="1563"/>
      <c r="AZ140" s="1563"/>
      <c r="BA140" s="1563"/>
      <c r="BB140" s="1563"/>
      <c r="BC140" s="1563"/>
      <c r="BD140" s="1568"/>
      <c r="BE140" s="1568"/>
      <c r="BF140" s="1568"/>
      <c r="BG140" s="1567"/>
      <c r="BH140" s="1567"/>
      <c r="BI140" s="1583"/>
      <c r="BJ140" s="1583"/>
      <c r="BK140" s="1583"/>
      <c r="BL140" s="1583"/>
      <c r="BM140" s="1586"/>
      <c r="BN140" s="1586"/>
      <c r="BO140" s="1586"/>
      <c r="BP140" s="1586"/>
      <c r="BQ140" s="1585"/>
      <c r="BR140" s="1585"/>
      <c r="BS140" s="1585"/>
      <c r="BT140" s="1585"/>
      <c r="BU140" s="1584" cm="1">
        <f t="array" aca="1" ref="BU140" ca="1">IF(M140="Default",1,IF(AND(C140="Portfolio loan - sub account",CF140=FALSE),0,IF(AND(AH140=2,AK140=1, VLOOKUP(U140,ApplicantList[],3,FALSE)="Non-applicant"),INDIRECT("ICApp" &amp; VLOOKUP(U140,ApplicantList[],2,FALSE) &amp; "HouseholdIncomeApportioningRatio"),IFERROR(MIN(ROUNDUP(MAX(SUM(Z140:AC145)+AN140,SUM(AD140:AG145)+AR140,(COUNTIF(Z140:AC145,"&gt;0")+AK140)/AH140),4),1),""))))</f>
        <v>1</v>
      </c>
      <c r="BV140" s="1584"/>
      <c r="BW140" s="1584"/>
      <c r="BX140" s="1584"/>
      <c r="BY140" s="1569">
        <f>IFERROR(ROUNDUP(CHOOSE(VLOOKUP(C140,ExistingShareableCommitmentTypeTable[],6,FALSE),MAX(BI140,PMT(CG140/12,CJ140,-AZ141))*BU140,MAX(BI140,(AZ141*CG140/12))*BU140,0,BI140*BU140,MAX(BI140,(AZ141*CG140))*BU140,AZ141*CG140*BU140,IF(CF140,MAX(CI140,PMT(CG140/12,240,-AZ141))*BU140,0)),2),0)</f>
        <v>0</v>
      </c>
      <c r="BZ140" s="1569"/>
      <c r="CA140" s="1569"/>
      <c r="CB140" s="1492"/>
      <c r="CC140" s="1306"/>
      <c r="CD140" s="654">
        <f ca="1">IFERROR(VLOOKUP(U140,ApplicantList[],2,FALSE),0)</f>
        <v>0</v>
      </c>
      <c r="CE140" s="1062">
        <f>IFERROR(MAX(AV140,AZ140),0)</f>
        <v>0</v>
      </c>
      <c r="CF140" s="1056" t="b">
        <f>IF(C140="Portfolio loan - sub account",IF(NOT(ISBLANK(BQ140)),IF(COUNTIF($BQ$140:$BQ$254,BQ140)&gt;1,IF(COUNTIFS(BQ$140:BQ140,BQ140,C$140:C140,"Portfolio loan - sub account")=1,TRUE,FALSE),TRUE),FALSE),FALSE)</f>
        <v>0</v>
      </c>
      <c r="CG140" s="1057">
        <f>IFERROR(IF(C140="",0,CHOOSE(VLOOKUP(C140,ExistingShareableCommitmentTypeTable[],7,FALSE),MAX(BD140+$BE$136,FloorRateMCAR,$CJ$136),MAX(BD140,VLOOKUP(C140,ExistingShareableCommitmentTypeTable[],2,FALSE)),VLOOKUP(C140,ExistingShareableCommitmentTypeTable[],2,FALSE),MAX(BD140+$BE$136,FloorRateMCIR,$CJ$136),MAX(CH140+$BE$136,FloorRateMCIR,$CJ$136))),0)</f>
        <v>0</v>
      </c>
      <c r="CH140" s="1057" cm="1">
        <f t="array" ref="CH140">_xlfn.AGGREGATE(14,4,($C$140:$C$259="Portfolio loan - sub account")*($BQ$140:$BQ$259=$BQ140)*$BD$140:$BD$259,1)</f>
        <v>0</v>
      </c>
      <c r="CI140" s="1061">
        <f>SUMIFS($BI$140:$BI$254,$BQ$140:$BQ$254,BQ140,$C$140:$C$254,"Portfolio loan - sub account")</f>
        <v>0</v>
      </c>
      <c r="CJ140" s="619" t="e">
        <f>IF(OR(BG140="",BG140=0),VLOOKUP(C140,ExistingShareableCommitmentTypeTable[],MATCH("DefaultTerm",ExistingShareableCommitmentTypeTable[#Headers],0),FALSE),BG140)</f>
        <v>#N/A</v>
      </c>
      <c r="CK140" s="530" t="str">
        <f>IFERROR(VLOOKUP($C140,ExistingShareableCommitmentTypeTable[],MATCH(CK$138,ExistingShareableCommitmentTypeTable[#Headers],0),FALSE),"No")</f>
        <v>No</v>
      </c>
      <c r="CL140" s="530" t="str">
        <f>IFERROR(VLOOKUP($C140,ExistingShareableCommitmentTypeTable[],MATCH(CL$138,ExistingShareableCommitmentTypeTable[#Headers],0),FALSE),"No")</f>
        <v>No</v>
      </c>
      <c r="CM140" s="530" t="str">
        <f>IFERROR(VLOOKUP($C140,ExistingShareableCommitmentTypeTable[],MATCH(CM$138,ExistingShareableCommitmentTypeTable[#Headers],0),FALSE),"No")</f>
        <v>No</v>
      </c>
    </row>
    <row r="141" spans="1:91" ht="18.75" hidden="1" customHeight="1" x14ac:dyDescent="0.25">
      <c r="A141" s="176"/>
      <c r="C141" s="567"/>
      <c r="D141" s="568"/>
      <c r="E141" s="568"/>
      <c r="F141" s="568"/>
      <c r="G141" s="568"/>
      <c r="H141" s="568"/>
      <c r="I141" s="568"/>
      <c r="J141" s="568"/>
      <c r="K141" s="568"/>
      <c r="L141" s="568"/>
      <c r="M141" s="568"/>
      <c r="N141" s="568"/>
      <c r="O141" s="568"/>
      <c r="P141" s="568"/>
      <c r="Q141" s="568"/>
      <c r="R141" s="471"/>
      <c r="S141" s="471"/>
      <c r="T141" s="471"/>
      <c r="U141" s="1473"/>
      <c r="V141" s="1473"/>
      <c r="W141" s="1473"/>
      <c r="X141" s="1473"/>
      <c r="Y141" s="1473"/>
      <c r="Z141" s="1497"/>
      <c r="AA141" s="1497"/>
      <c r="AB141" s="1497"/>
      <c r="AC141" s="1497"/>
      <c r="AD141" s="1497"/>
      <c r="AE141" s="1497"/>
      <c r="AF141" s="1497"/>
      <c r="AG141" s="1497"/>
      <c r="AH141" s="541" t="b">
        <f>SUM(Z140:Z145,AN140)&gt;1</f>
        <v>0</v>
      </c>
      <c r="AI141" s="541" t="b">
        <f>SUM(AD140:AD145,AR140)&gt;1</f>
        <v>0</v>
      </c>
      <c r="AJ141" s="541" t="b">
        <f>AND(NOT(ISBLANK($AH140)),SUM($R140,$AK140)&gt;$AH140)</f>
        <v>0</v>
      </c>
      <c r="AK141" s="542"/>
      <c r="AL141" s="542"/>
      <c r="AM141" s="542"/>
      <c r="AN141" s="542"/>
      <c r="AO141" s="542"/>
      <c r="AP141" s="542"/>
      <c r="AQ141" s="542"/>
      <c r="AR141" s="542"/>
      <c r="AS141" s="542"/>
      <c r="AT141" s="542"/>
      <c r="AU141" s="542"/>
      <c r="AV141" s="1035"/>
      <c r="AW141" s="1035"/>
      <c r="AX141" s="1035"/>
      <c r="AY141" s="1035"/>
      <c r="AZ141" s="1564">
        <f>IFERROR(CHOOSE(VLOOKUP(C140,ExistingShareableCommitmentTypeTable[],8,FALSE),MAX(AV140,AZ140),AV140,SUMIFS($CE$140:$CE$254,$BQ$140:$BQ$254,BQ140,$C$140:$C$254,"Portfolio loan - sub account"),MAX(AV140,AZ140)-BM140),0)</f>
        <v>0</v>
      </c>
      <c r="BA141" s="1564"/>
      <c r="BB141" s="1564"/>
      <c r="BC141" s="1564"/>
      <c r="BD141" s="1582"/>
      <c r="BE141" s="1582"/>
      <c r="BF141" s="1582"/>
      <c r="BG141" s="1053"/>
      <c r="BH141" s="542"/>
      <c r="BI141" s="542"/>
      <c r="BJ141" s="542"/>
      <c r="BK141" s="542"/>
      <c r="BL141" s="542"/>
      <c r="BM141" s="542"/>
      <c r="BN141" s="542"/>
      <c r="BO141" s="542"/>
      <c r="BP141" s="542"/>
      <c r="BQ141" s="542"/>
      <c r="BR141" s="542"/>
      <c r="BS141" s="542"/>
      <c r="BT141" s="542"/>
      <c r="BU141" s="542"/>
      <c r="BV141" s="542"/>
      <c r="BW141" s="542"/>
      <c r="BX141" s="541"/>
      <c r="BY141" s="543"/>
      <c r="BZ141" s="543"/>
      <c r="CA141" s="543"/>
      <c r="CB141" s="543"/>
      <c r="CC141" s="546"/>
      <c r="CD141" s="654">
        <f ca="1">IFERROR(VLOOKUP(U141,ApplicantList[],2,FALSE),0)</f>
        <v>0</v>
      </c>
      <c r="CE141" s="1056"/>
      <c r="CF141" s="1056"/>
      <c r="CG141" s="1057"/>
      <c r="CH141" s="1057"/>
      <c r="CI141" s="398"/>
      <c r="CJ141" s="398"/>
    </row>
    <row r="142" spans="1:91" ht="18.75" hidden="1" customHeight="1" x14ac:dyDescent="0.25">
      <c r="A142" s="176"/>
      <c r="B142" s="78"/>
      <c r="C142" s="569"/>
      <c r="D142" s="570"/>
      <c r="E142" s="570"/>
      <c r="F142" s="570"/>
      <c r="G142" s="570"/>
      <c r="H142" s="570"/>
      <c r="I142" s="570"/>
      <c r="J142" s="570"/>
      <c r="K142" s="570"/>
      <c r="L142" s="570"/>
      <c r="M142" s="570"/>
      <c r="N142" s="570"/>
      <c r="O142" s="570"/>
      <c r="P142" s="570"/>
      <c r="Q142" s="570"/>
      <c r="R142" s="472"/>
      <c r="S142" s="472"/>
      <c r="T142" s="472"/>
      <c r="U142" s="1473"/>
      <c r="V142" s="1473"/>
      <c r="W142" s="1473"/>
      <c r="X142" s="1473"/>
      <c r="Y142" s="1473"/>
      <c r="Z142" s="1497"/>
      <c r="AA142" s="1497"/>
      <c r="AB142" s="1497"/>
      <c r="AC142" s="1497"/>
      <c r="AD142" s="1497"/>
      <c r="AE142" s="1497"/>
      <c r="AF142" s="1497"/>
      <c r="AG142" s="1497"/>
      <c r="AH142" s="544"/>
      <c r="AI142" s="541"/>
      <c r="AJ142" s="541"/>
      <c r="AK142" s="541"/>
      <c r="AL142" s="541"/>
      <c r="AM142" s="541"/>
      <c r="AN142" s="541"/>
      <c r="AO142" s="541"/>
      <c r="AP142" s="541"/>
      <c r="AQ142" s="541"/>
      <c r="AR142" s="541"/>
      <c r="AS142" s="541"/>
      <c r="AT142" s="541"/>
      <c r="AU142" s="541"/>
      <c r="AV142" s="1033"/>
      <c r="AW142" s="1033"/>
      <c r="AX142" s="1033"/>
      <c r="AY142" s="1033"/>
      <c r="AZ142" s="1559">
        <f>IFERROR(CHOOSE(VLOOKUP(C140,ExistingShareableCommitmentTypeTable[],9,FALSE),MAX(AV140,AZ140),0),0)</f>
        <v>0</v>
      </c>
      <c r="BA142" s="1559"/>
      <c r="BB142" s="1559"/>
      <c r="BC142" s="1559"/>
      <c r="BD142" s="541"/>
      <c r="BE142" s="541"/>
      <c r="BF142" s="541"/>
      <c r="BG142" s="541"/>
      <c r="BH142" s="541"/>
      <c r="BI142" s="541"/>
      <c r="BJ142" s="541"/>
      <c r="BK142" s="541"/>
      <c r="BL142" s="541"/>
      <c r="BM142" s="541"/>
      <c r="BN142" s="541"/>
      <c r="BO142" s="541"/>
      <c r="BP142" s="541"/>
      <c r="BQ142" s="541"/>
      <c r="BR142" s="541"/>
      <c r="BS142" s="541"/>
      <c r="BT142" s="541"/>
      <c r="BU142" s="541"/>
      <c r="BV142" s="541"/>
      <c r="BW142" s="541"/>
      <c r="BX142" s="541"/>
      <c r="BY142" s="545"/>
      <c r="BZ142" s="545"/>
      <c r="CA142" s="545"/>
      <c r="CB142" s="545"/>
      <c r="CC142" s="546"/>
      <c r="CD142" s="654">
        <f ca="1">IFERROR(VLOOKUP(U142,ApplicantList[],2,FALSE),0)</f>
        <v>0</v>
      </c>
      <c r="CE142" s="1056"/>
      <c r="CF142" s="1056"/>
      <c r="CG142" s="1057"/>
      <c r="CH142" s="1057"/>
      <c r="CI142" s="398"/>
      <c r="CJ142" s="398"/>
    </row>
    <row r="143" spans="1:91" ht="18.75" hidden="1" customHeight="1" x14ac:dyDescent="0.25">
      <c r="A143" s="176"/>
      <c r="B143" s="77"/>
      <c r="C143" s="569"/>
      <c r="D143" s="570"/>
      <c r="E143" s="570"/>
      <c r="F143" s="570"/>
      <c r="G143" s="570"/>
      <c r="H143" s="570"/>
      <c r="I143" s="570"/>
      <c r="J143" s="570"/>
      <c r="K143" s="570"/>
      <c r="L143" s="570"/>
      <c r="M143" s="570"/>
      <c r="N143" s="570"/>
      <c r="O143" s="570"/>
      <c r="P143" s="570"/>
      <c r="Q143" s="570"/>
      <c r="R143" s="472"/>
      <c r="S143" s="472"/>
      <c r="T143" s="472"/>
      <c r="U143" s="1473"/>
      <c r="V143" s="1473"/>
      <c r="W143" s="1473"/>
      <c r="X143" s="1473"/>
      <c r="Y143" s="1473"/>
      <c r="Z143" s="1497"/>
      <c r="AA143" s="1497"/>
      <c r="AB143" s="1497"/>
      <c r="AC143" s="1497"/>
      <c r="AD143" s="1497"/>
      <c r="AE143" s="1497"/>
      <c r="AF143" s="1497"/>
      <c r="AG143" s="1497"/>
      <c r="AH143" s="544"/>
      <c r="AI143" s="541"/>
      <c r="AJ143" s="541"/>
      <c r="AK143" s="541"/>
      <c r="AL143" s="541"/>
      <c r="AM143" s="541"/>
      <c r="AN143" s="541"/>
      <c r="AO143" s="541"/>
      <c r="AP143" s="541"/>
      <c r="AQ143" s="541"/>
      <c r="AR143" s="541"/>
      <c r="AS143" s="541"/>
      <c r="AT143" s="541"/>
      <c r="AU143" s="541"/>
      <c r="AV143" s="1033"/>
      <c r="AW143" s="1033"/>
      <c r="AX143" s="1033"/>
      <c r="AY143" s="1033"/>
      <c r="AZ143" s="1033"/>
      <c r="BA143" s="1033"/>
      <c r="BB143" s="1033"/>
      <c r="BC143" s="1033"/>
      <c r="BD143" s="541"/>
      <c r="BE143" s="541"/>
      <c r="BF143" s="541"/>
      <c r="BG143" s="541"/>
      <c r="BH143" s="541"/>
      <c r="BI143" s="541"/>
      <c r="BJ143" s="541"/>
      <c r="BK143" s="541"/>
      <c r="BL143" s="541"/>
      <c r="BM143" s="541"/>
      <c r="BN143" s="541"/>
      <c r="BO143" s="541"/>
      <c r="BP143" s="541"/>
      <c r="BQ143" s="541"/>
      <c r="BR143" s="541"/>
      <c r="BS143" s="541"/>
      <c r="BT143" s="541"/>
      <c r="BU143" s="541"/>
      <c r="BV143" s="541"/>
      <c r="BW143" s="541"/>
      <c r="BX143" s="541"/>
      <c r="BY143" s="545"/>
      <c r="BZ143" s="545"/>
      <c r="CA143" s="545"/>
      <c r="CB143" s="545"/>
      <c r="CC143" s="546"/>
      <c r="CD143" s="654">
        <f ca="1">IFERROR(VLOOKUP(U143,ApplicantList[],2,FALSE),0)</f>
        <v>0</v>
      </c>
      <c r="CE143" s="1056"/>
      <c r="CF143" s="1056"/>
      <c r="CG143" s="1057"/>
      <c r="CH143" s="1057"/>
      <c r="CI143" s="398"/>
      <c r="CJ143" s="398"/>
    </row>
    <row r="144" spans="1:91" ht="18.75" hidden="1" customHeight="1" x14ac:dyDescent="0.25">
      <c r="A144" s="175"/>
      <c r="B144" s="78"/>
      <c r="C144" s="569"/>
      <c r="D144" s="570"/>
      <c r="E144" s="570"/>
      <c r="F144" s="570"/>
      <c r="G144" s="570"/>
      <c r="H144" s="570"/>
      <c r="I144" s="570"/>
      <c r="J144" s="570"/>
      <c r="K144" s="570"/>
      <c r="L144" s="570"/>
      <c r="M144" s="570"/>
      <c r="N144" s="570"/>
      <c r="O144" s="570"/>
      <c r="P144" s="570"/>
      <c r="Q144" s="570"/>
      <c r="R144" s="472"/>
      <c r="S144" s="472"/>
      <c r="T144" s="472"/>
      <c r="U144" s="1473"/>
      <c r="V144" s="1473"/>
      <c r="W144" s="1473"/>
      <c r="X144" s="1473"/>
      <c r="Y144" s="1473"/>
      <c r="Z144" s="1497"/>
      <c r="AA144" s="1497"/>
      <c r="AB144" s="1497"/>
      <c r="AC144" s="1497"/>
      <c r="AD144" s="1497"/>
      <c r="AE144" s="1497"/>
      <c r="AF144" s="1497"/>
      <c r="AG144" s="1497"/>
      <c r="AH144" s="544"/>
      <c r="AI144" s="541"/>
      <c r="AJ144" s="541"/>
      <c r="AK144" s="541"/>
      <c r="AL144" s="541"/>
      <c r="AM144" s="541"/>
      <c r="AN144" s="541"/>
      <c r="AO144" s="541"/>
      <c r="AP144" s="541"/>
      <c r="AQ144" s="541"/>
      <c r="AR144" s="541"/>
      <c r="AS144" s="541"/>
      <c r="AT144" s="541"/>
      <c r="AU144" s="541"/>
      <c r="AV144" s="1033"/>
      <c r="AW144" s="1033"/>
      <c r="AX144" s="1033"/>
      <c r="AY144" s="1033"/>
      <c r="AZ144" s="1033"/>
      <c r="BA144" s="1033"/>
      <c r="BB144" s="1033"/>
      <c r="BC144" s="1033"/>
      <c r="BD144" s="541"/>
      <c r="BE144" s="541"/>
      <c r="BF144" s="541"/>
      <c r="BG144" s="541"/>
      <c r="BH144" s="541"/>
      <c r="BI144" s="541"/>
      <c r="BJ144" s="541"/>
      <c r="BK144" s="541"/>
      <c r="BL144" s="541"/>
      <c r="BM144" s="541"/>
      <c r="BN144" s="541"/>
      <c r="BO144" s="541"/>
      <c r="BP144" s="541"/>
      <c r="BQ144" s="541"/>
      <c r="BR144" s="541"/>
      <c r="BS144" s="541"/>
      <c r="BT144" s="541"/>
      <c r="BU144" s="541"/>
      <c r="BV144" s="541"/>
      <c r="BW144" s="541"/>
      <c r="BX144" s="541"/>
      <c r="BY144" s="545"/>
      <c r="BZ144" s="545"/>
      <c r="CA144" s="545"/>
      <c r="CB144" s="545"/>
      <c r="CC144" s="546"/>
      <c r="CD144" s="654">
        <f ca="1">IFERROR(VLOOKUP(U144,ApplicantList[],2,FALSE),0)</f>
        <v>0</v>
      </c>
      <c r="CE144" s="1056"/>
      <c r="CF144" s="1056"/>
      <c r="CG144" s="1057"/>
      <c r="CH144" s="1057"/>
      <c r="CI144" s="398"/>
      <c r="CJ144" s="398"/>
    </row>
    <row r="145" spans="1:91" ht="18.75" hidden="1" customHeight="1" x14ac:dyDescent="0.25">
      <c r="A145" s="176"/>
      <c r="C145" s="571"/>
      <c r="D145" s="572"/>
      <c r="E145" s="572"/>
      <c r="F145" s="572"/>
      <c r="G145" s="572"/>
      <c r="H145" s="572"/>
      <c r="I145" s="572"/>
      <c r="J145" s="572"/>
      <c r="K145" s="572"/>
      <c r="L145" s="572"/>
      <c r="M145" s="572"/>
      <c r="N145" s="572"/>
      <c r="O145" s="572"/>
      <c r="P145" s="572"/>
      <c r="Q145" s="572"/>
      <c r="R145" s="473"/>
      <c r="S145" s="473"/>
      <c r="T145" s="473"/>
      <c r="U145" s="1473"/>
      <c r="V145" s="1473"/>
      <c r="W145" s="1473"/>
      <c r="X145" s="1473"/>
      <c r="Y145" s="1473"/>
      <c r="Z145" s="1497"/>
      <c r="AA145" s="1497"/>
      <c r="AB145" s="1497"/>
      <c r="AC145" s="1497"/>
      <c r="AD145" s="1497"/>
      <c r="AE145" s="1497"/>
      <c r="AF145" s="1497"/>
      <c r="AG145" s="1497"/>
      <c r="AH145" s="547"/>
      <c r="AI145" s="548"/>
      <c r="AJ145" s="548"/>
      <c r="AK145" s="548"/>
      <c r="AL145" s="548"/>
      <c r="AM145" s="548"/>
      <c r="AN145" s="548"/>
      <c r="AO145" s="548"/>
      <c r="AP145" s="548"/>
      <c r="AQ145" s="548"/>
      <c r="AR145" s="548"/>
      <c r="AS145" s="548"/>
      <c r="AT145" s="548"/>
      <c r="AU145" s="548"/>
      <c r="AV145" s="1034"/>
      <c r="AW145" s="1034"/>
      <c r="AX145" s="1034"/>
      <c r="AY145" s="1034"/>
      <c r="AZ145" s="1034"/>
      <c r="BA145" s="1034"/>
      <c r="BB145" s="1034"/>
      <c r="BC145" s="1034"/>
      <c r="BD145" s="548"/>
      <c r="BE145" s="548"/>
      <c r="BF145" s="548"/>
      <c r="BG145" s="548"/>
      <c r="BH145" s="548"/>
      <c r="BI145" s="548"/>
      <c r="BJ145" s="548"/>
      <c r="BK145" s="548"/>
      <c r="BL145" s="548"/>
      <c r="BM145" s="548"/>
      <c r="BN145" s="548"/>
      <c r="BO145" s="548"/>
      <c r="BP145" s="548"/>
      <c r="BQ145" s="548"/>
      <c r="BR145" s="548"/>
      <c r="BS145" s="548"/>
      <c r="BT145" s="548"/>
      <c r="BU145" s="548"/>
      <c r="BV145" s="548"/>
      <c r="BW145" s="548"/>
      <c r="BX145" s="548"/>
      <c r="BY145" s="549"/>
      <c r="BZ145" s="549"/>
      <c r="CA145" s="549"/>
      <c r="CB145" s="549"/>
      <c r="CC145" s="546"/>
      <c r="CD145" s="654">
        <f ca="1">IFERROR(VLOOKUP(U145,ApplicantList[],2,FALSE),0)</f>
        <v>0</v>
      </c>
      <c r="CE145" s="1056"/>
      <c r="CF145" s="1056"/>
      <c r="CG145" s="1057"/>
      <c r="CH145" s="1057"/>
      <c r="CI145" s="398"/>
      <c r="CJ145" s="398"/>
    </row>
    <row r="146" spans="1:91" ht="18.75" hidden="1" customHeight="1" x14ac:dyDescent="0.25">
      <c r="A146" s="176">
        <v>2</v>
      </c>
      <c r="C146" s="1473"/>
      <c r="D146" s="1473"/>
      <c r="E146" s="1473"/>
      <c r="F146" s="1473"/>
      <c r="G146" s="1473"/>
      <c r="H146" s="1473"/>
      <c r="I146" s="1473"/>
      <c r="J146" s="1473"/>
      <c r="K146" s="1473"/>
      <c r="L146" s="1473"/>
      <c r="M146" s="1566" t="s">
        <v>373</v>
      </c>
      <c r="N146" s="1566"/>
      <c r="O146" s="1566"/>
      <c r="P146" s="1566"/>
      <c r="Q146" s="1566"/>
      <c r="R146" s="1566">
        <v>1</v>
      </c>
      <c r="S146" s="1566"/>
      <c r="T146" s="1566"/>
      <c r="U146" s="1473"/>
      <c r="V146" s="1473"/>
      <c r="W146" s="1473"/>
      <c r="X146" s="1473"/>
      <c r="Y146" s="1473"/>
      <c r="Z146" s="1497"/>
      <c r="AA146" s="1497"/>
      <c r="AB146" s="1497"/>
      <c r="AC146" s="1497"/>
      <c r="AD146" s="1497"/>
      <c r="AE146" s="1497"/>
      <c r="AF146" s="1497"/>
      <c r="AG146" s="1497"/>
      <c r="AH146" s="1556"/>
      <c r="AI146" s="1556"/>
      <c r="AJ146" s="1556"/>
      <c r="AK146" s="1556"/>
      <c r="AL146" s="1556"/>
      <c r="AM146" s="1556"/>
      <c r="AN146" s="1497"/>
      <c r="AO146" s="1497"/>
      <c r="AP146" s="1497"/>
      <c r="AQ146" s="1497"/>
      <c r="AR146" s="1497"/>
      <c r="AS146" s="1497"/>
      <c r="AT146" s="1497"/>
      <c r="AU146" s="1497"/>
      <c r="AV146" s="1563"/>
      <c r="AW146" s="1563"/>
      <c r="AX146" s="1563"/>
      <c r="AY146" s="1563"/>
      <c r="AZ146" s="1563"/>
      <c r="BA146" s="1563"/>
      <c r="BB146" s="1563"/>
      <c r="BC146" s="1563"/>
      <c r="BD146" s="1568"/>
      <c r="BE146" s="1568"/>
      <c r="BF146" s="1568"/>
      <c r="BG146" s="1567"/>
      <c r="BH146" s="1567"/>
      <c r="BI146" s="1583"/>
      <c r="BJ146" s="1583"/>
      <c r="BK146" s="1583"/>
      <c r="BL146" s="1583"/>
      <c r="BM146" s="1586"/>
      <c r="BN146" s="1586"/>
      <c r="BO146" s="1586"/>
      <c r="BP146" s="1586"/>
      <c r="BQ146" s="1585"/>
      <c r="BR146" s="1585"/>
      <c r="BS146" s="1585"/>
      <c r="BT146" s="1585"/>
      <c r="BU146" s="1584" cm="1">
        <f t="array" aca="1" ref="BU146" ca="1">IF(M146="Default",1,IF(AND(C146="Portfolio loan - sub account",CF146=FALSE),0,IF(AND(AH146=2,AK146=1, VLOOKUP(U146,ApplicantList[],3,FALSE)="Non-applicant"),INDIRECT("ICApp" &amp; VLOOKUP(U146,ApplicantList[],2,FALSE) &amp; "HouseholdIncomeApportioningRatio"),IFERROR(MIN(ROUNDUP(MAX(SUM(Z146:AC151)+AN146,SUM(AD146:AG151)+AR146,(COUNTIF(Z146:AC151,"&gt;0")+AK146)/AH146),4),1),""))))</f>
        <v>1</v>
      </c>
      <c r="BV146" s="1584"/>
      <c r="BW146" s="1584"/>
      <c r="BX146" s="1584"/>
      <c r="BY146" s="1569">
        <f>IFERROR(ROUNDUP(CHOOSE(VLOOKUP(C146,ExistingShareableCommitmentTypeTable[],6,FALSE),MAX(BI146,PMT(CG146/12,CJ146,-AZ147))*BU146,MAX(BI146,(AZ147*CG146/12))*BU146,0,BI146*BU146,MAX(BI146,(AZ147*CG146))*BU146,AZ147*CG146*BU146,IF(CF146,MAX(CI146,PMT(CG146/12,240,-AZ147))*BU146,0)),2),0)</f>
        <v>0</v>
      </c>
      <c r="BZ146" s="1569"/>
      <c r="CA146" s="1569"/>
      <c r="CB146" s="1492"/>
      <c r="CC146" s="1306"/>
      <c r="CD146" s="654">
        <f ca="1">IFERROR(VLOOKUP(U146,ApplicantList[],2,FALSE),0)</f>
        <v>0</v>
      </c>
      <c r="CE146" s="1055">
        <f>IFERROR(MAX(AV146,AZ146),0)</f>
        <v>0</v>
      </c>
      <c r="CF146" s="1056" t="b">
        <f>IF(C146="Portfolio loan - sub account",IF(NOT(ISBLANK(BQ146)),IF(COUNTIF($BQ$140:$BQ$254,BQ146)&gt;1,IF(COUNTIFS(BQ$140:BQ146,BQ146,C$140:C146,"Portfolio loan - sub account")=1,TRUE,FALSE),TRUE),FALSE),FALSE)</f>
        <v>0</v>
      </c>
      <c r="CG146" s="1057">
        <f>IFERROR(IF(C146="",0,CHOOSE(VLOOKUP(C146,ExistingShareableCommitmentTypeTable[],7,FALSE),MAX(BD146+$BE$136,FloorRateMCAR,$CJ$136),MAX(BD146,VLOOKUP(C146,ExistingShareableCommitmentTypeTable[],2,FALSE)),VLOOKUP(C146,ExistingShareableCommitmentTypeTable[],2,FALSE),MAX(BD146+$BE$136,FloorRateMCIR,$CJ$136),MAX(CH146+$BE$136,FloorRateMCIR,$CJ$136))),0)</f>
        <v>0</v>
      </c>
      <c r="CH146" s="1057" cm="1">
        <f t="array" ref="CH146">_xlfn.AGGREGATE(14,4,($C$140:$C$259="Portfolio loan - sub account")*($BQ$140:$BQ$259=$BQ146)*$BD$140:$BD$259,1)</f>
        <v>0</v>
      </c>
      <c r="CI146" s="1061">
        <f>SUMIFS($BI$140:$BI$254,$BQ$140:$BQ$254,BQ146,$C$140:$C$254,"Portfolio loan - sub account")</f>
        <v>0</v>
      </c>
      <c r="CJ146" s="619" t="e">
        <f>IF(OR(BG146="",BG146=0),VLOOKUP(C146,ExistingShareableCommitmentTypeTable[],MATCH("DefaultTerm",ExistingShareableCommitmentTypeTable[#Headers],0),FALSE),BG146)</f>
        <v>#N/A</v>
      </c>
      <c r="CK146" s="530" t="str">
        <f>IFERROR(VLOOKUP($C146,ExistingShareableCommitmentTypeTable[],MATCH(CK$138,ExistingShareableCommitmentTypeTable[#Headers],0),FALSE),"No")</f>
        <v>No</v>
      </c>
      <c r="CL146" s="530" t="str">
        <f>IFERROR(VLOOKUP($C146,ExistingShareableCommitmentTypeTable[],MATCH(CL$138,ExistingShareableCommitmentTypeTable[#Headers],0),FALSE),"No")</f>
        <v>No</v>
      </c>
      <c r="CM146" s="530" t="str">
        <f>IFERROR(VLOOKUP($C146,ExistingShareableCommitmentTypeTable[],MATCH(CM$138,ExistingShareableCommitmentTypeTable[#Headers],0),FALSE),"No")</f>
        <v>No</v>
      </c>
    </row>
    <row r="147" spans="1:91" ht="18.75" hidden="1" customHeight="1" x14ac:dyDescent="0.25">
      <c r="A147" s="176"/>
      <c r="C147" s="567"/>
      <c r="D147" s="568"/>
      <c r="E147" s="568"/>
      <c r="F147" s="568"/>
      <c r="G147" s="568"/>
      <c r="H147" s="568"/>
      <c r="I147" s="568"/>
      <c r="J147" s="568"/>
      <c r="K147" s="568"/>
      <c r="L147" s="568"/>
      <c r="M147" s="568"/>
      <c r="N147" s="568"/>
      <c r="O147" s="568"/>
      <c r="P147" s="568"/>
      <c r="Q147" s="568"/>
      <c r="R147" s="471"/>
      <c r="S147" s="471"/>
      <c r="T147" s="471"/>
      <c r="U147" s="1473"/>
      <c r="V147" s="1473"/>
      <c r="W147" s="1473"/>
      <c r="X147" s="1473"/>
      <c r="Y147" s="1473"/>
      <c r="Z147" s="1497"/>
      <c r="AA147" s="1497"/>
      <c r="AB147" s="1497"/>
      <c r="AC147" s="1497"/>
      <c r="AD147" s="1497"/>
      <c r="AE147" s="1497"/>
      <c r="AF147" s="1497"/>
      <c r="AG147" s="1497"/>
      <c r="AH147" s="541" t="b">
        <f>SUM(Z146:Z151,AN146)&gt;1</f>
        <v>0</v>
      </c>
      <c r="AI147" s="541" t="b">
        <f>SUM(AD146:AD151,AR146)&gt;1</f>
        <v>0</v>
      </c>
      <c r="AJ147" s="541" t="b">
        <f>AND(NOT(ISBLANK($AH146)),SUM($R146,$AK146)&gt;$AH146)</f>
        <v>0</v>
      </c>
      <c r="AK147" s="542"/>
      <c r="AL147" s="542"/>
      <c r="AM147" s="542"/>
      <c r="AN147" s="542"/>
      <c r="AO147" s="542"/>
      <c r="AP147" s="542"/>
      <c r="AQ147" s="542"/>
      <c r="AR147" s="542"/>
      <c r="AS147" s="542"/>
      <c r="AT147" s="542"/>
      <c r="AU147" s="542"/>
      <c r="AV147" s="1035"/>
      <c r="AW147" s="1035"/>
      <c r="AX147" s="1035"/>
      <c r="AY147" s="1035"/>
      <c r="AZ147" s="1564">
        <f>IFERROR(CHOOSE(VLOOKUP(C146,ExistingShareableCommitmentTypeTable[],8,FALSE),MAX(AV146,AZ146),AV146,SUMIFS($CE$140:$CE$254,$BQ$140:$BQ$254,BQ146,$C$140:$C$254,"Portfolio loan - sub account"),MAX(AV146,AZ146)-BM146),0)</f>
        <v>0</v>
      </c>
      <c r="BA147" s="1564"/>
      <c r="BB147" s="1564"/>
      <c r="BC147" s="1564"/>
      <c r="BD147" s="1582"/>
      <c r="BE147" s="1582"/>
      <c r="BF147" s="1582"/>
      <c r="BG147" s="1053"/>
      <c r="BH147" s="542"/>
      <c r="BI147" s="542"/>
      <c r="BJ147" s="542"/>
      <c r="BK147" s="542"/>
      <c r="BL147" s="542"/>
      <c r="BM147" s="542"/>
      <c r="BN147" s="542"/>
      <c r="BO147" s="542"/>
      <c r="BP147" s="542"/>
      <c r="BQ147" s="542"/>
      <c r="BR147" s="542"/>
      <c r="BS147" s="542"/>
      <c r="BT147" s="542"/>
      <c r="BU147" s="542"/>
      <c r="BV147" s="542"/>
      <c r="BW147" s="542"/>
      <c r="BX147" s="541"/>
      <c r="BY147" s="542"/>
      <c r="BZ147" s="542"/>
      <c r="CA147" s="542"/>
      <c r="CB147" s="542"/>
      <c r="CC147" s="550"/>
      <c r="CD147" s="654">
        <f ca="1">IFERROR(VLOOKUP(U147,ApplicantList[],2,FALSE),0)</f>
        <v>0</v>
      </c>
      <c r="CE147" s="1056"/>
      <c r="CF147" s="1056"/>
      <c r="CG147" s="1057"/>
      <c r="CH147" s="1057"/>
      <c r="CI147" s="398"/>
      <c r="CJ147" s="398"/>
    </row>
    <row r="148" spans="1:91" ht="18.75" hidden="1" customHeight="1" x14ac:dyDescent="0.25">
      <c r="A148" s="175"/>
      <c r="B148" s="78"/>
      <c r="C148" s="569"/>
      <c r="D148" s="570"/>
      <c r="E148" s="570"/>
      <c r="F148" s="570"/>
      <c r="G148" s="570"/>
      <c r="H148" s="570"/>
      <c r="I148" s="570"/>
      <c r="J148" s="570"/>
      <c r="K148" s="570"/>
      <c r="L148" s="570"/>
      <c r="M148" s="570"/>
      <c r="N148" s="570"/>
      <c r="O148" s="570"/>
      <c r="P148" s="570"/>
      <c r="Q148" s="570"/>
      <c r="R148" s="472"/>
      <c r="S148" s="472"/>
      <c r="T148" s="472"/>
      <c r="U148" s="1473"/>
      <c r="V148" s="1473"/>
      <c r="W148" s="1473"/>
      <c r="X148" s="1473"/>
      <c r="Y148" s="1473"/>
      <c r="Z148" s="1497"/>
      <c r="AA148" s="1497"/>
      <c r="AB148" s="1497"/>
      <c r="AC148" s="1497"/>
      <c r="AD148" s="1497"/>
      <c r="AE148" s="1497"/>
      <c r="AF148" s="1497"/>
      <c r="AG148" s="1497"/>
      <c r="AH148" s="544"/>
      <c r="AI148" s="541"/>
      <c r="AJ148" s="541"/>
      <c r="AK148" s="541"/>
      <c r="AL148" s="541"/>
      <c r="AM148" s="541"/>
      <c r="AN148" s="541"/>
      <c r="AO148" s="541"/>
      <c r="AP148" s="541"/>
      <c r="AQ148" s="541"/>
      <c r="AR148" s="541"/>
      <c r="AS148" s="541"/>
      <c r="AT148" s="541"/>
      <c r="AU148" s="541"/>
      <c r="AV148" s="1036"/>
      <c r="AW148" s="1036"/>
      <c r="AX148" s="1036"/>
      <c r="AY148" s="1036"/>
      <c r="AZ148" s="1559">
        <f>IFERROR(CHOOSE(VLOOKUP(C146,ExistingShareableCommitmentTypeTable[],9,FALSE),MAX(AV146,AZ146),0),0)</f>
        <v>0</v>
      </c>
      <c r="BA148" s="1559"/>
      <c r="BB148" s="1559"/>
      <c r="BC148" s="1559"/>
      <c r="BD148" s="541"/>
      <c r="BE148" s="541"/>
      <c r="BF148" s="541"/>
      <c r="BG148" s="541"/>
      <c r="BH148" s="541"/>
      <c r="BI148" s="541"/>
      <c r="BJ148" s="541"/>
      <c r="BK148" s="541"/>
      <c r="BL148" s="541"/>
      <c r="BM148" s="541"/>
      <c r="BN148" s="541"/>
      <c r="BO148" s="541"/>
      <c r="BP148" s="541"/>
      <c r="BQ148" s="541"/>
      <c r="BR148" s="541"/>
      <c r="BS148" s="541"/>
      <c r="BT148" s="541"/>
      <c r="BU148" s="541"/>
      <c r="BV148" s="541"/>
      <c r="BW148" s="541"/>
      <c r="BX148" s="541"/>
      <c r="BY148" s="541"/>
      <c r="BZ148" s="541"/>
      <c r="CA148" s="541"/>
      <c r="CB148" s="541"/>
      <c r="CC148" s="550"/>
      <c r="CD148" s="654">
        <f ca="1">IFERROR(VLOOKUP(U148,ApplicantList[],2,FALSE),0)</f>
        <v>0</v>
      </c>
      <c r="CE148" s="1056"/>
      <c r="CF148" s="1056"/>
      <c r="CG148" s="1057"/>
      <c r="CH148" s="1057"/>
      <c r="CI148" s="398"/>
      <c r="CJ148" s="398"/>
    </row>
    <row r="149" spans="1:91" ht="18.75" hidden="1" customHeight="1" x14ac:dyDescent="0.25">
      <c r="A149" s="176"/>
      <c r="B149" s="77"/>
      <c r="C149" s="569"/>
      <c r="D149" s="570"/>
      <c r="E149" s="570"/>
      <c r="F149" s="570"/>
      <c r="G149" s="570"/>
      <c r="H149" s="570"/>
      <c r="I149" s="570"/>
      <c r="J149" s="570"/>
      <c r="K149" s="570"/>
      <c r="L149" s="570"/>
      <c r="M149" s="570"/>
      <c r="N149" s="570"/>
      <c r="O149" s="570"/>
      <c r="P149" s="570"/>
      <c r="Q149" s="570"/>
      <c r="R149" s="472"/>
      <c r="S149" s="472"/>
      <c r="T149" s="472"/>
      <c r="U149" s="1473"/>
      <c r="V149" s="1473"/>
      <c r="W149" s="1473"/>
      <c r="X149" s="1473"/>
      <c r="Y149" s="1473"/>
      <c r="Z149" s="1497"/>
      <c r="AA149" s="1497"/>
      <c r="AB149" s="1497"/>
      <c r="AC149" s="1497"/>
      <c r="AD149" s="1497"/>
      <c r="AE149" s="1497"/>
      <c r="AF149" s="1497"/>
      <c r="AG149" s="1497"/>
      <c r="AH149" s="544"/>
      <c r="AI149" s="541"/>
      <c r="AJ149" s="541"/>
      <c r="AK149" s="541"/>
      <c r="AL149" s="541"/>
      <c r="AM149" s="541"/>
      <c r="AN149" s="541"/>
      <c r="AO149" s="541"/>
      <c r="AP149" s="541"/>
      <c r="AQ149" s="541"/>
      <c r="AR149" s="541"/>
      <c r="AS149" s="541"/>
      <c r="AT149" s="541"/>
      <c r="AU149" s="541"/>
      <c r="AV149" s="1036"/>
      <c r="AW149" s="1036"/>
      <c r="AX149" s="1036"/>
      <c r="AY149" s="1036"/>
      <c r="AZ149" s="1036"/>
      <c r="BA149" s="1036"/>
      <c r="BB149" s="1036"/>
      <c r="BC149" s="1036"/>
      <c r="BD149" s="541"/>
      <c r="BE149" s="541"/>
      <c r="BF149" s="541"/>
      <c r="BG149" s="541"/>
      <c r="BH149" s="541"/>
      <c r="BI149" s="541"/>
      <c r="BJ149" s="541"/>
      <c r="BK149" s="541"/>
      <c r="BL149" s="541"/>
      <c r="BM149" s="541"/>
      <c r="BN149" s="541"/>
      <c r="BO149" s="541"/>
      <c r="BP149" s="541"/>
      <c r="BQ149" s="541"/>
      <c r="BR149" s="541"/>
      <c r="BS149" s="541"/>
      <c r="BT149" s="541"/>
      <c r="BU149" s="541"/>
      <c r="BV149" s="541"/>
      <c r="BW149" s="541"/>
      <c r="BX149" s="541"/>
      <c r="BY149" s="541"/>
      <c r="BZ149" s="541"/>
      <c r="CA149" s="541"/>
      <c r="CB149" s="541"/>
      <c r="CC149" s="550"/>
      <c r="CD149" s="654">
        <f ca="1">IFERROR(VLOOKUP(U149,ApplicantList[],2,FALSE),0)</f>
        <v>0</v>
      </c>
      <c r="CE149" s="1056"/>
      <c r="CF149" s="1056"/>
      <c r="CG149" s="1057"/>
      <c r="CH149" s="1057"/>
      <c r="CI149" s="398"/>
      <c r="CJ149" s="398"/>
    </row>
    <row r="150" spans="1:91" ht="18.75" hidden="1" customHeight="1" x14ac:dyDescent="0.25">
      <c r="A150" s="176"/>
      <c r="B150" s="78"/>
      <c r="C150" s="569"/>
      <c r="D150" s="570"/>
      <c r="E150" s="570"/>
      <c r="F150" s="570"/>
      <c r="G150" s="570"/>
      <c r="H150" s="570"/>
      <c r="I150" s="570"/>
      <c r="J150" s="570"/>
      <c r="K150" s="570"/>
      <c r="L150" s="570"/>
      <c r="M150" s="570"/>
      <c r="N150" s="570"/>
      <c r="O150" s="570"/>
      <c r="P150" s="570"/>
      <c r="Q150" s="570"/>
      <c r="R150" s="472"/>
      <c r="S150" s="472"/>
      <c r="T150" s="472"/>
      <c r="U150" s="1473"/>
      <c r="V150" s="1473"/>
      <c r="W150" s="1473"/>
      <c r="X150" s="1473"/>
      <c r="Y150" s="1473"/>
      <c r="Z150" s="1497"/>
      <c r="AA150" s="1497"/>
      <c r="AB150" s="1497"/>
      <c r="AC150" s="1497"/>
      <c r="AD150" s="1497"/>
      <c r="AE150" s="1497"/>
      <c r="AF150" s="1497"/>
      <c r="AG150" s="1497"/>
      <c r="AH150" s="544"/>
      <c r="AI150" s="541"/>
      <c r="AJ150" s="541"/>
      <c r="AK150" s="541"/>
      <c r="AL150" s="541"/>
      <c r="AM150" s="541"/>
      <c r="AN150" s="541"/>
      <c r="AO150" s="541"/>
      <c r="AP150" s="541"/>
      <c r="AQ150" s="541"/>
      <c r="AR150" s="541"/>
      <c r="AS150" s="541"/>
      <c r="AT150" s="541"/>
      <c r="AU150" s="541"/>
      <c r="AV150" s="1036"/>
      <c r="AW150" s="1036"/>
      <c r="AX150" s="1036"/>
      <c r="AY150" s="1036"/>
      <c r="AZ150" s="1036"/>
      <c r="BA150" s="1036"/>
      <c r="BB150" s="1036"/>
      <c r="BC150" s="1036"/>
      <c r="BD150" s="541"/>
      <c r="BE150" s="541"/>
      <c r="BF150" s="541"/>
      <c r="BG150" s="541"/>
      <c r="BH150" s="541"/>
      <c r="BI150" s="541"/>
      <c r="BJ150" s="541"/>
      <c r="BK150" s="541"/>
      <c r="BL150" s="541"/>
      <c r="BM150" s="541"/>
      <c r="BN150" s="541"/>
      <c r="BO150" s="541"/>
      <c r="BP150" s="541"/>
      <c r="BQ150" s="541"/>
      <c r="BR150" s="541"/>
      <c r="BS150" s="541"/>
      <c r="BT150" s="541"/>
      <c r="BU150" s="541"/>
      <c r="BV150" s="541"/>
      <c r="BW150" s="541"/>
      <c r="BX150" s="541"/>
      <c r="BY150" s="541"/>
      <c r="BZ150" s="541"/>
      <c r="CA150" s="541"/>
      <c r="CB150" s="541"/>
      <c r="CC150" s="550"/>
      <c r="CD150" s="654">
        <f ca="1">IFERROR(VLOOKUP(U150,ApplicantList[],2,FALSE),0)</f>
        <v>0</v>
      </c>
      <c r="CE150" s="1056"/>
      <c r="CF150" s="1056"/>
      <c r="CG150" s="1057"/>
      <c r="CH150" s="1057"/>
      <c r="CI150" s="398"/>
      <c r="CJ150" s="398"/>
    </row>
    <row r="151" spans="1:91" ht="18.75" hidden="1" customHeight="1" x14ac:dyDescent="0.25">
      <c r="A151" s="176"/>
      <c r="B151" s="77"/>
      <c r="C151" s="571"/>
      <c r="D151" s="572"/>
      <c r="E151" s="572"/>
      <c r="F151" s="572"/>
      <c r="G151" s="572"/>
      <c r="H151" s="572"/>
      <c r="I151" s="572"/>
      <c r="J151" s="572"/>
      <c r="K151" s="572"/>
      <c r="L151" s="572"/>
      <c r="M151" s="572"/>
      <c r="N151" s="572"/>
      <c r="O151" s="572"/>
      <c r="P151" s="572"/>
      <c r="Q151" s="572"/>
      <c r="R151" s="473"/>
      <c r="S151" s="473"/>
      <c r="T151" s="473"/>
      <c r="U151" s="1473"/>
      <c r="V151" s="1473"/>
      <c r="W151" s="1473"/>
      <c r="X151" s="1473"/>
      <c r="Y151" s="1473"/>
      <c r="Z151" s="1497"/>
      <c r="AA151" s="1497"/>
      <c r="AB151" s="1497"/>
      <c r="AC151" s="1497"/>
      <c r="AD151" s="1497"/>
      <c r="AE151" s="1497"/>
      <c r="AF151" s="1497"/>
      <c r="AG151" s="1497"/>
      <c r="AH151" s="547"/>
      <c r="AI151" s="548"/>
      <c r="AJ151" s="548"/>
      <c r="AK151" s="548"/>
      <c r="AL151" s="548"/>
      <c r="AM151" s="548"/>
      <c r="AN151" s="548"/>
      <c r="AO151" s="548"/>
      <c r="AP151" s="548"/>
      <c r="AQ151" s="548"/>
      <c r="AR151" s="548"/>
      <c r="AS151" s="548"/>
      <c r="AT151" s="548"/>
      <c r="AU151" s="548"/>
      <c r="AV151" s="1037"/>
      <c r="AW151" s="1037"/>
      <c r="AX151" s="1037"/>
      <c r="AY151" s="1037"/>
      <c r="AZ151" s="1037"/>
      <c r="BA151" s="1037"/>
      <c r="BB151" s="1037"/>
      <c r="BC151" s="1037"/>
      <c r="BD151" s="548"/>
      <c r="BE151" s="548"/>
      <c r="BF151" s="548"/>
      <c r="BG151" s="548"/>
      <c r="BH151" s="548"/>
      <c r="BI151" s="548"/>
      <c r="BJ151" s="548"/>
      <c r="BK151" s="548"/>
      <c r="BL151" s="548"/>
      <c r="BM151" s="548"/>
      <c r="BN151" s="548"/>
      <c r="BO151" s="548"/>
      <c r="BP151" s="548"/>
      <c r="BQ151" s="548"/>
      <c r="BR151" s="548"/>
      <c r="BS151" s="548"/>
      <c r="BT151" s="548"/>
      <c r="BU151" s="548"/>
      <c r="BV151" s="548"/>
      <c r="BW151" s="548"/>
      <c r="BX151" s="548"/>
      <c r="BY151" s="548"/>
      <c r="BZ151" s="548"/>
      <c r="CA151" s="548"/>
      <c r="CB151" s="548"/>
      <c r="CC151" s="550"/>
      <c r="CD151" s="654">
        <f ca="1">IFERROR(VLOOKUP(U151,ApplicantList[],2,FALSE),0)</f>
        <v>0</v>
      </c>
      <c r="CE151" s="1056"/>
      <c r="CF151" s="1056"/>
      <c r="CG151" s="1057"/>
      <c r="CH151" s="1057"/>
      <c r="CI151" s="398"/>
      <c r="CJ151" s="398"/>
    </row>
    <row r="152" spans="1:91" ht="18.75" hidden="1" customHeight="1" x14ac:dyDescent="0.25">
      <c r="A152" s="175">
        <v>3</v>
      </c>
      <c r="B152" s="78"/>
      <c r="C152" s="1473"/>
      <c r="D152" s="1473"/>
      <c r="E152" s="1473"/>
      <c r="F152" s="1473"/>
      <c r="G152" s="1473"/>
      <c r="H152" s="1473"/>
      <c r="I152" s="1473"/>
      <c r="J152" s="1473"/>
      <c r="K152" s="1473"/>
      <c r="L152" s="1473"/>
      <c r="M152" s="1566" t="s">
        <v>373</v>
      </c>
      <c r="N152" s="1566"/>
      <c r="O152" s="1566"/>
      <c r="P152" s="1566"/>
      <c r="Q152" s="1566"/>
      <c r="R152" s="1566">
        <v>1</v>
      </c>
      <c r="S152" s="1566"/>
      <c r="T152" s="1566"/>
      <c r="U152" s="1473"/>
      <c r="V152" s="1473"/>
      <c r="W152" s="1473"/>
      <c r="X152" s="1473"/>
      <c r="Y152" s="1473"/>
      <c r="Z152" s="1497"/>
      <c r="AA152" s="1497"/>
      <c r="AB152" s="1497"/>
      <c r="AC152" s="1497"/>
      <c r="AD152" s="1497"/>
      <c r="AE152" s="1497"/>
      <c r="AF152" s="1497"/>
      <c r="AG152" s="1497"/>
      <c r="AH152" s="1556"/>
      <c r="AI152" s="1556"/>
      <c r="AJ152" s="1556"/>
      <c r="AK152" s="1556"/>
      <c r="AL152" s="1556"/>
      <c r="AM152" s="1556"/>
      <c r="AN152" s="1497"/>
      <c r="AO152" s="1497"/>
      <c r="AP152" s="1497"/>
      <c r="AQ152" s="1497"/>
      <c r="AR152" s="1497"/>
      <c r="AS152" s="1497"/>
      <c r="AT152" s="1497"/>
      <c r="AU152" s="1497"/>
      <c r="AV152" s="1563"/>
      <c r="AW152" s="1563"/>
      <c r="AX152" s="1563"/>
      <c r="AY152" s="1563"/>
      <c r="AZ152" s="1563"/>
      <c r="BA152" s="1563"/>
      <c r="BB152" s="1563"/>
      <c r="BC152" s="1563"/>
      <c r="BD152" s="1568"/>
      <c r="BE152" s="1568"/>
      <c r="BF152" s="1568"/>
      <c r="BG152" s="1567"/>
      <c r="BH152" s="1567"/>
      <c r="BI152" s="1583"/>
      <c r="BJ152" s="1583"/>
      <c r="BK152" s="1583"/>
      <c r="BL152" s="1583"/>
      <c r="BM152" s="1586"/>
      <c r="BN152" s="1586"/>
      <c r="BO152" s="1586"/>
      <c r="BP152" s="1586"/>
      <c r="BQ152" s="1585"/>
      <c r="BR152" s="1585"/>
      <c r="BS152" s="1585"/>
      <c r="BT152" s="1585"/>
      <c r="BU152" s="1584" cm="1">
        <f t="array" aca="1" ref="BU152" ca="1">IF(M152="Default",1,IF(AND(C152="Portfolio loan - sub account",CF152=FALSE),0,IF(AND(AH152=2,AK152=1, VLOOKUP(U152,ApplicantList[],3,FALSE)="Non-applicant"),INDIRECT("ICApp" &amp; VLOOKUP(U152,ApplicantList[],2,FALSE) &amp; "HouseholdIncomeApportioningRatio"),IFERROR(MIN(ROUNDUP(MAX(SUM(Z152:AC157)+AN152,SUM(AD152:AG157)+AR152,(COUNTIF(Z152:AC157,"&gt;0")+AK152)/AH152),4),1),""))))</f>
        <v>1</v>
      </c>
      <c r="BV152" s="1584"/>
      <c r="BW152" s="1584"/>
      <c r="BX152" s="1584"/>
      <c r="BY152" s="1569">
        <f>IFERROR(ROUNDUP(CHOOSE(VLOOKUP(C152,ExistingShareableCommitmentTypeTable[],6,FALSE),MAX(BI152,PMT(CG152/12,CJ152,-AZ153))*BU152,MAX(BI152,(AZ153*CG152/12))*BU152,0,BI152*BU152,MAX(BI152,(AZ153*CG152))*BU152,AZ153*CG152*BU152,IF(CF152,MAX(CI152,PMT(CG152/12,240,-AZ153))*BU152,0)),2),0)</f>
        <v>0</v>
      </c>
      <c r="BZ152" s="1569"/>
      <c r="CA152" s="1569"/>
      <c r="CB152" s="1492"/>
      <c r="CC152" s="1306"/>
      <c r="CD152" s="654">
        <f ca="1">IFERROR(VLOOKUP(U152,ApplicantList[],2,FALSE),0)</f>
        <v>0</v>
      </c>
      <c r="CE152" s="1055">
        <f>IFERROR(MAX(AV152,AZ152),0)</f>
        <v>0</v>
      </c>
      <c r="CF152" s="1056" t="b">
        <f>IF(C152="Portfolio loan - sub account",IF(NOT(ISBLANK(BQ152)),IF(COUNTIF($BQ$140:$BQ$254,BQ152)&gt;1,IF(COUNTIFS(BQ$140:BQ152,BQ152,C$140:C152,"Portfolio loan - sub account")=1,TRUE,FALSE),TRUE),FALSE),FALSE)</f>
        <v>0</v>
      </c>
      <c r="CG152" s="1057">
        <f>IFERROR(IF(C152="",0,CHOOSE(VLOOKUP(C152,ExistingShareableCommitmentTypeTable[],7,FALSE),MAX(BD152+$BE$136,FloorRateMCAR,$CJ$136),MAX(BD152,VLOOKUP(C152,ExistingShareableCommitmentTypeTable[],2,FALSE)),VLOOKUP(C152,ExistingShareableCommitmentTypeTable[],2,FALSE),MAX(BD152+$BE$136,FloorRateMCIR,$CJ$136),MAX(CH152+$BE$136,FloorRateMCIR,$CJ$136))),0)</f>
        <v>0</v>
      </c>
      <c r="CH152" s="1057" cm="1">
        <f t="array" ref="CH152">_xlfn.AGGREGATE(14,4,($C$140:$C$259="Portfolio loan - sub account")*($BQ$140:$BQ$259=$BQ152)*$BD$140:$BD$259,1)</f>
        <v>0</v>
      </c>
      <c r="CI152" s="1061">
        <f>SUMIFS($BI$140:$BI$254,$BQ$140:$BQ$254,BQ152,$C$140:$C$254,"Portfolio loan - sub account")</f>
        <v>0</v>
      </c>
      <c r="CJ152" s="619" t="e">
        <f>IF(OR(BG152="",BG152=0),VLOOKUP(C152,ExistingShareableCommitmentTypeTable[],MATCH("DefaultTerm",ExistingShareableCommitmentTypeTable[#Headers],0),FALSE),BG152)</f>
        <v>#N/A</v>
      </c>
      <c r="CK152" s="530" t="str">
        <f>IFERROR(VLOOKUP($C152,ExistingShareableCommitmentTypeTable[],MATCH(CK$138,ExistingShareableCommitmentTypeTable[#Headers],0),FALSE),"No")</f>
        <v>No</v>
      </c>
      <c r="CL152" s="530" t="str">
        <f>IFERROR(VLOOKUP($C152,ExistingShareableCommitmentTypeTable[],MATCH(CL$138,ExistingShareableCommitmentTypeTable[#Headers],0),FALSE),"No")</f>
        <v>No</v>
      </c>
      <c r="CM152" s="530" t="str">
        <f>IFERROR(VLOOKUP($C152,ExistingShareableCommitmentTypeTable[],MATCH(CM$138,ExistingShareableCommitmentTypeTable[#Headers],0),FALSE),"No")</f>
        <v>No</v>
      </c>
    </row>
    <row r="153" spans="1:91" ht="18.75" hidden="1" customHeight="1" x14ac:dyDescent="0.25">
      <c r="A153" s="176"/>
      <c r="B153" s="77"/>
      <c r="C153" s="567"/>
      <c r="D153" s="568"/>
      <c r="E153" s="568"/>
      <c r="F153" s="568"/>
      <c r="G153" s="568"/>
      <c r="H153" s="568"/>
      <c r="I153" s="568"/>
      <c r="J153" s="568"/>
      <c r="K153" s="568"/>
      <c r="L153" s="568"/>
      <c r="M153" s="568"/>
      <c r="N153" s="568"/>
      <c r="O153" s="568"/>
      <c r="P153" s="568"/>
      <c r="Q153" s="568"/>
      <c r="R153" s="471"/>
      <c r="S153" s="471"/>
      <c r="T153" s="471"/>
      <c r="U153" s="1473"/>
      <c r="V153" s="1473"/>
      <c r="W153" s="1473"/>
      <c r="X153" s="1473"/>
      <c r="Y153" s="1473"/>
      <c r="Z153" s="1497"/>
      <c r="AA153" s="1497"/>
      <c r="AB153" s="1497"/>
      <c r="AC153" s="1497"/>
      <c r="AD153" s="1497"/>
      <c r="AE153" s="1497"/>
      <c r="AF153" s="1497"/>
      <c r="AG153" s="1497"/>
      <c r="AH153" s="541" t="b">
        <f>SUM(Z152:Z157,AN152)&gt;1</f>
        <v>0</v>
      </c>
      <c r="AI153" s="541" t="b">
        <f>SUM(AD152:AD157,AR152)&gt;1</f>
        <v>0</v>
      </c>
      <c r="AJ153" s="541" t="b">
        <f>AND(NOT(ISBLANK($AH152)),SUM($R152,$AK152)&gt;$AH152)</f>
        <v>0</v>
      </c>
      <c r="AK153" s="542"/>
      <c r="AL153" s="542"/>
      <c r="AM153" s="542"/>
      <c r="AN153" s="542"/>
      <c r="AO153" s="542"/>
      <c r="AP153" s="542"/>
      <c r="AQ153" s="542"/>
      <c r="AR153" s="542"/>
      <c r="AS153" s="542"/>
      <c r="AT153" s="542"/>
      <c r="AU153" s="542"/>
      <c r="AV153" s="1035"/>
      <c r="AW153" s="1035"/>
      <c r="AX153" s="1035"/>
      <c r="AY153" s="1035"/>
      <c r="AZ153" s="1564">
        <f>IFERROR(CHOOSE(VLOOKUP(C152,ExistingShareableCommitmentTypeTable[],8,FALSE),MAX(AV152,AZ152),AV152,SUMIFS($CE$140:$CE$254,$BQ$140:$BQ$254,BQ152,$C$140:$C$254,"Portfolio loan - sub account"),MAX(AV152,AZ152)-BM152),0)</f>
        <v>0</v>
      </c>
      <c r="BA153" s="1564"/>
      <c r="BB153" s="1564"/>
      <c r="BC153" s="1564"/>
      <c r="BD153" s="1582"/>
      <c r="BE153" s="1582"/>
      <c r="BF153" s="1582"/>
      <c r="BG153" s="1053"/>
      <c r="BH153" s="542"/>
      <c r="BI153" s="542"/>
      <c r="BJ153" s="542"/>
      <c r="BK153" s="542"/>
      <c r="BL153" s="542"/>
      <c r="BM153" s="542"/>
      <c r="BN153" s="542"/>
      <c r="BO153" s="542"/>
      <c r="BP153" s="542"/>
      <c r="BQ153" s="542"/>
      <c r="BR153" s="542"/>
      <c r="BS153" s="542"/>
      <c r="BT153" s="542"/>
      <c r="BU153" s="542"/>
      <c r="BV153" s="542"/>
      <c r="BW153" s="542"/>
      <c r="BX153" s="541"/>
      <c r="BY153" s="542"/>
      <c r="BZ153" s="542"/>
      <c r="CA153" s="542"/>
      <c r="CB153" s="542"/>
      <c r="CC153" s="550"/>
      <c r="CD153" s="654">
        <f ca="1">IFERROR(VLOOKUP(U153,ApplicantList[],2,FALSE),0)</f>
        <v>0</v>
      </c>
      <c r="CE153" s="1056"/>
      <c r="CF153" s="1056"/>
      <c r="CG153" s="1057"/>
      <c r="CH153" s="1057"/>
      <c r="CI153" s="398"/>
      <c r="CJ153" s="398"/>
    </row>
    <row r="154" spans="1:91" ht="18.75" hidden="1" customHeight="1" x14ac:dyDescent="0.25">
      <c r="A154" s="176"/>
      <c r="B154" s="78"/>
      <c r="C154" s="569"/>
      <c r="D154" s="570"/>
      <c r="E154" s="570"/>
      <c r="F154" s="570"/>
      <c r="G154" s="570"/>
      <c r="H154" s="570"/>
      <c r="I154" s="570"/>
      <c r="J154" s="570"/>
      <c r="K154" s="570"/>
      <c r="L154" s="570"/>
      <c r="M154" s="570"/>
      <c r="N154" s="570"/>
      <c r="O154" s="570"/>
      <c r="P154" s="570"/>
      <c r="Q154" s="570"/>
      <c r="R154" s="472"/>
      <c r="S154" s="472"/>
      <c r="T154" s="472"/>
      <c r="U154" s="1473"/>
      <c r="V154" s="1473"/>
      <c r="W154" s="1473"/>
      <c r="X154" s="1473"/>
      <c r="Y154" s="1473"/>
      <c r="Z154" s="1497"/>
      <c r="AA154" s="1497"/>
      <c r="AB154" s="1497"/>
      <c r="AC154" s="1497"/>
      <c r="AD154" s="1497"/>
      <c r="AE154" s="1497"/>
      <c r="AF154" s="1497"/>
      <c r="AG154" s="1497"/>
      <c r="AH154" s="544"/>
      <c r="AI154" s="541"/>
      <c r="AJ154" s="541"/>
      <c r="AK154" s="541"/>
      <c r="AL154" s="541"/>
      <c r="AM154" s="541"/>
      <c r="AN154" s="541"/>
      <c r="AO154" s="541"/>
      <c r="AP154" s="541"/>
      <c r="AQ154" s="541"/>
      <c r="AR154" s="541"/>
      <c r="AS154" s="541"/>
      <c r="AT154" s="541"/>
      <c r="AU154" s="541"/>
      <c r="AV154" s="1036"/>
      <c r="AW154" s="1036"/>
      <c r="AX154" s="1036"/>
      <c r="AY154" s="1036"/>
      <c r="AZ154" s="1559">
        <f>IFERROR(CHOOSE(VLOOKUP(C152,ExistingShareableCommitmentTypeTable[],9,FALSE),MAX(AV152,AZ152),0),0)</f>
        <v>0</v>
      </c>
      <c r="BA154" s="1559"/>
      <c r="BB154" s="1559"/>
      <c r="BC154" s="1559"/>
      <c r="BD154" s="541"/>
      <c r="BE154" s="541"/>
      <c r="BF154" s="541"/>
      <c r="BG154" s="541"/>
      <c r="BH154" s="541"/>
      <c r="BI154" s="541"/>
      <c r="BJ154" s="541"/>
      <c r="BK154" s="541"/>
      <c r="BL154" s="541"/>
      <c r="BM154" s="541"/>
      <c r="BN154" s="541"/>
      <c r="BO154" s="541"/>
      <c r="BP154" s="541"/>
      <c r="BQ154" s="541"/>
      <c r="BR154" s="541"/>
      <c r="BS154" s="541"/>
      <c r="BT154" s="541"/>
      <c r="BU154" s="541"/>
      <c r="BV154" s="541"/>
      <c r="BW154" s="541"/>
      <c r="BX154" s="541"/>
      <c r="BY154" s="541"/>
      <c r="BZ154" s="541"/>
      <c r="CA154" s="541"/>
      <c r="CB154" s="541"/>
      <c r="CC154" s="550"/>
      <c r="CD154" s="654">
        <f ca="1">IFERROR(VLOOKUP(U154,ApplicantList[],2,FALSE),0)</f>
        <v>0</v>
      </c>
      <c r="CE154" s="1056"/>
      <c r="CF154" s="1056"/>
      <c r="CG154" s="1057"/>
      <c r="CH154" s="1057"/>
      <c r="CI154" s="398"/>
      <c r="CJ154" s="398"/>
    </row>
    <row r="155" spans="1:91" ht="18.75" hidden="1" customHeight="1" x14ac:dyDescent="0.25">
      <c r="A155" s="176"/>
      <c r="B155" s="77"/>
      <c r="C155" s="569"/>
      <c r="D155" s="570"/>
      <c r="E155" s="570"/>
      <c r="F155" s="570"/>
      <c r="G155" s="570"/>
      <c r="H155" s="570"/>
      <c r="I155" s="570"/>
      <c r="J155" s="570"/>
      <c r="K155" s="570"/>
      <c r="L155" s="570"/>
      <c r="M155" s="570"/>
      <c r="N155" s="570"/>
      <c r="O155" s="570"/>
      <c r="P155" s="570"/>
      <c r="Q155" s="570"/>
      <c r="R155" s="472"/>
      <c r="S155" s="472"/>
      <c r="T155" s="472"/>
      <c r="U155" s="1473"/>
      <c r="V155" s="1473"/>
      <c r="W155" s="1473"/>
      <c r="X155" s="1473"/>
      <c r="Y155" s="1473"/>
      <c r="Z155" s="1497"/>
      <c r="AA155" s="1497"/>
      <c r="AB155" s="1497"/>
      <c r="AC155" s="1497"/>
      <c r="AD155" s="1497"/>
      <c r="AE155" s="1497"/>
      <c r="AF155" s="1497"/>
      <c r="AG155" s="1497"/>
      <c r="AH155" s="544"/>
      <c r="AI155" s="541"/>
      <c r="AJ155" s="541"/>
      <c r="AK155" s="541"/>
      <c r="AL155" s="541"/>
      <c r="AM155" s="541"/>
      <c r="AN155" s="541"/>
      <c r="AO155" s="541"/>
      <c r="AP155" s="541"/>
      <c r="AQ155" s="541"/>
      <c r="AR155" s="541"/>
      <c r="AS155" s="541"/>
      <c r="AT155" s="541"/>
      <c r="AU155" s="541"/>
      <c r="AV155" s="1036"/>
      <c r="AW155" s="1036"/>
      <c r="AX155" s="1036"/>
      <c r="AY155" s="1036"/>
      <c r="AZ155" s="1036"/>
      <c r="BA155" s="1036"/>
      <c r="BB155" s="1036"/>
      <c r="BC155" s="1036"/>
      <c r="BD155" s="541"/>
      <c r="BE155" s="541"/>
      <c r="BF155" s="541"/>
      <c r="BG155" s="541"/>
      <c r="BH155" s="541"/>
      <c r="BI155" s="541"/>
      <c r="BJ155" s="541"/>
      <c r="BK155" s="541"/>
      <c r="BL155" s="541"/>
      <c r="BM155" s="541"/>
      <c r="BN155" s="541"/>
      <c r="BO155" s="541"/>
      <c r="BP155" s="541"/>
      <c r="BQ155" s="541"/>
      <c r="BR155" s="541"/>
      <c r="BS155" s="541"/>
      <c r="BT155" s="541"/>
      <c r="BU155" s="541"/>
      <c r="BV155" s="541"/>
      <c r="BW155" s="541"/>
      <c r="BX155" s="541"/>
      <c r="BY155" s="541"/>
      <c r="BZ155" s="541"/>
      <c r="CA155" s="541"/>
      <c r="CB155" s="541"/>
      <c r="CC155" s="550"/>
      <c r="CD155" s="654">
        <f ca="1">IFERROR(VLOOKUP(U155,ApplicantList[],2,FALSE),0)</f>
        <v>0</v>
      </c>
      <c r="CE155" s="1056"/>
      <c r="CF155" s="1056"/>
      <c r="CG155" s="1057"/>
      <c r="CH155" s="1057"/>
      <c r="CI155" s="398"/>
      <c r="CJ155" s="398"/>
    </row>
    <row r="156" spans="1:91" ht="18.75" hidden="1" customHeight="1" x14ac:dyDescent="0.25">
      <c r="A156" s="175"/>
      <c r="B156" s="78"/>
      <c r="C156" s="569"/>
      <c r="D156" s="570"/>
      <c r="E156" s="570"/>
      <c r="F156" s="570"/>
      <c r="G156" s="570"/>
      <c r="H156" s="570"/>
      <c r="I156" s="570"/>
      <c r="J156" s="570"/>
      <c r="K156" s="570"/>
      <c r="L156" s="570"/>
      <c r="M156" s="570"/>
      <c r="N156" s="570"/>
      <c r="O156" s="570"/>
      <c r="P156" s="570"/>
      <c r="Q156" s="570"/>
      <c r="R156" s="472"/>
      <c r="S156" s="472"/>
      <c r="T156" s="472"/>
      <c r="U156" s="1473"/>
      <c r="V156" s="1473"/>
      <c r="W156" s="1473"/>
      <c r="X156" s="1473"/>
      <c r="Y156" s="1473"/>
      <c r="Z156" s="1497"/>
      <c r="AA156" s="1497"/>
      <c r="AB156" s="1497"/>
      <c r="AC156" s="1497"/>
      <c r="AD156" s="1497"/>
      <c r="AE156" s="1497"/>
      <c r="AF156" s="1497"/>
      <c r="AG156" s="1497"/>
      <c r="AH156" s="544"/>
      <c r="AI156" s="541"/>
      <c r="AJ156" s="541"/>
      <c r="AK156" s="541"/>
      <c r="AL156" s="541"/>
      <c r="AM156" s="541"/>
      <c r="AN156" s="541"/>
      <c r="AO156" s="541"/>
      <c r="AP156" s="541"/>
      <c r="AQ156" s="541"/>
      <c r="AR156" s="541"/>
      <c r="AS156" s="541"/>
      <c r="AT156" s="541"/>
      <c r="AU156" s="541"/>
      <c r="AV156" s="1036"/>
      <c r="AW156" s="1036"/>
      <c r="AX156" s="1036"/>
      <c r="AY156" s="1036"/>
      <c r="AZ156" s="1036"/>
      <c r="BA156" s="1036"/>
      <c r="BB156" s="1036"/>
      <c r="BC156" s="1036"/>
      <c r="BD156" s="541"/>
      <c r="BE156" s="541"/>
      <c r="BF156" s="541"/>
      <c r="BG156" s="541"/>
      <c r="BH156" s="541"/>
      <c r="BI156" s="541"/>
      <c r="BJ156" s="541"/>
      <c r="BK156" s="541"/>
      <c r="BL156" s="541"/>
      <c r="BM156" s="541"/>
      <c r="BN156" s="541"/>
      <c r="BO156" s="541"/>
      <c r="BP156" s="541"/>
      <c r="BQ156" s="541"/>
      <c r="BR156" s="541"/>
      <c r="BS156" s="541"/>
      <c r="BT156" s="541"/>
      <c r="BU156" s="541"/>
      <c r="BV156" s="541"/>
      <c r="BW156" s="541"/>
      <c r="BX156" s="541"/>
      <c r="BY156" s="541"/>
      <c r="BZ156" s="541"/>
      <c r="CA156" s="541"/>
      <c r="CB156" s="541"/>
      <c r="CC156" s="550"/>
      <c r="CD156" s="654">
        <f ca="1">IFERROR(VLOOKUP(U156,ApplicantList[],2,FALSE),0)</f>
        <v>0</v>
      </c>
      <c r="CE156" s="1056"/>
      <c r="CF156" s="1056"/>
      <c r="CG156" s="1057"/>
      <c r="CH156" s="1057"/>
      <c r="CI156" s="398"/>
      <c r="CJ156" s="398"/>
    </row>
    <row r="157" spans="1:91" ht="18.75" hidden="1" customHeight="1" x14ac:dyDescent="0.25">
      <c r="A157" s="176"/>
      <c r="B157" s="77"/>
      <c r="C157" s="571"/>
      <c r="D157" s="572"/>
      <c r="E157" s="572"/>
      <c r="F157" s="572"/>
      <c r="G157" s="572"/>
      <c r="H157" s="572"/>
      <c r="I157" s="572"/>
      <c r="J157" s="572"/>
      <c r="K157" s="572"/>
      <c r="L157" s="572"/>
      <c r="M157" s="572"/>
      <c r="N157" s="572"/>
      <c r="O157" s="572"/>
      <c r="P157" s="572"/>
      <c r="Q157" s="572"/>
      <c r="R157" s="473"/>
      <c r="S157" s="473"/>
      <c r="T157" s="473"/>
      <c r="U157" s="1473"/>
      <c r="V157" s="1473"/>
      <c r="W157" s="1473"/>
      <c r="X157" s="1473"/>
      <c r="Y157" s="1473"/>
      <c r="Z157" s="1497"/>
      <c r="AA157" s="1497"/>
      <c r="AB157" s="1497"/>
      <c r="AC157" s="1497"/>
      <c r="AD157" s="1497"/>
      <c r="AE157" s="1497"/>
      <c r="AF157" s="1497"/>
      <c r="AG157" s="1497"/>
      <c r="AH157" s="547"/>
      <c r="AI157" s="548"/>
      <c r="AJ157" s="548"/>
      <c r="AK157" s="548"/>
      <c r="AL157" s="548"/>
      <c r="AM157" s="548"/>
      <c r="AN157" s="548"/>
      <c r="AO157" s="548"/>
      <c r="AP157" s="548"/>
      <c r="AQ157" s="548"/>
      <c r="AR157" s="548"/>
      <c r="AS157" s="548"/>
      <c r="AT157" s="548"/>
      <c r="AU157" s="548"/>
      <c r="AV157" s="1037"/>
      <c r="AW157" s="1037"/>
      <c r="AX157" s="1037"/>
      <c r="AY157" s="1037"/>
      <c r="AZ157" s="1037"/>
      <c r="BA157" s="1037"/>
      <c r="BB157" s="1037"/>
      <c r="BC157" s="1037"/>
      <c r="BD157" s="548"/>
      <c r="BE157" s="548"/>
      <c r="BF157" s="548"/>
      <c r="BG157" s="548"/>
      <c r="BH157" s="548"/>
      <c r="BI157" s="548"/>
      <c r="BJ157" s="548"/>
      <c r="BK157" s="548"/>
      <c r="BL157" s="548"/>
      <c r="BM157" s="548"/>
      <c r="BN157" s="548"/>
      <c r="BO157" s="548"/>
      <c r="BP157" s="548"/>
      <c r="BQ157" s="548"/>
      <c r="BR157" s="548"/>
      <c r="BS157" s="548"/>
      <c r="BT157" s="548"/>
      <c r="BU157" s="548"/>
      <c r="BV157" s="548"/>
      <c r="BW157" s="548"/>
      <c r="BX157" s="548"/>
      <c r="BY157" s="548"/>
      <c r="BZ157" s="548"/>
      <c r="CA157" s="548"/>
      <c r="CB157" s="548"/>
      <c r="CC157" s="550"/>
      <c r="CD157" s="654">
        <f ca="1">IFERROR(VLOOKUP(U157,ApplicantList[],2,FALSE),0)</f>
        <v>0</v>
      </c>
      <c r="CE157" s="1056"/>
      <c r="CF157" s="1056"/>
      <c r="CG157" s="1057"/>
      <c r="CH157" s="1057"/>
      <c r="CI157" s="398"/>
      <c r="CJ157" s="398"/>
    </row>
    <row r="158" spans="1:91" ht="18.75" hidden="1" customHeight="1" x14ac:dyDescent="0.25">
      <c r="A158" s="176">
        <v>4</v>
      </c>
      <c r="B158" s="78"/>
      <c r="C158" s="1473"/>
      <c r="D158" s="1473"/>
      <c r="E158" s="1473"/>
      <c r="F158" s="1473"/>
      <c r="G158" s="1473"/>
      <c r="H158" s="1473"/>
      <c r="I158" s="1473"/>
      <c r="J158" s="1473"/>
      <c r="K158" s="1473"/>
      <c r="L158" s="1473"/>
      <c r="M158" s="1566" t="s">
        <v>373</v>
      </c>
      <c r="N158" s="1566"/>
      <c r="O158" s="1566"/>
      <c r="P158" s="1566"/>
      <c r="Q158" s="1566"/>
      <c r="R158" s="1566">
        <v>1</v>
      </c>
      <c r="S158" s="1566"/>
      <c r="T158" s="1566"/>
      <c r="U158" s="1473"/>
      <c r="V158" s="1473"/>
      <c r="W158" s="1473"/>
      <c r="X158" s="1473"/>
      <c r="Y158" s="1473"/>
      <c r="Z158" s="1497"/>
      <c r="AA158" s="1497"/>
      <c r="AB158" s="1497"/>
      <c r="AC158" s="1497"/>
      <c r="AD158" s="1497"/>
      <c r="AE158" s="1497"/>
      <c r="AF158" s="1497"/>
      <c r="AG158" s="1497"/>
      <c r="AH158" s="1556"/>
      <c r="AI158" s="1556"/>
      <c r="AJ158" s="1556"/>
      <c r="AK158" s="1556"/>
      <c r="AL158" s="1556"/>
      <c r="AM158" s="1556"/>
      <c r="AN158" s="1497"/>
      <c r="AO158" s="1497"/>
      <c r="AP158" s="1497"/>
      <c r="AQ158" s="1497"/>
      <c r="AR158" s="1497"/>
      <c r="AS158" s="1497"/>
      <c r="AT158" s="1497"/>
      <c r="AU158" s="1497"/>
      <c r="AV158" s="1563"/>
      <c r="AW158" s="1563"/>
      <c r="AX158" s="1563"/>
      <c r="AY158" s="1563"/>
      <c r="AZ158" s="1563"/>
      <c r="BA158" s="1563"/>
      <c r="BB158" s="1563"/>
      <c r="BC158" s="1563"/>
      <c r="BD158" s="1568"/>
      <c r="BE158" s="1568"/>
      <c r="BF158" s="1568"/>
      <c r="BG158" s="1567"/>
      <c r="BH158" s="1567"/>
      <c r="BI158" s="1583"/>
      <c r="BJ158" s="1583"/>
      <c r="BK158" s="1583"/>
      <c r="BL158" s="1583"/>
      <c r="BM158" s="1586"/>
      <c r="BN158" s="1586"/>
      <c r="BO158" s="1586"/>
      <c r="BP158" s="1586"/>
      <c r="BQ158" s="1585"/>
      <c r="BR158" s="1585"/>
      <c r="BS158" s="1585"/>
      <c r="BT158" s="1585"/>
      <c r="BU158" s="1584" cm="1">
        <f t="array" aca="1" ref="BU158" ca="1">IF(M158="Default",1,IF(AND(C158="Portfolio loan - sub account",CF158=FALSE),0,IF(AND(AH158=2,AK158=1, VLOOKUP(U158,ApplicantList[],3,FALSE)="Non-applicant"),INDIRECT("ICApp" &amp; VLOOKUP(U158,ApplicantList[],2,FALSE) &amp; "HouseholdIncomeApportioningRatio"),IFERROR(MIN(ROUNDUP(MAX(SUM(Z158:AC163)+AN158,SUM(AD158:AG163)+AR158,(COUNTIF(Z158:AC163,"&gt;0")+AK158)/AH158),4),1),""))))</f>
        <v>1</v>
      </c>
      <c r="BV158" s="1584"/>
      <c r="BW158" s="1584"/>
      <c r="BX158" s="1584"/>
      <c r="BY158" s="1569">
        <f>IFERROR(ROUNDUP(CHOOSE(VLOOKUP(C158,ExistingShareableCommitmentTypeTable[],6,FALSE),MAX(BI158,PMT(CG158/12,CJ158,-AZ159))*BU158,MAX(BI158,(AZ159*CG158/12))*BU158,0,BI158*BU158,MAX(BI158,(AZ159*CG158))*BU158,AZ159*CG158*BU158,IF(CF158,MAX(CI158,PMT(CG158/12,240,-AZ159))*BU158,0)),2),0)</f>
        <v>0</v>
      </c>
      <c r="BZ158" s="1569"/>
      <c r="CA158" s="1569"/>
      <c r="CB158" s="1492"/>
      <c r="CC158" s="1306"/>
      <c r="CD158" s="654">
        <f ca="1">IFERROR(VLOOKUP(U158,ApplicantList[],2,FALSE),0)</f>
        <v>0</v>
      </c>
      <c r="CE158" s="1055">
        <f>IFERROR(MAX(AV158,AZ158),0)</f>
        <v>0</v>
      </c>
      <c r="CF158" s="1056" t="b">
        <f>IF(C158="Portfolio loan - sub account",IF(NOT(ISBLANK(BQ158)),IF(COUNTIF($BQ$140:$BQ$254,BQ158)&gt;1,IF(COUNTIFS(BQ$140:BQ158,BQ158,C$140:C158,"Portfolio loan - sub account")=1,TRUE,FALSE),TRUE),FALSE),FALSE)</f>
        <v>0</v>
      </c>
      <c r="CG158" s="1057">
        <f>IFERROR(IF(C158="",0,CHOOSE(VLOOKUP(C158,ExistingShareableCommitmentTypeTable[],7,FALSE),MAX(BD158+$BE$136,FloorRateMCAR,$CJ$136),MAX(BD158,VLOOKUP(C158,ExistingShareableCommitmentTypeTable[],2,FALSE)),VLOOKUP(C158,ExistingShareableCommitmentTypeTable[],2,FALSE),MAX(BD158+$BE$136,FloorRateMCIR,$CJ$136),MAX(CH158+$BE$136,FloorRateMCIR,$CJ$136))),0)</f>
        <v>0</v>
      </c>
      <c r="CH158" s="1057" cm="1">
        <f t="array" ref="CH158">_xlfn.AGGREGATE(14,4,($C$140:$C$259="Portfolio loan - sub account")*($BQ$140:$BQ$259=$BQ158)*$BD$140:$BD$259,1)</f>
        <v>0</v>
      </c>
      <c r="CI158" s="1061">
        <f>SUMIFS($BI$140:$BI$254,$BQ$140:$BQ$254,BQ158,$C$140:$C$254,"Portfolio loan - sub account")</f>
        <v>0</v>
      </c>
      <c r="CJ158" s="619" t="e">
        <f>IF(OR(BG158="",BG158=0),VLOOKUP(C158,ExistingShareableCommitmentTypeTable[],MATCH("DefaultTerm",ExistingShareableCommitmentTypeTable[#Headers],0),FALSE),BG158)</f>
        <v>#N/A</v>
      </c>
      <c r="CK158" s="530" t="str">
        <f>IFERROR(VLOOKUP($C158,ExistingShareableCommitmentTypeTable[],MATCH(CK$138,ExistingShareableCommitmentTypeTable[#Headers],0),FALSE),"No")</f>
        <v>No</v>
      </c>
      <c r="CL158" s="530" t="str">
        <f>IFERROR(VLOOKUP($C158,ExistingShareableCommitmentTypeTable[],MATCH(CL$138,ExistingShareableCommitmentTypeTable[#Headers],0),FALSE),"No")</f>
        <v>No</v>
      </c>
      <c r="CM158" s="530" t="str">
        <f>IFERROR(VLOOKUP($C158,ExistingShareableCommitmentTypeTable[],MATCH(CM$138,ExistingShareableCommitmentTypeTable[#Headers],0),FALSE),"No")</f>
        <v>No</v>
      </c>
    </row>
    <row r="159" spans="1:91" ht="18.75" hidden="1" customHeight="1" x14ac:dyDescent="0.25">
      <c r="A159" s="176"/>
      <c r="B159" s="77"/>
      <c r="C159" s="567"/>
      <c r="D159" s="568"/>
      <c r="E159" s="568"/>
      <c r="F159" s="568"/>
      <c r="G159" s="568"/>
      <c r="H159" s="568"/>
      <c r="I159" s="568"/>
      <c r="J159" s="568"/>
      <c r="K159" s="568"/>
      <c r="L159" s="568"/>
      <c r="M159" s="568"/>
      <c r="N159" s="568"/>
      <c r="O159" s="568"/>
      <c r="P159" s="568"/>
      <c r="Q159" s="568"/>
      <c r="R159" s="471"/>
      <c r="S159" s="471"/>
      <c r="T159" s="471"/>
      <c r="U159" s="1473"/>
      <c r="V159" s="1473"/>
      <c r="W159" s="1473"/>
      <c r="X159" s="1473"/>
      <c r="Y159" s="1473"/>
      <c r="Z159" s="1497"/>
      <c r="AA159" s="1497"/>
      <c r="AB159" s="1497"/>
      <c r="AC159" s="1497"/>
      <c r="AD159" s="1497"/>
      <c r="AE159" s="1497"/>
      <c r="AF159" s="1497"/>
      <c r="AG159" s="1497"/>
      <c r="AH159" s="541" t="b">
        <f>SUM(Z158:Z163,AN158)&gt;1</f>
        <v>0</v>
      </c>
      <c r="AI159" s="541" t="b">
        <f>SUM(AD158:AD163,AR158)&gt;1</f>
        <v>0</v>
      </c>
      <c r="AJ159" s="541" t="b">
        <f>AND(NOT(ISBLANK($AH158)),SUM($R158,$AK158)&gt;$AH158)</f>
        <v>0</v>
      </c>
      <c r="AK159" s="542"/>
      <c r="AL159" s="542"/>
      <c r="AM159" s="542"/>
      <c r="AN159" s="542"/>
      <c r="AO159" s="542"/>
      <c r="AP159" s="542"/>
      <c r="AQ159" s="542"/>
      <c r="AR159" s="542"/>
      <c r="AS159" s="542"/>
      <c r="AT159" s="542"/>
      <c r="AU159" s="542"/>
      <c r="AV159" s="1035"/>
      <c r="AW159" s="1035"/>
      <c r="AX159" s="1035"/>
      <c r="AY159" s="1035"/>
      <c r="AZ159" s="1564">
        <f>IFERROR(CHOOSE(VLOOKUP(C158,ExistingShareableCommitmentTypeTable[],8,FALSE),MAX(AV158,AZ158),AV158,SUMIFS($CE$140:$CE$254,$BQ$140:$BQ$254,BQ158,$C$140:$C$254,"Portfolio loan - sub account"),MAX(AV158,AZ158)-BM158),0)</f>
        <v>0</v>
      </c>
      <c r="BA159" s="1564"/>
      <c r="BB159" s="1564"/>
      <c r="BC159" s="1564"/>
      <c r="BD159" s="1582"/>
      <c r="BE159" s="1582"/>
      <c r="BF159" s="1582"/>
      <c r="BG159" s="1053"/>
      <c r="BH159" s="542"/>
      <c r="BI159" s="542"/>
      <c r="BJ159" s="542"/>
      <c r="BK159" s="542"/>
      <c r="BL159" s="542"/>
      <c r="BM159" s="542"/>
      <c r="BN159" s="542"/>
      <c r="BO159" s="542"/>
      <c r="BP159" s="542"/>
      <c r="BQ159" s="542"/>
      <c r="BR159" s="542"/>
      <c r="BS159" s="542"/>
      <c r="BT159" s="542"/>
      <c r="BU159" s="542"/>
      <c r="BV159" s="542"/>
      <c r="BW159" s="542"/>
      <c r="BX159" s="541"/>
      <c r="BY159" s="542"/>
      <c r="BZ159" s="542"/>
      <c r="CA159" s="542"/>
      <c r="CB159" s="542"/>
      <c r="CC159" s="550"/>
      <c r="CD159" s="654">
        <f ca="1">IFERROR(VLOOKUP(U159,ApplicantList[],2,FALSE),0)</f>
        <v>0</v>
      </c>
      <c r="CE159" s="1056"/>
      <c r="CF159" s="1056"/>
      <c r="CG159" s="1057"/>
      <c r="CH159" s="1057"/>
      <c r="CI159" s="398"/>
      <c r="CJ159" s="398"/>
    </row>
    <row r="160" spans="1:91" ht="18.75" hidden="1" customHeight="1" x14ac:dyDescent="0.25">
      <c r="A160" s="175"/>
      <c r="B160" s="78"/>
      <c r="C160" s="569"/>
      <c r="D160" s="570"/>
      <c r="E160" s="570"/>
      <c r="F160" s="570"/>
      <c r="G160" s="570"/>
      <c r="H160" s="570"/>
      <c r="I160" s="570"/>
      <c r="J160" s="570"/>
      <c r="K160" s="570"/>
      <c r="L160" s="570"/>
      <c r="M160" s="570"/>
      <c r="N160" s="570"/>
      <c r="O160" s="570"/>
      <c r="P160" s="570"/>
      <c r="Q160" s="570"/>
      <c r="R160" s="472"/>
      <c r="S160" s="472"/>
      <c r="T160" s="472"/>
      <c r="U160" s="1473"/>
      <c r="V160" s="1473"/>
      <c r="W160" s="1473"/>
      <c r="X160" s="1473"/>
      <c r="Y160" s="1473"/>
      <c r="Z160" s="1497"/>
      <c r="AA160" s="1497"/>
      <c r="AB160" s="1497"/>
      <c r="AC160" s="1497"/>
      <c r="AD160" s="1497"/>
      <c r="AE160" s="1497"/>
      <c r="AF160" s="1497"/>
      <c r="AG160" s="1497"/>
      <c r="AH160" s="544"/>
      <c r="AI160" s="541"/>
      <c r="AJ160" s="541"/>
      <c r="AK160" s="541"/>
      <c r="AL160" s="541"/>
      <c r="AM160" s="541"/>
      <c r="AN160" s="541"/>
      <c r="AO160" s="541"/>
      <c r="AP160" s="541"/>
      <c r="AQ160" s="541"/>
      <c r="AR160" s="541"/>
      <c r="AS160" s="541"/>
      <c r="AT160" s="541"/>
      <c r="AU160" s="541"/>
      <c r="AV160" s="1036"/>
      <c r="AW160" s="1036"/>
      <c r="AX160" s="1036"/>
      <c r="AY160" s="1036"/>
      <c r="AZ160" s="1559">
        <f>IFERROR(CHOOSE(VLOOKUP(C158,ExistingShareableCommitmentTypeTable[],9,FALSE),MAX(AV158,AZ158),0),0)</f>
        <v>0</v>
      </c>
      <c r="BA160" s="1559"/>
      <c r="BB160" s="1559"/>
      <c r="BC160" s="1559"/>
      <c r="BD160" s="541"/>
      <c r="BE160" s="541"/>
      <c r="BF160" s="541"/>
      <c r="BG160" s="541"/>
      <c r="BH160" s="541"/>
      <c r="BI160" s="541"/>
      <c r="BJ160" s="541"/>
      <c r="BK160" s="541"/>
      <c r="BL160" s="541"/>
      <c r="BM160" s="541"/>
      <c r="BN160" s="541"/>
      <c r="BO160" s="541"/>
      <c r="BP160" s="541"/>
      <c r="BQ160" s="541"/>
      <c r="BR160" s="541"/>
      <c r="BS160" s="541"/>
      <c r="BT160" s="541"/>
      <c r="BU160" s="541"/>
      <c r="BV160" s="541"/>
      <c r="BW160" s="541"/>
      <c r="BX160" s="541"/>
      <c r="BY160" s="541"/>
      <c r="BZ160" s="541"/>
      <c r="CA160" s="541"/>
      <c r="CB160" s="541"/>
      <c r="CC160" s="550"/>
      <c r="CD160" s="654">
        <f ca="1">IFERROR(VLOOKUP(U160,ApplicantList[],2,FALSE),0)</f>
        <v>0</v>
      </c>
      <c r="CE160" s="1056"/>
      <c r="CF160" s="1056"/>
      <c r="CG160" s="1057"/>
      <c r="CH160" s="1057"/>
      <c r="CI160" s="398"/>
      <c r="CJ160" s="398"/>
    </row>
    <row r="161" spans="1:91" ht="18.75" hidden="1" customHeight="1" x14ac:dyDescent="0.25">
      <c r="A161" s="176"/>
      <c r="B161" s="77"/>
      <c r="C161" s="569"/>
      <c r="D161" s="570"/>
      <c r="E161" s="570"/>
      <c r="F161" s="570"/>
      <c r="G161" s="570"/>
      <c r="H161" s="570"/>
      <c r="I161" s="570"/>
      <c r="J161" s="570"/>
      <c r="K161" s="570"/>
      <c r="L161" s="570"/>
      <c r="M161" s="570"/>
      <c r="N161" s="570"/>
      <c r="O161" s="570"/>
      <c r="P161" s="570"/>
      <c r="Q161" s="570"/>
      <c r="R161" s="472"/>
      <c r="S161" s="472"/>
      <c r="T161" s="472"/>
      <c r="U161" s="1473"/>
      <c r="V161" s="1473"/>
      <c r="W161" s="1473"/>
      <c r="X161" s="1473"/>
      <c r="Y161" s="1473"/>
      <c r="Z161" s="1497"/>
      <c r="AA161" s="1497"/>
      <c r="AB161" s="1497"/>
      <c r="AC161" s="1497"/>
      <c r="AD161" s="1497"/>
      <c r="AE161" s="1497"/>
      <c r="AF161" s="1497"/>
      <c r="AG161" s="1497"/>
      <c r="AH161" s="544"/>
      <c r="AI161" s="541"/>
      <c r="AJ161" s="541"/>
      <c r="AK161" s="541"/>
      <c r="AL161" s="541"/>
      <c r="AM161" s="541"/>
      <c r="AN161" s="541"/>
      <c r="AO161" s="541"/>
      <c r="AP161" s="541"/>
      <c r="AQ161" s="541"/>
      <c r="AR161" s="541"/>
      <c r="AS161" s="541"/>
      <c r="AT161" s="541"/>
      <c r="AU161" s="541"/>
      <c r="AV161" s="1036"/>
      <c r="AW161" s="1036"/>
      <c r="AX161" s="1036"/>
      <c r="AY161" s="1036"/>
      <c r="AZ161" s="1036"/>
      <c r="BA161" s="1036"/>
      <c r="BB161" s="1036"/>
      <c r="BC161" s="1036"/>
      <c r="BD161" s="541"/>
      <c r="BE161" s="541"/>
      <c r="BF161" s="541"/>
      <c r="BG161" s="541"/>
      <c r="BH161" s="541"/>
      <c r="BI161" s="541"/>
      <c r="BJ161" s="541"/>
      <c r="BK161" s="541"/>
      <c r="BL161" s="541"/>
      <c r="BM161" s="541"/>
      <c r="BN161" s="541"/>
      <c r="BO161" s="541"/>
      <c r="BP161" s="541"/>
      <c r="BQ161" s="541"/>
      <c r="BR161" s="541"/>
      <c r="BS161" s="541"/>
      <c r="BT161" s="541"/>
      <c r="BU161" s="541"/>
      <c r="BV161" s="541"/>
      <c r="BW161" s="541"/>
      <c r="BX161" s="541"/>
      <c r="BY161" s="541"/>
      <c r="BZ161" s="541"/>
      <c r="CA161" s="541"/>
      <c r="CB161" s="541"/>
      <c r="CC161" s="550"/>
      <c r="CD161" s="654">
        <f ca="1">IFERROR(VLOOKUP(U161,ApplicantList[],2,FALSE),0)</f>
        <v>0</v>
      </c>
      <c r="CE161" s="1056"/>
      <c r="CF161" s="1056"/>
      <c r="CG161" s="1057"/>
      <c r="CH161" s="1057"/>
      <c r="CI161" s="398"/>
      <c r="CJ161" s="398"/>
    </row>
    <row r="162" spans="1:91" ht="18.75" hidden="1" customHeight="1" x14ac:dyDescent="0.25">
      <c r="A162" s="176"/>
      <c r="B162" s="78"/>
      <c r="C162" s="569"/>
      <c r="D162" s="570"/>
      <c r="E162" s="570"/>
      <c r="F162" s="570"/>
      <c r="G162" s="570"/>
      <c r="H162" s="570"/>
      <c r="I162" s="570"/>
      <c r="J162" s="570"/>
      <c r="K162" s="570"/>
      <c r="L162" s="570"/>
      <c r="M162" s="570"/>
      <c r="N162" s="570"/>
      <c r="O162" s="570"/>
      <c r="P162" s="570"/>
      <c r="Q162" s="570"/>
      <c r="R162" s="472"/>
      <c r="S162" s="472"/>
      <c r="T162" s="472"/>
      <c r="U162" s="1473"/>
      <c r="V162" s="1473"/>
      <c r="W162" s="1473"/>
      <c r="X162" s="1473"/>
      <c r="Y162" s="1473"/>
      <c r="Z162" s="1497"/>
      <c r="AA162" s="1497"/>
      <c r="AB162" s="1497"/>
      <c r="AC162" s="1497"/>
      <c r="AD162" s="1497"/>
      <c r="AE162" s="1497"/>
      <c r="AF162" s="1497"/>
      <c r="AG162" s="1497"/>
      <c r="AH162" s="544"/>
      <c r="AI162" s="541"/>
      <c r="AJ162" s="541"/>
      <c r="AK162" s="541"/>
      <c r="AL162" s="541"/>
      <c r="AM162" s="541"/>
      <c r="AN162" s="541"/>
      <c r="AO162" s="541"/>
      <c r="AP162" s="541"/>
      <c r="AQ162" s="541"/>
      <c r="AR162" s="541"/>
      <c r="AS162" s="541"/>
      <c r="AT162" s="541"/>
      <c r="AU162" s="541"/>
      <c r="AV162" s="1036"/>
      <c r="AW162" s="1036"/>
      <c r="AX162" s="1036"/>
      <c r="AY162" s="1036"/>
      <c r="AZ162" s="1036"/>
      <c r="BA162" s="1036"/>
      <c r="BB162" s="1036"/>
      <c r="BC162" s="1036"/>
      <c r="BD162" s="541"/>
      <c r="BE162" s="541"/>
      <c r="BF162" s="541"/>
      <c r="BG162" s="541"/>
      <c r="BH162" s="541"/>
      <c r="BI162" s="541"/>
      <c r="BJ162" s="541"/>
      <c r="BK162" s="541"/>
      <c r="BL162" s="541"/>
      <c r="BM162" s="541"/>
      <c r="BN162" s="541"/>
      <c r="BO162" s="541"/>
      <c r="BP162" s="541"/>
      <c r="BQ162" s="541"/>
      <c r="BR162" s="541"/>
      <c r="BS162" s="541"/>
      <c r="BT162" s="541"/>
      <c r="BU162" s="541"/>
      <c r="BV162" s="541"/>
      <c r="BW162" s="541"/>
      <c r="BX162" s="541"/>
      <c r="BY162" s="541"/>
      <c r="BZ162" s="541"/>
      <c r="CA162" s="541"/>
      <c r="CB162" s="541"/>
      <c r="CC162" s="550"/>
      <c r="CD162" s="654">
        <f ca="1">IFERROR(VLOOKUP(U162,ApplicantList[],2,FALSE),0)</f>
        <v>0</v>
      </c>
      <c r="CE162" s="1056"/>
      <c r="CF162" s="1056"/>
      <c r="CG162" s="1057"/>
      <c r="CH162" s="1057"/>
      <c r="CI162" s="398"/>
      <c r="CJ162" s="398"/>
    </row>
    <row r="163" spans="1:91" ht="18.75" hidden="1" customHeight="1" x14ac:dyDescent="0.25">
      <c r="A163" s="176"/>
      <c r="B163" s="77"/>
      <c r="C163" s="571"/>
      <c r="D163" s="572"/>
      <c r="E163" s="572"/>
      <c r="F163" s="572"/>
      <c r="G163" s="572"/>
      <c r="H163" s="572"/>
      <c r="I163" s="572"/>
      <c r="J163" s="572"/>
      <c r="K163" s="572"/>
      <c r="L163" s="572"/>
      <c r="M163" s="572"/>
      <c r="N163" s="572"/>
      <c r="O163" s="572"/>
      <c r="P163" s="572"/>
      <c r="Q163" s="572"/>
      <c r="R163" s="473"/>
      <c r="S163" s="473"/>
      <c r="T163" s="473"/>
      <c r="U163" s="1473"/>
      <c r="V163" s="1473"/>
      <c r="W163" s="1473"/>
      <c r="X163" s="1473"/>
      <c r="Y163" s="1473"/>
      <c r="Z163" s="1497"/>
      <c r="AA163" s="1497"/>
      <c r="AB163" s="1497"/>
      <c r="AC163" s="1497"/>
      <c r="AD163" s="1497"/>
      <c r="AE163" s="1497"/>
      <c r="AF163" s="1497"/>
      <c r="AG163" s="1497"/>
      <c r="AH163" s="547"/>
      <c r="AI163" s="548"/>
      <c r="AJ163" s="548"/>
      <c r="AK163" s="548"/>
      <c r="AL163" s="548"/>
      <c r="AM163" s="548"/>
      <c r="AN163" s="548"/>
      <c r="AO163" s="548"/>
      <c r="AP163" s="548"/>
      <c r="AQ163" s="548"/>
      <c r="AR163" s="548"/>
      <c r="AS163" s="548"/>
      <c r="AT163" s="548"/>
      <c r="AU163" s="548"/>
      <c r="AV163" s="1037"/>
      <c r="AW163" s="1037"/>
      <c r="AX163" s="1037"/>
      <c r="AY163" s="1037"/>
      <c r="AZ163" s="1037"/>
      <c r="BA163" s="1037"/>
      <c r="BB163" s="1037"/>
      <c r="BC163" s="1037"/>
      <c r="BD163" s="548"/>
      <c r="BE163" s="548"/>
      <c r="BF163" s="548"/>
      <c r="BG163" s="548"/>
      <c r="BH163" s="548"/>
      <c r="BI163" s="548"/>
      <c r="BJ163" s="548"/>
      <c r="BK163" s="548"/>
      <c r="BL163" s="548"/>
      <c r="BM163" s="548"/>
      <c r="BN163" s="548"/>
      <c r="BO163" s="548"/>
      <c r="BP163" s="548"/>
      <c r="BQ163" s="548"/>
      <c r="BR163" s="548"/>
      <c r="BS163" s="548"/>
      <c r="BT163" s="548"/>
      <c r="BU163" s="548"/>
      <c r="BV163" s="548"/>
      <c r="BW163" s="548"/>
      <c r="BX163" s="548"/>
      <c r="BY163" s="548"/>
      <c r="BZ163" s="548"/>
      <c r="CA163" s="548"/>
      <c r="CB163" s="548"/>
      <c r="CC163" s="550"/>
      <c r="CD163" s="654">
        <f ca="1">IFERROR(VLOOKUP(U163,ApplicantList[],2,FALSE),0)</f>
        <v>0</v>
      </c>
      <c r="CE163" s="1056"/>
      <c r="CF163" s="1056"/>
      <c r="CG163" s="1057"/>
      <c r="CH163" s="1057"/>
      <c r="CI163" s="398"/>
      <c r="CJ163" s="398"/>
    </row>
    <row r="164" spans="1:91" ht="18.75" hidden="1" customHeight="1" x14ac:dyDescent="0.25">
      <c r="A164" s="175">
        <v>5</v>
      </c>
      <c r="B164" s="78"/>
      <c r="C164" s="1473"/>
      <c r="D164" s="1473"/>
      <c r="E164" s="1473"/>
      <c r="F164" s="1473"/>
      <c r="G164" s="1473"/>
      <c r="H164" s="1473"/>
      <c r="I164" s="1473"/>
      <c r="J164" s="1473"/>
      <c r="K164" s="1473"/>
      <c r="L164" s="1473"/>
      <c r="M164" s="1566" t="s">
        <v>373</v>
      </c>
      <c r="N164" s="1566"/>
      <c r="O164" s="1566"/>
      <c r="P164" s="1566"/>
      <c r="Q164" s="1566"/>
      <c r="R164" s="1566">
        <v>1</v>
      </c>
      <c r="S164" s="1566"/>
      <c r="T164" s="1566"/>
      <c r="U164" s="1473"/>
      <c r="V164" s="1473"/>
      <c r="W164" s="1473"/>
      <c r="X164" s="1473"/>
      <c r="Y164" s="1473"/>
      <c r="Z164" s="1497"/>
      <c r="AA164" s="1497"/>
      <c r="AB164" s="1497"/>
      <c r="AC164" s="1497"/>
      <c r="AD164" s="1497"/>
      <c r="AE164" s="1497"/>
      <c r="AF164" s="1497"/>
      <c r="AG164" s="1497"/>
      <c r="AH164" s="1556"/>
      <c r="AI164" s="1556"/>
      <c r="AJ164" s="1556"/>
      <c r="AK164" s="1556"/>
      <c r="AL164" s="1556"/>
      <c r="AM164" s="1556"/>
      <c r="AN164" s="1497"/>
      <c r="AO164" s="1497"/>
      <c r="AP164" s="1497"/>
      <c r="AQ164" s="1497"/>
      <c r="AR164" s="1497"/>
      <c r="AS164" s="1497"/>
      <c r="AT164" s="1497"/>
      <c r="AU164" s="1497"/>
      <c r="AV164" s="1563"/>
      <c r="AW164" s="1563"/>
      <c r="AX164" s="1563"/>
      <c r="AY164" s="1563"/>
      <c r="AZ164" s="1563"/>
      <c r="BA164" s="1563"/>
      <c r="BB164" s="1563"/>
      <c r="BC164" s="1563"/>
      <c r="BD164" s="1568"/>
      <c r="BE164" s="1568"/>
      <c r="BF164" s="1568"/>
      <c r="BG164" s="1567"/>
      <c r="BH164" s="1567"/>
      <c r="BI164" s="1583"/>
      <c r="BJ164" s="1583"/>
      <c r="BK164" s="1583"/>
      <c r="BL164" s="1583"/>
      <c r="BM164" s="1586"/>
      <c r="BN164" s="1586"/>
      <c r="BO164" s="1586"/>
      <c r="BP164" s="1586"/>
      <c r="BQ164" s="1585"/>
      <c r="BR164" s="1585"/>
      <c r="BS164" s="1585"/>
      <c r="BT164" s="1585"/>
      <c r="BU164" s="1584" cm="1">
        <f t="array" aca="1" ref="BU164" ca="1">IF(M164="Default",1,IF(AND(C164="Portfolio loan - sub account",CF164=FALSE),0,IF(AND(AH164=2,AK164=1, VLOOKUP(U164,ApplicantList[],3,FALSE)="Non-applicant"),INDIRECT("ICApp" &amp; VLOOKUP(U164,ApplicantList[],2,FALSE) &amp; "HouseholdIncomeApportioningRatio"),IFERROR(MIN(ROUNDUP(MAX(SUM(Z164:AC169)+AN164,SUM(AD164:AG169)+AR164,(COUNTIF(Z164:AC169,"&gt;0")+AK164)/AH164),4),1),""))))</f>
        <v>1</v>
      </c>
      <c r="BV164" s="1584"/>
      <c r="BW164" s="1584"/>
      <c r="BX164" s="1584"/>
      <c r="BY164" s="1569">
        <f>IFERROR(ROUNDUP(CHOOSE(VLOOKUP(C164,ExistingShareableCommitmentTypeTable[],6,FALSE),MAX(BI164,PMT(CG164/12,CJ164,-AZ165))*BU164,MAX(BI164,(AZ165*CG164/12))*BU164,0,BI164*BU164,MAX(BI164,(AZ165*CG164))*BU164,AZ165*CG164*BU164,IF(CF164,MAX(CI164,PMT(CG164/12,240,-AZ165))*BU164,0)),2),0)</f>
        <v>0</v>
      </c>
      <c r="BZ164" s="1569"/>
      <c r="CA164" s="1569"/>
      <c r="CB164" s="1492"/>
      <c r="CC164" s="1306"/>
      <c r="CD164" s="654">
        <f ca="1">IFERROR(VLOOKUP(U164,ApplicantList[],2,FALSE),0)</f>
        <v>0</v>
      </c>
      <c r="CE164" s="1055">
        <f>IFERROR(MAX(AV164,AZ164),0)</f>
        <v>0</v>
      </c>
      <c r="CF164" s="1056" t="b">
        <f>IF(C164="Portfolio loan - sub account",IF(NOT(ISBLANK(BQ164)),IF(COUNTIF($BQ$140:$BQ$254,BQ164)&gt;1,IF(COUNTIFS(BQ$140:BQ164,BQ164,C$140:C164,"Portfolio loan - sub account")=1,TRUE,FALSE),TRUE),FALSE),FALSE)</f>
        <v>0</v>
      </c>
      <c r="CG164" s="1057">
        <f>IFERROR(IF(C164="",0,CHOOSE(VLOOKUP(C164,ExistingShareableCommitmentTypeTable[],7,FALSE),MAX(BD164+$BE$136,FloorRateMCAR,$CJ$136),MAX(BD164,VLOOKUP(C164,ExistingShareableCommitmentTypeTable[],2,FALSE)),VLOOKUP(C164,ExistingShareableCommitmentTypeTable[],2,FALSE),MAX(BD164+$BE$136,FloorRateMCIR,$CJ$136),MAX(CH164+$BE$136,FloorRateMCIR,$CJ$136))),0)</f>
        <v>0</v>
      </c>
      <c r="CH164" s="1057" cm="1">
        <f t="array" ref="CH164">_xlfn.AGGREGATE(14,4,($C$140:$C$259="Portfolio loan - sub account")*($BQ$140:$BQ$259=$BQ164)*$BD$140:$BD$259,1)</f>
        <v>0</v>
      </c>
      <c r="CI164" s="1061">
        <f>SUMIFS($BI$140:$BI$254,$BQ$140:$BQ$254,BQ164,$C$140:$C$254,"Portfolio loan - sub account")</f>
        <v>0</v>
      </c>
      <c r="CJ164" s="619" t="e">
        <f>IF(OR(BG164="",BG164=0),VLOOKUP(C164,ExistingShareableCommitmentTypeTable[],MATCH("DefaultTerm",ExistingShareableCommitmentTypeTable[#Headers],0),FALSE),BG164)</f>
        <v>#N/A</v>
      </c>
      <c r="CK164" s="530" t="str">
        <f>IFERROR(VLOOKUP($C164,ExistingShareableCommitmentTypeTable[],MATCH(CK$138,ExistingShareableCommitmentTypeTable[#Headers],0),FALSE),"No")</f>
        <v>No</v>
      </c>
      <c r="CL164" s="530" t="str">
        <f>IFERROR(VLOOKUP($C164,ExistingShareableCommitmentTypeTable[],MATCH(CL$138,ExistingShareableCommitmentTypeTable[#Headers],0),FALSE),"No")</f>
        <v>No</v>
      </c>
      <c r="CM164" s="530" t="str">
        <f>IFERROR(VLOOKUP($C164,ExistingShareableCommitmentTypeTable[],MATCH(CM$138,ExistingShareableCommitmentTypeTable[#Headers],0),FALSE),"No")</f>
        <v>No</v>
      </c>
    </row>
    <row r="165" spans="1:91" ht="18.75" hidden="1" customHeight="1" x14ac:dyDescent="0.25">
      <c r="A165" s="176"/>
      <c r="B165" s="77"/>
      <c r="C165" s="567"/>
      <c r="D165" s="568"/>
      <c r="E165" s="568"/>
      <c r="F165" s="568"/>
      <c r="G165" s="568"/>
      <c r="H165" s="568"/>
      <c r="I165" s="568"/>
      <c r="J165" s="568"/>
      <c r="K165" s="568"/>
      <c r="L165" s="568"/>
      <c r="M165" s="568"/>
      <c r="N165" s="568"/>
      <c r="O165" s="568"/>
      <c r="P165" s="568"/>
      <c r="Q165" s="568"/>
      <c r="R165" s="471"/>
      <c r="S165" s="471"/>
      <c r="T165" s="471"/>
      <c r="U165" s="1473"/>
      <c r="V165" s="1473"/>
      <c r="W165" s="1473"/>
      <c r="X165" s="1473"/>
      <c r="Y165" s="1473"/>
      <c r="Z165" s="1497"/>
      <c r="AA165" s="1497"/>
      <c r="AB165" s="1497"/>
      <c r="AC165" s="1497"/>
      <c r="AD165" s="1497"/>
      <c r="AE165" s="1497"/>
      <c r="AF165" s="1497"/>
      <c r="AG165" s="1497"/>
      <c r="AH165" s="541" t="b">
        <f>SUM(Z164:Z169,AN164)&gt;1</f>
        <v>0</v>
      </c>
      <c r="AI165" s="541" t="b">
        <f>SUM(AD164:AD169,AR164)&gt;1</f>
        <v>0</v>
      </c>
      <c r="AJ165" s="541" t="b">
        <f>AND(NOT(ISBLANK($AH164)),SUM($R164,$AK164)&gt;$AH164)</f>
        <v>0</v>
      </c>
      <c r="AK165" s="542"/>
      <c r="AL165" s="542"/>
      <c r="AM165" s="542"/>
      <c r="AN165" s="542"/>
      <c r="AO165" s="542"/>
      <c r="AP165" s="542"/>
      <c r="AQ165" s="542"/>
      <c r="AR165" s="542"/>
      <c r="AS165" s="542"/>
      <c r="AT165" s="542"/>
      <c r="AU165" s="542"/>
      <c r="AV165" s="1035"/>
      <c r="AW165" s="1035"/>
      <c r="AX165" s="1035"/>
      <c r="AY165" s="1035"/>
      <c r="AZ165" s="1564">
        <f>IFERROR(CHOOSE(VLOOKUP(C164,ExistingShareableCommitmentTypeTable[],8,FALSE),MAX(AV164,AZ164),AV164,SUMIFS($CE$140:$CE$254,$BQ$140:$BQ$254,BQ164,$C$140:$C$254,"Portfolio loan - sub account"),MAX(AV164,AZ164)-BM164),0)</f>
        <v>0</v>
      </c>
      <c r="BA165" s="1564"/>
      <c r="BB165" s="1564"/>
      <c r="BC165" s="1564"/>
      <c r="BD165" s="1582"/>
      <c r="BE165" s="1582"/>
      <c r="BF165" s="1582"/>
      <c r="BG165" s="1053"/>
      <c r="BH165" s="542"/>
      <c r="BI165" s="542"/>
      <c r="BJ165" s="542"/>
      <c r="BK165" s="542"/>
      <c r="BL165" s="542"/>
      <c r="BM165" s="542"/>
      <c r="BN165" s="542"/>
      <c r="BO165" s="542"/>
      <c r="BP165" s="542"/>
      <c r="BQ165" s="542"/>
      <c r="BR165" s="542"/>
      <c r="BS165" s="542"/>
      <c r="BT165" s="542"/>
      <c r="BU165" s="542"/>
      <c r="BV165" s="542"/>
      <c r="BW165" s="542"/>
      <c r="BX165" s="541"/>
      <c r="BY165" s="542"/>
      <c r="BZ165" s="542"/>
      <c r="CA165" s="542"/>
      <c r="CB165" s="542"/>
      <c r="CC165" s="550"/>
      <c r="CD165" s="654">
        <f ca="1">IFERROR(VLOOKUP(U165,ApplicantList[],2,FALSE),0)</f>
        <v>0</v>
      </c>
      <c r="CE165" s="1056"/>
      <c r="CF165" s="1056"/>
      <c r="CG165" s="1057"/>
      <c r="CH165" s="1057"/>
      <c r="CI165" s="398"/>
      <c r="CJ165" s="398"/>
    </row>
    <row r="166" spans="1:91" ht="18.75" hidden="1" customHeight="1" x14ac:dyDescent="0.25">
      <c r="A166" s="176"/>
      <c r="B166" s="78"/>
      <c r="C166" s="569"/>
      <c r="D166" s="570"/>
      <c r="E166" s="570"/>
      <c r="F166" s="570"/>
      <c r="G166" s="570"/>
      <c r="H166" s="570"/>
      <c r="I166" s="570"/>
      <c r="J166" s="570"/>
      <c r="K166" s="570"/>
      <c r="L166" s="570"/>
      <c r="M166" s="570"/>
      <c r="N166" s="570"/>
      <c r="O166" s="570"/>
      <c r="P166" s="570"/>
      <c r="Q166" s="570"/>
      <c r="R166" s="472"/>
      <c r="S166" s="472"/>
      <c r="T166" s="472"/>
      <c r="U166" s="1473"/>
      <c r="V166" s="1473"/>
      <c r="W166" s="1473"/>
      <c r="X166" s="1473"/>
      <c r="Y166" s="1473"/>
      <c r="Z166" s="1497"/>
      <c r="AA166" s="1497"/>
      <c r="AB166" s="1497"/>
      <c r="AC166" s="1497"/>
      <c r="AD166" s="1497"/>
      <c r="AE166" s="1497"/>
      <c r="AF166" s="1497"/>
      <c r="AG166" s="1497"/>
      <c r="AH166" s="544"/>
      <c r="AI166" s="541"/>
      <c r="AJ166" s="541"/>
      <c r="AK166" s="541"/>
      <c r="AL166" s="541"/>
      <c r="AM166" s="541"/>
      <c r="AN166" s="541"/>
      <c r="AO166" s="541"/>
      <c r="AP166" s="541"/>
      <c r="AQ166" s="541"/>
      <c r="AR166" s="541"/>
      <c r="AS166" s="541"/>
      <c r="AT166" s="541"/>
      <c r="AU166" s="541"/>
      <c r="AV166" s="1036"/>
      <c r="AW166" s="1036"/>
      <c r="AX166" s="1036"/>
      <c r="AY166" s="1036"/>
      <c r="AZ166" s="1559">
        <f>IFERROR(CHOOSE(VLOOKUP(C164,ExistingShareableCommitmentTypeTable[],9,FALSE),MAX(AV164,AZ164),0),0)</f>
        <v>0</v>
      </c>
      <c r="BA166" s="1559"/>
      <c r="BB166" s="1559"/>
      <c r="BC166" s="1559"/>
      <c r="BD166" s="541"/>
      <c r="BE166" s="541"/>
      <c r="BF166" s="541"/>
      <c r="BG166" s="541"/>
      <c r="BH166" s="541"/>
      <c r="BI166" s="541"/>
      <c r="BJ166" s="541"/>
      <c r="BK166" s="541"/>
      <c r="BL166" s="541"/>
      <c r="BM166" s="541"/>
      <c r="BN166" s="541"/>
      <c r="BO166" s="541"/>
      <c r="BP166" s="541"/>
      <c r="BQ166" s="541"/>
      <c r="BR166" s="541"/>
      <c r="BS166" s="541"/>
      <c r="BT166" s="541"/>
      <c r="BU166" s="541"/>
      <c r="BV166" s="541"/>
      <c r="BW166" s="541"/>
      <c r="BX166" s="541"/>
      <c r="BY166" s="541"/>
      <c r="BZ166" s="541"/>
      <c r="CA166" s="541"/>
      <c r="CB166" s="541"/>
      <c r="CC166" s="550"/>
      <c r="CD166" s="654">
        <f ca="1">IFERROR(VLOOKUP(U166,ApplicantList[],2,FALSE),0)</f>
        <v>0</v>
      </c>
      <c r="CE166" s="1056"/>
      <c r="CF166" s="1056"/>
      <c r="CG166" s="1057"/>
      <c r="CH166" s="1057"/>
      <c r="CI166" s="398"/>
      <c r="CJ166" s="398"/>
    </row>
    <row r="167" spans="1:91" ht="18.75" hidden="1" customHeight="1" x14ac:dyDescent="0.25">
      <c r="A167" s="176"/>
      <c r="B167" s="77"/>
      <c r="C167" s="569"/>
      <c r="D167" s="570"/>
      <c r="E167" s="570"/>
      <c r="F167" s="570"/>
      <c r="G167" s="570"/>
      <c r="H167" s="570"/>
      <c r="I167" s="570"/>
      <c r="J167" s="570"/>
      <c r="K167" s="570"/>
      <c r="L167" s="570"/>
      <c r="M167" s="570"/>
      <c r="N167" s="570"/>
      <c r="O167" s="570"/>
      <c r="P167" s="570"/>
      <c r="Q167" s="570"/>
      <c r="R167" s="472"/>
      <c r="S167" s="472"/>
      <c r="T167" s="472"/>
      <c r="U167" s="1473"/>
      <c r="V167" s="1473"/>
      <c r="W167" s="1473"/>
      <c r="X167" s="1473"/>
      <c r="Y167" s="1473"/>
      <c r="Z167" s="1497"/>
      <c r="AA167" s="1497"/>
      <c r="AB167" s="1497"/>
      <c r="AC167" s="1497"/>
      <c r="AD167" s="1497"/>
      <c r="AE167" s="1497"/>
      <c r="AF167" s="1497"/>
      <c r="AG167" s="1497"/>
      <c r="AH167" s="544"/>
      <c r="AI167" s="541"/>
      <c r="AJ167" s="541"/>
      <c r="AK167" s="541"/>
      <c r="AL167" s="541"/>
      <c r="AM167" s="541"/>
      <c r="AN167" s="541"/>
      <c r="AO167" s="541"/>
      <c r="AP167" s="541"/>
      <c r="AQ167" s="541"/>
      <c r="AR167" s="541"/>
      <c r="AS167" s="541"/>
      <c r="AT167" s="541"/>
      <c r="AU167" s="541"/>
      <c r="AV167" s="1036"/>
      <c r="AW167" s="1036"/>
      <c r="AX167" s="1036"/>
      <c r="AY167" s="1036"/>
      <c r="AZ167" s="1036"/>
      <c r="BA167" s="1036"/>
      <c r="BB167" s="1036"/>
      <c r="BC167" s="1036"/>
      <c r="BD167" s="541"/>
      <c r="BE167" s="541"/>
      <c r="BF167" s="541"/>
      <c r="BG167" s="541"/>
      <c r="BH167" s="541"/>
      <c r="BI167" s="541"/>
      <c r="BJ167" s="541"/>
      <c r="BK167" s="541"/>
      <c r="BL167" s="541"/>
      <c r="BM167" s="541"/>
      <c r="BN167" s="541"/>
      <c r="BO167" s="541"/>
      <c r="BP167" s="541"/>
      <c r="BQ167" s="541"/>
      <c r="BR167" s="541"/>
      <c r="BS167" s="541"/>
      <c r="BT167" s="541"/>
      <c r="BU167" s="541"/>
      <c r="BV167" s="541"/>
      <c r="BW167" s="541"/>
      <c r="BX167" s="541"/>
      <c r="BY167" s="541"/>
      <c r="BZ167" s="541"/>
      <c r="CA167" s="541"/>
      <c r="CB167" s="541"/>
      <c r="CC167" s="550"/>
      <c r="CD167" s="654">
        <f ca="1">IFERROR(VLOOKUP(U167,ApplicantList[],2,FALSE),0)</f>
        <v>0</v>
      </c>
      <c r="CE167" s="1056"/>
      <c r="CF167" s="1056"/>
      <c r="CG167" s="1057"/>
      <c r="CH167" s="1057"/>
      <c r="CI167" s="398"/>
      <c r="CJ167" s="398"/>
    </row>
    <row r="168" spans="1:91" ht="18.75" hidden="1" customHeight="1" x14ac:dyDescent="0.25">
      <c r="A168" s="175"/>
      <c r="B168" s="78"/>
      <c r="C168" s="569"/>
      <c r="D168" s="570"/>
      <c r="E168" s="570"/>
      <c r="F168" s="570"/>
      <c r="G168" s="570"/>
      <c r="H168" s="570"/>
      <c r="I168" s="570"/>
      <c r="J168" s="570"/>
      <c r="K168" s="570"/>
      <c r="L168" s="570"/>
      <c r="M168" s="570"/>
      <c r="N168" s="570"/>
      <c r="O168" s="570"/>
      <c r="P168" s="570"/>
      <c r="Q168" s="570"/>
      <c r="R168" s="472"/>
      <c r="S168" s="472"/>
      <c r="T168" s="472"/>
      <c r="U168" s="1473"/>
      <c r="V168" s="1473"/>
      <c r="W168" s="1473"/>
      <c r="X168" s="1473"/>
      <c r="Y168" s="1473"/>
      <c r="Z168" s="1497"/>
      <c r="AA168" s="1497"/>
      <c r="AB168" s="1497"/>
      <c r="AC168" s="1497"/>
      <c r="AD168" s="1497"/>
      <c r="AE168" s="1497"/>
      <c r="AF168" s="1497"/>
      <c r="AG168" s="1497"/>
      <c r="AH168" s="544"/>
      <c r="AI168" s="541"/>
      <c r="AJ168" s="541"/>
      <c r="AK168" s="541"/>
      <c r="AL168" s="541"/>
      <c r="AM168" s="541"/>
      <c r="AN168" s="541"/>
      <c r="AO168" s="541"/>
      <c r="AP168" s="541"/>
      <c r="AQ168" s="541"/>
      <c r="AR168" s="541"/>
      <c r="AS168" s="541"/>
      <c r="AT168" s="541"/>
      <c r="AU168" s="541"/>
      <c r="AV168" s="1036"/>
      <c r="AW168" s="1036"/>
      <c r="AX168" s="1036"/>
      <c r="AY168" s="1036"/>
      <c r="AZ168" s="1036"/>
      <c r="BA168" s="1036"/>
      <c r="BB168" s="1036"/>
      <c r="BC168" s="1036"/>
      <c r="BD168" s="541"/>
      <c r="BE168" s="541"/>
      <c r="BF168" s="541"/>
      <c r="BG168" s="541"/>
      <c r="BH168" s="541"/>
      <c r="BI168" s="541"/>
      <c r="BJ168" s="541"/>
      <c r="BK168" s="541"/>
      <c r="BL168" s="541"/>
      <c r="BM168" s="541"/>
      <c r="BN168" s="541"/>
      <c r="BO168" s="541"/>
      <c r="BP168" s="541"/>
      <c r="BQ168" s="541"/>
      <c r="BR168" s="541"/>
      <c r="BS168" s="541"/>
      <c r="BT168" s="541"/>
      <c r="BU168" s="541"/>
      <c r="BV168" s="541"/>
      <c r="BW168" s="541"/>
      <c r="BX168" s="541"/>
      <c r="BY168" s="541"/>
      <c r="BZ168" s="541"/>
      <c r="CA168" s="541"/>
      <c r="CB168" s="541"/>
      <c r="CC168" s="550"/>
      <c r="CD168" s="654">
        <f ca="1">IFERROR(VLOOKUP(U168,ApplicantList[],2,FALSE),0)</f>
        <v>0</v>
      </c>
      <c r="CE168" s="1056"/>
      <c r="CF168" s="1056"/>
      <c r="CG168" s="1057"/>
      <c r="CH168" s="1057"/>
      <c r="CI168" s="398"/>
      <c r="CJ168" s="398"/>
    </row>
    <row r="169" spans="1:91" ht="18.75" hidden="1" customHeight="1" x14ac:dyDescent="0.25">
      <c r="A169" s="176"/>
      <c r="B169" s="77"/>
      <c r="C169" s="571"/>
      <c r="D169" s="572"/>
      <c r="E169" s="572"/>
      <c r="F169" s="572"/>
      <c r="G169" s="572"/>
      <c r="H169" s="572"/>
      <c r="I169" s="572"/>
      <c r="J169" s="572"/>
      <c r="K169" s="572"/>
      <c r="L169" s="572"/>
      <c r="M169" s="572"/>
      <c r="N169" s="572"/>
      <c r="O169" s="572"/>
      <c r="P169" s="572"/>
      <c r="Q169" s="572"/>
      <c r="R169" s="473"/>
      <c r="S169" s="473"/>
      <c r="T169" s="473"/>
      <c r="U169" s="1473"/>
      <c r="V169" s="1473"/>
      <c r="W169" s="1473"/>
      <c r="X169" s="1473"/>
      <c r="Y169" s="1473"/>
      <c r="Z169" s="1497"/>
      <c r="AA169" s="1497"/>
      <c r="AB169" s="1497"/>
      <c r="AC169" s="1497"/>
      <c r="AD169" s="1497"/>
      <c r="AE169" s="1497"/>
      <c r="AF169" s="1497"/>
      <c r="AG169" s="1497"/>
      <c r="AH169" s="547"/>
      <c r="AI169" s="548"/>
      <c r="AJ169" s="548"/>
      <c r="AK169" s="548"/>
      <c r="AL169" s="548"/>
      <c r="AM169" s="548"/>
      <c r="AN169" s="548"/>
      <c r="AO169" s="548"/>
      <c r="AP169" s="548"/>
      <c r="AQ169" s="548"/>
      <c r="AR169" s="548"/>
      <c r="AS169" s="548"/>
      <c r="AT169" s="548"/>
      <c r="AU169" s="548"/>
      <c r="AV169" s="1037"/>
      <c r="AW169" s="1037"/>
      <c r="AX169" s="1037"/>
      <c r="AY169" s="1037"/>
      <c r="AZ169" s="1037"/>
      <c r="BA169" s="1037"/>
      <c r="BB169" s="1037"/>
      <c r="BC169" s="1037"/>
      <c r="BD169" s="548"/>
      <c r="BE169" s="548"/>
      <c r="BF169" s="548"/>
      <c r="BG169" s="548"/>
      <c r="BH169" s="548"/>
      <c r="BI169" s="548"/>
      <c r="BJ169" s="548"/>
      <c r="BK169" s="548"/>
      <c r="BL169" s="548"/>
      <c r="BM169" s="548"/>
      <c r="BN169" s="548"/>
      <c r="BO169" s="548"/>
      <c r="BP169" s="548"/>
      <c r="BQ169" s="548"/>
      <c r="BR169" s="548"/>
      <c r="BS169" s="548"/>
      <c r="BT169" s="548"/>
      <c r="BU169" s="548"/>
      <c r="BV169" s="548"/>
      <c r="BW169" s="548"/>
      <c r="BX169" s="548"/>
      <c r="BY169" s="548"/>
      <c r="BZ169" s="548"/>
      <c r="CA169" s="548"/>
      <c r="CB169" s="548"/>
      <c r="CC169" s="550"/>
      <c r="CD169" s="654">
        <f ca="1">IFERROR(VLOOKUP(U169,ApplicantList[],2,FALSE),0)</f>
        <v>0</v>
      </c>
      <c r="CE169" s="1056"/>
      <c r="CF169" s="1056"/>
      <c r="CG169" s="1057"/>
      <c r="CH169" s="1057"/>
      <c r="CI169" s="398"/>
      <c r="CJ169" s="398"/>
    </row>
    <row r="170" spans="1:91" ht="18.75" hidden="1" customHeight="1" x14ac:dyDescent="0.25">
      <c r="A170" s="175">
        <v>6</v>
      </c>
      <c r="B170" s="78"/>
      <c r="C170" s="1473"/>
      <c r="D170" s="1473"/>
      <c r="E170" s="1473"/>
      <c r="F170" s="1473"/>
      <c r="G170" s="1473"/>
      <c r="H170" s="1473"/>
      <c r="I170" s="1473"/>
      <c r="J170" s="1473"/>
      <c r="K170" s="1473"/>
      <c r="L170" s="1473"/>
      <c r="M170" s="1566" t="s">
        <v>373</v>
      </c>
      <c r="N170" s="1566"/>
      <c r="O170" s="1566"/>
      <c r="P170" s="1566"/>
      <c r="Q170" s="1566"/>
      <c r="R170" s="1566">
        <v>1</v>
      </c>
      <c r="S170" s="1566"/>
      <c r="T170" s="1566"/>
      <c r="U170" s="1473"/>
      <c r="V170" s="1473"/>
      <c r="W170" s="1473"/>
      <c r="X170" s="1473"/>
      <c r="Y170" s="1473"/>
      <c r="Z170" s="1497"/>
      <c r="AA170" s="1497"/>
      <c r="AB170" s="1497"/>
      <c r="AC170" s="1497"/>
      <c r="AD170" s="1497"/>
      <c r="AE170" s="1497"/>
      <c r="AF170" s="1497"/>
      <c r="AG170" s="1497"/>
      <c r="AH170" s="1556"/>
      <c r="AI170" s="1556"/>
      <c r="AJ170" s="1556"/>
      <c r="AK170" s="1556"/>
      <c r="AL170" s="1556"/>
      <c r="AM170" s="1556"/>
      <c r="AN170" s="1497"/>
      <c r="AO170" s="1497"/>
      <c r="AP170" s="1497"/>
      <c r="AQ170" s="1497"/>
      <c r="AR170" s="1497"/>
      <c r="AS170" s="1497"/>
      <c r="AT170" s="1497"/>
      <c r="AU170" s="1497"/>
      <c r="AV170" s="1563"/>
      <c r="AW170" s="1563"/>
      <c r="AX170" s="1563"/>
      <c r="AY170" s="1563"/>
      <c r="AZ170" s="1563"/>
      <c r="BA170" s="1563"/>
      <c r="BB170" s="1563"/>
      <c r="BC170" s="1563"/>
      <c r="BD170" s="1568"/>
      <c r="BE170" s="1568"/>
      <c r="BF170" s="1568"/>
      <c r="BG170" s="1567"/>
      <c r="BH170" s="1567"/>
      <c r="BI170" s="1583"/>
      <c r="BJ170" s="1583"/>
      <c r="BK170" s="1583"/>
      <c r="BL170" s="1583"/>
      <c r="BM170" s="1586"/>
      <c r="BN170" s="1586"/>
      <c r="BO170" s="1586"/>
      <c r="BP170" s="1586"/>
      <c r="BQ170" s="1585"/>
      <c r="BR170" s="1585"/>
      <c r="BS170" s="1585"/>
      <c r="BT170" s="1585"/>
      <c r="BU170" s="1584" cm="1">
        <f t="array" aca="1" ref="BU170" ca="1">IF(M170="Default",1,IF(AND(C170="Portfolio loan - sub account",CF170=FALSE),0,IF(AND(AH170=2,AK170=1, VLOOKUP(U170,ApplicantList[],3,FALSE)="Non-applicant"),INDIRECT("ICApp" &amp; VLOOKUP(U170,ApplicantList[],2,FALSE) &amp; "HouseholdIncomeApportioningRatio"),IFERROR(MIN(ROUNDUP(MAX(SUM(Z170:AC175)+AN170,SUM(AD170:AG175)+AR170,(COUNTIF(Z170:AC175,"&gt;0")+AK170)/AH170),4),1),""))))</f>
        <v>1</v>
      </c>
      <c r="BV170" s="1584"/>
      <c r="BW170" s="1584"/>
      <c r="BX170" s="1584"/>
      <c r="BY170" s="1569">
        <f>IFERROR(ROUNDUP(CHOOSE(VLOOKUP(C170,ExistingShareableCommitmentTypeTable[],6,FALSE),MAX(BI170,PMT(CG170/12,CJ170,-AZ171))*BU170,MAX(BI170,(AZ171*CG170/12))*BU170,0,BI170*BU170,MAX(BI170,(AZ171*CG170))*BU170,AZ171*CG170*BU170,IF(CF170,MAX(CI170,PMT(CG170/12,240,-AZ171))*BU170,0)),2),0)</f>
        <v>0</v>
      </c>
      <c r="BZ170" s="1569"/>
      <c r="CA170" s="1569"/>
      <c r="CB170" s="1492"/>
      <c r="CC170" s="1306"/>
      <c r="CD170" s="654">
        <f ca="1">IFERROR(VLOOKUP(U170,ApplicantList[],2,FALSE),0)</f>
        <v>0</v>
      </c>
      <c r="CE170" s="1055">
        <f>IFERROR(MAX(AV170,AZ170),0)</f>
        <v>0</v>
      </c>
      <c r="CF170" s="1056" t="b">
        <f>IF(C170="Portfolio loan - sub account",IF(NOT(ISBLANK(BQ170)),IF(COUNTIF($BQ$140:$BQ$254,BQ170)&gt;1,IF(COUNTIFS(BQ$140:BQ170,BQ170,C$140:C170,"Portfolio loan - sub account")=1,TRUE,FALSE),TRUE),FALSE),FALSE)</f>
        <v>0</v>
      </c>
      <c r="CG170" s="1057">
        <f>IFERROR(IF(C170="",0,CHOOSE(VLOOKUP(C170,ExistingShareableCommitmentTypeTable[],7,FALSE),MAX(BD170+$BE$136,FloorRateMCAR,$CJ$136),MAX(BD170,VLOOKUP(C170,ExistingShareableCommitmentTypeTable[],2,FALSE)),VLOOKUP(C170,ExistingShareableCommitmentTypeTable[],2,FALSE),MAX(BD170+$BE$136,FloorRateMCIR,$CJ$136),MAX(CH170+$BE$136,FloorRateMCIR,$CJ$136))),0)</f>
        <v>0</v>
      </c>
      <c r="CH170" s="1057" cm="1">
        <f t="array" ref="CH170">_xlfn.AGGREGATE(14,4,($C$140:$C$259="Portfolio loan - sub account")*($BQ$140:$BQ$259=$BQ170)*$BD$140:$BD$259,1)</f>
        <v>0</v>
      </c>
      <c r="CI170" s="1061">
        <f>SUMIFS($BI$140:$BI$254,$BQ$140:$BQ$254,BQ170,$C$140:$C$254,"Portfolio loan - sub account")</f>
        <v>0</v>
      </c>
      <c r="CJ170" s="619" t="e">
        <f>IF(OR(BG170="",BG170=0),VLOOKUP(C170,ExistingShareableCommitmentTypeTable[],MATCH("DefaultTerm",ExistingShareableCommitmentTypeTable[#Headers],0),FALSE),BG170)</f>
        <v>#N/A</v>
      </c>
      <c r="CK170" s="530" t="str">
        <f>IFERROR(VLOOKUP($C170,ExistingShareableCommitmentTypeTable[],MATCH(CK$138,ExistingShareableCommitmentTypeTable[#Headers],0),FALSE),"No")</f>
        <v>No</v>
      </c>
      <c r="CL170" s="530" t="str">
        <f>IFERROR(VLOOKUP($C170,ExistingShareableCommitmentTypeTable[],MATCH(CL$138,ExistingShareableCommitmentTypeTable[#Headers],0),FALSE),"No")</f>
        <v>No</v>
      </c>
      <c r="CM170" s="530" t="str">
        <f>IFERROR(VLOOKUP($C170,ExistingShareableCommitmentTypeTable[],MATCH(CM$138,ExistingShareableCommitmentTypeTable[#Headers],0),FALSE),"No")</f>
        <v>No</v>
      </c>
    </row>
    <row r="171" spans="1:91" ht="18.75" hidden="1" customHeight="1" x14ac:dyDescent="0.25">
      <c r="A171" s="176"/>
      <c r="C171" s="567"/>
      <c r="D171" s="568"/>
      <c r="E171" s="568"/>
      <c r="F171" s="568"/>
      <c r="G171" s="568"/>
      <c r="H171" s="568"/>
      <c r="I171" s="568"/>
      <c r="J171" s="568"/>
      <c r="K171" s="568"/>
      <c r="L171" s="568"/>
      <c r="M171" s="568"/>
      <c r="N171" s="568"/>
      <c r="O171" s="568"/>
      <c r="P171" s="568"/>
      <c r="Q171" s="568"/>
      <c r="R171" s="471"/>
      <c r="S171" s="471"/>
      <c r="T171" s="471"/>
      <c r="U171" s="1473"/>
      <c r="V171" s="1473"/>
      <c r="W171" s="1473"/>
      <c r="X171" s="1473"/>
      <c r="Y171" s="1473"/>
      <c r="Z171" s="1497"/>
      <c r="AA171" s="1497"/>
      <c r="AB171" s="1497"/>
      <c r="AC171" s="1497"/>
      <c r="AD171" s="1497"/>
      <c r="AE171" s="1497"/>
      <c r="AF171" s="1497"/>
      <c r="AG171" s="1497"/>
      <c r="AH171" s="541" t="b">
        <f>SUM(Z170:Z175,AN170)&gt;1</f>
        <v>0</v>
      </c>
      <c r="AI171" s="541" t="b">
        <f>SUM(AD170:AD175,AR170)&gt;1</f>
        <v>0</v>
      </c>
      <c r="AJ171" s="541" t="b">
        <f>AND(NOT(ISBLANK($AH170)),SUM($R170,$AK170)&gt;$AH170)</f>
        <v>0</v>
      </c>
      <c r="AK171" s="542"/>
      <c r="AL171" s="542"/>
      <c r="AM171" s="542"/>
      <c r="AN171" s="542"/>
      <c r="AO171" s="542"/>
      <c r="AP171" s="542"/>
      <c r="AQ171" s="542"/>
      <c r="AR171" s="542"/>
      <c r="AS171" s="542"/>
      <c r="AT171" s="542"/>
      <c r="AU171" s="542"/>
      <c r="AV171" s="1035"/>
      <c r="AW171" s="1035"/>
      <c r="AX171" s="1035"/>
      <c r="AY171" s="1035"/>
      <c r="AZ171" s="1564">
        <f>IFERROR(CHOOSE(VLOOKUP(C170,ExistingShareableCommitmentTypeTable[],8,FALSE),MAX(AV170,AZ170),AV170,SUMIFS($CE$140:$CE$254,$BQ$140:$BQ$254,BQ170,$C$140:$C$254,"Portfolio loan - sub account"),MAX(AV170,AZ170)-BM170),0)</f>
        <v>0</v>
      </c>
      <c r="BA171" s="1564"/>
      <c r="BB171" s="1564"/>
      <c r="BC171" s="1564"/>
      <c r="BD171" s="1582"/>
      <c r="BE171" s="1582"/>
      <c r="BF171" s="1582"/>
      <c r="BG171" s="1053"/>
      <c r="BH171" s="542"/>
      <c r="BI171" s="542"/>
      <c r="BJ171" s="542"/>
      <c r="BK171" s="542"/>
      <c r="BL171" s="542"/>
      <c r="BM171" s="542"/>
      <c r="BN171" s="542"/>
      <c r="BO171" s="542"/>
      <c r="BP171" s="542"/>
      <c r="BQ171" s="542"/>
      <c r="BR171" s="542"/>
      <c r="BS171" s="542"/>
      <c r="BT171" s="542"/>
      <c r="BU171" s="542"/>
      <c r="BV171" s="542"/>
      <c r="BW171" s="542"/>
      <c r="BX171" s="541"/>
      <c r="BY171" s="542"/>
      <c r="BZ171" s="542"/>
      <c r="CA171" s="542"/>
      <c r="CB171" s="542"/>
      <c r="CC171" s="550"/>
      <c r="CD171" s="654">
        <f ca="1">IFERROR(VLOOKUP(U171,ApplicantList[],2,FALSE),0)</f>
        <v>0</v>
      </c>
      <c r="CE171" s="1056"/>
      <c r="CF171" s="1056"/>
      <c r="CG171" s="1057"/>
      <c r="CH171" s="1057"/>
      <c r="CI171" s="398"/>
      <c r="CJ171" s="398"/>
    </row>
    <row r="172" spans="1:91" ht="18.75" hidden="1" customHeight="1" x14ac:dyDescent="0.25">
      <c r="A172" s="176"/>
      <c r="B172" s="78"/>
      <c r="C172" s="569"/>
      <c r="D172" s="570"/>
      <c r="E172" s="570"/>
      <c r="F172" s="570"/>
      <c r="G172" s="570"/>
      <c r="H172" s="570"/>
      <c r="I172" s="570"/>
      <c r="J172" s="570"/>
      <c r="K172" s="570"/>
      <c r="L172" s="570"/>
      <c r="M172" s="570"/>
      <c r="N172" s="570"/>
      <c r="O172" s="570"/>
      <c r="P172" s="570"/>
      <c r="Q172" s="570"/>
      <c r="R172" s="472"/>
      <c r="S172" s="472"/>
      <c r="T172" s="472"/>
      <c r="U172" s="1473"/>
      <c r="V172" s="1473"/>
      <c r="W172" s="1473"/>
      <c r="X172" s="1473"/>
      <c r="Y172" s="1473"/>
      <c r="Z172" s="1497"/>
      <c r="AA172" s="1497"/>
      <c r="AB172" s="1497"/>
      <c r="AC172" s="1497"/>
      <c r="AD172" s="1497"/>
      <c r="AE172" s="1497"/>
      <c r="AF172" s="1497"/>
      <c r="AG172" s="1497"/>
      <c r="AH172" s="544"/>
      <c r="AI172" s="541"/>
      <c r="AJ172" s="541"/>
      <c r="AK172" s="541"/>
      <c r="AL172" s="541"/>
      <c r="AM172" s="541"/>
      <c r="AN172" s="541"/>
      <c r="AO172" s="541"/>
      <c r="AP172" s="541"/>
      <c r="AQ172" s="541"/>
      <c r="AR172" s="541"/>
      <c r="AS172" s="541"/>
      <c r="AT172" s="541"/>
      <c r="AU172" s="541"/>
      <c r="AV172" s="1036"/>
      <c r="AW172" s="1036"/>
      <c r="AX172" s="1036"/>
      <c r="AY172" s="1036"/>
      <c r="AZ172" s="1559">
        <f>IFERROR(CHOOSE(VLOOKUP(C170,ExistingShareableCommitmentTypeTable[],9,FALSE),MAX(AV170,AZ170),0),0)</f>
        <v>0</v>
      </c>
      <c r="BA172" s="1559"/>
      <c r="BB172" s="1559"/>
      <c r="BC172" s="1559"/>
      <c r="BD172" s="541"/>
      <c r="BE172" s="541"/>
      <c r="BF172" s="541"/>
      <c r="BG172" s="541"/>
      <c r="BH172" s="541"/>
      <c r="BI172" s="541"/>
      <c r="BJ172" s="541"/>
      <c r="BK172" s="541"/>
      <c r="BL172" s="541"/>
      <c r="BM172" s="541"/>
      <c r="BN172" s="541"/>
      <c r="BO172" s="541"/>
      <c r="BP172" s="541"/>
      <c r="BQ172" s="541"/>
      <c r="BR172" s="541"/>
      <c r="BS172" s="541"/>
      <c r="BT172" s="541"/>
      <c r="BU172" s="541"/>
      <c r="BV172" s="541"/>
      <c r="BW172" s="541"/>
      <c r="BX172" s="541"/>
      <c r="BY172" s="541"/>
      <c r="BZ172" s="541"/>
      <c r="CA172" s="541"/>
      <c r="CB172" s="541"/>
      <c r="CC172" s="550"/>
      <c r="CD172" s="654">
        <f ca="1">IFERROR(VLOOKUP(U172,ApplicantList[],2,FALSE),0)</f>
        <v>0</v>
      </c>
      <c r="CE172" s="1056"/>
      <c r="CF172" s="1056"/>
      <c r="CG172" s="1057"/>
      <c r="CH172" s="1057"/>
      <c r="CI172" s="398"/>
      <c r="CJ172" s="398"/>
    </row>
    <row r="173" spans="1:91" ht="18.75" hidden="1" customHeight="1" x14ac:dyDescent="0.25">
      <c r="A173" s="176"/>
      <c r="B173" s="77"/>
      <c r="C173" s="569"/>
      <c r="D173" s="570"/>
      <c r="E173" s="570"/>
      <c r="F173" s="570"/>
      <c r="G173" s="570"/>
      <c r="H173" s="570"/>
      <c r="I173" s="570"/>
      <c r="J173" s="570"/>
      <c r="K173" s="570"/>
      <c r="L173" s="570"/>
      <c r="M173" s="570"/>
      <c r="N173" s="570"/>
      <c r="O173" s="570"/>
      <c r="P173" s="570"/>
      <c r="Q173" s="570"/>
      <c r="R173" s="472"/>
      <c r="S173" s="472"/>
      <c r="T173" s="472"/>
      <c r="U173" s="1473"/>
      <c r="V173" s="1473"/>
      <c r="W173" s="1473"/>
      <c r="X173" s="1473"/>
      <c r="Y173" s="1473"/>
      <c r="Z173" s="1497"/>
      <c r="AA173" s="1497"/>
      <c r="AB173" s="1497"/>
      <c r="AC173" s="1497"/>
      <c r="AD173" s="1497"/>
      <c r="AE173" s="1497"/>
      <c r="AF173" s="1497"/>
      <c r="AG173" s="1497"/>
      <c r="AH173" s="544"/>
      <c r="AI173" s="541"/>
      <c r="AJ173" s="541"/>
      <c r="AK173" s="541"/>
      <c r="AL173" s="541"/>
      <c r="AM173" s="541"/>
      <c r="AN173" s="541"/>
      <c r="AO173" s="541"/>
      <c r="AP173" s="541"/>
      <c r="AQ173" s="541"/>
      <c r="AR173" s="541"/>
      <c r="AS173" s="541"/>
      <c r="AT173" s="541"/>
      <c r="AU173" s="541"/>
      <c r="AV173" s="1036"/>
      <c r="AW173" s="1036"/>
      <c r="AX173" s="1036"/>
      <c r="AY173" s="1036"/>
      <c r="AZ173" s="1036"/>
      <c r="BA173" s="1036"/>
      <c r="BB173" s="1036"/>
      <c r="BC173" s="1036"/>
      <c r="BD173" s="541"/>
      <c r="BE173" s="541"/>
      <c r="BF173" s="541"/>
      <c r="BG173" s="541"/>
      <c r="BH173" s="541"/>
      <c r="BI173" s="541"/>
      <c r="BJ173" s="541"/>
      <c r="BK173" s="541"/>
      <c r="BL173" s="541"/>
      <c r="BM173" s="541"/>
      <c r="BN173" s="541"/>
      <c r="BO173" s="541"/>
      <c r="BP173" s="541"/>
      <c r="BQ173" s="541"/>
      <c r="BR173" s="541"/>
      <c r="BS173" s="541"/>
      <c r="BT173" s="541"/>
      <c r="BU173" s="541"/>
      <c r="BV173" s="541"/>
      <c r="BW173" s="541"/>
      <c r="BX173" s="541"/>
      <c r="BY173" s="541"/>
      <c r="BZ173" s="541"/>
      <c r="CA173" s="541"/>
      <c r="CB173" s="541"/>
      <c r="CC173" s="550"/>
      <c r="CD173" s="654">
        <f ca="1">IFERROR(VLOOKUP(U173,ApplicantList[],2,FALSE),0)</f>
        <v>0</v>
      </c>
      <c r="CE173" s="1056"/>
      <c r="CF173" s="1056"/>
      <c r="CG173" s="1057"/>
      <c r="CH173" s="1057"/>
      <c r="CI173" s="398"/>
      <c r="CJ173" s="398"/>
    </row>
    <row r="174" spans="1:91" ht="18.75" hidden="1" customHeight="1" x14ac:dyDescent="0.25">
      <c r="A174" s="175"/>
      <c r="B174" s="78"/>
      <c r="C174" s="569"/>
      <c r="D174" s="570"/>
      <c r="E174" s="570"/>
      <c r="F174" s="570"/>
      <c r="G174" s="570"/>
      <c r="H174" s="570"/>
      <c r="I174" s="570"/>
      <c r="J174" s="570"/>
      <c r="K174" s="570"/>
      <c r="L174" s="570"/>
      <c r="M174" s="570"/>
      <c r="N174" s="570"/>
      <c r="O174" s="570"/>
      <c r="P174" s="570"/>
      <c r="Q174" s="570"/>
      <c r="R174" s="472"/>
      <c r="S174" s="472"/>
      <c r="T174" s="472"/>
      <c r="U174" s="1473"/>
      <c r="V174" s="1473"/>
      <c r="W174" s="1473"/>
      <c r="X174" s="1473"/>
      <c r="Y174" s="1473"/>
      <c r="Z174" s="1497"/>
      <c r="AA174" s="1497"/>
      <c r="AB174" s="1497"/>
      <c r="AC174" s="1497"/>
      <c r="AD174" s="1497"/>
      <c r="AE174" s="1497"/>
      <c r="AF174" s="1497"/>
      <c r="AG174" s="1497"/>
      <c r="AH174" s="544"/>
      <c r="AI174" s="541"/>
      <c r="AJ174" s="541"/>
      <c r="AK174" s="541"/>
      <c r="AL174" s="541"/>
      <c r="AM174" s="541"/>
      <c r="AN174" s="541"/>
      <c r="AO174" s="541"/>
      <c r="AP174" s="541"/>
      <c r="AQ174" s="541"/>
      <c r="AR174" s="541"/>
      <c r="AS174" s="541"/>
      <c r="AT174" s="541"/>
      <c r="AU174" s="541"/>
      <c r="AV174" s="1036"/>
      <c r="AW174" s="1036"/>
      <c r="AX174" s="1036"/>
      <c r="AY174" s="1036"/>
      <c r="AZ174" s="1036"/>
      <c r="BA174" s="1036"/>
      <c r="BB174" s="1036"/>
      <c r="BC174" s="1036"/>
      <c r="BD174" s="541"/>
      <c r="BE174" s="541"/>
      <c r="BF174" s="541"/>
      <c r="BG174" s="541"/>
      <c r="BH174" s="541"/>
      <c r="BI174" s="541"/>
      <c r="BJ174" s="541"/>
      <c r="BK174" s="541"/>
      <c r="BL174" s="541"/>
      <c r="BM174" s="541"/>
      <c r="BN174" s="541"/>
      <c r="BO174" s="541"/>
      <c r="BP174" s="541"/>
      <c r="BQ174" s="541"/>
      <c r="BR174" s="541"/>
      <c r="BS174" s="541"/>
      <c r="BT174" s="541"/>
      <c r="BU174" s="541"/>
      <c r="BV174" s="541"/>
      <c r="BW174" s="541"/>
      <c r="BX174" s="541"/>
      <c r="BY174" s="541"/>
      <c r="BZ174" s="541"/>
      <c r="CA174" s="541"/>
      <c r="CB174" s="541"/>
      <c r="CC174" s="550"/>
      <c r="CD174" s="654">
        <f ca="1">IFERROR(VLOOKUP(U174,ApplicantList[],2,FALSE),0)</f>
        <v>0</v>
      </c>
      <c r="CE174" s="1056"/>
      <c r="CF174" s="1056"/>
      <c r="CG174" s="1057"/>
      <c r="CH174" s="1057"/>
      <c r="CI174" s="398"/>
      <c r="CJ174" s="398"/>
    </row>
    <row r="175" spans="1:91" ht="18.75" hidden="1" customHeight="1" x14ac:dyDescent="0.25">
      <c r="A175" s="176"/>
      <c r="C175" s="571"/>
      <c r="D175" s="572"/>
      <c r="E175" s="572"/>
      <c r="F175" s="572"/>
      <c r="G175" s="572"/>
      <c r="H175" s="572"/>
      <c r="I175" s="572"/>
      <c r="J175" s="572"/>
      <c r="K175" s="572"/>
      <c r="L175" s="572"/>
      <c r="M175" s="572"/>
      <c r="N175" s="572"/>
      <c r="O175" s="572"/>
      <c r="P175" s="572"/>
      <c r="Q175" s="572"/>
      <c r="R175" s="473"/>
      <c r="S175" s="473"/>
      <c r="T175" s="473"/>
      <c r="U175" s="1473"/>
      <c r="V175" s="1473"/>
      <c r="W175" s="1473"/>
      <c r="X175" s="1473"/>
      <c r="Y175" s="1473"/>
      <c r="Z175" s="1497"/>
      <c r="AA175" s="1497"/>
      <c r="AB175" s="1497"/>
      <c r="AC175" s="1497"/>
      <c r="AD175" s="1497"/>
      <c r="AE175" s="1497"/>
      <c r="AF175" s="1497"/>
      <c r="AG175" s="1497"/>
      <c r="AH175" s="547"/>
      <c r="AI175" s="548"/>
      <c r="AJ175" s="548"/>
      <c r="AK175" s="548"/>
      <c r="AL175" s="548"/>
      <c r="AM175" s="548"/>
      <c r="AN175" s="548"/>
      <c r="AO175" s="548"/>
      <c r="AP175" s="548"/>
      <c r="AQ175" s="548"/>
      <c r="AR175" s="548"/>
      <c r="AS175" s="548"/>
      <c r="AT175" s="548"/>
      <c r="AU175" s="548"/>
      <c r="AV175" s="1037"/>
      <c r="AW175" s="1037"/>
      <c r="AX175" s="1037"/>
      <c r="AY175" s="1037"/>
      <c r="AZ175" s="1037"/>
      <c r="BA175" s="1037"/>
      <c r="BB175" s="1037"/>
      <c r="BC175" s="1037"/>
      <c r="BD175" s="548"/>
      <c r="BE175" s="548"/>
      <c r="BF175" s="548"/>
      <c r="BG175" s="548"/>
      <c r="BH175" s="548"/>
      <c r="BI175" s="548"/>
      <c r="BJ175" s="548"/>
      <c r="BK175" s="548"/>
      <c r="BL175" s="548"/>
      <c r="BM175" s="548"/>
      <c r="BN175" s="548"/>
      <c r="BO175" s="548"/>
      <c r="BP175" s="548"/>
      <c r="BQ175" s="548"/>
      <c r="BR175" s="548"/>
      <c r="BS175" s="548"/>
      <c r="BT175" s="548"/>
      <c r="BU175" s="548"/>
      <c r="BV175" s="548"/>
      <c r="BW175" s="548"/>
      <c r="BX175" s="548"/>
      <c r="BY175" s="548"/>
      <c r="BZ175" s="548"/>
      <c r="CA175" s="548"/>
      <c r="CB175" s="548"/>
      <c r="CC175" s="550"/>
      <c r="CD175" s="654">
        <f ca="1">IFERROR(VLOOKUP(U175,ApplicantList[],2,FALSE),0)</f>
        <v>0</v>
      </c>
      <c r="CE175" s="1056"/>
      <c r="CF175" s="1056"/>
      <c r="CG175" s="1057"/>
      <c r="CH175" s="1057"/>
      <c r="CI175" s="398"/>
      <c r="CJ175" s="398"/>
    </row>
    <row r="176" spans="1:91" ht="18.75" hidden="1" customHeight="1" x14ac:dyDescent="0.25">
      <c r="A176" s="176">
        <v>7</v>
      </c>
      <c r="B176" s="78"/>
      <c r="C176" s="1473"/>
      <c r="D176" s="1473"/>
      <c r="E176" s="1473"/>
      <c r="F176" s="1473"/>
      <c r="G176" s="1473"/>
      <c r="H176" s="1473"/>
      <c r="I176" s="1473"/>
      <c r="J176" s="1473"/>
      <c r="K176" s="1473"/>
      <c r="L176" s="1473"/>
      <c r="M176" s="1566" t="s">
        <v>373</v>
      </c>
      <c r="N176" s="1566"/>
      <c r="O176" s="1566"/>
      <c r="P176" s="1566"/>
      <c r="Q176" s="1566"/>
      <c r="R176" s="1566">
        <v>1</v>
      </c>
      <c r="S176" s="1566"/>
      <c r="T176" s="1566"/>
      <c r="U176" s="1473"/>
      <c r="V176" s="1473"/>
      <c r="W176" s="1473"/>
      <c r="X176" s="1473"/>
      <c r="Y176" s="1473"/>
      <c r="Z176" s="1497"/>
      <c r="AA176" s="1497"/>
      <c r="AB176" s="1497"/>
      <c r="AC176" s="1497"/>
      <c r="AD176" s="1497"/>
      <c r="AE176" s="1497"/>
      <c r="AF176" s="1497"/>
      <c r="AG176" s="1497"/>
      <c r="AH176" s="1556"/>
      <c r="AI176" s="1556"/>
      <c r="AJ176" s="1556"/>
      <c r="AK176" s="1556"/>
      <c r="AL176" s="1556"/>
      <c r="AM176" s="1556"/>
      <c r="AN176" s="1497"/>
      <c r="AO176" s="1497"/>
      <c r="AP176" s="1497"/>
      <c r="AQ176" s="1497"/>
      <c r="AR176" s="1497"/>
      <c r="AS176" s="1497"/>
      <c r="AT176" s="1497"/>
      <c r="AU176" s="1497"/>
      <c r="AV176" s="1563"/>
      <c r="AW176" s="1563"/>
      <c r="AX176" s="1563"/>
      <c r="AY176" s="1563"/>
      <c r="AZ176" s="1563"/>
      <c r="BA176" s="1563"/>
      <c r="BB176" s="1563"/>
      <c r="BC176" s="1563"/>
      <c r="BD176" s="1568"/>
      <c r="BE176" s="1568"/>
      <c r="BF176" s="1568"/>
      <c r="BG176" s="1567"/>
      <c r="BH176" s="1567"/>
      <c r="BI176" s="1583"/>
      <c r="BJ176" s="1583"/>
      <c r="BK176" s="1583"/>
      <c r="BL176" s="1583"/>
      <c r="BM176" s="1586"/>
      <c r="BN176" s="1586"/>
      <c r="BO176" s="1586"/>
      <c r="BP176" s="1586"/>
      <c r="BQ176" s="1585"/>
      <c r="BR176" s="1585"/>
      <c r="BS176" s="1585"/>
      <c r="BT176" s="1585"/>
      <c r="BU176" s="1584" cm="1">
        <f t="array" aca="1" ref="BU176" ca="1">IF(M176="Default",1,IF(AND(C176="Portfolio loan - sub account",CF176=FALSE),0,IF(AND(AH176=2,AK176=1, VLOOKUP(U176,ApplicantList[],3,FALSE)="Non-applicant"),INDIRECT("ICApp" &amp; VLOOKUP(U176,ApplicantList[],2,FALSE) &amp; "HouseholdIncomeApportioningRatio"),IFERROR(MIN(ROUNDUP(MAX(SUM(Z176:AC181)+AN176,SUM(AD176:AG181)+AR176,(COUNTIF(Z176:AC181,"&gt;0")+AK176)/AH176),4),1),""))))</f>
        <v>1</v>
      </c>
      <c r="BV176" s="1584"/>
      <c r="BW176" s="1584"/>
      <c r="BX176" s="1584"/>
      <c r="BY176" s="1569">
        <f>IFERROR(ROUNDUP(CHOOSE(VLOOKUP(C176,ExistingShareableCommitmentTypeTable[],6,FALSE),MAX(BI176,PMT(CG176/12,CJ176,-AZ177))*BU176,MAX(BI176,(AZ177*CG176/12))*BU176,0,BI176*BU176,MAX(BI176,(AZ177*CG176))*BU176,AZ177*CG176*BU176,IF(CF176,MAX(CI176,PMT(CG176/12,240,-AZ177))*BU176,0)),2),0)</f>
        <v>0</v>
      </c>
      <c r="BZ176" s="1569"/>
      <c r="CA176" s="1569"/>
      <c r="CB176" s="1492"/>
      <c r="CC176" s="1306"/>
      <c r="CD176" s="654">
        <f ca="1">IFERROR(VLOOKUP(U176,ApplicantList[],2,FALSE),0)</f>
        <v>0</v>
      </c>
      <c r="CE176" s="1055">
        <f>IFERROR(MAX(AV176,AZ176),0)</f>
        <v>0</v>
      </c>
      <c r="CF176" s="1056" t="b">
        <f>IF(C176="Portfolio loan - sub account",IF(NOT(ISBLANK(BQ176)),IF(COUNTIF($BQ$140:$BQ$254,BQ176)&gt;1,IF(COUNTIFS(BQ$140:BQ176,BQ176,C$140:C176,"Portfolio loan - sub account")=1,TRUE,FALSE),TRUE),FALSE),FALSE)</f>
        <v>0</v>
      </c>
      <c r="CG176" s="1057">
        <f>IFERROR(IF(C176="",0,CHOOSE(VLOOKUP(C176,ExistingShareableCommitmentTypeTable[],7,FALSE),MAX(BD176+$BE$136,FloorRateMCAR,$CJ$136),MAX(BD176,VLOOKUP(C176,ExistingShareableCommitmentTypeTable[],2,FALSE)),VLOOKUP(C176,ExistingShareableCommitmentTypeTable[],2,FALSE),MAX(BD176+$BE$136,FloorRateMCIR,$CJ$136),MAX(CH176+$BE$136,FloorRateMCIR,$CJ$136))),0)</f>
        <v>0</v>
      </c>
      <c r="CH176" s="1057" cm="1">
        <f t="array" ref="CH176">_xlfn.AGGREGATE(14,4,($C$140:$C$259="Portfolio loan - sub account")*($BQ$140:$BQ$259=$BQ176)*$BD$140:$BD$259,1)</f>
        <v>0</v>
      </c>
      <c r="CI176" s="1061">
        <f>SUMIFS($BI$140:$BI$254,$BQ$140:$BQ$254,BQ176,$C$140:$C$254,"Portfolio loan - sub account")</f>
        <v>0</v>
      </c>
      <c r="CJ176" s="619" t="e">
        <f>IF(OR(BG176="",BG176=0),VLOOKUP(C176,ExistingShareableCommitmentTypeTable[],MATCH("DefaultTerm",ExistingShareableCommitmentTypeTable[#Headers],0),FALSE),BG176)</f>
        <v>#N/A</v>
      </c>
      <c r="CK176" s="530" t="str">
        <f>IFERROR(VLOOKUP($C176,ExistingShareableCommitmentTypeTable[],MATCH(CK$138,ExistingShareableCommitmentTypeTable[#Headers],0),FALSE),"No")</f>
        <v>No</v>
      </c>
      <c r="CL176" s="530" t="str">
        <f>IFERROR(VLOOKUP($C176,ExistingShareableCommitmentTypeTable[],MATCH(CL$138,ExistingShareableCommitmentTypeTable[#Headers],0),FALSE),"No")</f>
        <v>No</v>
      </c>
      <c r="CM176" s="530" t="str">
        <f>IFERROR(VLOOKUP($C176,ExistingShareableCommitmentTypeTable[],MATCH(CM$138,ExistingShareableCommitmentTypeTable[#Headers],0),FALSE),"No")</f>
        <v>No</v>
      </c>
    </row>
    <row r="177" spans="1:91" ht="18.75" hidden="1" customHeight="1" x14ac:dyDescent="0.25">
      <c r="A177" s="176"/>
      <c r="C177" s="567"/>
      <c r="D177" s="568"/>
      <c r="E177" s="568"/>
      <c r="F177" s="568"/>
      <c r="G177" s="568"/>
      <c r="H177" s="568"/>
      <c r="I177" s="568"/>
      <c r="J177" s="568"/>
      <c r="K177" s="568"/>
      <c r="L177" s="568"/>
      <c r="M177" s="568"/>
      <c r="N177" s="568"/>
      <c r="O177" s="568"/>
      <c r="P177" s="568"/>
      <c r="Q177" s="568"/>
      <c r="R177" s="471"/>
      <c r="S177" s="471"/>
      <c r="T177" s="471"/>
      <c r="U177" s="1473"/>
      <c r="V177" s="1473"/>
      <c r="W177" s="1473"/>
      <c r="X177" s="1473"/>
      <c r="Y177" s="1473"/>
      <c r="Z177" s="1497"/>
      <c r="AA177" s="1497"/>
      <c r="AB177" s="1497"/>
      <c r="AC177" s="1497"/>
      <c r="AD177" s="1497"/>
      <c r="AE177" s="1497"/>
      <c r="AF177" s="1497"/>
      <c r="AG177" s="1497"/>
      <c r="AH177" s="541" t="b">
        <f>SUM(Z176:Z181,AN176)&gt;1</f>
        <v>0</v>
      </c>
      <c r="AI177" s="541" t="b">
        <f>SUM(AD176:AD181,AR176)&gt;1</f>
        <v>0</v>
      </c>
      <c r="AJ177" s="541" t="b">
        <f>AND(NOT(ISBLANK($AH176)),SUM($R176,$AK176)&gt;$AH176)</f>
        <v>0</v>
      </c>
      <c r="AK177" s="542"/>
      <c r="AL177" s="542"/>
      <c r="AM177" s="542"/>
      <c r="AN177" s="542"/>
      <c r="AO177" s="542"/>
      <c r="AP177" s="542"/>
      <c r="AQ177" s="542"/>
      <c r="AR177" s="542"/>
      <c r="AS177" s="542"/>
      <c r="AT177" s="542"/>
      <c r="AU177" s="542"/>
      <c r="AV177" s="1035"/>
      <c r="AW177" s="1035"/>
      <c r="AX177" s="1035"/>
      <c r="AY177" s="1035"/>
      <c r="AZ177" s="1564">
        <f>IFERROR(CHOOSE(VLOOKUP(C176,ExistingShareableCommitmentTypeTable[],8,FALSE),MAX(AV176,AZ176),AV176,SUMIFS($CE$140:$CE$254,$BQ$140:$BQ$254,BQ176,$C$140:$C$254,"Portfolio loan - sub account"),MAX(AV176,AZ176)-BM176),0)</f>
        <v>0</v>
      </c>
      <c r="BA177" s="1564"/>
      <c r="BB177" s="1564"/>
      <c r="BC177" s="1564"/>
      <c r="BD177" s="1582"/>
      <c r="BE177" s="1582"/>
      <c r="BF177" s="1582"/>
      <c r="BG177" s="1053"/>
      <c r="BH177" s="542"/>
      <c r="BI177" s="542"/>
      <c r="BJ177" s="542"/>
      <c r="BK177" s="542"/>
      <c r="BL177" s="542"/>
      <c r="BM177" s="542"/>
      <c r="BN177" s="542"/>
      <c r="BO177" s="542"/>
      <c r="BP177" s="542"/>
      <c r="BQ177" s="542"/>
      <c r="BR177" s="542"/>
      <c r="BS177" s="542"/>
      <c r="BT177" s="542"/>
      <c r="BU177" s="542"/>
      <c r="BV177" s="542"/>
      <c r="BW177" s="542"/>
      <c r="BX177" s="541"/>
      <c r="BY177" s="542"/>
      <c r="BZ177" s="542"/>
      <c r="CA177" s="542"/>
      <c r="CB177" s="542"/>
      <c r="CC177" s="550"/>
      <c r="CD177" s="654">
        <f ca="1">IFERROR(VLOOKUP(U177,ApplicantList[],2,FALSE),0)</f>
        <v>0</v>
      </c>
      <c r="CE177" s="1056"/>
      <c r="CF177" s="1056"/>
      <c r="CG177" s="1057"/>
      <c r="CH177" s="1057"/>
      <c r="CI177" s="398"/>
      <c r="CJ177" s="398"/>
    </row>
    <row r="178" spans="1:91" ht="18.75" hidden="1" customHeight="1" x14ac:dyDescent="0.25">
      <c r="A178" s="175"/>
      <c r="B178" s="78"/>
      <c r="C178" s="569"/>
      <c r="D178" s="570"/>
      <c r="E178" s="570"/>
      <c r="F178" s="570"/>
      <c r="G178" s="570"/>
      <c r="H178" s="570"/>
      <c r="I178" s="570"/>
      <c r="J178" s="570"/>
      <c r="K178" s="570"/>
      <c r="L178" s="570"/>
      <c r="M178" s="570"/>
      <c r="N178" s="570"/>
      <c r="O178" s="570"/>
      <c r="P178" s="570"/>
      <c r="Q178" s="570"/>
      <c r="R178" s="472"/>
      <c r="S178" s="472"/>
      <c r="T178" s="472"/>
      <c r="U178" s="1473"/>
      <c r="V178" s="1473"/>
      <c r="W178" s="1473"/>
      <c r="X178" s="1473"/>
      <c r="Y178" s="1473"/>
      <c r="Z178" s="1497"/>
      <c r="AA178" s="1497"/>
      <c r="AB178" s="1497"/>
      <c r="AC178" s="1497"/>
      <c r="AD178" s="1497"/>
      <c r="AE178" s="1497"/>
      <c r="AF178" s="1497"/>
      <c r="AG178" s="1497"/>
      <c r="AH178" s="544"/>
      <c r="AI178" s="541"/>
      <c r="AJ178" s="541"/>
      <c r="AK178" s="541"/>
      <c r="AL178" s="541"/>
      <c r="AM178" s="541"/>
      <c r="AN178" s="541"/>
      <c r="AO178" s="541"/>
      <c r="AP178" s="541"/>
      <c r="AQ178" s="541"/>
      <c r="AR178" s="541"/>
      <c r="AS178" s="541"/>
      <c r="AT178" s="541"/>
      <c r="AU178" s="541"/>
      <c r="AV178" s="1036"/>
      <c r="AW178" s="1036"/>
      <c r="AX178" s="1036"/>
      <c r="AY178" s="1036"/>
      <c r="AZ178" s="1559">
        <f>IFERROR(CHOOSE(VLOOKUP(C176,ExistingShareableCommitmentTypeTable[],9,FALSE),MAX(AV176,AZ176),0),0)</f>
        <v>0</v>
      </c>
      <c r="BA178" s="1559"/>
      <c r="BB178" s="1559"/>
      <c r="BC178" s="1559"/>
      <c r="BD178" s="541"/>
      <c r="BE178" s="541"/>
      <c r="BF178" s="541"/>
      <c r="BG178" s="541"/>
      <c r="BH178" s="541"/>
      <c r="BI178" s="541"/>
      <c r="BJ178" s="541"/>
      <c r="BK178" s="541"/>
      <c r="BL178" s="541"/>
      <c r="BM178" s="541"/>
      <c r="BN178" s="541"/>
      <c r="BO178" s="541"/>
      <c r="BP178" s="541"/>
      <c r="BQ178" s="541"/>
      <c r="BR178" s="541"/>
      <c r="BS178" s="541"/>
      <c r="BT178" s="541"/>
      <c r="BU178" s="541"/>
      <c r="BV178" s="541"/>
      <c r="BW178" s="541"/>
      <c r="BX178" s="541"/>
      <c r="BY178" s="541"/>
      <c r="BZ178" s="541"/>
      <c r="CA178" s="541"/>
      <c r="CB178" s="541"/>
      <c r="CC178" s="550"/>
      <c r="CD178" s="654">
        <f ca="1">IFERROR(VLOOKUP(U178,ApplicantList[],2,FALSE),0)</f>
        <v>0</v>
      </c>
      <c r="CE178" s="1056"/>
      <c r="CF178" s="1056"/>
      <c r="CG178" s="1057"/>
      <c r="CH178" s="1057"/>
      <c r="CI178" s="398"/>
      <c r="CJ178" s="398"/>
    </row>
    <row r="179" spans="1:91" ht="18.75" hidden="1" customHeight="1" x14ac:dyDescent="0.25">
      <c r="A179" s="176"/>
      <c r="B179" s="77"/>
      <c r="C179" s="569"/>
      <c r="D179" s="570"/>
      <c r="E179" s="570"/>
      <c r="F179" s="570"/>
      <c r="G179" s="570"/>
      <c r="H179" s="570"/>
      <c r="I179" s="570"/>
      <c r="J179" s="570"/>
      <c r="K179" s="570"/>
      <c r="L179" s="570"/>
      <c r="M179" s="570"/>
      <c r="N179" s="570"/>
      <c r="O179" s="570"/>
      <c r="P179" s="570"/>
      <c r="Q179" s="570"/>
      <c r="R179" s="472"/>
      <c r="S179" s="472"/>
      <c r="T179" s="472"/>
      <c r="U179" s="1473"/>
      <c r="V179" s="1473"/>
      <c r="W179" s="1473"/>
      <c r="X179" s="1473"/>
      <c r="Y179" s="1473"/>
      <c r="Z179" s="1497"/>
      <c r="AA179" s="1497"/>
      <c r="AB179" s="1497"/>
      <c r="AC179" s="1497"/>
      <c r="AD179" s="1497"/>
      <c r="AE179" s="1497"/>
      <c r="AF179" s="1497"/>
      <c r="AG179" s="1497"/>
      <c r="AH179" s="544"/>
      <c r="AI179" s="541"/>
      <c r="AJ179" s="541"/>
      <c r="AK179" s="541"/>
      <c r="AL179" s="541"/>
      <c r="AM179" s="541"/>
      <c r="AN179" s="541"/>
      <c r="AO179" s="541"/>
      <c r="AP179" s="541"/>
      <c r="AQ179" s="541"/>
      <c r="AR179" s="541"/>
      <c r="AS179" s="541"/>
      <c r="AT179" s="541"/>
      <c r="AU179" s="541"/>
      <c r="AV179" s="1036"/>
      <c r="AW179" s="1036"/>
      <c r="AX179" s="1036"/>
      <c r="AY179" s="1036"/>
      <c r="AZ179" s="1036"/>
      <c r="BA179" s="1036"/>
      <c r="BB179" s="1036"/>
      <c r="BC179" s="1036"/>
      <c r="BD179" s="541"/>
      <c r="BE179" s="541"/>
      <c r="BF179" s="541"/>
      <c r="BG179" s="541"/>
      <c r="BH179" s="541"/>
      <c r="BI179" s="541"/>
      <c r="BJ179" s="541"/>
      <c r="BK179" s="541"/>
      <c r="BL179" s="541"/>
      <c r="BM179" s="541"/>
      <c r="BN179" s="541"/>
      <c r="BO179" s="541"/>
      <c r="BP179" s="541"/>
      <c r="BQ179" s="541"/>
      <c r="BR179" s="541"/>
      <c r="BS179" s="541"/>
      <c r="BT179" s="541"/>
      <c r="BU179" s="541"/>
      <c r="BV179" s="541"/>
      <c r="BW179" s="541"/>
      <c r="BX179" s="541"/>
      <c r="BY179" s="541"/>
      <c r="BZ179" s="541"/>
      <c r="CA179" s="541"/>
      <c r="CB179" s="541"/>
      <c r="CC179" s="550"/>
      <c r="CD179" s="654">
        <f ca="1">IFERROR(VLOOKUP(U179,ApplicantList[],2,FALSE),0)</f>
        <v>0</v>
      </c>
      <c r="CE179" s="1056"/>
      <c r="CF179" s="1056"/>
      <c r="CG179" s="1057"/>
      <c r="CH179" s="1057"/>
      <c r="CI179" s="398"/>
      <c r="CJ179" s="398"/>
    </row>
    <row r="180" spans="1:91" ht="18.75" hidden="1" customHeight="1" x14ac:dyDescent="0.25">
      <c r="A180" s="176"/>
      <c r="B180" s="78"/>
      <c r="C180" s="569"/>
      <c r="D180" s="570"/>
      <c r="E180" s="570"/>
      <c r="F180" s="570"/>
      <c r="G180" s="570"/>
      <c r="H180" s="570"/>
      <c r="I180" s="570"/>
      <c r="J180" s="570"/>
      <c r="K180" s="570"/>
      <c r="L180" s="570"/>
      <c r="M180" s="570"/>
      <c r="N180" s="570"/>
      <c r="O180" s="570"/>
      <c r="P180" s="570"/>
      <c r="Q180" s="570"/>
      <c r="R180" s="472"/>
      <c r="S180" s="472"/>
      <c r="T180" s="472"/>
      <c r="U180" s="1473"/>
      <c r="V180" s="1473"/>
      <c r="W180" s="1473"/>
      <c r="X180" s="1473"/>
      <c r="Y180" s="1473"/>
      <c r="Z180" s="1497"/>
      <c r="AA180" s="1497"/>
      <c r="AB180" s="1497"/>
      <c r="AC180" s="1497"/>
      <c r="AD180" s="1497"/>
      <c r="AE180" s="1497"/>
      <c r="AF180" s="1497"/>
      <c r="AG180" s="1497"/>
      <c r="AH180" s="544"/>
      <c r="AI180" s="541"/>
      <c r="AJ180" s="541"/>
      <c r="AK180" s="541"/>
      <c r="AL180" s="541"/>
      <c r="AM180" s="541"/>
      <c r="AN180" s="541"/>
      <c r="AO180" s="541"/>
      <c r="AP180" s="541"/>
      <c r="AQ180" s="541"/>
      <c r="AR180" s="541"/>
      <c r="AS180" s="541"/>
      <c r="AT180" s="541"/>
      <c r="AU180" s="541"/>
      <c r="AV180" s="1036"/>
      <c r="AW180" s="1036"/>
      <c r="AX180" s="1036"/>
      <c r="AY180" s="1036"/>
      <c r="AZ180" s="1036"/>
      <c r="BA180" s="1036"/>
      <c r="BB180" s="1036"/>
      <c r="BC180" s="1036"/>
      <c r="BD180" s="541"/>
      <c r="BE180" s="541"/>
      <c r="BF180" s="541"/>
      <c r="BG180" s="541"/>
      <c r="BH180" s="541"/>
      <c r="BI180" s="541"/>
      <c r="BJ180" s="541"/>
      <c r="BK180" s="541"/>
      <c r="BL180" s="541"/>
      <c r="BM180" s="541"/>
      <c r="BN180" s="541"/>
      <c r="BO180" s="541"/>
      <c r="BP180" s="541"/>
      <c r="BQ180" s="541"/>
      <c r="BR180" s="541"/>
      <c r="BS180" s="541"/>
      <c r="BT180" s="541"/>
      <c r="BU180" s="541"/>
      <c r="BV180" s="541"/>
      <c r="BW180" s="541"/>
      <c r="BX180" s="541"/>
      <c r="BY180" s="541"/>
      <c r="BZ180" s="541"/>
      <c r="CA180" s="541"/>
      <c r="CB180" s="541"/>
      <c r="CC180" s="550"/>
      <c r="CD180" s="654">
        <f ca="1">IFERROR(VLOOKUP(U180,ApplicantList[],2,FALSE),0)</f>
        <v>0</v>
      </c>
      <c r="CE180" s="1056"/>
      <c r="CF180" s="1056"/>
      <c r="CG180" s="1057"/>
      <c r="CH180" s="1057"/>
      <c r="CI180" s="398"/>
      <c r="CJ180" s="398"/>
    </row>
    <row r="181" spans="1:91" ht="18.75" hidden="1" customHeight="1" x14ac:dyDescent="0.25">
      <c r="A181" s="176"/>
      <c r="B181" s="77"/>
      <c r="C181" s="571"/>
      <c r="D181" s="572"/>
      <c r="E181" s="572"/>
      <c r="F181" s="572"/>
      <c r="G181" s="572"/>
      <c r="H181" s="572"/>
      <c r="I181" s="572"/>
      <c r="J181" s="572"/>
      <c r="K181" s="572"/>
      <c r="L181" s="572"/>
      <c r="M181" s="572"/>
      <c r="N181" s="572"/>
      <c r="O181" s="572"/>
      <c r="P181" s="572"/>
      <c r="Q181" s="572"/>
      <c r="R181" s="473"/>
      <c r="S181" s="473"/>
      <c r="T181" s="473"/>
      <c r="U181" s="1473"/>
      <c r="V181" s="1473"/>
      <c r="W181" s="1473"/>
      <c r="X181" s="1473"/>
      <c r="Y181" s="1473"/>
      <c r="Z181" s="1497"/>
      <c r="AA181" s="1497"/>
      <c r="AB181" s="1497"/>
      <c r="AC181" s="1497"/>
      <c r="AD181" s="1497"/>
      <c r="AE181" s="1497"/>
      <c r="AF181" s="1497"/>
      <c r="AG181" s="1497"/>
      <c r="AH181" s="547"/>
      <c r="AI181" s="548"/>
      <c r="AJ181" s="548"/>
      <c r="AK181" s="548"/>
      <c r="AL181" s="548"/>
      <c r="AM181" s="548"/>
      <c r="AN181" s="548"/>
      <c r="AO181" s="548"/>
      <c r="AP181" s="548"/>
      <c r="AQ181" s="548"/>
      <c r="AR181" s="548"/>
      <c r="AS181" s="548"/>
      <c r="AT181" s="548"/>
      <c r="AU181" s="548"/>
      <c r="AV181" s="1037"/>
      <c r="AW181" s="1037"/>
      <c r="AX181" s="1037"/>
      <c r="AY181" s="1037"/>
      <c r="AZ181" s="1037"/>
      <c r="BA181" s="1037"/>
      <c r="BB181" s="1037"/>
      <c r="BC181" s="1037"/>
      <c r="BD181" s="548"/>
      <c r="BE181" s="548"/>
      <c r="BF181" s="548"/>
      <c r="BG181" s="548"/>
      <c r="BH181" s="548"/>
      <c r="BI181" s="548"/>
      <c r="BJ181" s="548"/>
      <c r="BK181" s="548"/>
      <c r="BL181" s="548"/>
      <c r="BM181" s="548"/>
      <c r="BN181" s="548"/>
      <c r="BO181" s="548"/>
      <c r="BP181" s="548"/>
      <c r="BQ181" s="548"/>
      <c r="BR181" s="548"/>
      <c r="BS181" s="548"/>
      <c r="BT181" s="548"/>
      <c r="BU181" s="548"/>
      <c r="BV181" s="548"/>
      <c r="BW181" s="548"/>
      <c r="BX181" s="548"/>
      <c r="BY181" s="548"/>
      <c r="BZ181" s="548"/>
      <c r="CA181" s="548"/>
      <c r="CB181" s="548"/>
      <c r="CC181" s="550"/>
      <c r="CD181" s="654">
        <f ca="1">IFERROR(VLOOKUP(U181,ApplicantList[],2,FALSE),0)</f>
        <v>0</v>
      </c>
      <c r="CE181" s="1056"/>
      <c r="CF181" s="1056"/>
      <c r="CG181" s="1057"/>
      <c r="CH181" s="1057"/>
      <c r="CI181" s="398"/>
      <c r="CJ181" s="398"/>
    </row>
    <row r="182" spans="1:91" ht="18.75" hidden="1" customHeight="1" x14ac:dyDescent="0.25">
      <c r="A182" s="175">
        <v>8</v>
      </c>
      <c r="B182" s="78"/>
      <c r="C182" s="1473"/>
      <c r="D182" s="1473"/>
      <c r="E182" s="1473"/>
      <c r="F182" s="1473"/>
      <c r="G182" s="1473"/>
      <c r="H182" s="1473"/>
      <c r="I182" s="1473"/>
      <c r="J182" s="1473"/>
      <c r="K182" s="1473"/>
      <c r="L182" s="1473"/>
      <c r="M182" s="1566" t="s">
        <v>373</v>
      </c>
      <c r="N182" s="1566"/>
      <c r="O182" s="1566"/>
      <c r="P182" s="1566"/>
      <c r="Q182" s="1566"/>
      <c r="R182" s="1566">
        <v>1</v>
      </c>
      <c r="S182" s="1566"/>
      <c r="T182" s="1566"/>
      <c r="U182" s="1473"/>
      <c r="V182" s="1473"/>
      <c r="W182" s="1473"/>
      <c r="X182" s="1473"/>
      <c r="Y182" s="1473"/>
      <c r="Z182" s="1497"/>
      <c r="AA182" s="1497"/>
      <c r="AB182" s="1497"/>
      <c r="AC182" s="1497"/>
      <c r="AD182" s="1497"/>
      <c r="AE182" s="1497"/>
      <c r="AF182" s="1497"/>
      <c r="AG182" s="1497"/>
      <c r="AH182" s="1556"/>
      <c r="AI182" s="1556"/>
      <c r="AJ182" s="1556"/>
      <c r="AK182" s="1556"/>
      <c r="AL182" s="1556"/>
      <c r="AM182" s="1556"/>
      <c r="AN182" s="1497"/>
      <c r="AO182" s="1497"/>
      <c r="AP182" s="1497"/>
      <c r="AQ182" s="1497"/>
      <c r="AR182" s="1497"/>
      <c r="AS182" s="1497"/>
      <c r="AT182" s="1497"/>
      <c r="AU182" s="1497"/>
      <c r="AV182" s="1563"/>
      <c r="AW182" s="1563"/>
      <c r="AX182" s="1563"/>
      <c r="AY182" s="1563"/>
      <c r="AZ182" s="1563"/>
      <c r="BA182" s="1563"/>
      <c r="BB182" s="1563"/>
      <c r="BC182" s="1563"/>
      <c r="BD182" s="1568"/>
      <c r="BE182" s="1568"/>
      <c r="BF182" s="1568"/>
      <c r="BG182" s="1567"/>
      <c r="BH182" s="1567"/>
      <c r="BI182" s="1583"/>
      <c r="BJ182" s="1583"/>
      <c r="BK182" s="1583"/>
      <c r="BL182" s="1583"/>
      <c r="BM182" s="1586"/>
      <c r="BN182" s="1586"/>
      <c r="BO182" s="1586"/>
      <c r="BP182" s="1586"/>
      <c r="BQ182" s="1585"/>
      <c r="BR182" s="1585"/>
      <c r="BS182" s="1585"/>
      <c r="BT182" s="1585"/>
      <c r="BU182" s="1584" cm="1">
        <f t="array" aca="1" ref="BU182" ca="1">IF(M182="Default",1,IF(AND(C182="Portfolio loan - sub account",CF182=FALSE),0,IF(AND(AH182=2,AK182=1, VLOOKUP(U182,ApplicantList[],3,FALSE)="Non-applicant"),INDIRECT("ICApp" &amp; VLOOKUP(U182,ApplicantList[],2,FALSE) &amp; "HouseholdIncomeApportioningRatio"),IFERROR(MIN(ROUNDUP(MAX(SUM(Z182:AC187)+AN182,SUM(AD182:AG187)+AR182,(COUNTIF(Z182:AC187,"&gt;0")+AK182)/AH182),4),1),""))))</f>
        <v>1</v>
      </c>
      <c r="BV182" s="1584"/>
      <c r="BW182" s="1584"/>
      <c r="BX182" s="1584"/>
      <c r="BY182" s="1569">
        <f>IFERROR(ROUNDUP(CHOOSE(VLOOKUP(C182,ExistingShareableCommitmentTypeTable[],6,FALSE),MAX(BI182,PMT(CG182/12,CJ182,-AZ183))*BU182,MAX(BI182,(AZ183*CG182/12))*BU182,0,BI182*BU182,MAX(BI182,(AZ183*CG182))*BU182,AZ183*CG182*BU182,IF(CF182,MAX(CI182,PMT(CG182/12,240,-AZ183))*BU182,0)),2),0)</f>
        <v>0</v>
      </c>
      <c r="BZ182" s="1569"/>
      <c r="CA182" s="1569"/>
      <c r="CB182" s="1492"/>
      <c r="CC182" s="1306"/>
      <c r="CD182" s="654">
        <f ca="1">IFERROR(VLOOKUP(U182,ApplicantList[],2,FALSE),0)</f>
        <v>0</v>
      </c>
      <c r="CE182" s="1055">
        <f>IFERROR(MAX(AV182,AZ182),0)</f>
        <v>0</v>
      </c>
      <c r="CF182" s="1056" t="b">
        <f>IF(C182="Portfolio loan - sub account",IF(NOT(ISBLANK(BQ182)),IF(COUNTIF($BQ$140:$BQ$254,BQ182)&gt;1,IF(COUNTIFS(BQ$140:BQ182,BQ182,C$140:C182,"Portfolio loan - sub account")=1,TRUE,FALSE),TRUE),FALSE),FALSE)</f>
        <v>0</v>
      </c>
      <c r="CG182" s="1057">
        <f>IFERROR(IF(C182="",0,CHOOSE(VLOOKUP(C182,ExistingShareableCommitmentTypeTable[],7,FALSE),MAX(BD182+$BE$136,FloorRateMCAR,$CJ$136),MAX(BD182,VLOOKUP(C182,ExistingShareableCommitmentTypeTable[],2,FALSE)),VLOOKUP(C182,ExistingShareableCommitmentTypeTable[],2,FALSE),MAX(BD182+$BE$136,FloorRateMCIR,$CJ$136),MAX(CH182+$BE$136,FloorRateMCIR,$CJ$136))),0)</f>
        <v>0</v>
      </c>
      <c r="CH182" s="1057" cm="1">
        <f t="array" ref="CH182">_xlfn.AGGREGATE(14,4,($C$140:$C$259="Portfolio loan - sub account")*($BQ$140:$BQ$259=$BQ182)*$BD$140:$BD$259,1)</f>
        <v>0</v>
      </c>
      <c r="CI182" s="1061">
        <f>SUMIFS($BI$140:$BI$254,$BQ$140:$BQ$254,BQ182,$C$140:$C$254,"Portfolio loan - sub account")</f>
        <v>0</v>
      </c>
      <c r="CJ182" s="619" t="e">
        <f>IF(OR(BG182="",BG182=0),VLOOKUP(C182,ExistingShareableCommitmentTypeTable[],MATCH("DefaultTerm",ExistingShareableCommitmentTypeTable[#Headers],0),FALSE),BG182)</f>
        <v>#N/A</v>
      </c>
      <c r="CK182" s="530" t="str">
        <f>IFERROR(VLOOKUP($C182,ExistingShareableCommitmentTypeTable[],MATCH(CK$138,ExistingShareableCommitmentTypeTable[#Headers],0),FALSE),"No")</f>
        <v>No</v>
      </c>
      <c r="CL182" s="530" t="str">
        <f>IFERROR(VLOOKUP($C182,ExistingShareableCommitmentTypeTable[],MATCH(CL$138,ExistingShareableCommitmentTypeTable[#Headers],0),FALSE),"No")</f>
        <v>No</v>
      </c>
      <c r="CM182" s="530" t="str">
        <f>IFERROR(VLOOKUP($C182,ExistingShareableCommitmentTypeTable[],MATCH(CM$138,ExistingShareableCommitmentTypeTable[#Headers],0),FALSE),"No")</f>
        <v>No</v>
      </c>
    </row>
    <row r="183" spans="1:91" ht="18.75" hidden="1" customHeight="1" x14ac:dyDescent="0.25">
      <c r="A183" s="176"/>
      <c r="B183" s="77"/>
      <c r="C183" s="567"/>
      <c r="D183" s="568"/>
      <c r="E183" s="568"/>
      <c r="F183" s="568"/>
      <c r="G183" s="568"/>
      <c r="H183" s="568"/>
      <c r="I183" s="568"/>
      <c r="J183" s="568"/>
      <c r="K183" s="568"/>
      <c r="L183" s="568"/>
      <c r="M183" s="568"/>
      <c r="N183" s="568"/>
      <c r="O183" s="568"/>
      <c r="P183" s="568"/>
      <c r="Q183" s="568"/>
      <c r="R183" s="471"/>
      <c r="S183" s="471"/>
      <c r="T183" s="471"/>
      <c r="U183" s="1473"/>
      <c r="V183" s="1473"/>
      <c r="W183" s="1473"/>
      <c r="X183" s="1473"/>
      <c r="Y183" s="1473"/>
      <c r="Z183" s="1497"/>
      <c r="AA183" s="1497"/>
      <c r="AB183" s="1497"/>
      <c r="AC183" s="1497"/>
      <c r="AD183" s="1497"/>
      <c r="AE183" s="1497"/>
      <c r="AF183" s="1497"/>
      <c r="AG183" s="1497"/>
      <c r="AH183" s="541" t="b">
        <f>SUM(Z182:Z187,AN182)&gt;1</f>
        <v>0</v>
      </c>
      <c r="AI183" s="541" t="b">
        <f>SUM(AD182:AD187,AR182)&gt;1</f>
        <v>0</v>
      </c>
      <c r="AJ183" s="541" t="b">
        <f>AND(NOT(ISBLANK($AH182)),SUM($R182,$AK182)&gt;$AH182)</f>
        <v>0</v>
      </c>
      <c r="AK183" s="542"/>
      <c r="AL183" s="542"/>
      <c r="AM183" s="542"/>
      <c r="AN183" s="542"/>
      <c r="AO183" s="542"/>
      <c r="AP183" s="542"/>
      <c r="AQ183" s="542"/>
      <c r="AR183" s="542"/>
      <c r="AS183" s="542"/>
      <c r="AT183" s="542"/>
      <c r="AU183" s="542"/>
      <c r="AV183" s="1035"/>
      <c r="AW183" s="1035"/>
      <c r="AX183" s="1035"/>
      <c r="AY183" s="1035"/>
      <c r="AZ183" s="1564">
        <f>IFERROR(CHOOSE(VLOOKUP(C182,ExistingShareableCommitmentTypeTable[],8,FALSE),MAX(AV182,AZ182),AV182,SUMIFS($CE$140:$CE$254,$BQ$140:$BQ$254,BQ182,$C$140:$C$254,"Portfolio loan - sub account"),MAX(AV182,AZ182)-BM182),0)</f>
        <v>0</v>
      </c>
      <c r="BA183" s="1564"/>
      <c r="BB183" s="1564"/>
      <c r="BC183" s="1564"/>
      <c r="BD183" s="1582"/>
      <c r="BE183" s="1582"/>
      <c r="BF183" s="1582"/>
      <c r="BG183" s="1053"/>
      <c r="BH183" s="542"/>
      <c r="BI183" s="542"/>
      <c r="BJ183" s="542"/>
      <c r="BK183" s="542"/>
      <c r="BL183" s="542"/>
      <c r="BM183" s="542"/>
      <c r="BN183" s="542"/>
      <c r="BO183" s="542"/>
      <c r="BP183" s="542"/>
      <c r="BQ183" s="542"/>
      <c r="BR183" s="542"/>
      <c r="BS183" s="542"/>
      <c r="BT183" s="542"/>
      <c r="BU183" s="542"/>
      <c r="BV183" s="542"/>
      <c r="BW183" s="542"/>
      <c r="BX183" s="541"/>
      <c r="BY183" s="542"/>
      <c r="BZ183" s="542"/>
      <c r="CA183" s="542"/>
      <c r="CB183" s="542"/>
      <c r="CC183" s="550"/>
      <c r="CD183" s="654">
        <f ca="1">IFERROR(VLOOKUP(U183,ApplicantList[],2,FALSE),0)</f>
        <v>0</v>
      </c>
      <c r="CE183" s="1056"/>
      <c r="CF183" s="1056"/>
      <c r="CG183" s="1057"/>
      <c r="CH183" s="1057"/>
      <c r="CI183" s="398"/>
      <c r="CJ183" s="398"/>
    </row>
    <row r="184" spans="1:91" ht="18.75" hidden="1" customHeight="1" x14ac:dyDescent="0.25">
      <c r="A184" s="176"/>
      <c r="B184" s="78"/>
      <c r="C184" s="569"/>
      <c r="D184" s="570"/>
      <c r="E184" s="570"/>
      <c r="F184" s="570"/>
      <c r="G184" s="570"/>
      <c r="H184" s="570"/>
      <c r="I184" s="570"/>
      <c r="J184" s="570"/>
      <c r="K184" s="570"/>
      <c r="L184" s="570"/>
      <c r="M184" s="570"/>
      <c r="N184" s="570"/>
      <c r="O184" s="570"/>
      <c r="P184" s="570"/>
      <c r="Q184" s="570"/>
      <c r="R184" s="472"/>
      <c r="S184" s="472"/>
      <c r="T184" s="472"/>
      <c r="U184" s="1473"/>
      <c r="V184" s="1473"/>
      <c r="W184" s="1473"/>
      <c r="X184" s="1473"/>
      <c r="Y184" s="1473"/>
      <c r="Z184" s="1497"/>
      <c r="AA184" s="1497"/>
      <c r="AB184" s="1497"/>
      <c r="AC184" s="1497"/>
      <c r="AD184" s="1497"/>
      <c r="AE184" s="1497"/>
      <c r="AF184" s="1497"/>
      <c r="AG184" s="1497"/>
      <c r="AH184" s="544"/>
      <c r="AI184" s="541"/>
      <c r="AJ184" s="541"/>
      <c r="AK184" s="541"/>
      <c r="AL184" s="541"/>
      <c r="AM184" s="541"/>
      <c r="AN184" s="541"/>
      <c r="AO184" s="541"/>
      <c r="AP184" s="541"/>
      <c r="AQ184" s="541"/>
      <c r="AR184" s="541"/>
      <c r="AS184" s="541"/>
      <c r="AT184" s="541"/>
      <c r="AU184" s="541"/>
      <c r="AV184" s="1036"/>
      <c r="AW184" s="1036"/>
      <c r="AX184" s="1036"/>
      <c r="AY184" s="1036"/>
      <c r="AZ184" s="1559">
        <f>IFERROR(CHOOSE(VLOOKUP(C182,ExistingShareableCommitmentTypeTable[],9,FALSE),MAX(AV182,AZ182),0),0)</f>
        <v>0</v>
      </c>
      <c r="BA184" s="1559"/>
      <c r="BB184" s="1559"/>
      <c r="BC184" s="1559"/>
      <c r="BD184" s="541"/>
      <c r="BE184" s="541"/>
      <c r="BF184" s="541"/>
      <c r="BG184" s="541"/>
      <c r="BH184" s="541"/>
      <c r="BI184" s="541"/>
      <c r="BJ184" s="541"/>
      <c r="BK184" s="541"/>
      <c r="BL184" s="541"/>
      <c r="BM184" s="541"/>
      <c r="BN184" s="541"/>
      <c r="BO184" s="541"/>
      <c r="BP184" s="541"/>
      <c r="BQ184" s="541"/>
      <c r="BR184" s="541"/>
      <c r="BS184" s="541"/>
      <c r="BT184" s="541"/>
      <c r="BU184" s="541"/>
      <c r="BV184" s="541"/>
      <c r="BW184" s="541"/>
      <c r="BX184" s="541"/>
      <c r="BY184" s="541"/>
      <c r="BZ184" s="541"/>
      <c r="CA184" s="541"/>
      <c r="CB184" s="541"/>
      <c r="CC184" s="550"/>
      <c r="CD184" s="654">
        <f ca="1">IFERROR(VLOOKUP(U184,ApplicantList[],2,FALSE),0)</f>
        <v>0</v>
      </c>
      <c r="CE184" s="1056"/>
      <c r="CF184" s="1056"/>
      <c r="CG184" s="1057"/>
      <c r="CH184" s="1057"/>
      <c r="CI184" s="398"/>
      <c r="CJ184" s="398"/>
    </row>
    <row r="185" spans="1:91" ht="18.75" hidden="1" customHeight="1" x14ac:dyDescent="0.25">
      <c r="A185" s="176"/>
      <c r="B185" s="77"/>
      <c r="C185" s="569"/>
      <c r="D185" s="570"/>
      <c r="E185" s="570"/>
      <c r="F185" s="570"/>
      <c r="G185" s="570"/>
      <c r="H185" s="570"/>
      <c r="I185" s="570"/>
      <c r="J185" s="570"/>
      <c r="K185" s="570"/>
      <c r="L185" s="570"/>
      <c r="M185" s="570"/>
      <c r="N185" s="570"/>
      <c r="O185" s="570"/>
      <c r="P185" s="570"/>
      <c r="Q185" s="570"/>
      <c r="R185" s="472"/>
      <c r="S185" s="472"/>
      <c r="T185" s="472"/>
      <c r="U185" s="1473"/>
      <c r="V185" s="1473"/>
      <c r="W185" s="1473"/>
      <c r="X185" s="1473"/>
      <c r="Y185" s="1473"/>
      <c r="Z185" s="1497"/>
      <c r="AA185" s="1497"/>
      <c r="AB185" s="1497"/>
      <c r="AC185" s="1497"/>
      <c r="AD185" s="1497"/>
      <c r="AE185" s="1497"/>
      <c r="AF185" s="1497"/>
      <c r="AG185" s="1497"/>
      <c r="AH185" s="544"/>
      <c r="AI185" s="541"/>
      <c r="AJ185" s="541"/>
      <c r="AK185" s="541"/>
      <c r="AL185" s="541"/>
      <c r="AM185" s="541"/>
      <c r="AN185" s="541"/>
      <c r="AO185" s="541"/>
      <c r="AP185" s="541"/>
      <c r="AQ185" s="541"/>
      <c r="AR185" s="541"/>
      <c r="AS185" s="541"/>
      <c r="AT185" s="541"/>
      <c r="AU185" s="541"/>
      <c r="AV185" s="1036"/>
      <c r="AW185" s="1036"/>
      <c r="AX185" s="1036"/>
      <c r="AY185" s="1036"/>
      <c r="AZ185" s="1036"/>
      <c r="BA185" s="1036"/>
      <c r="BB185" s="1036"/>
      <c r="BC185" s="1036"/>
      <c r="BD185" s="541"/>
      <c r="BE185" s="541"/>
      <c r="BF185" s="541"/>
      <c r="BG185" s="541"/>
      <c r="BH185" s="541"/>
      <c r="BI185" s="541"/>
      <c r="BJ185" s="541"/>
      <c r="BK185" s="541"/>
      <c r="BL185" s="541"/>
      <c r="BM185" s="541"/>
      <c r="BN185" s="541"/>
      <c r="BO185" s="541"/>
      <c r="BP185" s="541"/>
      <c r="BQ185" s="541"/>
      <c r="BR185" s="541"/>
      <c r="BS185" s="541"/>
      <c r="BT185" s="541"/>
      <c r="BU185" s="541"/>
      <c r="BV185" s="541"/>
      <c r="BW185" s="541"/>
      <c r="BX185" s="541"/>
      <c r="BY185" s="541"/>
      <c r="BZ185" s="541"/>
      <c r="CA185" s="541"/>
      <c r="CB185" s="541"/>
      <c r="CC185" s="550"/>
      <c r="CD185" s="654">
        <f ca="1">IFERROR(VLOOKUP(U185,ApplicantList[],2,FALSE),0)</f>
        <v>0</v>
      </c>
      <c r="CE185" s="1056"/>
      <c r="CF185" s="1056"/>
      <c r="CG185" s="1057"/>
      <c r="CH185" s="1057"/>
      <c r="CI185" s="398"/>
      <c r="CJ185" s="398"/>
    </row>
    <row r="186" spans="1:91" ht="18.75" hidden="1" customHeight="1" x14ac:dyDescent="0.25">
      <c r="A186" s="175"/>
      <c r="B186" s="78"/>
      <c r="C186" s="569"/>
      <c r="D186" s="570"/>
      <c r="E186" s="570"/>
      <c r="F186" s="570"/>
      <c r="G186" s="570"/>
      <c r="H186" s="570"/>
      <c r="I186" s="570"/>
      <c r="J186" s="570"/>
      <c r="K186" s="570"/>
      <c r="L186" s="570"/>
      <c r="M186" s="570"/>
      <c r="N186" s="570"/>
      <c r="O186" s="570"/>
      <c r="P186" s="570"/>
      <c r="Q186" s="570"/>
      <c r="R186" s="472"/>
      <c r="S186" s="472"/>
      <c r="T186" s="472"/>
      <c r="U186" s="1473"/>
      <c r="V186" s="1473"/>
      <c r="W186" s="1473"/>
      <c r="X186" s="1473"/>
      <c r="Y186" s="1473"/>
      <c r="Z186" s="1497"/>
      <c r="AA186" s="1497"/>
      <c r="AB186" s="1497"/>
      <c r="AC186" s="1497"/>
      <c r="AD186" s="1497"/>
      <c r="AE186" s="1497"/>
      <c r="AF186" s="1497"/>
      <c r="AG186" s="1497"/>
      <c r="AH186" s="544"/>
      <c r="AI186" s="541"/>
      <c r="AJ186" s="541"/>
      <c r="AK186" s="541"/>
      <c r="AL186" s="541"/>
      <c r="AM186" s="541"/>
      <c r="AN186" s="541"/>
      <c r="AO186" s="541"/>
      <c r="AP186" s="541"/>
      <c r="AQ186" s="541"/>
      <c r="AR186" s="541"/>
      <c r="AS186" s="541"/>
      <c r="AT186" s="541"/>
      <c r="AU186" s="541"/>
      <c r="AV186" s="1036"/>
      <c r="AW186" s="1036"/>
      <c r="AX186" s="1036"/>
      <c r="AY186" s="1036"/>
      <c r="AZ186" s="1036"/>
      <c r="BA186" s="1036"/>
      <c r="BB186" s="1036"/>
      <c r="BC186" s="1036"/>
      <c r="BD186" s="541"/>
      <c r="BE186" s="541"/>
      <c r="BF186" s="541"/>
      <c r="BG186" s="541"/>
      <c r="BH186" s="541"/>
      <c r="BI186" s="541"/>
      <c r="BJ186" s="541"/>
      <c r="BK186" s="541"/>
      <c r="BL186" s="541"/>
      <c r="BM186" s="541"/>
      <c r="BN186" s="541"/>
      <c r="BO186" s="541"/>
      <c r="BP186" s="541"/>
      <c r="BQ186" s="541"/>
      <c r="BR186" s="541"/>
      <c r="BS186" s="541"/>
      <c r="BT186" s="541"/>
      <c r="BU186" s="541"/>
      <c r="BV186" s="541"/>
      <c r="BW186" s="541"/>
      <c r="BX186" s="541"/>
      <c r="BY186" s="541"/>
      <c r="BZ186" s="541"/>
      <c r="CA186" s="541"/>
      <c r="CB186" s="541"/>
      <c r="CC186" s="550"/>
      <c r="CD186" s="654">
        <f ca="1">IFERROR(VLOOKUP(U186,ApplicantList[],2,FALSE),0)</f>
        <v>0</v>
      </c>
      <c r="CE186" s="1056"/>
      <c r="CF186" s="1056"/>
      <c r="CG186" s="1057"/>
      <c r="CH186" s="1057"/>
      <c r="CI186" s="398"/>
      <c r="CJ186" s="398"/>
    </row>
    <row r="187" spans="1:91" ht="18.75" hidden="1" customHeight="1" x14ac:dyDescent="0.25">
      <c r="A187" s="176"/>
      <c r="B187" s="77"/>
      <c r="C187" s="571"/>
      <c r="D187" s="572"/>
      <c r="E187" s="572"/>
      <c r="F187" s="572"/>
      <c r="G187" s="572"/>
      <c r="H187" s="572"/>
      <c r="I187" s="572"/>
      <c r="J187" s="572"/>
      <c r="K187" s="572"/>
      <c r="L187" s="572"/>
      <c r="M187" s="572"/>
      <c r="N187" s="572"/>
      <c r="O187" s="572"/>
      <c r="P187" s="572"/>
      <c r="Q187" s="572"/>
      <c r="R187" s="473"/>
      <c r="S187" s="473"/>
      <c r="T187" s="473"/>
      <c r="U187" s="1473"/>
      <c r="V187" s="1473"/>
      <c r="W187" s="1473"/>
      <c r="X187" s="1473"/>
      <c r="Y187" s="1473"/>
      <c r="Z187" s="1497"/>
      <c r="AA187" s="1497"/>
      <c r="AB187" s="1497"/>
      <c r="AC187" s="1497"/>
      <c r="AD187" s="1497"/>
      <c r="AE187" s="1497"/>
      <c r="AF187" s="1497"/>
      <c r="AG187" s="1497"/>
      <c r="AH187" s="547"/>
      <c r="AI187" s="548"/>
      <c r="AJ187" s="548"/>
      <c r="AK187" s="548"/>
      <c r="AL187" s="548"/>
      <c r="AM187" s="548"/>
      <c r="AN187" s="548"/>
      <c r="AO187" s="548"/>
      <c r="AP187" s="548"/>
      <c r="AQ187" s="548"/>
      <c r="AR187" s="548"/>
      <c r="AS187" s="548"/>
      <c r="AT187" s="548"/>
      <c r="AU187" s="548"/>
      <c r="AV187" s="1037"/>
      <c r="AW187" s="1037"/>
      <c r="AX187" s="1037"/>
      <c r="AY187" s="1037"/>
      <c r="AZ187" s="1037"/>
      <c r="BA187" s="1037"/>
      <c r="BB187" s="1037"/>
      <c r="BC187" s="1037"/>
      <c r="BD187" s="548"/>
      <c r="BE187" s="548"/>
      <c r="BF187" s="548"/>
      <c r="BG187" s="548"/>
      <c r="BH187" s="548"/>
      <c r="BI187" s="548"/>
      <c r="BJ187" s="548"/>
      <c r="BK187" s="548"/>
      <c r="BL187" s="548"/>
      <c r="BM187" s="548"/>
      <c r="BN187" s="548"/>
      <c r="BO187" s="548"/>
      <c r="BP187" s="548"/>
      <c r="BQ187" s="548"/>
      <c r="BR187" s="548"/>
      <c r="BS187" s="548"/>
      <c r="BT187" s="548"/>
      <c r="BU187" s="548"/>
      <c r="BV187" s="548"/>
      <c r="BW187" s="548"/>
      <c r="BX187" s="548"/>
      <c r="BY187" s="548"/>
      <c r="BZ187" s="548"/>
      <c r="CA187" s="548"/>
      <c r="CB187" s="548"/>
      <c r="CC187" s="550"/>
      <c r="CD187" s="654">
        <f ca="1">IFERROR(VLOOKUP(U187,ApplicantList[],2,FALSE),0)</f>
        <v>0</v>
      </c>
      <c r="CE187" s="1056"/>
      <c r="CF187" s="1056"/>
      <c r="CG187" s="1057"/>
      <c r="CH187" s="1057"/>
      <c r="CI187" s="398"/>
      <c r="CJ187" s="398"/>
    </row>
    <row r="188" spans="1:91" ht="18.75" hidden="1" customHeight="1" x14ac:dyDescent="0.25">
      <c r="A188" s="176">
        <v>9</v>
      </c>
      <c r="B188" s="78"/>
      <c r="C188" s="1473"/>
      <c r="D188" s="1473"/>
      <c r="E188" s="1473"/>
      <c r="F188" s="1473"/>
      <c r="G188" s="1473"/>
      <c r="H188" s="1473"/>
      <c r="I188" s="1473"/>
      <c r="J188" s="1473"/>
      <c r="K188" s="1473"/>
      <c r="L188" s="1473"/>
      <c r="M188" s="1566" t="s">
        <v>373</v>
      </c>
      <c r="N188" s="1566"/>
      <c r="O188" s="1566"/>
      <c r="P188" s="1566"/>
      <c r="Q188" s="1566"/>
      <c r="R188" s="1566">
        <v>1</v>
      </c>
      <c r="S188" s="1566"/>
      <c r="T188" s="1566"/>
      <c r="U188" s="1473"/>
      <c r="V188" s="1473"/>
      <c r="W188" s="1473"/>
      <c r="X188" s="1473"/>
      <c r="Y188" s="1473"/>
      <c r="Z188" s="1497"/>
      <c r="AA188" s="1497"/>
      <c r="AB188" s="1497"/>
      <c r="AC188" s="1497"/>
      <c r="AD188" s="1497"/>
      <c r="AE188" s="1497"/>
      <c r="AF188" s="1497"/>
      <c r="AG188" s="1497"/>
      <c r="AH188" s="1556"/>
      <c r="AI188" s="1556"/>
      <c r="AJ188" s="1556"/>
      <c r="AK188" s="1556"/>
      <c r="AL188" s="1556"/>
      <c r="AM188" s="1556"/>
      <c r="AN188" s="1497"/>
      <c r="AO188" s="1497"/>
      <c r="AP188" s="1497"/>
      <c r="AQ188" s="1497"/>
      <c r="AR188" s="1497"/>
      <c r="AS188" s="1497"/>
      <c r="AT188" s="1497"/>
      <c r="AU188" s="1497"/>
      <c r="AV188" s="1563"/>
      <c r="AW188" s="1563"/>
      <c r="AX188" s="1563"/>
      <c r="AY188" s="1563"/>
      <c r="AZ188" s="1563"/>
      <c r="BA188" s="1563"/>
      <c r="BB188" s="1563"/>
      <c r="BC188" s="1563"/>
      <c r="BD188" s="1568"/>
      <c r="BE188" s="1568"/>
      <c r="BF188" s="1568"/>
      <c r="BG188" s="1567"/>
      <c r="BH188" s="1567"/>
      <c r="BI188" s="1583"/>
      <c r="BJ188" s="1583"/>
      <c r="BK188" s="1583"/>
      <c r="BL188" s="1583"/>
      <c r="BM188" s="1586"/>
      <c r="BN188" s="1586"/>
      <c r="BO188" s="1586"/>
      <c r="BP188" s="1586"/>
      <c r="BQ188" s="1585"/>
      <c r="BR188" s="1585"/>
      <c r="BS188" s="1585"/>
      <c r="BT188" s="1585"/>
      <c r="BU188" s="1584" cm="1">
        <f t="array" aca="1" ref="BU188" ca="1">IF(M188="Default",1,IF(AND(C188="Portfolio loan - sub account",CF188=FALSE),0,IF(AND(AH188=2,AK188=1, VLOOKUP(U188,ApplicantList[],3,FALSE)="Non-applicant"),INDIRECT("ICApp" &amp; VLOOKUP(U188,ApplicantList[],2,FALSE) &amp; "HouseholdIncomeApportioningRatio"),IFERROR(MIN(ROUNDUP(MAX(SUM(Z188:AC193)+AN188,SUM(AD188:AG193)+AR188,(COUNTIF(Z188:AC193,"&gt;0")+AK188)/AH188),4),1),""))))</f>
        <v>1</v>
      </c>
      <c r="BV188" s="1584"/>
      <c r="BW188" s="1584"/>
      <c r="BX188" s="1584"/>
      <c r="BY188" s="1569">
        <f>IFERROR(ROUNDUP(CHOOSE(VLOOKUP(C188,ExistingShareableCommitmentTypeTable[],6,FALSE),MAX(BI188,PMT(CG188/12,CJ188,-AZ189))*BU188,MAX(BI188,(AZ189*CG188/12))*BU188,0,BI188*BU188,MAX(BI188,(AZ189*CG188))*BU188,AZ189*CG188*BU188,IF(CF188,MAX(CI188,PMT(CG188/12,240,-AZ189))*BU188,0)),2),0)</f>
        <v>0</v>
      </c>
      <c r="BZ188" s="1569"/>
      <c r="CA188" s="1569"/>
      <c r="CB188" s="1492"/>
      <c r="CC188" s="1306"/>
      <c r="CD188" s="654">
        <f ca="1">IFERROR(VLOOKUP(U188,ApplicantList[],2,FALSE),0)</f>
        <v>0</v>
      </c>
      <c r="CE188" s="1055">
        <f>IFERROR(MAX(AV188,AZ188),0)</f>
        <v>0</v>
      </c>
      <c r="CF188" s="1056" t="b">
        <f>IF(C188="Portfolio loan - sub account",IF(NOT(ISBLANK(BQ188)),IF(COUNTIF($BQ$140:$BQ$254,BQ188)&gt;1,IF(COUNTIFS(BQ$140:BQ188,BQ188,C$140:C188,"Portfolio loan - sub account")=1,TRUE,FALSE),TRUE),FALSE),FALSE)</f>
        <v>0</v>
      </c>
      <c r="CG188" s="1057">
        <f>IFERROR(IF(C188="",0,CHOOSE(VLOOKUP(C188,ExistingShareableCommitmentTypeTable[],7,FALSE),MAX(BD188+$BE$136,FloorRateMCAR,$CJ$136),MAX(BD188,VLOOKUP(C188,ExistingShareableCommitmentTypeTable[],2,FALSE)),VLOOKUP(C188,ExistingShareableCommitmentTypeTable[],2,FALSE),MAX(BD188+$BE$136,FloorRateMCIR,$CJ$136),MAX(CH188+$BE$136,FloorRateMCIR,$CJ$136))),0)</f>
        <v>0</v>
      </c>
      <c r="CH188" s="1057" cm="1">
        <f t="array" ref="CH188">_xlfn.AGGREGATE(14,4,($C$140:$C$259="Portfolio loan - sub account")*($BQ$140:$BQ$259=$BQ188)*$BD$140:$BD$259,1)</f>
        <v>0</v>
      </c>
      <c r="CI188" s="1061">
        <f>SUMIFS($BI$140:$BI$254,$BQ$140:$BQ$254,BQ188,$C$140:$C$254,"Portfolio loan - sub account")</f>
        <v>0</v>
      </c>
      <c r="CJ188" s="619" t="e">
        <f>IF(OR(BG188="",BG188=0),VLOOKUP(C188,ExistingShareableCommitmentTypeTable[],MATCH("DefaultTerm",ExistingShareableCommitmentTypeTable[#Headers],0),FALSE),BG188)</f>
        <v>#N/A</v>
      </c>
      <c r="CK188" s="530" t="str">
        <f>IFERROR(VLOOKUP($C188,ExistingShareableCommitmentTypeTable[],MATCH(CK$138,ExistingShareableCommitmentTypeTable[#Headers],0),FALSE),"No")</f>
        <v>No</v>
      </c>
      <c r="CL188" s="530" t="str">
        <f>IFERROR(VLOOKUP($C188,ExistingShareableCommitmentTypeTable[],MATCH(CL$138,ExistingShareableCommitmentTypeTable[#Headers],0),FALSE),"No")</f>
        <v>No</v>
      </c>
      <c r="CM188" s="530" t="str">
        <f>IFERROR(VLOOKUP($C188,ExistingShareableCommitmentTypeTable[],MATCH(CM$138,ExistingShareableCommitmentTypeTable[#Headers],0),FALSE),"No")</f>
        <v>No</v>
      </c>
    </row>
    <row r="189" spans="1:91" ht="18.75" hidden="1" customHeight="1" x14ac:dyDescent="0.25">
      <c r="A189" s="176"/>
      <c r="B189" s="77"/>
      <c r="C189" s="567"/>
      <c r="D189" s="568"/>
      <c r="E189" s="568"/>
      <c r="F189" s="568"/>
      <c r="G189" s="568"/>
      <c r="H189" s="568"/>
      <c r="I189" s="568"/>
      <c r="J189" s="568"/>
      <c r="K189" s="568"/>
      <c r="L189" s="568"/>
      <c r="M189" s="568"/>
      <c r="N189" s="568"/>
      <c r="O189" s="568"/>
      <c r="P189" s="568"/>
      <c r="Q189" s="568"/>
      <c r="R189" s="471"/>
      <c r="S189" s="471"/>
      <c r="T189" s="471"/>
      <c r="U189" s="1473"/>
      <c r="V189" s="1473"/>
      <c r="W189" s="1473"/>
      <c r="X189" s="1473"/>
      <c r="Y189" s="1473"/>
      <c r="Z189" s="1497"/>
      <c r="AA189" s="1497"/>
      <c r="AB189" s="1497"/>
      <c r="AC189" s="1497"/>
      <c r="AD189" s="1497"/>
      <c r="AE189" s="1497"/>
      <c r="AF189" s="1497"/>
      <c r="AG189" s="1497"/>
      <c r="AH189" s="541" t="b">
        <f>SUM(Z188:Z193,AN188)&gt;1</f>
        <v>0</v>
      </c>
      <c r="AI189" s="541" t="b">
        <f>SUM(AD188:AD193,AR188)&gt;1</f>
        <v>0</v>
      </c>
      <c r="AJ189" s="541" t="b">
        <f>AND(NOT(ISBLANK($AH188)),SUM($R188,$AK188)&gt;$AH188)</f>
        <v>0</v>
      </c>
      <c r="AK189" s="542"/>
      <c r="AL189" s="542"/>
      <c r="AM189" s="542"/>
      <c r="AN189" s="542"/>
      <c r="AO189" s="542"/>
      <c r="AP189" s="542"/>
      <c r="AQ189" s="542"/>
      <c r="AR189" s="542"/>
      <c r="AS189" s="542"/>
      <c r="AT189" s="542"/>
      <c r="AU189" s="542"/>
      <c r="AV189" s="1035"/>
      <c r="AW189" s="1035"/>
      <c r="AX189" s="1035"/>
      <c r="AY189" s="1035"/>
      <c r="AZ189" s="1564">
        <f>IFERROR(CHOOSE(VLOOKUP(C188,ExistingShareableCommitmentTypeTable[],8,FALSE),MAX(AV188,AZ188),AV188,SUMIFS($CE$140:$CE$254,$BQ$140:$BQ$254,BQ188,$C$140:$C$254,"Portfolio loan - sub account"),MAX(AV188,AZ188)-BM188),0)</f>
        <v>0</v>
      </c>
      <c r="BA189" s="1564"/>
      <c r="BB189" s="1564"/>
      <c r="BC189" s="1564"/>
      <c r="BD189" s="1582"/>
      <c r="BE189" s="1582"/>
      <c r="BF189" s="1582"/>
      <c r="BG189" s="1053"/>
      <c r="BH189" s="542"/>
      <c r="BI189" s="542"/>
      <c r="BJ189" s="542"/>
      <c r="BK189" s="542"/>
      <c r="BL189" s="542"/>
      <c r="BM189" s="542"/>
      <c r="BN189" s="542"/>
      <c r="BO189" s="542"/>
      <c r="BP189" s="542"/>
      <c r="BQ189" s="542"/>
      <c r="BR189" s="542"/>
      <c r="BS189" s="542"/>
      <c r="BT189" s="542"/>
      <c r="BU189" s="542"/>
      <c r="BV189" s="542"/>
      <c r="BW189" s="542"/>
      <c r="BX189" s="541"/>
      <c r="BY189" s="542"/>
      <c r="BZ189" s="542"/>
      <c r="CA189" s="542"/>
      <c r="CB189" s="542"/>
      <c r="CC189" s="550"/>
      <c r="CD189" s="654">
        <f ca="1">IFERROR(VLOOKUP(U189,ApplicantList[],2,FALSE),0)</f>
        <v>0</v>
      </c>
      <c r="CE189" s="1056"/>
      <c r="CF189" s="1056"/>
      <c r="CG189" s="1057"/>
      <c r="CH189" s="1057"/>
      <c r="CI189" s="398"/>
      <c r="CJ189" s="398"/>
    </row>
    <row r="190" spans="1:91" ht="18.75" hidden="1" customHeight="1" x14ac:dyDescent="0.25">
      <c r="A190" s="175"/>
      <c r="B190" s="78"/>
      <c r="C190" s="569"/>
      <c r="D190" s="570"/>
      <c r="E190" s="570"/>
      <c r="F190" s="570"/>
      <c r="G190" s="570"/>
      <c r="H190" s="570"/>
      <c r="I190" s="570"/>
      <c r="J190" s="570"/>
      <c r="K190" s="570"/>
      <c r="L190" s="570"/>
      <c r="M190" s="570"/>
      <c r="N190" s="570"/>
      <c r="O190" s="570"/>
      <c r="P190" s="570"/>
      <c r="Q190" s="570"/>
      <c r="R190" s="472"/>
      <c r="S190" s="472"/>
      <c r="T190" s="472"/>
      <c r="U190" s="1473"/>
      <c r="V190" s="1473"/>
      <c r="W190" s="1473"/>
      <c r="X190" s="1473"/>
      <c r="Y190" s="1473"/>
      <c r="Z190" s="1497"/>
      <c r="AA190" s="1497"/>
      <c r="AB190" s="1497"/>
      <c r="AC190" s="1497"/>
      <c r="AD190" s="1497"/>
      <c r="AE190" s="1497"/>
      <c r="AF190" s="1497"/>
      <c r="AG190" s="1497"/>
      <c r="AH190" s="544"/>
      <c r="AI190" s="541"/>
      <c r="AJ190" s="541"/>
      <c r="AK190" s="541"/>
      <c r="AL190" s="541"/>
      <c r="AM190" s="541"/>
      <c r="AN190" s="541"/>
      <c r="AO190" s="541"/>
      <c r="AP190" s="541"/>
      <c r="AQ190" s="541"/>
      <c r="AR190" s="541"/>
      <c r="AS190" s="541"/>
      <c r="AT190" s="541"/>
      <c r="AU190" s="541"/>
      <c r="AV190" s="1036"/>
      <c r="AW190" s="1036"/>
      <c r="AX190" s="1036"/>
      <c r="AY190" s="1036"/>
      <c r="AZ190" s="1559">
        <f>IFERROR(CHOOSE(VLOOKUP(C188,ExistingShareableCommitmentTypeTable[],9,FALSE),MAX(AV188,AZ188),0),0)</f>
        <v>0</v>
      </c>
      <c r="BA190" s="1559"/>
      <c r="BB190" s="1559"/>
      <c r="BC190" s="1559"/>
      <c r="BD190" s="541"/>
      <c r="BE190" s="541"/>
      <c r="BF190" s="541"/>
      <c r="BG190" s="541"/>
      <c r="BH190" s="541"/>
      <c r="BI190" s="541"/>
      <c r="BJ190" s="541"/>
      <c r="BK190" s="541"/>
      <c r="BL190" s="541"/>
      <c r="BM190" s="541"/>
      <c r="BN190" s="541"/>
      <c r="BO190" s="541"/>
      <c r="BP190" s="541"/>
      <c r="BQ190" s="541"/>
      <c r="BR190" s="541"/>
      <c r="BS190" s="541"/>
      <c r="BT190" s="541"/>
      <c r="BU190" s="541"/>
      <c r="BV190" s="541"/>
      <c r="BW190" s="541"/>
      <c r="BX190" s="541"/>
      <c r="BY190" s="541"/>
      <c r="BZ190" s="541"/>
      <c r="CA190" s="541"/>
      <c r="CB190" s="541"/>
      <c r="CC190" s="550"/>
      <c r="CD190" s="654">
        <f ca="1">IFERROR(VLOOKUP(U190,ApplicantList[],2,FALSE),0)</f>
        <v>0</v>
      </c>
      <c r="CE190" s="1056"/>
      <c r="CF190" s="1056"/>
      <c r="CG190" s="1057"/>
      <c r="CH190" s="1057"/>
      <c r="CI190" s="398"/>
      <c r="CJ190" s="398"/>
    </row>
    <row r="191" spans="1:91" ht="18.75" hidden="1" customHeight="1" x14ac:dyDescent="0.25">
      <c r="A191" s="176"/>
      <c r="B191" s="77"/>
      <c r="C191" s="569"/>
      <c r="D191" s="570"/>
      <c r="E191" s="570"/>
      <c r="F191" s="570"/>
      <c r="G191" s="570"/>
      <c r="H191" s="570"/>
      <c r="I191" s="570"/>
      <c r="J191" s="570"/>
      <c r="K191" s="570"/>
      <c r="L191" s="570"/>
      <c r="M191" s="570"/>
      <c r="N191" s="570"/>
      <c r="O191" s="570"/>
      <c r="P191" s="570"/>
      <c r="Q191" s="570"/>
      <c r="R191" s="472"/>
      <c r="S191" s="472"/>
      <c r="T191" s="472"/>
      <c r="U191" s="1473"/>
      <c r="V191" s="1473"/>
      <c r="W191" s="1473"/>
      <c r="X191" s="1473"/>
      <c r="Y191" s="1473"/>
      <c r="Z191" s="1497"/>
      <c r="AA191" s="1497"/>
      <c r="AB191" s="1497"/>
      <c r="AC191" s="1497"/>
      <c r="AD191" s="1497"/>
      <c r="AE191" s="1497"/>
      <c r="AF191" s="1497"/>
      <c r="AG191" s="1497"/>
      <c r="AH191" s="544"/>
      <c r="AI191" s="541"/>
      <c r="AJ191" s="541"/>
      <c r="AK191" s="541"/>
      <c r="AL191" s="541"/>
      <c r="AM191" s="541"/>
      <c r="AN191" s="541"/>
      <c r="AO191" s="541"/>
      <c r="AP191" s="541"/>
      <c r="AQ191" s="541"/>
      <c r="AR191" s="541"/>
      <c r="AS191" s="541"/>
      <c r="AT191" s="541"/>
      <c r="AU191" s="541"/>
      <c r="AV191" s="1036"/>
      <c r="AW191" s="1036"/>
      <c r="AX191" s="1036"/>
      <c r="AY191" s="1036"/>
      <c r="AZ191" s="1036"/>
      <c r="BA191" s="1036"/>
      <c r="BB191" s="1036"/>
      <c r="BC191" s="1036"/>
      <c r="BD191" s="541"/>
      <c r="BE191" s="541"/>
      <c r="BF191" s="541"/>
      <c r="BG191" s="541"/>
      <c r="BH191" s="541"/>
      <c r="BI191" s="541"/>
      <c r="BJ191" s="541"/>
      <c r="BK191" s="541"/>
      <c r="BL191" s="541"/>
      <c r="BM191" s="541"/>
      <c r="BN191" s="541"/>
      <c r="BO191" s="541"/>
      <c r="BP191" s="541"/>
      <c r="BQ191" s="541"/>
      <c r="BR191" s="541"/>
      <c r="BS191" s="541"/>
      <c r="BT191" s="541"/>
      <c r="BU191" s="541"/>
      <c r="BV191" s="541"/>
      <c r="BW191" s="541"/>
      <c r="BX191" s="541"/>
      <c r="BY191" s="541"/>
      <c r="BZ191" s="541"/>
      <c r="CA191" s="541"/>
      <c r="CB191" s="541"/>
      <c r="CC191" s="550"/>
      <c r="CD191" s="654">
        <f ca="1">IFERROR(VLOOKUP(U191,ApplicantList[],2,FALSE),0)</f>
        <v>0</v>
      </c>
      <c r="CE191" s="1056"/>
      <c r="CF191" s="1056"/>
      <c r="CG191" s="1057"/>
      <c r="CH191" s="1057"/>
      <c r="CI191" s="398"/>
      <c r="CJ191" s="398"/>
    </row>
    <row r="192" spans="1:91" ht="18.75" hidden="1" customHeight="1" x14ac:dyDescent="0.25">
      <c r="A192" s="176"/>
      <c r="B192" s="78"/>
      <c r="C192" s="569"/>
      <c r="D192" s="570"/>
      <c r="E192" s="570"/>
      <c r="F192" s="570"/>
      <c r="G192" s="570"/>
      <c r="H192" s="570"/>
      <c r="I192" s="570"/>
      <c r="J192" s="570"/>
      <c r="K192" s="570"/>
      <c r="L192" s="570"/>
      <c r="M192" s="570"/>
      <c r="N192" s="570"/>
      <c r="O192" s="570"/>
      <c r="P192" s="570"/>
      <c r="Q192" s="570"/>
      <c r="R192" s="472"/>
      <c r="S192" s="472"/>
      <c r="T192" s="472"/>
      <c r="U192" s="1473"/>
      <c r="V192" s="1473"/>
      <c r="W192" s="1473"/>
      <c r="X192" s="1473"/>
      <c r="Y192" s="1473"/>
      <c r="Z192" s="1497"/>
      <c r="AA192" s="1497"/>
      <c r="AB192" s="1497"/>
      <c r="AC192" s="1497"/>
      <c r="AD192" s="1497"/>
      <c r="AE192" s="1497"/>
      <c r="AF192" s="1497"/>
      <c r="AG192" s="1497"/>
      <c r="AH192" s="544"/>
      <c r="AI192" s="541"/>
      <c r="AJ192" s="541"/>
      <c r="AK192" s="541"/>
      <c r="AL192" s="541"/>
      <c r="AM192" s="541"/>
      <c r="AN192" s="541"/>
      <c r="AO192" s="541"/>
      <c r="AP192" s="541"/>
      <c r="AQ192" s="541"/>
      <c r="AR192" s="541"/>
      <c r="AS192" s="541"/>
      <c r="AT192" s="541"/>
      <c r="AU192" s="541"/>
      <c r="AV192" s="1036"/>
      <c r="AW192" s="1036"/>
      <c r="AX192" s="1036"/>
      <c r="AY192" s="1036"/>
      <c r="AZ192" s="1036"/>
      <c r="BA192" s="1036"/>
      <c r="BB192" s="1036"/>
      <c r="BC192" s="1036"/>
      <c r="BD192" s="541"/>
      <c r="BE192" s="541"/>
      <c r="BF192" s="541"/>
      <c r="BG192" s="541"/>
      <c r="BH192" s="541"/>
      <c r="BI192" s="541"/>
      <c r="BJ192" s="541"/>
      <c r="BK192" s="541"/>
      <c r="BL192" s="541"/>
      <c r="BM192" s="541"/>
      <c r="BN192" s="541"/>
      <c r="BO192" s="541"/>
      <c r="BP192" s="541"/>
      <c r="BQ192" s="541"/>
      <c r="BR192" s="541"/>
      <c r="BS192" s="541"/>
      <c r="BT192" s="541"/>
      <c r="BU192" s="541"/>
      <c r="BV192" s="541"/>
      <c r="BW192" s="541"/>
      <c r="BX192" s="541"/>
      <c r="BY192" s="541"/>
      <c r="BZ192" s="541"/>
      <c r="CA192" s="541"/>
      <c r="CB192" s="541"/>
      <c r="CC192" s="550"/>
      <c r="CD192" s="654">
        <f ca="1">IFERROR(VLOOKUP(U192,ApplicantList[],2,FALSE),0)</f>
        <v>0</v>
      </c>
      <c r="CE192" s="1056"/>
      <c r="CF192" s="1056"/>
      <c r="CG192" s="1057"/>
      <c r="CH192" s="1057"/>
      <c r="CI192" s="398"/>
      <c r="CJ192" s="398"/>
    </row>
    <row r="193" spans="1:91" ht="18.75" hidden="1" customHeight="1" x14ac:dyDescent="0.25">
      <c r="A193" s="176"/>
      <c r="B193" s="77"/>
      <c r="C193" s="571"/>
      <c r="D193" s="572"/>
      <c r="E193" s="572"/>
      <c r="F193" s="572"/>
      <c r="G193" s="572"/>
      <c r="H193" s="572"/>
      <c r="I193" s="572"/>
      <c r="J193" s="572"/>
      <c r="K193" s="572"/>
      <c r="L193" s="572"/>
      <c r="M193" s="572"/>
      <c r="N193" s="572"/>
      <c r="O193" s="572"/>
      <c r="P193" s="572"/>
      <c r="Q193" s="572"/>
      <c r="R193" s="473"/>
      <c r="S193" s="473"/>
      <c r="T193" s="473"/>
      <c r="U193" s="1473"/>
      <c r="V193" s="1473"/>
      <c r="W193" s="1473"/>
      <c r="X193" s="1473"/>
      <c r="Y193" s="1473"/>
      <c r="Z193" s="1497"/>
      <c r="AA193" s="1497"/>
      <c r="AB193" s="1497"/>
      <c r="AC193" s="1497"/>
      <c r="AD193" s="1497"/>
      <c r="AE193" s="1497"/>
      <c r="AF193" s="1497"/>
      <c r="AG193" s="1497"/>
      <c r="AH193" s="547"/>
      <c r="AI193" s="548"/>
      <c r="AJ193" s="548"/>
      <c r="AK193" s="548"/>
      <c r="AL193" s="548"/>
      <c r="AM193" s="548"/>
      <c r="AN193" s="548"/>
      <c r="AO193" s="548"/>
      <c r="AP193" s="548"/>
      <c r="AQ193" s="548"/>
      <c r="AR193" s="548"/>
      <c r="AS193" s="548"/>
      <c r="AT193" s="548"/>
      <c r="AU193" s="548"/>
      <c r="AV193" s="1037"/>
      <c r="AW193" s="1037"/>
      <c r="AX193" s="1037"/>
      <c r="AY193" s="1037"/>
      <c r="AZ193" s="1037"/>
      <c r="BA193" s="1037"/>
      <c r="BB193" s="1037"/>
      <c r="BC193" s="1037"/>
      <c r="BD193" s="548"/>
      <c r="BE193" s="548"/>
      <c r="BF193" s="548"/>
      <c r="BG193" s="548"/>
      <c r="BH193" s="548"/>
      <c r="BI193" s="548"/>
      <c r="BJ193" s="548"/>
      <c r="BK193" s="548"/>
      <c r="BL193" s="548"/>
      <c r="BM193" s="548"/>
      <c r="BN193" s="548"/>
      <c r="BO193" s="548"/>
      <c r="BP193" s="548"/>
      <c r="BQ193" s="548"/>
      <c r="BR193" s="548"/>
      <c r="BS193" s="548"/>
      <c r="BT193" s="548"/>
      <c r="BU193" s="548"/>
      <c r="BV193" s="548"/>
      <c r="BW193" s="548"/>
      <c r="BX193" s="548"/>
      <c r="BY193" s="548"/>
      <c r="BZ193" s="548"/>
      <c r="CA193" s="548"/>
      <c r="CB193" s="548"/>
      <c r="CC193" s="550"/>
      <c r="CD193" s="654">
        <f ca="1">IFERROR(VLOOKUP(U193,ApplicantList[],2,FALSE),0)</f>
        <v>0</v>
      </c>
      <c r="CE193" s="1056"/>
      <c r="CF193" s="1056"/>
      <c r="CG193" s="1057"/>
      <c r="CH193" s="1057"/>
      <c r="CI193" s="398"/>
      <c r="CJ193" s="398"/>
    </row>
    <row r="194" spans="1:91" ht="18.75" hidden="1" customHeight="1" x14ac:dyDescent="0.25">
      <c r="A194" s="175">
        <v>10</v>
      </c>
      <c r="B194" s="78"/>
      <c r="C194" s="1473"/>
      <c r="D194" s="1473"/>
      <c r="E194" s="1473"/>
      <c r="F194" s="1473"/>
      <c r="G194" s="1473"/>
      <c r="H194" s="1473"/>
      <c r="I194" s="1473"/>
      <c r="J194" s="1473"/>
      <c r="K194" s="1473"/>
      <c r="L194" s="1473"/>
      <c r="M194" s="1566" t="s">
        <v>373</v>
      </c>
      <c r="N194" s="1566"/>
      <c r="O194" s="1566"/>
      <c r="P194" s="1566"/>
      <c r="Q194" s="1566"/>
      <c r="R194" s="1566">
        <v>1</v>
      </c>
      <c r="S194" s="1566"/>
      <c r="T194" s="1566"/>
      <c r="U194" s="1473"/>
      <c r="V194" s="1473"/>
      <c r="W194" s="1473"/>
      <c r="X194" s="1473"/>
      <c r="Y194" s="1473"/>
      <c r="Z194" s="1497"/>
      <c r="AA194" s="1497"/>
      <c r="AB194" s="1497"/>
      <c r="AC194" s="1497"/>
      <c r="AD194" s="1497"/>
      <c r="AE194" s="1497"/>
      <c r="AF194" s="1497"/>
      <c r="AG194" s="1497"/>
      <c r="AH194" s="1556"/>
      <c r="AI194" s="1556"/>
      <c r="AJ194" s="1556"/>
      <c r="AK194" s="1556"/>
      <c r="AL194" s="1556"/>
      <c r="AM194" s="1556"/>
      <c r="AN194" s="1497"/>
      <c r="AO194" s="1497"/>
      <c r="AP194" s="1497"/>
      <c r="AQ194" s="1497"/>
      <c r="AR194" s="1497"/>
      <c r="AS194" s="1497"/>
      <c r="AT194" s="1497"/>
      <c r="AU194" s="1497"/>
      <c r="AV194" s="1563"/>
      <c r="AW194" s="1563"/>
      <c r="AX194" s="1563"/>
      <c r="AY194" s="1563"/>
      <c r="AZ194" s="1563"/>
      <c r="BA194" s="1563"/>
      <c r="BB194" s="1563"/>
      <c r="BC194" s="1563"/>
      <c r="BD194" s="1568"/>
      <c r="BE194" s="1568"/>
      <c r="BF194" s="1568"/>
      <c r="BG194" s="1567"/>
      <c r="BH194" s="1567"/>
      <c r="BI194" s="1583"/>
      <c r="BJ194" s="1583"/>
      <c r="BK194" s="1583"/>
      <c r="BL194" s="1583"/>
      <c r="BM194" s="1586"/>
      <c r="BN194" s="1586"/>
      <c r="BO194" s="1586"/>
      <c r="BP194" s="1586"/>
      <c r="BQ194" s="1585"/>
      <c r="BR194" s="1585"/>
      <c r="BS194" s="1585"/>
      <c r="BT194" s="1585"/>
      <c r="BU194" s="1584" cm="1">
        <f t="array" aca="1" ref="BU194" ca="1">IF(M194="Default",1,IF(AND(C194="Portfolio loan - sub account",CF194=FALSE),0,IF(AND(AH194=2,AK194=1, VLOOKUP(U194,ApplicantList[],3,FALSE)="Non-applicant"),INDIRECT("ICApp" &amp; VLOOKUP(U194,ApplicantList[],2,FALSE) &amp; "HouseholdIncomeApportioningRatio"),IFERROR(MIN(ROUNDUP(MAX(SUM(Z194:AC199)+AN194,SUM(AD194:AG199)+AR194,(COUNTIF(Z194:AC199,"&gt;0")+AK194)/AH194),4),1),""))))</f>
        <v>1</v>
      </c>
      <c r="BV194" s="1584"/>
      <c r="BW194" s="1584"/>
      <c r="BX194" s="1584"/>
      <c r="BY194" s="1569">
        <f>IFERROR(ROUNDUP(CHOOSE(VLOOKUP(C194,ExistingShareableCommitmentTypeTable[],6,FALSE),MAX(BI194,PMT(CG194/12,CJ194,-AZ195))*BU194,MAX(BI194,(AZ195*CG194/12))*BU194,0,BI194*BU194,MAX(BI194,(AZ195*CG194))*BU194,AZ195*CG194*BU194,IF(CF194,MAX(CI194,PMT(CG194/12,240,-AZ195))*BU194,0)),2),0)</f>
        <v>0</v>
      </c>
      <c r="BZ194" s="1569"/>
      <c r="CA194" s="1569"/>
      <c r="CB194" s="1492"/>
      <c r="CC194" s="1306"/>
      <c r="CD194" s="654">
        <f ca="1">IFERROR(VLOOKUP(U194,ApplicantList[],2,FALSE),0)</f>
        <v>0</v>
      </c>
      <c r="CE194" s="1055">
        <f>IFERROR(MAX(AV194,AZ194),0)</f>
        <v>0</v>
      </c>
      <c r="CF194" s="1056" t="b">
        <f>IF(C194="Portfolio loan - sub account",IF(NOT(ISBLANK(BQ194)),IF(COUNTIF($BQ$140:$BQ$254,BQ194)&gt;1,IF(COUNTIFS(BQ$140:BQ194,BQ194,C$140:C194,"Portfolio loan - sub account")=1,TRUE,FALSE),TRUE),FALSE),FALSE)</f>
        <v>0</v>
      </c>
      <c r="CG194" s="1057">
        <f>IFERROR(IF(C194="",0,CHOOSE(VLOOKUP(C194,ExistingShareableCommitmentTypeTable[],7,FALSE),MAX(BD194+$BE$136,FloorRateMCAR,$CJ$136),MAX(BD194,VLOOKUP(C194,ExistingShareableCommitmentTypeTable[],2,FALSE)),VLOOKUP(C194,ExistingShareableCommitmentTypeTable[],2,FALSE),MAX(BD194+$BE$136,FloorRateMCIR,$CJ$136),MAX(CH194+$BE$136,FloorRateMCIR,$CJ$136))),0)</f>
        <v>0</v>
      </c>
      <c r="CH194" s="1057" cm="1">
        <f t="array" ref="CH194">_xlfn.AGGREGATE(14,4,($C$140:$C$259="Portfolio loan - sub account")*($BQ$140:$BQ$259=$BQ194)*$BD$140:$BD$259,1)</f>
        <v>0</v>
      </c>
      <c r="CI194" s="1061">
        <f>SUMIFS($BI$140:$BI$254,$BQ$140:$BQ$254,BQ194,$C$140:$C$254,"Portfolio loan - sub account")</f>
        <v>0</v>
      </c>
      <c r="CJ194" s="619" t="e">
        <f>IF(OR(BG194="",BG194=0),VLOOKUP(C194,ExistingShareableCommitmentTypeTable[],MATCH("DefaultTerm",ExistingShareableCommitmentTypeTable[#Headers],0),FALSE),BG194)</f>
        <v>#N/A</v>
      </c>
      <c r="CK194" s="530" t="str">
        <f>IFERROR(VLOOKUP($C194,ExistingShareableCommitmentTypeTable[],MATCH(CK$138,ExistingShareableCommitmentTypeTable[#Headers],0),FALSE),"No")</f>
        <v>No</v>
      </c>
      <c r="CL194" s="530" t="str">
        <f>IFERROR(VLOOKUP($C194,ExistingShareableCommitmentTypeTable[],MATCH(CL$138,ExistingShareableCommitmentTypeTable[#Headers],0),FALSE),"No")</f>
        <v>No</v>
      </c>
      <c r="CM194" s="530" t="str">
        <f>IFERROR(VLOOKUP($C194,ExistingShareableCommitmentTypeTable[],MATCH(CM$138,ExistingShareableCommitmentTypeTable[#Headers],0),FALSE),"No")</f>
        <v>No</v>
      </c>
    </row>
    <row r="195" spans="1:91" ht="18.75" hidden="1" customHeight="1" x14ac:dyDescent="0.25">
      <c r="A195" s="176"/>
      <c r="B195" s="77"/>
      <c r="C195" s="567"/>
      <c r="D195" s="568"/>
      <c r="E195" s="568"/>
      <c r="F195" s="568"/>
      <c r="G195" s="568"/>
      <c r="H195" s="568"/>
      <c r="I195" s="568"/>
      <c r="J195" s="568"/>
      <c r="K195" s="568"/>
      <c r="L195" s="568"/>
      <c r="M195" s="568"/>
      <c r="N195" s="568"/>
      <c r="O195" s="568"/>
      <c r="P195" s="568"/>
      <c r="Q195" s="568"/>
      <c r="R195" s="471"/>
      <c r="S195" s="471"/>
      <c r="T195" s="471"/>
      <c r="U195" s="1473"/>
      <c r="V195" s="1473"/>
      <c r="W195" s="1473"/>
      <c r="X195" s="1473"/>
      <c r="Y195" s="1473"/>
      <c r="Z195" s="1497"/>
      <c r="AA195" s="1497"/>
      <c r="AB195" s="1497"/>
      <c r="AC195" s="1497"/>
      <c r="AD195" s="1497"/>
      <c r="AE195" s="1497"/>
      <c r="AF195" s="1497"/>
      <c r="AG195" s="1497"/>
      <c r="AH195" s="541" t="b">
        <f>SUM(Z194:Z199,AN194)&gt;1</f>
        <v>0</v>
      </c>
      <c r="AI195" s="541" t="b">
        <f>SUM(AD194:AD199,AR194)&gt;1</f>
        <v>0</v>
      </c>
      <c r="AJ195" s="541" t="b">
        <f>AND(NOT(ISBLANK($AH194)),SUM($R194,$AK194)&gt;$AH194)</f>
        <v>0</v>
      </c>
      <c r="AK195" s="542"/>
      <c r="AL195" s="542"/>
      <c r="AM195" s="542"/>
      <c r="AN195" s="542"/>
      <c r="AO195" s="542"/>
      <c r="AP195" s="542"/>
      <c r="AQ195" s="542"/>
      <c r="AR195" s="542"/>
      <c r="AS195" s="542"/>
      <c r="AT195" s="542"/>
      <c r="AU195" s="542"/>
      <c r="AV195" s="1035"/>
      <c r="AW195" s="1035"/>
      <c r="AX195" s="1035"/>
      <c r="AY195" s="1035"/>
      <c r="AZ195" s="1564">
        <f>IFERROR(CHOOSE(VLOOKUP(C194,ExistingShareableCommitmentTypeTable[],8,FALSE),MAX(AV194,AZ194),AV194,SUMIFS($CE$140:$CE$254,$BQ$140:$BQ$254,BQ194,$C$140:$C$254,"Portfolio loan - sub account"),MAX(AV194,AZ194)-BM194),0)</f>
        <v>0</v>
      </c>
      <c r="BA195" s="1564"/>
      <c r="BB195" s="1564"/>
      <c r="BC195" s="1564"/>
      <c r="BD195" s="1582"/>
      <c r="BE195" s="1582"/>
      <c r="BF195" s="1582"/>
      <c r="BG195" s="1053"/>
      <c r="BH195" s="542"/>
      <c r="BI195" s="542"/>
      <c r="BJ195" s="542"/>
      <c r="BK195" s="542"/>
      <c r="BL195" s="542"/>
      <c r="BM195" s="542"/>
      <c r="BN195" s="542"/>
      <c r="BO195" s="542"/>
      <c r="BP195" s="542"/>
      <c r="BQ195" s="542"/>
      <c r="BR195" s="542"/>
      <c r="BS195" s="542"/>
      <c r="BT195" s="542"/>
      <c r="BU195" s="542"/>
      <c r="BV195" s="542"/>
      <c r="BW195" s="542"/>
      <c r="BX195" s="541"/>
      <c r="BY195" s="542"/>
      <c r="BZ195" s="542"/>
      <c r="CA195" s="542"/>
      <c r="CB195" s="542"/>
      <c r="CC195" s="550"/>
      <c r="CD195" s="654">
        <f ca="1">IFERROR(VLOOKUP(U195,ApplicantList[],2,FALSE),0)</f>
        <v>0</v>
      </c>
      <c r="CE195" s="1056"/>
      <c r="CF195" s="1056"/>
      <c r="CG195" s="1057"/>
      <c r="CH195" s="1057"/>
      <c r="CI195" s="398"/>
      <c r="CJ195" s="398"/>
    </row>
    <row r="196" spans="1:91" ht="18.75" hidden="1" customHeight="1" x14ac:dyDescent="0.25">
      <c r="A196" s="176"/>
      <c r="B196" s="78"/>
      <c r="C196" s="569"/>
      <c r="D196" s="570"/>
      <c r="E196" s="570"/>
      <c r="F196" s="570"/>
      <c r="G196" s="570"/>
      <c r="H196" s="570"/>
      <c r="I196" s="570"/>
      <c r="J196" s="570"/>
      <c r="K196" s="570"/>
      <c r="L196" s="570"/>
      <c r="M196" s="570"/>
      <c r="N196" s="570"/>
      <c r="O196" s="570"/>
      <c r="P196" s="570"/>
      <c r="Q196" s="570"/>
      <c r="R196" s="472"/>
      <c r="S196" s="472"/>
      <c r="T196" s="472"/>
      <c r="U196" s="1473"/>
      <c r="V196" s="1473"/>
      <c r="W196" s="1473"/>
      <c r="X196" s="1473"/>
      <c r="Y196" s="1473"/>
      <c r="Z196" s="1497"/>
      <c r="AA196" s="1497"/>
      <c r="AB196" s="1497"/>
      <c r="AC196" s="1497"/>
      <c r="AD196" s="1497"/>
      <c r="AE196" s="1497"/>
      <c r="AF196" s="1497"/>
      <c r="AG196" s="1497"/>
      <c r="AH196" s="544"/>
      <c r="AI196" s="541"/>
      <c r="AJ196" s="541"/>
      <c r="AK196" s="541"/>
      <c r="AL196" s="541"/>
      <c r="AM196" s="541"/>
      <c r="AN196" s="541"/>
      <c r="AO196" s="541"/>
      <c r="AP196" s="541"/>
      <c r="AQ196" s="541"/>
      <c r="AR196" s="541"/>
      <c r="AS196" s="541"/>
      <c r="AT196" s="541"/>
      <c r="AU196" s="541"/>
      <c r="AV196" s="1036"/>
      <c r="AW196" s="1036"/>
      <c r="AX196" s="1036"/>
      <c r="AY196" s="1036"/>
      <c r="AZ196" s="1559">
        <f>IFERROR(CHOOSE(VLOOKUP(C194,ExistingShareableCommitmentTypeTable[],9,FALSE),MAX(AV194,AZ194),0),0)</f>
        <v>0</v>
      </c>
      <c r="BA196" s="1559"/>
      <c r="BB196" s="1559"/>
      <c r="BC196" s="1559"/>
      <c r="BD196" s="541"/>
      <c r="BE196" s="541"/>
      <c r="BF196" s="541"/>
      <c r="BG196" s="541"/>
      <c r="BH196" s="541"/>
      <c r="BI196" s="541"/>
      <c r="BJ196" s="541"/>
      <c r="BK196" s="541"/>
      <c r="BL196" s="541"/>
      <c r="BM196" s="541"/>
      <c r="BN196" s="541"/>
      <c r="BO196" s="541"/>
      <c r="BP196" s="541"/>
      <c r="BQ196" s="541"/>
      <c r="BR196" s="541"/>
      <c r="BS196" s="541"/>
      <c r="BT196" s="541"/>
      <c r="BU196" s="541"/>
      <c r="BV196" s="541"/>
      <c r="BW196" s="541"/>
      <c r="BX196" s="541"/>
      <c r="BY196" s="541"/>
      <c r="BZ196" s="541"/>
      <c r="CA196" s="541"/>
      <c r="CB196" s="541"/>
      <c r="CC196" s="550"/>
      <c r="CD196" s="654">
        <f ca="1">IFERROR(VLOOKUP(U196,ApplicantList[],2,FALSE),0)</f>
        <v>0</v>
      </c>
      <c r="CE196" s="1056"/>
      <c r="CF196" s="1056"/>
      <c r="CG196" s="1057"/>
      <c r="CH196" s="1057"/>
      <c r="CI196" s="398"/>
      <c r="CJ196" s="398"/>
    </row>
    <row r="197" spans="1:91" ht="18.75" hidden="1" customHeight="1" x14ac:dyDescent="0.25">
      <c r="A197" s="176"/>
      <c r="B197" s="77"/>
      <c r="C197" s="569"/>
      <c r="D197" s="570"/>
      <c r="E197" s="570"/>
      <c r="F197" s="570"/>
      <c r="G197" s="570"/>
      <c r="H197" s="570"/>
      <c r="I197" s="570"/>
      <c r="J197" s="570"/>
      <c r="K197" s="570"/>
      <c r="L197" s="570"/>
      <c r="M197" s="570"/>
      <c r="N197" s="570"/>
      <c r="O197" s="570"/>
      <c r="P197" s="570"/>
      <c r="Q197" s="570"/>
      <c r="R197" s="472"/>
      <c r="S197" s="472"/>
      <c r="T197" s="472"/>
      <c r="U197" s="1473"/>
      <c r="V197" s="1473"/>
      <c r="W197" s="1473"/>
      <c r="X197" s="1473"/>
      <c r="Y197" s="1473"/>
      <c r="Z197" s="1497"/>
      <c r="AA197" s="1497"/>
      <c r="AB197" s="1497"/>
      <c r="AC197" s="1497"/>
      <c r="AD197" s="1497"/>
      <c r="AE197" s="1497"/>
      <c r="AF197" s="1497"/>
      <c r="AG197" s="1497"/>
      <c r="AH197" s="544"/>
      <c r="AI197" s="541"/>
      <c r="AJ197" s="541"/>
      <c r="AK197" s="541"/>
      <c r="AL197" s="541"/>
      <c r="AM197" s="541"/>
      <c r="AN197" s="541"/>
      <c r="AO197" s="541"/>
      <c r="AP197" s="541"/>
      <c r="AQ197" s="541"/>
      <c r="AR197" s="541"/>
      <c r="AS197" s="541"/>
      <c r="AT197" s="541"/>
      <c r="AU197" s="541"/>
      <c r="AV197" s="1036"/>
      <c r="AW197" s="1036"/>
      <c r="AX197" s="1036"/>
      <c r="AY197" s="1036"/>
      <c r="AZ197" s="1036"/>
      <c r="BA197" s="1036"/>
      <c r="BB197" s="1036"/>
      <c r="BC197" s="1036"/>
      <c r="BD197" s="541"/>
      <c r="BE197" s="541"/>
      <c r="BF197" s="541"/>
      <c r="BG197" s="541"/>
      <c r="BH197" s="541"/>
      <c r="BI197" s="541"/>
      <c r="BJ197" s="541"/>
      <c r="BK197" s="541"/>
      <c r="BL197" s="541"/>
      <c r="BM197" s="541"/>
      <c r="BN197" s="541"/>
      <c r="BO197" s="541"/>
      <c r="BP197" s="541"/>
      <c r="BQ197" s="541"/>
      <c r="BR197" s="541"/>
      <c r="BS197" s="541"/>
      <c r="BT197" s="541"/>
      <c r="BU197" s="541"/>
      <c r="BV197" s="541"/>
      <c r="BW197" s="541"/>
      <c r="BX197" s="541"/>
      <c r="BY197" s="541"/>
      <c r="BZ197" s="541"/>
      <c r="CA197" s="541"/>
      <c r="CB197" s="541"/>
      <c r="CC197" s="550"/>
      <c r="CD197" s="654">
        <f ca="1">IFERROR(VLOOKUP(U197,ApplicantList[],2,FALSE),0)</f>
        <v>0</v>
      </c>
      <c r="CE197" s="1056"/>
      <c r="CF197" s="1056"/>
      <c r="CG197" s="1057"/>
      <c r="CH197" s="1057"/>
      <c r="CI197" s="398"/>
      <c r="CJ197" s="398"/>
    </row>
    <row r="198" spans="1:91" ht="18.75" hidden="1" customHeight="1" x14ac:dyDescent="0.25">
      <c r="A198" s="175"/>
      <c r="B198" s="78"/>
      <c r="C198" s="569"/>
      <c r="D198" s="570"/>
      <c r="E198" s="570"/>
      <c r="F198" s="570"/>
      <c r="G198" s="570"/>
      <c r="H198" s="570"/>
      <c r="I198" s="570"/>
      <c r="J198" s="570"/>
      <c r="K198" s="570"/>
      <c r="L198" s="570"/>
      <c r="M198" s="570"/>
      <c r="N198" s="570"/>
      <c r="O198" s="570"/>
      <c r="P198" s="570"/>
      <c r="Q198" s="570"/>
      <c r="R198" s="472"/>
      <c r="S198" s="472"/>
      <c r="T198" s="472"/>
      <c r="U198" s="1473"/>
      <c r="V198" s="1473"/>
      <c r="W198" s="1473"/>
      <c r="X198" s="1473"/>
      <c r="Y198" s="1473"/>
      <c r="Z198" s="1497"/>
      <c r="AA198" s="1497"/>
      <c r="AB198" s="1497"/>
      <c r="AC198" s="1497"/>
      <c r="AD198" s="1497"/>
      <c r="AE198" s="1497"/>
      <c r="AF198" s="1497"/>
      <c r="AG198" s="1497"/>
      <c r="AH198" s="544"/>
      <c r="AI198" s="541"/>
      <c r="AJ198" s="541"/>
      <c r="AK198" s="541"/>
      <c r="AL198" s="541"/>
      <c r="AM198" s="541"/>
      <c r="AN198" s="541"/>
      <c r="AO198" s="541"/>
      <c r="AP198" s="541"/>
      <c r="AQ198" s="541"/>
      <c r="AR198" s="541"/>
      <c r="AS198" s="541"/>
      <c r="AT198" s="541"/>
      <c r="AU198" s="541"/>
      <c r="AV198" s="1036"/>
      <c r="AW198" s="1036"/>
      <c r="AX198" s="1036"/>
      <c r="AY198" s="1036"/>
      <c r="AZ198" s="1036"/>
      <c r="BA198" s="1036"/>
      <c r="BB198" s="1036"/>
      <c r="BC198" s="1036"/>
      <c r="BD198" s="541"/>
      <c r="BE198" s="541"/>
      <c r="BF198" s="541"/>
      <c r="BG198" s="541"/>
      <c r="BH198" s="541"/>
      <c r="BI198" s="541"/>
      <c r="BJ198" s="541"/>
      <c r="BK198" s="541"/>
      <c r="BL198" s="541"/>
      <c r="BM198" s="541"/>
      <c r="BN198" s="541"/>
      <c r="BO198" s="541"/>
      <c r="BP198" s="541"/>
      <c r="BQ198" s="541"/>
      <c r="BR198" s="541"/>
      <c r="BS198" s="541"/>
      <c r="BT198" s="541"/>
      <c r="BU198" s="541"/>
      <c r="BV198" s="541"/>
      <c r="BW198" s="541"/>
      <c r="BX198" s="541"/>
      <c r="BY198" s="541"/>
      <c r="BZ198" s="541"/>
      <c r="CA198" s="541"/>
      <c r="CB198" s="541"/>
      <c r="CC198" s="550"/>
      <c r="CD198" s="654">
        <f ca="1">IFERROR(VLOOKUP(U198,ApplicantList[],2,FALSE),0)</f>
        <v>0</v>
      </c>
      <c r="CE198" s="1056"/>
      <c r="CF198" s="1056"/>
      <c r="CG198" s="1057"/>
      <c r="CH198" s="1057"/>
      <c r="CI198" s="398"/>
      <c r="CJ198" s="398"/>
    </row>
    <row r="199" spans="1:91" ht="18.75" hidden="1" customHeight="1" x14ac:dyDescent="0.25">
      <c r="A199" s="176"/>
      <c r="B199" s="77"/>
      <c r="C199" s="571"/>
      <c r="D199" s="572"/>
      <c r="E199" s="572"/>
      <c r="F199" s="572"/>
      <c r="G199" s="572"/>
      <c r="H199" s="572"/>
      <c r="I199" s="572"/>
      <c r="J199" s="572"/>
      <c r="K199" s="572"/>
      <c r="L199" s="572"/>
      <c r="M199" s="572"/>
      <c r="N199" s="572"/>
      <c r="O199" s="572"/>
      <c r="P199" s="572"/>
      <c r="Q199" s="572"/>
      <c r="R199" s="473"/>
      <c r="S199" s="473"/>
      <c r="T199" s="473"/>
      <c r="U199" s="1473"/>
      <c r="V199" s="1473"/>
      <c r="W199" s="1473"/>
      <c r="X199" s="1473"/>
      <c r="Y199" s="1473"/>
      <c r="Z199" s="1497"/>
      <c r="AA199" s="1497"/>
      <c r="AB199" s="1497"/>
      <c r="AC199" s="1497"/>
      <c r="AD199" s="1497"/>
      <c r="AE199" s="1497"/>
      <c r="AF199" s="1497"/>
      <c r="AG199" s="1497"/>
      <c r="AH199" s="547"/>
      <c r="AI199" s="548"/>
      <c r="AJ199" s="548"/>
      <c r="AK199" s="548"/>
      <c r="AL199" s="548"/>
      <c r="AM199" s="548"/>
      <c r="AN199" s="548"/>
      <c r="AO199" s="548"/>
      <c r="AP199" s="548"/>
      <c r="AQ199" s="548"/>
      <c r="AR199" s="548"/>
      <c r="AS199" s="548"/>
      <c r="AT199" s="548"/>
      <c r="AU199" s="548"/>
      <c r="AV199" s="1037"/>
      <c r="AW199" s="1037"/>
      <c r="AX199" s="1037"/>
      <c r="AY199" s="1037"/>
      <c r="AZ199" s="1037"/>
      <c r="BA199" s="1037"/>
      <c r="BB199" s="1037"/>
      <c r="BC199" s="1037"/>
      <c r="BD199" s="548"/>
      <c r="BE199" s="548"/>
      <c r="BF199" s="548"/>
      <c r="BG199" s="548"/>
      <c r="BH199" s="548"/>
      <c r="BI199" s="548"/>
      <c r="BJ199" s="548"/>
      <c r="BK199" s="548"/>
      <c r="BL199" s="548"/>
      <c r="BM199" s="548"/>
      <c r="BN199" s="548"/>
      <c r="BO199" s="548"/>
      <c r="BP199" s="548"/>
      <c r="BQ199" s="548"/>
      <c r="BR199" s="548"/>
      <c r="BS199" s="548"/>
      <c r="BT199" s="548"/>
      <c r="BU199" s="548"/>
      <c r="BV199" s="548"/>
      <c r="BW199" s="548"/>
      <c r="BX199" s="548"/>
      <c r="BY199" s="548"/>
      <c r="BZ199" s="548"/>
      <c r="CA199" s="548"/>
      <c r="CB199" s="548"/>
      <c r="CC199" s="550"/>
      <c r="CD199" s="654">
        <f ca="1">IFERROR(VLOOKUP(U199,ApplicantList[],2,FALSE),0)</f>
        <v>0</v>
      </c>
      <c r="CE199" s="1056"/>
      <c r="CF199" s="1056"/>
      <c r="CG199" s="1057"/>
      <c r="CH199" s="1057"/>
      <c r="CI199" s="398"/>
      <c r="CJ199" s="398"/>
    </row>
    <row r="200" spans="1:91" ht="18.75" hidden="1" customHeight="1" x14ac:dyDescent="0.25">
      <c r="A200" s="175">
        <v>11</v>
      </c>
      <c r="B200" s="78"/>
      <c r="C200" s="1473"/>
      <c r="D200" s="1473"/>
      <c r="E200" s="1473"/>
      <c r="F200" s="1473"/>
      <c r="G200" s="1473"/>
      <c r="H200" s="1473"/>
      <c r="I200" s="1473"/>
      <c r="J200" s="1473"/>
      <c r="K200" s="1473"/>
      <c r="L200" s="1473"/>
      <c r="M200" s="1566" t="s">
        <v>373</v>
      </c>
      <c r="N200" s="1566"/>
      <c r="O200" s="1566"/>
      <c r="P200" s="1566"/>
      <c r="Q200" s="1566"/>
      <c r="R200" s="1566">
        <v>1</v>
      </c>
      <c r="S200" s="1566"/>
      <c r="T200" s="1566"/>
      <c r="U200" s="1473"/>
      <c r="V200" s="1473"/>
      <c r="W200" s="1473"/>
      <c r="X200" s="1473"/>
      <c r="Y200" s="1473"/>
      <c r="Z200" s="1497"/>
      <c r="AA200" s="1497"/>
      <c r="AB200" s="1497"/>
      <c r="AC200" s="1497"/>
      <c r="AD200" s="1497"/>
      <c r="AE200" s="1497"/>
      <c r="AF200" s="1497"/>
      <c r="AG200" s="1497"/>
      <c r="AH200" s="1556"/>
      <c r="AI200" s="1556"/>
      <c r="AJ200" s="1556"/>
      <c r="AK200" s="1556"/>
      <c r="AL200" s="1556"/>
      <c r="AM200" s="1556"/>
      <c r="AN200" s="1497"/>
      <c r="AO200" s="1497"/>
      <c r="AP200" s="1497"/>
      <c r="AQ200" s="1497"/>
      <c r="AR200" s="1497"/>
      <c r="AS200" s="1497"/>
      <c r="AT200" s="1497"/>
      <c r="AU200" s="1497"/>
      <c r="AV200" s="1563"/>
      <c r="AW200" s="1563"/>
      <c r="AX200" s="1563"/>
      <c r="AY200" s="1563"/>
      <c r="AZ200" s="1563"/>
      <c r="BA200" s="1563"/>
      <c r="BB200" s="1563"/>
      <c r="BC200" s="1563"/>
      <c r="BD200" s="1568"/>
      <c r="BE200" s="1568"/>
      <c r="BF200" s="1568"/>
      <c r="BG200" s="1567"/>
      <c r="BH200" s="1567"/>
      <c r="BI200" s="1583"/>
      <c r="BJ200" s="1583"/>
      <c r="BK200" s="1583"/>
      <c r="BL200" s="1583"/>
      <c r="BM200" s="1586"/>
      <c r="BN200" s="1586"/>
      <c r="BO200" s="1586"/>
      <c r="BP200" s="1586"/>
      <c r="BQ200" s="1585"/>
      <c r="BR200" s="1585"/>
      <c r="BS200" s="1585"/>
      <c r="BT200" s="1585"/>
      <c r="BU200" s="1584" cm="1">
        <f t="array" aca="1" ref="BU200" ca="1">IF(M200="Default",1,IF(AND(C200="Portfolio loan - sub account",CF200=FALSE),0,IF(AND(AH200=2,AK200=1, VLOOKUP(U200,ApplicantList[],3,FALSE)="Non-applicant"),INDIRECT("ICApp" &amp; VLOOKUP(U200,ApplicantList[],2,FALSE) &amp; "HouseholdIncomeApportioningRatio"),IFERROR(MIN(ROUNDUP(MAX(SUM(Z200:AC205)+AN200,SUM(AD200:AG205)+AR200,(COUNTIF(Z200:AC205,"&gt;0")+AK200)/AH200),4),1),""))))</f>
        <v>1</v>
      </c>
      <c r="BV200" s="1584"/>
      <c r="BW200" s="1584"/>
      <c r="BX200" s="1584"/>
      <c r="BY200" s="1569">
        <f>IFERROR(ROUNDUP(CHOOSE(VLOOKUP(C200,ExistingShareableCommitmentTypeTable[],6,FALSE),MAX(BI200,PMT(CG200/12,CJ200,-AZ201))*BU200,MAX(BI200,(AZ201*CG200/12))*BU200,0,BI200*BU200,MAX(BI200,(AZ201*CG200))*BU200,AZ201*CG200*BU200,IF(CF200,MAX(CI200,PMT(CG200/12,240,-AZ201))*BU200,0)),2),0)</f>
        <v>0</v>
      </c>
      <c r="BZ200" s="1569"/>
      <c r="CA200" s="1569"/>
      <c r="CB200" s="1492"/>
      <c r="CC200" s="1306"/>
      <c r="CD200" s="654">
        <f ca="1">IFERROR(VLOOKUP(U200,ApplicantList[],2,FALSE),0)</f>
        <v>0</v>
      </c>
      <c r="CE200" s="1055">
        <f>IFERROR(MAX(AV200,AZ200),0)</f>
        <v>0</v>
      </c>
      <c r="CF200" s="1056" t="b">
        <f>IF(C200="Portfolio loan - sub account",IF(NOT(ISBLANK(BQ200)),IF(COUNTIF($BQ$140:$BQ$254,BQ200)&gt;1,IF(COUNTIFS(BQ$140:BQ200,BQ200,C$140:C200,"Portfolio loan - sub account")=1,TRUE,FALSE),TRUE),FALSE),FALSE)</f>
        <v>0</v>
      </c>
      <c r="CG200" s="1057">
        <f>IFERROR(IF(C200="",0,CHOOSE(VLOOKUP(C200,ExistingShareableCommitmentTypeTable[],7,FALSE),MAX(BD200+$BE$136,FloorRateMCAR,$CJ$136),MAX(BD200,VLOOKUP(C200,ExistingShareableCommitmentTypeTable[],2,FALSE)),VLOOKUP(C200,ExistingShareableCommitmentTypeTable[],2,FALSE),MAX(BD200+$BE$136,FloorRateMCIR,$CJ$136),MAX(CH200+$BE$136,FloorRateMCIR,$CJ$136))),0)</f>
        <v>0</v>
      </c>
      <c r="CH200" s="1057" cm="1">
        <f t="array" ref="CH200">_xlfn.AGGREGATE(14,4,($C$140:$C$259="Portfolio loan - sub account")*($BQ$140:$BQ$259=$BQ200)*$BD$140:$BD$259,1)</f>
        <v>0</v>
      </c>
      <c r="CI200" s="1061">
        <f>SUMIFS($BI$140:$BI$254,$BQ$140:$BQ$254,BQ200,$C$140:$C$254,"Portfolio loan - sub account")</f>
        <v>0</v>
      </c>
      <c r="CJ200" s="619" t="e">
        <f>IF(OR(BG200="",BG200=0),VLOOKUP(C200,ExistingShareableCommitmentTypeTable[],MATCH("DefaultTerm",ExistingShareableCommitmentTypeTable[#Headers],0),FALSE),BG200)</f>
        <v>#N/A</v>
      </c>
      <c r="CK200" s="530" t="str">
        <f>IFERROR(VLOOKUP($C200,ExistingShareableCommitmentTypeTable[],MATCH(CK$138,ExistingShareableCommitmentTypeTable[#Headers],0),FALSE),"No")</f>
        <v>No</v>
      </c>
      <c r="CL200" s="530" t="str">
        <f>IFERROR(VLOOKUP($C200,ExistingShareableCommitmentTypeTable[],MATCH(CL$138,ExistingShareableCommitmentTypeTable[#Headers],0),FALSE),"No")</f>
        <v>No</v>
      </c>
      <c r="CM200" s="530" t="str">
        <f>IFERROR(VLOOKUP($C200,ExistingShareableCommitmentTypeTable[],MATCH(CM$138,ExistingShareableCommitmentTypeTable[#Headers],0),FALSE),"No")</f>
        <v>No</v>
      </c>
    </row>
    <row r="201" spans="1:91" ht="18.75" hidden="1" customHeight="1" x14ac:dyDescent="0.25">
      <c r="A201" s="176"/>
      <c r="C201" s="567"/>
      <c r="D201" s="568"/>
      <c r="E201" s="568"/>
      <c r="F201" s="568"/>
      <c r="G201" s="568"/>
      <c r="H201" s="568"/>
      <c r="I201" s="568"/>
      <c r="J201" s="568"/>
      <c r="K201" s="568"/>
      <c r="L201" s="568"/>
      <c r="M201" s="568"/>
      <c r="N201" s="568"/>
      <c r="O201" s="568"/>
      <c r="P201" s="568"/>
      <c r="Q201" s="568"/>
      <c r="R201" s="471"/>
      <c r="S201" s="471"/>
      <c r="T201" s="471"/>
      <c r="U201" s="1473"/>
      <c r="V201" s="1473"/>
      <c r="W201" s="1473"/>
      <c r="X201" s="1473"/>
      <c r="Y201" s="1473"/>
      <c r="Z201" s="1497"/>
      <c r="AA201" s="1497"/>
      <c r="AB201" s="1497"/>
      <c r="AC201" s="1497"/>
      <c r="AD201" s="1497"/>
      <c r="AE201" s="1497"/>
      <c r="AF201" s="1497"/>
      <c r="AG201" s="1497"/>
      <c r="AH201" s="541" t="b">
        <f>SUM(Z200:Z205,AN200)&gt;1</f>
        <v>0</v>
      </c>
      <c r="AI201" s="541" t="b">
        <f>SUM(AD200:AD205,AR200)&gt;1</f>
        <v>0</v>
      </c>
      <c r="AJ201" s="541" t="b">
        <f>AND(NOT(ISBLANK($AH200)),SUM($R200,$AK200)&gt;$AH200)</f>
        <v>0</v>
      </c>
      <c r="AK201" s="542"/>
      <c r="AL201" s="542"/>
      <c r="AM201" s="542"/>
      <c r="AN201" s="542"/>
      <c r="AO201" s="542"/>
      <c r="AP201" s="542"/>
      <c r="AQ201" s="542"/>
      <c r="AR201" s="542"/>
      <c r="AS201" s="542"/>
      <c r="AT201" s="542"/>
      <c r="AU201" s="542"/>
      <c r="AV201" s="1035"/>
      <c r="AW201" s="1035"/>
      <c r="AX201" s="1035"/>
      <c r="AY201" s="1035"/>
      <c r="AZ201" s="1564">
        <f>IFERROR(CHOOSE(VLOOKUP(C200,ExistingShareableCommitmentTypeTable[],8,FALSE),MAX(AV200,AZ200),AV200,SUMIFS($CE$140:$CE$254,$BQ$140:$BQ$254,BQ200,$C$140:$C$254,"Portfolio loan - sub account"),MAX(AV200,AZ200)-BM200),0)</f>
        <v>0</v>
      </c>
      <c r="BA201" s="1564"/>
      <c r="BB201" s="1564"/>
      <c r="BC201" s="1564"/>
      <c r="BD201" s="1582"/>
      <c r="BE201" s="1582"/>
      <c r="BF201" s="1582"/>
      <c r="BG201" s="1053"/>
      <c r="BH201" s="542"/>
      <c r="BI201" s="542"/>
      <c r="BJ201" s="542"/>
      <c r="BK201" s="542"/>
      <c r="BL201" s="542"/>
      <c r="BM201" s="542"/>
      <c r="BN201" s="542"/>
      <c r="BO201" s="542"/>
      <c r="BP201" s="542"/>
      <c r="BQ201" s="542"/>
      <c r="BR201" s="542"/>
      <c r="BS201" s="542"/>
      <c r="BT201" s="542"/>
      <c r="BU201" s="542"/>
      <c r="BV201" s="542"/>
      <c r="BW201" s="542"/>
      <c r="BX201" s="541"/>
      <c r="BY201" s="542"/>
      <c r="BZ201" s="542"/>
      <c r="CA201" s="542"/>
      <c r="CB201" s="542"/>
      <c r="CC201" s="550"/>
      <c r="CD201" s="654">
        <f ca="1">IFERROR(VLOOKUP(U201,ApplicantList[],2,FALSE),0)</f>
        <v>0</v>
      </c>
      <c r="CE201" s="1056"/>
      <c r="CF201" s="1056"/>
      <c r="CG201" s="1057"/>
      <c r="CH201" s="1057"/>
      <c r="CI201" s="398"/>
      <c r="CJ201" s="398"/>
    </row>
    <row r="202" spans="1:91" ht="18.75" hidden="1" customHeight="1" x14ac:dyDescent="0.25">
      <c r="A202" s="176"/>
      <c r="B202" s="78"/>
      <c r="C202" s="569"/>
      <c r="D202" s="570"/>
      <c r="E202" s="570"/>
      <c r="F202" s="570"/>
      <c r="G202" s="570"/>
      <c r="H202" s="570"/>
      <c r="I202" s="570"/>
      <c r="J202" s="570"/>
      <c r="K202" s="570"/>
      <c r="L202" s="570"/>
      <c r="M202" s="570"/>
      <c r="N202" s="570"/>
      <c r="O202" s="570"/>
      <c r="P202" s="570"/>
      <c r="Q202" s="570"/>
      <c r="R202" s="472"/>
      <c r="S202" s="472"/>
      <c r="T202" s="472"/>
      <c r="U202" s="1473"/>
      <c r="V202" s="1473"/>
      <c r="W202" s="1473"/>
      <c r="X202" s="1473"/>
      <c r="Y202" s="1473"/>
      <c r="Z202" s="1497"/>
      <c r="AA202" s="1497"/>
      <c r="AB202" s="1497"/>
      <c r="AC202" s="1497"/>
      <c r="AD202" s="1497"/>
      <c r="AE202" s="1497"/>
      <c r="AF202" s="1497"/>
      <c r="AG202" s="1497"/>
      <c r="AH202" s="544"/>
      <c r="AI202" s="541"/>
      <c r="AJ202" s="541"/>
      <c r="AK202" s="541"/>
      <c r="AL202" s="541"/>
      <c r="AM202" s="541"/>
      <c r="AN202" s="541"/>
      <c r="AO202" s="541"/>
      <c r="AP202" s="541"/>
      <c r="AQ202" s="541"/>
      <c r="AR202" s="541"/>
      <c r="AS202" s="541"/>
      <c r="AT202" s="541"/>
      <c r="AU202" s="541"/>
      <c r="AV202" s="1036"/>
      <c r="AW202" s="1036"/>
      <c r="AX202" s="1036"/>
      <c r="AY202" s="1036"/>
      <c r="AZ202" s="1559">
        <f>IFERROR(CHOOSE(VLOOKUP(C200,ExistingShareableCommitmentTypeTable[],9,FALSE),MAX(AV200,AZ200),0),0)</f>
        <v>0</v>
      </c>
      <c r="BA202" s="1559"/>
      <c r="BB202" s="1559"/>
      <c r="BC202" s="1559"/>
      <c r="BD202" s="541"/>
      <c r="BE202" s="541"/>
      <c r="BF202" s="541"/>
      <c r="BG202" s="541"/>
      <c r="BH202" s="541"/>
      <c r="BI202" s="541"/>
      <c r="BJ202" s="541"/>
      <c r="BK202" s="541"/>
      <c r="BL202" s="541"/>
      <c r="BM202" s="541"/>
      <c r="BN202" s="541"/>
      <c r="BO202" s="541"/>
      <c r="BP202" s="541"/>
      <c r="BQ202" s="541"/>
      <c r="BR202" s="541"/>
      <c r="BS202" s="541"/>
      <c r="BT202" s="541"/>
      <c r="BU202" s="541"/>
      <c r="BV202" s="541"/>
      <c r="BW202" s="541"/>
      <c r="BX202" s="541"/>
      <c r="BY202" s="541"/>
      <c r="BZ202" s="541"/>
      <c r="CA202" s="541"/>
      <c r="CB202" s="541"/>
      <c r="CC202" s="550"/>
      <c r="CD202" s="654">
        <f ca="1">IFERROR(VLOOKUP(U202,ApplicantList[],2,FALSE),0)</f>
        <v>0</v>
      </c>
      <c r="CE202" s="1056"/>
      <c r="CF202" s="1056"/>
      <c r="CG202" s="1057"/>
      <c r="CH202" s="1057"/>
      <c r="CI202" s="398"/>
      <c r="CJ202" s="398"/>
    </row>
    <row r="203" spans="1:91" ht="18.75" hidden="1" customHeight="1" x14ac:dyDescent="0.25">
      <c r="A203" s="176"/>
      <c r="B203" s="77"/>
      <c r="C203" s="569"/>
      <c r="D203" s="570"/>
      <c r="E203" s="570"/>
      <c r="F203" s="570"/>
      <c r="G203" s="570"/>
      <c r="H203" s="570"/>
      <c r="I203" s="570"/>
      <c r="J203" s="570"/>
      <c r="K203" s="570"/>
      <c r="L203" s="570"/>
      <c r="M203" s="570"/>
      <c r="N203" s="570"/>
      <c r="O203" s="570"/>
      <c r="P203" s="570"/>
      <c r="Q203" s="570"/>
      <c r="R203" s="472"/>
      <c r="S203" s="472"/>
      <c r="T203" s="472"/>
      <c r="U203" s="1473"/>
      <c r="V203" s="1473"/>
      <c r="W203" s="1473"/>
      <c r="X203" s="1473"/>
      <c r="Y203" s="1473"/>
      <c r="Z203" s="1497"/>
      <c r="AA203" s="1497"/>
      <c r="AB203" s="1497"/>
      <c r="AC203" s="1497"/>
      <c r="AD203" s="1497"/>
      <c r="AE203" s="1497"/>
      <c r="AF203" s="1497"/>
      <c r="AG203" s="1497"/>
      <c r="AH203" s="544"/>
      <c r="AI203" s="541"/>
      <c r="AJ203" s="541"/>
      <c r="AK203" s="541"/>
      <c r="AL203" s="541"/>
      <c r="AM203" s="541"/>
      <c r="AN203" s="541"/>
      <c r="AO203" s="541"/>
      <c r="AP203" s="541"/>
      <c r="AQ203" s="541"/>
      <c r="AR203" s="541"/>
      <c r="AS203" s="541"/>
      <c r="AT203" s="541"/>
      <c r="AU203" s="541"/>
      <c r="AV203" s="1036"/>
      <c r="AW203" s="1036"/>
      <c r="AX203" s="1036"/>
      <c r="AY203" s="1036"/>
      <c r="AZ203" s="1036"/>
      <c r="BA203" s="1036"/>
      <c r="BB203" s="1036"/>
      <c r="BC203" s="1036"/>
      <c r="BD203" s="541"/>
      <c r="BE203" s="541"/>
      <c r="BF203" s="541"/>
      <c r="BG203" s="541"/>
      <c r="BH203" s="541"/>
      <c r="BI203" s="541"/>
      <c r="BJ203" s="541"/>
      <c r="BK203" s="541"/>
      <c r="BL203" s="541"/>
      <c r="BM203" s="541"/>
      <c r="BN203" s="541"/>
      <c r="BO203" s="541"/>
      <c r="BP203" s="541"/>
      <c r="BQ203" s="541"/>
      <c r="BR203" s="541"/>
      <c r="BS203" s="541"/>
      <c r="BT203" s="541"/>
      <c r="BU203" s="541"/>
      <c r="BV203" s="541"/>
      <c r="BW203" s="541"/>
      <c r="BX203" s="541"/>
      <c r="BY203" s="541"/>
      <c r="BZ203" s="541"/>
      <c r="CA203" s="541"/>
      <c r="CB203" s="541"/>
      <c r="CC203" s="550"/>
      <c r="CD203" s="654">
        <f ca="1">IFERROR(VLOOKUP(U203,ApplicantList[],2,FALSE),0)</f>
        <v>0</v>
      </c>
      <c r="CE203" s="1056"/>
      <c r="CF203" s="1056"/>
      <c r="CG203" s="1057"/>
      <c r="CH203" s="1057"/>
      <c r="CI203" s="398"/>
      <c r="CJ203" s="398"/>
    </row>
    <row r="204" spans="1:91" ht="18.75" hidden="1" customHeight="1" x14ac:dyDescent="0.25">
      <c r="A204" s="175"/>
      <c r="B204" s="78"/>
      <c r="C204" s="569"/>
      <c r="D204" s="570"/>
      <c r="E204" s="570"/>
      <c r="F204" s="570"/>
      <c r="G204" s="570"/>
      <c r="H204" s="570"/>
      <c r="I204" s="570"/>
      <c r="J204" s="570"/>
      <c r="K204" s="570"/>
      <c r="L204" s="570"/>
      <c r="M204" s="570"/>
      <c r="N204" s="570"/>
      <c r="O204" s="570"/>
      <c r="P204" s="570"/>
      <c r="Q204" s="570"/>
      <c r="R204" s="472"/>
      <c r="S204" s="472"/>
      <c r="T204" s="472"/>
      <c r="U204" s="1473"/>
      <c r="V204" s="1473"/>
      <c r="W204" s="1473"/>
      <c r="X204" s="1473"/>
      <c r="Y204" s="1473"/>
      <c r="Z204" s="1497"/>
      <c r="AA204" s="1497"/>
      <c r="AB204" s="1497"/>
      <c r="AC204" s="1497"/>
      <c r="AD204" s="1497"/>
      <c r="AE204" s="1497"/>
      <c r="AF204" s="1497"/>
      <c r="AG204" s="1497"/>
      <c r="AH204" s="544"/>
      <c r="AI204" s="541"/>
      <c r="AJ204" s="541"/>
      <c r="AK204" s="541"/>
      <c r="AL204" s="541"/>
      <c r="AM204" s="541"/>
      <c r="AN204" s="541"/>
      <c r="AO204" s="541"/>
      <c r="AP204" s="541"/>
      <c r="AQ204" s="541"/>
      <c r="AR204" s="541"/>
      <c r="AS204" s="541"/>
      <c r="AT204" s="541"/>
      <c r="AU204" s="541"/>
      <c r="AV204" s="1036"/>
      <c r="AW204" s="1036"/>
      <c r="AX204" s="1036"/>
      <c r="AY204" s="1036"/>
      <c r="AZ204" s="1036"/>
      <c r="BA204" s="1036"/>
      <c r="BB204" s="1036"/>
      <c r="BC204" s="1036"/>
      <c r="BD204" s="541"/>
      <c r="BE204" s="541"/>
      <c r="BF204" s="541"/>
      <c r="BG204" s="541"/>
      <c r="BH204" s="541"/>
      <c r="BI204" s="541"/>
      <c r="BJ204" s="541"/>
      <c r="BK204" s="541"/>
      <c r="BL204" s="541"/>
      <c r="BM204" s="541"/>
      <c r="BN204" s="541"/>
      <c r="BO204" s="541"/>
      <c r="BP204" s="541"/>
      <c r="BQ204" s="541"/>
      <c r="BR204" s="541"/>
      <c r="BS204" s="541"/>
      <c r="BT204" s="541"/>
      <c r="BU204" s="541"/>
      <c r="BV204" s="541"/>
      <c r="BW204" s="541"/>
      <c r="BX204" s="541"/>
      <c r="BY204" s="541"/>
      <c r="BZ204" s="541"/>
      <c r="CA204" s="541"/>
      <c r="CB204" s="541"/>
      <c r="CC204" s="550"/>
      <c r="CD204" s="654">
        <f ca="1">IFERROR(VLOOKUP(U204,ApplicantList[],2,FALSE),0)</f>
        <v>0</v>
      </c>
      <c r="CE204" s="1056"/>
      <c r="CF204" s="1056"/>
      <c r="CG204" s="1057"/>
      <c r="CH204" s="1057"/>
      <c r="CI204" s="398"/>
      <c r="CJ204" s="398"/>
    </row>
    <row r="205" spans="1:91" ht="18.75" hidden="1" customHeight="1" x14ac:dyDescent="0.25">
      <c r="A205" s="176"/>
      <c r="C205" s="571"/>
      <c r="D205" s="572"/>
      <c r="E205" s="572"/>
      <c r="F205" s="572"/>
      <c r="G205" s="572"/>
      <c r="H205" s="572"/>
      <c r="I205" s="572"/>
      <c r="J205" s="572"/>
      <c r="K205" s="572"/>
      <c r="L205" s="572"/>
      <c r="M205" s="572"/>
      <c r="N205" s="572"/>
      <c r="O205" s="572"/>
      <c r="P205" s="572"/>
      <c r="Q205" s="572"/>
      <c r="R205" s="473"/>
      <c r="S205" s="473"/>
      <c r="T205" s="473"/>
      <c r="U205" s="1473"/>
      <c r="V205" s="1473"/>
      <c r="W205" s="1473"/>
      <c r="X205" s="1473"/>
      <c r="Y205" s="1473"/>
      <c r="Z205" s="1497"/>
      <c r="AA205" s="1497"/>
      <c r="AB205" s="1497"/>
      <c r="AC205" s="1497"/>
      <c r="AD205" s="1497"/>
      <c r="AE205" s="1497"/>
      <c r="AF205" s="1497"/>
      <c r="AG205" s="1497"/>
      <c r="AH205" s="547"/>
      <c r="AI205" s="548"/>
      <c r="AJ205" s="548"/>
      <c r="AK205" s="548"/>
      <c r="AL205" s="548"/>
      <c r="AM205" s="548"/>
      <c r="AN205" s="548"/>
      <c r="AO205" s="548"/>
      <c r="AP205" s="548"/>
      <c r="AQ205" s="548"/>
      <c r="AR205" s="548"/>
      <c r="AS205" s="548"/>
      <c r="AT205" s="548"/>
      <c r="AU205" s="548"/>
      <c r="AV205" s="1037"/>
      <c r="AW205" s="1037"/>
      <c r="AX205" s="1037"/>
      <c r="AY205" s="1037"/>
      <c r="AZ205" s="1037"/>
      <c r="BA205" s="1037"/>
      <c r="BB205" s="1037"/>
      <c r="BC205" s="1037"/>
      <c r="BD205" s="548"/>
      <c r="BE205" s="548"/>
      <c r="BF205" s="548"/>
      <c r="BG205" s="548"/>
      <c r="BH205" s="548"/>
      <c r="BI205" s="548"/>
      <c r="BJ205" s="548"/>
      <c r="BK205" s="548"/>
      <c r="BL205" s="548"/>
      <c r="BM205" s="548"/>
      <c r="BN205" s="548"/>
      <c r="BO205" s="548"/>
      <c r="BP205" s="548"/>
      <c r="BQ205" s="548"/>
      <c r="BR205" s="548"/>
      <c r="BS205" s="548"/>
      <c r="BT205" s="548"/>
      <c r="BU205" s="548"/>
      <c r="BV205" s="548"/>
      <c r="BW205" s="548"/>
      <c r="BX205" s="548"/>
      <c r="BY205" s="548"/>
      <c r="BZ205" s="548"/>
      <c r="CA205" s="548"/>
      <c r="CB205" s="548"/>
      <c r="CC205" s="550"/>
      <c r="CD205" s="654">
        <f ca="1">IFERROR(VLOOKUP(U205,ApplicantList[],2,FALSE),0)</f>
        <v>0</v>
      </c>
      <c r="CE205" s="1056"/>
      <c r="CF205" s="1056"/>
      <c r="CG205" s="1057"/>
      <c r="CH205" s="1057"/>
      <c r="CI205" s="398"/>
      <c r="CJ205" s="398"/>
    </row>
    <row r="206" spans="1:91" ht="18.75" hidden="1" customHeight="1" x14ac:dyDescent="0.25">
      <c r="A206" s="176">
        <v>12</v>
      </c>
      <c r="B206" s="78"/>
      <c r="C206" s="1473"/>
      <c r="D206" s="1473"/>
      <c r="E206" s="1473"/>
      <c r="F206" s="1473"/>
      <c r="G206" s="1473"/>
      <c r="H206" s="1473"/>
      <c r="I206" s="1473"/>
      <c r="J206" s="1473"/>
      <c r="K206" s="1473"/>
      <c r="L206" s="1473"/>
      <c r="M206" s="1566" t="s">
        <v>373</v>
      </c>
      <c r="N206" s="1566"/>
      <c r="O206" s="1566"/>
      <c r="P206" s="1566"/>
      <c r="Q206" s="1566"/>
      <c r="R206" s="1566">
        <v>1</v>
      </c>
      <c r="S206" s="1566"/>
      <c r="T206" s="1566"/>
      <c r="U206" s="1473"/>
      <c r="V206" s="1473"/>
      <c r="W206" s="1473"/>
      <c r="X206" s="1473"/>
      <c r="Y206" s="1473"/>
      <c r="Z206" s="1497"/>
      <c r="AA206" s="1497"/>
      <c r="AB206" s="1497"/>
      <c r="AC206" s="1497"/>
      <c r="AD206" s="1497"/>
      <c r="AE206" s="1497"/>
      <c r="AF206" s="1497"/>
      <c r="AG206" s="1497"/>
      <c r="AH206" s="1556"/>
      <c r="AI206" s="1556"/>
      <c r="AJ206" s="1556"/>
      <c r="AK206" s="1556"/>
      <c r="AL206" s="1556"/>
      <c r="AM206" s="1556"/>
      <c r="AN206" s="1497"/>
      <c r="AO206" s="1497"/>
      <c r="AP206" s="1497"/>
      <c r="AQ206" s="1497"/>
      <c r="AR206" s="1497"/>
      <c r="AS206" s="1497"/>
      <c r="AT206" s="1497"/>
      <c r="AU206" s="1497"/>
      <c r="AV206" s="1563"/>
      <c r="AW206" s="1563"/>
      <c r="AX206" s="1563"/>
      <c r="AY206" s="1563"/>
      <c r="AZ206" s="1563"/>
      <c r="BA206" s="1563"/>
      <c r="BB206" s="1563"/>
      <c r="BC206" s="1563"/>
      <c r="BD206" s="1568"/>
      <c r="BE206" s="1568"/>
      <c r="BF206" s="1568"/>
      <c r="BG206" s="1567"/>
      <c r="BH206" s="1567"/>
      <c r="BI206" s="1583"/>
      <c r="BJ206" s="1583"/>
      <c r="BK206" s="1583"/>
      <c r="BL206" s="1583"/>
      <c r="BM206" s="1586"/>
      <c r="BN206" s="1586"/>
      <c r="BO206" s="1586"/>
      <c r="BP206" s="1586"/>
      <c r="BQ206" s="1585"/>
      <c r="BR206" s="1585"/>
      <c r="BS206" s="1585"/>
      <c r="BT206" s="1585"/>
      <c r="BU206" s="1584" cm="1">
        <f t="array" aca="1" ref="BU206" ca="1">IF(M206="Default",1,IF(AND(C206="Portfolio loan - sub account",CF206=FALSE),0,IF(AND(AH206=2,AK206=1, VLOOKUP(U206,ApplicantList[],3,FALSE)="Non-applicant"),INDIRECT("ICApp" &amp; VLOOKUP(U206,ApplicantList[],2,FALSE) &amp; "HouseholdIncomeApportioningRatio"),IFERROR(MIN(ROUNDUP(MAX(SUM(Z206:AC211)+AN206,SUM(AD206:AG211)+AR206,(COUNTIF(Z206:AC211,"&gt;0")+AK206)/AH206),4),1),""))))</f>
        <v>1</v>
      </c>
      <c r="BV206" s="1584"/>
      <c r="BW206" s="1584"/>
      <c r="BX206" s="1584"/>
      <c r="BY206" s="1569">
        <f>IFERROR(ROUNDUP(CHOOSE(VLOOKUP(C206,ExistingShareableCommitmentTypeTable[],6,FALSE),MAX(BI206,PMT(CG206/12,CJ206,-AZ207))*BU206,MAX(BI206,(AZ207*CG206/12))*BU206,0,BI206*BU206,MAX(BI206,(AZ207*CG206))*BU206,AZ207*CG206*BU206,IF(CF206,MAX(CI206,PMT(CG206/12,240,-AZ207))*BU206,0)),2),0)</f>
        <v>0</v>
      </c>
      <c r="BZ206" s="1569"/>
      <c r="CA206" s="1569"/>
      <c r="CB206" s="1492"/>
      <c r="CC206" s="1306"/>
      <c r="CD206" s="654">
        <f ca="1">IFERROR(VLOOKUP(U206,ApplicantList[],2,FALSE),0)</f>
        <v>0</v>
      </c>
      <c r="CE206" s="1055">
        <f>IFERROR(MAX(AV206,AZ206),0)</f>
        <v>0</v>
      </c>
      <c r="CF206" s="1056" t="b">
        <f>IF(C206="Portfolio loan - sub account",IF(NOT(ISBLANK(BQ206)),IF(COUNTIF($BQ$140:$BQ$254,BQ206)&gt;1,IF(COUNTIFS(BQ$140:BQ206,BQ206,C$140:C206,"Portfolio loan - sub account")=1,TRUE,FALSE),TRUE),FALSE),FALSE)</f>
        <v>0</v>
      </c>
      <c r="CG206" s="1057">
        <f>IFERROR(IF(C206="",0,CHOOSE(VLOOKUP(C206,ExistingShareableCommitmentTypeTable[],7,FALSE),MAX(BD206+$BE$136,FloorRateMCAR,$CJ$136),MAX(BD206,VLOOKUP(C206,ExistingShareableCommitmentTypeTable[],2,FALSE)),VLOOKUP(C206,ExistingShareableCommitmentTypeTable[],2,FALSE),MAX(BD206+$BE$136,FloorRateMCIR,$CJ$136),MAX(CH206+$BE$136,FloorRateMCIR,$CJ$136))),0)</f>
        <v>0</v>
      </c>
      <c r="CH206" s="1057" cm="1">
        <f t="array" ref="CH206">_xlfn.AGGREGATE(14,4,($C$140:$C$259="Portfolio loan - sub account")*($BQ$140:$BQ$259=$BQ206)*$BD$140:$BD$259,1)</f>
        <v>0</v>
      </c>
      <c r="CI206" s="1061">
        <f>SUMIFS($BI$140:$BI$254,$BQ$140:$BQ$254,BQ206,$C$140:$C$254,"Portfolio loan - sub account")</f>
        <v>0</v>
      </c>
      <c r="CJ206" s="619" t="e">
        <f>IF(OR(BG206="",BG206=0),VLOOKUP(C206,ExistingShareableCommitmentTypeTable[],MATCH("DefaultTerm",ExistingShareableCommitmentTypeTable[#Headers],0),FALSE),BG206)</f>
        <v>#N/A</v>
      </c>
      <c r="CK206" s="530" t="str">
        <f>IFERROR(VLOOKUP($C206,ExistingShareableCommitmentTypeTable[],MATCH(CK$138,ExistingShareableCommitmentTypeTable[#Headers],0),FALSE),"No")</f>
        <v>No</v>
      </c>
      <c r="CL206" s="530" t="str">
        <f>IFERROR(VLOOKUP($C206,ExistingShareableCommitmentTypeTable[],MATCH(CL$138,ExistingShareableCommitmentTypeTable[#Headers],0),FALSE),"No")</f>
        <v>No</v>
      </c>
      <c r="CM206" s="530" t="str">
        <f>IFERROR(VLOOKUP($C206,ExistingShareableCommitmentTypeTable[],MATCH(CM$138,ExistingShareableCommitmentTypeTable[#Headers],0),FALSE),"No")</f>
        <v>No</v>
      </c>
    </row>
    <row r="207" spans="1:91" ht="18.75" hidden="1" customHeight="1" x14ac:dyDescent="0.25">
      <c r="A207" s="176"/>
      <c r="C207" s="567"/>
      <c r="D207" s="568"/>
      <c r="E207" s="568"/>
      <c r="F207" s="568"/>
      <c r="G207" s="568"/>
      <c r="H207" s="568"/>
      <c r="I207" s="568"/>
      <c r="J207" s="568"/>
      <c r="K207" s="568"/>
      <c r="L207" s="568"/>
      <c r="M207" s="568"/>
      <c r="N207" s="568"/>
      <c r="O207" s="568"/>
      <c r="P207" s="568"/>
      <c r="Q207" s="568"/>
      <c r="R207" s="471"/>
      <c r="S207" s="471"/>
      <c r="T207" s="471"/>
      <c r="U207" s="1473"/>
      <c r="V207" s="1473"/>
      <c r="W207" s="1473"/>
      <c r="X207" s="1473"/>
      <c r="Y207" s="1473"/>
      <c r="Z207" s="1497"/>
      <c r="AA207" s="1497"/>
      <c r="AB207" s="1497"/>
      <c r="AC207" s="1497"/>
      <c r="AD207" s="1497"/>
      <c r="AE207" s="1497"/>
      <c r="AF207" s="1497"/>
      <c r="AG207" s="1497"/>
      <c r="AH207" s="541" t="b">
        <f>SUM(Z206:Z211,AN206)&gt;1</f>
        <v>0</v>
      </c>
      <c r="AI207" s="541" t="b">
        <f>SUM(AD206:AD211,AR206)&gt;1</f>
        <v>0</v>
      </c>
      <c r="AJ207" s="541" t="b">
        <f>AND(NOT(ISBLANK($AH206)),SUM($R206,$AK206)&gt;$AH206)</f>
        <v>0</v>
      </c>
      <c r="AK207" s="542"/>
      <c r="AL207" s="542"/>
      <c r="AM207" s="542"/>
      <c r="AN207" s="542"/>
      <c r="AO207" s="542"/>
      <c r="AP207" s="542"/>
      <c r="AQ207" s="542"/>
      <c r="AR207" s="542"/>
      <c r="AS207" s="542"/>
      <c r="AT207" s="542"/>
      <c r="AU207" s="542"/>
      <c r="AV207" s="1035"/>
      <c r="AW207" s="1035"/>
      <c r="AX207" s="1035"/>
      <c r="AY207" s="1035"/>
      <c r="AZ207" s="1564">
        <f>IFERROR(CHOOSE(VLOOKUP(C206,ExistingShareableCommitmentTypeTable[],8,FALSE),MAX(AV206,AZ206),AV206,SUMIFS($CE$140:$CE$254,$BQ$140:$BQ$254,BQ206,$C$140:$C$254,"Portfolio loan - sub account"),MAX(AV206,AZ206)-BM206),0)</f>
        <v>0</v>
      </c>
      <c r="BA207" s="1564"/>
      <c r="BB207" s="1564"/>
      <c r="BC207" s="1564"/>
      <c r="BD207" s="1582"/>
      <c r="BE207" s="1582"/>
      <c r="BF207" s="1582"/>
      <c r="BG207" s="1053"/>
      <c r="BH207" s="542"/>
      <c r="BI207" s="542"/>
      <c r="BJ207" s="542"/>
      <c r="BK207" s="542"/>
      <c r="BL207" s="542"/>
      <c r="BM207" s="542"/>
      <c r="BN207" s="542"/>
      <c r="BO207" s="542"/>
      <c r="BP207" s="542"/>
      <c r="BQ207" s="542"/>
      <c r="BR207" s="542"/>
      <c r="BS207" s="542"/>
      <c r="BT207" s="542"/>
      <c r="BU207" s="542"/>
      <c r="BV207" s="542"/>
      <c r="BW207" s="542"/>
      <c r="BX207" s="541"/>
      <c r="BY207" s="542"/>
      <c r="BZ207" s="542"/>
      <c r="CA207" s="542"/>
      <c r="CB207" s="542"/>
      <c r="CC207" s="550"/>
      <c r="CD207" s="654">
        <f ca="1">IFERROR(VLOOKUP(U207,ApplicantList[],2,FALSE),0)</f>
        <v>0</v>
      </c>
      <c r="CE207" s="1056"/>
      <c r="CF207" s="1056"/>
      <c r="CG207" s="1057"/>
      <c r="CH207" s="1057"/>
      <c r="CI207" s="398"/>
      <c r="CJ207" s="398"/>
    </row>
    <row r="208" spans="1:91" ht="18.75" hidden="1" customHeight="1" x14ac:dyDescent="0.25">
      <c r="A208" s="175"/>
      <c r="B208" s="78"/>
      <c r="C208" s="569"/>
      <c r="D208" s="570"/>
      <c r="E208" s="570"/>
      <c r="F208" s="570"/>
      <c r="G208" s="570"/>
      <c r="H208" s="570"/>
      <c r="I208" s="570"/>
      <c r="J208" s="570"/>
      <c r="K208" s="570"/>
      <c r="L208" s="570"/>
      <c r="M208" s="570"/>
      <c r="N208" s="570"/>
      <c r="O208" s="570"/>
      <c r="P208" s="570"/>
      <c r="Q208" s="570"/>
      <c r="R208" s="472"/>
      <c r="S208" s="472"/>
      <c r="T208" s="472"/>
      <c r="U208" s="1473"/>
      <c r="V208" s="1473"/>
      <c r="W208" s="1473"/>
      <c r="X208" s="1473"/>
      <c r="Y208" s="1473"/>
      <c r="Z208" s="1497"/>
      <c r="AA208" s="1497"/>
      <c r="AB208" s="1497"/>
      <c r="AC208" s="1497"/>
      <c r="AD208" s="1497"/>
      <c r="AE208" s="1497"/>
      <c r="AF208" s="1497"/>
      <c r="AG208" s="1497"/>
      <c r="AH208" s="544"/>
      <c r="AI208" s="541"/>
      <c r="AJ208" s="541"/>
      <c r="AK208" s="541"/>
      <c r="AL208" s="541"/>
      <c r="AM208" s="541"/>
      <c r="AN208" s="541"/>
      <c r="AO208" s="541"/>
      <c r="AP208" s="541"/>
      <c r="AQ208" s="541"/>
      <c r="AR208" s="541"/>
      <c r="AS208" s="541"/>
      <c r="AT208" s="541"/>
      <c r="AU208" s="541"/>
      <c r="AV208" s="1036"/>
      <c r="AW208" s="1036"/>
      <c r="AX208" s="1036"/>
      <c r="AY208" s="1036"/>
      <c r="AZ208" s="1559">
        <f>IFERROR(CHOOSE(VLOOKUP(C206,ExistingShareableCommitmentTypeTable[],9,FALSE),MAX(AV206,AZ206),0),0)</f>
        <v>0</v>
      </c>
      <c r="BA208" s="1559"/>
      <c r="BB208" s="1559"/>
      <c r="BC208" s="1559"/>
      <c r="BD208" s="541"/>
      <c r="BE208" s="541"/>
      <c r="BF208" s="541"/>
      <c r="BG208" s="541"/>
      <c r="BH208" s="541"/>
      <c r="BI208" s="541"/>
      <c r="BJ208" s="541"/>
      <c r="BK208" s="541"/>
      <c r="BL208" s="541"/>
      <c r="BM208" s="541"/>
      <c r="BN208" s="541"/>
      <c r="BO208" s="541"/>
      <c r="BP208" s="541"/>
      <c r="BQ208" s="541"/>
      <c r="BR208" s="541"/>
      <c r="BS208" s="541"/>
      <c r="BT208" s="541"/>
      <c r="BU208" s="541"/>
      <c r="BV208" s="541"/>
      <c r="BW208" s="541"/>
      <c r="BX208" s="541"/>
      <c r="BY208" s="541"/>
      <c r="BZ208" s="541"/>
      <c r="CA208" s="541"/>
      <c r="CB208" s="541"/>
      <c r="CC208" s="550"/>
      <c r="CD208" s="654">
        <f ca="1">IFERROR(VLOOKUP(U208,ApplicantList[],2,FALSE),0)</f>
        <v>0</v>
      </c>
      <c r="CE208" s="1056"/>
      <c r="CF208" s="1056"/>
      <c r="CG208" s="1057"/>
      <c r="CH208" s="1057"/>
      <c r="CI208" s="398"/>
      <c r="CJ208" s="398"/>
    </row>
    <row r="209" spans="1:91" ht="18.75" hidden="1" customHeight="1" x14ac:dyDescent="0.25">
      <c r="A209" s="176"/>
      <c r="B209" s="77"/>
      <c r="C209" s="569"/>
      <c r="D209" s="570"/>
      <c r="E209" s="570"/>
      <c r="F209" s="570"/>
      <c r="G209" s="570"/>
      <c r="H209" s="570"/>
      <c r="I209" s="570"/>
      <c r="J209" s="570"/>
      <c r="K209" s="570"/>
      <c r="L209" s="570"/>
      <c r="M209" s="570"/>
      <c r="N209" s="570"/>
      <c r="O209" s="570"/>
      <c r="P209" s="570"/>
      <c r="Q209" s="570"/>
      <c r="R209" s="472"/>
      <c r="S209" s="472"/>
      <c r="T209" s="472"/>
      <c r="U209" s="1473"/>
      <c r="V209" s="1473"/>
      <c r="W209" s="1473"/>
      <c r="X209" s="1473"/>
      <c r="Y209" s="1473"/>
      <c r="Z209" s="1497"/>
      <c r="AA209" s="1497"/>
      <c r="AB209" s="1497"/>
      <c r="AC209" s="1497"/>
      <c r="AD209" s="1497"/>
      <c r="AE209" s="1497"/>
      <c r="AF209" s="1497"/>
      <c r="AG209" s="1497"/>
      <c r="AH209" s="544"/>
      <c r="AI209" s="541"/>
      <c r="AJ209" s="541"/>
      <c r="AK209" s="541"/>
      <c r="AL209" s="541"/>
      <c r="AM209" s="541"/>
      <c r="AN209" s="541"/>
      <c r="AO209" s="541"/>
      <c r="AP209" s="541"/>
      <c r="AQ209" s="541"/>
      <c r="AR209" s="541"/>
      <c r="AS209" s="541"/>
      <c r="AT209" s="541"/>
      <c r="AU209" s="541"/>
      <c r="AV209" s="1036"/>
      <c r="AW209" s="1036"/>
      <c r="AX209" s="1036"/>
      <c r="AY209" s="1036"/>
      <c r="AZ209" s="1036"/>
      <c r="BA209" s="1036"/>
      <c r="BB209" s="1036"/>
      <c r="BC209" s="1036"/>
      <c r="BD209" s="541"/>
      <c r="BE209" s="541"/>
      <c r="BF209" s="541"/>
      <c r="BG209" s="541"/>
      <c r="BH209" s="541"/>
      <c r="BI209" s="541"/>
      <c r="BJ209" s="541"/>
      <c r="BK209" s="541"/>
      <c r="BL209" s="541"/>
      <c r="BM209" s="541"/>
      <c r="BN209" s="541"/>
      <c r="BO209" s="541"/>
      <c r="BP209" s="541"/>
      <c r="BQ209" s="541"/>
      <c r="BR209" s="541"/>
      <c r="BS209" s="541"/>
      <c r="BT209" s="541"/>
      <c r="BU209" s="541"/>
      <c r="BV209" s="541"/>
      <c r="BW209" s="541"/>
      <c r="BX209" s="541"/>
      <c r="BY209" s="541"/>
      <c r="BZ209" s="541"/>
      <c r="CA209" s="541"/>
      <c r="CB209" s="541"/>
      <c r="CC209" s="550"/>
      <c r="CD209" s="654">
        <f ca="1">IFERROR(VLOOKUP(U209,ApplicantList[],2,FALSE),0)</f>
        <v>0</v>
      </c>
      <c r="CE209" s="1056"/>
      <c r="CF209" s="1056"/>
      <c r="CG209" s="1057"/>
      <c r="CH209" s="1057"/>
      <c r="CI209" s="398"/>
      <c r="CJ209" s="398"/>
    </row>
    <row r="210" spans="1:91" ht="18.75" hidden="1" customHeight="1" x14ac:dyDescent="0.25">
      <c r="A210" s="176"/>
      <c r="B210" s="78"/>
      <c r="C210" s="569"/>
      <c r="D210" s="570"/>
      <c r="E210" s="570"/>
      <c r="F210" s="570"/>
      <c r="G210" s="570"/>
      <c r="H210" s="570"/>
      <c r="I210" s="570"/>
      <c r="J210" s="570"/>
      <c r="K210" s="570"/>
      <c r="L210" s="570"/>
      <c r="M210" s="570"/>
      <c r="N210" s="570"/>
      <c r="O210" s="570"/>
      <c r="P210" s="570"/>
      <c r="Q210" s="570"/>
      <c r="R210" s="472"/>
      <c r="S210" s="472"/>
      <c r="T210" s="472"/>
      <c r="U210" s="1473"/>
      <c r="V210" s="1473"/>
      <c r="W210" s="1473"/>
      <c r="X210" s="1473"/>
      <c r="Y210" s="1473"/>
      <c r="Z210" s="1497"/>
      <c r="AA210" s="1497"/>
      <c r="AB210" s="1497"/>
      <c r="AC210" s="1497"/>
      <c r="AD210" s="1497"/>
      <c r="AE210" s="1497"/>
      <c r="AF210" s="1497"/>
      <c r="AG210" s="1497"/>
      <c r="AH210" s="544"/>
      <c r="AI210" s="541"/>
      <c r="AJ210" s="541"/>
      <c r="AK210" s="541"/>
      <c r="AL210" s="541"/>
      <c r="AM210" s="541"/>
      <c r="AN210" s="541"/>
      <c r="AO210" s="541"/>
      <c r="AP210" s="541"/>
      <c r="AQ210" s="541"/>
      <c r="AR210" s="541"/>
      <c r="AS210" s="541"/>
      <c r="AT210" s="541"/>
      <c r="AU210" s="541"/>
      <c r="AV210" s="1036"/>
      <c r="AW210" s="1036"/>
      <c r="AX210" s="1036"/>
      <c r="AY210" s="1036"/>
      <c r="AZ210" s="1036"/>
      <c r="BA210" s="1036"/>
      <c r="BB210" s="1036"/>
      <c r="BC210" s="1036"/>
      <c r="BD210" s="541"/>
      <c r="BE210" s="541"/>
      <c r="BF210" s="541"/>
      <c r="BG210" s="541"/>
      <c r="BH210" s="541"/>
      <c r="BI210" s="541"/>
      <c r="BJ210" s="541"/>
      <c r="BK210" s="541"/>
      <c r="BL210" s="541"/>
      <c r="BM210" s="541"/>
      <c r="BN210" s="541"/>
      <c r="BO210" s="541"/>
      <c r="BP210" s="541"/>
      <c r="BQ210" s="541"/>
      <c r="BR210" s="541"/>
      <c r="BS210" s="541"/>
      <c r="BT210" s="541"/>
      <c r="BU210" s="541"/>
      <c r="BV210" s="541"/>
      <c r="BW210" s="541"/>
      <c r="BX210" s="541"/>
      <c r="BY210" s="541"/>
      <c r="BZ210" s="541"/>
      <c r="CA210" s="541"/>
      <c r="CB210" s="541"/>
      <c r="CC210" s="550"/>
      <c r="CD210" s="654">
        <f ca="1">IFERROR(VLOOKUP(U210,ApplicantList[],2,FALSE),0)</f>
        <v>0</v>
      </c>
      <c r="CE210" s="1056"/>
      <c r="CF210" s="1056"/>
      <c r="CG210" s="1057"/>
      <c r="CH210" s="1057"/>
      <c r="CI210" s="398"/>
      <c r="CJ210" s="398"/>
    </row>
    <row r="211" spans="1:91" ht="18.75" hidden="1" customHeight="1" x14ac:dyDescent="0.25">
      <c r="A211" s="176"/>
      <c r="B211" s="77"/>
      <c r="C211" s="571"/>
      <c r="D211" s="572"/>
      <c r="E211" s="572"/>
      <c r="F211" s="572"/>
      <c r="G211" s="572"/>
      <c r="H211" s="572"/>
      <c r="I211" s="572"/>
      <c r="J211" s="572"/>
      <c r="K211" s="572"/>
      <c r="L211" s="572"/>
      <c r="M211" s="572"/>
      <c r="N211" s="572"/>
      <c r="O211" s="572"/>
      <c r="P211" s="572"/>
      <c r="Q211" s="572"/>
      <c r="R211" s="473"/>
      <c r="S211" s="473"/>
      <c r="T211" s="473"/>
      <c r="U211" s="1473"/>
      <c r="V211" s="1473"/>
      <c r="W211" s="1473"/>
      <c r="X211" s="1473"/>
      <c r="Y211" s="1473"/>
      <c r="Z211" s="1497"/>
      <c r="AA211" s="1497"/>
      <c r="AB211" s="1497"/>
      <c r="AC211" s="1497"/>
      <c r="AD211" s="1497"/>
      <c r="AE211" s="1497"/>
      <c r="AF211" s="1497"/>
      <c r="AG211" s="1497"/>
      <c r="AH211" s="547"/>
      <c r="AI211" s="548"/>
      <c r="AJ211" s="548"/>
      <c r="AK211" s="548"/>
      <c r="AL211" s="548"/>
      <c r="AM211" s="548"/>
      <c r="AN211" s="548"/>
      <c r="AO211" s="548"/>
      <c r="AP211" s="548"/>
      <c r="AQ211" s="548"/>
      <c r="AR211" s="548"/>
      <c r="AS211" s="548"/>
      <c r="AT211" s="548"/>
      <c r="AU211" s="548"/>
      <c r="AV211" s="1037"/>
      <c r="AW211" s="1037"/>
      <c r="AX211" s="1037"/>
      <c r="AY211" s="1037"/>
      <c r="AZ211" s="1037"/>
      <c r="BA211" s="1037"/>
      <c r="BB211" s="1037"/>
      <c r="BC211" s="1037"/>
      <c r="BD211" s="548"/>
      <c r="BE211" s="548"/>
      <c r="BF211" s="548"/>
      <c r="BG211" s="548"/>
      <c r="BH211" s="548"/>
      <c r="BI211" s="548"/>
      <c r="BJ211" s="548"/>
      <c r="BK211" s="548"/>
      <c r="BL211" s="548"/>
      <c r="BM211" s="548"/>
      <c r="BN211" s="548"/>
      <c r="BO211" s="548"/>
      <c r="BP211" s="548"/>
      <c r="BQ211" s="548"/>
      <c r="BR211" s="548"/>
      <c r="BS211" s="548"/>
      <c r="BT211" s="548"/>
      <c r="BU211" s="548"/>
      <c r="BV211" s="548"/>
      <c r="BW211" s="548"/>
      <c r="BX211" s="548"/>
      <c r="BY211" s="548"/>
      <c r="BZ211" s="548"/>
      <c r="CA211" s="548"/>
      <c r="CB211" s="548"/>
      <c r="CC211" s="550"/>
      <c r="CD211" s="654">
        <f ca="1">IFERROR(VLOOKUP(U211,ApplicantList[],2,FALSE),0)</f>
        <v>0</v>
      </c>
      <c r="CE211" s="1056"/>
      <c r="CF211" s="1056"/>
      <c r="CG211" s="1057"/>
      <c r="CH211" s="1057"/>
      <c r="CI211" s="398"/>
      <c r="CJ211" s="398"/>
    </row>
    <row r="212" spans="1:91" ht="18.75" hidden="1" customHeight="1" x14ac:dyDescent="0.25">
      <c r="A212" s="175">
        <v>13</v>
      </c>
      <c r="B212" s="78"/>
      <c r="C212" s="1473"/>
      <c r="D212" s="1473"/>
      <c r="E212" s="1473"/>
      <c r="F212" s="1473"/>
      <c r="G212" s="1473"/>
      <c r="H212" s="1473"/>
      <c r="I212" s="1473"/>
      <c r="J212" s="1473"/>
      <c r="K212" s="1473"/>
      <c r="L212" s="1473"/>
      <c r="M212" s="1566" t="s">
        <v>373</v>
      </c>
      <c r="N212" s="1566"/>
      <c r="O212" s="1566"/>
      <c r="P212" s="1566"/>
      <c r="Q212" s="1566"/>
      <c r="R212" s="1566">
        <v>1</v>
      </c>
      <c r="S212" s="1566"/>
      <c r="T212" s="1566"/>
      <c r="U212" s="1473"/>
      <c r="V212" s="1473"/>
      <c r="W212" s="1473"/>
      <c r="X212" s="1473"/>
      <c r="Y212" s="1473"/>
      <c r="Z212" s="1497"/>
      <c r="AA212" s="1497"/>
      <c r="AB212" s="1497"/>
      <c r="AC212" s="1497"/>
      <c r="AD212" s="1497"/>
      <c r="AE212" s="1497"/>
      <c r="AF212" s="1497"/>
      <c r="AG212" s="1497"/>
      <c r="AH212" s="1556"/>
      <c r="AI212" s="1556"/>
      <c r="AJ212" s="1556"/>
      <c r="AK212" s="1556"/>
      <c r="AL212" s="1556"/>
      <c r="AM212" s="1556"/>
      <c r="AN212" s="1497"/>
      <c r="AO212" s="1497"/>
      <c r="AP212" s="1497"/>
      <c r="AQ212" s="1497"/>
      <c r="AR212" s="1497"/>
      <c r="AS212" s="1497"/>
      <c r="AT212" s="1497"/>
      <c r="AU212" s="1497"/>
      <c r="AV212" s="1563"/>
      <c r="AW212" s="1563"/>
      <c r="AX212" s="1563"/>
      <c r="AY212" s="1563"/>
      <c r="AZ212" s="1563"/>
      <c r="BA212" s="1563"/>
      <c r="BB212" s="1563"/>
      <c r="BC212" s="1563"/>
      <c r="BD212" s="1568"/>
      <c r="BE212" s="1568"/>
      <c r="BF212" s="1568"/>
      <c r="BG212" s="1567"/>
      <c r="BH212" s="1567"/>
      <c r="BI212" s="1583"/>
      <c r="BJ212" s="1583"/>
      <c r="BK212" s="1583"/>
      <c r="BL212" s="1583"/>
      <c r="BM212" s="1586"/>
      <c r="BN212" s="1586"/>
      <c r="BO212" s="1586"/>
      <c r="BP212" s="1586"/>
      <c r="BQ212" s="1585"/>
      <c r="BR212" s="1585"/>
      <c r="BS212" s="1585"/>
      <c r="BT212" s="1585"/>
      <c r="BU212" s="1584" cm="1">
        <f t="array" aca="1" ref="BU212" ca="1">IF(M212="Default",1,IF(AND(C212="Portfolio loan - sub account",CF212=FALSE),0,IF(AND(AH212=2,AK212=1, VLOOKUP(U212,ApplicantList[],3,FALSE)="Non-applicant"),INDIRECT("ICApp" &amp; VLOOKUP(U212,ApplicantList[],2,FALSE) &amp; "HouseholdIncomeApportioningRatio"),IFERROR(MIN(ROUNDUP(MAX(SUM(Z212:AC217)+AN212,SUM(AD212:AG217)+AR212,(COUNTIF(Z212:AC217,"&gt;0")+AK212)/AH212),4),1),""))))</f>
        <v>1</v>
      </c>
      <c r="BV212" s="1584"/>
      <c r="BW212" s="1584"/>
      <c r="BX212" s="1584"/>
      <c r="BY212" s="1569">
        <f>IFERROR(ROUNDUP(CHOOSE(VLOOKUP(C212,ExistingShareableCommitmentTypeTable[],6,FALSE),MAX(BI212,PMT(CG212/12,CJ212,-AZ213))*BU212,MAX(BI212,(AZ213*CG212/12))*BU212,0,BI212*BU212,MAX(BI212,(AZ213*CG212))*BU212,AZ213*CG212*BU212,IF(CF212,MAX(CI212,PMT(CG212/12,240,-AZ213))*BU212,0)),2),0)</f>
        <v>0</v>
      </c>
      <c r="BZ212" s="1569"/>
      <c r="CA212" s="1569"/>
      <c r="CB212" s="1492"/>
      <c r="CC212" s="1306"/>
      <c r="CD212" s="654">
        <f ca="1">IFERROR(VLOOKUP(U212,ApplicantList[],2,FALSE),0)</f>
        <v>0</v>
      </c>
      <c r="CE212" s="1055">
        <f>IFERROR(MAX(AV212,AZ212),0)</f>
        <v>0</v>
      </c>
      <c r="CF212" s="1056" t="b">
        <f>IF(C212="Portfolio loan - sub account",IF(NOT(ISBLANK(BQ212)),IF(COUNTIF($BQ$140:$BQ$254,BQ212)&gt;1,IF(COUNTIFS(BQ$140:BQ212,BQ212,C$140:C212,"Portfolio loan - sub account")=1,TRUE,FALSE),TRUE),FALSE),FALSE)</f>
        <v>0</v>
      </c>
      <c r="CG212" s="1057">
        <f>IFERROR(IF(C212="",0,CHOOSE(VLOOKUP(C212,ExistingShareableCommitmentTypeTable[],7,FALSE),MAX(BD212+$BE$136,FloorRateMCAR,$CJ$136),MAX(BD212,VLOOKUP(C212,ExistingShareableCommitmentTypeTable[],2,FALSE)),VLOOKUP(C212,ExistingShareableCommitmentTypeTable[],2,FALSE),MAX(BD212+$BE$136,FloorRateMCIR,$CJ$136),MAX(CH212+$BE$136,FloorRateMCIR,$CJ$136))),0)</f>
        <v>0</v>
      </c>
      <c r="CH212" s="1057" cm="1">
        <f t="array" ref="CH212">_xlfn.AGGREGATE(14,4,($C$140:$C$259="Portfolio loan - sub account")*($BQ$140:$BQ$259=$BQ212)*$BD$140:$BD$259,1)</f>
        <v>0</v>
      </c>
      <c r="CI212" s="1061">
        <f>SUMIFS($BI$140:$BI$254,$BQ$140:$BQ$254,BQ212,$C$140:$C$254,"Portfolio loan - sub account")</f>
        <v>0</v>
      </c>
      <c r="CJ212" s="619" t="e">
        <f>IF(OR(BG212="",BG212=0),VLOOKUP(C212,ExistingShareableCommitmentTypeTable[],MATCH("DefaultTerm",ExistingShareableCommitmentTypeTable[#Headers],0),FALSE),BG212)</f>
        <v>#N/A</v>
      </c>
      <c r="CK212" s="530" t="str">
        <f>IFERROR(VLOOKUP($C212,ExistingShareableCommitmentTypeTable[],MATCH(CK$138,ExistingShareableCommitmentTypeTable[#Headers],0),FALSE),"No")</f>
        <v>No</v>
      </c>
      <c r="CL212" s="530" t="str">
        <f>IFERROR(VLOOKUP($C212,ExistingShareableCommitmentTypeTable[],MATCH(CL$138,ExistingShareableCommitmentTypeTable[#Headers],0),FALSE),"No")</f>
        <v>No</v>
      </c>
      <c r="CM212" s="530" t="str">
        <f>IFERROR(VLOOKUP($C212,ExistingShareableCommitmentTypeTable[],MATCH(CM$138,ExistingShareableCommitmentTypeTable[#Headers],0),FALSE),"No")</f>
        <v>No</v>
      </c>
    </row>
    <row r="213" spans="1:91" ht="18.75" hidden="1" customHeight="1" x14ac:dyDescent="0.25">
      <c r="A213" s="176"/>
      <c r="B213" s="77"/>
      <c r="C213" s="567"/>
      <c r="D213" s="568"/>
      <c r="E213" s="568"/>
      <c r="F213" s="568"/>
      <c r="G213" s="568"/>
      <c r="H213" s="568"/>
      <c r="I213" s="568"/>
      <c r="J213" s="568"/>
      <c r="K213" s="568"/>
      <c r="L213" s="568"/>
      <c r="M213" s="568"/>
      <c r="N213" s="568"/>
      <c r="O213" s="568"/>
      <c r="P213" s="568"/>
      <c r="Q213" s="568"/>
      <c r="R213" s="471"/>
      <c r="S213" s="471"/>
      <c r="T213" s="471"/>
      <c r="U213" s="1473"/>
      <c r="V213" s="1473"/>
      <c r="W213" s="1473"/>
      <c r="X213" s="1473"/>
      <c r="Y213" s="1473"/>
      <c r="Z213" s="1497"/>
      <c r="AA213" s="1497"/>
      <c r="AB213" s="1497"/>
      <c r="AC213" s="1497"/>
      <c r="AD213" s="1497"/>
      <c r="AE213" s="1497"/>
      <c r="AF213" s="1497"/>
      <c r="AG213" s="1497"/>
      <c r="AH213" s="541" t="b">
        <f>SUM(Z212:Z217,AN212)&gt;1</f>
        <v>0</v>
      </c>
      <c r="AI213" s="541" t="b">
        <f>SUM(AD212:AD217,AR212)&gt;1</f>
        <v>0</v>
      </c>
      <c r="AJ213" s="541" t="b">
        <f>AND(NOT(ISBLANK($AH212)),SUM($R212,$AK212)&gt;$AH212)</f>
        <v>0</v>
      </c>
      <c r="AK213" s="542"/>
      <c r="AL213" s="542"/>
      <c r="AM213" s="542"/>
      <c r="AN213" s="542"/>
      <c r="AO213" s="542"/>
      <c r="AP213" s="542"/>
      <c r="AQ213" s="542"/>
      <c r="AR213" s="542"/>
      <c r="AS213" s="542"/>
      <c r="AT213" s="542"/>
      <c r="AU213" s="542"/>
      <c r="AV213" s="1035"/>
      <c r="AW213" s="1035"/>
      <c r="AX213" s="1035"/>
      <c r="AY213" s="1035"/>
      <c r="AZ213" s="1564">
        <f>IFERROR(CHOOSE(VLOOKUP(C212,ExistingShareableCommitmentTypeTable[],8,FALSE),MAX(AV212,AZ212),AV212,SUMIFS($CE$140:$CE$254,$BQ$140:$BQ$254,BQ212,$C$140:$C$254,"Portfolio loan - sub account"),MAX(AV212,AZ212)-BM212),0)</f>
        <v>0</v>
      </c>
      <c r="BA213" s="1564"/>
      <c r="BB213" s="1564"/>
      <c r="BC213" s="1564"/>
      <c r="BD213" s="1582"/>
      <c r="BE213" s="1582"/>
      <c r="BF213" s="1582"/>
      <c r="BG213" s="1053"/>
      <c r="BH213" s="542"/>
      <c r="BI213" s="542"/>
      <c r="BJ213" s="542"/>
      <c r="BK213" s="542"/>
      <c r="BL213" s="542"/>
      <c r="BM213" s="542"/>
      <c r="BN213" s="542"/>
      <c r="BO213" s="542"/>
      <c r="BP213" s="542"/>
      <c r="BQ213" s="542"/>
      <c r="BR213" s="542"/>
      <c r="BS213" s="542"/>
      <c r="BT213" s="542"/>
      <c r="BU213" s="542"/>
      <c r="BV213" s="542"/>
      <c r="BW213" s="542"/>
      <c r="BX213" s="541"/>
      <c r="BY213" s="542"/>
      <c r="BZ213" s="542"/>
      <c r="CA213" s="542"/>
      <c r="CB213" s="542"/>
      <c r="CC213" s="550"/>
      <c r="CD213" s="654">
        <f ca="1">IFERROR(VLOOKUP(U213,ApplicantList[],2,FALSE),0)</f>
        <v>0</v>
      </c>
      <c r="CE213" s="1056"/>
      <c r="CF213" s="1056"/>
      <c r="CG213" s="1057"/>
      <c r="CH213" s="1057"/>
      <c r="CI213" s="398"/>
      <c r="CJ213" s="398"/>
    </row>
    <row r="214" spans="1:91" ht="18.75" hidden="1" customHeight="1" x14ac:dyDescent="0.25">
      <c r="A214" s="176"/>
      <c r="B214" s="78"/>
      <c r="C214" s="569"/>
      <c r="D214" s="570"/>
      <c r="E214" s="570"/>
      <c r="F214" s="570"/>
      <c r="G214" s="570"/>
      <c r="H214" s="570"/>
      <c r="I214" s="570"/>
      <c r="J214" s="570"/>
      <c r="K214" s="570"/>
      <c r="L214" s="570"/>
      <c r="M214" s="570"/>
      <c r="N214" s="570"/>
      <c r="O214" s="570"/>
      <c r="P214" s="570"/>
      <c r="Q214" s="570"/>
      <c r="R214" s="472"/>
      <c r="S214" s="472"/>
      <c r="T214" s="472"/>
      <c r="U214" s="1473"/>
      <c r="V214" s="1473"/>
      <c r="W214" s="1473"/>
      <c r="X214" s="1473"/>
      <c r="Y214" s="1473"/>
      <c r="Z214" s="1497"/>
      <c r="AA214" s="1497"/>
      <c r="AB214" s="1497"/>
      <c r="AC214" s="1497"/>
      <c r="AD214" s="1497"/>
      <c r="AE214" s="1497"/>
      <c r="AF214" s="1497"/>
      <c r="AG214" s="1497"/>
      <c r="AH214" s="544"/>
      <c r="AI214" s="541"/>
      <c r="AJ214" s="541"/>
      <c r="AK214" s="541"/>
      <c r="AL214" s="541"/>
      <c r="AM214" s="541"/>
      <c r="AN214" s="541"/>
      <c r="AO214" s="541"/>
      <c r="AP214" s="541"/>
      <c r="AQ214" s="541"/>
      <c r="AR214" s="541"/>
      <c r="AS214" s="541"/>
      <c r="AT214" s="541"/>
      <c r="AU214" s="541"/>
      <c r="AV214" s="1036"/>
      <c r="AW214" s="1036"/>
      <c r="AX214" s="1036"/>
      <c r="AY214" s="1036"/>
      <c r="AZ214" s="1559">
        <f>IFERROR(CHOOSE(VLOOKUP(C212,ExistingShareableCommitmentTypeTable[],9,FALSE),MAX(AV212,AZ212),0),0)</f>
        <v>0</v>
      </c>
      <c r="BA214" s="1559"/>
      <c r="BB214" s="1559"/>
      <c r="BC214" s="1559"/>
      <c r="BD214" s="541"/>
      <c r="BE214" s="541"/>
      <c r="BF214" s="541"/>
      <c r="BG214" s="541"/>
      <c r="BH214" s="541"/>
      <c r="BI214" s="541"/>
      <c r="BJ214" s="541"/>
      <c r="BK214" s="541"/>
      <c r="BL214" s="541"/>
      <c r="BM214" s="541"/>
      <c r="BN214" s="541"/>
      <c r="BO214" s="541"/>
      <c r="BP214" s="541"/>
      <c r="BQ214" s="541"/>
      <c r="BR214" s="541"/>
      <c r="BS214" s="541"/>
      <c r="BT214" s="541"/>
      <c r="BU214" s="541"/>
      <c r="BV214" s="541"/>
      <c r="BW214" s="541"/>
      <c r="BX214" s="541"/>
      <c r="BY214" s="541"/>
      <c r="BZ214" s="541"/>
      <c r="CA214" s="541"/>
      <c r="CB214" s="541"/>
      <c r="CC214" s="550"/>
      <c r="CD214" s="654">
        <f ca="1">IFERROR(VLOOKUP(U214,ApplicantList[],2,FALSE),0)</f>
        <v>0</v>
      </c>
      <c r="CE214" s="1056"/>
      <c r="CF214" s="1056"/>
      <c r="CG214" s="1057"/>
      <c r="CH214" s="1057"/>
      <c r="CI214" s="398"/>
      <c r="CJ214" s="398"/>
    </row>
    <row r="215" spans="1:91" ht="18.75" hidden="1" customHeight="1" x14ac:dyDescent="0.25">
      <c r="A215" s="176"/>
      <c r="B215" s="77"/>
      <c r="C215" s="569"/>
      <c r="D215" s="570"/>
      <c r="E215" s="570"/>
      <c r="F215" s="570"/>
      <c r="G215" s="570"/>
      <c r="H215" s="570"/>
      <c r="I215" s="570"/>
      <c r="J215" s="570"/>
      <c r="K215" s="570"/>
      <c r="L215" s="570"/>
      <c r="M215" s="570"/>
      <c r="N215" s="570"/>
      <c r="O215" s="570"/>
      <c r="P215" s="570"/>
      <c r="Q215" s="570"/>
      <c r="R215" s="472"/>
      <c r="S215" s="472"/>
      <c r="T215" s="472"/>
      <c r="U215" s="1473"/>
      <c r="V215" s="1473"/>
      <c r="W215" s="1473"/>
      <c r="X215" s="1473"/>
      <c r="Y215" s="1473"/>
      <c r="Z215" s="1497"/>
      <c r="AA215" s="1497"/>
      <c r="AB215" s="1497"/>
      <c r="AC215" s="1497"/>
      <c r="AD215" s="1497"/>
      <c r="AE215" s="1497"/>
      <c r="AF215" s="1497"/>
      <c r="AG215" s="1497"/>
      <c r="AH215" s="544"/>
      <c r="AI215" s="541"/>
      <c r="AJ215" s="541"/>
      <c r="AK215" s="541"/>
      <c r="AL215" s="541"/>
      <c r="AM215" s="541"/>
      <c r="AN215" s="541"/>
      <c r="AO215" s="541"/>
      <c r="AP215" s="541"/>
      <c r="AQ215" s="541"/>
      <c r="AR215" s="541"/>
      <c r="AS215" s="541"/>
      <c r="AT215" s="541"/>
      <c r="AU215" s="541"/>
      <c r="AV215" s="1036"/>
      <c r="AW215" s="1036"/>
      <c r="AX215" s="1036"/>
      <c r="AY215" s="1036"/>
      <c r="AZ215" s="1036"/>
      <c r="BA215" s="1036"/>
      <c r="BB215" s="1036"/>
      <c r="BC215" s="1036"/>
      <c r="BD215" s="541"/>
      <c r="BE215" s="541"/>
      <c r="BF215" s="541"/>
      <c r="BG215" s="541"/>
      <c r="BH215" s="541"/>
      <c r="BI215" s="541"/>
      <c r="BJ215" s="541"/>
      <c r="BK215" s="541"/>
      <c r="BL215" s="541"/>
      <c r="BM215" s="541"/>
      <c r="BN215" s="541"/>
      <c r="BO215" s="541"/>
      <c r="BP215" s="541"/>
      <c r="BQ215" s="541"/>
      <c r="BR215" s="541"/>
      <c r="BS215" s="541"/>
      <c r="BT215" s="541"/>
      <c r="BU215" s="541"/>
      <c r="BV215" s="541"/>
      <c r="BW215" s="541"/>
      <c r="BX215" s="541"/>
      <c r="BY215" s="541"/>
      <c r="BZ215" s="541"/>
      <c r="CA215" s="541"/>
      <c r="CB215" s="541"/>
      <c r="CC215" s="550"/>
      <c r="CD215" s="654">
        <f ca="1">IFERROR(VLOOKUP(U215,ApplicantList[],2,FALSE),0)</f>
        <v>0</v>
      </c>
      <c r="CE215" s="1056"/>
      <c r="CF215" s="1056"/>
      <c r="CG215" s="1057"/>
      <c r="CH215" s="1057"/>
      <c r="CI215" s="398"/>
      <c r="CJ215" s="398"/>
    </row>
    <row r="216" spans="1:91" ht="18.75" hidden="1" customHeight="1" x14ac:dyDescent="0.25">
      <c r="A216" s="175"/>
      <c r="B216" s="78"/>
      <c r="C216" s="569"/>
      <c r="D216" s="570"/>
      <c r="E216" s="570"/>
      <c r="F216" s="570"/>
      <c r="G216" s="570"/>
      <c r="H216" s="570"/>
      <c r="I216" s="570"/>
      <c r="J216" s="570"/>
      <c r="K216" s="570"/>
      <c r="L216" s="570"/>
      <c r="M216" s="570"/>
      <c r="N216" s="570"/>
      <c r="O216" s="570"/>
      <c r="P216" s="570"/>
      <c r="Q216" s="570"/>
      <c r="R216" s="472"/>
      <c r="S216" s="472"/>
      <c r="T216" s="472"/>
      <c r="U216" s="1473"/>
      <c r="V216" s="1473"/>
      <c r="W216" s="1473"/>
      <c r="X216" s="1473"/>
      <c r="Y216" s="1473"/>
      <c r="Z216" s="1497"/>
      <c r="AA216" s="1497"/>
      <c r="AB216" s="1497"/>
      <c r="AC216" s="1497"/>
      <c r="AD216" s="1497"/>
      <c r="AE216" s="1497"/>
      <c r="AF216" s="1497"/>
      <c r="AG216" s="1497"/>
      <c r="AH216" s="544"/>
      <c r="AI216" s="541"/>
      <c r="AJ216" s="541"/>
      <c r="AK216" s="541"/>
      <c r="AL216" s="541"/>
      <c r="AM216" s="541"/>
      <c r="AN216" s="541"/>
      <c r="AO216" s="541"/>
      <c r="AP216" s="541"/>
      <c r="AQ216" s="541"/>
      <c r="AR216" s="541"/>
      <c r="AS216" s="541"/>
      <c r="AT216" s="541"/>
      <c r="AU216" s="541"/>
      <c r="AV216" s="1036"/>
      <c r="AW216" s="1036"/>
      <c r="AX216" s="1036"/>
      <c r="AY216" s="1036"/>
      <c r="AZ216" s="1036"/>
      <c r="BA216" s="1036"/>
      <c r="BB216" s="1036"/>
      <c r="BC216" s="1036"/>
      <c r="BD216" s="541"/>
      <c r="BE216" s="541"/>
      <c r="BF216" s="541"/>
      <c r="BG216" s="541"/>
      <c r="BH216" s="541"/>
      <c r="BI216" s="541"/>
      <c r="BJ216" s="541"/>
      <c r="BK216" s="541"/>
      <c r="BL216" s="541"/>
      <c r="BM216" s="541"/>
      <c r="BN216" s="541"/>
      <c r="BO216" s="541"/>
      <c r="BP216" s="541"/>
      <c r="BQ216" s="541"/>
      <c r="BR216" s="541"/>
      <c r="BS216" s="541"/>
      <c r="BT216" s="541"/>
      <c r="BU216" s="541"/>
      <c r="BV216" s="541"/>
      <c r="BW216" s="541"/>
      <c r="BX216" s="541"/>
      <c r="BY216" s="541"/>
      <c r="BZ216" s="541"/>
      <c r="CA216" s="541"/>
      <c r="CB216" s="541"/>
      <c r="CC216" s="550"/>
      <c r="CD216" s="654">
        <f ca="1">IFERROR(VLOOKUP(U216,ApplicantList[],2,FALSE),0)</f>
        <v>0</v>
      </c>
      <c r="CE216" s="1056"/>
      <c r="CF216" s="1056"/>
      <c r="CG216" s="1057"/>
      <c r="CH216" s="1057"/>
      <c r="CI216" s="398"/>
      <c r="CJ216" s="398"/>
    </row>
    <row r="217" spans="1:91" ht="18.75" hidden="1" customHeight="1" x14ac:dyDescent="0.25">
      <c r="A217" s="176"/>
      <c r="B217" s="77"/>
      <c r="C217" s="571"/>
      <c r="D217" s="572"/>
      <c r="E217" s="572"/>
      <c r="F217" s="572"/>
      <c r="G217" s="572"/>
      <c r="H217" s="572"/>
      <c r="I217" s="572"/>
      <c r="J217" s="572"/>
      <c r="K217" s="572"/>
      <c r="L217" s="572"/>
      <c r="M217" s="572"/>
      <c r="N217" s="572"/>
      <c r="O217" s="572"/>
      <c r="P217" s="572"/>
      <c r="Q217" s="572"/>
      <c r="R217" s="473"/>
      <c r="S217" s="473"/>
      <c r="T217" s="473"/>
      <c r="U217" s="1473"/>
      <c r="V217" s="1473"/>
      <c r="W217" s="1473"/>
      <c r="X217" s="1473"/>
      <c r="Y217" s="1473"/>
      <c r="Z217" s="1497"/>
      <c r="AA217" s="1497"/>
      <c r="AB217" s="1497"/>
      <c r="AC217" s="1497"/>
      <c r="AD217" s="1497"/>
      <c r="AE217" s="1497"/>
      <c r="AF217" s="1497"/>
      <c r="AG217" s="1497"/>
      <c r="AH217" s="547"/>
      <c r="AI217" s="548"/>
      <c r="AJ217" s="548"/>
      <c r="AK217" s="548"/>
      <c r="AL217" s="548"/>
      <c r="AM217" s="548"/>
      <c r="AN217" s="548"/>
      <c r="AO217" s="548"/>
      <c r="AP217" s="548"/>
      <c r="AQ217" s="548"/>
      <c r="AR217" s="548"/>
      <c r="AS217" s="548"/>
      <c r="AT217" s="548"/>
      <c r="AU217" s="548"/>
      <c r="AV217" s="1037"/>
      <c r="AW217" s="1037"/>
      <c r="AX217" s="1037"/>
      <c r="AY217" s="1037"/>
      <c r="AZ217" s="1037"/>
      <c r="BA217" s="1037"/>
      <c r="BB217" s="1037"/>
      <c r="BC217" s="1037"/>
      <c r="BD217" s="548"/>
      <c r="BE217" s="548"/>
      <c r="BF217" s="548"/>
      <c r="BG217" s="548"/>
      <c r="BH217" s="548"/>
      <c r="BI217" s="548"/>
      <c r="BJ217" s="548"/>
      <c r="BK217" s="548"/>
      <c r="BL217" s="548"/>
      <c r="BM217" s="548"/>
      <c r="BN217" s="548"/>
      <c r="BO217" s="548"/>
      <c r="BP217" s="548"/>
      <c r="BQ217" s="548"/>
      <c r="BR217" s="548"/>
      <c r="BS217" s="548"/>
      <c r="BT217" s="548"/>
      <c r="BU217" s="548"/>
      <c r="BV217" s="548"/>
      <c r="BW217" s="548"/>
      <c r="BX217" s="548"/>
      <c r="BY217" s="548"/>
      <c r="BZ217" s="548"/>
      <c r="CA217" s="548"/>
      <c r="CB217" s="548"/>
      <c r="CC217" s="550"/>
      <c r="CD217" s="654">
        <f ca="1">IFERROR(VLOOKUP(U217,ApplicantList[],2,FALSE),0)</f>
        <v>0</v>
      </c>
      <c r="CE217" s="1056"/>
      <c r="CF217" s="1056"/>
      <c r="CG217" s="1057"/>
      <c r="CH217" s="1057"/>
      <c r="CI217" s="398"/>
      <c r="CJ217" s="398"/>
    </row>
    <row r="218" spans="1:91" ht="18.75" hidden="1" customHeight="1" x14ac:dyDescent="0.25">
      <c r="A218" s="176">
        <v>14</v>
      </c>
      <c r="B218" s="78"/>
      <c r="C218" s="1473"/>
      <c r="D218" s="1473"/>
      <c r="E218" s="1473"/>
      <c r="F218" s="1473"/>
      <c r="G218" s="1473"/>
      <c r="H218" s="1473"/>
      <c r="I218" s="1473"/>
      <c r="J218" s="1473"/>
      <c r="K218" s="1473"/>
      <c r="L218" s="1473"/>
      <c r="M218" s="1566" t="s">
        <v>373</v>
      </c>
      <c r="N218" s="1566"/>
      <c r="O218" s="1566"/>
      <c r="P218" s="1566"/>
      <c r="Q218" s="1566"/>
      <c r="R218" s="1566">
        <v>1</v>
      </c>
      <c r="S218" s="1566"/>
      <c r="T218" s="1566"/>
      <c r="U218" s="1473"/>
      <c r="V218" s="1473"/>
      <c r="W218" s="1473"/>
      <c r="X218" s="1473"/>
      <c r="Y218" s="1473"/>
      <c r="Z218" s="1497"/>
      <c r="AA218" s="1497"/>
      <c r="AB218" s="1497"/>
      <c r="AC218" s="1497"/>
      <c r="AD218" s="1497"/>
      <c r="AE218" s="1497"/>
      <c r="AF218" s="1497"/>
      <c r="AG218" s="1497"/>
      <c r="AH218" s="1556"/>
      <c r="AI218" s="1556"/>
      <c r="AJ218" s="1556"/>
      <c r="AK218" s="1556"/>
      <c r="AL218" s="1556"/>
      <c r="AM218" s="1556"/>
      <c r="AN218" s="1497"/>
      <c r="AO218" s="1497"/>
      <c r="AP218" s="1497"/>
      <c r="AQ218" s="1497"/>
      <c r="AR218" s="1497"/>
      <c r="AS218" s="1497"/>
      <c r="AT218" s="1497"/>
      <c r="AU218" s="1497"/>
      <c r="AV218" s="1563"/>
      <c r="AW218" s="1563"/>
      <c r="AX218" s="1563"/>
      <c r="AY218" s="1563"/>
      <c r="AZ218" s="1563"/>
      <c r="BA218" s="1563"/>
      <c r="BB218" s="1563"/>
      <c r="BC218" s="1563"/>
      <c r="BD218" s="1568"/>
      <c r="BE218" s="1568"/>
      <c r="BF218" s="1568"/>
      <c r="BG218" s="1567"/>
      <c r="BH218" s="1567"/>
      <c r="BI218" s="1583"/>
      <c r="BJ218" s="1583"/>
      <c r="BK218" s="1583"/>
      <c r="BL218" s="1583"/>
      <c r="BM218" s="1586"/>
      <c r="BN218" s="1586"/>
      <c r="BO218" s="1586"/>
      <c r="BP218" s="1586"/>
      <c r="BQ218" s="1585"/>
      <c r="BR218" s="1585"/>
      <c r="BS218" s="1585"/>
      <c r="BT218" s="1585"/>
      <c r="BU218" s="1584" cm="1">
        <f t="array" aca="1" ref="BU218" ca="1">IF(M218="Default",1,IF(AND(C218="Portfolio loan - sub account",CF218=FALSE),0,IF(AND(AH218=2,AK218=1, VLOOKUP(U218,ApplicantList[],3,FALSE)="Non-applicant"),INDIRECT("ICApp" &amp; VLOOKUP(U218,ApplicantList[],2,FALSE) &amp; "HouseholdIncomeApportioningRatio"),IFERROR(MIN(ROUNDUP(MAX(SUM(Z218:AC223)+AN218,SUM(AD218:AG223)+AR218,(COUNTIF(Z218:AC223,"&gt;0")+AK218)/AH218),4),1),""))))</f>
        <v>1</v>
      </c>
      <c r="BV218" s="1584"/>
      <c r="BW218" s="1584"/>
      <c r="BX218" s="1584"/>
      <c r="BY218" s="1569">
        <f>IFERROR(ROUNDUP(CHOOSE(VLOOKUP(C218,ExistingShareableCommitmentTypeTable[],6,FALSE),MAX(BI218,PMT(CG218/12,CJ218,-AZ219))*BU218,MAX(BI218,(AZ219*CG218/12))*BU218,0,BI218*BU218,MAX(BI218,(AZ219*CG218))*BU218,AZ219*CG218*BU218,IF(CF218,MAX(CI218,PMT(CG218/12,240,-AZ219))*BU218,0)),2),0)</f>
        <v>0</v>
      </c>
      <c r="BZ218" s="1569"/>
      <c r="CA218" s="1569"/>
      <c r="CB218" s="1492"/>
      <c r="CC218" s="1306"/>
      <c r="CD218" s="654">
        <f ca="1">IFERROR(VLOOKUP(U218,ApplicantList[],2,FALSE),0)</f>
        <v>0</v>
      </c>
      <c r="CE218" s="1055">
        <f>IFERROR(MAX(AV218,AZ218),0)</f>
        <v>0</v>
      </c>
      <c r="CF218" s="1056" t="b">
        <f>IF(C218="Portfolio loan - sub account",IF(NOT(ISBLANK(BQ218)),IF(COUNTIF($BQ$140:$BQ$254,BQ218)&gt;1,IF(COUNTIFS(BQ$140:BQ218,BQ218,C$140:C218,"Portfolio loan - sub account")=1,TRUE,FALSE),TRUE),FALSE),FALSE)</f>
        <v>0</v>
      </c>
      <c r="CG218" s="1057">
        <f>IFERROR(IF(C218="",0,CHOOSE(VLOOKUP(C218,ExistingShareableCommitmentTypeTable[],7,FALSE),MAX(BD218+$BE$136,FloorRateMCAR,$CJ$136),MAX(BD218,VLOOKUP(C218,ExistingShareableCommitmentTypeTable[],2,FALSE)),VLOOKUP(C218,ExistingShareableCommitmentTypeTable[],2,FALSE),MAX(BD218+$BE$136,FloorRateMCIR,$CJ$136),MAX(CH218+$BE$136,FloorRateMCIR,$CJ$136))),0)</f>
        <v>0</v>
      </c>
      <c r="CH218" s="1057" cm="1">
        <f t="array" ref="CH218">_xlfn.AGGREGATE(14,4,($C$140:$C$259="Portfolio loan - sub account")*($BQ$140:$BQ$259=$BQ218)*$BD$140:$BD$259,1)</f>
        <v>0</v>
      </c>
      <c r="CI218" s="1061">
        <f>SUMIFS($BI$140:$BI$254,$BQ$140:$BQ$254,BQ218,$C$140:$C$254,"Portfolio loan - sub account")</f>
        <v>0</v>
      </c>
      <c r="CJ218" s="619" t="e">
        <f>IF(OR(BG218="",BG218=0),VLOOKUP(C218,ExistingShareableCommitmentTypeTable[],MATCH("DefaultTerm",ExistingShareableCommitmentTypeTable[#Headers],0),FALSE),BG218)</f>
        <v>#N/A</v>
      </c>
      <c r="CK218" s="530" t="str">
        <f>IFERROR(VLOOKUP($C218,ExistingShareableCommitmentTypeTable[],MATCH(CK$138,ExistingShareableCommitmentTypeTable[#Headers],0),FALSE),"No")</f>
        <v>No</v>
      </c>
      <c r="CL218" s="530" t="str">
        <f>IFERROR(VLOOKUP($C218,ExistingShareableCommitmentTypeTable[],MATCH(CL$138,ExistingShareableCommitmentTypeTable[#Headers],0),FALSE),"No")</f>
        <v>No</v>
      </c>
      <c r="CM218" s="530" t="str">
        <f>IFERROR(VLOOKUP($C218,ExistingShareableCommitmentTypeTable[],MATCH(CM$138,ExistingShareableCommitmentTypeTable[#Headers],0),FALSE),"No")</f>
        <v>No</v>
      </c>
    </row>
    <row r="219" spans="1:91" ht="18.75" hidden="1" customHeight="1" x14ac:dyDescent="0.25">
      <c r="A219" s="176"/>
      <c r="B219" s="77"/>
      <c r="C219" s="567"/>
      <c r="D219" s="568"/>
      <c r="E219" s="568"/>
      <c r="F219" s="568"/>
      <c r="G219" s="568"/>
      <c r="H219" s="568"/>
      <c r="I219" s="568"/>
      <c r="J219" s="568"/>
      <c r="K219" s="568"/>
      <c r="L219" s="568"/>
      <c r="M219" s="568"/>
      <c r="N219" s="568"/>
      <c r="O219" s="568"/>
      <c r="P219" s="568"/>
      <c r="Q219" s="568"/>
      <c r="R219" s="471"/>
      <c r="S219" s="471"/>
      <c r="T219" s="471"/>
      <c r="U219" s="1473"/>
      <c r="V219" s="1473"/>
      <c r="W219" s="1473"/>
      <c r="X219" s="1473"/>
      <c r="Y219" s="1473"/>
      <c r="Z219" s="1497"/>
      <c r="AA219" s="1497"/>
      <c r="AB219" s="1497"/>
      <c r="AC219" s="1497"/>
      <c r="AD219" s="1497"/>
      <c r="AE219" s="1497"/>
      <c r="AF219" s="1497"/>
      <c r="AG219" s="1497"/>
      <c r="AH219" s="541" t="b">
        <f>SUM(Z218:Z223,AN218)&gt;1</f>
        <v>0</v>
      </c>
      <c r="AI219" s="541" t="b">
        <f>SUM(AD218:AD223,AR218)&gt;1</f>
        <v>0</v>
      </c>
      <c r="AJ219" s="541" t="b">
        <f>AND(NOT(ISBLANK($AH218)),SUM($R218,$AK218)&gt;$AH218)</f>
        <v>0</v>
      </c>
      <c r="AK219" s="542"/>
      <c r="AL219" s="542"/>
      <c r="AM219" s="542"/>
      <c r="AN219" s="542"/>
      <c r="AO219" s="542"/>
      <c r="AP219" s="542"/>
      <c r="AQ219" s="542"/>
      <c r="AR219" s="542"/>
      <c r="AS219" s="542"/>
      <c r="AT219" s="542"/>
      <c r="AU219" s="542"/>
      <c r="AV219" s="1035"/>
      <c r="AW219" s="1035"/>
      <c r="AX219" s="1035"/>
      <c r="AY219" s="1035"/>
      <c r="AZ219" s="1564">
        <f>IFERROR(CHOOSE(VLOOKUP(C218,ExistingShareableCommitmentTypeTable[],8,FALSE),MAX(AV218,AZ218),AV218,SUMIFS($CE$140:$CE$254,$BQ$140:$BQ$254,BQ218,$C$140:$C$254,"Portfolio loan - sub account"),MAX(AV218,AZ218)-BM218),0)</f>
        <v>0</v>
      </c>
      <c r="BA219" s="1564"/>
      <c r="BB219" s="1564"/>
      <c r="BC219" s="1564"/>
      <c r="BD219" s="1582"/>
      <c r="BE219" s="1582"/>
      <c r="BF219" s="1582"/>
      <c r="BG219" s="1053"/>
      <c r="BH219" s="542"/>
      <c r="BI219" s="542"/>
      <c r="BJ219" s="542"/>
      <c r="BK219" s="542"/>
      <c r="BL219" s="542"/>
      <c r="BM219" s="542"/>
      <c r="BN219" s="542"/>
      <c r="BO219" s="542"/>
      <c r="BP219" s="542"/>
      <c r="BQ219" s="542"/>
      <c r="BR219" s="542"/>
      <c r="BS219" s="542"/>
      <c r="BT219" s="542"/>
      <c r="BU219" s="542"/>
      <c r="BV219" s="542"/>
      <c r="BW219" s="542"/>
      <c r="BX219" s="541"/>
      <c r="BY219" s="542"/>
      <c r="BZ219" s="542"/>
      <c r="CA219" s="542"/>
      <c r="CB219" s="542"/>
      <c r="CC219" s="550"/>
      <c r="CD219" s="654">
        <f ca="1">IFERROR(VLOOKUP(U219,ApplicantList[],2,FALSE),0)</f>
        <v>0</v>
      </c>
      <c r="CE219" s="1056"/>
      <c r="CF219" s="1056"/>
      <c r="CG219" s="1057"/>
      <c r="CH219" s="1057"/>
      <c r="CI219" s="398"/>
      <c r="CJ219" s="398"/>
    </row>
    <row r="220" spans="1:91" ht="18.75" hidden="1" customHeight="1" x14ac:dyDescent="0.25">
      <c r="A220" s="175"/>
      <c r="B220" s="78"/>
      <c r="C220" s="569"/>
      <c r="D220" s="570"/>
      <c r="E220" s="570"/>
      <c r="F220" s="570"/>
      <c r="G220" s="570"/>
      <c r="H220" s="570"/>
      <c r="I220" s="570"/>
      <c r="J220" s="570"/>
      <c r="K220" s="570"/>
      <c r="L220" s="570"/>
      <c r="M220" s="570"/>
      <c r="N220" s="570"/>
      <c r="O220" s="570"/>
      <c r="P220" s="570"/>
      <c r="Q220" s="570"/>
      <c r="R220" s="472"/>
      <c r="S220" s="472"/>
      <c r="T220" s="472"/>
      <c r="U220" s="1473"/>
      <c r="V220" s="1473"/>
      <c r="W220" s="1473"/>
      <c r="X220" s="1473"/>
      <c r="Y220" s="1473"/>
      <c r="Z220" s="1497"/>
      <c r="AA220" s="1497"/>
      <c r="AB220" s="1497"/>
      <c r="AC220" s="1497"/>
      <c r="AD220" s="1497"/>
      <c r="AE220" s="1497"/>
      <c r="AF220" s="1497"/>
      <c r="AG220" s="1497"/>
      <c r="AH220" s="544"/>
      <c r="AI220" s="541"/>
      <c r="AJ220" s="541"/>
      <c r="AK220" s="541"/>
      <c r="AL220" s="541"/>
      <c r="AM220" s="541"/>
      <c r="AN220" s="541"/>
      <c r="AO220" s="541"/>
      <c r="AP220" s="541"/>
      <c r="AQ220" s="541"/>
      <c r="AR220" s="541"/>
      <c r="AS220" s="541"/>
      <c r="AT220" s="541"/>
      <c r="AU220" s="541"/>
      <c r="AV220" s="1036"/>
      <c r="AW220" s="1036"/>
      <c r="AX220" s="1036"/>
      <c r="AY220" s="1036"/>
      <c r="AZ220" s="1559">
        <f>IFERROR(CHOOSE(VLOOKUP(C218,ExistingShareableCommitmentTypeTable[],9,FALSE),MAX(AV218,AZ218),0),0)</f>
        <v>0</v>
      </c>
      <c r="BA220" s="1559"/>
      <c r="BB220" s="1559"/>
      <c r="BC220" s="1559"/>
      <c r="BD220" s="541"/>
      <c r="BE220" s="541"/>
      <c r="BF220" s="541"/>
      <c r="BG220" s="541"/>
      <c r="BH220" s="541"/>
      <c r="BI220" s="541"/>
      <c r="BJ220" s="541"/>
      <c r="BK220" s="541"/>
      <c r="BL220" s="541"/>
      <c r="BM220" s="541"/>
      <c r="BN220" s="541"/>
      <c r="BO220" s="541"/>
      <c r="BP220" s="541"/>
      <c r="BQ220" s="541"/>
      <c r="BR220" s="541"/>
      <c r="BS220" s="541"/>
      <c r="BT220" s="541"/>
      <c r="BU220" s="541"/>
      <c r="BV220" s="541"/>
      <c r="BW220" s="541"/>
      <c r="BX220" s="541"/>
      <c r="BY220" s="541"/>
      <c r="BZ220" s="541"/>
      <c r="CA220" s="541"/>
      <c r="CB220" s="541"/>
      <c r="CC220" s="550"/>
      <c r="CD220" s="654">
        <f ca="1">IFERROR(VLOOKUP(U220,ApplicantList[],2,FALSE),0)</f>
        <v>0</v>
      </c>
      <c r="CE220" s="1056"/>
      <c r="CF220" s="1056"/>
      <c r="CG220" s="1057"/>
      <c r="CH220" s="1057"/>
      <c r="CI220" s="398"/>
      <c r="CJ220" s="398"/>
    </row>
    <row r="221" spans="1:91" ht="18.75" hidden="1" customHeight="1" x14ac:dyDescent="0.25">
      <c r="A221" s="176"/>
      <c r="B221" s="77"/>
      <c r="C221" s="569"/>
      <c r="D221" s="570"/>
      <c r="E221" s="570"/>
      <c r="F221" s="570"/>
      <c r="G221" s="570"/>
      <c r="H221" s="570"/>
      <c r="I221" s="570"/>
      <c r="J221" s="570"/>
      <c r="K221" s="570"/>
      <c r="L221" s="570"/>
      <c r="M221" s="570"/>
      <c r="N221" s="570"/>
      <c r="O221" s="570"/>
      <c r="P221" s="570"/>
      <c r="Q221" s="570"/>
      <c r="R221" s="472"/>
      <c r="S221" s="472"/>
      <c r="T221" s="472"/>
      <c r="U221" s="1473"/>
      <c r="V221" s="1473"/>
      <c r="W221" s="1473"/>
      <c r="X221" s="1473"/>
      <c r="Y221" s="1473"/>
      <c r="Z221" s="1497"/>
      <c r="AA221" s="1497"/>
      <c r="AB221" s="1497"/>
      <c r="AC221" s="1497"/>
      <c r="AD221" s="1497"/>
      <c r="AE221" s="1497"/>
      <c r="AF221" s="1497"/>
      <c r="AG221" s="1497"/>
      <c r="AH221" s="544"/>
      <c r="AI221" s="541"/>
      <c r="AJ221" s="541"/>
      <c r="AK221" s="541"/>
      <c r="AL221" s="541"/>
      <c r="AM221" s="541"/>
      <c r="AN221" s="541"/>
      <c r="AO221" s="541"/>
      <c r="AP221" s="541"/>
      <c r="AQ221" s="541"/>
      <c r="AR221" s="541"/>
      <c r="AS221" s="541"/>
      <c r="AT221" s="541"/>
      <c r="AU221" s="541"/>
      <c r="AV221" s="1036"/>
      <c r="AW221" s="1036"/>
      <c r="AX221" s="1036"/>
      <c r="AY221" s="1036"/>
      <c r="AZ221" s="1036"/>
      <c r="BA221" s="1036"/>
      <c r="BB221" s="1036"/>
      <c r="BC221" s="1036"/>
      <c r="BD221" s="541"/>
      <c r="BE221" s="541"/>
      <c r="BF221" s="541"/>
      <c r="BG221" s="541"/>
      <c r="BH221" s="541"/>
      <c r="BI221" s="541"/>
      <c r="BJ221" s="541"/>
      <c r="BK221" s="541"/>
      <c r="BL221" s="541"/>
      <c r="BM221" s="541"/>
      <c r="BN221" s="541"/>
      <c r="BO221" s="541"/>
      <c r="BP221" s="541"/>
      <c r="BQ221" s="541"/>
      <c r="BR221" s="541"/>
      <c r="BS221" s="541"/>
      <c r="BT221" s="541"/>
      <c r="BU221" s="541"/>
      <c r="BV221" s="541"/>
      <c r="BW221" s="541"/>
      <c r="BX221" s="541"/>
      <c r="BY221" s="541"/>
      <c r="BZ221" s="541"/>
      <c r="CA221" s="541"/>
      <c r="CB221" s="541"/>
      <c r="CC221" s="550"/>
      <c r="CD221" s="654">
        <f ca="1">IFERROR(VLOOKUP(U221,ApplicantList[],2,FALSE),0)</f>
        <v>0</v>
      </c>
      <c r="CE221" s="1056"/>
      <c r="CF221" s="1056"/>
      <c r="CG221" s="1057"/>
      <c r="CH221" s="1057"/>
      <c r="CI221" s="398"/>
      <c r="CJ221" s="398"/>
    </row>
    <row r="222" spans="1:91" ht="18.75" hidden="1" customHeight="1" x14ac:dyDescent="0.25">
      <c r="A222" s="176"/>
      <c r="B222" s="78"/>
      <c r="C222" s="569"/>
      <c r="D222" s="570"/>
      <c r="E222" s="570"/>
      <c r="F222" s="570"/>
      <c r="G222" s="570"/>
      <c r="H222" s="570"/>
      <c r="I222" s="570"/>
      <c r="J222" s="570"/>
      <c r="K222" s="570"/>
      <c r="L222" s="570"/>
      <c r="M222" s="570"/>
      <c r="N222" s="570"/>
      <c r="O222" s="570"/>
      <c r="P222" s="570"/>
      <c r="Q222" s="570"/>
      <c r="R222" s="472"/>
      <c r="S222" s="472"/>
      <c r="T222" s="472"/>
      <c r="U222" s="1473"/>
      <c r="V222" s="1473"/>
      <c r="W222" s="1473"/>
      <c r="X222" s="1473"/>
      <c r="Y222" s="1473"/>
      <c r="Z222" s="1497"/>
      <c r="AA222" s="1497"/>
      <c r="AB222" s="1497"/>
      <c r="AC222" s="1497"/>
      <c r="AD222" s="1497"/>
      <c r="AE222" s="1497"/>
      <c r="AF222" s="1497"/>
      <c r="AG222" s="1497"/>
      <c r="AH222" s="544"/>
      <c r="AI222" s="541"/>
      <c r="AJ222" s="541"/>
      <c r="AK222" s="541"/>
      <c r="AL222" s="541"/>
      <c r="AM222" s="541"/>
      <c r="AN222" s="541"/>
      <c r="AO222" s="541"/>
      <c r="AP222" s="541"/>
      <c r="AQ222" s="541"/>
      <c r="AR222" s="541"/>
      <c r="AS222" s="541"/>
      <c r="AT222" s="541"/>
      <c r="AU222" s="541"/>
      <c r="AV222" s="1036"/>
      <c r="AW222" s="1036"/>
      <c r="AX222" s="1036"/>
      <c r="AY222" s="1036"/>
      <c r="AZ222" s="1036"/>
      <c r="BA222" s="1036"/>
      <c r="BB222" s="1036"/>
      <c r="BC222" s="1036"/>
      <c r="BD222" s="541"/>
      <c r="BE222" s="541"/>
      <c r="BF222" s="541"/>
      <c r="BG222" s="541"/>
      <c r="BH222" s="541"/>
      <c r="BI222" s="541"/>
      <c r="BJ222" s="541"/>
      <c r="BK222" s="541"/>
      <c r="BL222" s="541"/>
      <c r="BM222" s="541"/>
      <c r="BN222" s="541"/>
      <c r="BO222" s="541"/>
      <c r="BP222" s="541"/>
      <c r="BQ222" s="541"/>
      <c r="BR222" s="541"/>
      <c r="BS222" s="541"/>
      <c r="BT222" s="541"/>
      <c r="BU222" s="541"/>
      <c r="BV222" s="541"/>
      <c r="BW222" s="541"/>
      <c r="BX222" s="541"/>
      <c r="BY222" s="541"/>
      <c r="BZ222" s="541"/>
      <c r="CA222" s="541"/>
      <c r="CB222" s="541"/>
      <c r="CC222" s="550"/>
      <c r="CD222" s="654">
        <f ca="1">IFERROR(VLOOKUP(U222,ApplicantList[],2,FALSE),0)</f>
        <v>0</v>
      </c>
      <c r="CE222" s="1056"/>
      <c r="CF222" s="1056"/>
      <c r="CG222" s="1057"/>
      <c r="CH222" s="1057"/>
      <c r="CI222" s="398"/>
      <c r="CJ222" s="398"/>
    </row>
    <row r="223" spans="1:91" ht="18.75" hidden="1" customHeight="1" x14ac:dyDescent="0.25">
      <c r="A223" s="176"/>
      <c r="B223" s="77"/>
      <c r="C223" s="571"/>
      <c r="D223" s="572"/>
      <c r="E223" s="572"/>
      <c r="F223" s="572"/>
      <c r="G223" s="572"/>
      <c r="H223" s="572"/>
      <c r="I223" s="572"/>
      <c r="J223" s="572"/>
      <c r="K223" s="572"/>
      <c r="L223" s="572"/>
      <c r="M223" s="572"/>
      <c r="N223" s="572"/>
      <c r="O223" s="572"/>
      <c r="P223" s="572"/>
      <c r="Q223" s="572"/>
      <c r="R223" s="473"/>
      <c r="S223" s="473"/>
      <c r="T223" s="473"/>
      <c r="U223" s="1473"/>
      <c r="V223" s="1473"/>
      <c r="W223" s="1473"/>
      <c r="X223" s="1473"/>
      <c r="Y223" s="1473"/>
      <c r="Z223" s="1497"/>
      <c r="AA223" s="1497"/>
      <c r="AB223" s="1497"/>
      <c r="AC223" s="1497"/>
      <c r="AD223" s="1497"/>
      <c r="AE223" s="1497"/>
      <c r="AF223" s="1497"/>
      <c r="AG223" s="1497"/>
      <c r="AH223" s="547"/>
      <c r="AI223" s="548"/>
      <c r="AJ223" s="548"/>
      <c r="AK223" s="548"/>
      <c r="AL223" s="548"/>
      <c r="AM223" s="548"/>
      <c r="AN223" s="548"/>
      <c r="AO223" s="548"/>
      <c r="AP223" s="548"/>
      <c r="AQ223" s="548"/>
      <c r="AR223" s="548"/>
      <c r="AS223" s="548"/>
      <c r="AT223" s="548"/>
      <c r="AU223" s="548"/>
      <c r="AV223" s="1037"/>
      <c r="AW223" s="1037"/>
      <c r="AX223" s="1037"/>
      <c r="AY223" s="1037"/>
      <c r="AZ223" s="1037"/>
      <c r="BA223" s="1037"/>
      <c r="BB223" s="1037"/>
      <c r="BC223" s="1037"/>
      <c r="BD223" s="548"/>
      <c r="BE223" s="548"/>
      <c r="BF223" s="548"/>
      <c r="BG223" s="548"/>
      <c r="BH223" s="548"/>
      <c r="BI223" s="548"/>
      <c r="BJ223" s="548"/>
      <c r="BK223" s="548"/>
      <c r="BL223" s="548"/>
      <c r="BM223" s="548"/>
      <c r="BN223" s="548"/>
      <c r="BO223" s="548"/>
      <c r="BP223" s="548"/>
      <c r="BQ223" s="548"/>
      <c r="BR223" s="548"/>
      <c r="BS223" s="548"/>
      <c r="BT223" s="548"/>
      <c r="BU223" s="548"/>
      <c r="BV223" s="548"/>
      <c r="BW223" s="548"/>
      <c r="BX223" s="548"/>
      <c r="BY223" s="548"/>
      <c r="BZ223" s="548"/>
      <c r="CA223" s="548"/>
      <c r="CB223" s="548"/>
      <c r="CC223" s="550"/>
      <c r="CD223" s="654">
        <f ca="1">IFERROR(VLOOKUP(U223,ApplicantList[],2,FALSE),0)</f>
        <v>0</v>
      </c>
      <c r="CE223" s="1056"/>
      <c r="CF223" s="1056"/>
      <c r="CG223" s="1057"/>
      <c r="CH223" s="1057"/>
      <c r="CI223" s="398"/>
      <c r="CJ223" s="398"/>
    </row>
    <row r="224" spans="1:91" ht="18.75" hidden="1" customHeight="1" x14ac:dyDescent="0.25">
      <c r="A224" s="175">
        <v>15</v>
      </c>
      <c r="B224" s="78"/>
      <c r="C224" s="1473"/>
      <c r="D224" s="1473"/>
      <c r="E224" s="1473"/>
      <c r="F224" s="1473"/>
      <c r="G224" s="1473"/>
      <c r="H224" s="1473"/>
      <c r="I224" s="1473"/>
      <c r="J224" s="1473"/>
      <c r="K224" s="1473"/>
      <c r="L224" s="1473"/>
      <c r="M224" s="1566" t="s">
        <v>373</v>
      </c>
      <c r="N224" s="1566"/>
      <c r="O224" s="1566"/>
      <c r="P224" s="1566"/>
      <c r="Q224" s="1566"/>
      <c r="R224" s="1566">
        <v>1</v>
      </c>
      <c r="S224" s="1566"/>
      <c r="T224" s="1566"/>
      <c r="U224" s="1473"/>
      <c r="V224" s="1473"/>
      <c r="W224" s="1473"/>
      <c r="X224" s="1473"/>
      <c r="Y224" s="1473"/>
      <c r="Z224" s="1497"/>
      <c r="AA224" s="1497"/>
      <c r="AB224" s="1497"/>
      <c r="AC224" s="1497"/>
      <c r="AD224" s="1497"/>
      <c r="AE224" s="1497"/>
      <c r="AF224" s="1497"/>
      <c r="AG224" s="1497"/>
      <c r="AH224" s="1556"/>
      <c r="AI224" s="1556"/>
      <c r="AJ224" s="1556"/>
      <c r="AK224" s="1556"/>
      <c r="AL224" s="1556"/>
      <c r="AM224" s="1556"/>
      <c r="AN224" s="1497"/>
      <c r="AO224" s="1497"/>
      <c r="AP224" s="1497"/>
      <c r="AQ224" s="1497"/>
      <c r="AR224" s="1497"/>
      <c r="AS224" s="1497"/>
      <c r="AT224" s="1497"/>
      <c r="AU224" s="1497"/>
      <c r="AV224" s="1563"/>
      <c r="AW224" s="1563"/>
      <c r="AX224" s="1563"/>
      <c r="AY224" s="1563"/>
      <c r="AZ224" s="1563"/>
      <c r="BA224" s="1563"/>
      <c r="BB224" s="1563"/>
      <c r="BC224" s="1563"/>
      <c r="BD224" s="1568"/>
      <c r="BE224" s="1568"/>
      <c r="BF224" s="1568"/>
      <c r="BG224" s="1567"/>
      <c r="BH224" s="1567"/>
      <c r="BI224" s="1583"/>
      <c r="BJ224" s="1583"/>
      <c r="BK224" s="1583"/>
      <c r="BL224" s="1583"/>
      <c r="BM224" s="1586"/>
      <c r="BN224" s="1586"/>
      <c r="BO224" s="1586"/>
      <c r="BP224" s="1586"/>
      <c r="BQ224" s="1585"/>
      <c r="BR224" s="1585"/>
      <c r="BS224" s="1585"/>
      <c r="BT224" s="1585"/>
      <c r="BU224" s="1584" cm="1">
        <f t="array" aca="1" ref="BU224" ca="1">IF(M224="Default",1,IF(AND(C224="Portfolio loan - sub account",CF224=FALSE),0,IF(AND(AH224=2,AK224=1, VLOOKUP(U224,ApplicantList[],3,FALSE)="Non-applicant"),INDIRECT("ICApp" &amp; VLOOKUP(U224,ApplicantList[],2,FALSE) &amp; "HouseholdIncomeApportioningRatio"),IFERROR(MIN(ROUNDUP(MAX(SUM(Z224:AC229)+AN224,SUM(AD224:AG229)+AR224,(COUNTIF(Z224:AC229,"&gt;0")+AK224)/AH224),4),1),""))))</f>
        <v>1</v>
      </c>
      <c r="BV224" s="1584"/>
      <c r="BW224" s="1584"/>
      <c r="BX224" s="1584"/>
      <c r="BY224" s="1569">
        <f>IFERROR(ROUNDUP(CHOOSE(VLOOKUP(C224,ExistingShareableCommitmentTypeTable[],6,FALSE),MAX(BI224,PMT(CG224/12,CJ224,-AZ225))*BU224,MAX(BI224,(AZ225*CG224/12))*BU224,0,BI224*BU224,MAX(BI224,(AZ225*CG224))*BU224,AZ225*CG224*BU224,IF(CF224,MAX(CI224,PMT(CG224/12,240,-AZ225))*BU224,0)),2),0)</f>
        <v>0</v>
      </c>
      <c r="BZ224" s="1569"/>
      <c r="CA224" s="1569"/>
      <c r="CB224" s="1492"/>
      <c r="CC224" s="1306"/>
      <c r="CD224" s="654">
        <f ca="1">IFERROR(VLOOKUP(U224,ApplicantList[],2,FALSE),0)</f>
        <v>0</v>
      </c>
      <c r="CE224" s="1055">
        <f>IFERROR(MAX(AV224,AZ224),0)</f>
        <v>0</v>
      </c>
      <c r="CF224" s="1056" t="b">
        <f>IF(C224="Portfolio loan - sub account",IF(NOT(ISBLANK(BQ224)),IF(COUNTIF($BQ$140:$BQ$254,BQ224)&gt;1,IF(COUNTIFS(BQ$140:BQ224,BQ224,C$140:C224,"Portfolio loan - sub account")=1,TRUE,FALSE),TRUE),FALSE),FALSE)</f>
        <v>0</v>
      </c>
      <c r="CG224" s="1057">
        <f>IFERROR(IF(C224="",0,CHOOSE(VLOOKUP(C224,ExistingShareableCommitmentTypeTable[],7,FALSE),MAX(BD224+$BE$136,FloorRateMCAR,$CJ$136),MAX(BD224,VLOOKUP(C224,ExistingShareableCommitmentTypeTable[],2,FALSE)),VLOOKUP(C224,ExistingShareableCommitmentTypeTable[],2,FALSE),MAX(BD224+$BE$136,FloorRateMCIR,$CJ$136),MAX(CH224+$BE$136,FloorRateMCIR,$CJ$136))),0)</f>
        <v>0</v>
      </c>
      <c r="CH224" s="1057" cm="1">
        <f t="array" ref="CH224">_xlfn.AGGREGATE(14,4,($C$140:$C$259="Portfolio loan - sub account")*($BQ$140:$BQ$259=$BQ224)*$BD$140:$BD$259,1)</f>
        <v>0</v>
      </c>
      <c r="CI224" s="1061">
        <f>SUMIFS($BI$140:$BI$254,$BQ$140:$BQ$254,BQ224,$C$140:$C$254,"Portfolio loan - sub account")</f>
        <v>0</v>
      </c>
      <c r="CJ224" s="619" t="e">
        <f>IF(OR(BG224="",BG224=0),VLOOKUP(C224,ExistingShareableCommitmentTypeTable[],MATCH("DefaultTerm",ExistingShareableCommitmentTypeTable[#Headers],0),FALSE),BG224)</f>
        <v>#N/A</v>
      </c>
      <c r="CK224" s="530" t="str">
        <f>IFERROR(VLOOKUP($C224,ExistingShareableCommitmentTypeTable[],MATCH(CK$138,ExistingShareableCommitmentTypeTable[#Headers],0),FALSE),"No")</f>
        <v>No</v>
      </c>
      <c r="CL224" s="530" t="str">
        <f>IFERROR(VLOOKUP($C224,ExistingShareableCommitmentTypeTable[],MATCH(CL$138,ExistingShareableCommitmentTypeTable[#Headers],0),FALSE),"No")</f>
        <v>No</v>
      </c>
      <c r="CM224" s="530" t="str">
        <f>IFERROR(VLOOKUP($C224,ExistingShareableCommitmentTypeTable[],MATCH(CM$138,ExistingShareableCommitmentTypeTable[#Headers],0),FALSE),"No")</f>
        <v>No</v>
      </c>
    </row>
    <row r="225" spans="1:91" ht="18.75" hidden="1" customHeight="1" x14ac:dyDescent="0.25">
      <c r="A225" s="176"/>
      <c r="B225" s="77"/>
      <c r="C225" s="567"/>
      <c r="D225" s="568"/>
      <c r="E225" s="568"/>
      <c r="F225" s="568"/>
      <c r="G225" s="568"/>
      <c r="H225" s="568"/>
      <c r="I225" s="568"/>
      <c r="J225" s="568"/>
      <c r="K225" s="568"/>
      <c r="L225" s="568"/>
      <c r="M225" s="568"/>
      <c r="N225" s="568"/>
      <c r="O225" s="568"/>
      <c r="P225" s="568"/>
      <c r="Q225" s="568"/>
      <c r="R225" s="471"/>
      <c r="S225" s="471"/>
      <c r="T225" s="471"/>
      <c r="U225" s="1473"/>
      <c r="V225" s="1473"/>
      <c r="W225" s="1473"/>
      <c r="X225" s="1473"/>
      <c r="Y225" s="1473"/>
      <c r="Z225" s="1497"/>
      <c r="AA225" s="1497"/>
      <c r="AB225" s="1497"/>
      <c r="AC225" s="1497"/>
      <c r="AD225" s="1497"/>
      <c r="AE225" s="1497"/>
      <c r="AF225" s="1497"/>
      <c r="AG225" s="1497"/>
      <c r="AH225" s="541" t="b">
        <f>SUM(Z224:Z229,AN224)&gt;1</f>
        <v>0</v>
      </c>
      <c r="AI225" s="541" t="b">
        <f>SUM(AD224:AD229,AR224)&gt;1</f>
        <v>0</v>
      </c>
      <c r="AJ225" s="541" t="b">
        <f>AND(NOT(ISBLANK($AH224)),SUM($R224,$AK224)&gt;$AH224)</f>
        <v>0</v>
      </c>
      <c r="AK225" s="542"/>
      <c r="AL225" s="542"/>
      <c r="AM225" s="542"/>
      <c r="AN225" s="542"/>
      <c r="AO225" s="542"/>
      <c r="AP225" s="542"/>
      <c r="AQ225" s="542"/>
      <c r="AR225" s="542"/>
      <c r="AS225" s="542"/>
      <c r="AT225" s="542"/>
      <c r="AU225" s="542"/>
      <c r="AV225" s="1035"/>
      <c r="AW225" s="1035"/>
      <c r="AX225" s="1035"/>
      <c r="AY225" s="1035"/>
      <c r="AZ225" s="1564">
        <f>IFERROR(CHOOSE(VLOOKUP(C224,ExistingShareableCommitmentTypeTable[],8,FALSE),MAX(AV224,AZ224),AV224,SUMIFS($CE$140:$CE$254,$BQ$140:$BQ$254,BQ224,$C$140:$C$254,"Portfolio loan - sub account"),MAX(AV224,AZ224)-BM224),0)</f>
        <v>0</v>
      </c>
      <c r="BA225" s="1564"/>
      <c r="BB225" s="1564"/>
      <c r="BC225" s="1564"/>
      <c r="BD225" s="1582"/>
      <c r="BE225" s="1582"/>
      <c r="BF225" s="1582"/>
      <c r="BG225" s="1053"/>
      <c r="BH225" s="542"/>
      <c r="BI225" s="542"/>
      <c r="BJ225" s="542"/>
      <c r="BK225" s="542"/>
      <c r="BL225" s="542"/>
      <c r="BM225" s="542"/>
      <c r="BN225" s="542"/>
      <c r="BO225" s="542"/>
      <c r="BP225" s="542"/>
      <c r="BQ225" s="542"/>
      <c r="BR225" s="542"/>
      <c r="BS225" s="542"/>
      <c r="BT225" s="542"/>
      <c r="BU225" s="542"/>
      <c r="BV225" s="542"/>
      <c r="BW225" s="542"/>
      <c r="BX225" s="541"/>
      <c r="BY225" s="542"/>
      <c r="BZ225" s="542"/>
      <c r="CA225" s="542"/>
      <c r="CB225" s="542"/>
      <c r="CC225" s="550"/>
      <c r="CD225" s="654">
        <f ca="1">IFERROR(VLOOKUP(U225,ApplicantList[],2,FALSE),0)</f>
        <v>0</v>
      </c>
      <c r="CE225" s="1056"/>
      <c r="CF225" s="1056"/>
      <c r="CG225" s="1057"/>
      <c r="CH225" s="1057"/>
      <c r="CI225" s="398"/>
      <c r="CJ225" s="398"/>
    </row>
    <row r="226" spans="1:91" ht="18.75" hidden="1" customHeight="1" x14ac:dyDescent="0.25">
      <c r="A226" s="176"/>
      <c r="B226" s="78"/>
      <c r="C226" s="569"/>
      <c r="D226" s="570"/>
      <c r="E226" s="570"/>
      <c r="F226" s="570"/>
      <c r="G226" s="570"/>
      <c r="H226" s="570"/>
      <c r="I226" s="570"/>
      <c r="J226" s="570"/>
      <c r="K226" s="570"/>
      <c r="L226" s="570"/>
      <c r="M226" s="570"/>
      <c r="N226" s="570"/>
      <c r="O226" s="570"/>
      <c r="P226" s="570"/>
      <c r="Q226" s="570"/>
      <c r="R226" s="472"/>
      <c r="S226" s="472"/>
      <c r="T226" s="472"/>
      <c r="U226" s="1473"/>
      <c r="V226" s="1473"/>
      <c r="W226" s="1473"/>
      <c r="X226" s="1473"/>
      <c r="Y226" s="1473"/>
      <c r="Z226" s="1497"/>
      <c r="AA226" s="1497"/>
      <c r="AB226" s="1497"/>
      <c r="AC226" s="1497"/>
      <c r="AD226" s="1497"/>
      <c r="AE226" s="1497"/>
      <c r="AF226" s="1497"/>
      <c r="AG226" s="1497"/>
      <c r="AH226" s="544"/>
      <c r="AI226" s="541"/>
      <c r="AJ226" s="541"/>
      <c r="AK226" s="541"/>
      <c r="AL226" s="541"/>
      <c r="AM226" s="541"/>
      <c r="AN226" s="541"/>
      <c r="AO226" s="541"/>
      <c r="AP226" s="541"/>
      <c r="AQ226" s="541"/>
      <c r="AR226" s="541"/>
      <c r="AS226" s="541"/>
      <c r="AT226" s="541"/>
      <c r="AU226" s="541"/>
      <c r="AV226" s="1036"/>
      <c r="AW226" s="1036"/>
      <c r="AX226" s="1036"/>
      <c r="AY226" s="1036"/>
      <c r="AZ226" s="1559">
        <f>IFERROR(CHOOSE(VLOOKUP(C224,ExistingShareableCommitmentTypeTable[],9,FALSE),MAX(AV224,AZ224),0),0)</f>
        <v>0</v>
      </c>
      <c r="BA226" s="1559"/>
      <c r="BB226" s="1559"/>
      <c r="BC226" s="1559"/>
      <c r="BD226" s="541"/>
      <c r="BE226" s="541"/>
      <c r="BF226" s="541"/>
      <c r="BG226" s="541"/>
      <c r="BH226" s="541"/>
      <c r="BI226" s="541"/>
      <c r="BJ226" s="541"/>
      <c r="BK226" s="541"/>
      <c r="BL226" s="541"/>
      <c r="BM226" s="541"/>
      <c r="BN226" s="541"/>
      <c r="BO226" s="541"/>
      <c r="BP226" s="541"/>
      <c r="BQ226" s="541"/>
      <c r="BR226" s="541"/>
      <c r="BS226" s="541"/>
      <c r="BT226" s="541"/>
      <c r="BU226" s="541"/>
      <c r="BV226" s="541"/>
      <c r="BW226" s="541"/>
      <c r="BX226" s="541"/>
      <c r="BY226" s="541"/>
      <c r="BZ226" s="541"/>
      <c r="CA226" s="541"/>
      <c r="CB226" s="541"/>
      <c r="CC226" s="550"/>
      <c r="CD226" s="654">
        <f ca="1">IFERROR(VLOOKUP(U226,ApplicantList[],2,FALSE),0)</f>
        <v>0</v>
      </c>
      <c r="CE226" s="1056"/>
      <c r="CF226" s="1056"/>
      <c r="CG226" s="1057"/>
      <c r="CH226" s="1057"/>
      <c r="CI226" s="398"/>
      <c r="CJ226" s="398"/>
    </row>
    <row r="227" spans="1:91" ht="18.75" hidden="1" customHeight="1" x14ac:dyDescent="0.25">
      <c r="A227" s="176"/>
      <c r="B227" s="77"/>
      <c r="C227" s="569"/>
      <c r="D227" s="570"/>
      <c r="E227" s="570"/>
      <c r="F227" s="570"/>
      <c r="G227" s="570"/>
      <c r="H227" s="570"/>
      <c r="I227" s="570"/>
      <c r="J227" s="570"/>
      <c r="K227" s="570"/>
      <c r="L227" s="570"/>
      <c r="M227" s="570"/>
      <c r="N227" s="570"/>
      <c r="O227" s="570"/>
      <c r="P227" s="570"/>
      <c r="Q227" s="570"/>
      <c r="R227" s="472"/>
      <c r="S227" s="472"/>
      <c r="T227" s="472"/>
      <c r="U227" s="1473"/>
      <c r="V227" s="1473"/>
      <c r="W227" s="1473"/>
      <c r="X227" s="1473"/>
      <c r="Y227" s="1473"/>
      <c r="Z227" s="1497"/>
      <c r="AA227" s="1497"/>
      <c r="AB227" s="1497"/>
      <c r="AC227" s="1497"/>
      <c r="AD227" s="1497"/>
      <c r="AE227" s="1497"/>
      <c r="AF227" s="1497"/>
      <c r="AG227" s="1497"/>
      <c r="AH227" s="544"/>
      <c r="AI227" s="541"/>
      <c r="AJ227" s="541"/>
      <c r="AK227" s="541"/>
      <c r="AL227" s="541"/>
      <c r="AM227" s="541"/>
      <c r="AN227" s="541"/>
      <c r="AO227" s="541"/>
      <c r="AP227" s="541"/>
      <c r="AQ227" s="541"/>
      <c r="AR227" s="541"/>
      <c r="AS227" s="541"/>
      <c r="AT227" s="541"/>
      <c r="AU227" s="541"/>
      <c r="AV227" s="1036"/>
      <c r="AW227" s="1036"/>
      <c r="AX227" s="1036"/>
      <c r="AY227" s="1036"/>
      <c r="AZ227" s="1036"/>
      <c r="BA227" s="1036"/>
      <c r="BB227" s="1036"/>
      <c r="BC227" s="1036"/>
      <c r="BD227" s="541"/>
      <c r="BE227" s="541"/>
      <c r="BF227" s="541"/>
      <c r="BG227" s="541"/>
      <c r="BH227" s="541"/>
      <c r="BI227" s="541"/>
      <c r="BJ227" s="541"/>
      <c r="BK227" s="541"/>
      <c r="BL227" s="541"/>
      <c r="BM227" s="541"/>
      <c r="BN227" s="541"/>
      <c r="BO227" s="541"/>
      <c r="BP227" s="541"/>
      <c r="BQ227" s="541"/>
      <c r="BR227" s="541"/>
      <c r="BS227" s="541"/>
      <c r="BT227" s="541"/>
      <c r="BU227" s="541"/>
      <c r="BV227" s="541"/>
      <c r="BW227" s="541"/>
      <c r="BX227" s="541"/>
      <c r="BY227" s="541"/>
      <c r="BZ227" s="541"/>
      <c r="CA227" s="541"/>
      <c r="CB227" s="541"/>
      <c r="CC227" s="550"/>
      <c r="CD227" s="654">
        <f ca="1">IFERROR(VLOOKUP(U227,ApplicantList[],2,FALSE),0)</f>
        <v>0</v>
      </c>
      <c r="CE227" s="1056"/>
      <c r="CF227" s="1056"/>
      <c r="CG227" s="1057"/>
      <c r="CH227" s="1057"/>
      <c r="CI227" s="398"/>
      <c r="CJ227" s="398"/>
    </row>
    <row r="228" spans="1:91" ht="18.75" hidden="1" customHeight="1" x14ac:dyDescent="0.25">
      <c r="A228" s="175"/>
      <c r="B228" s="78"/>
      <c r="C228" s="569"/>
      <c r="D228" s="570"/>
      <c r="E228" s="570"/>
      <c r="F228" s="570"/>
      <c r="G228" s="570"/>
      <c r="H228" s="570"/>
      <c r="I228" s="570"/>
      <c r="J228" s="570"/>
      <c r="K228" s="570"/>
      <c r="L228" s="570"/>
      <c r="M228" s="570"/>
      <c r="N228" s="570"/>
      <c r="O228" s="570"/>
      <c r="P228" s="570"/>
      <c r="Q228" s="570"/>
      <c r="R228" s="472"/>
      <c r="S228" s="472"/>
      <c r="T228" s="472"/>
      <c r="U228" s="1473"/>
      <c r="V228" s="1473"/>
      <c r="W228" s="1473"/>
      <c r="X228" s="1473"/>
      <c r="Y228" s="1473"/>
      <c r="Z228" s="1497"/>
      <c r="AA228" s="1497"/>
      <c r="AB228" s="1497"/>
      <c r="AC228" s="1497"/>
      <c r="AD228" s="1497"/>
      <c r="AE228" s="1497"/>
      <c r="AF228" s="1497"/>
      <c r="AG228" s="1497"/>
      <c r="AH228" s="544"/>
      <c r="AI228" s="541"/>
      <c r="AJ228" s="541"/>
      <c r="AK228" s="541"/>
      <c r="AL228" s="541"/>
      <c r="AM228" s="541"/>
      <c r="AN228" s="541"/>
      <c r="AO228" s="541"/>
      <c r="AP228" s="541"/>
      <c r="AQ228" s="541"/>
      <c r="AR228" s="541"/>
      <c r="AS228" s="541"/>
      <c r="AT228" s="541"/>
      <c r="AU228" s="541"/>
      <c r="AV228" s="1036"/>
      <c r="AW228" s="1036"/>
      <c r="AX228" s="1036"/>
      <c r="AY228" s="1036"/>
      <c r="AZ228" s="1036"/>
      <c r="BA228" s="1036"/>
      <c r="BB228" s="1036"/>
      <c r="BC228" s="1036"/>
      <c r="BD228" s="541"/>
      <c r="BE228" s="541"/>
      <c r="BF228" s="541"/>
      <c r="BG228" s="541"/>
      <c r="BH228" s="541"/>
      <c r="BI228" s="541"/>
      <c r="BJ228" s="541"/>
      <c r="BK228" s="541"/>
      <c r="BL228" s="541"/>
      <c r="BM228" s="541"/>
      <c r="BN228" s="541"/>
      <c r="BO228" s="541"/>
      <c r="BP228" s="541"/>
      <c r="BQ228" s="541"/>
      <c r="BR228" s="541"/>
      <c r="BS228" s="541"/>
      <c r="BT228" s="541"/>
      <c r="BU228" s="541"/>
      <c r="BV228" s="541"/>
      <c r="BW228" s="541"/>
      <c r="BX228" s="541"/>
      <c r="BY228" s="541"/>
      <c r="BZ228" s="541"/>
      <c r="CA228" s="541"/>
      <c r="CB228" s="541"/>
      <c r="CC228" s="550"/>
      <c r="CD228" s="654">
        <f ca="1">IFERROR(VLOOKUP(U228,ApplicantList[],2,FALSE),0)</f>
        <v>0</v>
      </c>
      <c r="CE228" s="1056"/>
      <c r="CF228" s="1056"/>
      <c r="CG228" s="1057"/>
      <c r="CH228" s="1057"/>
      <c r="CI228" s="398"/>
      <c r="CJ228" s="398"/>
    </row>
    <row r="229" spans="1:91" ht="18.75" hidden="1" customHeight="1" x14ac:dyDescent="0.25">
      <c r="A229" s="176"/>
      <c r="B229" s="77"/>
      <c r="C229" s="571"/>
      <c r="D229" s="572"/>
      <c r="E229" s="572"/>
      <c r="F229" s="572"/>
      <c r="G229" s="572"/>
      <c r="H229" s="572"/>
      <c r="I229" s="572"/>
      <c r="J229" s="572"/>
      <c r="K229" s="572"/>
      <c r="L229" s="572"/>
      <c r="M229" s="572"/>
      <c r="N229" s="572"/>
      <c r="O229" s="572"/>
      <c r="P229" s="572"/>
      <c r="Q229" s="572"/>
      <c r="R229" s="473"/>
      <c r="S229" s="473"/>
      <c r="T229" s="473"/>
      <c r="U229" s="1473"/>
      <c r="V229" s="1473"/>
      <c r="W229" s="1473"/>
      <c r="X229" s="1473"/>
      <c r="Y229" s="1473"/>
      <c r="Z229" s="1497"/>
      <c r="AA229" s="1497"/>
      <c r="AB229" s="1497"/>
      <c r="AC229" s="1497"/>
      <c r="AD229" s="1497"/>
      <c r="AE229" s="1497"/>
      <c r="AF229" s="1497"/>
      <c r="AG229" s="1497"/>
      <c r="AH229" s="547"/>
      <c r="AI229" s="548"/>
      <c r="AJ229" s="548"/>
      <c r="AK229" s="548"/>
      <c r="AL229" s="548"/>
      <c r="AM229" s="548"/>
      <c r="AN229" s="548"/>
      <c r="AO229" s="548"/>
      <c r="AP229" s="548"/>
      <c r="AQ229" s="548"/>
      <c r="AR229" s="548"/>
      <c r="AS229" s="548"/>
      <c r="AT229" s="548"/>
      <c r="AU229" s="548"/>
      <c r="AV229" s="1037"/>
      <c r="AW229" s="1037"/>
      <c r="AX229" s="1037"/>
      <c r="AY229" s="1037"/>
      <c r="AZ229" s="1037"/>
      <c r="BA229" s="1037"/>
      <c r="BB229" s="1037"/>
      <c r="BC229" s="1037"/>
      <c r="BD229" s="548"/>
      <c r="BE229" s="548"/>
      <c r="BF229" s="548"/>
      <c r="BG229" s="548"/>
      <c r="BH229" s="548"/>
      <c r="BI229" s="548"/>
      <c r="BJ229" s="548"/>
      <c r="BK229" s="548"/>
      <c r="BL229" s="548"/>
      <c r="BM229" s="548"/>
      <c r="BN229" s="548"/>
      <c r="BO229" s="548"/>
      <c r="BP229" s="548"/>
      <c r="BQ229" s="548"/>
      <c r="BR229" s="548"/>
      <c r="BS229" s="548"/>
      <c r="BT229" s="548"/>
      <c r="BU229" s="548"/>
      <c r="BV229" s="548"/>
      <c r="BW229" s="548"/>
      <c r="BX229" s="548"/>
      <c r="BY229" s="548"/>
      <c r="BZ229" s="548"/>
      <c r="CA229" s="548"/>
      <c r="CB229" s="548"/>
      <c r="CC229" s="550"/>
      <c r="CD229" s="654">
        <f ca="1">IFERROR(VLOOKUP(U229,ApplicantList[],2,FALSE),0)</f>
        <v>0</v>
      </c>
      <c r="CE229" s="1056"/>
      <c r="CF229" s="1056"/>
      <c r="CG229" s="1057"/>
      <c r="CH229" s="1057"/>
      <c r="CI229" s="398"/>
      <c r="CJ229" s="398"/>
    </row>
    <row r="230" spans="1:91" ht="18.75" hidden="1" customHeight="1" x14ac:dyDescent="0.25">
      <c r="A230" s="175">
        <v>16</v>
      </c>
      <c r="B230" s="78"/>
      <c r="C230" s="1473"/>
      <c r="D230" s="1473"/>
      <c r="E230" s="1473"/>
      <c r="F230" s="1473"/>
      <c r="G230" s="1473"/>
      <c r="H230" s="1473"/>
      <c r="I230" s="1473"/>
      <c r="J230" s="1473"/>
      <c r="K230" s="1473"/>
      <c r="L230" s="1473"/>
      <c r="M230" s="1566" t="s">
        <v>373</v>
      </c>
      <c r="N230" s="1566"/>
      <c r="O230" s="1566"/>
      <c r="P230" s="1566"/>
      <c r="Q230" s="1566"/>
      <c r="R230" s="1566">
        <v>1</v>
      </c>
      <c r="S230" s="1566"/>
      <c r="T230" s="1566"/>
      <c r="U230" s="1473"/>
      <c r="V230" s="1473"/>
      <c r="W230" s="1473"/>
      <c r="X230" s="1473"/>
      <c r="Y230" s="1473"/>
      <c r="Z230" s="1497"/>
      <c r="AA230" s="1497"/>
      <c r="AB230" s="1497"/>
      <c r="AC230" s="1497"/>
      <c r="AD230" s="1497"/>
      <c r="AE230" s="1497"/>
      <c r="AF230" s="1497"/>
      <c r="AG230" s="1497"/>
      <c r="AH230" s="1556"/>
      <c r="AI230" s="1556"/>
      <c r="AJ230" s="1556"/>
      <c r="AK230" s="1556"/>
      <c r="AL230" s="1556"/>
      <c r="AM230" s="1556"/>
      <c r="AN230" s="1497"/>
      <c r="AO230" s="1497"/>
      <c r="AP230" s="1497"/>
      <c r="AQ230" s="1497"/>
      <c r="AR230" s="1497"/>
      <c r="AS230" s="1497"/>
      <c r="AT230" s="1497"/>
      <c r="AU230" s="1497"/>
      <c r="AV230" s="1563"/>
      <c r="AW230" s="1563"/>
      <c r="AX230" s="1563"/>
      <c r="AY230" s="1563"/>
      <c r="AZ230" s="1563"/>
      <c r="BA230" s="1563"/>
      <c r="BB230" s="1563"/>
      <c r="BC230" s="1563"/>
      <c r="BD230" s="1568"/>
      <c r="BE230" s="1568"/>
      <c r="BF230" s="1568"/>
      <c r="BG230" s="1567"/>
      <c r="BH230" s="1567"/>
      <c r="BI230" s="1583"/>
      <c r="BJ230" s="1583"/>
      <c r="BK230" s="1583"/>
      <c r="BL230" s="1583"/>
      <c r="BM230" s="1586"/>
      <c r="BN230" s="1586"/>
      <c r="BO230" s="1586"/>
      <c r="BP230" s="1586"/>
      <c r="BQ230" s="1585"/>
      <c r="BR230" s="1585"/>
      <c r="BS230" s="1585"/>
      <c r="BT230" s="1585"/>
      <c r="BU230" s="1584" cm="1">
        <f t="array" aca="1" ref="BU230" ca="1">IF(M230="Default",1,IF(AND(C230="Portfolio loan - sub account",CF230=FALSE),0,IF(AND(AH230=2,AK230=1, VLOOKUP(U230,ApplicantList[],3,FALSE)="Non-applicant"),INDIRECT("ICApp" &amp; VLOOKUP(U230,ApplicantList[],2,FALSE) &amp; "HouseholdIncomeApportioningRatio"),IFERROR(MIN(ROUNDUP(MAX(SUM(Z230:AC235)+AN230,SUM(AD230:AG235)+AR230,(COUNTIF(Z230:AC235,"&gt;0")+AK230)/AH230),4),1),""))))</f>
        <v>1</v>
      </c>
      <c r="BV230" s="1584"/>
      <c r="BW230" s="1584"/>
      <c r="BX230" s="1584"/>
      <c r="BY230" s="1569">
        <f>IFERROR(ROUNDUP(CHOOSE(VLOOKUP(C230,ExistingShareableCommitmentTypeTable[],6,FALSE),MAX(BI230,PMT(CG230/12,CJ230,-AZ231))*BU230,MAX(BI230,(AZ231*CG230/12))*BU230,0,BI230*BU230,MAX(BI230,(AZ231*CG230))*BU230,AZ231*CG230*BU230,IF(CF230,MAX(CI230,PMT(CG230/12,240,-AZ231))*BU230,0)),2),0)</f>
        <v>0</v>
      </c>
      <c r="BZ230" s="1569"/>
      <c r="CA230" s="1569"/>
      <c r="CB230" s="1492"/>
      <c r="CC230" s="1306"/>
      <c r="CD230" s="654">
        <f ca="1">IFERROR(VLOOKUP(U230,ApplicantList[],2,FALSE),0)</f>
        <v>0</v>
      </c>
      <c r="CE230" s="1055">
        <f>IFERROR(MAX(AV230,AZ230),0)</f>
        <v>0</v>
      </c>
      <c r="CF230" s="1056" t="b">
        <f>IF(C230="Portfolio loan - sub account",IF(NOT(ISBLANK(BQ230)),IF(COUNTIF($BQ$140:$BQ$254,BQ230)&gt;1,IF(COUNTIFS(BQ$140:BQ230,BQ230,C$140:C230,"Portfolio loan - sub account")=1,TRUE,FALSE),TRUE),FALSE),FALSE)</f>
        <v>0</v>
      </c>
      <c r="CG230" s="1057">
        <f>IFERROR(IF(C230="",0,CHOOSE(VLOOKUP(C230,ExistingShareableCommitmentTypeTable[],7,FALSE),MAX(BD230+$BE$136,FloorRateMCAR,$CJ$136),MAX(BD230,VLOOKUP(C230,ExistingShareableCommitmentTypeTable[],2,FALSE)),VLOOKUP(C230,ExistingShareableCommitmentTypeTable[],2,FALSE),MAX(BD230+$BE$136,FloorRateMCIR,$CJ$136),MAX(CH230+$BE$136,FloorRateMCIR,$CJ$136))),0)</f>
        <v>0</v>
      </c>
      <c r="CH230" s="1057" cm="1">
        <f t="array" ref="CH230">_xlfn.AGGREGATE(14,4,($C$140:$C$259="Portfolio loan - sub account")*($BQ$140:$BQ$259=$BQ230)*$BD$140:$BD$259,1)</f>
        <v>0</v>
      </c>
      <c r="CI230" s="1061">
        <f>SUMIFS($BI$140:$BI$254,$BQ$140:$BQ$254,BQ230,$C$140:$C$254,"Portfolio loan - sub account")</f>
        <v>0</v>
      </c>
      <c r="CJ230" s="619" t="e">
        <f>IF(OR(BG230="",BG230=0),VLOOKUP(C230,ExistingShareableCommitmentTypeTable[],MATCH("DefaultTerm",ExistingShareableCommitmentTypeTable[#Headers],0),FALSE),BG230)</f>
        <v>#N/A</v>
      </c>
      <c r="CK230" s="530" t="str">
        <f>IFERROR(VLOOKUP($C230,ExistingShareableCommitmentTypeTable[],MATCH(CK$138,ExistingShareableCommitmentTypeTable[#Headers],0),FALSE),"No")</f>
        <v>No</v>
      </c>
      <c r="CL230" s="530" t="str">
        <f>IFERROR(VLOOKUP($C230,ExistingShareableCommitmentTypeTable[],MATCH(CL$138,ExistingShareableCommitmentTypeTable[#Headers],0),FALSE),"No")</f>
        <v>No</v>
      </c>
      <c r="CM230" s="530" t="str">
        <f>IFERROR(VLOOKUP($C230,ExistingShareableCommitmentTypeTable[],MATCH(CM$138,ExistingShareableCommitmentTypeTable[#Headers],0),FALSE),"No")</f>
        <v>No</v>
      </c>
    </row>
    <row r="231" spans="1:91" ht="18.75" hidden="1" customHeight="1" x14ac:dyDescent="0.25">
      <c r="A231" s="176"/>
      <c r="C231" s="567"/>
      <c r="D231" s="568"/>
      <c r="E231" s="568"/>
      <c r="F231" s="568"/>
      <c r="G231" s="568"/>
      <c r="H231" s="568"/>
      <c r="I231" s="568"/>
      <c r="J231" s="568"/>
      <c r="K231" s="568"/>
      <c r="L231" s="568"/>
      <c r="M231" s="568"/>
      <c r="N231" s="568"/>
      <c r="O231" s="568"/>
      <c r="P231" s="568"/>
      <c r="Q231" s="568"/>
      <c r="R231" s="471"/>
      <c r="S231" s="471"/>
      <c r="T231" s="471"/>
      <c r="U231" s="1473"/>
      <c r="V231" s="1473"/>
      <c r="W231" s="1473"/>
      <c r="X231" s="1473"/>
      <c r="Y231" s="1473"/>
      <c r="Z231" s="1497"/>
      <c r="AA231" s="1497"/>
      <c r="AB231" s="1497"/>
      <c r="AC231" s="1497"/>
      <c r="AD231" s="1497"/>
      <c r="AE231" s="1497"/>
      <c r="AF231" s="1497"/>
      <c r="AG231" s="1497"/>
      <c r="AH231" s="541" t="b">
        <f>SUM(Z230:Z235,AN230)&gt;1</f>
        <v>0</v>
      </c>
      <c r="AI231" s="541" t="b">
        <f>SUM(AD230:AD235,AR230)&gt;1</f>
        <v>0</v>
      </c>
      <c r="AJ231" s="541" t="b">
        <f>AND(NOT(ISBLANK($AH230)),SUM($R230,$AK230)&gt;$AH230)</f>
        <v>0</v>
      </c>
      <c r="AK231" s="542"/>
      <c r="AL231" s="542"/>
      <c r="AM231" s="542"/>
      <c r="AN231" s="542"/>
      <c r="AO231" s="542"/>
      <c r="AP231" s="542"/>
      <c r="AQ231" s="542"/>
      <c r="AR231" s="542"/>
      <c r="AS231" s="542"/>
      <c r="AT231" s="542"/>
      <c r="AU231" s="542"/>
      <c r="AV231" s="1035"/>
      <c r="AW231" s="1035"/>
      <c r="AX231" s="1035"/>
      <c r="AY231" s="1035"/>
      <c r="AZ231" s="1564">
        <f>IFERROR(CHOOSE(VLOOKUP(C230,ExistingShareableCommitmentTypeTable[],8,FALSE),MAX(AV230,AZ230),AV230,SUMIFS($CE$140:$CE$254,$BQ$140:$BQ$254,BQ230,$C$140:$C$254,"Portfolio loan - sub account"),MAX(AV230,AZ230)-BM230),0)</f>
        <v>0</v>
      </c>
      <c r="BA231" s="1564"/>
      <c r="BB231" s="1564"/>
      <c r="BC231" s="1564"/>
      <c r="BD231" s="1582"/>
      <c r="BE231" s="1582"/>
      <c r="BF231" s="1582"/>
      <c r="BG231" s="1053"/>
      <c r="BH231" s="542"/>
      <c r="BI231" s="542"/>
      <c r="BJ231" s="542"/>
      <c r="BK231" s="542"/>
      <c r="BL231" s="542"/>
      <c r="BM231" s="542"/>
      <c r="BN231" s="542"/>
      <c r="BO231" s="542"/>
      <c r="BP231" s="542"/>
      <c r="BQ231" s="542"/>
      <c r="BR231" s="542"/>
      <c r="BS231" s="542"/>
      <c r="BT231" s="542"/>
      <c r="BU231" s="542"/>
      <c r="BV231" s="542"/>
      <c r="BW231" s="542"/>
      <c r="BX231" s="541"/>
      <c r="BY231" s="542"/>
      <c r="BZ231" s="542"/>
      <c r="CA231" s="542"/>
      <c r="CB231" s="542"/>
      <c r="CC231" s="550"/>
      <c r="CD231" s="654">
        <f ca="1">IFERROR(VLOOKUP(U231,ApplicantList[],2,FALSE),0)</f>
        <v>0</v>
      </c>
      <c r="CE231" s="1056"/>
      <c r="CF231" s="1056"/>
      <c r="CG231" s="1057"/>
      <c r="CH231" s="1057"/>
      <c r="CI231" s="398"/>
      <c r="CJ231" s="398"/>
    </row>
    <row r="232" spans="1:91" ht="18.75" hidden="1" customHeight="1" x14ac:dyDescent="0.25">
      <c r="A232" s="176"/>
      <c r="B232" s="78"/>
      <c r="C232" s="569"/>
      <c r="D232" s="570"/>
      <c r="E232" s="570"/>
      <c r="F232" s="570"/>
      <c r="G232" s="570"/>
      <c r="H232" s="570"/>
      <c r="I232" s="570"/>
      <c r="J232" s="570"/>
      <c r="K232" s="570"/>
      <c r="L232" s="570"/>
      <c r="M232" s="570"/>
      <c r="N232" s="570"/>
      <c r="O232" s="570"/>
      <c r="P232" s="570"/>
      <c r="Q232" s="570"/>
      <c r="R232" s="472"/>
      <c r="S232" s="472"/>
      <c r="T232" s="472"/>
      <c r="U232" s="1473"/>
      <c r="V232" s="1473"/>
      <c r="W232" s="1473"/>
      <c r="X232" s="1473"/>
      <c r="Y232" s="1473"/>
      <c r="Z232" s="1497"/>
      <c r="AA232" s="1497"/>
      <c r="AB232" s="1497"/>
      <c r="AC232" s="1497"/>
      <c r="AD232" s="1497"/>
      <c r="AE232" s="1497"/>
      <c r="AF232" s="1497"/>
      <c r="AG232" s="1497"/>
      <c r="AH232" s="544"/>
      <c r="AI232" s="541"/>
      <c r="AJ232" s="541"/>
      <c r="AK232" s="541"/>
      <c r="AL232" s="541"/>
      <c r="AM232" s="541"/>
      <c r="AN232" s="541"/>
      <c r="AO232" s="541"/>
      <c r="AP232" s="541"/>
      <c r="AQ232" s="541"/>
      <c r="AR232" s="541"/>
      <c r="AS232" s="541"/>
      <c r="AT232" s="541"/>
      <c r="AU232" s="541"/>
      <c r="AV232" s="1036"/>
      <c r="AW232" s="1036"/>
      <c r="AX232" s="1036"/>
      <c r="AY232" s="1036"/>
      <c r="AZ232" s="1559">
        <f>IFERROR(CHOOSE(VLOOKUP(C230,ExistingShareableCommitmentTypeTable[],9,FALSE),MAX(AV230,AZ230),0),0)</f>
        <v>0</v>
      </c>
      <c r="BA232" s="1559"/>
      <c r="BB232" s="1559"/>
      <c r="BC232" s="1559"/>
      <c r="BD232" s="541"/>
      <c r="BE232" s="541"/>
      <c r="BF232" s="541"/>
      <c r="BG232" s="541"/>
      <c r="BH232" s="541"/>
      <c r="BI232" s="541"/>
      <c r="BJ232" s="541"/>
      <c r="BK232" s="541"/>
      <c r="BL232" s="541"/>
      <c r="BM232" s="541"/>
      <c r="BN232" s="541"/>
      <c r="BO232" s="541"/>
      <c r="BP232" s="541"/>
      <c r="BQ232" s="541"/>
      <c r="BR232" s="541"/>
      <c r="BS232" s="541"/>
      <c r="BT232" s="541"/>
      <c r="BU232" s="541"/>
      <c r="BV232" s="541"/>
      <c r="BW232" s="541"/>
      <c r="BX232" s="541"/>
      <c r="BY232" s="541"/>
      <c r="BZ232" s="541"/>
      <c r="CA232" s="541"/>
      <c r="CB232" s="541"/>
      <c r="CC232" s="550"/>
      <c r="CD232" s="654">
        <f ca="1">IFERROR(VLOOKUP(U232,ApplicantList[],2,FALSE),0)</f>
        <v>0</v>
      </c>
      <c r="CE232" s="1056"/>
      <c r="CF232" s="1056"/>
      <c r="CG232" s="1057"/>
      <c r="CH232" s="1057"/>
      <c r="CI232" s="398"/>
      <c r="CJ232" s="398"/>
    </row>
    <row r="233" spans="1:91" ht="18.75" hidden="1" customHeight="1" x14ac:dyDescent="0.25">
      <c r="A233" s="176"/>
      <c r="B233" s="77"/>
      <c r="C233" s="569"/>
      <c r="D233" s="570"/>
      <c r="E233" s="570"/>
      <c r="F233" s="570"/>
      <c r="G233" s="570"/>
      <c r="H233" s="570"/>
      <c r="I233" s="570"/>
      <c r="J233" s="570"/>
      <c r="K233" s="570"/>
      <c r="L233" s="570"/>
      <c r="M233" s="570"/>
      <c r="N233" s="570"/>
      <c r="O233" s="570"/>
      <c r="P233" s="570"/>
      <c r="Q233" s="570"/>
      <c r="R233" s="472"/>
      <c r="S233" s="472"/>
      <c r="T233" s="472"/>
      <c r="U233" s="1473"/>
      <c r="V233" s="1473"/>
      <c r="W233" s="1473"/>
      <c r="X233" s="1473"/>
      <c r="Y233" s="1473"/>
      <c r="Z233" s="1497"/>
      <c r="AA233" s="1497"/>
      <c r="AB233" s="1497"/>
      <c r="AC233" s="1497"/>
      <c r="AD233" s="1497"/>
      <c r="AE233" s="1497"/>
      <c r="AF233" s="1497"/>
      <c r="AG233" s="1497"/>
      <c r="AH233" s="544"/>
      <c r="AI233" s="541"/>
      <c r="AJ233" s="541"/>
      <c r="AK233" s="541"/>
      <c r="AL233" s="541"/>
      <c r="AM233" s="541"/>
      <c r="AN233" s="541"/>
      <c r="AO233" s="541"/>
      <c r="AP233" s="541"/>
      <c r="AQ233" s="541"/>
      <c r="AR233" s="541"/>
      <c r="AS233" s="541"/>
      <c r="AT233" s="541"/>
      <c r="AU233" s="541"/>
      <c r="AV233" s="1036"/>
      <c r="AW233" s="1036"/>
      <c r="AX233" s="1036"/>
      <c r="AY233" s="1036"/>
      <c r="AZ233" s="1036"/>
      <c r="BA233" s="1036"/>
      <c r="BB233" s="1036"/>
      <c r="BC233" s="1036"/>
      <c r="BD233" s="541"/>
      <c r="BE233" s="541"/>
      <c r="BF233" s="541"/>
      <c r="BG233" s="541"/>
      <c r="BH233" s="541"/>
      <c r="BI233" s="541"/>
      <c r="BJ233" s="541"/>
      <c r="BK233" s="541"/>
      <c r="BL233" s="541"/>
      <c r="BM233" s="541"/>
      <c r="BN233" s="541"/>
      <c r="BO233" s="541"/>
      <c r="BP233" s="541"/>
      <c r="BQ233" s="541"/>
      <c r="BR233" s="541"/>
      <c r="BS233" s="541"/>
      <c r="BT233" s="541"/>
      <c r="BU233" s="541"/>
      <c r="BV233" s="541"/>
      <c r="BW233" s="541"/>
      <c r="BX233" s="541"/>
      <c r="BY233" s="541"/>
      <c r="BZ233" s="541"/>
      <c r="CA233" s="541"/>
      <c r="CB233" s="541"/>
      <c r="CC233" s="550"/>
      <c r="CD233" s="654">
        <f ca="1">IFERROR(VLOOKUP(U233,ApplicantList[],2,FALSE),0)</f>
        <v>0</v>
      </c>
      <c r="CE233" s="1056"/>
      <c r="CF233" s="1056"/>
      <c r="CG233" s="1057"/>
      <c r="CH233" s="1057"/>
      <c r="CI233" s="398"/>
      <c r="CJ233" s="398"/>
    </row>
    <row r="234" spans="1:91" ht="18.75" hidden="1" customHeight="1" x14ac:dyDescent="0.25">
      <c r="A234" s="175"/>
      <c r="B234" s="78"/>
      <c r="C234" s="569"/>
      <c r="D234" s="570"/>
      <c r="E234" s="570"/>
      <c r="F234" s="570"/>
      <c r="G234" s="570"/>
      <c r="H234" s="570"/>
      <c r="I234" s="570"/>
      <c r="J234" s="570"/>
      <c r="K234" s="570"/>
      <c r="L234" s="570"/>
      <c r="M234" s="570"/>
      <c r="N234" s="570"/>
      <c r="O234" s="570"/>
      <c r="P234" s="570"/>
      <c r="Q234" s="570"/>
      <c r="R234" s="472"/>
      <c r="S234" s="472"/>
      <c r="T234" s="472"/>
      <c r="U234" s="1473"/>
      <c r="V234" s="1473"/>
      <c r="W234" s="1473"/>
      <c r="X234" s="1473"/>
      <c r="Y234" s="1473"/>
      <c r="Z234" s="1497"/>
      <c r="AA234" s="1497"/>
      <c r="AB234" s="1497"/>
      <c r="AC234" s="1497"/>
      <c r="AD234" s="1497"/>
      <c r="AE234" s="1497"/>
      <c r="AF234" s="1497"/>
      <c r="AG234" s="1497"/>
      <c r="AH234" s="544"/>
      <c r="AI234" s="541"/>
      <c r="AJ234" s="541"/>
      <c r="AK234" s="541"/>
      <c r="AL234" s="541"/>
      <c r="AM234" s="541"/>
      <c r="AN234" s="541"/>
      <c r="AO234" s="541"/>
      <c r="AP234" s="541"/>
      <c r="AQ234" s="541"/>
      <c r="AR234" s="541"/>
      <c r="AS234" s="541"/>
      <c r="AT234" s="541"/>
      <c r="AU234" s="541"/>
      <c r="AV234" s="1036"/>
      <c r="AW234" s="1036"/>
      <c r="AX234" s="1036"/>
      <c r="AY234" s="1036"/>
      <c r="AZ234" s="1036"/>
      <c r="BA234" s="1036"/>
      <c r="BB234" s="1036"/>
      <c r="BC234" s="1036"/>
      <c r="BD234" s="541"/>
      <c r="BE234" s="541"/>
      <c r="BF234" s="541"/>
      <c r="BG234" s="541"/>
      <c r="BH234" s="541"/>
      <c r="BI234" s="541"/>
      <c r="BJ234" s="541"/>
      <c r="BK234" s="541"/>
      <c r="BL234" s="541"/>
      <c r="BM234" s="541"/>
      <c r="BN234" s="541"/>
      <c r="BO234" s="541"/>
      <c r="BP234" s="541"/>
      <c r="BQ234" s="541"/>
      <c r="BR234" s="541"/>
      <c r="BS234" s="541"/>
      <c r="BT234" s="541"/>
      <c r="BU234" s="541"/>
      <c r="BV234" s="541"/>
      <c r="BW234" s="541"/>
      <c r="BX234" s="541"/>
      <c r="BY234" s="541"/>
      <c r="BZ234" s="541"/>
      <c r="CA234" s="541"/>
      <c r="CB234" s="541"/>
      <c r="CC234" s="550"/>
      <c r="CD234" s="654">
        <f ca="1">IFERROR(VLOOKUP(U234,ApplicantList[],2,FALSE),0)</f>
        <v>0</v>
      </c>
      <c r="CE234" s="1056"/>
      <c r="CF234" s="1056"/>
      <c r="CG234" s="1057"/>
      <c r="CH234" s="1057"/>
      <c r="CI234" s="398"/>
      <c r="CJ234" s="398"/>
    </row>
    <row r="235" spans="1:91" ht="18.75" hidden="1" customHeight="1" x14ac:dyDescent="0.25">
      <c r="A235" s="176"/>
      <c r="C235" s="571"/>
      <c r="D235" s="572"/>
      <c r="E235" s="572"/>
      <c r="F235" s="572"/>
      <c r="G235" s="572"/>
      <c r="H235" s="572"/>
      <c r="I235" s="572"/>
      <c r="J235" s="572"/>
      <c r="K235" s="572"/>
      <c r="L235" s="572"/>
      <c r="M235" s="572"/>
      <c r="N235" s="572"/>
      <c r="O235" s="572"/>
      <c r="P235" s="572"/>
      <c r="Q235" s="572"/>
      <c r="R235" s="473"/>
      <c r="S235" s="473"/>
      <c r="T235" s="473"/>
      <c r="U235" s="1473"/>
      <c r="V235" s="1473"/>
      <c r="W235" s="1473"/>
      <c r="X235" s="1473"/>
      <c r="Y235" s="1473"/>
      <c r="Z235" s="1497"/>
      <c r="AA235" s="1497"/>
      <c r="AB235" s="1497"/>
      <c r="AC235" s="1497"/>
      <c r="AD235" s="1497"/>
      <c r="AE235" s="1497"/>
      <c r="AF235" s="1497"/>
      <c r="AG235" s="1497"/>
      <c r="AH235" s="547"/>
      <c r="AI235" s="548"/>
      <c r="AJ235" s="548"/>
      <c r="AK235" s="548"/>
      <c r="AL235" s="548"/>
      <c r="AM235" s="548"/>
      <c r="AN235" s="548"/>
      <c r="AO235" s="548"/>
      <c r="AP235" s="548"/>
      <c r="AQ235" s="548"/>
      <c r="AR235" s="548"/>
      <c r="AS235" s="548"/>
      <c r="AT235" s="548"/>
      <c r="AU235" s="548"/>
      <c r="AV235" s="1037"/>
      <c r="AW235" s="1037"/>
      <c r="AX235" s="1037"/>
      <c r="AY235" s="1037"/>
      <c r="AZ235" s="1037"/>
      <c r="BA235" s="1037"/>
      <c r="BB235" s="1037"/>
      <c r="BC235" s="1037"/>
      <c r="BD235" s="548"/>
      <c r="BE235" s="548"/>
      <c r="BF235" s="548"/>
      <c r="BG235" s="548"/>
      <c r="BH235" s="548"/>
      <c r="BI235" s="548"/>
      <c r="BJ235" s="548"/>
      <c r="BK235" s="548"/>
      <c r="BL235" s="548"/>
      <c r="BM235" s="548"/>
      <c r="BN235" s="548"/>
      <c r="BO235" s="548"/>
      <c r="BP235" s="548"/>
      <c r="BQ235" s="548"/>
      <c r="BR235" s="548"/>
      <c r="BS235" s="548"/>
      <c r="BT235" s="548"/>
      <c r="BU235" s="548"/>
      <c r="BV235" s="548"/>
      <c r="BW235" s="548"/>
      <c r="BX235" s="548"/>
      <c r="BY235" s="548"/>
      <c r="BZ235" s="548"/>
      <c r="CA235" s="548"/>
      <c r="CB235" s="548"/>
      <c r="CC235" s="550"/>
      <c r="CD235" s="654">
        <f ca="1">IFERROR(VLOOKUP(U235,ApplicantList[],2,FALSE),0)</f>
        <v>0</v>
      </c>
      <c r="CE235" s="1056"/>
      <c r="CF235" s="1056"/>
      <c r="CG235" s="1057"/>
      <c r="CH235" s="1057"/>
      <c r="CI235" s="398"/>
      <c r="CJ235" s="398"/>
    </row>
    <row r="236" spans="1:91" ht="18.75" hidden="1" customHeight="1" x14ac:dyDescent="0.25">
      <c r="A236" s="176">
        <v>17</v>
      </c>
      <c r="B236" s="78"/>
      <c r="C236" s="1473"/>
      <c r="D236" s="1473"/>
      <c r="E236" s="1473"/>
      <c r="F236" s="1473"/>
      <c r="G236" s="1473"/>
      <c r="H236" s="1473"/>
      <c r="I236" s="1473"/>
      <c r="J236" s="1473"/>
      <c r="K236" s="1473"/>
      <c r="L236" s="1473"/>
      <c r="M236" s="1566" t="s">
        <v>373</v>
      </c>
      <c r="N236" s="1566"/>
      <c r="O236" s="1566"/>
      <c r="P236" s="1566"/>
      <c r="Q236" s="1566"/>
      <c r="R236" s="1566">
        <v>1</v>
      </c>
      <c r="S236" s="1566"/>
      <c r="T236" s="1566"/>
      <c r="U236" s="1473"/>
      <c r="V236" s="1473"/>
      <c r="W236" s="1473"/>
      <c r="X236" s="1473"/>
      <c r="Y236" s="1473"/>
      <c r="Z236" s="1497"/>
      <c r="AA236" s="1497"/>
      <c r="AB236" s="1497"/>
      <c r="AC236" s="1497"/>
      <c r="AD236" s="1497"/>
      <c r="AE236" s="1497"/>
      <c r="AF236" s="1497"/>
      <c r="AG236" s="1497"/>
      <c r="AH236" s="1556"/>
      <c r="AI236" s="1556"/>
      <c r="AJ236" s="1556"/>
      <c r="AK236" s="1556"/>
      <c r="AL236" s="1556"/>
      <c r="AM236" s="1556"/>
      <c r="AN236" s="1497"/>
      <c r="AO236" s="1497"/>
      <c r="AP236" s="1497"/>
      <c r="AQ236" s="1497"/>
      <c r="AR236" s="1497"/>
      <c r="AS236" s="1497"/>
      <c r="AT236" s="1497"/>
      <c r="AU236" s="1497"/>
      <c r="AV236" s="1563"/>
      <c r="AW236" s="1563"/>
      <c r="AX236" s="1563"/>
      <c r="AY236" s="1563"/>
      <c r="AZ236" s="1563"/>
      <c r="BA236" s="1563"/>
      <c r="BB236" s="1563"/>
      <c r="BC236" s="1563"/>
      <c r="BD236" s="1568"/>
      <c r="BE236" s="1568"/>
      <c r="BF236" s="1568"/>
      <c r="BG236" s="1567"/>
      <c r="BH236" s="1567"/>
      <c r="BI236" s="1583"/>
      <c r="BJ236" s="1583"/>
      <c r="BK236" s="1583"/>
      <c r="BL236" s="1583"/>
      <c r="BM236" s="1586"/>
      <c r="BN236" s="1586"/>
      <c r="BO236" s="1586"/>
      <c r="BP236" s="1586"/>
      <c r="BQ236" s="1585"/>
      <c r="BR236" s="1585"/>
      <c r="BS236" s="1585"/>
      <c r="BT236" s="1585"/>
      <c r="BU236" s="1584" cm="1">
        <f t="array" aca="1" ref="BU236" ca="1">IF(M236="Default",1,IF(AND(C236="Portfolio loan - sub account",CF236=FALSE),0,IF(AND(AH236=2,AK236=1, VLOOKUP(U236,ApplicantList[],3,FALSE)="Non-applicant"),INDIRECT("ICApp" &amp; VLOOKUP(U236,ApplicantList[],2,FALSE) &amp; "HouseholdIncomeApportioningRatio"),IFERROR(MIN(ROUNDUP(MAX(SUM(Z236:AC241)+AN236,SUM(AD236:AG241)+AR236,(COUNTIF(Z236:AC241,"&gt;0")+AK236)/AH236),4),1),""))))</f>
        <v>1</v>
      </c>
      <c r="BV236" s="1584"/>
      <c r="BW236" s="1584"/>
      <c r="BX236" s="1584"/>
      <c r="BY236" s="1569">
        <f>IFERROR(ROUNDUP(CHOOSE(VLOOKUP(C236,ExistingShareableCommitmentTypeTable[],6,FALSE),MAX(BI236,PMT(CG236/12,CJ236,-AZ237))*BU236,MAX(BI236,(AZ237*CG236/12))*BU236,0,BI236*BU236,MAX(BI236,(AZ237*CG236))*BU236,AZ237*CG236*BU236,IF(CF236,MAX(CI236,PMT(CG236/12,240,-AZ237))*BU236,0)),2),0)</f>
        <v>0</v>
      </c>
      <c r="BZ236" s="1569"/>
      <c r="CA236" s="1569"/>
      <c r="CB236" s="1492"/>
      <c r="CC236" s="1306"/>
      <c r="CD236" s="654">
        <f ca="1">IFERROR(VLOOKUP(U236,ApplicantList[],2,FALSE),0)</f>
        <v>0</v>
      </c>
      <c r="CE236" s="1055">
        <f>IFERROR(MAX(AV236,AZ236),0)</f>
        <v>0</v>
      </c>
      <c r="CF236" s="1056" t="b">
        <f>IF(C236="Portfolio loan - sub account",IF(NOT(ISBLANK(BQ236)),IF(COUNTIF($BQ$140:$BQ$254,BQ236)&gt;1,IF(COUNTIFS(BQ$140:BQ236,BQ236,C$140:C236,"Portfolio loan - sub account")=1,TRUE,FALSE),TRUE),FALSE),FALSE)</f>
        <v>0</v>
      </c>
      <c r="CG236" s="1057">
        <f>IFERROR(IF(C236="",0,CHOOSE(VLOOKUP(C236,ExistingShareableCommitmentTypeTable[],7,FALSE),MAX(BD236+$BE$136,FloorRateMCAR,$CJ$136),MAX(BD236,VLOOKUP(C236,ExistingShareableCommitmentTypeTable[],2,FALSE)),VLOOKUP(C236,ExistingShareableCommitmentTypeTable[],2,FALSE),MAX(BD236+$BE$136,FloorRateMCIR,$CJ$136),MAX(CH236+$BE$136,FloorRateMCIR,$CJ$136))),0)</f>
        <v>0</v>
      </c>
      <c r="CH236" s="1057" cm="1">
        <f t="array" ref="CH236">_xlfn.AGGREGATE(14,4,($C$140:$C$259="Portfolio loan - sub account")*($BQ$140:$BQ$259=$BQ236)*$BD$140:$BD$259,1)</f>
        <v>0</v>
      </c>
      <c r="CI236" s="1061">
        <f>SUMIFS($BI$140:$BI$254,$BQ$140:$BQ$254,BQ236,$C$140:$C$254,"Portfolio loan - sub account")</f>
        <v>0</v>
      </c>
      <c r="CJ236" s="619" t="e">
        <f>IF(OR(BG236="",BG236=0),VLOOKUP(C236,ExistingShareableCommitmentTypeTable[],MATCH("DefaultTerm",ExistingShareableCommitmentTypeTable[#Headers],0),FALSE),BG236)</f>
        <v>#N/A</v>
      </c>
      <c r="CK236" s="530" t="str">
        <f>IFERROR(VLOOKUP($C236,ExistingShareableCommitmentTypeTable[],MATCH(CK$138,ExistingShareableCommitmentTypeTable[#Headers],0),FALSE),"No")</f>
        <v>No</v>
      </c>
      <c r="CL236" s="530" t="str">
        <f>IFERROR(VLOOKUP($C236,ExistingShareableCommitmentTypeTable[],MATCH(CL$138,ExistingShareableCommitmentTypeTable[#Headers],0),FALSE),"No")</f>
        <v>No</v>
      </c>
      <c r="CM236" s="530" t="str">
        <f>IFERROR(VLOOKUP($C236,ExistingShareableCommitmentTypeTable[],MATCH(CM$138,ExistingShareableCommitmentTypeTable[#Headers],0),FALSE),"No")</f>
        <v>No</v>
      </c>
    </row>
    <row r="237" spans="1:91" ht="18.75" hidden="1" customHeight="1" x14ac:dyDescent="0.25">
      <c r="A237" s="176"/>
      <c r="C237" s="567"/>
      <c r="D237" s="568"/>
      <c r="E237" s="568"/>
      <c r="F237" s="568"/>
      <c r="G237" s="568"/>
      <c r="H237" s="568"/>
      <c r="I237" s="568"/>
      <c r="J237" s="568"/>
      <c r="K237" s="568"/>
      <c r="L237" s="568"/>
      <c r="M237" s="568"/>
      <c r="N237" s="568"/>
      <c r="O237" s="568"/>
      <c r="P237" s="568"/>
      <c r="Q237" s="568"/>
      <c r="R237" s="471"/>
      <c r="S237" s="471"/>
      <c r="T237" s="471"/>
      <c r="U237" s="1473"/>
      <c r="V237" s="1473"/>
      <c r="W237" s="1473"/>
      <c r="X237" s="1473"/>
      <c r="Y237" s="1473"/>
      <c r="Z237" s="1497"/>
      <c r="AA237" s="1497"/>
      <c r="AB237" s="1497"/>
      <c r="AC237" s="1497"/>
      <c r="AD237" s="1497"/>
      <c r="AE237" s="1497"/>
      <c r="AF237" s="1497"/>
      <c r="AG237" s="1497"/>
      <c r="AH237" s="541" t="b">
        <f>SUM(Z236:Z241,AN236)&gt;1</f>
        <v>0</v>
      </c>
      <c r="AI237" s="541" t="b">
        <f>SUM(AD236:AD241,AR236)&gt;1</f>
        <v>0</v>
      </c>
      <c r="AJ237" s="541" t="b">
        <f>AND(NOT(ISBLANK($AH236)),SUM($R236,$AK236)&gt;$AH236)</f>
        <v>0</v>
      </c>
      <c r="AK237" s="542"/>
      <c r="AL237" s="542"/>
      <c r="AM237" s="542"/>
      <c r="AN237" s="542"/>
      <c r="AO237" s="542"/>
      <c r="AP237" s="542"/>
      <c r="AQ237" s="542"/>
      <c r="AR237" s="542"/>
      <c r="AS237" s="542"/>
      <c r="AT237" s="542"/>
      <c r="AU237" s="542"/>
      <c r="AV237" s="1035"/>
      <c r="AW237" s="1035"/>
      <c r="AX237" s="1035"/>
      <c r="AY237" s="1035"/>
      <c r="AZ237" s="1564">
        <f>IFERROR(CHOOSE(VLOOKUP(C236,ExistingShareableCommitmentTypeTable[],8,FALSE),MAX(AV236,AZ236),AV236,SUMIFS($CE$140:$CE$254,$BQ$140:$BQ$254,BQ236,$C$140:$C$254,"Portfolio loan - sub account"),MAX(AV236,AZ236)-BM236),0)</f>
        <v>0</v>
      </c>
      <c r="BA237" s="1564"/>
      <c r="BB237" s="1564"/>
      <c r="BC237" s="1564"/>
      <c r="BD237" s="1582"/>
      <c r="BE237" s="1582"/>
      <c r="BF237" s="1582"/>
      <c r="BG237" s="1053"/>
      <c r="BH237" s="542"/>
      <c r="BI237" s="542"/>
      <c r="BJ237" s="542"/>
      <c r="BK237" s="542"/>
      <c r="BL237" s="542"/>
      <c r="BM237" s="542"/>
      <c r="BN237" s="542"/>
      <c r="BO237" s="542"/>
      <c r="BP237" s="542"/>
      <c r="BQ237" s="542"/>
      <c r="BR237" s="542"/>
      <c r="BS237" s="542"/>
      <c r="BT237" s="542"/>
      <c r="BU237" s="542"/>
      <c r="BV237" s="542"/>
      <c r="BW237" s="542"/>
      <c r="BX237" s="541"/>
      <c r="BY237" s="542"/>
      <c r="BZ237" s="542"/>
      <c r="CA237" s="542"/>
      <c r="CB237" s="542"/>
      <c r="CC237" s="550"/>
      <c r="CD237" s="654">
        <f ca="1">IFERROR(VLOOKUP(U237,ApplicantList[],2,FALSE),0)</f>
        <v>0</v>
      </c>
      <c r="CE237" s="1056"/>
      <c r="CF237" s="1056"/>
      <c r="CG237" s="1057"/>
      <c r="CH237" s="1057"/>
      <c r="CI237" s="398"/>
      <c r="CJ237" s="398"/>
    </row>
    <row r="238" spans="1:91" ht="18.75" hidden="1" customHeight="1" x14ac:dyDescent="0.25">
      <c r="A238" s="175"/>
      <c r="B238" s="78"/>
      <c r="C238" s="569"/>
      <c r="D238" s="570"/>
      <c r="E238" s="570"/>
      <c r="F238" s="570"/>
      <c r="G238" s="570"/>
      <c r="H238" s="570"/>
      <c r="I238" s="570"/>
      <c r="J238" s="570"/>
      <c r="K238" s="570"/>
      <c r="L238" s="570"/>
      <c r="M238" s="570"/>
      <c r="N238" s="570"/>
      <c r="O238" s="570"/>
      <c r="P238" s="570"/>
      <c r="Q238" s="570"/>
      <c r="R238" s="472"/>
      <c r="S238" s="472"/>
      <c r="T238" s="472"/>
      <c r="U238" s="1473"/>
      <c r="V238" s="1473"/>
      <c r="W238" s="1473"/>
      <c r="X238" s="1473"/>
      <c r="Y238" s="1473"/>
      <c r="Z238" s="1497"/>
      <c r="AA238" s="1497"/>
      <c r="AB238" s="1497"/>
      <c r="AC238" s="1497"/>
      <c r="AD238" s="1497"/>
      <c r="AE238" s="1497"/>
      <c r="AF238" s="1497"/>
      <c r="AG238" s="1497"/>
      <c r="AH238" s="544"/>
      <c r="AI238" s="541"/>
      <c r="AJ238" s="541"/>
      <c r="AK238" s="541"/>
      <c r="AL238" s="541"/>
      <c r="AM238" s="541"/>
      <c r="AN238" s="541"/>
      <c r="AO238" s="541"/>
      <c r="AP238" s="541"/>
      <c r="AQ238" s="541"/>
      <c r="AR238" s="541"/>
      <c r="AS238" s="541"/>
      <c r="AT238" s="541"/>
      <c r="AU238" s="541"/>
      <c r="AV238" s="1036"/>
      <c r="AW238" s="1036"/>
      <c r="AX238" s="1036"/>
      <c r="AY238" s="1036"/>
      <c r="AZ238" s="1559">
        <f>IFERROR(CHOOSE(VLOOKUP(C236,ExistingShareableCommitmentTypeTable[],9,FALSE),MAX(AV236,AZ236),0),0)</f>
        <v>0</v>
      </c>
      <c r="BA238" s="1559"/>
      <c r="BB238" s="1559"/>
      <c r="BC238" s="1559"/>
      <c r="BD238" s="541"/>
      <c r="BE238" s="541"/>
      <c r="BF238" s="541"/>
      <c r="BG238" s="541"/>
      <c r="BH238" s="541"/>
      <c r="BI238" s="541"/>
      <c r="BJ238" s="541"/>
      <c r="BK238" s="541"/>
      <c r="BL238" s="541"/>
      <c r="BM238" s="541"/>
      <c r="BN238" s="541"/>
      <c r="BO238" s="541"/>
      <c r="BP238" s="541"/>
      <c r="BQ238" s="541"/>
      <c r="BR238" s="541"/>
      <c r="BS238" s="541"/>
      <c r="BT238" s="541"/>
      <c r="BU238" s="541"/>
      <c r="BV238" s="541"/>
      <c r="BW238" s="541"/>
      <c r="BX238" s="541"/>
      <c r="BY238" s="541"/>
      <c r="BZ238" s="541"/>
      <c r="CA238" s="541"/>
      <c r="CB238" s="541"/>
      <c r="CC238" s="550"/>
      <c r="CD238" s="654">
        <f ca="1">IFERROR(VLOOKUP(U238,ApplicantList[],2,FALSE),0)</f>
        <v>0</v>
      </c>
      <c r="CE238" s="1056"/>
      <c r="CF238" s="1056"/>
      <c r="CG238" s="1057"/>
      <c r="CH238" s="1057"/>
      <c r="CI238" s="398"/>
      <c r="CJ238" s="398"/>
    </row>
    <row r="239" spans="1:91" ht="18.75" hidden="1" customHeight="1" x14ac:dyDescent="0.25">
      <c r="A239" s="176"/>
      <c r="B239" s="77"/>
      <c r="C239" s="569"/>
      <c r="D239" s="570"/>
      <c r="E239" s="570"/>
      <c r="F239" s="570"/>
      <c r="G239" s="570"/>
      <c r="H239" s="570"/>
      <c r="I239" s="570"/>
      <c r="J239" s="570"/>
      <c r="K239" s="570"/>
      <c r="L239" s="570"/>
      <c r="M239" s="570"/>
      <c r="N239" s="570"/>
      <c r="O239" s="570"/>
      <c r="P239" s="570"/>
      <c r="Q239" s="570"/>
      <c r="R239" s="472"/>
      <c r="S239" s="472"/>
      <c r="T239" s="472"/>
      <c r="U239" s="1473"/>
      <c r="V239" s="1473"/>
      <c r="W239" s="1473"/>
      <c r="X239" s="1473"/>
      <c r="Y239" s="1473"/>
      <c r="Z239" s="1497"/>
      <c r="AA239" s="1497"/>
      <c r="AB239" s="1497"/>
      <c r="AC239" s="1497"/>
      <c r="AD239" s="1497"/>
      <c r="AE239" s="1497"/>
      <c r="AF239" s="1497"/>
      <c r="AG239" s="1497"/>
      <c r="AH239" s="544"/>
      <c r="AI239" s="541"/>
      <c r="AJ239" s="541"/>
      <c r="AK239" s="541"/>
      <c r="AL239" s="541"/>
      <c r="AM239" s="541"/>
      <c r="AN239" s="541"/>
      <c r="AO239" s="541"/>
      <c r="AP239" s="541"/>
      <c r="AQ239" s="541"/>
      <c r="AR239" s="541"/>
      <c r="AS239" s="541"/>
      <c r="AT239" s="541"/>
      <c r="AU239" s="541"/>
      <c r="AV239" s="1036"/>
      <c r="AW239" s="1036"/>
      <c r="AX239" s="1036"/>
      <c r="AY239" s="1036"/>
      <c r="AZ239" s="1036"/>
      <c r="BA239" s="1036"/>
      <c r="BB239" s="1036"/>
      <c r="BC239" s="1036"/>
      <c r="BD239" s="541"/>
      <c r="BE239" s="541"/>
      <c r="BF239" s="541"/>
      <c r="BG239" s="541"/>
      <c r="BH239" s="541"/>
      <c r="BI239" s="541"/>
      <c r="BJ239" s="541"/>
      <c r="BK239" s="541"/>
      <c r="BL239" s="541"/>
      <c r="BM239" s="541"/>
      <c r="BN239" s="541"/>
      <c r="BO239" s="541"/>
      <c r="BP239" s="541"/>
      <c r="BQ239" s="541"/>
      <c r="BR239" s="541"/>
      <c r="BS239" s="541"/>
      <c r="BT239" s="541"/>
      <c r="BU239" s="541"/>
      <c r="BV239" s="541"/>
      <c r="BW239" s="541"/>
      <c r="BX239" s="541"/>
      <c r="BY239" s="541"/>
      <c r="BZ239" s="541"/>
      <c r="CA239" s="541"/>
      <c r="CB239" s="541"/>
      <c r="CC239" s="550"/>
      <c r="CD239" s="654">
        <f ca="1">IFERROR(VLOOKUP(U239,ApplicantList[],2,FALSE),0)</f>
        <v>0</v>
      </c>
      <c r="CE239" s="1056"/>
      <c r="CF239" s="1056"/>
      <c r="CG239" s="1057"/>
      <c r="CH239" s="1057"/>
      <c r="CI239" s="398"/>
      <c r="CJ239" s="398"/>
    </row>
    <row r="240" spans="1:91" ht="18.75" hidden="1" customHeight="1" x14ac:dyDescent="0.25">
      <c r="A240" s="176"/>
      <c r="B240" s="78"/>
      <c r="C240" s="569"/>
      <c r="D240" s="570"/>
      <c r="E240" s="570"/>
      <c r="F240" s="570"/>
      <c r="G240" s="570"/>
      <c r="H240" s="570"/>
      <c r="I240" s="570"/>
      <c r="J240" s="570"/>
      <c r="K240" s="570"/>
      <c r="L240" s="570"/>
      <c r="M240" s="570"/>
      <c r="N240" s="570"/>
      <c r="O240" s="570"/>
      <c r="P240" s="570"/>
      <c r="Q240" s="570"/>
      <c r="R240" s="472"/>
      <c r="S240" s="472"/>
      <c r="T240" s="472"/>
      <c r="U240" s="1473"/>
      <c r="V240" s="1473"/>
      <c r="W240" s="1473"/>
      <c r="X240" s="1473"/>
      <c r="Y240" s="1473"/>
      <c r="Z240" s="1497"/>
      <c r="AA240" s="1497"/>
      <c r="AB240" s="1497"/>
      <c r="AC240" s="1497"/>
      <c r="AD240" s="1497"/>
      <c r="AE240" s="1497"/>
      <c r="AF240" s="1497"/>
      <c r="AG240" s="1497"/>
      <c r="AH240" s="544"/>
      <c r="AI240" s="541"/>
      <c r="AJ240" s="541"/>
      <c r="AK240" s="541"/>
      <c r="AL240" s="541"/>
      <c r="AM240" s="541"/>
      <c r="AN240" s="541"/>
      <c r="AO240" s="541"/>
      <c r="AP240" s="541"/>
      <c r="AQ240" s="541"/>
      <c r="AR240" s="541"/>
      <c r="AS240" s="541"/>
      <c r="AT240" s="541"/>
      <c r="AU240" s="541"/>
      <c r="AV240" s="1036"/>
      <c r="AW240" s="1036"/>
      <c r="AX240" s="1036"/>
      <c r="AY240" s="1036"/>
      <c r="AZ240" s="1036"/>
      <c r="BA240" s="1036"/>
      <c r="BB240" s="1036"/>
      <c r="BC240" s="1036"/>
      <c r="BD240" s="541"/>
      <c r="BE240" s="541"/>
      <c r="BF240" s="541"/>
      <c r="BG240" s="541"/>
      <c r="BH240" s="541"/>
      <c r="BI240" s="541"/>
      <c r="BJ240" s="541"/>
      <c r="BK240" s="541"/>
      <c r="BL240" s="541"/>
      <c r="BM240" s="541"/>
      <c r="BN240" s="541"/>
      <c r="BO240" s="541"/>
      <c r="BP240" s="541"/>
      <c r="BQ240" s="541"/>
      <c r="BR240" s="541"/>
      <c r="BS240" s="541"/>
      <c r="BT240" s="541"/>
      <c r="BU240" s="541"/>
      <c r="BV240" s="541"/>
      <c r="BW240" s="541"/>
      <c r="BX240" s="541"/>
      <c r="BY240" s="541"/>
      <c r="BZ240" s="541"/>
      <c r="CA240" s="541"/>
      <c r="CB240" s="541"/>
      <c r="CC240" s="550"/>
      <c r="CD240" s="654">
        <f ca="1">IFERROR(VLOOKUP(U240,ApplicantList[],2,FALSE),0)</f>
        <v>0</v>
      </c>
      <c r="CE240" s="1056"/>
      <c r="CF240" s="1056"/>
      <c r="CG240" s="1057"/>
      <c r="CH240" s="1057"/>
      <c r="CI240" s="398"/>
      <c r="CJ240" s="398"/>
    </row>
    <row r="241" spans="1:91" ht="18.75" hidden="1" customHeight="1" x14ac:dyDescent="0.25">
      <c r="A241" s="176"/>
      <c r="B241" s="77"/>
      <c r="C241" s="571"/>
      <c r="D241" s="572"/>
      <c r="E241" s="572"/>
      <c r="F241" s="572"/>
      <c r="G241" s="572"/>
      <c r="H241" s="572"/>
      <c r="I241" s="572"/>
      <c r="J241" s="572"/>
      <c r="K241" s="572"/>
      <c r="L241" s="572"/>
      <c r="M241" s="572"/>
      <c r="N241" s="572"/>
      <c r="O241" s="572"/>
      <c r="P241" s="572"/>
      <c r="Q241" s="572"/>
      <c r="R241" s="473"/>
      <c r="S241" s="473"/>
      <c r="T241" s="473"/>
      <c r="U241" s="1473"/>
      <c r="V241" s="1473"/>
      <c r="W241" s="1473"/>
      <c r="X241" s="1473"/>
      <c r="Y241" s="1473"/>
      <c r="Z241" s="1497"/>
      <c r="AA241" s="1497"/>
      <c r="AB241" s="1497"/>
      <c r="AC241" s="1497"/>
      <c r="AD241" s="1497"/>
      <c r="AE241" s="1497"/>
      <c r="AF241" s="1497"/>
      <c r="AG241" s="1497"/>
      <c r="AH241" s="547"/>
      <c r="AI241" s="548"/>
      <c r="AJ241" s="548"/>
      <c r="AK241" s="548"/>
      <c r="AL241" s="548"/>
      <c r="AM241" s="548"/>
      <c r="AN241" s="548"/>
      <c r="AO241" s="548"/>
      <c r="AP241" s="548"/>
      <c r="AQ241" s="548"/>
      <c r="AR241" s="548"/>
      <c r="AS241" s="548"/>
      <c r="AT241" s="548"/>
      <c r="AU241" s="548"/>
      <c r="AV241" s="1037"/>
      <c r="AW241" s="1037"/>
      <c r="AX241" s="1037"/>
      <c r="AY241" s="1037"/>
      <c r="AZ241" s="1037"/>
      <c r="BA241" s="1037"/>
      <c r="BB241" s="1037"/>
      <c r="BC241" s="1037"/>
      <c r="BD241" s="548"/>
      <c r="BE241" s="548"/>
      <c r="BF241" s="548"/>
      <c r="BG241" s="548"/>
      <c r="BH241" s="548"/>
      <c r="BI241" s="548"/>
      <c r="BJ241" s="548"/>
      <c r="BK241" s="548"/>
      <c r="BL241" s="548"/>
      <c r="BM241" s="548"/>
      <c r="BN241" s="548"/>
      <c r="BO241" s="548"/>
      <c r="BP241" s="548"/>
      <c r="BQ241" s="548"/>
      <c r="BR241" s="548"/>
      <c r="BS241" s="548"/>
      <c r="BT241" s="548"/>
      <c r="BU241" s="548"/>
      <c r="BV241" s="548"/>
      <c r="BW241" s="548"/>
      <c r="BX241" s="548"/>
      <c r="BY241" s="548"/>
      <c r="BZ241" s="548"/>
      <c r="CA241" s="548"/>
      <c r="CB241" s="548"/>
      <c r="CC241" s="550"/>
      <c r="CD241" s="654">
        <f ca="1">IFERROR(VLOOKUP(U241,ApplicantList[],2,FALSE),0)</f>
        <v>0</v>
      </c>
      <c r="CE241" s="1056"/>
      <c r="CF241" s="1056"/>
      <c r="CG241" s="1057"/>
      <c r="CH241" s="1057"/>
      <c r="CI241" s="398"/>
      <c r="CJ241" s="398"/>
    </row>
    <row r="242" spans="1:91" ht="18.75" hidden="1" customHeight="1" x14ac:dyDescent="0.25">
      <c r="A242" s="175">
        <v>18</v>
      </c>
      <c r="B242" s="78"/>
      <c r="C242" s="1473"/>
      <c r="D242" s="1473"/>
      <c r="E242" s="1473"/>
      <c r="F242" s="1473"/>
      <c r="G242" s="1473"/>
      <c r="H242" s="1473"/>
      <c r="I242" s="1473"/>
      <c r="J242" s="1473"/>
      <c r="K242" s="1473"/>
      <c r="L242" s="1473"/>
      <c r="M242" s="1566" t="s">
        <v>373</v>
      </c>
      <c r="N242" s="1566"/>
      <c r="O242" s="1566"/>
      <c r="P242" s="1566"/>
      <c r="Q242" s="1566"/>
      <c r="R242" s="1566">
        <v>1</v>
      </c>
      <c r="S242" s="1566"/>
      <c r="T242" s="1566"/>
      <c r="U242" s="1473"/>
      <c r="V242" s="1473"/>
      <c r="W242" s="1473"/>
      <c r="X242" s="1473"/>
      <c r="Y242" s="1473"/>
      <c r="Z242" s="1497"/>
      <c r="AA242" s="1497"/>
      <c r="AB242" s="1497"/>
      <c r="AC242" s="1497"/>
      <c r="AD242" s="1497"/>
      <c r="AE242" s="1497"/>
      <c r="AF242" s="1497"/>
      <c r="AG242" s="1497"/>
      <c r="AH242" s="1556"/>
      <c r="AI242" s="1556"/>
      <c r="AJ242" s="1556"/>
      <c r="AK242" s="1556"/>
      <c r="AL242" s="1556"/>
      <c r="AM242" s="1556"/>
      <c r="AN242" s="1497"/>
      <c r="AO242" s="1497"/>
      <c r="AP242" s="1497"/>
      <c r="AQ242" s="1497"/>
      <c r="AR242" s="1497"/>
      <c r="AS242" s="1497"/>
      <c r="AT242" s="1497"/>
      <c r="AU242" s="1497"/>
      <c r="AV242" s="1563"/>
      <c r="AW242" s="1563"/>
      <c r="AX242" s="1563"/>
      <c r="AY242" s="1563"/>
      <c r="AZ242" s="1563"/>
      <c r="BA242" s="1563"/>
      <c r="BB242" s="1563"/>
      <c r="BC242" s="1563"/>
      <c r="BD242" s="1568"/>
      <c r="BE242" s="1568"/>
      <c r="BF242" s="1568"/>
      <c r="BG242" s="1567"/>
      <c r="BH242" s="1567"/>
      <c r="BI242" s="1583"/>
      <c r="BJ242" s="1583"/>
      <c r="BK242" s="1583"/>
      <c r="BL242" s="1583"/>
      <c r="BM242" s="1586"/>
      <c r="BN242" s="1586"/>
      <c r="BO242" s="1586"/>
      <c r="BP242" s="1586"/>
      <c r="BQ242" s="1585"/>
      <c r="BR242" s="1585"/>
      <c r="BS242" s="1585"/>
      <c r="BT242" s="1585"/>
      <c r="BU242" s="1584" cm="1">
        <f t="array" aca="1" ref="BU242" ca="1">IF(M242="Default",1,IF(AND(C242="Portfolio loan - sub account",CF242=FALSE),0,IF(AND(AH242=2,AK242=1, VLOOKUP(U242,ApplicantList[],3,FALSE)="Non-applicant"),INDIRECT("ICApp" &amp; VLOOKUP(U242,ApplicantList[],2,FALSE) &amp; "HouseholdIncomeApportioningRatio"),IFERROR(MIN(ROUNDUP(MAX(SUM(Z242:AC247)+AN242,SUM(AD242:AG247)+AR242,(COUNTIF(Z242:AC247,"&gt;0")+AK242)/AH242),4),1),""))))</f>
        <v>1</v>
      </c>
      <c r="BV242" s="1584"/>
      <c r="BW242" s="1584"/>
      <c r="BX242" s="1584"/>
      <c r="BY242" s="1569">
        <f>IFERROR(ROUNDUP(CHOOSE(VLOOKUP(C242,ExistingShareableCommitmentTypeTable[],6,FALSE),MAX(BI242,PMT(CG242/12,CJ242,-AZ243))*BU242,MAX(BI242,(AZ243*CG242/12))*BU242,0,BI242*BU242,MAX(BI242,(AZ243*CG242))*BU242,AZ243*CG242*BU242,IF(CF242,MAX(CI242,PMT(CG242/12,240,-AZ243))*BU242,0)),2),0)</f>
        <v>0</v>
      </c>
      <c r="BZ242" s="1569"/>
      <c r="CA242" s="1569"/>
      <c r="CB242" s="1492"/>
      <c r="CC242" s="1306"/>
      <c r="CD242" s="654">
        <f ca="1">IFERROR(VLOOKUP(U242,ApplicantList[],2,FALSE),0)</f>
        <v>0</v>
      </c>
      <c r="CE242" s="1055">
        <f>IFERROR(MAX(AV242,AZ242),0)</f>
        <v>0</v>
      </c>
      <c r="CF242" s="1056" t="b">
        <f>IF(C242="Portfolio loan - sub account",IF(NOT(ISBLANK(BQ242)),IF(COUNTIF($BQ$140:$BQ$254,BQ242)&gt;1,IF(COUNTIFS(BQ$140:BQ242,BQ242,C$140:C242,"Portfolio loan - sub account")=1,TRUE,FALSE),TRUE),FALSE),FALSE)</f>
        <v>0</v>
      </c>
      <c r="CG242" s="1057">
        <f>IFERROR(IF(C242="",0,CHOOSE(VLOOKUP(C242,ExistingShareableCommitmentTypeTable[],7,FALSE),MAX(BD242+$BE$136,FloorRateMCAR,$CJ$136),MAX(BD242,VLOOKUP(C242,ExistingShareableCommitmentTypeTable[],2,FALSE)),VLOOKUP(C242,ExistingShareableCommitmentTypeTable[],2,FALSE),MAX(BD242+$BE$136,FloorRateMCIR,$CJ$136),MAX(CH242+$BE$136,FloorRateMCIR,$CJ$136))),0)</f>
        <v>0</v>
      </c>
      <c r="CH242" s="1057" cm="1">
        <f t="array" ref="CH242">_xlfn.AGGREGATE(14,4,($C$140:$C$259="Portfolio loan - sub account")*($BQ$140:$BQ$259=$BQ242)*$BD$140:$BD$259,1)</f>
        <v>0</v>
      </c>
      <c r="CI242" s="1061">
        <f>SUMIFS($BI$140:$BI$254,$BQ$140:$BQ$254,BQ242,$C$140:$C$254,"Portfolio loan - sub account")</f>
        <v>0</v>
      </c>
      <c r="CJ242" s="619" t="e">
        <f>IF(OR(BG242="",BG242=0),VLOOKUP(C242,ExistingShareableCommitmentTypeTable[],MATCH("DefaultTerm",ExistingShareableCommitmentTypeTable[#Headers],0),FALSE),BG242)</f>
        <v>#N/A</v>
      </c>
      <c r="CK242" s="530" t="str">
        <f>IFERROR(VLOOKUP($C242,ExistingShareableCommitmentTypeTable[],MATCH(CK$138,ExistingShareableCommitmentTypeTable[#Headers],0),FALSE),"No")</f>
        <v>No</v>
      </c>
      <c r="CL242" s="530" t="str">
        <f>IFERROR(VLOOKUP($C242,ExistingShareableCommitmentTypeTable[],MATCH(CL$138,ExistingShareableCommitmentTypeTable[#Headers],0),FALSE),"No")</f>
        <v>No</v>
      </c>
      <c r="CM242" s="530" t="str">
        <f>IFERROR(VLOOKUP($C242,ExistingShareableCommitmentTypeTable[],MATCH(CM$138,ExistingShareableCommitmentTypeTable[#Headers],0),FALSE),"No")</f>
        <v>No</v>
      </c>
    </row>
    <row r="243" spans="1:91" ht="18.75" hidden="1" customHeight="1" x14ac:dyDescent="0.25">
      <c r="A243" s="176"/>
      <c r="B243" s="77"/>
      <c r="C243" s="567"/>
      <c r="D243" s="568"/>
      <c r="E243" s="568"/>
      <c r="F243" s="568"/>
      <c r="G243" s="568"/>
      <c r="H243" s="568"/>
      <c r="I243" s="568"/>
      <c r="J243" s="568"/>
      <c r="K243" s="568"/>
      <c r="L243" s="568"/>
      <c r="M243" s="568"/>
      <c r="N243" s="568"/>
      <c r="O243" s="568"/>
      <c r="P243" s="568"/>
      <c r="Q243" s="568"/>
      <c r="R243" s="471"/>
      <c r="S243" s="471"/>
      <c r="T243" s="471"/>
      <c r="U243" s="1473"/>
      <c r="V243" s="1473"/>
      <c r="W243" s="1473"/>
      <c r="X243" s="1473"/>
      <c r="Y243" s="1473"/>
      <c r="Z243" s="1497"/>
      <c r="AA243" s="1497"/>
      <c r="AB243" s="1497"/>
      <c r="AC243" s="1497"/>
      <c r="AD243" s="1497"/>
      <c r="AE243" s="1497"/>
      <c r="AF243" s="1497"/>
      <c r="AG243" s="1497"/>
      <c r="AH243" s="541" t="b">
        <f>SUM(Z242:Z247,AN242)&gt;1</f>
        <v>0</v>
      </c>
      <c r="AI243" s="541" t="b">
        <f>SUM(AD242:AD247,AR242)&gt;1</f>
        <v>0</v>
      </c>
      <c r="AJ243" s="541" t="b">
        <f>AND(NOT(ISBLANK($AH242)),SUM($R242,$AK242)&gt;$AH242)</f>
        <v>0</v>
      </c>
      <c r="AK243" s="542"/>
      <c r="AL243" s="542"/>
      <c r="AM243" s="542"/>
      <c r="AN243" s="542"/>
      <c r="AO243" s="542"/>
      <c r="AP243" s="542"/>
      <c r="AQ243" s="542"/>
      <c r="AR243" s="542"/>
      <c r="AS243" s="542"/>
      <c r="AT243" s="542"/>
      <c r="AU243" s="542"/>
      <c r="AV243" s="1035"/>
      <c r="AW243" s="1035"/>
      <c r="AX243" s="1035"/>
      <c r="AY243" s="1035"/>
      <c r="AZ243" s="1564">
        <f>IFERROR(CHOOSE(VLOOKUP(C242,ExistingShareableCommitmentTypeTable[],8,FALSE),MAX(AV242,AZ242),AV242,SUMIFS($CE$140:$CE$254,$BQ$140:$BQ$254,BQ242,$C$140:$C$254,"Portfolio loan - sub account"),MAX(AV242,AZ242)-BM242),0)</f>
        <v>0</v>
      </c>
      <c r="BA243" s="1564"/>
      <c r="BB243" s="1564"/>
      <c r="BC243" s="1564"/>
      <c r="BD243" s="1582"/>
      <c r="BE243" s="1582"/>
      <c r="BF243" s="1582"/>
      <c r="BG243" s="1053"/>
      <c r="BH243" s="542"/>
      <c r="BI243" s="542"/>
      <c r="BJ243" s="542"/>
      <c r="BK243" s="542"/>
      <c r="BL243" s="542"/>
      <c r="BM243" s="542"/>
      <c r="BN243" s="542"/>
      <c r="BO243" s="542"/>
      <c r="BP243" s="542"/>
      <c r="BQ243" s="542"/>
      <c r="BR243" s="542"/>
      <c r="BS243" s="542"/>
      <c r="BT243" s="542"/>
      <c r="BU243" s="542"/>
      <c r="BV243" s="542"/>
      <c r="BW243" s="542"/>
      <c r="BX243" s="541"/>
      <c r="BY243" s="542"/>
      <c r="BZ243" s="542"/>
      <c r="CA243" s="542"/>
      <c r="CB243" s="542"/>
      <c r="CC243" s="550"/>
      <c r="CD243" s="654">
        <f ca="1">IFERROR(VLOOKUP(U243,ApplicantList[],2,FALSE),0)</f>
        <v>0</v>
      </c>
      <c r="CE243" s="1056"/>
      <c r="CF243" s="1056"/>
      <c r="CG243" s="1057"/>
      <c r="CH243" s="1057"/>
      <c r="CI243" s="398"/>
      <c r="CJ243" s="398"/>
    </row>
    <row r="244" spans="1:91" ht="18.75" hidden="1" customHeight="1" x14ac:dyDescent="0.25">
      <c r="A244" s="176"/>
      <c r="B244" s="78"/>
      <c r="C244" s="569"/>
      <c r="D244" s="570"/>
      <c r="E244" s="570"/>
      <c r="F244" s="570"/>
      <c r="G244" s="570"/>
      <c r="H244" s="570"/>
      <c r="I244" s="570"/>
      <c r="J244" s="570"/>
      <c r="K244" s="570"/>
      <c r="L244" s="570"/>
      <c r="M244" s="570"/>
      <c r="N244" s="570"/>
      <c r="O244" s="570"/>
      <c r="P244" s="570"/>
      <c r="Q244" s="570"/>
      <c r="R244" s="472"/>
      <c r="S244" s="472"/>
      <c r="T244" s="472"/>
      <c r="U244" s="1473"/>
      <c r="V244" s="1473"/>
      <c r="W244" s="1473"/>
      <c r="X244" s="1473"/>
      <c r="Y244" s="1473"/>
      <c r="Z244" s="1497"/>
      <c r="AA244" s="1497"/>
      <c r="AB244" s="1497"/>
      <c r="AC244" s="1497"/>
      <c r="AD244" s="1497"/>
      <c r="AE244" s="1497"/>
      <c r="AF244" s="1497"/>
      <c r="AG244" s="1497"/>
      <c r="AH244" s="544"/>
      <c r="AI244" s="541"/>
      <c r="AJ244" s="541"/>
      <c r="AK244" s="541"/>
      <c r="AL244" s="541"/>
      <c r="AM244" s="541"/>
      <c r="AN244" s="541"/>
      <c r="AO244" s="541"/>
      <c r="AP244" s="541"/>
      <c r="AQ244" s="541"/>
      <c r="AR244" s="541"/>
      <c r="AS244" s="541"/>
      <c r="AT244" s="541"/>
      <c r="AU244" s="541"/>
      <c r="AV244" s="1036"/>
      <c r="AW244" s="1036"/>
      <c r="AX244" s="1036"/>
      <c r="AY244" s="1036"/>
      <c r="AZ244" s="1559">
        <f>IFERROR(CHOOSE(VLOOKUP(C242,ExistingShareableCommitmentTypeTable[],9,FALSE),MAX(AV242,AZ242),0),0)</f>
        <v>0</v>
      </c>
      <c r="BA244" s="1559"/>
      <c r="BB244" s="1559"/>
      <c r="BC244" s="1559"/>
      <c r="BD244" s="541"/>
      <c r="BE244" s="541"/>
      <c r="BF244" s="541"/>
      <c r="BG244" s="541"/>
      <c r="BH244" s="541"/>
      <c r="BI244" s="541"/>
      <c r="BJ244" s="541"/>
      <c r="BK244" s="541"/>
      <c r="BL244" s="541"/>
      <c r="BM244" s="541"/>
      <c r="BN244" s="541"/>
      <c r="BO244" s="541"/>
      <c r="BP244" s="541"/>
      <c r="BQ244" s="541"/>
      <c r="BR244" s="541"/>
      <c r="BS244" s="541"/>
      <c r="BT244" s="541"/>
      <c r="BU244" s="541"/>
      <c r="BV244" s="541"/>
      <c r="BW244" s="541"/>
      <c r="BX244" s="541"/>
      <c r="BY244" s="541"/>
      <c r="BZ244" s="541"/>
      <c r="CA244" s="541"/>
      <c r="CB244" s="541"/>
      <c r="CC244" s="550"/>
      <c r="CD244" s="654">
        <f ca="1">IFERROR(VLOOKUP(U244,ApplicantList[],2,FALSE),0)</f>
        <v>0</v>
      </c>
      <c r="CE244" s="1056"/>
      <c r="CF244" s="1056"/>
      <c r="CG244" s="1057"/>
      <c r="CH244" s="1057"/>
      <c r="CI244" s="398"/>
      <c r="CJ244" s="398"/>
    </row>
    <row r="245" spans="1:91" ht="18.75" hidden="1" customHeight="1" x14ac:dyDescent="0.25">
      <c r="A245" s="176"/>
      <c r="B245" s="77"/>
      <c r="C245" s="569"/>
      <c r="D245" s="570"/>
      <c r="E245" s="570"/>
      <c r="F245" s="570"/>
      <c r="G245" s="570"/>
      <c r="H245" s="570"/>
      <c r="I245" s="570"/>
      <c r="J245" s="570"/>
      <c r="K245" s="570"/>
      <c r="L245" s="570"/>
      <c r="M245" s="570"/>
      <c r="N245" s="570"/>
      <c r="O245" s="570"/>
      <c r="P245" s="570"/>
      <c r="Q245" s="570"/>
      <c r="R245" s="472"/>
      <c r="S245" s="472"/>
      <c r="T245" s="472"/>
      <c r="U245" s="1473"/>
      <c r="V245" s="1473"/>
      <c r="W245" s="1473"/>
      <c r="X245" s="1473"/>
      <c r="Y245" s="1473"/>
      <c r="Z245" s="1497"/>
      <c r="AA245" s="1497"/>
      <c r="AB245" s="1497"/>
      <c r="AC245" s="1497"/>
      <c r="AD245" s="1497"/>
      <c r="AE245" s="1497"/>
      <c r="AF245" s="1497"/>
      <c r="AG245" s="1497"/>
      <c r="AH245" s="544"/>
      <c r="AI245" s="541"/>
      <c r="AJ245" s="541"/>
      <c r="AK245" s="541"/>
      <c r="AL245" s="541"/>
      <c r="AM245" s="541"/>
      <c r="AN245" s="541"/>
      <c r="AO245" s="541"/>
      <c r="AP245" s="541"/>
      <c r="AQ245" s="541"/>
      <c r="AR245" s="541"/>
      <c r="AS245" s="541"/>
      <c r="AT245" s="541"/>
      <c r="AU245" s="541"/>
      <c r="AV245" s="1036"/>
      <c r="AW245" s="1036"/>
      <c r="AX245" s="1036"/>
      <c r="AY245" s="1036"/>
      <c r="AZ245" s="1036"/>
      <c r="BA245" s="1036"/>
      <c r="BB245" s="1036"/>
      <c r="BC245" s="1036"/>
      <c r="BD245" s="541"/>
      <c r="BE245" s="541"/>
      <c r="BF245" s="541"/>
      <c r="BG245" s="541"/>
      <c r="BH245" s="541"/>
      <c r="BI245" s="541"/>
      <c r="BJ245" s="541"/>
      <c r="BK245" s="541"/>
      <c r="BL245" s="541"/>
      <c r="BM245" s="541"/>
      <c r="BN245" s="541"/>
      <c r="BO245" s="541"/>
      <c r="BP245" s="541"/>
      <c r="BQ245" s="541"/>
      <c r="BR245" s="541"/>
      <c r="BS245" s="541"/>
      <c r="BT245" s="541"/>
      <c r="BU245" s="541"/>
      <c r="BV245" s="541"/>
      <c r="BW245" s="541"/>
      <c r="BX245" s="541"/>
      <c r="BY245" s="541"/>
      <c r="BZ245" s="541"/>
      <c r="CA245" s="541"/>
      <c r="CB245" s="541"/>
      <c r="CC245" s="550"/>
      <c r="CD245" s="654">
        <f ca="1">IFERROR(VLOOKUP(U245,ApplicantList[],2,FALSE),0)</f>
        <v>0</v>
      </c>
      <c r="CE245" s="1056"/>
      <c r="CF245" s="1056"/>
      <c r="CG245" s="1057"/>
      <c r="CH245" s="1057"/>
      <c r="CI245" s="398"/>
      <c r="CJ245" s="398"/>
    </row>
    <row r="246" spans="1:91" ht="18.75" hidden="1" customHeight="1" x14ac:dyDescent="0.25">
      <c r="A246" s="175"/>
      <c r="B246" s="78"/>
      <c r="C246" s="569"/>
      <c r="D246" s="570"/>
      <c r="E246" s="570"/>
      <c r="F246" s="570"/>
      <c r="G246" s="570"/>
      <c r="H246" s="570"/>
      <c r="I246" s="570"/>
      <c r="J246" s="570"/>
      <c r="K246" s="570"/>
      <c r="L246" s="570"/>
      <c r="M246" s="570"/>
      <c r="N246" s="570"/>
      <c r="O246" s="570"/>
      <c r="P246" s="570"/>
      <c r="Q246" s="570"/>
      <c r="R246" s="472"/>
      <c r="S246" s="472"/>
      <c r="T246" s="472"/>
      <c r="U246" s="1473"/>
      <c r="V246" s="1473"/>
      <c r="W246" s="1473"/>
      <c r="X246" s="1473"/>
      <c r="Y246" s="1473"/>
      <c r="Z246" s="1497"/>
      <c r="AA246" s="1497"/>
      <c r="AB246" s="1497"/>
      <c r="AC246" s="1497"/>
      <c r="AD246" s="1497"/>
      <c r="AE246" s="1497"/>
      <c r="AF246" s="1497"/>
      <c r="AG246" s="1497"/>
      <c r="AH246" s="544"/>
      <c r="AI246" s="541"/>
      <c r="AJ246" s="541"/>
      <c r="AK246" s="541"/>
      <c r="AL246" s="541"/>
      <c r="AM246" s="541"/>
      <c r="AN246" s="541"/>
      <c r="AO246" s="541"/>
      <c r="AP246" s="541"/>
      <c r="AQ246" s="541"/>
      <c r="AR246" s="541"/>
      <c r="AS246" s="541"/>
      <c r="AT246" s="541"/>
      <c r="AU246" s="541"/>
      <c r="AV246" s="1036"/>
      <c r="AW246" s="1036"/>
      <c r="AX246" s="1036"/>
      <c r="AY246" s="1036"/>
      <c r="AZ246" s="1036"/>
      <c r="BA246" s="1036"/>
      <c r="BB246" s="1036"/>
      <c r="BC246" s="1036"/>
      <c r="BD246" s="541"/>
      <c r="BE246" s="541"/>
      <c r="BF246" s="541"/>
      <c r="BG246" s="541"/>
      <c r="BH246" s="541"/>
      <c r="BI246" s="541"/>
      <c r="BJ246" s="541"/>
      <c r="BK246" s="541"/>
      <c r="BL246" s="541"/>
      <c r="BM246" s="541"/>
      <c r="BN246" s="541"/>
      <c r="BO246" s="541"/>
      <c r="BP246" s="541"/>
      <c r="BQ246" s="541"/>
      <c r="BR246" s="541"/>
      <c r="BS246" s="541"/>
      <c r="BT246" s="541"/>
      <c r="BU246" s="541"/>
      <c r="BV246" s="541"/>
      <c r="BW246" s="541"/>
      <c r="BX246" s="541"/>
      <c r="BY246" s="541"/>
      <c r="BZ246" s="541"/>
      <c r="CA246" s="541"/>
      <c r="CB246" s="541"/>
      <c r="CC246" s="550"/>
      <c r="CD246" s="654">
        <f ca="1">IFERROR(VLOOKUP(U246,ApplicantList[],2,FALSE),0)</f>
        <v>0</v>
      </c>
      <c r="CE246" s="1056"/>
      <c r="CF246" s="1056"/>
      <c r="CG246" s="1057"/>
      <c r="CH246" s="1057"/>
      <c r="CI246" s="398"/>
      <c r="CJ246" s="398"/>
    </row>
    <row r="247" spans="1:91" ht="18.75" hidden="1" customHeight="1" x14ac:dyDescent="0.25">
      <c r="A247" s="176"/>
      <c r="B247" s="77"/>
      <c r="C247" s="571"/>
      <c r="D247" s="572"/>
      <c r="E247" s="572"/>
      <c r="F247" s="572"/>
      <c r="G247" s="572"/>
      <c r="H247" s="572"/>
      <c r="I247" s="572"/>
      <c r="J247" s="572"/>
      <c r="K247" s="572"/>
      <c r="L247" s="572"/>
      <c r="M247" s="572"/>
      <c r="N247" s="572"/>
      <c r="O247" s="572"/>
      <c r="P247" s="572"/>
      <c r="Q247" s="572"/>
      <c r="R247" s="473"/>
      <c r="S247" s="473"/>
      <c r="T247" s="473"/>
      <c r="U247" s="1473"/>
      <c r="V247" s="1473"/>
      <c r="W247" s="1473"/>
      <c r="X247" s="1473"/>
      <c r="Y247" s="1473"/>
      <c r="Z247" s="1497"/>
      <c r="AA247" s="1497"/>
      <c r="AB247" s="1497"/>
      <c r="AC247" s="1497"/>
      <c r="AD247" s="1497"/>
      <c r="AE247" s="1497"/>
      <c r="AF247" s="1497"/>
      <c r="AG247" s="1497"/>
      <c r="AH247" s="547"/>
      <c r="AI247" s="548"/>
      <c r="AJ247" s="548"/>
      <c r="AK247" s="548"/>
      <c r="AL247" s="548"/>
      <c r="AM247" s="548"/>
      <c r="AN247" s="548"/>
      <c r="AO247" s="548"/>
      <c r="AP247" s="548"/>
      <c r="AQ247" s="548"/>
      <c r="AR247" s="548"/>
      <c r="AS247" s="548"/>
      <c r="AT247" s="548"/>
      <c r="AU247" s="548"/>
      <c r="AV247" s="1037"/>
      <c r="AW247" s="1037"/>
      <c r="AX247" s="1037"/>
      <c r="AY247" s="1037"/>
      <c r="AZ247" s="1037"/>
      <c r="BA247" s="1037"/>
      <c r="BB247" s="1037"/>
      <c r="BC247" s="1037"/>
      <c r="BD247" s="548"/>
      <c r="BE247" s="548"/>
      <c r="BF247" s="548"/>
      <c r="BG247" s="548"/>
      <c r="BH247" s="548"/>
      <c r="BI247" s="548"/>
      <c r="BJ247" s="548"/>
      <c r="BK247" s="548"/>
      <c r="BL247" s="548"/>
      <c r="BM247" s="548"/>
      <c r="BN247" s="548"/>
      <c r="BO247" s="548"/>
      <c r="BP247" s="548"/>
      <c r="BQ247" s="548"/>
      <c r="BR247" s="548"/>
      <c r="BS247" s="548"/>
      <c r="BT247" s="548"/>
      <c r="BU247" s="548"/>
      <c r="BV247" s="548"/>
      <c r="BW247" s="548"/>
      <c r="BX247" s="548"/>
      <c r="BY247" s="548"/>
      <c r="BZ247" s="548"/>
      <c r="CA247" s="548"/>
      <c r="CB247" s="548"/>
      <c r="CC247" s="550"/>
      <c r="CD247" s="654">
        <f ca="1">IFERROR(VLOOKUP(U247,ApplicantList[],2,FALSE),0)</f>
        <v>0</v>
      </c>
      <c r="CE247" s="1056"/>
      <c r="CF247" s="1056"/>
      <c r="CG247" s="1057"/>
      <c r="CH247" s="1057"/>
      <c r="CI247" s="398"/>
      <c r="CJ247" s="398"/>
    </row>
    <row r="248" spans="1:91" ht="18.75" hidden="1" customHeight="1" x14ac:dyDescent="0.25">
      <c r="A248" s="176">
        <v>19</v>
      </c>
      <c r="B248" s="78"/>
      <c r="C248" s="1473"/>
      <c r="D248" s="1473"/>
      <c r="E248" s="1473"/>
      <c r="F248" s="1473"/>
      <c r="G248" s="1473"/>
      <c r="H248" s="1473"/>
      <c r="I248" s="1473"/>
      <c r="J248" s="1473"/>
      <c r="K248" s="1473"/>
      <c r="L248" s="1473"/>
      <c r="M248" s="1566" t="s">
        <v>373</v>
      </c>
      <c r="N248" s="1566"/>
      <c r="O248" s="1566"/>
      <c r="P248" s="1566"/>
      <c r="Q248" s="1566"/>
      <c r="R248" s="1566">
        <v>1</v>
      </c>
      <c r="S248" s="1566"/>
      <c r="T248" s="1566"/>
      <c r="U248" s="1473"/>
      <c r="V248" s="1473"/>
      <c r="W248" s="1473"/>
      <c r="X248" s="1473"/>
      <c r="Y248" s="1473"/>
      <c r="Z248" s="1497"/>
      <c r="AA248" s="1497"/>
      <c r="AB248" s="1497"/>
      <c r="AC248" s="1497"/>
      <c r="AD248" s="1497"/>
      <c r="AE248" s="1497"/>
      <c r="AF248" s="1497"/>
      <c r="AG248" s="1497"/>
      <c r="AH248" s="1556"/>
      <c r="AI248" s="1556"/>
      <c r="AJ248" s="1556"/>
      <c r="AK248" s="1556"/>
      <c r="AL248" s="1556"/>
      <c r="AM248" s="1556"/>
      <c r="AN248" s="1497"/>
      <c r="AO248" s="1497"/>
      <c r="AP248" s="1497"/>
      <c r="AQ248" s="1497"/>
      <c r="AR248" s="1497"/>
      <c r="AS248" s="1497"/>
      <c r="AT248" s="1497"/>
      <c r="AU248" s="1497"/>
      <c r="AV248" s="1563"/>
      <c r="AW248" s="1563"/>
      <c r="AX248" s="1563"/>
      <c r="AY248" s="1563"/>
      <c r="AZ248" s="1563"/>
      <c r="BA248" s="1563"/>
      <c r="BB248" s="1563"/>
      <c r="BC248" s="1563"/>
      <c r="BD248" s="1568"/>
      <c r="BE248" s="1568"/>
      <c r="BF248" s="1568"/>
      <c r="BG248" s="1567"/>
      <c r="BH248" s="1567"/>
      <c r="BI248" s="1583"/>
      <c r="BJ248" s="1583"/>
      <c r="BK248" s="1583"/>
      <c r="BL248" s="1583"/>
      <c r="BM248" s="1586"/>
      <c r="BN248" s="1586"/>
      <c r="BO248" s="1586"/>
      <c r="BP248" s="1586"/>
      <c r="BQ248" s="1585"/>
      <c r="BR248" s="1585"/>
      <c r="BS248" s="1585"/>
      <c r="BT248" s="1585"/>
      <c r="BU248" s="1584" cm="1">
        <f t="array" aca="1" ref="BU248" ca="1">IF(M248="Default",1,IF(AND(C248="Portfolio loan - sub account",CF248=FALSE),0,IF(AND(AH248=2,AK248=1, VLOOKUP(U248,ApplicantList[],3,FALSE)="Non-applicant"),INDIRECT("ICApp" &amp; VLOOKUP(U248,ApplicantList[],2,FALSE) &amp; "HouseholdIncomeApportioningRatio"),IFERROR(MIN(ROUNDUP(MAX(SUM(Z248:AC253)+AN248,SUM(AD248:AG253)+AR248,(COUNTIF(Z248:AC253,"&gt;0")+AK248)/AH248),4),1),""))))</f>
        <v>1</v>
      </c>
      <c r="BV248" s="1584"/>
      <c r="BW248" s="1584"/>
      <c r="BX248" s="1584"/>
      <c r="BY248" s="1569">
        <f>IFERROR(ROUNDUP(CHOOSE(VLOOKUP(C248,ExistingShareableCommitmentTypeTable[],6,FALSE),MAX(BI248,PMT(CG248/12,CJ248,-AZ249))*BU248,MAX(BI248,(AZ249*CG248/12))*BU248,0,BI248*BU248,MAX(BI248,(AZ249*CG248))*BU248,AZ249*CG248*BU248,IF(CF248,MAX(CI248,PMT(CG248/12,240,-AZ249))*BU248,0)),2),0)</f>
        <v>0</v>
      </c>
      <c r="BZ248" s="1569"/>
      <c r="CA248" s="1569"/>
      <c r="CB248" s="1492"/>
      <c r="CC248" s="1306"/>
      <c r="CD248" s="654">
        <f ca="1">IFERROR(VLOOKUP(U248,ApplicantList[],2,FALSE),0)</f>
        <v>0</v>
      </c>
      <c r="CE248" s="1055">
        <f>IFERROR(MAX(AV248,AZ248),0)</f>
        <v>0</v>
      </c>
      <c r="CF248" s="1056" t="b">
        <f>IF(C248="Portfolio loan - sub account",IF(NOT(ISBLANK(BQ248)),IF(COUNTIF($BQ$140:$BQ$254,BQ248)&gt;1,IF(COUNTIFS(BQ$140:BQ248,BQ248,C$140:C248,"Portfolio loan - sub account")=1,TRUE,FALSE),TRUE),FALSE),FALSE)</f>
        <v>0</v>
      </c>
      <c r="CG248" s="1057">
        <f>IFERROR(IF(C248="",0,CHOOSE(VLOOKUP(C248,ExistingShareableCommitmentTypeTable[],7,FALSE),MAX(BD248+$BE$136,FloorRateMCAR,$CJ$136),MAX(BD248,VLOOKUP(C248,ExistingShareableCommitmentTypeTable[],2,FALSE)),VLOOKUP(C248,ExistingShareableCommitmentTypeTable[],2,FALSE),MAX(BD248+$BE$136,FloorRateMCIR,$CJ$136),MAX(CH248+$BE$136,FloorRateMCIR,$CJ$136))),0)</f>
        <v>0</v>
      </c>
      <c r="CH248" s="1057" cm="1">
        <f t="array" ref="CH248">_xlfn.AGGREGATE(14,4,($C$140:$C$259="Portfolio loan - sub account")*($BQ$140:$BQ$259=$BQ248)*$BD$140:$BD$259,1)</f>
        <v>0</v>
      </c>
      <c r="CI248" s="1061">
        <f>SUMIFS($BI$140:$BI$254,$BQ$140:$BQ$254,BQ248,$C$140:$C$254,"Portfolio loan - sub account")</f>
        <v>0</v>
      </c>
      <c r="CJ248" s="619" t="e">
        <f>IF(OR(BG248="",BG248=0),VLOOKUP(C248,ExistingShareableCommitmentTypeTable[],MATCH("DefaultTerm",ExistingShareableCommitmentTypeTable[#Headers],0),FALSE),BG248)</f>
        <v>#N/A</v>
      </c>
      <c r="CK248" s="530" t="str">
        <f>IFERROR(VLOOKUP($C248,ExistingShareableCommitmentTypeTable[],MATCH(CK$138,ExistingShareableCommitmentTypeTable[#Headers],0),FALSE),"No")</f>
        <v>No</v>
      </c>
      <c r="CL248" s="530" t="str">
        <f>IFERROR(VLOOKUP($C248,ExistingShareableCommitmentTypeTable[],MATCH(CL$138,ExistingShareableCommitmentTypeTable[#Headers],0),FALSE),"No")</f>
        <v>No</v>
      </c>
      <c r="CM248" s="530" t="str">
        <f>IFERROR(VLOOKUP($C248,ExistingShareableCommitmentTypeTable[],MATCH(CM$138,ExistingShareableCommitmentTypeTable[#Headers],0),FALSE),"No")</f>
        <v>No</v>
      </c>
    </row>
    <row r="249" spans="1:91" ht="18.75" hidden="1" customHeight="1" x14ac:dyDescent="0.25">
      <c r="A249" s="176"/>
      <c r="B249" s="77"/>
      <c r="C249" s="567"/>
      <c r="D249" s="568"/>
      <c r="E249" s="568"/>
      <c r="F249" s="568"/>
      <c r="G249" s="568"/>
      <c r="H249" s="568"/>
      <c r="I249" s="568"/>
      <c r="J249" s="568"/>
      <c r="K249" s="568"/>
      <c r="L249" s="568"/>
      <c r="M249" s="568"/>
      <c r="N249" s="568"/>
      <c r="O249" s="568"/>
      <c r="P249" s="568"/>
      <c r="Q249" s="568"/>
      <c r="R249" s="471"/>
      <c r="S249" s="471"/>
      <c r="T249" s="471"/>
      <c r="U249" s="1473"/>
      <c r="V249" s="1473"/>
      <c r="W249" s="1473"/>
      <c r="X249" s="1473"/>
      <c r="Y249" s="1473"/>
      <c r="Z249" s="1497"/>
      <c r="AA249" s="1497"/>
      <c r="AB249" s="1497"/>
      <c r="AC249" s="1497"/>
      <c r="AD249" s="1497"/>
      <c r="AE249" s="1497"/>
      <c r="AF249" s="1497"/>
      <c r="AG249" s="1497"/>
      <c r="AH249" s="541" t="b">
        <f>SUM(Z248:Z253,AN248)&gt;1</f>
        <v>0</v>
      </c>
      <c r="AI249" s="541" t="b">
        <f>SUM(AD248:AD253,AR248)&gt;1</f>
        <v>0</v>
      </c>
      <c r="AJ249" s="541" t="b">
        <f>AND(NOT(ISBLANK($AH248)),SUM($R248,$AK248)&gt;$AH248)</f>
        <v>0</v>
      </c>
      <c r="AK249" s="542"/>
      <c r="AL249" s="542"/>
      <c r="AM249" s="542"/>
      <c r="AN249" s="542"/>
      <c r="AO249" s="542"/>
      <c r="AP249" s="542"/>
      <c r="AQ249" s="542"/>
      <c r="AR249" s="542"/>
      <c r="AS249" s="542"/>
      <c r="AT249" s="542"/>
      <c r="AU249" s="542"/>
      <c r="AV249" s="1035"/>
      <c r="AW249" s="1035"/>
      <c r="AX249" s="1035"/>
      <c r="AY249" s="1035"/>
      <c r="AZ249" s="1564">
        <f>IFERROR(CHOOSE(VLOOKUP(C248,ExistingShareableCommitmentTypeTable[],8,FALSE),MAX(AV248,AZ248),AV248,SUMIFS($CE$140:$CE$254,$BQ$140:$BQ$254,BQ248,$C$140:$C$254,"Portfolio loan - sub account"),MAX(AV248,AZ248)-BM248),0)</f>
        <v>0</v>
      </c>
      <c r="BA249" s="1564"/>
      <c r="BB249" s="1564"/>
      <c r="BC249" s="1564"/>
      <c r="BD249" s="1582"/>
      <c r="BE249" s="1582"/>
      <c r="BF249" s="1582"/>
      <c r="BG249" s="1053"/>
      <c r="BH249" s="542"/>
      <c r="BI249" s="542"/>
      <c r="BJ249" s="542"/>
      <c r="BK249" s="542"/>
      <c r="BL249" s="542"/>
      <c r="BM249" s="542"/>
      <c r="BN249" s="542"/>
      <c r="BO249" s="542"/>
      <c r="BP249" s="542"/>
      <c r="BQ249" s="542"/>
      <c r="BR249" s="542"/>
      <c r="BS249" s="542"/>
      <c r="BT249" s="542"/>
      <c r="BU249" s="542"/>
      <c r="BV249" s="542"/>
      <c r="BW249" s="542"/>
      <c r="BX249" s="541"/>
      <c r="BY249" s="542"/>
      <c r="BZ249" s="542"/>
      <c r="CA249" s="542"/>
      <c r="CB249" s="542"/>
      <c r="CC249" s="550"/>
      <c r="CD249" s="654">
        <f ca="1">IFERROR(VLOOKUP(U249,ApplicantList[],2,FALSE),0)</f>
        <v>0</v>
      </c>
      <c r="CE249" s="1056"/>
      <c r="CF249" s="1056"/>
      <c r="CG249" s="1057"/>
      <c r="CH249" s="1057"/>
      <c r="CI249" s="398"/>
      <c r="CJ249" s="398"/>
    </row>
    <row r="250" spans="1:91" ht="18.75" hidden="1" customHeight="1" x14ac:dyDescent="0.25">
      <c r="A250" s="175"/>
      <c r="B250" s="78"/>
      <c r="C250" s="569"/>
      <c r="D250" s="570"/>
      <c r="E250" s="570"/>
      <c r="F250" s="570"/>
      <c r="G250" s="570"/>
      <c r="H250" s="570"/>
      <c r="I250" s="570"/>
      <c r="J250" s="570"/>
      <c r="K250" s="570"/>
      <c r="L250" s="570"/>
      <c r="M250" s="570"/>
      <c r="N250" s="570"/>
      <c r="O250" s="570"/>
      <c r="P250" s="570"/>
      <c r="Q250" s="570"/>
      <c r="R250" s="472"/>
      <c r="S250" s="472"/>
      <c r="T250" s="472"/>
      <c r="U250" s="1473"/>
      <c r="V250" s="1473"/>
      <c r="W250" s="1473"/>
      <c r="X250" s="1473"/>
      <c r="Y250" s="1473"/>
      <c r="Z250" s="1497"/>
      <c r="AA250" s="1497"/>
      <c r="AB250" s="1497"/>
      <c r="AC250" s="1497"/>
      <c r="AD250" s="1497"/>
      <c r="AE250" s="1497"/>
      <c r="AF250" s="1497"/>
      <c r="AG250" s="1497"/>
      <c r="AH250" s="544"/>
      <c r="AI250" s="541"/>
      <c r="AJ250" s="541"/>
      <c r="AK250" s="541"/>
      <c r="AL250" s="541"/>
      <c r="AM250" s="541"/>
      <c r="AN250" s="541"/>
      <c r="AO250" s="541"/>
      <c r="AP250" s="541"/>
      <c r="AQ250" s="541"/>
      <c r="AR250" s="541"/>
      <c r="AS250" s="541"/>
      <c r="AT250" s="541"/>
      <c r="AU250" s="541"/>
      <c r="AV250" s="1036"/>
      <c r="AW250" s="1036"/>
      <c r="AX250" s="1036"/>
      <c r="AY250" s="1036"/>
      <c r="AZ250" s="1559">
        <f>IFERROR(CHOOSE(VLOOKUP(C248,ExistingShareableCommitmentTypeTable[],9,FALSE),MAX(AV248,AZ248),0),0)</f>
        <v>0</v>
      </c>
      <c r="BA250" s="1559"/>
      <c r="BB250" s="1559"/>
      <c r="BC250" s="1559"/>
      <c r="BD250" s="541"/>
      <c r="BE250" s="541"/>
      <c r="BF250" s="541"/>
      <c r="BG250" s="541"/>
      <c r="BH250" s="541"/>
      <c r="BI250" s="541"/>
      <c r="BJ250" s="541"/>
      <c r="BK250" s="541"/>
      <c r="BL250" s="541"/>
      <c r="BM250" s="541"/>
      <c r="BN250" s="541"/>
      <c r="BO250" s="541"/>
      <c r="BP250" s="541"/>
      <c r="BQ250" s="541"/>
      <c r="BR250" s="541"/>
      <c r="BS250" s="541"/>
      <c r="BT250" s="541"/>
      <c r="BU250" s="541"/>
      <c r="BV250" s="541"/>
      <c r="BW250" s="541"/>
      <c r="BX250" s="541"/>
      <c r="BY250" s="541"/>
      <c r="BZ250" s="541"/>
      <c r="CA250" s="541"/>
      <c r="CB250" s="541"/>
      <c r="CC250" s="550"/>
      <c r="CD250" s="654">
        <f ca="1">IFERROR(VLOOKUP(U250,ApplicantList[],2,FALSE),0)</f>
        <v>0</v>
      </c>
      <c r="CE250" s="1056"/>
      <c r="CF250" s="1056"/>
      <c r="CG250" s="1057"/>
      <c r="CH250" s="1057"/>
      <c r="CI250" s="398"/>
      <c r="CJ250" s="398"/>
    </row>
    <row r="251" spans="1:91" ht="18.75" hidden="1" customHeight="1" x14ac:dyDescent="0.25">
      <c r="A251" s="176"/>
      <c r="B251" s="77"/>
      <c r="C251" s="569"/>
      <c r="D251" s="570"/>
      <c r="E251" s="570"/>
      <c r="F251" s="570"/>
      <c r="G251" s="570"/>
      <c r="H251" s="570"/>
      <c r="I251" s="570"/>
      <c r="J251" s="570"/>
      <c r="K251" s="570"/>
      <c r="L251" s="570"/>
      <c r="M251" s="570"/>
      <c r="N251" s="570"/>
      <c r="O251" s="570"/>
      <c r="P251" s="570"/>
      <c r="Q251" s="570"/>
      <c r="R251" s="472"/>
      <c r="S251" s="472"/>
      <c r="T251" s="472"/>
      <c r="U251" s="1473"/>
      <c r="V251" s="1473"/>
      <c r="W251" s="1473"/>
      <c r="X251" s="1473"/>
      <c r="Y251" s="1473"/>
      <c r="Z251" s="1497"/>
      <c r="AA251" s="1497"/>
      <c r="AB251" s="1497"/>
      <c r="AC251" s="1497"/>
      <c r="AD251" s="1497"/>
      <c r="AE251" s="1497"/>
      <c r="AF251" s="1497"/>
      <c r="AG251" s="1497"/>
      <c r="AH251" s="544"/>
      <c r="AI251" s="541"/>
      <c r="AJ251" s="541"/>
      <c r="AK251" s="541"/>
      <c r="AL251" s="541"/>
      <c r="AM251" s="541"/>
      <c r="AN251" s="541"/>
      <c r="AO251" s="541"/>
      <c r="AP251" s="541"/>
      <c r="AQ251" s="541"/>
      <c r="AR251" s="541"/>
      <c r="AS251" s="541"/>
      <c r="AT251" s="541"/>
      <c r="AU251" s="541"/>
      <c r="AV251" s="1036"/>
      <c r="AW251" s="1036"/>
      <c r="AX251" s="1036"/>
      <c r="AY251" s="1036"/>
      <c r="AZ251" s="1036"/>
      <c r="BA251" s="1036"/>
      <c r="BB251" s="1036"/>
      <c r="BC251" s="1036"/>
      <c r="BD251" s="541"/>
      <c r="BE251" s="541"/>
      <c r="BF251" s="541"/>
      <c r="BG251" s="541"/>
      <c r="BH251" s="541"/>
      <c r="BI251" s="541"/>
      <c r="BJ251" s="541"/>
      <c r="BK251" s="541"/>
      <c r="BL251" s="541"/>
      <c r="BM251" s="541"/>
      <c r="BN251" s="541"/>
      <c r="BO251" s="541"/>
      <c r="BP251" s="541"/>
      <c r="BQ251" s="541"/>
      <c r="BR251" s="541"/>
      <c r="BS251" s="541"/>
      <c r="BT251" s="541"/>
      <c r="BU251" s="541"/>
      <c r="BV251" s="541"/>
      <c r="BW251" s="541"/>
      <c r="BX251" s="541"/>
      <c r="BY251" s="541"/>
      <c r="BZ251" s="541"/>
      <c r="CA251" s="541"/>
      <c r="CB251" s="541"/>
      <c r="CC251" s="550"/>
      <c r="CD251" s="654">
        <f ca="1">IFERROR(VLOOKUP(U251,ApplicantList[],2,FALSE),0)</f>
        <v>0</v>
      </c>
      <c r="CE251" s="1056"/>
      <c r="CF251" s="1056"/>
      <c r="CG251" s="1057"/>
      <c r="CH251" s="1057"/>
      <c r="CI251" s="398"/>
      <c r="CJ251" s="398"/>
    </row>
    <row r="252" spans="1:91" ht="18.75" hidden="1" customHeight="1" x14ac:dyDescent="0.25">
      <c r="A252" s="176"/>
      <c r="B252" s="78"/>
      <c r="C252" s="569"/>
      <c r="D252" s="570"/>
      <c r="E252" s="570"/>
      <c r="F252" s="570"/>
      <c r="G252" s="570"/>
      <c r="H252" s="570"/>
      <c r="I252" s="570"/>
      <c r="J252" s="570"/>
      <c r="K252" s="570"/>
      <c r="L252" s="570"/>
      <c r="M252" s="570"/>
      <c r="N252" s="570"/>
      <c r="O252" s="570"/>
      <c r="P252" s="570"/>
      <c r="Q252" s="570"/>
      <c r="R252" s="472"/>
      <c r="S252" s="472"/>
      <c r="T252" s="472"/>
      <c r="U252" s="1473"/>
      <c r="V252" s="1473"/>
      <c r="W252" s="1473"/>
      <c r="X252" s="1473"/>
      <c r="Y252" s="1473"/>
      <c r="Z252" s="1497"/>
      <c r="AA252" s="1497"/>
      <c r="AB252" s="1497"/>
      <c r="AC252" s="1497"/>
      <c r="AD252" s="1497"/>
      <c r="AE252" s="1497"/>
      <c r="AF252" s="1497"/>
      <c r="AG252" s="1497"/>
      <c r="AH252" s="544"/>
      <c r="AI252" s="541"/>
      <c r="AJ252" s="541"/>
      <c r="AK252" s="541"/>
      <c r="AL252" s="541"/>
      <c r="AM252" s="541"/>
      <c r="AN252" s="541"/>
      <c r="AO252" s="541"/>
      <c r="AP252" s="541"/>
      <c r="AQ252" s="541"/>
      <c r="AR252" s="541"/>
      <c r="AS252" s="541"/>
      <c r="AT252" s="541"/>
      <c r="AU252" s="541"/>
      <c r="AV252" s="1036"/>
      <c r="AW252" s="1036"/>
      <c r="AX252" s="1036"/>
      <c r="AY252" s="1036"/>
      <c r="AZ252" s="1036"/>
      <c r="BA252" s="1036"/>
      <c r="BB252" s="1036"/>
      <c r="BC252" s="1036"/>
      <c r="BD252" s="541"/>
      <c r="BE252" s="541"/>
      <c r="BF252" s="541"/>
      <c r="BG252" s="541"/>
      <c r="BH252" s="541"/>
      <c r="BI252" s="541"/>
      <c r="BJ252" s="541"/>
      <c r="BK252" s="541"/>
      <c r="BL252" s="541"/>
      <c r="BM252" s="541"/>
      <c r="BN252" s="541"/>
      <c r="BO252" s="541"/>
      <c r="BP252" s="541"/>
      <c r="BQ252" s="541"/>
      <c r="BR252" s="541"/>
      <c r="BS252" s="541"/>
      <c r="BT252" s="541"/>
      <c r="BU252" s="541"/>
      <c r="BV252" s="541"/>
      <c r="BW252" s="541"/>
      <c r="BX252" s="541"/>
      <c r="BY252" s="541"/>
      <c r="BZ252" s="541"/>
      <c r="CA252" s="541"/>
      <c r="CB252" s="541"/>
      <c r="CC252" s="550"/>
      <c r="CD252" s="654">
        <f ca="1">IFERROR(VLOOKUP(U252,ApplicantList[],2,FALSE),0)</f>
        <v>0</v>
      </c>
      <c r="CE252" s="1056"/>
      <c r="CF252" s="1056"/>
      <c r="CG252" s="1057"/>
      <c r="CH252" s="1057"/>
      <c r="CI252" s="398"/>
      <c r="CJ252" s="398"/>
    </row>
    <row r="253" spans="1:91" ht="18.75" hidden="1" customHeight="1" x14ac:dyDescent="0.25">
      <c r="A253" s="176"/>
      <c r="B253" s="77"/>
      <c r="C253" s="571"/>
      <c r="D253" s="572"/>
      <c r="E253" s="572"/>
      <c r="F253" s="572"/>
      <c r="G253" s="572"/>
      <c r="H253" s="572"/>
      <c r="I253" s="572"/>
      <c r="J253" s="572"/>
      <c r="K253" s="572"/>
      <c r="L253" s="572"/>
      <c r="M253" s="572"/>
      <c r="N253" s="572"/>
      <c r="O253" s="572"/>
      <c r="P253" s="572"/>
      <c r="Q253" s="572"/>
      <c r="R253" s="473"/>
      <c r="S253" s="473"/>
      <c r="T253" s="473"/>
      <c r="U253" s="1473"/>
      <c r="V253" s="1473"/>
      <c r="W253" s="1473"/>
      <c r="X253" s="1473"/>
      <c r="Y253" s="1473"/>
      <c r="Z253" s="1497"/>
      <c r="AA253" s="1497"/>
      <c r="AB253" s="1497"/>
      <c r="AC253" s="1497"/>
      <c r="AD253" s="1497"/>
      <c r="AE253" s="1497"/>
      <c r="AF253" s="1497"/>
      <c r="AG253" s="1497"/>
      <c r="AH253" s="547"/>
      <c r="AI253" s="548"/>
      <c r="AJ253" s="548"/>
      <c r="AK253" s="548"/>
      <c r="AL253" s="548"/>
      <c r="AM253" s="548"/>
      <c r="AN253" s="548"/>
      <c r="AO253" s="548"/>
      <c r="AP253" s="548"/>
      <c r="AQ253" s="548"/>
      <c r="AR253" s="548"/>
      <c r="AS253" s="548"/>
      <c r="AT253" s="548"/>
      <c r="AU253" s="548"/>
      <c r="AV253" s="1037"/>
      <c r="AW253" s="1037"/>
      <c r="AX253" s="1037"/>
      <c r="AY253" s="1037"/>
      <c r="AZ253" s="1037"/>
      <c r="BA253" s="1037"/>
      <c r="BB253" s="1037"/>
      <c r="BC253" s="1037"/>
      <c r="BD253" s="548"/>
      <c r="BE253" s="548"/>
      <c r="BF253" s="548"/>
      <c r="BG253" s="548"/>
      <c r="BH253" s="548"/>
      <c r="BI253" s="548"/>
      <c r="BJ253" s="548"/>
      <c r="BK253" s="548"/>
      <c r="BL253" s="548"/>
      <c r="BM253" s="548"/>
      <c r="BN253" s="548"/>
      <c r="BO253" s="548"/>
      <c r="BP253" s="548"/>
      <c r="BQ253" s="548"/>
      <c r="BR253" s="548"/>
      <c r="BS253" s="548"/>
      <c r="BT253" s="548"/>
      <c r="BU253" s="548"/>
      <c r="BV253" s="548"/>
      <c r="BW253" s="548"/>
      <c r="BX253" s="548"/>
      <c r="BY253" s="548"/>
      <c r="BZ253" s="548"/>
      <c r="CA253" s="548"/>
      <c r="CB253" s="548"/>
      <c r="CC253" s="550"/>
      <c r="CD253" s="654">
        <f ca="1">IFERROR(VLOOKUP(U253,ApplicantList[],2,FALSE),0)</f>
        <v>0</v>
      </c>
      <c r="CE253" s="1056"/>
      <c r="CF253" s="1056"/>
      <c r="CG253" s="1057"/>
      <c r="CH253" s="1057"/>
      <c r="CI253" s="398"/>
      <c r="CJ253" s="398"/>
    </row>
    <row r="254" spans="1:91" ht="18.75" hidden="1" customHeight="1" x14ac:dyDescent="0.25">
      <c r="A254" s="175">
        <v>20</v>
      </c>
      <c r="B254" s="78"/>
      <c r="C254" s="1473"/>
      <c r="D254" s="1473"/>
      <c r="E254" s="1473"/>
      <c r="F254" s="1473"/>
      <c r="G254" s="1473"/>
      <c r="H254" s="1473"/>
      <c r="I254" s="1473"/>
      <c r="J254" s="1473"/>
      <c r="K254" s="1473"/>
      <c r="L254" s="1473"/>
      <c r="M254" s="1566" t="s">
        <v>373</v>
      </c>
      <c r="N254" s="1566"/>
      <c r="O254" s="1566"/>
      <c r="P254" s="1566"/>
      <c r="Q254" s="1566"/>
      <c r="R254" s="1566">
        <v>1</v>
      </c>
      <c r="S254" s="1566"/>
      <c r="T254" s="1566"/>
      <c r="U254" s="1473"/>
      <c r="V254" s="1473"/>
      <c r="W254" s="1473"/>
      <c r="X254" s="1473"/>
      <c r="Y254" s="1473"/>
      <c r="Z254" s="1497"/>
      <c r="AA254" s="1497"/>
      <c r="AB254" s="1497"/>
      <c r="AC254" s="1497"/>
      <c r="AD254" s="1497"/>
      <c r="AE254" s="1497"/>
      <c r="AF254" s="1497"/>
      <c r="AG254" s="1497"/>
      <c r="AH254" s="1556"/>
      <c r="AI254" s="1556"/>
      <c r="AJ254" s="1556"/>
      <c r="AK254" s="1556"/>
      <c r="AL254" s="1556"/>
      <c r="AM254" s="1556"/>
      <c r="AN254" s="1497"/>
      <c r="AO254" s="1497"/>
      <c r="AP254" s="1497"/>
      <c r="AQ254" s="1497"/>
      <c r="AR254" s="1497"/>
      <c r="AS254" s="1497"/>
      <c r="AT254" s="1497"/>
      <c r="AU254" s="1497"/>
      <c r="AV254" s="1563"/>
      <c r="AW254" s="1563"/>
      <c r="AX254" s="1563"/>
      <c r="AY254" s="1563"/>
      <c r="AZ254" s="1563"/>
      <c r="BA254" s="1563"/>
      <c r="BB254" s="1563"/>
      <c r="BC254" s="1563"/>
      <c r="BD254" s="1568"/>
      <c r="BE254" s="1568"/>
      <c r="BF254" s="1568"/>
      <c r="BG254" s="1567"/>
      <c r="BH254" s="1567"/>
      <c r="BI254" s="1583"/>
      <c r="BJ254" s="1583"/>
      <c r="BK254" s="1583"/>
      <c r="BL254" s="1583"/>
      <c r="BM254" s="1586"/>
      <c r="BN254" s="1586"/>
      <c r="BO254" s="1586"/>
      <c r="BP254" s="1586"/>
      <c r="BQ254" s="1585"/>
      <c r="BR254" s="1585"/>
      <c r="BS254" s="1585"/>
      <c r="BT254" s="1585"/>
      <c r="BU254" s="1584" cm="1">
        <f t="array" aca="1" ref="BU254" ca="1">IF(M254="Default",1,IF(AND(C254="Portfolio loan - sub account",CF254=FALSE),0,IF(AND(AH254=2,AK254=1, VLOOKUP(U254,ApplicantList[],3,FALSE)="Non-applicant"),INDIRECT("ICApp" &amp; VLOOKUP(U254,ApplicantList[],2,FALSE) &amp; "HouseholdIncomeApportioningRatio"),IFERROR(MIN(ROUNDUP(MAX(SUM(Z254:AC259)+AN254,SUM(AD254:AG259)+AR254,(COUNTIF(Z254:AC259,"&gt;0")+AK254)/AH254),4),1),""))))</f>
        <v>1</v>
      </c>
      <c r="BV254" s="1584"/>
      <c r="BW254" s="1584"/>
      <c r="BX254" s="1584"/>
      <c r="BY254" s="1569">
        <f>IFERROR(ROUNDUP(CHOOSE(VLOOKUP(C254,ExistingShareableCommitmentTypeTable[],6,FALSE),MAX(BI254,PMT(CG254/12,CJ254,-AZ255))*BU254,MAX(BI254,(AZ255*CG254/12))*BU254,0,BI254*BU254,MAX(BI254,(AZ255*CG254))*BU254,AZ255*CG254*BU254,IF(CF254,MAX(CI254,PMT(CG254/12,240,-AZ255))*BU254,0)),2),0)</f>
        <v>0</v>
      </c>
      <c r="BZ254" s="1569"/>
      <c r="CA254" s="1569"/>
      <c r="CB254" s="1492"/>
      <c r="CC254" s="1306"/>
      <c r="CD254" s="654">
        <f ca="1">IFERROR(VLOOKUP(U254,ApplicantList[],2,FALSE),0)</f>
        <v>0</v>
      </c>
      <c r="CE254" s="1055">
        <f>IFERROR(MAX(AV254,AZ254),0)</f>
        <v>0</v>
      </c>
      <c r="CF254" s="1056" t="b">
        <f>IF(C254="Portfolio loan - sub account",IF(NOT(ISBLANK(BQ254)),IF(COUNTIF($BQ$140:$BQ$254,BQ254)&gt;1,IF(COUNTIFS(BQ$140:BQ254,BQ254,C$140:C254,"Portfolio loan - sub account")=1,TRUE,FALSE),TRUE),FALSE),FALSE)</f>
        <v>0</v>
      </c>
      <c r="CG254" s="1057">
        <f>IFERROR(IF(C254="",0,CHOOSE(VLOOKUP(C254,ExistingShareableCommitmentTypeTable[],7,FALSE),MAX(BD254+$BE$136,FloorRateMCAR,$CJ$136),MAX(BD254,VLOOKUP(C254,ExistingShareableCommitmentTypeTable[],2,FALSE)),VLOOKUP(C254,ExistingShareableCommitmentTypeTable[],2,FALSE),MAX(BD254+$BE$136,FloorRateMCIR,$CJ$136),MAX(CH254+$BE$136,FloorRateMCIR,$CJ$136))),0)</f>
        <v>0</v>
      </c>
      <c r="CH254" s="1057" cm="1">
        <f t="array" ref="CH254">_xlfn.AGGREGATE(14,4,($C$140:$C$259="Portfolio loan - sub account")*($BQ$140:$BQ$259=$BQ254)*$BD$140:$BD$259,1)</f>
        <v>0</v>
      </c>
      <c r="CI254" s="1061">
        <f>SUMIFS($BI$140:$BI$254,$BQ$140:$BQ$254,BQ254,$C$140:$C$254,"Portfolio loan - sub account")</f>
        <v>0</v>
      </c>
      <c r="CJ254" s="619" t="e">
        <f>IF(OR(BG254="",BG254=0),VLOOKUP(C254,ExistingShareableCommitmentTypeTable[],MATCH("DefaultTerm",ExistingShareableCommitmentTypeTable[#Headers],0),FALSE),BG254)</f>
        <v>#N/A</v>
      </c>
      <c r="CK254" s="530" t="str">
        <f>IFERROR(VLOOKUP($C254,ExistingShareableCommitmentTypeTable[],MATCH(CK$138,ExistingShareableCommitmentTypeTable[#Headers],0),FALSE),"No")</f>
        <v>No</v>
      </c>
      <c r="CL254" s="530" t="str">
        <f>IFERROR(VLOOKUP($C254,ExistingShareableCommitmentTypeTable[],MATCH(CL$138,ExistingShareableCommitmentTypeTable[#Headers],0),FALSE),"No")</f>
        <v>No</v>
      </c>
      <c r="CM254" s="530" t="str">
        <f>IFERROR(VLOOKUP($C254,ExistingShareableCommitmentTypeTable[],MATCH(CM$138,ExistingShareableCommitmentTypeTable[#Headers],0),FALSE),"No")</f>
        <v>No</v>
      </c>
    </row>
    <row r="255" spans="1:91" ht="18.75" hidden="1" customHeight="1" x14ac:dyDescent="0.25">
      <c r="A255" s="174"/>
      <c r="B255" s="77"/>
      <c r="C255" s="567"/>
      <c r="D255" s="568"/>
      <c r="E255" s="568"/>
      <c r="F255" s="568"/>
      <c r="G255" s="568"/>
      <c r="H255" s="568"/>
      <c r="I255" s="568"/>
      <c r="J255" s="568"/>
      <c r="K255" s="568"/>
      <c r="L255" s="568"/>
      <c r="M255" s="568"/>
      <c r="N255" s="568"/>
      <c r="O255" s="568"/>
      <c r="P255" s="568"/>
      <c r="Q255" s="568"/>
      <c r="R255" s="471"/>
      <c r="S255" s="471"/>
      <c r="T255" s="471"/>
      <c r="U255" s="1473"/>
      <c r="V255" s="1473"/>
      <c r="W255" s="1473"/>
      <c r="X255" s="1473"/>
      <c r="Y255" s="1473"/>
      <c r="Z255" s="1497"/>
      <c r="AA255" s="1497"/>
      <c r="AB255" s="1497"/>
      <c r="AC255" s="1497"/>
      <c r="AD255" s="1497"/>
      <c r="AE255" s="1497"/>
      <c r="AF255" s="1497"/>
      <c r="AG255" s="1497"/>
      <c r="AH255" s="541" t="b">
        <f>SUM(Z254:Z259,AN254)&gt;1</f>
        <v>0</v>
      </c>
      <c r="AI255" s="541" t="b">
        <f>SUM(AD254:AD259,AR254)&gt;1</f>
        <v>0</v>
      </c>
      <c r="AJ255" s="541" t="b">
        <f>AND(NOT(ISBLANK($AH254)),SUM($R254,$AK254)&gt;$AH254)</f>
        <v>0</v>
      </c>
      <c r="AK255" s="542"/>
      <c r="AL255" s="542"/>
      <c r="AM255" s="542"/>
      <c r="AN255" s="542"/>
      <c r="AO255" s="542"/>
      <c r="AP255" s="542"/>
      <c r="AQ255" s="542"/>
      <c r="AR255" s="542"/>
      <c r="AS255" s="542"/>
      <c r="AT255" s="542"/>
      <c r="AU255" s="542"/>
      <c r="AV255" s="1035"/>
      <c r="AW255" s="1035"/>
      <c r="AX255" s="1035"/>
      <c r="AY255" s="1035"/>
      <c r="AZ255" s="1564">
        <f>IFERROR(CHOOSE(VLOOKUP(C254,ExistingShareableCommitmentTypeTable[],8,FALSE),MAX(AV254,AZ254),AV254,SUMIFS($CE$140:$CE$254,$BQ$140:$BQ$254,BQ254,$C$140:$C$254,"Portfolio loan - sub account"),MAX(AV254,AZ254)-BM254),0)</f>
        <v>0</v>
      </c>
      <c r="BA255" s="1564"/>
      <c r="BB255" s="1564"/>
      <c r="BC255" s="1564"/>
      <c r="BD255" s="1582"/>
      <c r="BE255" s="1582"/>
      <c r="BF255" s="1582"/>
      <c r="BG255" s="1053"/>
      <c r="BH255" s="542"/>
      <c r="BI255" s="542"/>
      <c r="BJ255" s="542"/>
      <c r="BK255" s="542"/>
      <c r="BL255" s="542"/>
      <c r="BM255" s="542"/>
      <c r="BN255" s="542"/>
      <c r="BO255" s="542"/>
      <c r="BP255" s="542"/>
      <c r="BQ255" s="542"/>
      <c r="BR255" s="542"/>
      <c r="BS255" s="542"/>
      <c r="BT255" s="542"/>
      <c r="BU255" s="542"/>
      <c r="BV255" s="542"/>
      <c r="BW255" s="542"/>
      <c r="BX255" s="541"/>
      <c r="BY255" s="542"/>
      <c r="BZ255" s="542"/>
      <c r="CA255" s="542"/>
      <c r="CB255" s="542"/>
      <c r="CC255" s="550"/>
      <c r="CD255" s="654">
        <f ca="1">IFERROR(VLOOKUP(U255,ApplicantList[],2,FALSE),0)</f>
        <v>0</v>
      </c>
      <c r="CE255" s="1056"/>
      <c r="CF255" s="1056"/>
      <c r="CG255" s="1057"/>
      <c r="CH255" s="1057"/>
      <c r="CI255" s="398"/>
      <c r="CJ255" s="398"/>
    </row>
    <row r="256" spans="1:91" ht="18.75" hidden="1" customHeight="1" x14ac:dyDescent="0.25">
      <c r="A256" s="174"/>
      <c r="B256" s="78"/>
      <c r="C256" s="569"/>
      <c r="D256" s="570"/>
      <c r="E256" s="570"/>
      <c r="F256" s="570"/>
      <c r="G256" s="570"/>
      <c r="H256" s="570"/>
      <c r="I256" s="570"/>
      <c r="J256" s="570"/>
      <c r="K256" s="570"/>
      <c r="L256" s="570"/>
      <c r="M256" s="570"/>
      <c r="N256" s="570"/>
      <c r="O256" s="570"/>
      <c r="P256" s="570"/>
      <c r="Q256" s="570"/>
      <c r="R256" s="472"/>
      <c r="S256" s="472"/>
      <c r="T256" s="472"/>
      <c r="U256" s="1473"/>
      <c r="V256" s="1473"/>
      <c r="W256" s="1473"/>
      <c r="X256" s="1473"/>
      <c r="Y256" s="1473"/>
      <c r="Z256" s="1497"/>
      <c r="AA256" s="1497"/>
      <c r="AB256" s="1497"/>
      <c r="AC256" s="1497"/>
      <c r="AD256" s="1497"/>
      <c r="AE256" s="1497"/>
      <c r="AF256" s="1497"/>
      <c r="AG256" s="1497"/>
      <c r="AH256" s="544"/>
      <c r="AI256" s="541"/>
      <c r="AJ256" s="541"/>
      <c r="AK256" s="541"/>
      <c r="AL256" s="541"/>
      <c r="AM256" s="541"/>
      <c r="AN256" s="541"/>
      <c r="AO256" s="541"/>
      <c r="AP256" s="541"/>
      <c r="AQ256" s="541"/>
      <c r="AR256" s="541"/>
      <c r="AS256" s="541"/>
      <c r="AT256" s="541"/>
      <c r="AU256" s="541"/>
      <c r="AV256" s="1036"/>
      <c r="AW256" s="1036"/>
      <c r="AX256" s="1036"/>
      <c r="AY256" s="1036"/>
      <c r="AZ256" s="1559">
        <f>IFERROR(CHOOSE(VLOOKUP(C254,ExistingShareableCommitmentTypeTable[],9,FALSE),MAX(AV254,AZ254),0),0)</f>
        <v>0</v>
      </c>
      <c r="BA256" s="1559"/>
      <c r="BB256" s="1559"/>
      <c r="BC256" s="1559"/>
      <c r="BD256" s="541"/>
      <c r="BE256" s="541"/>
      <c r="BF256" s="541"/>
      <c r="BG256" s="541"/>
      <c r="BH256" s="541"/>
      <c r="BI256" s="541"/>
      <c r="BJ256" s="541"/>
      <c r="BK256" s="541"/>
      <c r="BL256" s="541"/>
      <c r="BM256" s="541"/>
      <c r="BN256" s="541"/>
      <c r="BO256" s="541"/>
      <c r="BP256" s="541"/>
      <c r="BQ256" s="541"/>
      <c r="BR256" s="541"/>
      <c r="BS256" s="541"/>
      <c r="BT256" s="541"/>
      <c r="BU256" s="541"/>
      <c r="BV256" s="541"/>
      <c r="BW256" s="541"/>
      <c r="BX256" s="541"/>
      <c r="BY256" s="541"/>
      <c r="BZ256" s="541"/>
      <c r="CA256" s="541"/>
      <c r="CB256" s="541"/>
      <c r="CC256" s="550"/>
      <c r="CD256" s="654">
        <f ca="1">IFERROR(VLOOKUP(U256,ApplicantList[],2,FALSE),0)</f>
        <v>0</v>
      </c>
      <c r="CE256" s="1056"/>
      <c r="CF256" s="1056"/>
      <c r="CG256" s="1057"/>
      <c r="CH256" s="1057"/>
      <c r="CI256" s="398"/>
      <c r="CJ256" s="398"/>
    </row>
    <row r="257" spans="1:88" ht="18.75" hidden="1" customHeight="1" x14ac:dyDescent="0.25">
      <c r="A257" s="174"/>
      <c r="B257" s="77"/>
      <c r="C257" s="569"/>
      <c r="D257" s="570"/>
      <c r="E257" s="570"/>
      <c r="F257" s="570"/>
      <c r="G257" s="570"/>
      <c r="H257" s="570"/>
      <c r="I257" s="570"/>
      <c r="J257" s="570"/>
      <c r="K257" s="570"/>
      <c r="L257" s="570"/>
      <c r="M257" s="570"/>
      <c r="N257" s="570"/>
      <c r="O257" s="570"/>
      <c r="P257" s="570"/>
      <c r="Q257" s="570"/>
      <c r="R257" s="472"/>
      <c r="S257" s="472"/>
      <c r="T257" s="472"/>
      <c r="U257" s="1473"/>
      <c r="V257" s="1473"/>
      <c r="W257" s="1473"/>
      <c r="X257" s="1473"/>
      <c r="Y257" s="1473"/>
      <c r="Z257" s="1497"/>
      <c r="AA257" s="1497"/>
      <c r="AB257" s="1497"/>
      <c r="AC257" s="1497"/>
      <c r="AD257" s="1497"/>
      <c r="AE257" s="1497"/>
      <c r="AF257" s="1497"/>
      <c r="AG257" s="1497"/>
      <c r="AH257" s="544"/>
      <c r="AI257" s="541"/>
      <c r="AJ257" s="541"/>
      <c r="AK257" s="541"/>
      <c r="AL257" s="541"/>
      <c r="AM257" s="541"/>
      <c r="AN257" s="541"/>
      <c r="AO257" s="541"/>
      <c r="AP257" s="541"/>
      <c r="AQ257" s="541"/>
      <c r="AR257" s="541"/>
      <c r="AS257" s="541"/>
      <c r="AT257" s="541"/>
      <c r="AU257" s="541"/>
      <c r="AV257" s="1036"/>
      <c r="AW257" s="1036"/>
      <c r="AX257" s="1036"/>
      <c r="AY257" s="1036"/>
      <c r="AZ257" s="1036"/>
      <c r="BA257" s="1036"/>
      <c r="BB257" s="1036"/>
      <c r="BC257" s="1036"/>
      <c r="BD257" s="541"/>
      <c r="BE257" s="541"/>
      <c r="BF257" s="541"/>
      <c r="BG257" s="541"/>
      <c r="BH257" s="541"/>
      <c r="BI257" s="541"/>
      <c r="BJ257" s="541"/>
      <c r="BK257" s="541"/>
      <c r="BL257" s="541"/>
      <c r="BM257" s="541"/>
      <c r="BN257" s="541"/>
      <c r="BO257" s="541"/>
      <c r="BP257" s="541"/>
      <c r="BQ257" s="541"/>
      <c r="BR257" s="541"/>
      <c r="BS257" s="541"/>
      <c r="BT257" s="541"/>
      <c r="BU257" s="541"/>
      <c r="BV257" s="541"/>
      <c r="BW257" s="541"/>
      <c r="BX257" s="541"/>
      <c r="BY257" s="541"/>
      <c r="BZ257" s="541"/>
      <c r="CA257" s="541"/>
      <c r="CB257" s="541"/>
      <c r="CC257" s="550"/>
      <c r="CD257" s="654">
        <f ca="1">IFERROR(VLOOKUP(U257,ApplicantList[],2,FALSE),0)</f>
        <v>0</v>
      </c>
      <c r="CE257" s="1056"/>
      <c r="CF257" s="1056"/>
      <c r="CG257" s="1057"/>
      <c r="CH257" s="1057"/>
      <c r="CI257" s="398"/>
      <c r="CJ257" s="398"/>
    </row>
    <row r="258" spans="1:88" ht="18.75" hidden="1" customHeight="1" x14ac:dyDescent="0.25">
      <c r="A258" s="173"/>
      <c r="B258" s="78"/>
      <c r="C258" s="569"/>
      <c r="D258" s="570"/>
      <c r="E258" s="570"/>
      <c r="F258" s="570"/>
      <c r="G258" s="570"/>
      <c r="H258" s="570"/>
      <c r="I258" s="570"/>
      <c r="J258" s="570"/>
      <c r="K258" s="570"/>
      <c r="L258" s="570"/>
      <c r="M258" s="570"/>
      <c r="N258" s="570"/>
      <c r="O258" s="570"/>
      <c r="P258" s="570"/>
      <c r="Q258" s="570"/>
      <c r="R258" s="472"/>
      <c r="S258" s="472"/>
      <c r="T258" s="472"/>
      <c r="U258" s="1473"/>
      <c r="V258" s="1473"/>
      <c r="W258" s="1473"/>
      <c r="X258" s="1473"/>
      <c r="Y258" s="1473"/>
      <c r="Z258" s="1497"/>
      <c r="AA258" s="1497"/>
      <c r="AB258" s="1497"/>
      <c r="AC258" s="1497"/>
      <c r="AD258" s="1497"/>
      <c r="AE258" s="1497"/>
      <c r="AF258" s="1497"/>
      <c r="AG258" s="1497"/>
      <c r="AH258" s="544"/>
      <c r="AI258" s="541"/>
      <c r="AJ258" s="541"/>
      <c r="AK258" s="541"/>
      <c r="AL258" s="541"/>
      <c r="AM258" s="541"/>
      <c r="AN258" s="541"/>
      <c r="AO258" s="541"/>
      <c r="AP258" s="541"/>
      <c r="AQ258" s="541"/>
      <c r="AR258" s="541"/>
      <c r="AS258" s="541"/>
      <c r="AT258" s="541"/>
      <c r="AU258" s="541"/>
      <c r="AV258" s="1036"/>
      <c r="AW258" s="1036"/>
      <c r="AX258" s="1036"/>
      <c r="AY258" s="1036"/>
      <c r="AZ258" s="1036"/>
      <c r="BA258" s="1036"/>
      <c r="BB258" s="1036"/>
      <c r="BC258" s="1036"/>
      <c r="BD258" s="541"/>
      <c r="BE258" s="541"/>
      <c r="BF258" s="541"/>
      <c r="BG258" s="541"/>
      <c r="BH258" s="541"/>
      <c r="BI258" s="541"/>
      <c r="BJ258" s="541"/>
      <c r="BK258" s="541"/>
      <c r="BL258" s="541"/>
      <c r="BM258" s="541"/>
      <c r="BN258" s="541"/>
      <c r="BO258" s="541"/>
      <c r="BP258" s="541"/>
      <c r="BQ258" s="541"/>
      <c r="BR258" s="541"/>
      <c r="BS258" s="541"/>
      <c r="BT258" s="541"/>
      <c r="BU258" s="541"/>
      <c r="BV258" s="541"/>
      <c r="BW258" s="541"/>
      <c r="BX258" s="541"/>
      <c r="BY258" s="541"/>
      <c r="BZ258" s="541"/>
      <c r="CA258" s="541"/>
      <c r="CB258" s="541"/>
      <c r="CC258" s="550"/>
      <c r="CD258" s="654">
        <f ca="1">IFERROR(VLOOKUP(U258,ApplicantList[],2,FALSE),0)</f>
        <v>0</v>
      </c>
      <c r="CE258" s="1056"/>
      <c r="CF258" s="1056"/>
      <c r="CG258" s="1057"/>
      <c r="CH258" s="1057"/>
      <c r="CI258" s="398"/>
      <c r="CJ258" s="398"/>
    </row>
    <row r="259" spans="1:88" ht="18.75" hidden="1" customHeight="1" x14ac:dyDescent="0.25">
      <c r="A259" s="174"/>
      <c r="B259" s="77"/>
      <c r="C259" s="571"/>
      <c r="D259" s="572"/>
      <c r="E259" s="572"/>
      <c r="F259" s="572"/>
      <c r="G259" s="572"/>
      <c r="H259" s="572"/>
      <c r="I259" s="572"/>
      <c r="J259" s="572"/>
      <c r="K259" s="572"/>
      <c r="L259" s="572"/>
      <c r="M259" s="572"/>
      <c r="N259" s="572"/>
      <c r="O259" s="572"/>
      <c r="P259" s="572"/>
      <c r="Q259" s="572"/>
      <c r="R259" s="473"/>
      <c r="S259" s="473"/>
      <c r="T259" s="473"/>
      <c r="U259" s="1473"/>
      <c r="V259" s="1473"/>
      <c r="W259" s="1473"/>
      <c r="X259" s="1473"/>
      <c r="Y259" s="1473"/>
      <c r="Z259" s="1497"/>
      <c r="AA259" s="1497"/>
      <c r="AB259" s="1497"/>
      <c r="AC259" s="1497"/>
      <c r="AD259" s="1497"/>
      <c r="AE259" s="1497"/>
      <c r="AF259" s="1497"/>
      <c r="AG259" s="1497"/>
      <c r="AH259" s="547"/>
      <c r="AI259" s="548"/>
      <c r="AJ259" s="548"/>
      <c r="AK259" s="548"/>
      <c r="AL259" s="548"/>
      <c r="AM259" s="548"/>
      <c r="AN259" s="548"/>
      <c r="AO259" s="548"/>
      <c r="AP259" s="548"/>
      <c r="AQ259" s="548"/>
      <c r="AR259" s="548"/>
      <c r="AS259" s="548"/>
      <c r="AT259" s="548"/>
      <c r="AU259" s="548"/>
      <c r="AV259" s="1037"/>
      <c r="AW259" s="1037"/>
      <c r="AX259" s="1037"/>
      <c r="AY259" s="1037"/>
      <c r="AZ259" s="1037"/>
      <c r="BA259" s="1037"/>
      <c r="BB259" s="1037"/>
      <c r="BC259" s="1037"/>
      <c r="BD259" s="548"/>
      <c r="BE259" s="548"/>
      <c r="BF259" s="548"/>
      <c r="BG259" s="548"/>
      <c r="BH259" s="548"/>
      <c r="BI259" s="548"/>
      <c r="BJ259" s="548"/>
      <c r="BK259" s="548"/>
      <c r="BL259" s="548"/>
      <c r="BM259" s="548"/>
      <c r="BN259" s="548"/>
      <c r="BO259" s="548"/>
      <c r="BP259" s="548"/>
      <c r="BQ259" s="548"/>
      <c r="BR259" s="548"/>
      <c r="BS259" s="548"/>
      <c r="BT259" s="548"/>
      <c r="BU259" s="548"/>
      <c r="BV259" s="548"/>
      <c r="BW259" s="548"/>
      <c r="BX259" s="548"/>
      <c r="BY259" s="548"/>
      <c r="BZ259" s="548"/>
      <c r="CA259" s="548"/>
      <c r="CB259" s="548"/>
      <c r="CC259" s="551"/>
      <c r="CD259" s="654">
        <f ca="1">IFERROR(VLOOKUP(U259,ApplicantList[],2,FALSE),0)</f>
        <v>0</v>
      </c>
      <c r="CE259" s="1056"/>
      <c r="CF259" s="1056"/>
      <c r="CG259" s="1057"/>
      <c r="CH259" s="1057"/>
      <c r="CI259" s="398"/>
      <c r="CJ259" s="398"/>
    </row>
    <row r="260" spans="1:88" ht="39" customHeight="1" x14ac:dyDescent="0.25">
      <c r="A260" s="168">
        <f>SUBTOTAL(102,A140:A254)</f>
        <v>1</v>
      </c>
      <c r="B260" s="78"/>
      <c r="C260" s="651"/>
      <c r="D260" s="651"/>
      <c r="E260" s="651"/>
      <c r="F260" s="651"/>
      <c r="G260" s="651"/>
      <c r="H260" s="651"/>
      <c r="I260" s="177"/>
      <c r="J260" s="177"/>
      <c r="K260" s="177"/>
      <c r="L260" s="177"/>
      <c r="M260" s="177"/>
      <c r="N260" s="177"/>
      <c r="O260" s="177"/>
      <c r="P260" s="177"/>
      <c r="Q260" s="177"/>
      <c r="R260" s="177"/>
      <c r="S260" s="177"/>
      <c r="T260" s="177"/>
      <c r="U260" s="177"/>
      <c r="V260" s="177"/>
      <c r="W260" s="177"/>
      <c r="X260" s="177"/>
      <c r="Y260" s="177"/>
      <c r="Z260" s="177"/>
      <c r="AA260" s="177"/>
      <c r="AB260" s="177"/>
      <c r="AC260" s="177"/>
      <c r="AD260" s="177"/>
      <c r="AE260" s="177"/>
      <c r="AF260" s="177"/>
      <c r="AG260" s="177"/>
      <c r="AH260" s="177"/>
      <c r="AI260" s="177"/>
      <c r="AJ260" s="177"/>
      <c r="AK260" s="177"/>
      <c r="AL260" s="177"/>
      <c r="AM260" s="177"/>
      <c r="AN260" s="177"/>
      <c r="AO260" s="177"/>
      <c r="AP260" s="177"/>
      <c r="AQ260" s="177"/>
      <c r="AR260" s="177"/>
      <c r="AS260" s="177"/>
      <c r="AT260" s="177"/>
      <c r="AU260" s="177"/>
      <c r="AV260" s="177"/>
      <c r="AW260" s="177"/>
      <c r="AX260" s="177"/>
      <c r="AY260" s="177"/>
      <c r="AZ260" s="177"/>
      <c r="BA260" s="177"/>
      <c r="BB260" s="177"/>
      <c r="BC260" s="177"/>
      <c r="BD260" s="177"/>
      <c r="BE260" s="177"/>
      <c r="BF260" s="177"/>
      <c r="BG260" s="177"/>
      <c r="BH260" s="177"/>
      <c r="BI260" s="177"/>
      <c r="BJ260" s="177"/>
      <c r="BK260" s="177"/>
      <c r="BL260" s="177"/>
      <c r="BM260" s="177"/>
      <c r="BN260" s="177"/>
      <c r="BO260" s="177"/>
      <c r="BP260" s="177"/>
      <c r="BQ260" s="177"/>
      <c r="BR260" s="177"/>
      <c r="BS260" s="177"/>
      <c r="BT260" s="177"/>
      <c r="BU260" s="177"/>
      <c r="BV260" s="652"/>
      <c r="BW260" s="177"/>
      <c r="BX260" s="177"/>
      <c r="BY260" s="177"/>
      <c r="BZ260" s="177"/>
      <c r="CA260" s="177"/>
      <c r="CB260" s="177"/>
      <c r="CC260" s="177"/>
    </row>
    <row r="261" spans="1:88" ht="22.5" customHeight="1" x14ac:dyDescent="0.25">
      <c r="A261" s="8"/>
      <c r="B261" s="91" t="s">
        <v>816</v>
      </c>
      <c r="C261" s="163"/>
      <c r="D261" s="163"/>
      <c r="E261" s="163"/>
      <c r="F261" s="163"/>
      <c r="G261" s="163"/>
      <c r="H261" s="163"/>
      <c r="I261" s="163"/>
      <c r="J261" s="163"/>
      <c r="K261" s="163"/>
      <c r="L261" s="163"/>
      <c r="M261" s="163"/>
      <c r="N261" s="163"/>
      <c r="O261" s="163"/>
      <c r="P261" s="163"/>
      <c r="Q261" s="163"/>
      <c r="R261" s="163"/>
      <c r="S261" s="163"/>
      <c r="T261" s="163"/>
      <c r="U261" s="163"/>
      <c r="V261" s="163"/>
      <c r="W261" s="163"/>
      <c r="X261" s="163"/>
      <c r="BC261" s="153"/>
      <c r="BD261" s="153"/>
      <c r="BE261" s="153"/>
      <c r="BF261" s="153"/>
      <c r="BG261" s="153"/>
      <c r="BH261" s="153"/>
      <c r="BI261" s="153"/>
      <c r="BJ261" s="153"/>
      <c r="BK261" s="153"/>
      <c r="BL261" s="153"/>
      <c r="BM261" s="153"/>
      <c r="BN261" s="153"/>
      <c r="BO261" s="153"/>
      <c r="BP261" s="153"/>
      <c r="BQ261" s="153"/>
      <c r="BR261" s="153"/>
      <c r="BS261" s="153"/>
      <c r="BT261" s="153"/>
      <c r="BU261" s="153"/>
      <c r="BV261" s="10"/>
    </row>
    <row r="262" spans="1:88" ht="39.75" customHeight="1" x14ac:dyDescent="0.25">
      <c r="A262" s="18"/>
      <c r="B262" s="77"/>
      <c r="C262" s="167" t="s">
        <v>362</v>
      </c>
      <c r="D262" s="172"/>
      <c r="E262" s="172"/>
      <c r="F262" s="172"/>
      <c r="G262" s="172"/>
      <c r="H262" s="172"/>
      <c r="I262" s="114"/>
      <c r="J262" s="114"/>
      <c r="K262" s="114"/>
      <c r="L262" s="114"/>
      <c r="M262" s="114"/>
      <c r="N262" s="1565" t="s">
        <v>252</v>
      </c>
      <c r="O262" s="1565"/>
      <c r="P262" s="1565"/>
      <c r="Q262" s="1565"/>
      <c r="R262" s="1565"/>
      <c r="S262" s="1558" t="s">
        <v>931</v>
      </c>
      <c r="T262" s="1558"/>
      <c r="U262" s="1558"/>
      <c r="V262" s="1558"/>
      <c r="W262" s="1558" t="s">
        <v>1293</v>
      </c>
      <c r="X262" s="1558"/>
      <c r="Y262" s="1558"/>
      <c r="Z262" s="1558"/>
      <c r="AA262" s="1558" t="s">
        <v>363</v>
      </c>
      <c r="AB262" s="1558"/>
      <c r="AC262" s="1558"/>
      <c r="AD262" s="1558"/>
      <c r="AE262" s="1558" t="s">
        <v>368</v>
      </c>
      <c r="AF262" s="1558"/>
      <c r="AG262" s="1558"/>
      <c r="AH262" s="1558"/>
      <c r="AI262" s="1558"/>
      <c r="AJ262" s="1558" t="s">
        <v>1455</v>
      </c>
      <c r="AK262" s="1558"/>
      <c r="AL262" s="1558"/>
      <c r="AM262" s="1558"/>
      <c r="AO262" s="167" t="s">
        <v>927</v>
      </c>
      <c r="AR262" s="398"/>
      <c r="AS262" s="414"/>
      <c r="AY262" s="414"/>
      <c r="AZ262" s="414"/>
      <c r="BA262" s="414"/>
      <c r="BB262" s="414"/>
      <c r="BC262" s="414"/>
      <c r="BD262" s="414"/>
      <c r="BE262" s="414"/>
      <c r="BF262" s="414"/>
    </row>
    <row r="263" spans="1:88" ht="7.5" customHeight="1" x14ac:dyDescent="0.25">
      <c r="A263" s="18"/>
      <c r="B263" s="77"/>
      <c r="C263" s="77"/>
      <c r="D263" s="77"/>
      <c r="E263" s="77"/>
      <c r="F263" s="77"/>
      <c r="G263" s="77"/>
      <c r="H263" s="77"/>
      <c r="AR263" s="398"/>
      <c r="AS263" s="414"/>
      <c r="AT263" s="414"/>
      <c r="AU263" s="414"/>
      <c r="AV263" s="414"/>
      <c r="AW263" s="414"/>
      <c r="AX263" s="414"/>
      <c r="AY263" s="414"/>
      <c r="AZ263" s="414"/>
      <c r="BA263" s="414"/>
      <c r="BB263" s="414"/>
      <c r="BC263" s="414"/>
      <c r="BD263" s="414"/>
      <c r="BE263" s="414"/>
      <c r="BF263" s="414"/>
    </row>
    <row r="264" spans="1:88" ht="18.75" customHeight="1" x14ac:dyDescent="0.25">
      <c r="A264" s="175">
        <v>1</v>
      </c>
      <c r="B264" s="78"/>
      <c r="C264" s="1473"/>
      <c r="D264" s="1473"/>
      <c r="E264" s="1473"/>
      <c r="F264" s="1473"/>
      <c r="G264" s="1473"/>
      <c r="H264" s="1473"/>
      <c r="I264" s="1473"/>
      <c r="J264" s="1473"/>
      <c r="K264" s="1473"/>
      <c r="L264" s="1473"/>
      <c r="M264" s="1473"/>
      <c r="N264" s="1473"/>
      <c r="O264" s="1473"/>
      <c r="P264" s="1473"/>
      <c r="Q264" s="1473"/>
      <c r="R264" s="1473"/>
      <c r="S264" s="1587"/>
      <c r="T264" s="1588"/>
      <c r="U264" s="1588"/>
      <c r="V264" s="1589"/>
      <c r="W264" s="1496"/>
      <c r="X264" s="1496"/>
      <c r="Y264" s="1496"/>
      <c r="Z264" s="1496"/>
      <c r="AA264" s="1496"/>
      <c r="AB264" s="1496"/>
      <c r="AC264" s="1496"/>
      <c r="AD264" s="1496"/>
      <c r="AE264" s="1492">
        <f>IFERROR(ROUNDUP(CHOOSE(VLOOKUP(C264,ExistingNonShareableCommitmentTypeTable[],6,FALSE),IF(ISBLANK(S264),0,(BE264 * VLOOKUP(BE264,STSLRepaymentRateTable[],3,TRUE)/12)),0,AA264,MAX(AA264,MAX(S264:Z264)*VLOOKUP(C264,ExistingNonShareableCommitmentTypeTable[],2,FALSE))),2),0)</f>
        <v>0</v>
      </c>
      <c r="AF264" s="1493"/>
      <c r="AG264" s="1493"/>
      <c r="AH264" s="1493"/>
      <c r="AI264" s="1494"/>
      <c r="AJ264" s="1495" t="str" cm="1">
        <f t="array" aca="1" ref="AJ264" ca="1">IFERROR(IF(C264="Study and training support loan",INDIRECT("STSLRemainingTermApp"&amp;BC264),""),"")</f>
        <v/>
      </c>
      <c r="AK264" s="1495"/>
      <c r="AL264" s="1495"/>
      <c r="AM264" s="1495"/>
      <c r="AN264" s="88"/>
      <c r="AO264" s="1544"/>
      <c r="AP264" s="1545"/>
      <c r="AQ264" s="1545"/>
      <c r="AR264" s="1545"/>
      <c r="AS264" s="1545"/>
      <c r="AT264" s="1545"/>
      <c r="AU264" s="1545"/>
      <c r="AV264" s="1545"/>
      <c r="AW264" s="1545"/>
      <c r="AX264" s="1545"/>
      <c r="AY264" s="1545"/>
      <c r="AZ264" s="1546"/>
      <c r="BC264" s="552">
        <f ca="1">IFERROR(VLOOKUP(N264,ApplicantList[],2,FALSE),0)</f>
        <v>0</v>
      </c>
      <c r="BD264" s="463"/>
      <c r="BE264" s="463" cm="1">
        <f t="array" aca="1" ref="BE264" ca="1">IFERROR(INDIRECT("ICApp" &amp; BC264 &amp; "IncomeSTSL"),0)</f>
        <v>0</v>
      </c>
      <c r="BF264" s="463"/>
      <c r="BG264" s="552">
        <f>IFERROR(CHOOSE(VLOOKUP(C264,ExistingNonShareableCommitmentTypeTable[],7,FALSE),S264,MAX(S264,W264)),0)</f>
        <v>0</v>
      </c>
    </row>
    <row r="265" spans="1:88" ht="18.75" hidden="1" customHeight="1" x14ac:dyDescent="0.25">
      <c r="A265" s="175">
        <v>2</v>
      </c>
      <c r="B265" s="78"/>
      <c r="C265" s="1473"/>
      <c r="D265" s="1473"/>
      <c r="E265" s="1473"/>
      <c r="F265" s="1473"/>
      <c r="G265" s="1473"/>
      <c r="H265" s="1473"/>
      <c r="I265" s="1473"/>
      <c r="J265" s="1473"/>
      <c r="K265" s="1473"/>
      <c r="L265" s="1473"/>
      <c r="M265" s="1473"/>
      <c r="N265" s="1473"/>
      <c r="O265" s="1473"/>
      <c r="P265" s="1473"/>
      <c r="Q265" s="1473"/>
      <c r="R265" s="1473"/>
      <c r="S265" s="1496"/>
      <c r="T265" s="1496"/>
      <c r="U265" s="1496"/>
      <c r="V265" s="1496"/>
      <c r="W265" s="1496"/>
      <c r="X265" s="1496"/>
      <c r="Y265" s="1496"/>
      <c r="Z265" s="1496"/>
      <c r="AA265" s="1496"/>
      <c r="AB265" s="1496"/>
      <c r="AC265" s="1496"/>
      <c r="AD265" s="1496"/>
      <c r="AE265" s="1492">
        <f>IFERROR(ROUNDUP(CHOOSE(VLOOKUP(C265,ExistingNonShareableCommitmentTypeTable[],6,FALSE),IF(ISBLANK(S265),0,(BE265 * VLOOKUP(BE265,STSLRepaymentRateTable[],3,TRUE)/12)),0,AA265,MAX(AA265,MAX(S265:Z265)*VLOOKUP(C265,ExistingNonShareableCommitmentTypeTable[],2,FALSE))),2),0)</f>
        <v>0</v>
      </c>
      <c r="AF265" s="1493"/>
      <c r="AG265" s="1493"/>
      <c r="AH265" s="1493"/>
      <c r="AI265" s="1494"/>
      <c r="AJ265" s="1495" t="str" cm="1">
        <f t="array" aca="1" ref="AJ265" ca="1">IFERROR(IF(C265="Study and training support loan",INDIRECT("STSLRemainingTermApp"&amp;BC265),""),"")</f>
        <v/>
      </c>
      <c r="AK265" s="1495"/>
      <c r="AL265" s="1495"/>
      <c r="AM265" s="1495"/>
      <c r="AN265" s="88"/>
      <c r="AO265" s="1544"/>
      <c r="AP265" s="1545"/>
      <c r="AQ265" s="1545"/>
      <c r="AR265" s="1545"/>
      <c r="AS265" s="1545"/>
      <c r="AT265" s="1545"/>
      <c r="AU265" s="1545"/>
      <c r="AV265" s="1545"/>
      <c r="AW265" s="1545"/>
      <c r="AX265" s="1545"/>
      <c r="AY265" s="1545"/>
      <c r="AZ265" s="1546"/>
      <c r="BC265" s="552">
        <f ca="1">IFERROR(VLOOKUP(N265,ApplicantList[],2,FALSE),0)</f>
        <v>0</v>
      </c>
      <c r="BD265" s="463"/>
      <c r="BE265" s="463" cm="1">
        <f t="array" aca="1" ref="BE265" ca="1">IFERROR(INDIRECT("ICApp" &amp; BC265 &amp; "IncomeSTSL"),0)</f>
        <v>0</v>
      </c>
      <c r="BF265" s="463"/>
      <c r="BG265" s="552">
        <f>IFERROR(CHOOSE(VLOOKUP(C265,ExistingNonShareableCommitmentTypeTable[],7,FALSE),S265,MAX(S265,W265)),0)</f>
        <v>0</v>
      </c>
    </row>
    <row r="266" spans="1:88" ht="18.75" hidden="1" customHeight="1" x14ac:dyDescent="0.25">
      <c r="A266" s="175">
        <v>3</v>
      </c>
      <c r="B266" s="78"/>
      <c r="C266" s="1473"/>
      <c r="D266" s="1473"/>
      <c r="E266" s="1473"/>
      <c r="F266" s="1473"/>
      <c r="G266" s="1473"/>
      <c r="H266" s="1473"/>
      <c r="I266" s="1473"/>
      <c r="J266" s="1473"/>
      <c r="K266" s="1473"/>
      <c r="L266" s="1473"/>
      <c r="M266" s="1473"/>
      <c r="N266" s="1473"/>
      <c r="O266" s="1473"/>
      <c r="P266" s="1473"/>
      <c r="Q266" s="1473"/>
      <c r="R266" s="1473"/>
      <c r="S266" s="1496"/>
      <c r="T266" s="1496"/>
      <c r="U266" s="1496"/>
      <c r="V266" s="1496"/>
      <c r="W266" s="1496"/>
      <c r="X266" s="1496"/>
      <c r="Y266" s="1496"/>
      <c r="Z266" s="1496"/>
      <c r="AA266" s="1496"/>
      <c r="AB266" s="1496"/>
      <c r="AC266" s="1496"/>
      <c r="AD266" s="1496"/>
      <c r="AE266" s="1492">
        <f>IFERROR(ROUNDUP(CHOOSE(VLOOKUP(C266,ExistingNonShareableCommitmentTypeTable[],6,FALSE),IF(ISBLANK(S266),0,(BE266 * VLOOKUP(BE266,STSLRepaymentRateTable[],3,TRUE)/12)),0,AA266,MAX(AA266,MAX(S266:Z266)*VLOOKUP(C266,ExistingNonShareableCommitmentTypeTable[],2,FALSE))),2),0)</f>
        <v>0</v>
      </c>
      <c r="AF266" s="1493"/>
      <c r="AG266" s="1493"/>
      <c r="AH266" s="1493"/>
      <c r="AI266" s="1494"/>
      <c r="AJ266" s="1495" t="str" cm="1">
        <f t="array" aca="1" ref="AJ266" ca="1">IFERROR(IF(C266="Study and training support loan",INDIRECT("STSLRemainingTermApp"&amp;BC266),""),"")</f>
        <v/>
      </c>
      <c r="AK266" s="1495"/>
      <c r="AL266" s="1495"/>
      <c r="AM266" s="1495"/>
      <c r="AN266" s="88"/>
      <c r="AO266" s="1544"/>
      <c r="AP266" s="1545"/>
      <c r="AQ266" s="1545"/>
      <c r="AR266" s="1545"/>
      <c r="AS266" s="1545"/>
      <c r="AT266" s="1545"/>
      <c r="AU266" s="1545"/>
      <c r="AV266" s="1545"/>
      <c r="AW266" s="1545"/>
      <c r="AX266" s="1545"/>
      <c r="AY266" s="1545"/>
      <c r="AZ266" s="1546"/>
      <c r="BC266" s="552">
        <f ca="1">IFERROR(VLOOKUP(N266,ApplicantList[],2,FALSE),0)</f>
        <v>0</v>
      </c>
      <c r="BD266" s="463"/>
      <c r="BE266" s="463" cm="1">
        <f t="array" aca="1" ref="BE266" ca="1">IFERROR(INDIRECT("ICApp" &amp; BC266 &amp; "IncomeSTSL"),0)</f>
        <v>0</v>
      </c>
      <c r="BF266" s="463"/>
      <c r="BG266" s="552">
        <f>IFERROR(CHOOSE(VLOOKUP(C266,ExistingNonShareableCommitmentTypeTable[],7,FALSE),S266,MAX(S266,W266)),0)</f>
        <v>0</v>
      </c>
    </row>
    <row r="267" spans="1:88" ht="18.75" hidden="1" customHeight="1" x14ac:dyDescent="0.25">
      <c r="A267" s="175">
        <v>4</v>
      </c>
      <c r="B267" s="78"/>
      <c r="C267" s="1473"/>
      <c r="D267" s="1473"/>
      <c r="E267" s="1473"/>
      <c r="F267" s="1473"/>
      <c r="G267" s="1473"/>
      <c r="H267" s="1473"/>
      <c r="I267" s="1473"/>
      <c r="J267" s="1473"/>
      <c r="K267" s="1473"/>
      <c r="L267" s="1473"/>
      <c r="M267" s="1473"/>
      <c r="N267" s="1473"/>
      <c r="O267" s="1473"/>
      <c r="P267" s="1473"/>
      <c r="Q267" s="1473"/>
      <c r="R267" s="1473"/>
      <c r="S267" s="1496"/>
      <c r="T267" s="1496"/>
      <c r="U267" s="1496"/>
      <c r="V267" s="1496"/>
      <c r="W267" s="1496"/>
      <c r="X267" s="1496"/>
      <c r="Y267" s="1496"/>
      <c r="Z267" s="1496"/>
      <c r="AA267" s="1496"/>
      <c r="AB267" s="1496"/>
      <c r="AC267" s="1496"/>
      <c r="AD267" s="1496"/>
      <c r="AE267" s="1492">
        <f>IFERROR(ROUNDUP(CHOOSE(VLOOKUP(C267,ExistingNonShareableCommitmentTypeTable[],6,FALSE),IF(ISBLANK(S267),0,(BE267 * VLOOKUP(BE267,STSLRepaymentRateTable[],3,TRUE)/12)),0,AA267,MAX(AA267,MAX(S267:Z267)*VLOOKUP(C267,ExistingNonShareableCommitmentTypeTable[],2,FALSE))),2),0)</f>
        <v>0</v>
      </c>
      <c r="AF267" s="1493"/>
      <c r="AG267" s="1493"/>
      <c r="AH267" s="1493"/>
      <c r="AI267" s="1494"/>
      <c r="AJ267" s="1495" t="str" cm="1">
        <f t="array" aca="1" ref="AJ267" ca="1">IFERROR(IF(C267="Study and training support loan",INDIRECT("STSLRemainingTermApp"&amp;BC267),""),"")</f>
        <v/>
      </c>
      <c r="AK267" s="1495"/>
      <c r="AL267" s="1495"/>
      <c r="AM267" s="1495"/>
      <c r="AN267" s="88"/>
      <c r="AO267" s="1544"/>
      <c r="AP267" s="1545"/>
      <c r="AQ267" s="1545"/>
      <c r="AR267" s="1545"/>
      <c r="AS267" s="1545"/>
      <c r="AT267" s="1545"/>
      <c r="AU267" s="1545"/>
      <c r="AV267" s="1545"/>
      <c r="AW267" s="1545"/>
      <c r="AX267" s="1545"/>
      <c r="AY267" s="1545"/>
      <c r="AZ267" s="1546"/>
      <c r="BC267" s="552">
        <f ca="1">IFERROR(VLOOKUP(N267,ApplicantList[],2,FALSE),0)</f>
        <v>0</v>
      </c>
      <c r="BD267" s="463"/>
      <c r="BE267" s="463" cm="1">
        <f t="array" aca="1" ref="BE267" ca="1">IFERROR(INDIRECT("ICApp" &amp; BC267 &amp; "IncomeSTSL"),0)</f>
        <v>0</v>
      </c>
      <c r="BF267" s="463"/>
      <c r="BG267" s="552">
        <f>IFERROR(CHOOSE(VLOOKUP(C267,ExistingNonShareableCommitmentTypeTable[],7,FALSE),S267,MAX(S267,W267)),0)</f>
        <v>0</v>
      </c>
    </row>
    <row r="268" spans="1:88" ht="18.75" hidden="1" customHeight="1" x14ac:dyDescent="0.25">
      <c r="A268" s="175">
        <v>5</v>
      </c>
      <c r="B268" s="78"/>
      <c r="C268" s="1473"/>
      <c r="D268" s="1473"/>
      <c r="E268" s="1473"/>
      <c r="F268" s="1473"/>
      <c r="G268" s="1473"/>
      <c r="H268" s="1473"/>
      <c r="I268" s="1473"/>
      <c r="J268" s="1473"/>
      <c r="K268" s="1473"/>
      <c r="L268" s="1473"/>
      <c r="M268" s="1473"/>
      <c r="N268" s="1473"/>
      <c r="O268" s="1473"/>
      <c r="P268" s="1473"/>
      <c r="Q268" s="1473"/>
      <c r="R268" s="1473"/>
      <c r="S268" s="1496"/>
      <c r="T268" s="1496"/>
      <c r="U268" s="1496"/>
      <c r="V268" s="1496"/>
      <c r="W268" s="1496"/>
      <c r="X268" s="1496"/>
      <c r="Y268" s="1496"/>
      <c r="Z268" s="1496"/>
      <c r="AA268" s="1496"/>
      <c r="AB268" s="1496"/>
      <c r="AC268" s="1496"/>
      <c r="AD268" s="1496"/>
      <c r="AE268" s="1492">
        <f>IFERROR(ROUNDUP(CHOOSE(VLOOKUP(C268,ExistingNonShareableCommitmentTypeTable[],6,FALSE),IF(ISBLANK(S268),0,(BE268 * VLOOKUP(BE268,STSLRepaymentRateTable[],3,TRUE)/12)),0,AA268,MAX(AA268,MAX(S268:Z268)*VLOOKUP(C268,ExistingNonShareableCommitmentTypeTable[],2,FALSE))),2),0)</f>
        <v>0</v>
      </c>
      <c r="AF268" s="1493"/>
      <c r="AG268" s="1493"/>
      <c r="AH268" s="1493"/>
      <c r="AI268" s="1494"/>
      <c r="AJ268" s="1495" t="str" cm="1">
        <f t="array" aca="1" ref="AJ268" ca="1">IFERROR(IF(C268="Study and training support loan",INDIRECT("STSLRemainingTermApp"&amp;BC268),""),"")</f>
        <v/>
      </c>
      <c r="AK268" s="1495"/>
      <c r="AL268" s="1495"/>
      <c r="AM268" s="1495"/>
      <c r="AN268" s="88"/>
      <c r="AO268" s="1544"/>
      <c r="AP268" s="1545"/>
      <c r="AQ268" s="1545"/>
      <c r="AR268" s="1545"/>
      <c r="AS268" s="1545"/>
      <c r="AT268" s="1545"/>
      <c r="AU268" s="1545"/>
      <c r="AV268" s="1545"/>
      <c r="AW268" s="1545"/>
      <c r="AX268" s="1545"/>
      <c r="AY268" s="1545"/>
      <c r="AZ268" s="1546"/>
      <c r="BC268" s="552">
        <f ca="1">IFERROR(VLOOKUP(N268,ApplicantList[],2,FALSE),0)</f>
        <v>0</v>
      </c>
      <c r="BD268" s="463"/>
      <c r="BE268" s="463" cm="1">
        <f t="array" aca="1" ref="BE268" ca="1">IFERROR(INDIRECT("ICApp" &amp; BC268 &amp; "IncomeSTSL"),0)</f>
        <v>0</v>
      </c>
      <c r="BF268" s="463"/>
      <c r="BG268" s="552">
        <f>IFERROR(CHOOSE(VLOOKUP(C268,ExistingNonShareableCommitmentTypeTable[],7,FALSE),S268,MAX(S268,W268)),0)</f>
        <v>0</v>
      </c>
    </row>
    <row r="269" spans="1:88" ht="18.75" hidden="1" customHeight="1" x14ac:dyDescent="0.25">
      <c r="A269" s="175">
        <v>6</v>
      </c>
      <c r="B269" s="78"/>
      <c r="C269" s="1473"/>
      <c r="D269" s="1473"/>
      <c r="E269" s="1473"/>
      <c r="F269" s="1473"/>
      <c r="G269" s="1473"/>
      <c r="H269" s="1473"/>
      <c r="I269" s="1473"/>
      <c r="J269" s="1473"/>
      <c r="K269" s="1473"/>
      <c r="L269" s="1473"/>
      <c r="M269" s="1473"/>
      <c r="N269" s="1473"/>
      <c r="O269" s="1473"/>
      <c r="P269" s="1473"/>
      <c r="Q269" s="1473"/>
      <c r="R269" s="1473"/>
      <c r="S269" s="1496"/>
      <c r="T269" s="1496"/>
      <c r="U269" s="1496"/>
      <c r="V269" s="1496"/>
      <c r="W269" s="1496"/>
      <c r="X269" s="1496"/>
      <c r="Y269" s="1496"/>
      <c r="Z269" s="1496"/>
      <c r="AA269" s="1496"/>
      <c r="AB269" s="1496"/>
      <c r="AC269" s="1496"/>
      <c r="AD269" s="1496"/>
      <c r="AE269" s="1492">
        <f>IFERROR(ROUNDUP(CHOOSE(VLOOKUP(C269,ExistingNonShareableCommitmentTypeTable[],6,FALSE),IF(ISBLANK(S269),0,(BE269 * VLOOKUP(BE269,STSLRepaymentRateTable[],3,TRUE)/12)),0,AA269,MAX(AA269,MAX(S269:Z269)*VLOOKUP(C269,ExistingNonShareableCommitmentTypeTable[],2,FALSE))),2),0)</f>
        <v>0</v>
      </c>
      <c r="AF269" s="1493"/>
      <c r="AG269" s="1493"/>
      <c r="AH269" s="1493"/>
      <c r="AI269" s="1494"/>
      <c r="AJ269" s="1495" t="str" cm="1">
        <f t="array" aca="1" ref="AJ269" ca="1">IFERROR(IF(C269="Study and training support loan",INDIRECT("STSLRemainingTermApp"&amp;BC269),""),"")</f>
        <v/>
      </c>
      <c r="AK269" s="1495"/>
      <c r="AL269" s="1495"/>
      <c r="AM269" s="1495"/>
      <c r="AN269" s="88"/>
      <c r="AO269" s="1544"/>
      <c r="AP269" s="1545"/>
      <c r="AQ269" s="1545"/>
      <c r="AR269" s="1545"/>
      <c r="AS269" s="1545"/>
      <c r="AT269" s="1545"/>
      <c r="AU269" s="1545"/>
      <c r="AV269" s="1545"/>
      <c r="AW269" s="1545"/>
      <c r="AX269" s="1545"/>
      <c r="AY269" s="1545"/>
      <c r="AZ269" s="1546"/>
      <c r="BC269" s="552">
        <f ca="1">IFERROR(VLOOKUP(N269,ApplicantList[],2,FALSE),0)</f>
        <v>0</v>
      </c>
      <c r="BD269" s="463"/>
      <c r="BE269" s="463" cm="1">
        <f t="array" aca="1" ref="BE269" ca="1">IFERROR(INDIRECT("ICApp" &amp; BC269 &amp; "IncomeSTSL"),0)</f>
        <v>0</v>
      </c>
      <c r="BF269" s="463"/>
      <c r="BG269" s="552">
        <f>IFERROR(CHOOSE(VLOOKUP(C269,ExistingNonShareableCommitmentTypeTable[],7,FALSE),S269,MAX(S269,W269)),0)</f>
        <v>0</v>
      </c>
    </row>
    <row r="270" spans="1:88" ht="18.75" hidden="1" customHeight="1" x14ac:dyDescent="0.25">
      <c r="A270" s="175">
        <v>7</v>
      </c>
      <c r="B270" s="78"/>
      <c r="C270" s="1473"/>
      <c r="D270" s="1473"/>
      <c r="E270" s="1473"/>
      <c r="F270" s="1473"/>
      <c r="G270" s="1473"/>
      <c r="H270" s="1473"/>
      <c r="I270" s="1473"/>
      <c r="J270" s="1473"/>
      <c r="K270" s="1473"/>
      <c r="L270" s="1473"/>
      <c r="M270" s="1473"/>
      <c r="N270" s="1473"/>
      <c r="O270" s="1473"/>
      <c r="P270" s="1473"/>
      <c r="Q270" s="1473"/>
      <c r="R270" s="1473"/>
      <c r="S270" s="1496"/>
      <c r="T270" s="1496"/>
      <c r="U270" s="1496"/>
      <c r="V270" s="1496"/>
      <c r="W270" s="1496"/>
      <c r="X270" s="1496"/>
      <c r="Y270" s="1496"/>
      <c r="Z270" s="1496"/>
      <c r="AA270" s="1496"/>
      <c r="AB270" s="1496"/>
      <c r="AC270" s="1496"/>
      <c r="AD270" s="1496"/>
      <c r="AE270" s="1492">
        <f>IFERROR(ROUNDUP(CHOOSE(VLOOKUP(C270,ExistingNonShareableCommitmentTypeTable[],6,FALSE),IF(ISBLANK(S270),0,(BE270 * VLOOKUP(BE270,STSLRepaymentRateTable[],3,TRUE)/12)),0,AA270,MAX(AA270,MAX(S270:Z270)*VLOOKUP(C270,ExistingNonShareableCommitmentTypeTable[],2,FALSE))),2),0)</f>
        <v>0</v>
      </c>
      <c r="AF270" s="1493"/>
      <c r="AG270" s="1493"/>
      <c r="AH270" s="1493"/>
      <c r="AI270" s="1494"/>
      <c r="AJ270" s="1495" t="str" cm="1">
        <f t="array" aca="1" ref="AJ270" ca="1">IFERROR(IF(C270="Study and training support loan",INDIRECT("STSLRemainingTermApp"&amp;BC270),""),"")</f>
        <v/>
      </c>
      <c r="AK270" s="1495"/>
      <c r="AL270" s="1495"/>
      <c r="AM270" s="1495"/>
      <c r="AN270" s="88"/>
      <c r="AO270" s="1544"/>
      <c r="AP270" s="1545"/>
      <c r="AQ270" s="1545"/>
      <c r="AR270" s="1545"/>
      <c r="AS270" s="1545"/>
      <c r="AT270" s="1545"/>
      <c r="AU270" s="1545"/>
      <c r="AV270" s="1545"/>
      <c r="AW270" s="1545"/>
      <c r="AX270" s="1545"/>
      <c r="AY270" s="1545"/>
      <c r="AZ270" s="1546"/>
      <c r="BC270" s="552">
        <f ca="1">IFERROR(VLOOKUP(N270,ApplicantList[],2,FALSE),0)</f>
        <v>0</v>
      </c>
      <c r="BD270" s="463"/>
      <c r="BE270" s="463" cm="1">
        <f t="array" aca="1" ref="BE270" ca="1">IFERROR(INDIRECT("ICApp" &amp; BC270 &amp; "IncomeSTSL"),0)</f>
        <v>0</v>
      </c>
      <c r="BF270" s="463"/>
      <c r="BG270" s="552">
        <f>IFERROR(CHOOSE(VLOOKUP(C270,ExistingNonShareableCommitmentTypeTable[],7,FALSE),S270,MAX(S270,W270)),0)</f>
        <v>0</v>
      </c>
    </row>
    <row r="271" spans="1:88" ht="18.75" hidden="1" customHeight="1" x14ac:dyDescent="0.25">
      <c r="A271" s="175">
        <v>8</v>
      </c>
      <c r="B271" s="78"/>
      <c r="C271" s="1473"/>
      <c r="D271" s="1473"/>
      <c r="E271" s="1473"/>
      <c r="F271" s="1473"/>
      <c r="G271" s="1473"/>
      <c r="H271" s="1473"/>
      <c r="I271" s="1473"/>
      <c r="J271" s="1473"/>
      <c r="K271" s="1473"/>
      <c r="L271" s="1473"/>
      <c r="M271" s="1473"/>
      <c r="N271" s="1473"/>
      <c r="O271" s="1473"/>
      <c r="P271" s="1473"/>
      <c r="Q271" s="1473"/>
      <c r="R271" s="1473"/>
      <c r="S271" s="1496"/>
      <c r="T271" s="1496"/>
      <c r="U271" s="1496"/>
      <c r="V271" s="1496"/>
      <c r="W271" s="1496"/>
      <c r="X271" s="1496"/>
      <c r="Y271" s="1496"/>
      <c r="Z271" s="1496"/>
      <c r="AA271" s="1496"/>
      <c r="AB271" s="1496"/>
      <c r="AC271" s="1496"/>
      <c r="AD271" s="1496"/>
      <c r="AE271" s="1492">
        <f>IFERROR(ROUNDUP(CHOOSE(VLOOKUP(C271,ExistingNonShareableCommitmentTypeTable[],6,FALSE),IF(ISBLANK(S271),0,(BE271 * VLOOKUP(BE271,STSLRepaymentRateTable[],3,TRUE)/12)),0,AA271,MAX(AA271,MAX(S271:Z271)*VLOOKUP(C271,ExistingNonShareableCommitmentTypeTable[],2,FALSE))),2),0)</f>
        <v>0</v>
      </c>
      <c r="AF271" s="1493"/>
      <c r="AG271" s="1493"/>
      <c r="AH271" s="1493"/>
      <c r="AI271" s="1494"/>
      <c r="AJ271" s="1495" t="str" cm="1">
        <f t="array" aca="1" ref="AJ271" ca="1">IFERROR(IF(C271="Study and training support loan",INDIRECT("STSLRemainingTermApp"&amp;BC271),""),"")</f>
        <v/>
      </c>
      <c r="AK271" s="1495"/>
      <c r="AL271" s="1495"/>
      <c r="AM271" s="1495"/>
      <c r="AN271" s="88"/>
      <c r="AO271" s="1544"/>
      <c r="AP271" s="1545"/>
      <c r="AQ271" s="1545"/>
      <c r="AR271" s="1545"/>
      <c r="AS271" s="1545"/>
      <c r="AT271" s="1545"/>
      <c r="AU271" s="1545"/>
      <c r="AV271" s="1545"/>
      <c r="AW271" s="1545"/>
      <c r="AX271" s="1545"/>
      <c r="AY271" s="1545"/>
      <c r="AZ271" s="1546"/>
      <c r="BC271" s="552">
        <f ca="1">IFERROR(VLOOKUP(N271,ApplicantList[],2,FALSE),0)</f>
        <v>0</v>
      </c>
      <c r="BD271" s="463"/>
      <c r="BE271" s="463" cm="1">
        <f t="array" aca="1" ref="BE271" ca="1">IFERROR(INDIRECT("ICApp" &amp; BC271 &amp; "IncomeSTSL"),0)</f>
        <v>0</v>
      </c>
      <c r="BF271" s="463"/>
      <c r="BG271" s="552">
        <f>IFERROR(CHOOSE(VLOOKUP(C271,ExistingNonShareableCommitmentTypeTable[],7,FALSE),S271,MAX(S271,W271)),0)</f>
        <v>0</v>
      </c>
    </row>
    <row r="272" spans="1:88" ht="18.75" hidden="1" customHeight="1" x14ac:dyDescent="0.25">
      <c r="A272" s="175">
        <v>9</v>
      </c>
      <c r="B272" s="78"/>
      <c r="C272" s="1473"/>
      <c r="D272" s="1473"/>
      <c r="E272" s="1473"/>
      <c r="F272" s="1473"/>
      <c r="G272" s="1473"/>
      <c r="H272" s="1473"/>
      <c r="I272" s="1473"/>
      <c r="J272" s="1473"/>
      <c r="K272" s="1473"/>
      <c r="L272" s="1473"/>
      <c r="M272" s="1473"/>
      <c r="N272" s="1473"/>
      <c r="O272" s="1473"/>
      <c r="P272" s="1473"/>
      <c r="Q272" s="1473"/>
      <c r="R272" s="1473"/>
      <c r="S272" s="1496"/>
      <c r="T272" s="1496"/>
      <c r="U272" s="1496"/>
      <c r="V272" s="1496"/>
      <c r="W272" s="1496"/>
      <c r="X272" s="1496"/>
      <c r="Y272" s="1496"/>
      <c r="Z272" s="1496"/>
      <c r="AA272" s="1496"/>
      <c r="AB272" s="1496"/>
      <c r="AC272" s="1496"/>
      <c r="AD272" s="1496"/>
      <c r="AE272" s="1492">
        <f>IFERROR(ROUNDUP(CHOOSE(VLOOKUP(C272,ExistingNonShareableCommitmentTypeTable[],6,FALSE),IF(ISBLANK(S272),0,(BE272 * VLOOKUP(BE272,STSLRepaymentRateTable[],3,TRUE)/12)),0,AA272,MAX(AA272,MAX(S272:Z272)*VLOOKUP(C272,ExistingNonShareableCommitmentTypeTable[],2,FALSE))),2),0)</f>
        <v>0</v>
      </c>
      <c r="AF272" s="1493"/>
      <c r="AG272" s="1493"/>
      <c r="AH272" s="1493"/>
      <c r="AI272" s="1494"/>
      <c r="AJ272" s="1495" t="str" cm="1">
        <f t="array" aca="1" ref="AJ272" ca="1">IFERROR(IF(C272="Study and training support loan",INDIRECT("STSLRemainingTermApp"&amp;BC272),""),"")</f>
        <v/>
      </c>
      <c r="AK272" s="1495"/>
      <c r="AL272" s="1495"/>
      <c r="AM272" s="1495"/>
      <c r="AN272" s="88"/>
      <c r="AO272" s="1544"/>
      <c r="AP272" s="1545"/>
      <c r="AQ272" s="1545"/>
      <c r="AR272" s="1545"/>
      <c r="AS272" s="1545"/>
      <c r="AT272" s="1545"/>
      <c r="AU272" s="1545"/>
      <c r="AV272" s="1545"/>
      <c r="AW272" s="1545"/>
      <c r="AX272" s="1545"/>
      <c r="AY272" s="1545"/>
      <c r="AZ272" s="1546"/>
      <c r="BC272" s="552">
        <f ca="1">IFERROR(VLOOKUP(N272,ApplicantList[],2,FALSE),0)</f>
        <v>0</v>
      </c>
      <c r="BD272" s="463"/>
      <c r="BE272" s="463" cm="1">
        <f t="array" aca="1" ref="BE272" ca="1">IFERROR(INDIRECT("ICApp" &amp; BC272 &amp; "IncomeSTSL"),0)</f>
        <v>0</v>
      </c>
      <c r="BF272" s="463"/>
      <c r="BG272" s="552">
        <f>IFERROR(CHOOSE(VLOOKUP(C272,ExistingNonShareableCommitmentTypeTable[],7,FALSE),S272,MAX(S272,W272)),0)</f>
        <v>0</v>
      </c>
    </row>
    <row r="273" spans="1:82" ht="18.75" hidden="1" customHeight="1" x14ac:dyDescent="0.25">
      <c r="A273" s="175">
        <v>10</v>
      </c>
      <c r="B273" s="78"/>
      <c r="C273" s="1473"/>
      <c r="D273" s="1473"/>
      <c r="E273" s="1473"/>
      <c r="F273" s="1473"/>
      <c r="G273" s="1473"/>
      <c r="H273" s="1473"/>
      <c r="I273" s="1473"/>
      <c r="J273" s="1473"/>
      <c r="K273" s="1473"/>
      <c r="L273" s="1473"/>
      <c r="M273" s="1473"/>
      <c r="N273" s="1473"/>
      <c r="O273" s="1473"/>
      <c r="P273" s="1473"/>
      <c r="Q273" s="1473"/>
      <c r="R273" s="1473"/>
      <c r="S273" s="1496"/>
      <c r="T273" s="1496"/>
      <c r="U273" s="1496"/>
      <c r="V273" s="1496"/>
      <c r="W273" s="1496"/>
      <c r="X273" s="1496"/>
      <c r="Y273" s="1496"/>
      <c r="Z273" s="1496"/>
      <c r="AA273" s="1496"/>
      <c r="AB273" s="1496"/>
      <c r="AC273" s="1496"/>
      <c r="AD273" s="1496"/>
      <c r="AE273" s="1492">
        <f>IFERROR(ROUNDUP(CHOOSE(VLOOKUP(C273,ExistingNonShareableCommitmentTypeTable[],6,FALSE),IF(ISBLANK(S273),0,(BE273 * VLOOKUP(BE273,STSLRepaymentRateTable[],3,TRUE)/12)),0,AA273,MAX(AA273,MAX(S273:Z273)*VLOOKUP(C273,ExistingNonShareableCommitmentTypeTable[],2,FALSE))),2),0)</f>
        <v>0</v>
      </c>
      <c r="AF273" s="1493"/>
      <c r="AG273" s="1493"/>
      <c r="AH273" s="1493"/>
      <c r="AI273" s="1494"/>
      <c r="AJ273" s="1495" t="str" cm="1">
        <f t="array" aca="1" ref="AJ273" ca="1">IFERROR(IF(C273="Study and training support loan",INDIRECT("STSLRemainingTermApp"&amp;BC273),""),"")</f>
        <v/>
      </c>
      <c r="AK273" s="1495"/>
      <c r="AL273" s="1495"/>
      <c r="AM273" s="1495"/>
      <c r="AN273" s="88"/>
      <c r="AO273" s="1544"/>
      <c r="AP273" s="1545"/>
      <c r="AQ273" s="1545"/>
      <c r="AR273" s="1545"/>
      <c r="AS273" s="1545"/>
      <c r="AT273" s="1545"/>
      <c r="AU273" s="1545"/>
      <c r="AV273" s="1545"/>
      <c r="AW273" s="1545"/>
      <c r="AX273" s="1545"/>
      <c r="AY273" s="1545"/>
      <c r="AZ273" s="1546"/>
      <c r="BC273" s="552">
        <f ca="1">IFERROR(VLOOKUP(N273,ApplicantList[],2,FALSE),0)</f>
        <v>0</v>
      </c>
      <c r="BD273" s="463"/>
      <c r="BE273" s="463" cm="1">
        <f t="array" aca="1" ref="BE273" ca="1">IFERROR(INDIRECT("ICApp" &amp; BC273 &amp; "IncomeSTSL"),0)</f>
        <v>0</v>
      </c>
      <c r="BF273" s="463"/>
      <c r="BG273" s="552">
        <f>IFERROR(CHOOSE(VLOOKUP(C273,ExistingNonShareableCommitmentTypeTable[],7,FALSE),S273,MAX(S273,W273)),0)</f>
        <v>0</v>
      </c>
    </row>
    <row r="274" spans="1:82" ht="18.75" hidden="1" customHeight="1" x14ac:dyDescent="0.25">
      <c r="A274" s="175">
        <v>11</v>
      </c>
      <c r="B274" s="78"/>
      <c r="C274" s="1473"/>
      <c r="D274" s="1473"/>
      <c r="E274" s="1473"/>
      <c r="F274" s="1473"/>
      <c r="G274" s="1473"/>
      <c r="H274" s="1473"/>
      <c r="I274" s="1473"/>
      <c r="J274" s="1473"/>
      <c r="K274" s="1473"/>
      <c r="L274" s="1473"/>
      <c r="M274" s="1473"/>
      <c r="N274" s="1473"/>
      <c r="O274" s="1473"/>
      <c r="P274" s="1473"/>
      <c r="Q274" s="1473"/>
      <c r="R274" s="1473"/>
      <c r="S274" s="1496"/>
      <c r="T274" s="1496"/>
      <c r="U274" s="1496"/>
      <c r="V274" s="1496"/>
      <c r="W274" s="1496"/>
      <c r="X274" s="1496"/>
      <c r="Y274" s="1496"/>
      <c r="Z274" s="1496"/>
      <c r="AA274" s="1496"/>
      <c r="AB274" s="1496"/>
      <c r="AC274" s="1496"/>
      <c r="AD274" s="1496"/>
      <c r="AE274" s="1492">
        <f>IFERROR(ROUNDUP(CHOOSE(VLOOKUP(C274,ExistingNonShareableCommitmentTypeTable[],6,FALSE),IF(ISBLANK(S274),0,(BE274 * VLOOKUP(BE274,STSLRepaymentRateTable[],3,TRUE)/12)),0,AA274,MAX(AA274,MAX(S274:Z274)*VLOOKUP(C274,ExistingNonShareableCommitmentTypeTable[],2,FALSE))),2),0)</f>
        <v>0</v>
      </c>
      <c r="AF274" s="1493"/>
      <c r="AG274" s="1493"/>
      <c r="AH274" s="1493"/>
      <c r="AI274" s="1494"/>
      <c r="AJ274" s="1495" t="str" cm="1">
        <f t="array" aca="1" ref="AJ274" ca="1">IFERROR(IF(C274="Study and training support loan",INDIRECT("STSLRemainingTermApp"&amp;BC274),""),"")</f>
        <v/>
      </c>
      <c r="AK274" s="1495"/>
      <c r="AL274" s="1495"/>
      <c r="AM274" s="1495"/>
      <c r="AN274" s="88"/>
      <c r="AO274" s="1544"/>
      <c r="AP274" s="1545"/>
      <c r="AQ274" s="1545"/>
      <c r="AR274" s="1545"/>
      <c r="AS274" s="1545"/>
      <c r="AT274" s="1545"/>
      <c r="AU274" s="1545"/>
      <c r="AV274" s="1545"/>
      <c r="AW274" s="1545"/>
      <c r="AX274" s="1545"/>
      <c r="AY274" s="1545"/>
      <c r="AZ274" s="1546"/>
      <c r="BC274" s="552">
        <f ca="1">IFERROR(VLOOKUP(N274,ApplicantList[],2,FALSE),0)</f>
        <v>0</v>
      </c>
      <c r="BD274" s="463"/>
      <c r="BE274" s="463" cm="1">
        <f t="array" aca="1" ref="BE274" ca="1">IFERROR(INDIRECT("ICApp" &amp; BC274 &amp; "IncomeSTSL"),0)</f>
        <v>0</v>
      </c>
      <c r="BF274" s="463"/>
      <c r="BG274" s="552">
        <f>IFERROR(CHOOSE(VLOOKUP(C274,ExistingNonShareableCommitmentTypeTable[],7,FALSE),S274,MAX(S274,W274)),0)</f>
        <v>0</v>
      </c>
    </row>
    <row r="275" spans="1:82" ht="18.75" hidden="1" customHeight="1" x14ac:dyDescent="0.25">
      <c r="A275" s="175">
        <v>12</v>
      </c>
      <c r="B275" s="78"/>
      <c r="C275" s="1473"/>
      <c r="D275" s="1473"/>
      <c r="E275" s="1473"/>
      <c r="F275" s="1473"/>
      <c r="G275" s="1473"/>
      <c r="H275" s="1473"/>
      <c r="I275" s="1473"/>
      <c r="J275" s="1473"/>
      <c r="K275" s="1473"/>
      <c r="L275" s="1473"/>
      <c r="M275" s="1473"/>
      <c r="N275" s="1473"/>
      <c r="O275" s="1473"/>
      <c r="P275" s="1473"/>
      <c r="Q275" s="1473"/>
      <c r="R275" s="1473"/>
      <c r="S275" s="1496"/>
      <c r="T275" s="1496"/>
      <c r="U275" s="1496"/>
      <c r="V275" s="1496"/>
      <c r="W275" s="1496"/>
      <c r="X275" s="1496"/>
      <c r="Y275" s="1496"/>
      <c r="Z275" s="1496"/>
      <c r="AA275" s="1496"/>
      <c r="AB275" s="1496"/>
      <c r="AC275" s="1496"/>
      <c r="AD275" s="1496"/>
      <c r="AE275" s="1492">
        <f>IFERROR(ROUNDUP(CHOOSE(VLOOKUP(C275,ExistingNonShareableCommitmentTypeTable[],6,FALSE),IF(ISBLANK(S275),0,(BE275 * VLOOKUP(BE275,STSLRepaymentRateTable[],3,TRUE)/12)),0,AA275,MAX(AA275,MAX(S275:Z275)*VLOOKUP(C275,ExistingNonShareableCommitmentTypeTable[],2,FALSE))),2),0)</f>
        <v>0</v>
      </c>
      <c r="AF275" s="1493"/>
      <c r="AG275" s="1493"/>
      <c r="AH275" s="1493"/>
      <c r="AI275" s="1494"/>
      <c r="AJ275" s="1495" t="str" cm="1">
        <f t="array" aca="1" ref="AJ275" ca="1">IFERROR(IF(C275="Study and training support loan",INDIRECT("STSLRemainingTermApp"&amp;BC275),""),"")</f>
        <v/>
      </c>
      <c r="AK275" s="1495"/>
      <c r="AL275" s="1495"/>
      <c r="AM275" s="1495"/>
      <c r="AN275" s="88"/>
      <c r="AO275" s="1544"/>
      <c r="AP275" s="1545"/>
      <c r="AQ275" s="1545"/>
      <c r="AR275" s="1545"/>
      <c r="AS275" s="1545"/>
      <c r="AT275" s="1545"/>
      <c r="AU275" s="1545"/>
      <c r="AV275" s="1545"/>
      <c r="AW275" s="1545"/>
      <c r="AX275" s="1545"/>
      <c r="AY275" s="1545"/>
      <c r="AZ275" s="1546"/>
      <c r="BC275" s="552">
        <f ca="1">IFERROR(VLOOKUP(N275,ApplicantList[],2,FALSE),0)</f>
        <v>0</v>
      </c>
      <c r="BD275" s="463"/>
      <c r="BE275" s="463" cm="1">
        <f t="array" aca="1" ref="BE275" ca="1">IFERROR(INDIRECT("ICApp" &amp; BC275 &amp; "IncomeSTSL"),0)</f>
        <v>0</v>
      </c>
      <c r="BF275" s="463"/>
      <c r="BG275" s="552">
        <f>IFERROR(CHOOSE(VLOOKUP(C275,ExistingNonShareableCommitmentTypeTable[],7,FALSE),S275,MAX(S275,W275)),0)</f>
        <v>0</v>
      </c>
    </row>
    <row r="276" spans="1:82" ht="18.75" hidden="1" customHeight="1" x14ac:dyDescent="0.25">
      <c r="A276" s="175">
        <v>13</v>
      </c>
      <c r="B276" s="78"/>
      <c r="C276" s="1473"/>
      <c r="D276" s="1473"/>
      <c r="E276" s="1473"/>
      <c r="F276" s="1473"/>
      <c r="G276" s="1473"/>
      <c r="H276" s="1473"/>
      <c r="I276" s="1473"/>
      <c r="J276" s="1473"/>
      <c r="K276" s="1473"/>
      <c r="L276" s="1473"/>
      <c r="M276" s="1473"/>
      <c r="N276" s="1473"/>
      <c r="O276" s="1473"/>
      <c r="P276" s="1473"/>
      <c r="Q276" s="1473"/>
      <c r="R276" s="1473"/>
      <c r="S276" s="1496"/>
      <c r="T276" s="1496"/>
      <c r="U276" s="1496"/>
      <c r="V276" s="1496"/>
      <c r="W276" s="1496"/>
      <c r="X276" s="1496"/>
      <c r="Y276" s="1496"/>
      <c r="Z276" s="1496"/>
      <c r="AA276" s="1496"/>
      <c r="AB276" s="1496"/>
      <c r="AC276" s="1496"/>
      <c r="AD276" s="1496"/>
      <c r="AE276" s="1492">
        <f>IFERROR(ROUNDUP(CHOOSE(VLOOKUP(C276,ExistingNonShareableCommitmentTypeTable[],6,FALSE),IF(ISBLANK(S276),0,(BE276 * VLOOKUP(BE276,STSLRepaymentRateTable[],3,TRUE)/12)),0,AA276,MAX(AA276,MAX(S276:Z276)*VLOOKUP(C276,ExistingNonShareableCommitmentTypeTable[],2,FALSE))),2),0)</f>
        <v>0</v>
      </c>
      <c r="AF276" s="1493"/>
      <c r="AG276" s="1493"/>
      <c r="AH276" s="1493"/>
      <c r="AI276" s="1494"/>
      <c r="AJ276" s="1495" t="str" cm="1">
        <f t="array" aca="1" ref="AJ276" ca="1">IFERROR(IF(C276="Study and training support loan",INDIRECT("STSLRemainingTermApp"&amp;BC276),""),"")</f>
        <v/>
      </c>
      <c r="AK276" s="1495"/>
      <c r="AL276" s="1495"/>
      <c r="AM276" s="1495"/>
      <c r="AN276" s="88"/>
      <c r="AO276" s="1544"/>
      <c r="AP276" s="1545"/>
      <c r="AQ276" s="1545"/>
      <c r="AR276" s="1545"/>
      <c r="AS276" s="1545"/>
      <c r="AT276" s="1545"/>
      <c r="AU276" s="1545"/>
      <c r="AV276" s="1545"/>
      <c r="AW276" s="1545"/>
      <c r="AX276" s="1545"/>
      <c r="AY276" s="1545"/>
      <c r="AZ276" s="1546"/>
      <c r="BC276" s="552">
        <f ca="1">IFERROR(VLOOKUP(N276,ApplicantList[],2,FALSE),0)</f>
        <v>0</v>
      </c>
      <c r="BD276" s="463"/>
      <c r="BE276" s="463" cm="1">
        <f t="array" aca="1" ref="BE276" ca="1">IFERROR(INDIRECT("ICApp" &amp; BC276 &amp; "IncomeSTSL"),0)</f>
        <v>0</v>
      </c>
      <c r="BF276" s="463"/>
      <c r="BG276" s="552">
        <f>IFERROR(CHOOSE(VLOOKUP(C276,ExistingNonShareableCommitmentTypeTable[],7,FALSE),S276,MAX(S276,W276)),0)</f>
        <v>0</v>
      </c>
    </row>
    <row r="277" spans="1:82" ht="18.75" hidden="1" customHeight="1" x14ac:dyDescent="0.25">
      <c r="A277" s="175">
        <v>14</v>
      </c>
      <c r="B277" s="78"/>
      <c r="C277" s="1473"/>
      <c r="D277" s="1473"/>
      <c r="E277" s="1473"/>
      <c r="F277" s="1473"/>
      <c r="G277" s="1473"/>
      <c r="H277" s="1473"/>
      <c r="I277" s="1473"/>
      <c r="J277" s="1473"/>
      <c r="K277" s="1473"/>
      <c r="L277" s="1473"/>
      <c r="M277" s="1473"/>
      <c r="N277" s="1473"/>
      <c r="O277" s="1473"/>
      <c r="P277" s="1473"/>
      <c r="Q277" s="1473"/>
      <c r="R277" s="1473"/>
      <c r="S277" s="1496"/>
      <c r="T277" s="1496"/>
      <c r="U277" s="1496"/>
      <c r="V277" s="1496"/>
      <c r="W277" s="1496"/>
      <c r="X277" s="1496"/>
      <c r="Y277" s="1496"/>
      <c r="Z277" s="1496"/>
      <c r="AA277" s="1496"/>
      <c r="AB277" s="1496"/>
      <c r="AC277" s="1496"/>
      <c r="AD277" s="1496"/>
      <c r="AE277" s="1492">
        <f>IFERROR(ROUNDUP(CHOOSE(VLOOKUP(C277,ExistingNonShareableCommitmentTypeTable[],6,FALSE),IF(ISBLANK(S277),0,(BE277 * VLOOKUP(BE277,STSLRepaymentRateTable[],3,TRUE)/12)),0,AA277,MAX(AA277,MAX(S277:Z277)*VLOOKUP(C277,ExistingNonShareableCommitmentTypeTable[],2,FALSE))),2),0)</f>
        <v>0</v>
      </c>
      <c r="AF277" s="1493"/>
      <c r="AG277" s="1493"/>
      <c r="AH277" s="1493"/>
      <c r="AI277" s="1494"/>
      <c r="AJ277" s="1495" t="str" cm="1">
        <f t="array" aca="1" ref="AJ277" ca="1">IFERROR(IF(C277="Study and training support loan",INDIRECT("STSLRemainingTermApp"&amp;BC277),""),"")</f>
        <v/>
      </c>
      <c r="AK277" s="1495"/>
      <c r="AL277" s="1495"/>
      <c r="AM277" s="1495"/>
      <c r="AN277" s="88"/>
      <c r="AO277" s="1544"/>
      <c r="AP277" s="1545"/>
      <c r="AQ277" s="1545"/>
      <c r="AR277" s="1545"/>
      <c r="AS277" s="1545"/>
      <c r="AT277" s="1545"/>
      <c r="AU277" s="1545"/>
      <c r="AV277" s="1545"/>
      <c r="AW277" s="1545"/>
      <c r="AX277" s="1545"/>
      <c r="AY277" s="1545"/>
      <c r="AZ277" s="1546"/>
      <c r="BC277" s="552">
        <f ca="1">IFERROR(VLOOKUP(N277,ApplicantList[],2,FALSE),0)</f>
        <v>0</v>
      </c>
      <c r="BD277" s="463"/>
      <c r="BE277" s="463" cm="1">
        <f t="array" aca="1" ref="BE277" ca="1">IFERROR(INDIRECT("ICApp" &amp; BC277 &amp; "IncomeSTSL"),0)</f>
        <v>0</v>
      </c>
      <c r="BF277" s="463"/>
      <c r="BG277" s="552">
        <f>IFERROR(CHOOSE(VLOOKUP(C277,ExistingNonShareableCommitmentTypeTable[],7,FALSE),S277,MAX(S277,W277)),0)</f>
        <v>0</v>
      </c>
    </row>
    <row r="278" spans="1:82" ht="18.75" hidden="1" customHeight="1" x14ac:dyDescent="0.25">
      <c r="A278" s="175">
        <v>15</v>
      </c>
      <c r="B278" s="78"/>
      <c r="C278" s="1473"/>
      <c r="D278" s="1473"/>
      <c r="E278" s="1473"/>
      <c r="F278" s="1473"/>
      <c r="G278" s="1473"/>
      <c r="H278" s="1473"/>
      <c r="I278" s="1473"/>
      <c r="J278" s="1473"/>
      <c r="K278" s="1473"/>
      <c r="L278" s="1473"/>
      <c r="M278" s="1473"/>
      <c r="N278" s="1473"/>
      <c r="O278" s="1473"/>
      <c r="P278" s="1473"/>
      <c r="Q278" s="1473"/>
      <c r="R278" s="1473"/>
      <c r="S278" s="1496"/>
      <c r="T278" s="1496"/>
      <c r="U278" s="1496"/>
      <c r="V278" s="1496"/>
      <c r="W278" s="1496"/>
      <c r="X278" s="1496"/>
      <c r="Y278" s="1496"/>
      <c r="Z278" s="1496"/>
      <c r="AA278" s="1496"/>
      <c r="AB278" s="1496"/>
      <c r="AC278" s="1496"/>
      <c r="AD278" s="1496"/>
      <c r="AE278" s="1492">
        <f>IFERROR(ROUNDUP(CHOOSE(VLOOKUP(C278,ExistingNonShareableCommitmentTypeTable[],6,FALSE),IF(ISBLANK(S278),0,(BE278 * VLOOKUP(BE278,STSLRepaymentRateTable[],3,TRUE)/12)),0,AA278,MAX(AA278,MAX(S278:Z278)*VLOOKUP(C278,ExistingNonShareableCommitmentTypeTable[],2,FALSE))),2),0)</f>
        <v>0</v>
      </c>
      <c r="AF278" s="1493"/>
      <c r="AG278" s="1493"/>
      <c r="AH278" s="1493"/>
      <c r="AI278" s="1494"/>
      <c r="AJ278" s="1495" t="str" cm="1">
        <f t="array" aca="1" ref="AJ278" ca="1">IFERROR(IF(C278="Study and training support loan",INDIRECT("STSLRemainingTermApp"&amp;BC278),""),"")</f>
        <v/>
      </c>
      <c r="AK278" s="1495"/>
      <c r="AL278" s="1495"/>
      <c r="AM278" s="1495"/>
      <c r="AN278" s="88"/>
      <c r="AO278" s="1544"/>
      <c r="AP278" s="1545"/>
      <c r="AQ278" s="1545"/>
      <c r="AR278" s="1545"/>
      <c r="AS278" s="1545"/>
      <c r="AT278" s="1545"/>
      <c r="AU278" s="1545"/>
      <c r="AV278" s="1545"/>
      <c r="AW278" s="1545"/>
      <c r="AX278" s="1545"/>
      <c r="AY278" s="1545"/>
      <c r="AZ278" s="1546"/>
      <c r="BC278" s="552">
        <f ca="1">IFERROR(VLOOKUP(N278,ApplicantList[],2,FALSE),0)</f>
        <v>0</v>
      </c>
      <c r="BD278" s="463"/>
      <c r="BE278" s="463" cm="1">
        <f t="array" aca="1" ref="BE278" ca="1">IFERROR(INDIRECT("ICApp" &amp; BC278 &amp; "IncomeSTSL"),0)</f>
        <v>0</v>
      </c>
      <c r="BF278" s="463"/>
      <c r="BG278" s="552">
        <f>IFERROR(CHOOSE(VLOOKUP(C278,ExistingNonShareableCommitmentTypeTable[],7,FALSE),S278,MAX(S278,W278)),0)</f>
        <v>0</v>
      </c>
    </row>
    <row r="279" spans="1:82" ht="18.75" hidden="1" customHeight="1" x14ac:dyDescent="0.25">
      <c r="A279" s="175">
        <v>16</v>
      </c>
      <c r="B279" s="78"/>
      <c r="C279" s="1473"/>
      <c r="D279" s="1473"/>
      <c r="E279" s="1473"/>
      <c r="F279" s="1473"/>
      <c r="G279" s="1473"/>
      <c r="H279" s="1473"/>
      <c r="I279" s="1473"/>
      <c r="J279" s="1473"/>
      <c r="K279" s="1473"/>
      <c r="L279" s="1473"/>
      <c r="M279" s="1473"/>
      <c r="N279" s="1473"/>
      <c r="O279" s="1473"/>
      <c r="P279" s="1473"/>
      <c r="Q279" s="1473"/>
      <c r="R279" s="1473"/>
      <c r="S279" s="1496"/>
      <c r="T279" s="1496"/>
      <c r="U279" s="1496"/>
      <c r="V279" s="1496"/>
      <c r="W279" s="1496"/>
      <c r="X279" s="1496"/>
      <c r="Y279" s="1496"/>
      <c r="Z279" s="1496"/>
      <c r="AA279" s="1496"/>
      <c r="AB279" s="1496"/>
      <c r="AC279" s="1496"/>
      <c r="AD279" s="1496"/>
      <c r="AE279" s="1492">
        <f>IFERROR(ROUNDUP(CHOOSE(VLOOKUP(C279,ExistingNonShareableCommitmentTypeTable[],6,FALSE),IF(ISBLANK(S279),0,(BE279 * VLOOKUP(BE279,STSLRepaymentRateTable[],3,TRUE)/12)),0,AA279,MAX(AA279,MAX(S279:Z279)*VLOOKUP(C279,ExistingNonShareableCommitmentTypeTable[],2,FALSE))),2),0)</f>
        <v>0</v>
      </c>
      <c r="AF279" s="1493"/>
      <c r="AG279" s="1493"/>
      <c r="AH279" s="1493"/>
      <c r="AI279" s="1494"/>
      <c r="AJ279" s="1495" t="str" cm="1">
        <f t="array" aca="1" ref="AJ279" ca="1">IFERROR(IF(C279="Study and training support loan",INDIRECT("STSLRemainingTermApp"&amp;BC279),""),"")</f>
        <v/>
      </c>
      <c r="AK279" s="1495"/>
      <c r="AL279" s="1495"/>
      <c r="AM279" s="1495"/>
      <c r="AN279" s="88"/>
      <c r="AO279" s="1544"/>
      <c r="AP279" s="1545"/>
      <c r="AQ279" s="1545"/>
      <c r="AR279" s="1545"/>
      <c r="AS279" s="1545"/>
      <c r="AT279" s="1545"/>
      <c r="AU279" s="1545"/>
      <c r="AV279" s="1545"/>
      <c r="AW279" s="1545"/>
      <c r="AX279" s="1545"/>
      <c r="AY279" s="1545"/>
      <c r="AZ279" s="1546"/>
      <c r="BC279" s="552">
        <f ca="1">IFERROR(VLOOKUP(N279,ApplicantList[],2,FALSE),0)</f>
        <v>0</v>
      </c>
      <c r="BD279" s="463"/>
      <c r="BE279" s="463" cm="1">
        <f t="array" aca="1" ref="BE279" ca="1">IFERROR(INDIRECT("ICApp" &amp; BC279 &amp; "IncomeSTSL"),0)</f>
        <v>0</v>
      </c>
      <c r="BF279" s="463"/>
      <c r="BG279" s="552">
        <f>IFERROR(CHOOSE(VLOOKUP(C279,ExistingNonShareableCommitmentTypeTable[],7,FALSE),S279,MAX(S279,W279)),0)</f>
        <v>0</v>
      </c>
    </row>
    <row r="280" spans="1:82" ht="18.75" hidden="1" customHeight="1" x14ac:dyDescent="0.25">
      <c r="A280" s="175">
        <v>17</v>
      </c>
      <c r="B280" s="78"/>
      <c r="C280" s="1473"/>
      <c r="D280" s="1473"/>
      <c r="E280" s="1473"/>
      <c r="F280" s="1473"/>
      <c r="G280" s="1473"/>
      <c r="H280" s="1473"/>
      <c r="I280" s="1473"/>
      <c r="J280" s="1473"/>
      <c r="K280" s="1473"/>
      <c r="L280" s="1473"/>
      <c r="M280" s="1473"/>
      <c r="N280" s="1473"/>
      <c r="O280" s="1473"/>
      <c r="P280" s="1473"/>
      <c r="Q280" s="1473"/>
      <c r="R280" s="1473"/>
      <c r="S280" s="1496"/>
      <c r="T280" s="1496"/>
      <c r="U280" s="1496"/>
      <c r="V280" s="1496"/>
      <c r="W280" s="1496"/>
      <c r="X280" s="1496"/>
      <c r="Y280" s="1496"/>
      <c r="Z280" s="1496"/>
      <c r="AA280" s="1496"/>
      <c r="AB280" s="1496"/>
      <c r="AC280" s="1496"/>
      <c r="AD280" s="1496"/>
      <c r="AE280" s="1492">
        <f>IFERROR(ROUNDUP(CHOOSE(VLOOKUP(C280,ExistingNonShareableCommitmentTypeTable[],6,FALSE),IF(ISBLANK(S280),0,(BE280 * VLOOKUP(BE280,STSLRepaymentRateTable[],3,TRUE)/12)),0,AA280,MAX(AA280,MAX(S280:Z280)*VLOOKUP(C280,ExistingNonShareableCommitmentTypeTable[],2,FALSE))),2),0)</f>
        <v>0</v>
      </c>
      <c r="AF280" s="1493"/>
      <c r="AG280" s="1493"/>
      <c r="AH280" s="1493"/>
      <c r="AI280" s="1494"/>
      <c r="AJ280" s="1495" t="str" cm="1">
        <f t="array" aca="1" ref="AJ280" ca="1">IFERROR(IF(C280="Study and training support loan",INDIRECT("STSLRemainingTermApp"&amp;BC280),""),"")</f>
        <v/>
      </c>
      <c r="AK280" s="1495"/>
      <c r="AL280" s="1495"/>
      <c r="AM280" s="1495"/>
      <c r="AN280" s="88"/>
      <c r="AO280" s="1544"/>
      <c r="AP280" s="1545"/>
      <c r="AQ280" s="1545"/>
      <c r="AR280" s="1545"/>
      <c r="AS280" s="1545"/>
      <c r="AT280" s="1545"/>
      <c r="AU280" s="1545"/>
      <c r="AV280" s="1545"/>
      <c r="AW280" s="1545"/>
      <c r="AX280" s="1545"/>
      <c r="AY280" s="1545"/>
      <c r="AZ280" s="1546"/>
      <c r="BC280" s="552">
        <f ca="1">IFERROR(VLOOKUP(N280,ApplicantList[],2,FALSE),0)</f>
        <v>0</v>
      </c>
      <c r="BD280" s="463"/>
      <c r="BE280" s="463" cm="1">
        <f t="array" aca="1" ref="BE280" ca="1">IFERROR(INDIRECT("ICApp" &amp; BC280 &amp; "IncomeSTSL"),0)</f>
        <v>0</v>
      </c>
      <c r="BF280" s="463"/>
      <c r="BG280" s="552">
        <f>IFERROR(CHOOSE(VLOOKUP(C280,ExistingNonShareableCommitmentTypeTable[],7,FALSE),S280,MAX(S280,W280)),0)</f>
        <v>0</v>
      </c>
    </row>
    <row r="281" spans="1:82" ht="18.75" hidden="1" customHeight="1" x14ac:dyDescent="0.25">
      <c r="A281" s="175">
        <v>18</v>
      </c>
      <c r="B281" s="78"/>
      <c r="C281" s="1473"/>
      <c r="D281" s="1473"/>
      <c r="E281" s="1473"/>
      <c r="F281" s="1473"/>
      <c r="G281" s="1473"/>
      <c r="H281" s="1473"/>
      <c r="I281" s="1473"/>
      <c r="J281" s="1473"/>
      <c r="K281" s="1473"/>
      <c r="L281" s="1473"/>
      <c r="M281" s="1473"/>
      <c r="N281" s="1473"/>
      <c r="O281" s="1473"/>
      <c r="P281" s="1473"/>
      <c r="Q281" s="1473"/>
      <c r="R281" s="1473"/>
      <c r="S281" s="1496"/>
      <c r="T281" s="1496"/>
      <c r="U281" s="1496"/>
      <c r="V281" s="1496"/>
      <c r="W281" s="1496"/>
      <c r="X281" s="1496"/>
      <c r="Y281" s="1496"/>
      <c r="Z281" s="1496"/>
      <c r="AA281" s="1496"/>
      <c r="AB281" s="1496"/>
      <c r="AC281" s="1496"/>
      <c r="AD281" s="1496"/>
      <c r="AE281" s="1492">
        <f>IFERROR(ROUNDUP(CHOOSE(VLOOKUP(C281,ExistingNonShareableCommitmentTypeTable[],6,FALSE),IF(ISBLANK(S281),0,(BE281 * VLOOKUP(BE281,STSLRepaymentRateTable[],3,TRUE)/12)),0,AA281,MAX(AA281,MAX(S281:Z281)*VLOOKUP(C281,ExistingNonShareableCommitmentTypeTable[],2,FALSE))),2),0)</f>
        <v>0</v>
      </c>
      <c r="AF281" s="1493"/>
      <c r="AG281" s="1493"/>
      <c r="AH281" s="1493"/>
      <c r="AI281" s="1494"/>
      <c r="AJ281" s="1495" t="str" cm="1">
        <f t="array" aca="1" ref="AJ281" ca="1">IFERROR(IF(C281="Study and training support loan",INDIRECT("STSLRemainingTermApp"&amp;BC281),""),"")</f>
        <v/>
      </c>
      <c r="AK281" s="1495"/>
      <c r="AL281" s="1495"/>
      <c r="AM281" s="1495"/>
      <c r="AN281" s="88"/>
      <c r="AO281" s="1544"/>
      <c r="AP281" s="1545"/>
      <c r="AQ281" s="1545"/>
      <c r="AR281" s="1545"/>
      <c r="AS281" s="1545"/>
      <c r="AT281" s="1545"/>
      <c r="AU281" s="1545"/>
      <c r="AV281" s="1545"/>
      <c r="AW281" s="1545"/>
      <c r="AX281" s="1545"/>
      <c r="AY281" s="1545"/>
      <c r="AZ281" s="1546"/>
      <c r="BC281" s="552">
        <f ca="1">IFERROR(VLOOKUP(N281,ApplicantList[],2,FALSE),0)</f>
        <v>0</v>
      </c>
      <c r="BD281" s="463"/>
      <c r="BE281" s="463" cm="1">
        <f t="array" aca="1" ref="BE281" ca="1">IFERROR(INDIRECT("ICApp" &amp; BC281 &amp; "IncomeSTSL"),0)</f>
        <v>0</v>
      </c>
      <c r="BF281" s="463"/>
      <c r="BG281" s="552">
        <f>IFERROR(CHOOSE(VLOOKUP(C281,ExistingNonShareableCommitmentTypeTable[],7,FALSE),S281,MAX(S281,W281)),0)</f>
        <v>0</v>
      </c>
    </row>
    <row r="282" spans="1:82" ht="22.5" customHeight="1" x14ac:dyDescent="0.25">
      <c r="A282" s="168">
        <f>SUBTOTAL(102,A264:A281)</f>
        <v>1</v>
      </c>
      <c r="B282" s="78"/>
      <c r="C282" s="77"/>
      <c r="D282" s="77"/>
      <c r="E282" s="77"/>
      <c r="F282" s="77"/>
      <c r="G282" s="77"/>
      <c r="H282" s="77"/>
      <c r="AI282" s="177"/>
      <c r="AJ282" s="83">
        <f t="array" aca="1" ref="AJ282" ca="1">MAX(IF($AJ$264:$AJ$281&lt;=5,AJ264:AJ281))</f>
        <v>0</v>
      </c>
      <c r="AO282" s="414"/>
      <c r="AP282" s="414"/>
      <c r="AQ282" s="414"/>
      <c r="AR282" s="414"/>
      <c r="AS282" s="414"/>
      <c r="AT282" s="414"/>
      <c r="AU282" s="414"/>
      <c r="AV282" s="414"/>
      <c r="AW282" s="414"/>
      <c r="AX282" s="414"/>
      <c r="AY282" s="414"/>
      <c r="AZ282" s="414"/>
      <c r="BA282" s="414"/>
      <c r="BB282" s="414"/>
      <c r="BC282" s="414"/>
      <c r="BD282" s="414"/>
      <c r="BE282" s="414"/>
      <c r="BF282" s="414"/>
      <c r="BG282" s="414"/>
      <c r="BH282" s="414"/>
      <c r="BI282" s="414"/>
      <c r="BJ282" s="414"/>
      <c r="BK282" s="414"/>
      <c r="BL282" s="414"/>
      <c r="BM282" s="414"/>
      <c r="BN282" s="414"/>
      <c r="BO282" s="414"/>
      <c r="BP282" s="414"/>
      <c r="BQ282" s="414"/>
      <c r="BR282" s="414"/>
      <c r="BS282" s="414"/>
      <c r="BV282" s="76"/>
    </row>
    <row r="283" spans="1:82" ht="22.5" customHeight="1" x14ac:dyDescent="0.25">
      <c r="A283" s="18"/>
      <c r="B283" s="77"/>
      <c r="C283" s="77"/>
      <c r="D283" s="77"/>
      <c r="E283" s="77"/>
      <c r="F283" s="77"/>
      <c r="G283" s="77"/>
      <c r="H283" s="77"/>
      <c r="BV283" s="76"/>
    </row>
    <row r="284" spans="1:82" ht="7.5" customHeight="1" x14ac:dyDescent="0.25">
      <c r="A284" s="19"/>
      <c r="B284" s="19"/>
      <c r="C284" s="19"/>
      <c r="D284" s="19"/>
      <c r="E284" s="19"/>
      <c r="F284" s="19"/>
      <c r="G284" s="19"/>
      <c r="H284" s="19"/>
      <c r="I284" s="19"/>
      <c r="J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row>
    <row r="285" spans="1:82" ht="18.75" customHeight="1" x14ac:dyDescent="0.5">
      <c r="A285" s="199"/>
      <c r="B285" s="1154" t="s">
        <v>338</v>
      </c>
      <c r="C285" s="200"/>
      <c r="D285" s="200"/>
      <c r="E285" s="200"/>
      <c r="F285" s="200"/>
      <c r="G285" s="200"/>
      <c r="H285" s="200"/>
      <c r="I285" s="200"/>
      <c r="J285" s="200"/>
      <c r="K285" s="200"/>
      <c r="L285" s="200"/>
      <c r="M285" s="200"/>
      <c r="N285" s="200"/>
      <c r="O285" s="200"/>
      <c r="P285" s="200"/>
      <c r="Q285" s="200"/>
      <c r="R285" s="200"/>
      <c r="S285" s="200"/>
      <c r="T285" s="200"/>
      <c r="U285" s="201"/>
      <c r="V285" s="201"/>
      <c r="W285" s="201"/>
      <c r="X285" s="201"/>
      <c r="Y285" s="201"/>
      <c r="Z285" s="201"/>
      <c r="AA285" s="201"/>
      <c r="AB285" s="201"/>
      <c r="AC285" s="201"/>
      <c r="AD285" s="201"/>
      <c r="AE285" s="201"/>
      <c r="AF285" s="201"/>
      <c r="AG285" s="201"/>
      <c r="AH285" s="201"/>
      <c r="AI285" s="201"/>
      <c r="AJ285" s="201"/>
      <c r="AK285" s="201"/>
      <c r="AL285" s="201"/>
      <c r="AM285" s="201"/>
      <c r="AN285" s="201"/>
      <c r="AO285" s="201"/>
      <c r="AP285" s="201"/>
      <c r="AQ285" s="201"/>
      <c r="AR285" s="201"/>
      <c r="AS285" s="201"/>
      <c r="AT285" s="201"/>
      <c r="AU285" s="201"/>
      <c r="AV285" s="201"/>
      <c r="AW285" s="201"/>
      <c r="AX285" s="201"/>
      <c r="AY285" s="201"/>
      <c r="AZ285" s="201"/>
      <c r="BA285" s="201"/>
      <c r="BB285" s="201"/>
      <c r="BC285" s="201"/>
      <c r="BD285" s="201"/>
      <c r="BE285" s="201"/>
      <c r="BF285" s="201"/>
      <c r="BG285" s="201"/>
      <c r="BH285" s="201"/>
      <c r="BI285" s="201"/>
      <c r="BJ285" s="201"/>
      <c r="BK285" s="201"/>
      <c r="BL285" s="201"/>
      <c r="BM285" s="201"/>
      <c r="BN285" s="201"/>
      <c r="BO285" s="201"/>
      <c r="BP285" s="201"/>
      <c r="BQ285" s="201"/>
      <c r="BR285" s="201"/>
      <c r="BS285" s="201"/>
      <c r="BT285" s="201"/>
      <c r="BU285" s="201"/>
      <c r="BV285" s="199"/>
      <c r="BW285" s="199"/>
      <c r="BX285" s="199"/>
      <c r="BY285" s="199"/>
      <c r="BZ285" s="199"/>
      <c r="CA285" s="199"/>
      <c r="CB285" s="199"/>
      <c r="CC285" s="199"/>
      <c r="CD285" s="199"/>
    </row>
    <row r="286" spans="1:82" ht="18.75" hidden="1" customHeight="1" x14ac:dyDescent="0.5">
      <c r="A286" s="86"/>
      <c r="B286" s="1155" t="s">
        <v>1407</v>
      </c>
      <c r="C286" s="861"/>
      <c r="D286" s="861"/>
      <c r="E286" s="861"/>
      <c r="F286" s="861"/>
      <c r="G286" s="861"/>
      <c r="H286" s="861"/>
      <c r="I286" s="861"/>
      <c r="J286" s="861"/>
      <c r="K286" s="861"/>
      <c r="L286" s="861"/>
      <c r="M286" s="861"/>
      <c r="N286" s="861"/>
      <c r="O286" s="861"/>
      <c r="P286" s="861"/>
      <c r="Q286" s="861"/>
      <c r="R286" s="861"/>
      <c r="S286" s="861"/>
      <c r="T286" s="861"/>
      <c r="U286" s="862"/>
      <c r="V286" s="862"/>
      <c r="W286" s="862"/>
      <c r="X286" s="862"/>
      <c r="Y286" s="862"/>
      <c r="Z286" s="862"/>
      <c r="AA286" s="862"/>
      <c r="AB286" s="862"/>
      <c r="AC286" s="862"/>
      <c r="AD286" s="862"/>
      <c r="AE286" s="862"/>
      <c r="AF286" s="862"/>
      <c r="AG286" s="862"/>
      <c r="AH286" s="862"/>
      <c r="AI286" s="862"/>
      <c r="AJ286" s="862"/>
      <c r="AK286" s="862"/>
      <c r="AL286" s="862"/>
      <c r="AM286" s="862"/>
      <c r="AN286" s="862"/>
      <c r="AO286" s="862"/>
      <c r="AP286" s="862"/>
      <c r="AQ286" s="862"/>
      <c r="AR286" s="862"/>
      <c r="AS286" s="862"/>
      <c r="AT286" s="862"/>
      <c r="AU286" s="862"/>
      <c r="AV286" s="862"/>
      <c r="AW286" s="862"/>
      <c r="AX286" s="862"/>
      <c r="AY286" s="862"/>
      <c r="AZ286" s="862"/>
      <c r="BA286" s="862"/>
      <c r="BB286" s="862"/>
      <c r="BC286" s="862"/>
      <c r="BD286" s="862"/>
      <c r="BE286" s="862"/>
      <c r="BF286" s="862"/>
      <c r="BG286" s="862"/>
      <c r="BH286" s="862"/>
      <c r="BI286" s="862"/>
      <c r="BJ286" s="862"/>
      <c r="BK286" s="862"/>
      <c r="BL286" s="862"/>
      <c r="BM286" s="862"/>
      <c r="BN286" s="862"/>
      <c r="BO286" s="862"/>
      <c r="BP286" s="862"/>
      <c r="BQ286" s="862"/>
      <c r="BR286" s="862"/>
      <c r="BS286" s="862"/>
      <c r="BT286" s="862"/>
      <c r="BU286" s="862"/>
      <c r="BV286" s="86"/>
      <c r="BW286" s="86"/>
      <c r="BX286" s="86"/>
      <c r="BY286" s="86"/>
      <c r="BZ286" s="86"/>
      <c r="CA286" s="86"/>
      <c r="CB286" s="86"/>
      <c r="CC286" s="86"/>
      <c r="CD286" s="86"/>
    </row>
    <row r="287" spans="1:82" ht="6.75" customHeight="1" x14ac:dyDescent="0.4">
      <c r="A287" s="126"/>
      <c r="B287" s="127"/>
      <c r="C287" s="127"/>
      <c r="D287" s="127"/>
      <c r="E287" s="127"/>
      <c r="F287" s="127"/>
      <c r="G287" s="127"/>
      <c r="H287" s="127"/>
      <c r="I287" s="127"/>
      <c r="J287" s="127"/>
      <c r="K287" s="127"/>
      <c r="L287" s="127"/>
      <c r="M287" s="127"/>
      <c r="N287" s="127"/>
      <c r="O287" s="127"/>
      <c r="P287" s="127"/>
      <c r="Q287" s="127"/>
      <c r="R287" s="127"/>
      <c r="S287" s="127"/>
      <c r="T287" s="127"/>
      <c r="U287" s="128"/>
      <c r="V287" s="129"/>
      <c r="W287" s="129"/>
      <c r="X287" s="129"/>
      <c r="Y287" s="129"/>
      <c r="Z287" s="129"/>
      <c r="AA287" s="129"/>
      <c r="AB287" s="129"/>
      <c r="AC287" s="129"/>
      <c r="AD287" s="129"/>
      <c r="AE287" s="129"/>
      <c r="AF287" s="129"/>
      <c r="AG287" s="129"/>
      <c r="AH287" s="129"/>
      <c r="AI287" s="129"/>
      <c r="AJ287" s="129"/>
      <c r="AK287" s="129"/>
      <c r="AL287" s="129"/>
      <c r="AM287" s="129"/>
      <c r="AN287" s="129"/>
      <c r="AO287" s="129"/>
      <c r="AP287" s="129"/>
      <c r="AQ287" s="129"/>
      <c r="AR287" s="129"/>
      <c r="AS287" s="128"/>
      <c r="AT287" s="129"/>
      <c r="AU287" s="129"/>
      <c r="AV287" s="129"/>
      <c r="AW287" s="129"/>
      <c r="AX287" s="129"/>
      <c r="AY287" s="129"/>
      <c r="AZ287" s="129"/>
      <c r="BA287" s="129"/>
      <c r="BB287" s="129"/>
      <c r="BC287" s="129"/>
      <c r="BD287" s="129"/>
      <c r="BE287" s="129"/>
      <c r="BF287" s="129"/>
      <c r="BG287" s="129"/>
      <c r="BH287" s="129"/>
      <c r="BI287" s="129"/>
      <c r="BJ287" s="129"/>
      <c r="BK287" s="129"/>
      <c r="BL287" s="129"/>
      <c r="BM287" s="129"/>
      <c r="BN287" s="129"/>
      <c r="BO287" s="129"/>
      <c r="BP287" s="129"/>
      <c r="BQ287" s="128"/>
      <c r="BR287" s="128"/>
      <c r="BS287" s="128"/>
      <c r="BT287" s="128"/>
      <c r="BU287" s="128"/>
      <c r="BV287" s="126"/>
      <c r="BW287" s="126"/>
      <c r="BX287" s="126"/>
      <c r="BY287" s="126"/>
      <c r="BZ287" s="126"/>
      <c r="CA287" s="126"/>
      <c r="CB287" s="126"/>
      <c r="CC287" s="126"/>
      <c r="CD287" s="126"/>
    </row>
    <row r="288" spans="1:82" ht="18.75" customHeight="1" x14ac:dyDescent="0.4">
      <c r="A288" s="126"/>
      <c r="B288" s="233" t="s">
        <v>16</v>
      </c>
      <c r="C288" s="126"/>
      <c r="D288" s="126"/>
      <c r="E288" s="126"/>
      <c r="F288" s="126"/>
      <c r="G288" s="126"/>
      <c r="H288" s="126"/>
      <c r="I288" s="126"/>
      <c r="J288" s="126"/>
      <c r="K288" s="126"/>
      <c r="L288" s="126"/>
      <c r="M288" s="126"/>
      <c r="N288" s="128"/>
      <c r="O288" s="128"/>
      <c r="P288" s="128"/>
      <c r="Q288" s="128"/>
      <c r="R288" s="128"/>
      <c r="S288" s="128"/>
      <c r="T288" s="128"/>
      <c r="U288" s="128"/>
      <c r="V288" s="131"/>
      <c r="W288" s="128"/>
      <c r="X288" s="128"/>
      <c r="Y288" s="233" t="s">
        <v>342</v>
      </c>
      <c r="Z288" s="126"/>
      <c r="AB288" s="132"/>
      <c r="AC288" s="126"/>
      <c r="AD288" s="126"/>
      <c r="AE288" s="126"/>
      <c r="AF288" s="126"/>
      <c r="AG288" s="126"/>
      <c r="AH288" s="126"/>
      <c r="AI288" s="126"/>
      <c r="AJ288" s="126"/>
      <c r="AK288" s="126"/>
      <c r="AL288" s="133"/>
      <c r="AM288" s="133"/>
      <c r="AN288" s="133"/>
      <c r="AO288" s="133"/>
      <c r="AP288" s="133"/>
      <c r="AQ288" s="133"/>
      <c r="AR288" s="133"/>
      <c r="AS288" s="133"/>
      <c r="AT288" s="132"/>
      <c r="AU288" s="132"/>
      <c r="AX288" s="130"/>
      <c r="BV288" s="126"/>
      <c r="BW288" s="126"/>
      <c r="BX288" s="126"/>
      <c r="BY288" s="126"/>
      <c r="BZ288" s="126"/>
      <c r="CA288" s="126"/>
      <c r="CC288" s="126"/>
      <c r="CD288" s="126"/>
    </row>
    <row r="289" spans="1:82" ht="18.75" customHeight="1" x14ac:dyDescent="0.4">
      <c r="A289" s="126"/>
      <c r="B289" s="131"/>
      <c r="C289" s="231" t="s">
        <v>346</v>
      </c>
      <c r="D289" s="132"/>
      <c r="E289" s="132"/>
      <c r="F289" s="132"/>
      <c r="G289" s="132"/>
      <c r="H289" s="132"/>
      <c r="I289" s="132"/>
      <c r="J289" s="132"/>
      <c r="K289" s="132"/>
      <c r="L289" s="132"/>
      <c r="M289" s="132"/>
      <c r="N289" s="132"/>
      <c r="O289" s="132"/>
      <c r="P289" s="1469">
        <f>SUM(SCAApp1TotalNet,SCAApp2TotalNet,SCAApp3TotalNet,SCAApp4TotalNet,SCAApp5TotalNet,SCAApp6TotalNet)</f>
        <v>16071.833333333334</v>
      </c>
      <c r="Q289" s="1470"/>
      <c r="R289" s="1470"/>
      <c r="S289" s="1470"/>
      <c r="T289" s="1470"/>
      <c r="U289" s="1470"/>
      <c r="V289" s="1470"/>
      <c r="W289" s="1471"/>
      <c r="X289" s="134"/>
      <c r="Y289" s="131"/>
      <c r="Z289" s="231" t="s">
        <v>343</v>
      </c>
      <c r="AB289" s="126"/>
      <c r="AC289" s="126"/>
      <c r="AD289" s="126"/>
      <c r="AE289" s="126"/>
      <c r="AF289" s="126"/>
      <c r="AG289" s="126"/>
      <c r="AH289" s="126"/>
      <c r="AI289" s="126"/>
      <c r="AJ289" s="126"/>
      <c r="AK289" s="126"/>
      <c r="AL289" s="133"/>
      <c r="AM289" s="133"/>
      <c r="AN289" s="1469">
        <f ca="1">P289-P293</f>
        <v>16071.833333333334</v>
      </c>
      <c r="AO289" s="1470"/>
      <c r="AP289" s="1470"/>
      <c r="AQ289" s="1470"/>
      <c r="AR289" s="1470"/>
      <c r="AS289" s="1470"/>
      <c r="AT289" s="1470">
        <f>SUM(SCAApp1HEM,SCAApp2HEM,SCAApp3HEM,SCAApp4HEM,SCAApp5HEM,SCAApp6HEM)</f>
        <v>0</v>
      </c>
      <c r="AU289" s="1471"/>
      <c r="AX289" s="1553" t="str">
        <f ca="1">CONCATENATE(IF('Income Calculation'!H84="","",CONCATENATE(CHAR(10),CHAR(42),CHAR(32),'Income Calculation'!H84)),IF('Income Calculation'!H85="","",CONCATENATE(CHAR(10),CHAR(42),CHAR(32),'Income Calculation'!H85)),IF('Income Calculation'!H86="","",CONCATENATE(CHAR(10),CHAR(42),CHAR(32),'Income Calculation'!H86)),IF('Income Calculation'!H87="","",CONCATENATE(CHAR(10),CHAR(42),CHAR(32),'Income Calculation'!H87)),IF('Income Calculation'!H88="","",CONCATENATE(CHAR(10),CHAR(42),CHAR(32),'Income Calculation'!H88)),IF('Income Calculation'!H89="","",CONCATENATE(CHAR(10),CHAR(42),CHAR(32),'Income Calculation'!H89)),IF('Income Calculation'!H90="","",CONCATENATE(CHAR(10),CHAR(42),CHAR(32),'Income Calculation'!H90)),IF('Income Calculation'!H91="","",CONCATENATE(CHAR(10),CHAR(42),CHAR(32),'Income Calculation'!H91)),IF('Income Calculation'!H92="","",CONCATENATE(CHAR(10),CHAR(42),CHAR(32),'Income Calculation'!H92)),IF('Income Calculation'!H93="","",CONCATENATE(CHAR(10),CHAR(42),CHAR(32),'Income Calculation'!H93)),IF('Income Calculation'!H94="","",CONCATENATE(CHAR(10),CHAR(42),CHAR(32),'Income Calculation'!H94)),IF('Income Calculation'!H95="","",CONCATENATE(CHAR(10),CHAR(42),CHAR(32),'Income Calculation'!H95)),IF('Income Calculation'!H96="","",CONCATENATE(CHAR(10),CHAR(42),CHAR(32),'Income Calculation'!H96)),IF('Income Calculation'!H97="","",CONCATENATE(CHAR(10),CHAR(42),CHAR(32),'Income Calculation'!H97)),IF('Income Calculation'!H98="","",CONCATENATE(CHAR(10),CHAR(42),CHAR(32),'Income Calculation'!H98)),IF('Income Calculation'!H99="","",CONCATENATE(CHAR(10),CHAR(42),CHAR(32),'Income Calculation'!H99)),IF('Income Calculation'!H100="","",CONCATENATE(CHAR(10),CHAR(42),CHAR(32),'Income Calculation'!H100)),IF('Income Calculation'!H101="","",CONCATENATE(CHAR(10),CHAR(42),CHAR(32),'Income Calculation'!H101)))</f>
        <v/>
      </c>
      <c r="AY289" s="1553"/>
      <c r="AZ289" s="1553"/>
      <c r="BA289" s="1553"/>
      <c r="BB289" s="1553"/>
      <c r="BC289" s="1553"/>
      <c r="BD289" s="1553"/>
      <c r="BE289" s="1553"/>
      <c r="BF289" s="1553"/>
      <c r="BG289" s="1553"/>
      <c r="BH289" s="1553"/>
      <c r="BI289" s="1553"/>
      <c r="BJ289" s="1553"/>
      <c r="BK289" s="1553"/>
      <c r="BL289" s="1553"/>
      <c r="BM289" s="1553"/>
      <c r="BN289" s="1553"/>
      <c r="BO289" s="1553"/>
      <c r="BP289" s="1553"/>
      <c r="BQ289" s="1553"/>
      <c r="BR289" s="1553"/>
      <c r="BS289" s="1553"/>
      <c r="BT289" s="1553"/>
      <c r="BU289" s="1553"/>
      <c r="BV289" s="126"/>
      <c r="BW289" s="231" t="s">
        <v>1454</v>
      </c>
      <c r="BX289" s="126"/>
      <c r="BY289" s="126"/>
      <c r="BZ289" s="126"/>
      <c r="CA289" s="126"/>
      <c r="CB289" s="126"/>
      <c r="CC289" s="1437" t="s">
        <v>42</v>
      </c>
    </row>
    <row r="290" spans="1:82" ht="18.75" customHeight="1" x14ac:dyDescent="0.4">
      <c r="A290" s="126"/>
      <c r="B290" s="233" t="s">
        <v>444</v>
      </c>
      <c r="C290" s="229"/>
      <c r="D290" s="229"/>
      <c r="E290" s="229"/>
      <c r="F290" s="229"/>
      <c r="G290" s="229"/>
      <c r="H290" s="229"/>
      <c r="I290" s="229"/>
      <c r="J290" s="229"/>
      <c r="K290" s="229"/>
      <c r="L290" s="229"/>
      <c r="M290" s="229"/>
      <c r="N290" s="229"/>
      <c r="O290" s="229"/>
      <c r="P290" s="132"/>
      <c r="Q290" s="132"/>
      <c r="R290" s="132"/>
      <c r="S290" s="132"/>
      <c r="T290" s="132"/>
      <c r="U290" s="133"/>
      <c r="V290" s="132"/>
      <c r="W290" s="132"/>
      <c r="X290" s="132"/>
      <c r="Y290" s="126"/>
      <c r="Z290" s="231" t="s">
        <v>344</v>
      </c>
      <c r="AB290" s="126"/>
      <c r="AC290" s="126"/>
      <c r="AD290" s="126"/>
      <c r="AE290" s="126"/>
      <c r="AF290" s="126"/>
      <c r="AG290" s="126"/>
      <c r="AH290" s="126"/>
      <c r="AI290" s="126"/>
      <c r="AJ290" s="126"/>
      <c r="AK290" s="126"/>
      <c r="AL290" s="133"/>
      <c r="AM290" s="133"/>
      <c r="AN290" s="1469">
        <f ca="1">AN289-P294</f>
        <v>16071.833333333334</v>
      </c>
      <c r="AO290" s="1470"/>
      <c r="AP290" s="1470"/>
      <c r="AQ290" s="1470"/>
      <c r="AR290" s="1470"/>
      <c r="AS290" s="1470"/>
      <c r="AT290" s="1470"/>
      <c r="AU290" s="1471"/>
      <c r="AX290" s="1554"/>
      <c r="AY290" s="1554"/>
      <c r="AZ290" s="1554"/>
      <c r="BA290" s="1554"/>
      <c r="BB290" s="1554"/>
      <c r="BC290" s="1554"/>
      <c r="BD290" s="1554"/>
      <c r="BE290" s="1554"/>
      <c r="BF290" s="1554"/>
      <c r="BG290" s="1554"/>
      <c r="BH290" s="1554"/>
      <c r="BI290" s="1554"/>
      <c r="BJ290" s="1554"/>
      <c r="BK290" s="1554"/>
      <c r="BL290" s="1554"/>
      <c r="BM290" s="1554"/>
      <c r="BN290" s="1554"/>
      <c r="BO290" s="1554"/>
      <c r="BP290" s="1554"/>
      <c r="BQ290" s="1554"/>
      <c r="BR290" s="1554"/>
      <c r="BS290" s="1554"/>
      <c r="BT290" s="1554"/>
      <c r="BU290" s="1554"/>
      <c r="BV290" s="126"/>
      <c r="BW290" s="126"/>
      <c r="BX290" s="126"/>
      <c r="BY290" s="126"/>
      <c r="BZ290" s="126"/>
      <c r="CA290" s="126"/>
      <c r="CB290" s="126"/>
      <c r="CC290" s="126"/>
      <c r="CD290" s="126"/>
    </row>
    <row r="291" spans="1:82" ht="18.75" customHeight="1" x14ac:dyDescent="0.25">
      <c r="A291" s="126"/>
      <c r="B291" s="131"/>
      <c r="C291" s="231" t="s">
        <v>339</v>
      </c>
      <c r="D291" s="128"/>
      <c r="E291" s="128"/>
      <c r="F291" s="128"/>
      <c r="G291" s="128"/>
      <c r="H291" s="128"/>
      <c r="I291" s="128"/>
      <c r="J291" s="128"/>
      <c r="K291" s="128"/>
      <c r="L291" s="128"/>
      <c r="M291" s="128"/>
      <c r="N291" s="128"/>
      <c r="O291" s="128"/>
      <c r="P291" s="1469">
        <f>SUM('Expense Calculation'!$AA$8:$AA$13)</f>
        <v>0</v>
      </c>
      <c r="Q291" s="1470"/>
      <c r="R291" s="1470"/>
      <c r="S291" s="1470"/>
      <c r="T291" s="1470"/>
      <c r="U291" s="1470"/>
      <c r="V291" s="1470"/>
      <c r="W291" s="1471"/>
      <c r="X291" s="132"/>
      <c r="Y291" s="132"/>
      <c r="Z291" s="231" t="s">
        <v>345</v>
      </c>
      <c r="AB291" s="126"/>
      <c r="AC291" s="126"/>
      <c r="AD291" s="126"/>
      <c r="AE291" s="126"/>
      <c r="AF291" s="126"/>
      <c r="AG291" s="126"/>
      <c r="AH291" s="126"/>
      <c r="AI291" s="126"/>
      <c r="AJ291" s="126"/>
      <c r="AK291" s="126"/>
      <c r="AL291" s="126"/>
      <c r="AM291" s="126"/>
      <c r="AN291" s="1469">
        <f ca="1">AN290-P295</f>
        <v>16071.833333333334</v>
      </c>
      <c r="AO291" s="1470"/>
      <c r="AP291" s="1470"/>
      <c r="AQ291" s="1470"/>
      <c r="AR291" s="1470"/>
      <c r="AS291" s="1470"/>
      <c r="AT291" s="1470"/>
      <c r="AU291" s="1471"/>
      <c r="AX291" s="1554"/>
      <c r="AY291" s="1554"/>
      <c r="AZ291" s="1554"/>
      <c r="BA291" s="1554"/>
      <c r="BB291" s="1554"/>
      <c r="BC291" s="1554"/>
      <c r="BD291" s="1554"/>
      <c r="BE291" s="1554"/>
      <c r="BF291" s="1554"/>
      <c r="BG291" s="1554"/>
      <c r="BH291" s="1554"/>
      <c r="BI291" s="1554"/>
      <c r="BJ291" s="1554"/>
      <c r="BK291" s="1554"/>
      <c r="BL291" s="1554"/>
      <c r="BM291" s="1554"/>
      <c r="BN291" s="1554"/>
      <c r="BO291" s="1554"/>
      <c r="BP291" s="1554"/>
      <c r="BQ291" s="1554"/>
      <c r="BR291" s="1554"/>
      <c r="BS291" s="1554"/>
      <c r="BT291" s="1554"/>
      <c r="BU291" s="1554"/>
      <c r="BV291" s="126"/>
      <c r="BW291" s="126"/>
      <c r="BX291" s="126"/>
      <c r="BY291" s="126"/>
      <c r="BZ291" s="126"/>
      <c r="CA291" s="126"/>
      <c r="CB291" s="126"/>
      <c r="CC291" s="126"/>
      <c r="CD291" s="126"/>
    </row>
    <row r="292" spans="1:82" ht="18.75" customHeight="1" x14ac:dyDescent="0.4">
      <c r="A292" s="126"/>
      <c r="C292" s="231" t="s">
        <v>340</v>
      </c>
      <c r="D292" s="134"/>
      <c r="E292" s="128"/>
      <c r="F292" s="128"/>
      <c r="G292" s="128"/>
      <c r="H292" s="128"/>
      <c r="I292" s="128"/>
      <c r="J292" s="128"/>
      <c r="L292" s="128"/>
      <c r="M292" s="128"/>
      <c r="N292" s="128"/>
      <c r="O292" s="128"/>
      <c r="P292" s="1469">
        <f ca="1">SUM(SCAApp1NonCompCDE,SCAApp1CDERent,SCAApp2NonCompCDE,SCAApp2CDERent,SCAApp3NonCompCDE,SCAApp3CDERent,SCAApp4NonCompCDE,SCAApp4CDERent,SCAApp5NonCompCDE,SCAApp5CDERent,SCAApp6NonCompCDE,SCAApp6CDERent)</f>
        <v>0</v>
      </c>
      <c r="Q292" s="1470"/>
      <c r="R292" s="1470"/>
      <c r="S292" s="1470"/>
      <c r="T292" s="1470"/>
      <c r="U292" s="1470"/>
      <c r="V292" s="1470"/>
      <c r="W292" s="1471"/>
      <c r="X292" s="129"/>
      <c r="Y292" s="233" t="s">
        <v>347</v>
      </c>
      <c r="Z292" s="229"/>
      <c r="AA292" s="229"/>
      <c r="AB292" s="229"/>
      <c r="AC292" s="229"/>
      <c r="AD292" s="229"/>
      <c r="AE292" s="229"/>
      <c r="AF292" s="229"/>
      <c r="AG292" s="229"/>
      <c r="AH292" s="229"/>
      <c r="AI292" s="229"/>
      <c r="AJ292" s="229"/>
      <c r="AK292" s="229"/>
      <c r="AL292" s="229"/>
      <c r="AM292" s="126"/>
      <c r="AN292" s="126"/>
      <c r="AO292" s="126"/>
      <c r="AP292" s="126"/>
      <c r="AQ292" s="126"/>
      <c r="AR292" s="126"/>
      <c r="AS292" s="126"/>
      <c r="AT292" s="128"/>
      <c r="AU292" s="128"/>
      <c r="AX292" s="1554"/>
      <c r="AY292" s="1554"/>
      <c r="AZ292" s="1554"/>
      <c r="BA292" s="1554"/>
      <c r="BB292" s="1554"/>
      <c r="BC292" s="1554"/>
      <c r="BD292" s="1554"/>
      <c r="BE292" s="1554"/>
      <c r="BF292" s="1554"/>
      <c r="BG292" s="1554"/>
      <c r="BH292" s="1554"/>
      <c r="BI292" s="1554"/>
      <c r="BJ292" s="1554"/>
      <c r="BK292" s="1554"/>
      <c r="BL292" s="1554"/>
      <c r="BM292" s="1554"/>
      <c r="BN292" s="1554"/>
      <c r="BO292" s="1554"/>
      <c r="BP292" s="1554"/>
      <c r="BQ292" s="1554"/>
      <c r="BR292" s="1554"/>
      <c r="BS292" s="1554"/>
      <c r="BT292" s="1554"/>
      <c r="BU292" s="1554"/>
      <c r="BV292" s="126"/>
      <c r="BW292" s="126"/>
      <c r="BX292" s="126"/>
      <c r="BY292" s="126"/>
      <c r="BZ292" s="126"/>
      <c r="CA292" s="126"/>
      <c r="CB292" s="126"/>
      <c r="CC292" s="126"/>
      <c r="CD292" s="126"/>
    </row>
    <row r="293" spans="1:82" ht="18.75" customHeight="1" x14ac:dyDescent="0.4">
      <c r="A293" s="126"/>
      <c r="B293" s="131"/>
      <c r="C293" s="234" t="s">
        <v>341</v>
      </c>
      <c r="D293" s="134"/>
      <c r="E293" s="126"/>
      <c r="F293" s="126"/>
      <c r="G293" s="126"/>
      <c r="H293" s="126"/>
      <c r="I293" s="126"/>
      <c r="J293" s="126"/>
      <c r="K293" s="126"/>
      <c r="L293" s="126"/>
      <c r="M293" s="126"/>
      <c r="N293" s="126"/>
      <c r="O293" s="126"/>
      <c r="P293" s="1469">
        <f ca="1">P291+P292</f>
        <v>0</v>
      </c>
      <c r="Q293" s="1470"/>
      <c r="R293" s="1470"/>
      <c r="S293" s="1470"/>
      <c r="T293" s="1470"/>
      <c r="U293" s="1470"/>
      <c r="V293" s="1470"/>
      <c r="W293" s="1471"/>
      <c r="X293" s="129"/>
      <c r="Y293" s="131"/>
      <c r="Z293" s="231" t="s">
        <v>350</v>
      </c>
      <c r="AA293" s="128"/>
      <c r="AB293" s="126"/>
      <c r="AC293" s="126"/>
      <c r="AD293" s="126"/>
      <c r="AE293" s="126"/>
      <c r="AF293" s="126"/>
      <c r="AG293" s="126"/>
      <c r="AH293" s="126"/>
      <c r="AI293" s="126"/>
      <c r="AJ293" s="126"/>
      <c r="AK293" s="126"/>
      <c r="AL293" s="126"/>
      <c r="AN293" s="1522" t="str">
        <f ca="1">IFERROR(TRUNC((P289-P293)/(P294+P295),2),"")</f>
        <v/>
      </c>
      <c r="AO293" s="1523"/>
      <c r="AP293" s="1523"/>
      <c r="AQ293" s="1523"/>
      <c r="AR293" s="1523"/>
      <c r="AS293" s="1523"/>
      <c r="AT293" s="1523"/>
      <c r="AU293" s="1524"/>
      <c r="AX293" s="1554"/>
      <c r="AY293" s="1554"/>
      <c r="AZ293" s="1554"/>
      <c r="BA293" s="1554"/>
      <c r="BB293" s="1554"/>
      <c r="BC293" s="1554"/>
      <c r="BD293" s="1554"/>
      <c r="BE293" s="1554"/>
      <c r="BF293" s="1554"/>
      <c r="BG293" s="1554"/>
      <c r="BH293" s="1554"/>
      <c r="BI293" s="1554"/>
      <c r="BJ293" s="1554"/>
      <c r="BK293" s="1554"/>
      <c r="BL293" s="1554"/>
      <c r="BM293" s="1554"/>
      <c r="BN293" s="1554"/>
      <c r="BO293" s="1554"/>
      <c r="BP293" s="1554"/>
      <c r="BQ293" s="1554"/>
      <c r="BR293" s="1554"/>
      <c r="BS293" s="1554"/>
      <c r="BT293" s="1554"/>
      <c r="BU293" s="1554"/>
      <c r="BV293" s="126"/>
      <c r="BW293" s="126"/>
      <c r="BX293" s="126"/>
      <c r="BY293" s="126"/>
      <c r="BZ293" s="126"/>
      <c r="CA293" s="126"/>
      <c r="CB293" s="126"/>
      <c r="CC293" s="126"/>
      <c r="CD293" s="126"/>
    </row>
    <row r="294" spans="1:82" ht="18.75" customHeight="1" x14ac:dyDescent="0.25">
      <c r="A294" s="126"/>
      <c r="B294" s="126"/>
      <c r="C294" s="231" t="s">
        <v>359</v>
      </c>
      <c r="D294" s="128"/>
      <c r="E294" s="126"/>
      <c r="F294" s="126"/>
      <c r="G294" s="126"/>
      <c r="H294" s="126"/>
      <c r="I294" s="126"/>
      <c r="J294" s="126"/>
      <c r="K294" s="126"/>
      <c r="L294" s="126"/>
      <c r="M294" s="126"/>
      <c r="N294" s="126"/>
      <c r="O294" s="126"/>
      <c r="P294" s="1469">
        <f>SUM(BY140,BY146,BY152,BY158,BY164,BY170,BY176,BY182,BY188,BY194,BY200,BY206,BY212,BY218,BY224,BY230,BY236,BY242,BY248,BY254,AE264:AE281)</f>
        <v>0</v>
      </c>
      <c r="Q294" s="1470"/>
      <c r="R294" s="1470"/>
      <c r="S294" s="1470"/>
      <c r="T294" s="1470"/>
      <c r="U294" s="1470"/>
      <c r="V294" s="1470"/>
      <c r="W294" s="1471"/>
      <c r="X294" s="128"/>
      <c r="Y294" s="126"/>
      <c r="Z294" s="231" t="s">
        <v>348</v>
      </c>
      <c r="AA294" s="134"/>
      <c r="AB294" s="126"/>
      <c r="AC294" s="126"/>
      <c r="AD294" s="126"/>
      <c r="AE294" s="126"/>
      <c r="AF294" s="126"/>
      <c r="AG294" s="126"/>
      <c r="AH294" s="126"/>
      <c r="AI294" s="126"/>
      <c r="AJ294" s="126"/>
      <c r="AK294" s="128"/>
      <c r="AL294" s="128"/>
      <c r="AN294" s="1522">
        <f>IFERROR(ROUNDUP(SUM(J103:J112,AZ142,AZ148,AZ154,AZ160,AZ166,AZ172,AZ178,AZ184,AZ190,AZ196,AZ202,AZ208,AZ214,AZ220,AZ226,AZ232,AZ238,AZ244,AZ250,AZ256,BG264:BG281)/SUM(ICApp1IncomeDTI,ICApp2IncomeDTI,ICApp3IncomeDTI,ICApp4IncomeDTI,ICApp5IncomeDTI,ICApp6IncomeDTI),2),0)</f>
        <v>0</v>
      </c>
      <c r="AO294" s="1523"/>
      <c r="AP294" s="1523"/>
      <c r="AQ294" s="1523"/>
      <c r="AR294" s="1523"/>
      <c r="AS294" s="1523"/>
      <c r="AT294" s="1523"/>
      <c r="AU294" s="1524"/>
      <c r="AX294" s="1554"/>
      <c r="AY294" s="1554"/>
      <c r="AZ294" s="1554"/>
      <c r="BA294" s="1554"/>
      <c r="BB294" s="1554"/>
      <c r="BC294" s="1554"/>
      <c r="BD294" s="1554"/>
      <c r="BE294" s="1554"/>
      <c r="BF294" s="1554"/>
      <c r="BG294" s="1554"/>
      <c r="BH294" s="1554"/>
      <c r="BI294" s="1554"/>
      <c r="BJ294" s="1554"/>
      <c r="BK294" s="1554"/>
      <c r="BL294" s="1554"/>
      <c r="BM294" s="1554"/>
      <c r="BN294" s="1554"/>
      <c r="BO294" s="1554"/>
      <c r="BP294" s="1554"/>
      <c r="BQ294" s="1554"/>
      <c r="BR294" s="1554"/>
      <c r="BS294" s="1554"/>
      <c r="BT294" s="1554"/>
      <c r="BU294" s="1554"/>
      <c r="BV294" s="126"/>
      <c r="BW294" s="126"/>
      <c r="BX294" s="126"/>
      <c r="BY294" s="126"/>
      <c r="BZ294" s="126"/>
      <c r="CA294" s="126"/>
      <c r="CB294" s="126"/>
      <c r="CC294" s="126"/>
      <c r="CD294" s="126"/>
    </row>
    <row r="295" spans="1:82" ht="18.75" customHeight="1" x14ac:dyDescent="0.3">
      <c r="A295" s="126"/>
      <c r="B295" s="126"/>
      <c r="C295" s="231" t="s">
        <v>445</v>
      </c>
      <c r="D295" s="134"/>
      <c r="E295" s="126"/>
      <c r="F295" s="126"/>
      <c r="G295" s="126"/>
      <c r="H295" s="126"/>
      <c r="I295" s="126"/>
      <c r="J295" s="126"/>
      <c r="K295" s="126"/>
      <c r="L295" s="126"/>
      <c r="M295" s="126"/>
      <c r="N295" s="128"/>
      <c r="O295" s="128"/>
      <c r="P295" s="1469">
        <f>SUM(AV103:BF112)</f>
        <v>0</v>
      </c>
      <c r="Q295" s="1470"/>
      <c r="R295" s="1470"/>
      <c r="S295" s="1470"/>
      <c r="T295" s="1470"/>
      <c r="U295" s="1470"/>
      <c r="V295" s="1470"/>
      <c r="W295" s="1471"/>
      <c r="X295" s="132"/>
      <c r="Z295" s="232" t="s">
        <v>442</v>
      </c>
      <c r="AA295" s="189"/>
      <c r="AB295" s="190"/>
      <c r="AC295" s="190"/>
      <c r="AD295" s="190"/>
      <c r="AE295" s="190"/>
      <c r="AF295" s="190"/>
      <c r="AG295" s="190"/>
      <c r="AH295" s="126"/>
      <c r="AI295" s="126"/>
      <c r="AJ295" s="126"/>
      <c r="AK295" s="128"/>
      <c r="AN295" s="1503" t="str">
        <f ca="1">IFERROR(IF(AN293="","",IF(COUNTIF('Income Calculation'!$G$84:$G$101,"Decline")&gt;0,"Decline","Pass")),"")</f>
        <v/>
      </c>
      <c r="AO295" s="1504"/>
      <c r="AP295" s="1504"/>
      <c r="AQ295" s="1504"/>
      <c r="AR295" s="1504"/>
      <c r="AS295" s="1504"/>
      <c r="AT295" s="1504"/>
      <c r="AU295" s="1505"/>
      <c r="AX295" s="1555"/>
      <c r="AY295" s="1555"/>
      <c r="AZ295" s="1555"/>
      <c r="BA295" s="1555"/>
      <c r="BB295" s="1555"/>
      <c r="BC295" s="1555"/>
      <c r="BD295" s="1555"/>
      <c r="BE295" s="1555"/>
      <c r="BF295" s="1555"/>
      <c r="BG295" s="1555"/>
      <c r="BH295" s="1555"/>
      <c r="BI295" s="1555"/>
      <c r="BJ295" s="1555"/>
      <c r="BK295" s="1555"/>
      <c r="BL295" s="1555"/>
      <c r="BM295" s="1555"/>
      <c r="BN295" s="1555"/>
      <c r="BO295" s="1555"/>
      <c r="BP295" s="1555"/>
      <c r="BQ295" s="1555"/>
      <c r="BR295" s="1555"/>
      <c r="BS295" s="1555"/>
      <c r="BT295" s="1555"/>
      <c r="BU295" s="1555"/>
      <c r="BV295" s="126"/>
      <c r="BW295" s="126"/>
      <c r="BX295" s="126"/>
      <c r="BY295" s="126"/>
      <c r="BZ295" s="126"/>
      <c r="CA295" s="126"/>
      <c r="CB295" s="126"/>
      <c r="CC295" s="126"/>
      <c r="CD295" s="126"/>
    </row>
    <row r="296" spans="1:82" ht="7.5" customHeight="1" x14ac:dyDescent="0.25">
      <c r="A296" s="126"/>
      <c r="B296" s="126"/>
      <c r="C296" s="126"/>
      <c r="D296" s="126"/>
      <c r="E296" s="126"/>
      <c r="F296" s="126"/>
      <c r="G296" s="126"/>
      <c r="H296" s="126"/>
      <c r="I296" s="126"/>
      <c r="J296" s="126"/>
      <c r="K296" s="126"/>
      <c r="L296" s="126"/>
      <c r="M296" s="126"/>
      <c r="N296" s="135"/>
      <c r="O296" s="135"/>
      <c r="P296" s="135"/>
      <c r="Q296" s="135"/>
      <c r="R296" s="135"/>
      <c r="S296" s="135"/>
      <c r="T296" s="135"/>
      <c r="U296" s="135"/>
      <c r="V296" s="135"/>
      <c r="W296" s="135"/>
      <c r="X296" s="135"/>
      <c r="Y296" s="135"/>
      <c r="Z296" s="135"/>
      <c r="AA296" s="135"/>
      <c r="AB296" s="135"/>
      <c r="AC296" s="135"/>
      <c r="AD296" s="135"/>
      <c r="AE296" s="135"/>
      <c r="AF296" s="135"/>
      <c r="AG296" s="135"/>
      <c r="AH296" s="135"/>
      <c r="AI296" s="135"/>
      <c r="AJ296" s="135"/>
      <c r="AK296" s="126"/>
      <c r="AL296" s="126"/>
      <c r="AM296" s="126"/>
      <c r="AN296" s="126"/>
      <c r="AO296" s="126"/>
      <c r="AP296" s="126"/>
      <c r="AQ296" s="126"/>
      <c r="AR296" s="126"/>
      <c r="AS296" s="126"/>
      <c r="AT296" s="126"/>
      <c r="AU296" s="126"/>
      <c r="AV296" s="126"/>
      <c r="AW296" s="126"/>
      <c r="AX296" s="188"/>
      <c r="AY296" s="188"/>
      <c r="AZ296" s="188"/>
      <c r="BA296" s="188"/>
      <c r="BB296" s="188"/>
      <c r="BC296" s="188"/>
      <c r="BD296" s="188"/>
      <c r="BE296" s="188"/>
      <c r="BF296" s="188"/>
      <c r="BG296" s="188"/>
      <c r="BH296" s="188"/>
      <c r="BI296" s="188"/>
      <c r="BJ296" s="188"/>
      <c r="BK296" s="188"/>
      <c r="BL296" s="188"/>
      <c r="BM296" s="188"/>
      <c r="BN296" s="188"/>
      <c r="BO296" s="188"/>
      <c r="BP296" s="188"/>
      <c r="BQ296" s="188"/>
      <c r="BR296" s="188"/>
      <c r="BS296" s="188"/>
      <c r="BT296" s="188"/>
      <c r="BU296" s="188"/>
      <c r="BV296" s="126"/>
      <c r="BW296" s="126"/>
      <c r="BX296" s="126"/>
      <c r="BY296" s="126"/>
      <c r="BZ296" s="126"/>
      <c r="CA296" s="126"/>
      <c r="CB296" s="126"/>
      <c r="CC296" s="126"/>
      <c r="CD296" s="126"/>
    </row>
    <row r="297" spans="1:82" ht="18.75" customHeight="1" x14ac:dyDescent="0.5">
      <c r="A297" s="139"/>
      <c r="B297" s="1079" t="s">
        <v>286</v>
      </c>
      <c r="C297" s="223"/>
      <c r="D297" s="223"/>
      <c r="E297" s="223"/>
      <c r="F297" s="223"/>
      <c r="G297" s="223"/>
      <c r="H297" s="223"/>
      <c r="I297" s="223"/>
      <c r="J297" s="223"/>
      <c r="K297" s="223"/>
      <c r="L297" s="223"/>
      <c r="M297" s="223"/>
      <c r="N297" s="223"/>
      <c r="O297" s="223"/>
      <c r="P297" s="223"/>
      <c r="Q297" s="223"/>
      <c r="R297" s="223"/>
      <c r="S297" s="223"/>
      <c r="T297" s="223"/>
      <c r="U297" s="140"/>
      <c r="V297" s="140"/>
      <c r="W297" s="140"/>
      <c r="X297" s="140"/>
      <c r="Y297" s="140"/>
      <c r="Z297" s="140"/>
      <c r="AA297" s="140"/>
      <c r="AB297" s="140"/>
      <c r="AC297" s="140"/>
      <c r="AD297" s="140"/>
      <c r="AE297" s="140"/>
      <c r="AF297" s="140"/>
      <c r="AG297" s="140"/>
      <c r="AH297" s="140"/>
      <c r="AI297" s="140"/>
      <c r="AJ297" s="140"/>
      <c r="AK297" s="85"/>
      <c r="AL297" s="85"/>
      <c r="AM297" s="85"/>
      <c r="AN297" s="85"/>
      <c r="AO297" s="85"/>
      <c r="AP297" s="85"/>
      <c r="AQ297" s="85"/>
      <c r="AR297" s="85"/>
      <c r="AS297" s="85"/>
      <c r="AT297" s="85"/>
      <c r="AU297" s="85"/>
      <c r="AV297" s="85"/>
      <c r="AW297" s="85"/>
      <c r="AX297" s="85"/>
      <c r="AY297" s="85"/>
      <c r="AZ297" s="85"/>
      <c r="BA297" s="85"/>
      <c r="BB297" s="85"/>
      <c r="BC297" s="85"/>
      <c r="BD297" s="85"/>
      <c r="BE297" s="85"/>
      <c r="BF297" s="85"/>
      <c r="BG297" s="85"/>
      <c r="BH297" s="85"/>
      <c r="BI297" s="85"/>
      <c r="BJ297" s="85"/>
      <c r="BK297" s="85"/>
      <c r="BL297" s="85"/>
      <c r="BM297" s="85"/>
      <c r="BN297" s="85"/>
      <c r="BO297" s="85"/>
      <c r="BP297" s="85"/>
      <c r="BQ297" s="85"/>
      <c r="BR297" s="85"/>
      <c r="BS297" s="85"/>
      <c r="BT297" s="85"/>
      <c r="BU297" s="85"/>
      <c r="BV297" s="85"/>
      <c r="BW297" s="85"/>
      <c r="BX297" s="85"/>
      <c r="BY297" s="85"/>
      <c r="BZ297" s="85"/>
      <c r="CA297" s="85"/>
      <c r="CB297" s="85"/>
      <c r="CC297" s="85"/>
      <c r="CD297" s="85"/>
    </row>
    <row r="298" spans="1:82" ht="7.5" customHeight="1" x14ac:dyDescent="0.25"/>
    <row r="299" spans="1:82" ht="18.75" customHeight="1" x14ac:dyDescent="0.35">
      <c r="A299" s="136"/>
      <c r="B299" s="136"/>
      <c r="C299" s="510" t="s">
        <v>46</v>
      </c>
      <c r="D299" s="136"/>
      <c r="E299" s="136"/>
      <c r="F299" s="136"/>
      <c r="G299" s="136"/>
      <c r="H299" s="136"/>
      <c r="I299" s="136"/>
      <c r="J299" s="136"/>
      <c r="K299" s="136"/>
      <c r="L299" s="136"/>
      <c r="M299" s="136"/>
      <c r="N299" s="137"/>
      <c r="O299" s="137"/>
      <c r="P299" s="1579"/>
      <c r="Q299" s="1580"/>
      <c r="R299" s="1580"/>
      <c r="S299" s="1580"/>
      <c r="T299" s="1580"/>
      <c r="U299" s="1580"/>
      <c r="V299" s="1580"/>
      <c r="W299" s="1581"/>
      <c r="Z299" s="511" t="s">
        <v>426</v>
      </c>
      <c r="AN299" s="1469">
        <f ca="1">IF(ICDSCMinRequired="N/A",0,MAX(0,IF(AN289&lt;=0,0,IF(OR(ISBLANK(SCSBorrowingCapacityRate),ISBLANK(SCSBorrowingCapacityTerm)),0,-PV(MAX(SCSBorrowingCapacityRate+$AJ$99,FloorRateMCAR)/12,SCSBorrowingCapacityTerm*12,((P289-P293)/ICDSCMinRequired)-P294)))))</f>
        <v>0</v>
      </c>
      <c r="AO299" s="1470"/>
      <c r="AP299" s="1470"/>
      <c r="AQ299" s="1470"/>
      <c r="AR299" s="1470"/>
      <c r="AS299" s="1470"/>
      <c r="AT299" s="1470"/>
      <c r="AU299" s="1471"/>
    </row>
    <row r="300" spans="1:82" ht="18.75" customHeight="1" x14ac:dyDescent="0.35">
      <c r="A300" s="136"/>
      <c r="B300" s="136"/>
      <c r="C300" s="510" t="s">
        <v>349</v>
      </c>
      <c r="D300" s="136"/>
      <c r="E300" s="136"/>
      <c r="F300" s="136"/>
      <c r="G300" s="136"/>
      <c r="H300" s="136"/>
      <c r="I300" s="136"/>
      <c r="J300" s="136"/>
      <c r="K300" s="136"/>
      <c r="L300" s="136"/>
      <c r="M300" s="136"/>
      <c r="N300" s="137"/>
      <c r="O300" s="137"/>
      <c r="P300" s="1576">
        <v>30</v>
      </c>
      <c r="Q300" s="1577"/>
      <c r="R300" s="1577"/>
      <c r="S300" s="1577"/>
      <c r="T300" s="1577"/>
      <c r="U300" s="1577"/>
      <c r="V300" s="1577"/>
      <c r="W300" s="1578"/>
      <c r="Z300" s="511" t="s">
        <v>425</v>
      </c>
      <c r="AN300" s="1469">
        <f ca="1">IF(ICDSCMinRequired="N/A",0,MAX(0,IF(AN289&lt;=0,0,IF(OR(ISBLANK(SCSBorrowingCapacityRate),ISBLANK(SCSBorrowingCapacityTerm)),0,-PV(MAX(SCSBorrowingCapacityRate+$AJ$99,FloorRateMCAR)/12,SCSBorrowingCapacityTerm*12,((P289-P293)/ICDSCMinRequired)-(P294+P295))))))</f>
        <v>0</v>
      </c>
      <c r="AO300" s="1470"/>
      <c r="AP300" s="1470"/>
      <c r="AQ300" s="1470"/>
      <c r="AR300" s="1470"/>
      <c r="AS300" s="1470"/>
      <c r="AT300" s="1470"/>
      <c r="AU300" s="1471"/>
    </row>
    <row r="301" spans="1:82" ht="7.5" customHeight="1" x14ac:dyDescent="0.5">
      <c r="A301" s="126"/>
      <c r="C301" s="116"/>
      <c r="P301" s="138"/>
      <c r="Q301" s="138"/>
    </row>
    <row r="302" spans="1:82" ht="18.75" hidden="1" customHeight="1" x14ac:dyDescent="0.5">
      <c r="A302" s="86"/>
      <c r="B302" s="1155" t="s">
        <v>1408</v>
      </c>
      <c r="C302" s="861"/>
      <c r="D302" s="861"/>
      <c r="E302" s="861"/>
      <c r="F302" s="861"/>
      <c r="G302" s="861"/>
      <c r="H302" s="861"/>
      <c r="I302" s="861"/>
      <c r="J302" s="861"/>
      <c r="K302" s="861"/>
      <c r="L302" s="861"/>
      <c r="M302" s="861"/>
      <c r="N302" s="861"/>
      <c r="O302" s="861"/>
      <c r="P302" s="861"/>
      <c r="Q302" s="861"/>
      <c r="R302" s="861"/>
      <c r="S302" s="861"/>
      <c r="T302" s="861"/>
      <c r="U302" s="862"/>
      <c r="V302" s="862"/>
      <c r="W302" s="862"/>
      <c r="X302" s="862"/>
      <c r="Y302" s="862"/>
      <c r="Z302" s="862"/>
      <c r="AA302" s="862"/>
      <c r="AB302" s="862"/>
      <c r="AC302" s="862"/>
      <c r="AD302" s="862"/>
      <c r="AE302" s="862"/>
      <c r="AF302" s="862"/>
      <c r="AG302" s="862"/>
      <c r="AH302" s="862"/>
      <c r="AI302" s="862"/>
      <c r="AJ302" s="862"/>
      <c r="AK302" s="862"/>
      <c r="AL302" s="862"/>
      <c r="AM302" s="862"/>
      <c r="AN302" s="862"/>
      <c r="AO302" s="862"/>
      <c r="AP302" s="862"/>
      <c r="AQ302" s="862"/>
      <c r="AR302" s="862"/>
      <c r="AS302" s="862"/>
      <c r="AT302" s="862"/>
      <c r="AU302" s="862"/>
      <c r="AV302" s="862"/>
      <c r="AW302" s="862"/>
      <c r="AX302" s="862"/>
      <c r="AY302" s="862"/>
      <c r="AZ302" s="862"/>
      <c r="BA302" s="862"/>
      <c r="BB302" s="862"/>
      <c r="BC302" s="862"/>
      <c r="BD302" s="862"/>
      <c r="BE302" s="862"/>
      <c r="BF302" s="862"/>
      <c r="BG302" s="862"/>
      <c r="BH302" s="862"/>
      <c r="BI302" s="862"/>
      <c r="BJ302" s="862"/>
      <c r="BK302" s="862"/>
      <c r="BL302" s="862"/>
      <c r="BM302" s="862"/>
      <c r="BN302" s="862"/>
      <c r="BO302" s="862"/>
      <c r="BP302" s="862"/>
      <c r="BQ302" s="862"/>
      <c r="BR302" s="862"/>
      <c r="BS302" s="862"/>
      <c r="BT302" s="862"/>
      <c r="BU302" s="862"/>
      <c r="BV302" s="86"/>
      <c r="BW302" s="86"/>
      <c r="BX302" s="86"/>
      <c r="BY302" s="86"/>
      <c r="BZ302" s="86"/>
      <c r="CA302" s="86"/>
      <c r="CB302" s="86"/>
      <c r="CC302" s="86"/>
      <c r="CD302" s="86"/>
    </row>
    <row r="303" spans="1:82" ht="6.75" hidden="1" customHeight="1" x14ac:dyDescent="0.4">
      <c r="A303" s="126"/>
      <c r="B303" s="127"/>
      <c r="C303" s="127"/>
      <c r="D303" s="127"/>
      <c r="E303" s="127"/>
      <c r="F303" s="127"/>
      <c r="G303" s="127"/>
      <c r="H303" s="127"/>
      <c r="I303" s="127"/>
      <c r="J303" s="127"/>
      <c r="K303" s="127"/>
      <c r="L303" s="127"/>
      <c r="M303" s="127"/>
      <c r="N303" s="127"/>
      <c r="O303" s="127"/>
      <c r="P303" s="127"/>
      <c r="Q303" s="127"/>
      <c r="R303" s="127"/>
      <c r="S303" s="127"/>
      <c r="T303" s="127"/>
      <c r="U303" s="128"/>
      <c r="V303" s="129"/>
      <c r="W303" s="129"/>
      <c r="X303" s="129"/>
      <c r="Y303" s="129"/>
      <c r="Z303" s="129"/>
      <c r="AA303" s="129"/>
      <c r="AB303" s="129"/>
      <c r="AC303" s="129"/>
      <c r="AD303" s="129"/>
      <c r="AE303" s="129"/>
      <c r="AF303" s="129"/>
      <c r="AG303" s="129"/>
      <c r="AH303" s="129"/>
      <c r="AI303" s="129"/>
      <c r="AJ303" s="129"/>
      <c r="AK303" s="129"/>
      <c r="AL303" s="129"/>
      <c r="AM303" s="129"/>
      <c r="AN303" s="129"/>
      <c r="AO303" s="129"/>
      <c r="AP303" s="129"/>
      <c r="AQ303" s="129"/>
      <c r="AR303" s="129"/>
      <c r="AS303" s="128"/>
      <c r="AT303" s="129"/>
      <c r="AU303" s="129"/>
      <c r="AV303" s="129"/>
      <c r="AW303" s="129"/>
      <c r="AX303" s="129"/>
      <c r="AY303" s="129"/>
      <c r="AZ303" s="129"/>
      <c r="BA303" s="129"/>
      <c r="BB303" s="129"/>
      <c r="BC303" s="129"/>
      <c r="BD303" s="129"/>
      <c r="BE303" s="129"/>
      <c r="BF303" s="129"/>
      <c r="BG303" s="129"/>
      <c r="BH303" s="129"/>
      <c r="BI303" s="129"/>
      <c r="BJ303" s="129"/>
      <c r="BK303" s="129"/>
      <c r="BL303" s="129"/>
      <c r="BM303" s="129"/>
      <c r="BN303" s="129"/>
      <c r="BO303" s="129"/>
      <c r="BP303" s="129"/>
      <c r="BQ303" s="128"/>
      <c r="BR303" s="128"/>
      <c r="BS303" s="128"/>
      <c r="BT303" s="128"/>
      <c r="BU303" s="128"/>
      <c r="BV303" s="126"/>
      <c r="BW303" s="126"/>
      <c r="BX303" s="126"/>
      <c r="BY303" s="126"/>
      <c r="BZ303" s="126"/>
      <c r="CA303" s="126"/>
      <c r="CB303" s="126"/>
      <c r="CC303" s="126"/>
      <c r="CD303" s="126"/>
    </row>
    <row r="304" spans="1:82" ht="18.75" hidden="1" customHeight="1" x14ac:dyDescent="0.4">
      <c r="A304" s="126"/>
      <c r="B304" s="233" t="s">
        <v>16</v>
      </c>
      <c r="C304" s="126"/>
      <c r="D304" s="126"/>
      <c r="E304" s="126"/>
      <c r="F304" s="126"/>
      <c r="G304" s="126"/>
      <c r="H304" s="126"/>
      <c r="I304" s="126"/>
      <c r="J304" s="126"/>
      <c r="K304" s="126"/>
      <c r="L304" s="126"/>
      <c r="M304" s="126"/>
      <c r="N304" s="128"/>
      <c r="O304" s="128"/>
      <c r="P304" s="128"/>
      <c r="Q304" s="128"/>
      <c r="R304" s="128"/>
      <c r="S304" s="128"/>
      <c r="T304" s="128"/>
      <c r="U304" s="128"/>
      <c r="V304" s="131"/>
      <c r="W304" s="128"/>
      <c r="X304" s="128"/>
      <c r="Y304" s="233" t="s">
        <v>342</v>
      </c>
      <c r="Z304" s="126"/>
      <c r="AB304" s="132"/>
      <c r="AC304" s="126"/>
      <c r="AD304" s="126"/>
      <c r="AE304" s="126"/>
      <c r="AF304" s="126"/>
      <c r="AG304" s="126"/>
      <c r="AH304" s="126"/>
      <c r="AI304" s="126"/>
      <c r="AJ304" s="126"/>
      <c r="AK304" s="126"/>
      <c r="AL304" s="133"/>
      <c r="AM304" s="133"/>
      <c r="AN304" s="133"/>
      <c r="AO304" s="133"/>
      <c r="AP304" s="133"/>
      <c r="AQ304" s="133"/>
      <c r="AR304" s="133"/>
      <c r="AS304" s="133"/>
      <c r="AT304" s="132"/>
      <c r="AU304" s="132"/>
      <c r="AX304" s="130"/>
      <c r="AZ304" s="233" t="s">
        <v>1410</v>
      </c>
      <c r="BA304" s="126"/>
      <c r="BC304" s="132"/>
      <c r="BD304" s="126"/>
      <c r="BE304" s="126"/>
      <c r="BF304" s="126"/>
      <c r="BG304" s="126"/>
      <c r="BH304" s="126"/>
      <c r="BI304" s="126"/>
      <c r="BJ304" s="126"/>
      <c r="BK304" s="126"/>
      <c r="BL304" s="126"/>
      <c r="BM304" s="133"/>
      <c r="BN304" s="133"/>
      <c r="BO304" s="133"/>
      <c r="BP304" s="133"/>
      <c r="BQ304" s="133"/>
      <c r="BR304" s="133"/>
      <c r="BS304" s="133"/>
      <c r="BT304" s="133"/>
      <c r="BU304" s="132"/>
      <c r="BV304" s="132"/>
      <c r="BW304" s="126"/>
      <c r="BX304" s="126"/>
      <c r="BY304" s="126"/>
      <c r="BZ304" s="126"/>
      <c r="CA304" s="126"/>
      <c r="CB304" s="126"/>
      <c r="CC304" s="126"/>
      <c r="CD304" s="126"/>
    </row>
    <row r="305" spans="1:82" ht="18.75" hidden="1" customHeight="1" x14ac:dyDescent="0.4">
      <c r="A305" s="126"/>
      <c r="B305" s="131"/>
      <c r="C305" s="231" t="s">
        <v>346</v>
      </c>
      <c r="D305" s="132"/>
      <c r="E305" s="132"/>
      <c r="F305" s="132"/>
      <c r="G305" s="132"/>
      <c r="H305" s="132"/>
      <c r="I305" s="132"/>
      <c r="J305" s="132"/>
      <c r="K305" s="132"/>
      <c r="L305" s="132"/>
      <c r="M305" s="132"/>
      <c r="N305" s="132"/>
      <c r="O305" s="132"/>
      <c r="P305" s="1469">
        <f>SUM(SCAApp1TotalNet,SCAApp2TotalNet,SCAApp3TotalNet,SCAApp4TotalNet,SCAApp5TotalNet,SCAApp6TotalNet)</f>
        <v>16071.833333333334</v>
      </c>
      <c r="Q305" s="1470"/>
      <c r="R305" s="1470"/>
      <c r="S305" s="1470"/>
      <c r="T305" s="1470"/>
      <c r="U305" s="1470"/>
      <c r="V305" s="1470"/>
      <c r="W305" s="1471"/>
      <c r="X305" s="134"/>
      <c r="Y305" s="131"/>
      <c r="Z305" s="231" t="s">
        <v>343</v>
      </c>
      <c r="AB305" s="126"/>
      <c r="AC305" s="126"/>
      <c r="AD305" s="126"/>
      <c r="AE305" s="126"/>
      <c r="AF305" s="126"/>
      <c r="AG305" s="126"/>
      <c r="AH305" s="126"/>
      <c r="AI305" s="126"/>
      <c r="AJ305" s="126"/>
      <c r="AK305" s="126"/>
      <c r="AL305" s="133"/>
      <c r="AM305" s="133"/>
      <c r="AN305" s="1469">
        <f ca="1">P305-P309</f>
        <v>16071.833333333334</v>
      </c>
      <c r="AO305" s="1470"/>
      <c r="AP305" s="1470"/>
      <c r="AQ305" s="1470"/>
      <c r="AR305" s="1470"/>
      <c r="AS305" s="1470"/>
      <c r="AT305" s="1470">
        <f>SUM(SCAApp1HEM,SCAApp2HEM,SCAApp3HEM,SCAApp4HEM,SCAApp5HEM,SCAApp6HEM)</f>
        <v>0</v>
      </c>
      <c r="AU305" s="1471"/>
      <c r="AZ305" s="131"/>
      <c r="BA305" s="231" t="s">
        <v>1409</v>
      </c>
      <c r="BC305" s="126"/>
      <c r="BD305" s="126"/>
      <c r="BE305" s="126"/>
      <c r="BF305" s="126"/>
      <c r="BG305" s="126"/>
      <c r="BH305" s="126"/>
      <c r="BI305" s="126"/>
      <c r="BJ305" s="126"/>
      <c r="BK305" s="126"/>
      <c r="BL305" s="126"/>
      <c r="BM305" s="133"/>
      <c r="BN305" s="133"/>
      <c r="BP305" s="1469">
        <f>SUM(ROUNDUP('Customer Declared Expenses'!D33*'Customer Declared Expenses'!D10,2),ROUNDUP('Customer Declared Expenses'!F33*'Customer Declared Expenses'!F10,2),ROUNDUP('Customer Declared Expenses'!H33*'Customer Declared Expenses'!H10,2),ROUNDUP('Customer Declared Expenses'!J33*'Customer Declared Expenses'!J10,2),ROUNDUP('Customer Declared Expenses'!L33*'Customer Declared Expenses'!L10,2),ROUNDUP('Customer Declared Expenses'!N33*'Customer Declared Expenses'!N10,2))</f>
        <v>0</v>
      </c>
      <c r="BQ305" s="1470"/>
      <c r="BR305" s="1470"/>
      <c r="BS305" s="1470"/>
      <c r="BT305" s="1470"/>
      <c r="BU305" s="1470"/>
      <c r="BV305" s="1470"/>
      <c r="BW305" s="1471"/>
      <c r="BX305" s="126"/>
      <c r="BY305" s="1560" t="s">
        <v>1415</v>
      </c>
      <c r="BZ305" s="1560"/>
      <c r="CA305" s="1560"/>
      <c r="CB305" s="1560"/>
      <c r="CC305" s="1560"/>
      <c r="CD305" s="126"/>
    </row>
    <row r="306" spans="1:82" ht="18.75" hidden="1" customHeight="1" x14ac:dyDescent="0.4">
      <c r="A306" s="126"/>
      <c r="B306" s="233" t="s">
        <v>444</v>
      </c>
      <c r="C306" s="229"/>
      <c r="D306" s="229"/>
      <c r="E306" s="229"/>
      <c r="F306" s="229"/>
      <c r="G306" s="229"/>
      <c r="H306" s="229"/>
      <c r="I306" s="229"/>
      <c r="J306" s="229"/>
      <c r="K306" s="229"/>
      <c r="L306" s="229"/>
      <c r="M306" s="229"/>
      <c r="N306" s="229"/>
      <c r="O306" s="229"/>
      <c r="P306" s="132"/>
      <c r="Q306" s="132"/>
      <c r="R306" s="132"/>
      <c r="S306" s="132"/>
      <c r="T306" s="132"/>
      <c r="U306" s="133"/>
      <c r="V306" s="132"/>
      <c r="W306" s="132"/>
      <c r="X306" s="132"/>
      <c r="Y306" s="126"/>
      <c r="Z306" s="231" t="s">
        <v>344</v>
      </c>
      <c r="AB306" s="126"/>
      <c r="AC306" s="126"/>
      <c r="AD306" s="126"/>
      <c r="AE306" s="126"/>
      <c r="AF306" s="126"/>
      <c r="AG306" s="126"/>
      <c r="AH306" s="126"/>
      <c r="AI306" s="126"/>
      <c r="AJ306" s="126"/>
      <c r="AK306" s="126"/>
      <c r="AL306" s="133"/>
      <c r="AM306" s="133"/>
      <c r="AN306" s="1469">
        <f ca="1">AN305-P310</f>
        <v>16071.833333333334</v>
      </c>
      <c r="AO306" s="1470"/>
      <c r="AP306" s="1470"/>
      <c r="AQ306" s="1470"/>
      <c r="AR306" s="1470"/>
      <c r="AS306" s="1470"/>
      <c r="AT306" s="1470"/>
      <c r="AU306" s="1471"/>
      <c r="AZ306" s="126"/>
      <c r="BA306" s="231" t="s">
        <v>1411</v>
      </c>
      <c r="BC306" s="126"/>
      <c r="BD306" s="126"/>
      <c r="BE306" s="126"/>
      <c r="BF306" s="126"/>
      <c r="BG306" s="126"/>
      <c r="BH306" s="126"/>
      <c r="BI306" s="126"/>
      <c r="BJ306" s="126"/>
      <c r="BK306" s="126"/>
      <c r="BL306" s="126"/>
      <c r="BM306" s="133"/>
      <c r="BN306" s="133"/>
      <c r="BP306" s="1547"/>
      <c r="BQ306" s="1548"/>
      <c r="BR306" s="1548"/>
      <c r="BS306" s="1548"/>
      <c r="BT306" s="1548"/>
      <c r="BU306" s="1548"/>
      <c r="BV306" s="1548"/>
      <c r="BW306" s="1549"/>
      <c r="BX306" s="126"/>
      <c r="BY306" s="1561"/>
      <c r="BZ306" s="1561"/>
      <c r="CA306" s="1561"/>
      <c r="CB306" s="1561"/>
      <c r="CC306" s="1561"/>
      <c r="CD306" s="126"/>
    </row>
    <row r="307" spans="1:82" ht="18.75" hidden="1" customHeight="1" x14ac:dyDescent="0.35">
      <c r="A307" s="126"/>
      <c r="B307" s="131"/>
      <c r="C307" s="231" t="s">
        <v>339</v>
      </c>
      <c r="D307" s="128"/>
      <c r="E307" s="128"/>
      <c r="F307" s="128"/>
      <c r="G307" s="128"/>
      <c r="H307" s="128"/>
      <c r="I307" s="128"/>
      <c r="J307" s="128"/>
      <c r="K307" s="128"/>
      <c r="L307" s="128"/>
      <c r="M307" s="128"/>
      <c r="N307" s="128"/>
      <c r="O307" s="128"/>
      <c r="P307" s="1469">
        <f>SUM('Expense Calculation'!$AA$8:$AA$13)</f>
        <v>0</v>
      </c>
      <c r="Q307" s="1470"/>
      <c r="R307" s="1470"/>
      <c r="S307" s="1470"/>
      <c r="T307" s="1470"/>
      <c r="U307" s="1470"/>
      <c r="V307" s="1470"/>
      <c r="W307" s="1471"/>
      <c r="X307" s="132"/>
      <c r="Y307" s="132"/>
      <c r="Z307" s="231" t="s">
        <v>345</v>
      </c>
      <c r="AB307" s="126"/>
      <c r="AC307" s="126"/>
      <c r="AD307" s="126"/>
      <c r="AE307" s="126"/>
      <c r="AF307" s="126"/>
      <c r="AG307" s="126"/>
      <c r="AH307" s="126"/>
      <c r="AI307" s="126"/>
      <c r="AJ307" s="126"/>
      <c r="AK307" s="126"/>
      <c r="AL307" s="126"/>
      <c r="AM307" s="126"/>
      <c r="AN307" s="1469">
        <f ca="1">AN306-P311</f>
        <v>16071.833333333334</v>
      </c>
      <c r="AO307" s="1470"/>
      <c r="AP307" s="1470"/>
      <c r="AQ307" s="1470"/>
      <c r="AR307" s="1470"/>
      <c r="AS307" s="1470"/>
      <c r="AT307" s="1470"/>
      <c r="AU307" s="1471"/>
      <c r="AZ307" s="233" t="s">
        <v>338</v>
      </c>
      <c r="BW307" s="126"/>
      <c r="BX307" s="126"/>
      <c r="BY307" s="1561"/>
      <c r="BZ307" s="1561"/>
      <c r="CA307" s="1561"/>
      <c r="CB307" s="1561"/>
      <c r="CC307" s="1561"/>
      <c r="CD307" s="126"/>
    </row>
    <row r="308" spans="1:82" ht="18.75" hidden="1" customHeight="1" x14ac:dyDescent="0.4">
      <c r="A308" s="126"/>
      <c r="C308" s="231" t="s">
        <v>1413</v>
      </c>
      <c r="D308" s="134"/>
      <c r="E308" s="128"/>
      <c r="F308" s="128"/>
      <c r="G308" s="128"/>
      <c r="H308" s="128"/>
      <c r="I308" s="128"/>
      <c r="J308" s="128"/>
      <c r="L308" s="128"/>
      <c r="M308" s="128"/>
      <c r="N308" s="128"/>
      <c r="O308" s="128"/>
      <c r="P308" s="1469">
        <f ca="1">SUM(SCAApp1NonCompCDE,SCAApp1CDERent,SCAApp2NonCompCDE,SCAApp2CDERent,SCAApp3NonCompCDE,SCAApp3CDERent,SCAApp4NonCompCDE,SCAApp4CDERent,SCAApp5NonCompCDE,SCAApp5CDERent,SCAApp6NonCompCDE,SCAApp6CDERent)-BP305+BP306</f>
        <v>0</v>
      </c>
      <c r="Q308" s="1470"/>
      <c r="R308" s="1470"/>
      <c r="S308" s="1470"/>
      <c r="T308" s="1470"/>
      <c r="U308" s="1470"/>
      <c r="V308" s="1470"/>
      <c r="W308" s="1471"/>
      <c r="X308" s="129"/>
      <c r="Y308" s="233" t="s">
        <v>347</v>
      </c>
      <c r="Z308" s="229"/>
      <c r="AA308" s="229"/>
      <c r="AB308" s="229"/>
      <c r="AC308" s="229"/>
      <c r="AD308" s="229"/>
      <c r="AE308" s="229"/>
      <c r="AF308" s="229"/>
      <c r="AG308" s="229"/>
      <c r="AH308" s="229"/>
      <c r="AI308" s="229"/>
      <c r="AJ308" s="229"/>
      <c r="AK308" s="229"/>
      <c r="AL308" s="229"/>
      <c r="AM308" s="126"/>
      <c r="AN308" s="126"/>
      <c r="AO308" s="126"/>
      <c r="AP308" s="126"/>
      <c r="AQ308" s="126"/>
      <c r="AR308" s="126"/>
      <c r="AS308" s="126"/>
      <c r="AT308" s="128"/>
      <c r="AU308" s="128"/>
      <c r="BA308" s="231" t="s">
        <v>1422</v>
      </c>
      <c r="BB308" s="128"/>
      <c r="BC308" s="126"/>
      <c r="BD308" s="126"/>
      <c r="BE308" s="126"/>
      <c r="BF308" s="126"/>
      <c r="BG308" s="126"/>
      <c r="BH308" s="126"/>
      <c r="BI308" s="126"/>
      <c r="BJ308" s="126"/>
      <c r="BK308" s="126"/>
      <c r="BL308" s="126"/>
      <c r="BM308" s="126"/>
      <c r="BP308" s="1522" t="str">
        <f ca="1">SCSMeasureDSC</f>
        <v/>
      </c>
      <c r="BQ308" s="1523"/>
      <c r="BR308" s="1523"/>
      <c r="BS308" s="1523"/>
      <c r="BT308" s="1523"/>
      <c r="BU308" s="1523"/>
      <c r="BV308" s="1523"/>
      <c r="BW308" s="1524"/>
      <c r="BX308" s="126"/>
      <c r="BY308" s="1561"/>
      <c r="BZ308" s="1561"/>
      <c r="CA308" s="1561"/>
      <c r="CB308" s="1561"/>
      <c r="CC308" s="1561"/>
      <c r="CD308" s="126"/>
    </row>
    <row r="309" spans="1:82" ht="18.75" hidden="1" customHeight="1" x14ac:dyDescent="0.4">
      <c r="A309" s="126"/>
      <c r="B309" s="131"/>
      <c r="C309" s="234" t="s">
        <v>341</v>
      </c>
      <c r="D309" s="134"/>
      <c r="E309" s="126"/>
      <c r="F309" s="126"/>
      <c r="G309" s="126"/>
      <c r="H309" s="126"/>
      <c r="I309" s="126"/>
      <c r="J309" s="126"/>
      <c r="K309" s="126"/>
      <c r="L309" s="126"/>
      <c r="M309" s="126"/>
      <c r="N309" s="126"/>
      <c r="O309" s="126"/>
      <c r="P309" s="1469">
        <f ca="1">P307+P308</f>
        <v>0</v>
      </c>
      <c r="Q309" s="1470"/>
      <c r="R309" s="1470"/>
      <c r="S309" s="1470"/>
      <c r="T309" s="1470"/>
      <c r="U309" s="1470"/>
      <c r="V309" s="1470"/>
      <c r="W309" s="1471"/>
      <c r="X309" s="129"/>
      <c r="Y309" s="131"/>
      <c r="Z309" s="231" t="s">
        <v>1419</v>
      </c>
      <c r="AA309" s="128"/>
      <c r="AB309" s="126"/>
      <c r="AC309" s="126"/>
      <c r="AD309" s="126"/>
      <c r="AE309" s="126"/>
      <c r="AF309" s="126"/>
      <c r="AG309" s="126"/>
      <c r="AH309" s="126"/>
      <c r="AI309" s="126"/>
      <c r="AJ309" s="126"/>
      <c r="AK309" s="126"/>
      <c r="AL309" s="126"/>
      <c r="AN309" s="1522" t="str">
        <f ca="1">IFERROR(TRUNC((P305-P309)/(P310+P311),2),"")</f>
        <v/>
      </c>
      <c r="AO309" s="1523"/>
      <c r="AP309" s="1523"/>
      <c r="AQ309" s="1523"/>
      <c r="AR309" s="1523"/>
      <c r="AS309" s="1523"/>
      <c r="AT309" s="1523"/>
      <c r="AU309" s="1524"/>
      <c r="BA309" s="231" t="s">
        <v>1423</v>
      </c>
      <c r="BB309" s="128"/>
      <c r="BC309" s="126"/>
      <c r="BD309" s="126"/>
      <c r="BE309" s="126"/>
      <c r="BF309" s="126"/>
      <c r="BG309" s="126"/>
      <c r="BH309" s="126"/>
      <c r="BI309" s="126"/>
      <c r="BJ309" s="126"/>
      <c r="BK309" s="126"/>
      <c r="BL309" s="126"/>
      <c r="BM309" s="126"/>
      <c r="BP309" s="1522" t="str">
        <f ca="1">AN309</f>
        <v/>
      </c>
      <c r="BQ309" s="1523"/>
      <c r="BR309" s="1523"/>
      <c r="BS309" s="1523"/>
      <c r="BT309" s="1523"/>
      <c r="BU309" s="1523"/>
      <c r="BV309" s="1523"/>
      <c r="BW309" s="1524"/>
      <c r="BX309" s="126"/>
      <c r="BY309" s="1561"/>
      <c r="BZ309" s="1561"/>
      <c r="CA309" s="1561"/>
      <c r="CB309" s="1561"/>
      <c r="CC309" s="1561"/>
      <c r="CD309" s="126"/>
    </row>
    <row r="310" spans="1:82" ht="18.75" hidden="1" customHeight="1" x14ac:dyDescent="0.25">
      <c r="A310" s="126"/>
      <c r="B310" s="126"/>
      <c r="C310" s="231" t="s">
        <v>359</v>
      </c>
      <c r="D310" s="128"/>
      <c r="E310" s="126"/>
      <c r="F310" s="126"/>
      <c r="G310" s="126"/>
      <c r="H310" s="126"/>
      <c r="I310" s="126"/>
      <c r="J310" s="126"/>
      <c r="K310" s="126"/>
      <c r="L310" s="126"/>
      <c r="M310" s="126"/>
      <c r="N310" s="126"/>
      <c r="O310" s="126"/>
      <c r="P310" s="1469">
        <f>SUM(BY140,BY146,BY152,BY158,BY164,BY170,BY176,BY182,BY188,BY194,BY200,BY206,BY212,BY218,BY224,BY230,BY236,BY242,BY248,BY254,AE264:AE281)</f>
        <v>0</v>
      </c>
      <c r="Q310" s="1470"/>
      <c r="R310" s="1470"/>
      <c r="S310" s="1470"/>
      <c r="T310" s="1470"/>
      <c r="U310" s="1470"/>
      <c r="V310" s="1470"/>
      <c r="W310" s="1471"/>
      <c r="X310" s="128"/>
      <c r="Y310" s="126"/>
      <c r="Z310" s="231" t="s">
        <v>348</v>
      </c>
      <c r="AA310" s="134"/>
      <c r="AB310" s="126"/>
      <c r="AC310" s="126"/>
      <c r="AD310" s="126"/>
      <c r="AE310" s="126"/>
      <c r="AF310" s="126"/>
      <c r="AG310" s="126"/>
      <c r="AH310" s="126"/>
      <c r="AI310" s="126"/>
      <c r="AJ310" s="126"/>
      <c r="AK310" s="128"/>
      <c r="AL310" s="128"/>
      <c r="AN310" s="1522">
        <f>IFERROR(ROUNDUP(SUM(J103:J112,AZ142,AZ148,AZ154,AZ160,AZ166,AZ172,AZ178,AZ184,AZ190,AZ196,AZ202,AZ208,AZ214,AZ220,AZ226,AZ232,AZ238,AZ244,AZ250,AZ256,BG264:BG281)/SUM(ICApp1IncomeDTI,ICApp2IncomeDTI,ICApp3IncomeDTI,ICApp4IncomeDTI,ICApp5IncomeDTI,ICApp6IncomeDTI),2),0)</f>
        <v>0</v>
      </c>
      <c r="AO310" s="1523"/>
      <c r="AP310" s="1523"/>
      <c r="AQ310" s="1523"/>
      <c r="AR310" s="1523"/>
      <c r="AS310" s="1523"/>
      <c r="AT310" s="1523"/>
      <c r="AU310" s="1524"/>
      <c r="BA310" s="231" t="s">
        <v>1424</v>
      </c>
      <c r="BB310" s="128"/>
      <c r="BC310" s="126"/>
      <c r="BD310" s="126"/>
      <c r="BE310" s="126"/>
      <c r="BF310" s="126"/>
      <c r="BG310" s="126"/>
      <c r="BH310" s="126"/>
      <c r="BI310" s="126"/>
      <c r="BJ310" s="126"/>
      <c r="BK310" s="126"/>
      <c r="BL310" s="126"/>
      <c r="BM310" s="126"/>
      <c r="BP310" s="1522" t="str">
        <f ca="1">AN320</f>
        <v/>
      </c>
      <c r="BQ310" s="1523"/>
      <c r="BR310" s="1523"/>
      <c r="BS310" s="1523"/>
      <c r="BT310" s="1523"/>
      <c r="BU310" s="1523"/>
      <c r="BV310" s="1523"/>
      <c r="BW310" s="1524"/>
      <c r="BX310" s="126"/>
      <c r="BY310" s="1562"/>
      <c r="BZ310" s="1562"/>
      <c r="CA310" s="1562"/>
      <c r="CB310" s="1562"/>
      <c r="CC310" s="1562"/>
      <c r="CD310" s="126"/>
    </row>
    <row r="311" spans="1:82" ht="18.75" hidden="1" customHeight="1" x14ac:dyDescent="0.3">
      <c r="A311" s="126"/>
      <c r="B311" s="126"/>
      <c r="C311" s="231" t="s">
        <v>445</v>
      </c>
      <c r="D311" s="134"/>
      <c r="E311" s="126"/>
      <c r="F311" s="126"/>
      <c r="G311" s="126"/>
      <c r="H311" s="126"/>
      <c r="I311" s="126"/>
      <c r="J311" s="126"/>
      <c r="K311" s="126"/>
      <c r="L311" s="126"/>
      <c r="M311" s="126"/>
      <c r="N311" s="128"/>
      <c r="O311" s="128"/>
      <c r="P311" s="1469">
        <f>SUM(AV103:BF112)</f>
        <v>0</v>
      </c>
      <c r="Q311" s="1470"/>
      <c r="R311" s="1470"/>
      <c r="S311" s="1470"/>
      <c r="T311" s="1470"/>
      <c r="U311" s="1470"/>
      <c r="V311" s="1470"/>
      <c r="W311" s="1471"/>
      <c r="X311" s="132"/>
      <c r="Z311" s="232" t="s">
        <v>1418</v>
      </c>
      <c r="AA311" s="189"/>
      <c r="AB311" s="190"/>
      <c r="AC311" s="190"/>
      <c r="AD311" s="190"/>
      <c r="AE311" s="190"/>
      <c r="AF311" s="190"/>
      <c r="AG311" s="190"/>
      <c r="AH311" s="126"/>
      <c r="AI311" s="126"/>
      <c r="AJ311" s="126"/>
      <c r="AK311" s="128"/>
      <c r="AN311" s="1503" t="str">
        <f ca="1">IFERROR(IF(OR(ICDSCMinRequired="N/A",AN309=""),"",IF(AN309&lt;ICDSCMinRequired,"Decline","Pass")),"")</f>
        <v/>
      </c>
      <c r="AO311" s="1504"/>
      <c r="AP311" s="1504"/>
      <c r="AQ311" s="1504"/>
      <c r="AR311" s="1504"/>
      <c r="AS311" s="1504"/>
      <c r="AT311" s="1504"/>
      <c r="AU311" s="1505"/>
      <c r="BA311" s="232" t="s">
        <v>1417</v>
      </c>
      <c r="BP311" s="1503" t="str">
        <f ca="1">IFERROR(IF(SCSServiceabilityResult="","",IF(AND(AN311="Pass",AN322="Pass"),"Pass","Decline")),"")</f>
        <v/>
      </c>
      <c r="BQ311" s="1504"/>
      <c r="BR311" s="1504"/>
      <c r="BS311" s="1504"/>
      <c r="BT311" s="1504"/>
      <c r="BU311" s="1504"/>
      <c r="BV311" s="1504"/>
      <c r="BW311" s="1505"/>
      <c r="CD311" s="126"/>
    </row>
    <row r="312" spans="1:82" ht="7.5" hidden="1" customHeight="1" x14ac:dyDescent="0.25">
      <c r="A312" s="126"/>
      <c r="B312" s="126"/>
      <c r="C312" s="126"/>
      <c r="D312" s="126"/>
      <c r="E312" s="126"/>
      <c r="F312" s="126"/>
      <c r="G312" s="126"/>
      <c r="H312" s="126"/>
      <c r="I312" s="126"/>
      <c r="J312" s="126"/>
      <c r="K312" s="126"/>
      <c r="L312" s="126"/>
      <c r="M312" s="126"/>
      <c r="N312" s="135"/>
      <c r="O312" s="135"/>
      <c r="P312" s="135"/>
      <c r="Q312" s="135"/>
      <c r="R312" s="135"/>
      <c r="S312" s="135"/>
      <c r="T312" s="135"/>
      <c r="U312" s="135"/>
      <c r="V312" s="135"/>
      <c r="W312" s="135"/>
      <c r="X312" s="135"/>
      <c r="Y312" s="135"/>
      <c r="Z312" s="135"/>
      <c r="AA312" s="135"/>
      <c r="AB312" s="135"/>
      <c r="AC312" s="135"/>
      <c r="AD312" s="135"/>
      <c r="AE312" s="135"/>
      <c r="AF312" s="135"/>
      <c r="AG312" s="135"/>
      <c r="AH312" s="135"/>
      <c r="AI312" s="135"/>
      <c r="AJ312" s="135"/>
      <c r="AK312" s="126"/>
      <c r="AL312" s="126"/>
      <c r="AM312" s="126"/>
      <c r="AN312" s="126"/>
      <c r="AO312" s="126"/>
      <c r="AP312" s="126"/>
      <c r="AQ312" s="126"/>
      <c r="AR312" s="126"/>
      <c r="AS312" s="126"/>
      <c r="AT312" s="126"/>
      <c r="AU312" s="126"/>
      <c r="AV312" s="126"/>
      <c r="AW312" s="126"/>
      <c r="AX312" s="188"/>
      <c r="AY312" s="188"/>
      <c r="AZ312" s="188"/>
      <c r="BA312" s="188"/>
      <c r="BB312" s="188"/>
      <c r="BC312" s="188"/>
      <c r="BD312" s="188"/>
      <c r="BE312" s="188"/>
      <c r="BF312" s="188"/>
      <c r="BG312" s="188"/>
      <c r="BH312" s="188"/>
      <c r="BI312" s="188"/>
      <c r="BJ312" s="188"/>
      <c r="BK312" s="188"/>
      <c r="BL312" s="188"/>
      <c r="BM312" s="188"/>
      <c r="BN312" s="188"/>
      <c r="BO312" s="188"/>
      <c r="BP312" s="188"/>
      <c r="BQ312" s="188"/>
      <c r="BR312" s="188"/>
      <c r="BS312" s="188"/>
      <c r="BT312" s="188"/>
      <c r="BU312" s="188"/>
      <c r="BV312" s="126"/>
      <c r="BW312" s="126"/>
      <c r="BX312" s="126"/>
      <c r="BY312" s="126"/>
      <c r="BZ312" s="126"/>
      <c r="CA312" s="126"/>
      <c r="CB312" s="126"/>
      <c r="CC312" s="126"/>
      <c r="CD312" s="126"/>
    </row>
    <row r="313" spans="1:82" ht="18.75" hidden="1" customHeight="1" x14ac:dyDescent="0.5">
      <c r="A313" s="86"/>
      <c r="B313" s="1155" t="s">
        <v>1416</v>
      </c>
      <c r="C313" s="861"/>
      <c r="D313" s="861"/>
      <c r="E313" s="861"/>
      <c r="F313" s="861"/>
      <c r="G313" s="861"/>
      <c r="H313" s="861"/>
      <c r="I313" s="861"/>
      <c r="J313" s="861"/>
      <c r="K313" s="861"/>
      <c r="L313" s="861"/>
      <c r="M313" s="861"/>
      <c r="N313" s="861"/>
      <c r="O313" s="861"/>
      <c r="P313" s="861"/>
      <c r="Q313" s="861"/>
      <c r="R313" s="861"/>
      <c r="S313" s="861"/>
      <c r="T313" s="861"/>
      <c r="U313" s="862"/>
      <c r="V313" s="862"/>
      <c r="W313" s="862"/>
      <c r="X313" s="862"/>
      <c r="Y313" s="862"/>
      <c r="Z313" s="862"/>
      <c r="AA313" s="862"/>
      <c r="AB313" s="862"/>
      <c r="AC313" s="862"/>
      <c r="AD313" s="862"/>
      <c r="AE313" s="862"/>
      <c r="AF313" s="862"/>
      <c r="AG313" s="862"/>
      <c r="AH313" s="862"/>
      <c r="AI313" s="862"/>
      <c r="AJ313" s="862"/>
      <c r="AK313" s="862"/>
      <c r="AL313" s="862"/>
      <c r="AM313" s="862"/>
      <c r="AN313" s="862"/>
      <c r="AO313" s="862"/>
      <c r="AP313" s="862"/>
      <c r="AQ313" s="862"/>
      <c r="AR313" s="862"/>
      <c r="AS313" s="862"/>
      <c r="AT313" s="862"/>
      <c r="AU313" s="862"/>
      <c r="AV313" s="862"/>
      <c r="AW313" s="862"/>
      <c r="AX313" s="862"/>
      <c r="AY313" s="862"/>
      <c r="AZ313" s="862"/>
      <c r="BA313" s="862"/>
      <c r="BB313" s="862"/>
      <c r="BC313" s="862"/>
      <c r="BD313" s="862"/>
      <c r="BE313" s="862"/>
      <c r="BF313" s="862"/>
      <c r="BG313" s="862"/>
      <c r="BH313" s="862"/>
      <c r="BI313" s="862"/>
      <c r="BJ313" s="862"/>
      <c r="BK313" s="862"/>
      <c r="BL313" s="862"/>
      <c r="BM313" s="862"/>
      <c r="BN313" s="862"/>
      <c r="BO313" s="862"/>
      <c r="BP313" s="862"/>
      <c r="BQ313" s="862"/>
      <c r="BR313" s="862"/>
      <c r="BS313" s="862"/>
      <c r="BT313" s="862"/>
      <c r="BU313" s="862"/>
      <c r="BV313" s="86"/>
      <c r="BW313" s="86"/>
      <c r="BX313" s="86"/>
      <c r="BY313" s="86"/>
      <c r="BZ313" s="86"/>
      <c r="CA313" s="86"/>
      <c r="CB313" s="86"/>
      <c r="CC313" s="86"/>
      <c r="CD313" s="86"/>
    </row>
    <row r="314" spans="1:82" ht="6.75" hidden="1" customHeight="1" x14ac:dyDescent="0.4">
      <c r="A314" s="126"/>
      <c r="B314" s="127"/>
      <c r="C314" s="127"/>
      <c r="D314" s="127"/>
      <c r="E314" s="127"/>
      <c r="F314" s="127"/>
      <c r="G314" s="127"/>
      <c r="H314" s="127"/>
      <c r="I314" s="127"/>
      <c r="J314" s="127"/>
      <c r="K314" s="127"/>
      <c r="L314" s="127"/>
      <c r="M314" s="127"/>
      <c r="N314" s="127"/>
      <c r="O314" s="127"/>
      <c r="P314" s="127"/>
      <c r="Q314" s="127"/>
      <c r="R314" s="127"/>
      <c r="S314" s="127"/>
      <c r="T314" s="127"/>
      <c r="U314" s="128"/>
      <c r="V314" s="129"/>
      <c r="W314" s="129"/>
      <c r="X314" s="129"/>
      <c r="Y314" s="129"/>
      <c r="Z314" s="129"/>
      <c r="AA314" s="129"/>
      <c r="AB314" s="129"/>
      <c r="AC314" s="129"/>
      <c r="AD314" s="129"/>
      <c r="AE314" s="129"/>
      <c r="AF314" s="129"/>
      <c r="AG314" s="129"/>
      <c r="AH314" s="129"/>
      <c r="AI314" s="129"/>
      <c r="AJ314" s="129"/>
      <c r="AK314" s="129"/>
      <c r="AL314" s="129"/>
      <c r="AM314" s="129"/>
      <c r="AN314" s="129"/>
      <c r="AO314" s="129"/>
      <c r="AP314" s="129"/>
      <c r="AQ314" s="129"/>
      <c r="AR314" s="129"/>
      <c r="AS314" s="128"/>
      <c r="AT314" s="129"/>
      <c r="AU314" s="129"/>
      <c r="AV314" s="129"/>
      <c r="AW314" s="129"/>
      <c r="AX314" s="129"/>
      <c r="AY314" s="129"/>
      <c r="AZ314" s="129"/>
      <c r="BA314" s="129"/>
      <c r="BB314" s="129"/>
      <c r="BC314" s="129"/>
      <c r="BD314" s="129"/>
      <c r="BE314" s="129"/>
      <c r="BF314" s="129"/>
      <c r="BG314" s="129"/>
      <c r="BH314" s="129"/>
      <c r="BI314" s="129"/>
      <c r="BJ314" s="129"/>
      <c r="BK314" s="129"/>
      <c r="BL314" s="129"/>
      <c r="BM314" s="129"/>
      <c r="BN314" s="129"/>
      <c r="BO314" s="129"/>
      <c r="BP314" s="129"/>
      <c r="BQ314" s="128"/>
      <c r="BR314" s="128"/>
      <c r="BS314" s="128"/>
      <c r="BT314" s="128"/>
      <c r="BU314" s="128"/>
      <c r="BV314" s="126"/>
      <c r="BW314" s="126"/>
      <c r="BX314" s="126"/>
      <c r="BY314" s="126"/>
      <c r="BZ314" s="126"/>
      <c r="CA314" s="126"/>
      <c r="CB314" s="126"/>
      <c r="CC314" s="126"/>
      <c r="CD314" s="126"/>
    </row>
    <row r="315" spans="1:82" ht="18.75" hidden="1" customHeight="1" x14ac:dyDescent="0.4">
      <c r="A315" s="126"/>
      <c r="B315" s="233" t="s">
        <v>16</v>
      </c>
      <c r="C315" s="126"/>
      <c r="D315" s="126"/>
      <c r="E315" s="126"/>
      <c r="F315" s="126"/>
      <c r="G315" s="126"/>
      <c r="H315" s="126"/>
      <c r="I315" s="126"/>
      <c r="J315" s="126"/>
      <c r="K315" s="126"/>
      <c r="L315" s="126"/>
      <c r="M315" s="126"/>
      <c r="N315" s="128"/>
      <c r="O315" s="128"/>
      <c r="P315" s="128"/>
      <c r="Q315" s="128"/>
      <c r="R315" s="128"/>
      <c r="S315" s="128"/>
      <c r="T315" s="128"/>
      <c r="U315" s="128"/>
      <c r="V315" s="131"/>
      <c r="W315" s="128"/>
      <c r="X315" s="128"/>
      <c r="Y315" s="233" t="s">
        <v>342</v>
      </c>
      <c r="Z315" s="126"/>
      <c r="AB315" s="132"/>
      <c r="AC315" s="126"/>
      <c r="AD315" s="126"/>
      <c r="AE315" s="126"/>
      <c r="AF315" s="126"/>
      <c r="AG315" s="126"/>
      <c r="AH315" s="126"/>
      <c r="AI315" s="126"/>
      <c r="AJ315" s="126"/>
      <c r="AK315" s="126"/>
      <c r="AL315" s="133"/>
      <c r="AM315" s="133"/>
      <c r="AN315" s="133"/>
      <c r="AO315" s="133"/>
      <c r="AP315" s="133"/>
      <c r="AQ315" s="133"/>
      <c r="AR315" s="133"/>
      <c r="AS315" s="133"/>
      <c r="AT315" s="132"/>
      <c r="AU315" s="132"/>
      <c r="AX315" s="130"/>
      <c r="AY315" s="233"/>
      <c r="AZ315" s="126"/>
      <c r="BV315" s="126"/>
      <c r="BW315" s="126"/>
      <c r="BX315" s="126"/>
      <c r="BY315" s="126"/>
      <c r="BZ315" s="126"/>
      <c r="CA315" s="126"/>
      <c r="CB315" s="126"/>
      <c r="CC315" s="126"/>
      <c r="CD315" s="126"/>
    </row>
    <row r="316" spans="1:82" ht="18.75" hidden="1" customHeight="1" x14ac:dyDescent="0.4">
      <c r="A316" s="126"/>
      <c r="B316" s="131"/>
      <c r="C316" s="231" t="s">
        <v>346</v>
      </c>
      <c r="D316" s="132"/>
      <c r="E316" s="132"/>
      <c r="F316" s="132"/>
      <c r="G316" s="132"/>
      <c r="H316" s="132"/>
      <c r="I316" s="132"/>
      <c r="J316" s="132"/>
      <c r="K316" s="132"/>
      <c r="L316" s="132"/>
      <c r="M316" s="132"/>
      <c r="N316" s="132"/>
      <c r="O316" s="132"/>
      <c r="P316" s="1469">
        <f>SUM(SCAApp1TotalNet,SCAApp2TotalNet,SCAApp3TotalNet,SCAApp4TotalNet,SCAApp5TotalNet,SCAApp6TotalNet)</f>
        <v>16071.833333333334</v>
      </c>
      <c r="Q316" s="1470"/>
      <c r="R316" s="1470"/>
      <c r="S316" s="1470"/>
      <c r="T316" s="1470"/>
      <c r="U316" s="1470"/>
      <c r="V316" s="1470"/>
      <c r="W316" s="1471"/>
      <c r="X316" s="134"/>
      <c r="Y316" s="131"/>
      <c r="Z316" s="231" t="s">
        <v>343</v>
      </c>
      <c r="AB316" s="126"/>
      <c r="AC316" s="126"/>
      <c r="AD316" s="126"/>
      <c r="AE316" s="126"/>
      <c r="AF316" s="126"/>
      <c r="AG316" s="126"/>
      <c r="AH316" s="126"/>
      <c r="AI316" s="126"/>
      <c r="AJ316" s="126"/>
      <c r="AK316" s="126"/>
      <c r="AL316" s="133"/>
      <c r="AM316" s="133"/>
      <c r="AN316" s="1469">
        <f ca="1">P316-P320</f>
        <v>16071.833333333334</v>
      </c>
      <c r="AO316" s="1470"/>
      <c r="AP316" s="1470"/>
      <c r="AQ316" s="1470"/>
      <c r="AR316" s="1470"/>
      <c r="AS316" s="1470"/>
      <c r="AT316" s="1470">
        <f>SUM(SCAApp1HEM,SCAApp2HEM,SCAApp3HEM,SCAApp4HEM,SCAApp5HEM,SCAApp6HEM)</f>
        <v>0</v>
      </c>
      <c r="AU316" s="1471"/>
      <c r="AY316" s="131"/>
      <c r="AZ316" s="231"/>
      <c r="BV316" s="126"/>
      <c r="BW316" s="126"/>
      <c r="BX316" s="126"/>
      <c r="BY316" s="126"/>
      <c r="BZ316" s="126"/>
      <c r="CA316" s="126"/>
      <c r="CB316" s="126"/>
      <c r="CC316" s="126"/>
      <c r="CD316" s="126"/>
    </row>
    <row r="317" spans="1:82" ht="18.75" hidden="1" customHeight="1" x14ac:dyDescent="0.4">
      <c r="A317" s="126"/>
      <c r="B317" s="233" t="s">
        <v>444</v>
      </c>
      <c r="C317" s="229"/>
      <c r="D317" s="229"/>
      <c r="E317" s="229"/>
      <c r="F317" s="229"/>
      <c r="G317" s="229"/>
      <c r="H317" s="229"/>
      <c r="I317" s="229"/>
      <c r="J317" s="229"/>
      <c r="K317" s="229"/>
      <c r="L317" s="229"/>
      <c r="M317" s="229"/>
      <c r="N317" s="229"/>
      <c r="O317" s="229"/>
      <c r="P317" s="132"/>
      <c r="Q317" s="132"/>
      <c r="R317" s="132"/>
      <c r="S317" s="132"/>
      <c r="T317" s="132"/>
      <c r="U317" s="133"/>
      <c r="V317" s="132"/>
      <c r="W317" s="132"/>
      <c r="X317" s="132"/>
      <c r="Y317" s="126"/>
      <c r="Z317" s="231" t="s">
        <v>344</v>
      </c>
      <c r="AB317" s="126"/>
      <c r="AC317" s="126"/>
      <c r="AD317" s="126"/>
      <c r="AE317" s="126"/>
      <c r="AF317" s="126"/>
      <c r="AG317" s="126"/>
      <c r="AH317" s="126"/>
      <c r="AI317" s="126"/>
      <c r="AJ317" s="126"/>
      <c r="AK317" s="126"/>
      <c r="AL317" s="133"/>
      <c r="AM317" s="133"/>
      <c r="AN317" s="1469">
        <f ca="1">AN316-P321</f>
        <v>16071.833333333334</v>
      </c>
      <c r="AO317" s="1470"/>
      <c r="AP317" s="1470"/>
      <c r="AQ317" s="1470"/>
      <c r="AR317" s="1470"/>
      <c r="AS317" s="1470"/>
      <c r="AT317" s="1470"/>
      <c r="AU317" s="1471"/>
      <c r="BV317" s="126"/>
      <c r="BW317" s="126"/>
      <c r="BX317" s="126"/>
      <c r="BY317" s="126"/>
      <c r="BZ317" s="126"/>
      <c r="CA317" s="126"/>
      <c r="CB317" s="126"/>
      <c r="CC317" s="126"/>
      <c r="CD317" s="126"/>
    </row>
    <row r="318" spans="1:82" ht="18.75" hidden="1" customHeight="1" x14ac:dyDescent="0.25">
      <c r="A318" s="126"/>
      <c r="B318" s="131"/>
      <c r="C318" s="231" t="s">
        <v>339</v>
      </c>
      <c r="D318" s="128"/>
      <c r="E318" s="128"/>
      <c r="F318" s="128"/>
      <c r="G318" s="128"/>
      <c r="H318" s="128"/>
      <c r="I318" s="128"/>
      <c r="J318" s="128"/>
      <c r="K318" s="128"/>
      <c r="L318" s="128"/>
      <c r="M318" s="128"/>
      <c r="N318" s="128"/>
      <c r="O318" s="128"/>
      <c r="P318" s="1469">
        <f>SUM('Expense Calculation'!$AA$8:$AA$13)</f>
        <v>0</v>
      </c>
      <c r="Q318" s="1470"/>
      <c r="R318" s="1470"/>
      <c r="S318" s="1470"/>
      <c r="T318" s="1470"/>
      <c r="U318" s="1470"/>
      <c r="V318" s="1470"/>
      <c r="W318" s="1471"/>
      <c r="X318" s="132"/>
      <c r="Y318" s="132"/>
      <c r="Z318" s="231" t="s">
        <v>345</v>
      </c>
      <c r="AB318" s="126"/>
      <c r="AC318" s="126"/>
      <c r="AD318" s="126"/>
      <c r="AE318" s="126"/>
      <c r="AF318" s="126"/>
      <c r="AG318" s="126"/>
      <c r="AH318" s="126"/>
      <c r="AI318" s="126"/>
      <c r="AJ318" s="126"/>
      <c r="AK318" s="126"/>
      <c r="AL318" s="126"/>
      <c r="AM318" s="126"/>
      <c r="AN318" s="1469">
        <f ca="1">AN317-P322</f>
        <v>16071.833333333334</v>
      </c>
      <c r="AO318" s="1470"/>
      <c r="AP318" s="1470"/>
      <c r="AQ318" s="1470"/>
      <c r="AR318" s="1470"/>
      <c r="AS318" s="1470"/>
      <c r="AT318" s="1470"/>
      <c r="AU318" s="1471"/>
      <c r="BV318" s="126"/>
      <c r="BW318" s="126"/>
      <c r="BX318" s="126"/>
      <c r="BY318" s="126"/>
      <c r="BZ318" s="126"/>
      <c r="CA318" s="126"/>
      <c r="CB318" s="126"/>
      <c r="CC318" s="126"/>
      <c r="CD318" s="126"/>
    </row>
    <row r="319" spans="1:82" ht="18.75" hidden="1" customHeight="1" x14ac:dyDescent="0.4">
      <c r="A319" s="126"/>
      <c r="C319" s="231" t="s">
        <v>340</v>
      </c>
      <c r="D319" s="134"/>
      <c r="E319" s="128"/>
      <c r="F319" s="128"/>
      <c r="G319" s="128"/>
      <c r="H319" s="128"/>
      <c r="I319" s="128"/>
      <c r="J319" s="128"/>
      <c r="L319" s="128"/>
      <c r="M319" s="128"/>
      <c r="N319" s="128"/>
      <c r="O319" s="128"/>
      <c r="P319" s="1469">
        <f ca="1">SUM(SCAApp1NonCompCDE,SCAApp1CDERent,SCAApp2NonCompCDE,SCAApp2CDERent,SCAApp3NonCompCDE,SCAApp3CDERent,SCAApp4NonCompCDE,SCAApp4CDERent,SCAApp5NonCompCDE,SCAApp5CDERent,SCAApp6NonCompCDE,SCAApp6CDERent)</f>
        <v>0</v>
      </c>
      <c r="Q319" s="1470"/>
      <c r="R319" s="1470"/>
      <c r="S319" s="1470"/>
      <c r="T319" s="1470"/>
      <c r="U319" s="1470"/>
      <c r="V319" s="1470"/>
      <c r="W319" s="1471"/>
      <c r="X319" s="129"/>
      <c r="Y319" s="233" t="s">
        <v>347</v>
      </c>
      <c r="Z319" s="229"/>
      <c r="AA319" s="229"/>
      <c r="AB319" s="229"/>
      <c r="AC319" s="229"/>
      <c r="AD319" s="229"/>
      <c r="AE319" s="229"/>
      <c r="AF319" s="229"/>
      <c r="AG319" s="229"/>
      <c r="AH319" s="229"/>
      <c r="AI319" s="229"/>
      <c r="AJ319" s="229"/>
      <c r="AK319" s="229"/>
      <c r="AL319" s="229"/>
      <c r="AM319" s="126"/>
      <c r="AN319" s="126"/>
      <c r="AO319" s="126"/>
      <c r="AP319" s="126"/>
      <c r="AQ319" s="126"/>
      <c r="AR319" s="126"/>
      <c r="AS319" s="126"/>
      <c r="AT319" s="128"/>
      <c r="AU319" s="128"/>
      <c r="BX319" s="126"/>
      <c r="BY319" s="126"/>
      <c r="BZ319" s="126"/>
      <c r="CA319" s="126"/>
      <c r="CB319" s="126"/>
      <c r="CC319" s="126"/>
      <c r="CD319" s="126"/>
    </row>
    <row r="320" spans="1:82" ht="18.75" hidden="1" customHeight="1" x14ac:dyDescent="0.4">
      <c r="A320" s="126"/>
      <c r="B320" s="131"/>
      <c r="C320" s="234" t="s">
        <v>341</v>
      </c>
      <c r="D320" s="134"/>
      <c r="E320" s="126"/>
      <c r="F320" s="126"/>
      <c r="G320" s="126"/>
      <c r="H320" s="126"/>
      <c r="I320" s="126"/>
      <c r="J320" s="126"/>
      <c r="K320" s="126"/>
      <c r="L320" s="126"/>
      <c r="M320" s="126"/>
      <c r="N320" s="126"/>
      <c r="O320" s="126"/>
      <c r="P320" s="1469">
        <f ca="1">P318+P319</f>
        <v>0</v>
      </c>
      <c r="Q320" s="1470"/>
      <c r="R320" s="1470"/>
      <c r="S320" s="1470"/>
      <c r="T320" s="1470"/>
      <c r="U320" s="1470"/>
      <c r="V320" s="1470"/>
      <c r="W320" s="1471"/>
      <c r="X320" s="129"/>
      <c r="Y320" s="131"/>
      <c r="Z320" s="231" t="s">
        <v>1420</v>
      </c>
      <c r="AA320" s="128"/>
      <c r="AB320" s="126"/>
      <c r="AC320" s="126"/>
      <c r="AD320" s="126"/>
      <c r="AE320" s="126"/>
      <c r="AF320" s="126"/>
      <c r="AG320" s="126"/>
      <c r="AH320" s="126"/>
      <c r="AI320" s="126"/>
      <c r="AJ320" s="126"/>
      <c r="AK320" s="126"/>
      <c r="AL320" s="126"/>
      <c r="AN320" s="1522" t="str">
        <f ca="1">IFERROR(TRUNC((P316-P320)/(P321+P322),2),"")</f>
        <v/>
      </c>
      <c r="AO320" s="1523"/>
      <c r="AP320" s="1523"/>
      <c r="AQ320" s="1523"/>
      <c r="AR320" s="1523"/>
      <c r="AS320" s="1523"/>
      <c r="AT320" s="1523"/>
      <c r="AU320" s="1524"/>
      <c r="BX320" s="126"/>
      <c r="BY320" s="126"/>
      <c r="BZ320" s="126"/>
      <c r="CA320" s="126"/>
      <c r="CB320" s="126"/>
      <c r="CC320" s="126"/>
      <c r="CD320" s="126"/>
    </row>
    <row r="321" spans="1:82" ht="18.75" hidden="1" customHeight="1" x14ac:dyDescent="0.25">
      <c r="A321" s="126"/>
      <c r="B321" s="126"/>
      <c r="C321" s="231" t="s">
        <v>359</v>
      </c>
      <c r="D321" s="128"/>
      <c r="E321" s="126"/>
      <c r="F321" s="126"/>
      <c r="G321" s="126"/>
      <c r="H321" s="126"/>
      <c r="I321" s="126"/>
      <c r="J321" s="126"/>
      <c r="K321" s="126"/>
      <c r="L321" s="126"/>
      <c r="M321" s="126"/>
      <c r="N321" s="126"/>
      <c r="O321" s="126"/>
      <c r="P321" s="1469">
        <f>SUM(BY140,BY146,BY152,BY158,BY164,BY170,BY176,BY182,BY188,BY194,BY200,BY206,BY212,BY218,BY224,BY230,BY236,BY242,BY248,BY254,AE264:AE281)</f>
        <v>0</v>
      </c>
      <c r="Q321" s="1470"/>
      <c r="R321" s="1470"/>
      <c r="S321" s="1470"/>
      <c r="T321" s="1470"/>
      <c r="U321" s="1470"/>
      <c r="V321" s="1470"/>
      <c r="W321" s="1471"/>
      <c r="X321" s="128"/>
      <c r="Y321" s="126"/>
      <c r="Z321" s="231" t="s">
        <v>348</v>
      </c>
      <c r="AA321" s="134"/>
      <c r="AB321" s="126"/>
      <c r="AC321" s="126"/>
      <c r="AD321" s="126"/>
      <c r="AE321" s="126"/>
      <c r="AF321" s="126"/>
      <c r="AG321" s="126"/>
      <c r="AH321" s="126"/>
      <c r="AI321" s="126"/>
      <c r="AJ321" s="126"/>
      <c r="AK321" s="128"/>
      <c r="AL321" s="128"/>
      <c r="AN321" s="1522">
        <f>IFERROR(ROUNDUP(SUM(J103:J112,AZ142,AZ148,AZ154,AZ160,AZ166,AZ172,AZ178,AZ184,AZ190,AZ196,AZ202,AZ208,AZ214,AZ220,AZ226,AZ232,AZ238,AZ244,AZ250,AZ256,BG264:BG281)/SUM(ICApp1IncomeDTI,ICApp2IncomeDTI,ICApp3IncomeDTI,ICApp4IncomeDTI,ICApp5IncomeDTI,ICApp6IncomeDTI),2),0)</f>
        <v>0</v>
      </c>
      <c r="AO321" s="1523"/>
      <c r="AP321" s="1523"/>
      <c r="AQ321" s="1523"/>
      <c r="AR321" s="1523"/>
      <c r="AS321" s="1523"/>
      <c r="AT321" s="1523"/>
      <c r="AU321" s="1524"/>
      <c r="BV321" s="126"/>
      <c r="BW321" s="126"/>
      <c r="BX321" s="126"/>
      <c r="BY321" s="126"/>
      <c r="BZ321" s="126"/>
      <c r="CA321" s="126"/>
      <c r="CB321" s="126"/>
      <c r="CC321" s="126"/>
      <c r="CD321" s="126"/>
    </row>
    <row r="322" spans="1:82" ht="18.75" hidden="1" customHeight="1" x14ac:dyDescent="0.3">
      <c r="A322" s="126"/>
      <c r="B322" s="126"/>
      <c r="C322" s="231" t="s">
        <v>1412</v>
      </c>
      <c r="D322" s="134"/>
      <c r="E322" s="126"/>
      <c r="F322" s="126"/>
      <c r="G322" s="126"/>
      <c r="H322" s="126"/>
      <c r="I322" s="126"/>
      <c r="J322" s="126"/>
      <c r="K322" s="126"/>
      <c r="L322" s="126"/>
      <c r="M322" s="126"/>
      <c r="N322" s="128"/>
      <c r="O322" s="128"/>
      <c r="P322" s="1469">
        <f>SUM(BW103:BW112)</f>
        <v>0</v>
      </c>
      <c r="Q322" s="1470"/>
      <c r="R322" s="1470"/>
      <c r="S322" s="1470"/>
      <c r="T322" s="1470"/>
      <c r="U322" s="1470"/>
      <c r="V322" s="1470"/>
      <c r="W322" s="1471"/>
      <c r="X322" s="132"/>
      <c r="Z322" s="232" t="s">
        <v>1421</v>
      </c>
      <c r="AA322" s="189"/>
      <c r="AB322" s="190"/>
      <c r="AC322" s="190"/>
      <c r="AD322" s="190"/>
      <c r="AE322" s="190"/>
      <c r="AF322" s="190"/>
      <c r="AG322" s="190"/>
      <c r="AH322" s="126"/>
      <c r="AI322" s="126"/>
      <c r="AJ322" s="126"/>
      <c r="AK322" s="128"/>
      <c r="AN322" s="1503" t="str">
        <f ca="1">IFERROR(IF(OR(ICDSCMinRequired="N/A",AN320=""),"",IF(AN320&lt;ICDSCMinRequired,"Decline","Pass")),"")</f>
        <v/>
      </c>
      <c r="AO322" s="1504"/>
      <c r="AP322" s="1504"/>
      <c r="AQ322" s="1504"/>
      <c r="AR322" s="1504"/>
      <c r="AS322" s="1504"/>
      <c r="AT322" s="1504"/>
      <c r="AU322" s="1505"/>
      <c r="BV322" s="126"/>
      <c r="BW322" s="126"/>
      <c r="BX322" s="126"/>
      <c r="BY322" s="126"/>
      <c r="BZ322" s="126"/>
      <c r="CA322" s="126"/>
      <c r="CB322" s="126"/>
      <c r="CC322" s="126"/>
      <c r="CD322" s="126"/>
    </row>
    <row r="323" spans="1:82" ht="7.5" hidden="1" customHeight="1" x14ac:dyDescent="0.25">
      <c r="A323" s="126"/>
      <c r="B323" s="126"/>
      <c r="C323" s="126"/>
      <c r="D323" s="126"/>
      <c r="E323" s="126"/>
      <c r="F323" s="126"/>
      <c r="G323" s="126"/>
      <c r="H323" s="126"/>
      <c r="I323" s="126"/>
      <c r="J323" s="126"/>
      <c r="K323" s="126"/>
      <c r="L323" s="126"/>
      <c r="M323" s="126"/>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26"/>
      <c r="AL323" s="126"/>
      <c r="AM323" s="126"/>
      <c r="AN323" s="126"/>
      <c r="AO323" s="126"/>
      <c r="AP323" s="126"/>
      <c r="AQ323" s="126"/>
      <c r="AR323" s="126"/>
      <c r="AS323" s="126"/>
      <c r="AT323" s="126"/>
      <c r="AU323" s="126"/>
      <c r="AV323" s="126"/>
      <c r="AW323" s="126"/>
      <c r="AX323" s="188"/>
      <c r="AY323" s="188"/>
      <c r="AZ323" s="188"/>
      <c r="BA323" s="188"/>
      <c r="BB323" s="188"/>
      <c r="BC323" s="188"/>
      <c r="BD323" s="188"/>
      <c r="BE323" s="188"/>
      <c r="BF323" s="188"/>
      <c r="BG323" s="188"/>
      <c r="BH323" s="188"/>
      <c r="BI323" s="188"/>
      <c r="BJ323" s="188"/>
      <c r="BK323" s="188"/>
      <c r="BL323" s="188"/>
      <c r="BM323" s="188"/>
      <c r="BN323" s="188"/>
      <c r="BO323" s="188"/>
      <c r="BP323" s="188"/>
      <c r="BQ323" s="188"/>
      <c r="BR323" s="188"/>
      <c r="BS323" s="188"/>
      <c r="BT323" s="188"/>
      <c r="BU323" s="188"/>
      <c r="BV323" s="126"/>
      <c r="BW323" s="126"/>
      <c r="BX323" s="126"/>
      <c r="BY323" s="126"/>
      <c r="BZ323" s="126"/>
      <c r="CA323" s="126"/>
      <c r="CB323" s="126"/>
      <c r="CC323" s="126"/>
      <c r="CD323" s="126"/>
    </row>
    <row r="324" spans="1:82" ht="18.75" hidden="1" customHeight="1" x14ac:dyDescent="0.5">
      <c r="A324" s="86"/>
      <c r="B324" s="1155" t="s">
        <v>1408</v>
      </c>
      <c r="C324" s="861"/>
      <c r="D324" s="861"/>
      <c r="E324" s="861"/>
      <c r="F324" s="861"/>
      <c r="G324" s="861"/>
      <c r="H324" s="861"/>
      <c r="I324" s="861"/>
      <c r="J324" s="861"/>
      <c r="K324" s="861"/>
      <c r="L324" s="861"/>
      <c r="M324" s="861"/>
      <c r="N324" s="861"/>
      <c r="O324" s="861"/>
      <c r="P324" s="861"/>
      <c r="Q324" s="861"/>
      <c r="R324" s="861"/>
      <c r="S324" s="861"/>
      <c r="T324" s="861"/>
      <c r="U324" s="862"/>
      <c r="V324" s="862"/>
      <c r="W324" s="862"/>
      <c r="X324" s="862"/>
      <c r="Y324" s="862"/>
      <c r="Z324" s="862"/>
      <c r="AA324" s="862"/>
      <c r="AB324" s="862"/>
      <c r="AC324" s="862"/>
      <c r="AD324" s="862"/>
      <c r="AE324" s="862"/>
      <c r="AF324" s="862"/>
      <c r="AG324" s="862"/>
      <c r="AH324" s="862"/>
      <c r="AI324" s="862"/>
      <c r="AJ324" s="862"/>
      <c r="AK324" s="862"/>
      <c r="AL324" s="862"/>
      <c r="AM324" s="862"/>
      <c r="AN324" s="862"/>
      <c r="AO324" s="862"/>
      <c r="AP324" s="862"/>
      <c r="AQ324" s="862"/>
      <c r="AR324" s="862"/>
      <c r="AS324" s="862"/>
      <c r="AT324" s="862"/>
      <c r="AU324" s="862"/>
      <c r="AV324" s="862"/>
      <c r="AW324" s="862"/>
      <c r="AX324" s="862"/>
      <c r="AY324" s="862"/>
      <c r="AZ324" s="862"/>
      <c r="BA324" s="862"/>
      <c r="BB324" s="862"/>
      <c r="BC324" s="862"/>
      <c r="BD324" s="862"/>
      <c r="BE324" s="862"/>
      <c r="BF324" s="862"/>
      <c r="BG324" s="862"/>
      <c r="BH324" s="862"/>
      <c r="BI324" s="862"/>
      <c r="BJ324" s="862"/>
      <c r="BK324" s="862"/>
      <c r="BL324" s="862"/>
      <c r="BM324" s="862"/>
      <c r="BN324" s="862"/>
      <c r="BO324" s="862"/>
      <c r="BP324" s="862"/>
      <c r="BQ324" s="862"/>
      <c r="BR324" s="862"/>
      <c r="BS324" s="862"/>
      <c r="BT324" s="862"/>
      <c r="BU324" s="862"/>
      <c r="BV324" s="86"/>
      <c r="BW324" s="86"/>
      <c r="BX324" s="86"/>
      <c r="BY324" s="86"/>
      <c r="BZ324" s="86"/>
      <c r="CA324" s="86"/>
      <c r="CB324" s="86"/>
      <c r="CC324" s="86"/>
      <c r="CD324" s="86"/>
    </row>
    <row r="325" spans="1:82" ht="6.75" hidden="1" customHeight="1" x14ac:dyDescent="0.4">
      <c r="A325" s="126"/>
      <c r="B325" s="127"/>
      <c r="C325" s="127"/>
      <c r="D325" s="127"/>
      <c r="E325" s="127"/>
      <c r="F325" s="127"/>
      <c r="G325" s="127"/>
      <c r="H325" s="127"/>
      <c r="I325" s="127"/>
      <c r="J325" s="127"/>
      <c r="K325" s="127"/>
      <c r="L325" s="127"/>
      <c r="M325" s="127"/>
      <c r="N325" s="127"/>
      <c r="O325" s="127"/>
      <c r="P325" s="127"/>
      <c r="Q325" s="127"/>
      <c r="R325" s="127"/>
      <c r="S325" s="127"/>
      <c r="T325" s="127"/>
      <c r="U325" s="128"/>
      <c r="V325" s="129"/>
      <c r="W325" s="129"/>
      <c r="X325" s="129"/>
      <c r="Y325" s="129"/>
      <c r="Z325" s="129"/>
      <c r="AA325" s="129"/>
      <c r="AB325" s="129"/>
      <c r="AC325" s="129"/>
      <c r="AD325" s="129"/>
      <c r="AE325" s="129"/>
      <c r="AF325" s="129"/>
      <c r="AG325" s="129"/>
      <c r="AH325" s="129"/>
      <c r="AI325" s="129"/>
      <c r="AJ325" s="129"/>
      <c r="AK325" s="129"/>
      <c r="AL325" s="129"/>
      <c r="AM325" s="129"/>
      <c r="AN325" s="129"/>
      <c r="AO325" s="129"/>
      <c r="AP325" s="129"/>
      <c r="AQ325" s="129"/>
      <c r="AR325" s="129"/>
      <c r="AS325" s="128"/>
      <c r="AT325" s="129"/>
      <c r="AU325" s="129"/>
      <c r="AV325" s="129"/>
      <c r="AW325" s="129"/>
      <c r="AX325" s="129"/>
      <c r="AY325" s="129"/>
      <c r="AZ325" s="129"/>
      <c r="BA325" s="129"/>
      <c r="BB325" s="129"/>
      <c r="BC325" s="129"/>
      <c r="BD325" s="129"/>
      <c r="BE325" s="129"/>
      <c r="BF325" s="129"/>
      <c r="BG325" s="129"/>
      <c r="BH325" s="129"/>
      <c r="BI325" s="129"/>
      <c r="BJ325" s="129"/>
      <c r="BK325" s="129"/>
      <c r="BL325" s="129"/>
      <c r="BM325" s="129"/>
      <c r="BN325" s="129"/>
      <c r="BO325" s="129"/>
      <c r="BP325" s="129"/>
      <c r="BQ325" s="128"/>
      <c r="BR325" s="128"/>
      <c r="BS325" s="128"/>
      <c r="BT325" s="128"/>
      <c r="BU325" s="128"/>
      <c r="BV325" s="126"/>
      <c r="BW325" s="126"/>
      <c r="BX325" s="126"/>
      <c r="BY325" s="126"/>
      <c r="BZ325" s="126"/>
      <c r="CA325" s="126"/>
      <c r="CB325" s="126"/>
      <c r="CC325" s="126"/>
      <c r="CD325" s="126"/>
    </row>
    <row r="326" spans="1:82" ht="18.75" hidden="1" customHeight="1" x14ac:dyDescent="0.4">
      <c r="A326" s="126"/>
      <c r="B326" s="233" t="s">
        <v>16</v>
      </c>
      <c r="C326" s="126"/>
      <c r="D326" s="126"/>
      <c r="E326" s="126"/>
      <c r="F326" s="126"/>
      <c r="G326" s="126"/>
      <c r="H326" s="126"/>
      <c r="I326" s="126"/>
      <c r="J326" s="126"/>
      <c r="K326" s="126"/>
      <c r="L326" s="126"/>
      <c r="M326" s="126"/>
      <c r="N326" s="128"/>
      <c r="O326" s="128"/>
      <c r="P326" s="128"/>
      <c r="Q326" s="128"/>
      <c r="R326" s="128"/>
      <c r="S326" s="128"/>
      <c r="T326" s="128"/>
      <c r="U326" s="128"/>
      <c r="V326" s="131"/>
      <c r="W326" s="128"/>
      <c r="X326" s="128"/>
      <c r="Y326" s="233" t="s">
        <v>342</v>
      </c>
      <c r="Z326" s="126"/>
      <c r="AB326" s="132"/>
      <c r="AC326" s="126"/>
      <c r="AD326" s="126"/>
      <c r="AE326" s="126"/>
      <c r="AF326" s="126"/>
      <c r="AG326" s="126"/>
      <c r="AH326" s="126"/>
      <c r="AI326" s="126"/>
      <c r="AJ326" s="126"/>
      <c r="AK326" s="126"/>
      <c r="AL326" s="133"/>
      <c r="AM326" s="133"/>
      <c r="AN326" s="133"/>
      <c r="AO326" s="133"/>
      <c r="AP326" s="133"/>
      <c r="AQ326" s="133"/>
      <c r="AR326" s="133"/>
      <c r="AS326" s="133"/>
      <c r="AT326" s="132"/>
      <c r="AU326" s="132"/>
      <c r="AX326" s="130"/>
      <c r="BX326" s="126"/>
      <c r="BY326" s="126"/>
      <c r="BZ326" s="126"/>
      <c r="CA326" s="126"/>
      <c r="CB326" s="126"/>
      <c r="CC326" s="126"/>
      <c r="CD326" s="126"/>
    </row>
    <row r="327" spans="1:82" ht="18.75" hidden="1" customHeight="1" x14ac:dyDescent="0.4">
      <c r="A327" s="126"/>
      <c r="B327" s="131"/>
      <c r="C327" s="231" t="s">
        <v>346</v>
      </c>
      <c r="D327" s="132"/>
      <c r="E327" s="132"/>
      <c r="F327" s="132"/>
      <c r="G327" s="132"/>
      <c r="H327" s="132"/>
      <c r="I327" s="132"/>
      <c r="J327" s="132"/>
      <c r="K327" s="132"/>
      <c r="L327" s="132"/>
      <c r="M327" s="132"/>
      <c r="N327" s="132"/>
      <c r="O327" s="132"/>
      <c r="P327" s="1469">
        <f>SUM(SCAApp1TotalNet,SCAApp2TotalNet,SCAApp3TotalNet,SCAApp4TotalNet,SCAApp5TotalNet,SCAApp6TotalNet)</f>
        <v>16071.833333333334</v>
      </c>
      <c r="Q327" s="1470"/>
      <c r="R327" s="1470"/>
      <c r="S327" s="1470"/>
      <c r="T327" s="1470"/>
      <c r="U327" s="1470"/>
      <c r="V327" s="1470"/>
      <c r="W327" s="1471"/>
      <c r="X327" s="134"/>
      <c r="Y327" s="131"/>
      <c r="Z327" s="231" t="s">
        <v>343</v>
      </c>
      <c r="AB327" s="126"/>
      <c r="AC327" s="126"/>
      <c r="AD327" s="126"/>
      <c r="AE327" s="126"/>
      <c r="AF327" s="126"/>
      <c r="AG327" s="126"/>
      <c r="AH327" s="126"/>
      <c r="AI327" s="126"/>
      <c r="AJ327" s="126"/>
      <c r="AK327" s="126"/>
      <c r="AL327" s="133"/>
      <c r="AM327" s="133"/>
      <c r="AN327" s="1469">
        <f ca="1">P327-P331</f>
        <v>16071.833333333334</v>
      </c>
      <c r="AO327" s="1470"/>
      <c r="AP327" s="1470"/>
      <c r="AQ327" s="1470"/>
      <c r="AR327" s="1470"/>
      <c r="AS327" s="1470"/>
      <c r="AT327" s="1470">
        <f>SUM(SCAApp1HEM,SCAApp2HEM,SCAApp3HEM,SCAApp4HEM,SCAApp5HEM,SCAApp6HEM)</f>
        <v>0</v>
      </c>
      <c r="AU327" s="1471"/>
      <c r="BX327" s="126"/>
      <c r="BY327" s="1560" t="s">
        <v>1452</v>
      </c>
      <c r="BZ327" s="1560"/>
      <c r="CA327" s="1560"/>
      <c r="CB327" s="1560"/>
      <c r="CC327" s="1560"/>
      <c r="CD327" s="126"/>
    </row>
    <row r="328" spans="1:82" ht="18.75" hidden="1" customHeight="1" x14ac:dyDescent="0.4">
      <c r="A328" s="126"/>
      <c r="B328" s="233" t="s">
        <v>444</v>
      </c>
      <c r="C328" s="229"/>
      <c r="D328" s="229"/>
      <c r="E328" s="229"/>
      <c r="F328" s="229"/>
      <c r="G328" s="229"/>
      <c r="H328" s="229"/>
      <c r="I328" s="229"/>
      <c r="J328" s="229"/>
      <c r="K328" s="229"/>
      <c r="L328" s="229"/>
      <c r="M328" s="229"/>
      <c r="N328" s="229"/>
      <c r="O328" s="229"/>
      <c r="P328" s="132"/>
      <c r="Q328" s="132"/>
      <c r="R328" s="132"/>
      <c r="S328" s="132"/>
      <c r="T328" s="132"/>
      <c r="U328" s="133"/>
      <c r="V328" s="132"/>
      <c r="W328" s="132"/>
      <c r="X328" s="132"/>
      <c r="Y328" s="126"/>
      <c r="Z328" s="231" t="s">
        <v>344</v>
      </c>
      <c r="AB328" s="126"/>
      <c r="AC328" s="126"/>
      <c r="AD328" s="126"/>
      <c r="AE328" s="126"/>
      <c r="AF328" s="126"/>
      <c r="AG328" s="126"/>
      <c r="AH328" s="126"/>
      <c r="AI328" s="126"/>
      <c r="AJ328" s="126"/>
      <c r="AK328" s="126"/>
      <c r="AL328" s="133"/>
      <c r="AM328" s="133"/>
      <c r="AN328" s="1469">
        <f ca="1">AN327-P332</f>
        <v>16071.833333333334</v>
      </c>
      <c r="AO328" s="1470"/>
      <c r="AP328" s="1470"/>
      <c r="AQ328" s="1470"/>
      <c r="AR328" s="1470"/>
      <c r="AS328" s="1470"/>
      <c r="AT328" s="1470"/>
      <c r="AU328" s="1471"/>
      <c r="BX328" s="126"/>
      <c r="BY328" s="1561"/>
      <c r="BZ328" s="1561"/>
      <c r="CA328" s="1561"/>
      <c r="CB328" s="1561"/>
      <c r="CC328" s="1561"/>
      <c r="CD328" s="126"/>
    </row>
    <row r="329" spans="1:82" ht="18.75" hidden="1" customHeight="1" x14ac:dyDescent="0.35">
      <c r="A329" s="126"/>
      <c r="B329" s="131"/>
      <c r="C329" s="231" t="s">
        <v>339</v>
      </c>
      <c r="D329" s="128"/>
      <c r="E329" s="128"/>
      <c r="F329" s="128"/>
      <c r="G329" s="128"/>
      <c r="H329" s="128"/>
      <c r="I329" s="128"/>
      <c r="J329" s="128"/>
      <c r="K329" s="128"/>
      <c r="L329" s="128"/>
      <c r="M329" s="128"/>
      <c r="N329" s="128"/>
      <c r="O329" s="128"/>
      <c r="P329" s="1469">
        <f>SUM('Expense Calculation'!$AA$8:$AA$13)</f>
        <v>0</v>
      </c>
      <c r="Q329" s="1470"/>
      <c r="R329" s="1470"/>
      <c r="S329" s="1470"/>
      <c r="T329" s="1470"/>
      <c r="U329" s="1470"/>
      <c r="V329" s="1470"/>
      <c r="W329" s="1471"/>
      <c r="X329" s="132"/>
      <c r="Y329" s="132"/>
      <c r="Z329" s="231" t="s">
        <v>345</v>
      </c>
      <c r="AB329" s="126"/>
      <c r="AC329" s="126"/>
      <c r="AD329" s="126"/>
      <c r="AE329" s="126"/>
      <c r="AF329" s="126"/>
      <c r="AG329" s="126"/>
      <c r="AH329" s="126"/>
      <c r="AI329" s="126"/>
      <c r="AJ329" s="126"/>
      <c r="AK329" s="126"/>
      <c r="AL329" s="126"/>
      <c r="AM329" s="126"/>
      <c r="AN329" s="1469">
        <f ca="1">AN328-P333</f>
        <v>16071.833333333334</v>
      </c>
      <c r="AO329" s="1470"/>
      <c r="AP329" s="1470"/>
      <c r="AQ329" s="1470"/>
      <c r="AR329" s="1470"/>
      <c r="AS329" s="1470"/>
      <c r="AT329" s="1470"/>
      <c r="AU329" s="1471"/>
      <c r="AZ329" s="233" t="s">
        <v>338</v>
      </c>
      <c r="BW329" s="126"/>
      <c r="BX329" s="126"/>
      <c r="BY329" s="1561"/>
      <c r="BZ329" s="1561"/>
      <c r="CA329" s="1561"/>
      <c r="CB329" s="1561"/>
      <c r="CC329" s="1561"/>
      <c r="CD329" s="126"/>
    </row>
    <row r="330" spans="1:82" ht="18.75" hidden="1" customHeight="1" x14ac:dyDescent="0.4">
      <c r="A330" s="126"/>
      <c r="C330" s="231" t="s">
        <v>340</v>
      </c>
      <c r="D330" s="134"/>
      <c r="E330" s="128"/>
      <c r="F330" s="128"/>
      <c r="G330" s="128"/>
      <c r="H330" s="128"/>
      <c r="I330" s="128"/>
      <c r="J330" s="128"/>
      <c r="L330" s="128"/>
      <c r="M330" s="128"/>
      <c r="N330" s="128"/>
      <c r="O330" s="128"/>
      <c r="P330" s="1469">
        <f ca="1">SUM(SCAApp1NonCompCDE,SCAApp1CDERent,SCAApp2NonCompCDE,SCAApp2CDERent,SCAApp3NonCompCDE,SCAApp3CDERent,SCAApp4NonCompCDE,SCAApp4CDERent,SCAApp5NonCompCDE,SCAApp5CDERent,SCAApp6NonCompCDE,SCAApp6CDERent)</f>
        <v>0</v>
      </c>
      <c r="Q330" s="1470"/>
      <c r="R330" s="1470"/>
      <c r="S330" s="1470"/>
      <c r="T330" s="1470"/>
      <c r="U330" s="1470"/>
      <c r="V330" s="1470"/>
      <c r="W330" s="1471"/>
      <c r="X330" s="129"/>
      <c r="Y330" s="233" t="s">
        <v>347</v>
      </c>
      <c r="Z330" s="229"/>
      <c r="AA330" s="229"/>
      <c r="AB330" s="229"/>
      <c r="AC330" s="229"/>
      <c r="AD330" s="229"/>
      <c r="AE330" s="229"/>
      <c r="AF330" s="229"/>
      <c r="AG330" s="229"/>
      <c r="AH330" s="229"/>
      <c r="AI330" s="229"/>
      <c r="AJ330" s="229"/>
      <c r="AK330" s="229"/>
      <c r="AL330" s="229"/>
      <c r="AM330" s="126"/>
      <c r="AN330" s="126"/>
      <c r="AO330" s="126"/>
      <c r="AP330" s="126"/>
      <c r="AQ330" s="126"/>
      <c r="AR330" s="126"/>
      <c r="AS330" s="126"/>
      <c r="AT330" s="128"/>
      <c r="AU330" s="128"/>
      <c r="BA330" s="231" t="s">
        <v>1422</v>
      </c>
      <c r="BB330" s="128"/>
      <c r="BC330" s="126"/>
      <c r="BD330" s="126"/>
      <c r="BE330" s="126"/>
      <c r="BF330" s="126"/>
      <c r="BG330" s="126"/>
      <c r="BH330" s="126"/>
      <c r="BI330" s="126"/>
      <c r="BJ330" s="126"/>
      <c r="BK330" s="126"/>
      <c r="BL330" s="126"/>
      <c r="BM330" s="126"/>
      <c r="BP330" s="1522" t="str">
        <f ca="1">SCSMeasureDSC</f>
        <v/>
      </c>
      <c r="BQ330" s="1523"/>
      <c r="BR330" s="1523"/>
      <c r="BS330" s="1523"/>
      <c r="BT330" s="1523"/>
      <c r="BU330" s="1523"/>
      <c r="BV330" s="1523"/>
      <c r="BW330" s="1524"/>
      <c r="BX330" s="126"/>
      <c r="BY330" s="1561"/>
      <c r="BZ330" s="1561"/>
      <c r="CA330" s="1561"/>
      <c r="CB330" s="1561"/>
      <c r="CC330" s="1561"/>
      <c r="CD330" s="126"/>
    </row>
    <row r="331" spans="1:82" ht="18.75" hidden="1" customHeight="1" x14ac:dyDescent="0.4">
      <c r="A331" s="126"/>
      <c r="B331" s="131"/>
      <c r="C331" s="234" t="s">
        <v>341</v>
      </c>
      <c r="D331" s="134"/>
      <c r="E331" s="126"/>
      <c r="F331" s="126"/>
      <c r="G331" s="126"/>
      <c r="H331" s="126"/>
      <c r="I331" s="126"/>
      <c r="J331" s="126"/>
      <c r="K331" s="126"/>
      <c r="L331" s="126"/>
      <c r="M331" s="126"/>
      <c r="N331" s="126"/>
      <c r="O331" s="126"/>
      <c r="P331" s="1469">
        <f ca="1">P329+P330</f>
        <v>0</v>
      </c>
      <c r="Q331" s="1470"/>
      <c r="R331" s="1470"/>
      <c r="S331" s="1470"/>
      <c r="T331" s="1470"/>
      <c r="U331" s="1470"/>
      <c r="V331" s="1470"/>
      <c r="W331" s="1471"/>
      <c r="X331" s="129"/>
      <c r="Y331" s="131"/>
      <c r="Z331" s="231" t="s">
        <v>1419</v>
      </c>
      <c r="AA331" s="128"/>
      <c r="AB331" s="126"/>
      <c r="AC331" s="126"/>
      <c r="AD331" s="126"/>
      <c r="AE331" s="126"/>
      <c r="AF331" s="126"/>
      <c r="AG331" s="126"/>
      <c r="AH331" s="126"/>
      <c r="AI331" s="126"/>
      <c r="AJ331" s="126"/>
      <c r="AK331" s="126"/>
      <c r="AL331" s="126"/>
      <c r="AN331" s="1522" t="str">
        <f ca="1">IFERROR(TRUNC((P327-P331)/(P332+P333),2),"")</f>
        <v/>
      </c>
      <c r="AO331" s="1523"/>
      <c r="AP331" s="1523"/>
      <c r="AQ331" s="1523"/>
      <c r="AR331" s="1523"/>
      <c r="AS331" s="1523"/>
      <c r="AT331" s="1523"/>
      <c r="AU331" s="1524"/>
      <c r="BA331" s="231" t="s">
        <v>1423</v>
      </c>
      <c r="BB331" s="128"/>
      <c r="BC331" s="126"/>
      <c r="BD331" s="126"/>
      <c r="BE331" s="126"/>
      <c r="BF331" s="126"/>
      <c r="BG331" s="126"/>
      <c r="BH331" s="126"/>
      <c r="BI331" s="126"/>
      <c r="BJ331" s="126"/>
      <c r="BK331" s="126"/>
      <c r="BL331" s="126"/>
      <c r="BM331" s="126"/>
      <c r="BP331" s="1522" t="str">
        <f ca="1">AN331</f>
        <v/>
      </c>
      <c r="BQ331" s="1523"/>
      <c r="BR331" s="1523"/>
      <c r="BS331" s="1523"/>
      <c r="BT331" s="1523"/>
      <c r="BU331" s="1523"/>
      <c r="BV331" s="1523"/>
      <c r="BW331" s="1524"/>
      <c r="BX331" s="126"/>
      <c r="BY331" s="1561"/>
      <c r="BZ331" s="1561"/>
      <c r="CA331" s="1561"/>
      <c r="CB331" s="1561"/>
      <c r="CC331" s="1561"/>
      <c r="CD331" s="126"/>
    </row>
    <row r="332" spans="1:82" ht="18.75" hidden="1" customHeight="1" x14ac:dyDescent="0.25">
      <c r="A332" s="126"/>
      <c r="B332" s="126"/>
      <c r="C332" s="231" t="s">
        <v>1453</v>
      </c>
      <c r="D332" s="128"/>
      <c r="E332" s="126"/>
      <c r="F332" s="126"/>
      <c r="G332" s="126"/>
      <c r="H332" s="126"/>
      <c r="I332" s="126"/>
      <c r="J332" s="126"/>
      <c r="K332" s="126"/>
      <c r="L332" s="126"/>
      <c r="M332" s="126"/>
      <c r="N332" s="126"/>
      <c r="O332" s="126"/>
      <c r="P332" s="1469">
        <f>SUM(BY140,BY146,BY152,BY158,BY164,BY170,BY176,BY182,BY188,BY194,BY200,BY206,BY212,BY218,BY224,BY230,BY236,BY242,BY248,BY254,AE264:AE281)-SUMIFS(AE264:AE281,C264:C281,"Study and training support loan",AJ264:AJ281,"&lt;=5")</f>
        <v>0</v>
      </c>
      <c r="Q332" s="1470"/>
      <c r="R332" s="1470"/>
      <c r="S332" s="1470"/>
      <c r="T332" s="1470"/>
      <c r="U332" s="1470"/>
      <c r="V332" s="1470"/>
      <c r="W332" s="1471"/>
      <c r="X332" s="128"/>
      <c r="Y332" s="126"/>
      <c r="Z332" s="231" t="s">
        <v>348</v>
      </c>
      <c r="AA332" s="134"/>
      <c r="AB332" s="126"/>
      <c r="AC332" s="126"/>
      <c r="AD332" s="126"/>
      <c r="AE332" s="126"/>
      <c r="AF332" s="126"/>
      <c r="AG332" s="126"/>
      <c r="AH332" s="126"/>
      <c r="AI332" s="126"/>
      <c r="AJ332" s="126"/>
      <c r="AK332" s="128"/>
      <c r="AL332" s="128"/>
      <c r="AN332" s="1522">
        <f>IFERROR(ROUNDUP(SUM(J103:J112,AZ142,AZ148,AZ154,AZ160,AZ166,AZ172,AZ178,AZ184,AZ190,AZ196,AZ202,AZ208,AZ214,AZ220,AZ226,AZ232,AZ238,AZ244,AZ250,AZ256,BG264:BG281)/SUM(ICApp1IncomeDTI,ICApp2IncomeDTI,ICApp3IncomeDTI,ICApp4IncomeDTI,ICApp5IncomeDTI,ICApp6IncomeDTI),2),0)</f>
        <v>0</v>
      </c>
      <c r="AO332" s="1523"/>
      <c r="AP332" s="1523"/>
      <c r="AQ332" s="1523"/>
      <c r="AR332" s="1523"/>
      <c r="AS332" s="1523"/>
      <c r="AT332" s="1523"/>
      <c r="AU332" s="1524"/>
      <c r="BA332" s="231" t="s">
        <v>1424</v>
      </c>
      <c r="BB332" s="128"/>
      <c r="BC332" s="126"/>
      <c r="BD332" s="126"/>
      <c r="BE332" s="126"/>
      <c r="BF332" s="126"/>
      <c r="BG332" s="126"/>
      <c r="BH332" s="126"/>
      <c r="BI332" s="126"/>
      <c r="BJ332" s="126"/>
      <c r="BK332" s="126"/>
      <c r="BL332" s="126"/>
      <c r="BM332" s="126"/>
      <c r="BP332" s="1522" t="str">
        <f ca="1">AN342</f>
        <v/>
      </c>
      <c r="BQ332" s="1523"/>
      <c r="BR332" s="1523"/>
      <c r="BS332" s="1523"/>
      <c r="BT332" s="1523"/>
      <c r="BU332" s="1523"/>
      <c r="BV332" s="1523"/>
      <c r="BW332" s="1524"/>
      <c r="BX332" s="126"/>
      <c r="BY332" s="1562"/>
      <c r="BZ332" s="1562"/>
      <c r="CA332" s="1562"/>
      <c r="CB332" s="1562"/>
      <c r="CC332" s="1562"/>
      <c r="CD332" s="126"/>
    </row>
    <row r="333" spans="1:82" ht="18.75" hidden="1" customHeight="1" x14ac:dyDescent="0.3">
      <c r="A333" s="126"/>
      <c r="B333" s="126"/>
      <c r="C333" s="231" t="s">
        <v>445</v>
      </c>
      <c r="D333" s="134"/>
      <c r="E333" s="126"/>
      <c r="F333" s="126"/>
      <c r="G333" s="126"/>
      <c r="H333" s="126"/>
      <c r="I333" s="126"/>
      <c r="J333" s="126"/>
      <c r="K333" s="126"/>
      <c r="L333" s="126"/>
      <c r="M333" s="126"/>
      <c r="N333" s="128"/>
      <c r="O333" s="128"/>
      <c r="P333" s="1469">
        <f>SUM(AV103:BF112)</f>
        <v>0</v>
      </c>
      <c r="Q333" s="1470"/>
      <c r="R333" s="1470"/>
      <c r="S333" s="1470"/>
      <c r="T333" s="1470"/>
      <c r="U333" s="1470"/>
      <c r="V333" s="1470"/>
      <c r="W333" s="1471"/>
      <c r="X333" s="132"/>
      <c r="Z333" s="232" t="s">
        <v>1418</v>
      </c>
      <c r="AA333" s="189"/>
      <c r="AB333" s="190"/>
      <c r="AC333" s="190"/>
      <c r="AD333" s="190"/>
      <c r="AE333" s="190"/>
      <c r="AF333" s="190"/>
      <c r="AG333" s="190"/>
      <c r="AH333" s="126"/>
      <c r="AI333" s="126"/>
      <c r="AJ333" s="126"/>
      <c r="AK333" s="128"/>
      <c r="AN333" s="1503" t="str">
        <f ca="1">IFERROR(IF(OR(ICDSCMinRequired="N/A",AN331=""),"",IF(AN331&lt;ICDSCMinRequired,"Decline","Pass")),"")</f>
        <v/>
      </c>
      <c r="AO333" s="1504"/>
      <c r="AP333" s="1504"/>
      <c r="AQ333" s="1504"/>
      <c r="AR333" s="1504"/>
      <c r="AS333" s="1504"/>
      <c r="AT333" s="1504"/>
      <c r="AU333" s="1505"/>
      <c r="BA333" s="232" t="s">
        <v>1417</v>
      </c>
      <c r="BP333" s="1503" t="str">
        <f ca="1">IFERROR(IF(SCSServiceabilityResult="","",IF(AND(AN333="Pass",AN344="Pass"),"Pass","Decline")),"")</f>
        <v/>
      </c>
      <c r="BQ333" s="1504"/>
      <c r="BR333" s="1504"/>
      <c r="BS333" s="1504"/>
      <c r="BT333" s="1504"/>
      <c r="BU333" s="1504"/>
      <c r="BV333" s="1504"/>
      <c r="BW333" s="1505"/>
      <c r="CD333" s="126"/>
    </row>
    <row r="334" spans="1:82" ht="7.5" hidden="1" customHeight="1" x14ac:dyDescent="0.25">
      <c r="A334" s="126"/>
      <c r="B334" s="126"/>
      <c r="C334" s="126"/>
      <c r="D334" s="126"/>
      <c r="E334" s="126"/>
      <c r="F334" s="126"/>
      <c r="G334" s="126"/>
      <c r="H334" s="126"/>
      <c r="I334" s="126"/>
      <c r="J334" s="126"/>
      <c r="K334" s="126"/>
      <c r="L334" s="126"/>
      <c r="M334" s="126"/>
      <c r="N334" s="135"/>
      <c r="O334" s="135"/>
      <c r="P334" s="135"/>
      <c r="Q334" s="135"/>
      <c r="R334" s="135"/>
      <c r="S334" s="135"/>
      <c r="T334" s="135"/>
      <c r="U334" s="135"/>
      <c r="V334" s="135"/>
      <c r="W334" s="135"/>
      <c r="X334" s="135"/>
      <c r="Y334" s="135"/>
      <c r="Z334" s="135"/>
      <c r="AA334" s="135"/>
      <c r="AB334" s="135"/>
      <c r="AC334" s="135"/>
      <c r="AD334" s="135"/>
      <c r="AE334" s="135"/>
      <c r="AF334" s="135"/>
      <c r="AG334" s="135"/>
      <c r="AH334" s="135"/>
      <c r="AI334" s="135"/>
      <c r="AJ334" s="135"/>
      <c r="AK334" s="126"/>
      <c r="AL334" s="126"/>
      <c r="AM334" s="126"/>
      <c r="AN334" s="126"/>
      <c r="AO334" s="126"/>
      <c r="AP334" s="126"/>
      <c r="AQ334" s="126"/>
      <c r="AR334" s="126"/>
      <c r="AS334" s="126"/>
      <c r="AT334" s="126"/>
      <c r="AU334" s="126"/>
      <c r="AV334" s="126"/>
      <c r="AW334" s="126"/>
      <c r="AX334" s="188"/>
      <c r="AY334" s="188"/>
      <c r="AZ334" s="188"/>
      <c r="BA334" s="188"/>
      <c r="BB334" s="188"/>
      <c r="BC334" s="188"/>
      <c r="BD334" s="188"/>
      <c r="BE334" s="188"/>
      <c r="BF334" s="188"/>
      <c r="BG334" s="188"/>
      <c r="BH334" s="188"/>
      <c r="BI334" s="188"/>
      <c r="BJ334" s="188"/>
      <c r="BK334" s="188"/>
      <c r="BL334" s="188"/>
      <c r="BM334" s="188"/>
      <c r="BN334" s="188"/>
      <c r="BO334" s="188"/>
      <c r="BP334" s="188"/>
      <c r="BQ334" s="188"/>
      <c r="BR334" s="188"/>
      <c r="BS334" s="188"/>
      <c r="BT334" s="188"/>
      <c r="BU334" s="188"/>
      <c r="BV334" s="126"/>
      <c r="BW334" s="126"/>
      <c r="BX334" s="126"/>
      <c r="BY334" s="126"/>
      <c r="BZ334" s="126"/>
      <c r="CA334" s="126"/>
      <c r="CB334" s="126"/>
      <c r="CC334" s="126"/>
      <c r="CD334" s="126"/>
    </row>
    <row r="335" spans="1:82" ht="18.75" hidden="1" customHeight="1" x14ac:dyDescent="0.5">
      <c r="A335" s="86"/>
      <c r="B335" s="1155" t="s">
        <v>1416</v>
      </c>
      <c r="C335" s="861"/>
      <c r="D335" s="861"/>
      <c r="E335" s="861"/>
      <c r="F335" s="861"/>
      <c r="G335" s="861"/>
      <c r="H335" s="861"/>
      <c r="I335" s="861"/>
      <c r="J335" s="861"/>
      <c r="K335" s="861"/>
      <c r="L335" s="861"/>
      <c r="M335" s="861"/>
      <c r="N335" s="861"/>
      <c r="O335" s="861"/>
      <c r="P335" s="861"/>
      <c r="Q335" s="861"/>
      <c r="R335" s="861"/>
      <c r="S335" s="861"/>
      <c r="T335" s="861"/>
      <c r="U335" s="862"/>
      <c r="V335" s="862"/>
      <c r="W335" s="862"/>
      <c r="X335" s="862"/>
      <c r="Y335" s="862"/>
      <c r="Z335" s="862"/>
      <c r="AA335" s="862"/>
      <c r="AB335" s="862"/>
      <c r="AC335" s="862"/>
      <c r="AD335" s="862"/>
      <c r="AE335" s="862"/>
      <c r="AF335" s="862"/>
      <c r="AG335" s="862"/>
      <c r="AH335" s="862"/>
      <c r="AI335" s="862"/>
      <c r="AJ335" s="862"/>
      <c r="AK335" s="862"/>
      <c r="AL335" s="862"/>
      <c r="AM335" s="862"/>
      <c r="AN335" s="862"/>
      <c r="AO335" s="862"/>
      <c r="AP335" s="862"/>
      <c r="AQ335" s="862"/>
      <c r="AR335" s="862"/>
      <c r="AS335" s="862"/>
      <c r="AT335" s="862"/>
      <c r="AU335" s="862"/>
      <c r="AV335" s="862"/>
      <c r="AW335" s="862"/>
      <c r="AX335" s="862"/>
      <c r="AY335" s="862"/>
      <c r="AZ335" s="862"/>
      <c r="BA335" s="862"/>
      <c r="BB335" s="862"/>
      <c r="BC335" s="862"/>
      <c r="BD335" s="862"/>
      <c r="BE335" s="862"/>
      <c r="BF335" s="862"/>
      <c r="BG335" s="862"/>
      <c r="BH335" s="862"/>
      <c r="BI335" s="862"/>
      <c r="BJ335" s="862"/>
      <c r="BK335" s="862"/>
      <c r="BL335" s="862"/>
      <c r="BM335" s="862"/>
      <c r="BN335" s="862"/>
      <c r="BO335" s="862"/>
      <c r="BP335" s="862"/>
      <c r="BQ335" s="862"/>
      <c r="BR335" s="862"/>
      <c r="BS335" s="862"/>
      <c r="BT335" s="862"/>
      <c r="BU335" s="862"/>
      <c r="BV335" s="86"/>
      <c r="BW335" s="86"/>
      <c r="BX335" s="86"/>
      <c r="BY335" s="86"/>
      <c r="BZ335" s="86"/>
      <c r="CA335" s="86"/>
      <c r="CB335" s="86"/>
      <c r="CC335" s="86"/>
      <c r="CD335" s="86"/>
    </row>
    <row r="336" spans="1:82" ht="6.75" hidden="1" customHeight="1" x14ac:dyDescent="0.4">
      <c r="A336" s="126"/>
      <c r="B336" s="127"/>
      <c r="C336" s="127"/>
      <c r="D336" s="127"/>
      <c r="E336" s="127"/>
      <c r="F336" s="127"/>
      <c r="G336" s="127"/>
      <c r="H336" s="127"/>
      <c r="I336" s="127"/>
      <c r="J336" s="127"/>
      <c r="K336" s="127"/>
      <c r="L336" s="127"/>
      <c r="M336" s="127"/>
      <c r="N336" s="127"/>
      <c r="O336" s="127"/>
      <c r="P336" s="127"/>
      <c r="Q336" s="127"/>
      <c r="R336" s="127"/>
      <c r="S336" s="127"/>
      <c r="T336" s="127"/>
      <c r="U336" s="128"/>
      <c r="V336" s="129"/>
      <c r="W336" s="129"/>
      <c r="X336" s="129"/>
      <c r="Y336" s="129"/>
      <c r="Z336" s="129"/>
      <c r="AA336" s="129"/>
      <c r="AB336" s="129"/>
      <c r="AC336" s="129"/>
      <c r="AD336" s="129"/>
      <c r="AE336" s="129"/>
      <c r="AF336" s="129"/>
      <c r="AG336" s="129"/>
      <c r="AH336" s="129"/>
      <c r="AI336" s="129"/>
      <c r="AJ336" s="129"/>
      <c r="AK336" s="129"/>
      <c r="AL336" s="129"/>
      <c r="AM336" s="129"/>
      <c r="AN336" s="129"/>
      <c r="AO336" s="129"/>
      <c r="AP336" s="129"/>
      <c r="AQ336" s="129"/>
      <c r="AR336" s="129"/>
      <c r="AS336" s="128"/>
      <c r="AT336" s="129"/>
      <c r="AU336" s="129"/>
      <c r="AV336" s="129"/>
      <c r="AW336" s="129"/>
      <c r="AX336" s="129"/>
      <c r="AY336" s="129"/>
      <c r="AZ336" s="129"/>
      <c r="BA336" s="129"/>
      <c r="BB336" s="129"/>
      <c r="BC336" s="129"/>
      <c r="BD336" s="129"/>
      <c r="BE336" s="129"/>
      <c r="BF336" s="129"/>
      <c r="BG336" s="129"/>
      <c r="BH336" s="129"/>
      <c r="BI336" s="129"/>
      <c r="BJ336" s="129"/>
      <c r="BK336" s="129"/>
      <c r="BL336" s="129"/>
      <c r="BM336" s="129"/>
      <c r="BN336" s="129"/>
      <c r="BO336" s="129"/>
      <c r="BP336" s="129"/>
      <c r="BQ336" s="128"/>
      <c r="BR336" s="128"/>
      <c r="BS336" s="128"/>
      <c r="BT336" s="128"/>
      <c r="BU336" s="128"/>
      <c r="BV336" s="126"/>
      <c r="BW336" s="126"/>
      <c r="BX336" s="126"/>
      <c r="BY336" s="126"/>
      <c r="BZ336" s="126"/>
      <c r="CA336" s="126"/>
      <c r="CB336" s="126"/>
      <c r="CC336" s="126"/>
      <c r="CD336" s="126"/>
    </row>
    <row r="337" spans="1:82" ht="18.75" hidden="1" customHeight="1" x14ac:dyDescent="0.4">
      <c r="A337" s="126"/>
      <c r="B337" s="233" t="s">
        <v>16</v>
      </c>
      <c r="C337" s="126"/>
      <c r="D337" s="126"/>
      <c r="E337" s="126"/>
      <c r="F337" s="126"/>
      <c r="G337" s="126"/>
      <c r="H337" s="126"/>
      <c r="I337" s="126"/>
      <c r="J337" s="126"/>
      <c r="K337" s="126"/>
      <c r="L337" s="126"/>
      <c r="M337" s="126"/>
      <c r="N337" s="128"/>
      <c r="O337" s="128"/>
      <c r="P337" s="128"/>
      <c r="Q337" s="128"/>
      <c r="R337" s="128"/>
      <c r="S337" s="128"/>
      <c r="T337" s="128"/>
      <c r="U337" s="128"/>
      <c r="V337" s="131"/>
      <c r="W337" s="128"/>
      <c r="X337" s="128"/>
      <c r="Y337" s="233" t="s">
        <v>342</v>
      </c>
      <c r="Z337" s="126"/>
      <c r="AB337" s="132"/>
      <c r="AC337" s="126"/>
      <c r="AD337" s="126"/>
      <c r="AE337" s="126"/>
      <c r="AF337" s="126"/>
      <c r="AG337" s="126"/>
      <c r="AH337" s="126"/>
      <c r="AI337" s="126"/>
      <c r="AJ337" s="126"/>
      <c r="AK337" s="126"/>
      <c r="AL337" s="133"/>
      <c r="AM337" s="133"/>
      <c r="AN337" s="133"/>
      <c r="AO337" s="133"/>
      <c r="AP337" s="133"/>
      <c r="AQ337" s="133"/>
      <c r="AR337" s="133"/>
      <c r="AS337" s="133"/>
      <c r="AT337" s="132"/>
      <c r="AU337" s="132"/>
      <c r="AX337" s="130"/>
      <c r="AY337" s="233"/>
      <c r="AZ337" s="126"/>
      <c r="BV337" s="126"/>
      <c r="BW337" s="126"/>
      <c r="BX337" s="126"/>
      <c r="BY337" s="126"/>
      <c r="BZ337" s="126"/>
      <c r="CA337" s="126"/>
      <c r="CB337" s="126"/>
      <c r="CC337" s="126"/>
      <c r="CD337" s="126"/>
    </row>
    <row r="338" spans="1:82" ht="18.75" hidden="1" customHeight="1" x14ac:dyDescent="0.4">
      <c r="A338" s="126"/>
      <c r="B338" s="131"/>
      <c r="C338" s="231" t="s">
        <v>346</v>
      </c>
      <c r="D338" s="132"/>
      <c r="E338" s="132"/>
      <c r="F338" s="132"/>
      <c r="G338" s="132"/>
      <c r="H338" s="132"/>
      <c r="I338" s="132"/>
      <c r="J338" s="132"/>
      <c r="K338" s="132"/>
      <c r="L338" s="132"/>
      <c r="M338" s="132"/>
      <c r="N338" s="132"/>
      <c r="O338" s="132"/>
      <c r="P338" s="1469">
        <f>SUM(SCAApp1TotalNet,SCAApp2TotalNet,SCAApp3TotalNet,SCAApp4TotalNet,SCAApp5TotalNet,SCAApp6TotalNet)</f>
        <v>16071.833333333334</v>
      </c>
      <c r="Q338" s="1470"/>
      <c r="R338" s="1470"/>
      <c r="S338" s="1470"/>
      <c r="T338" s="1470"/>
      <c r="U338" s="1470"/>
      <c r="V338" s="1470"/>
      <c r="W338" s="1471"/>
      <c r="X338" s="134"/>
      <c r="Y338" s="131"/>
      <c r="Z338" s="231" t="s">
        <v>343</v>
      </c>
      <c r="AB338" s="126"/>
      <c r="AC338" s="126"/>
      <c r="AD338" s="126"/>
      <c r="AE338" s="126"/>
      <c r="AF338" s="126"/>
      <c r="AG338" s="126"/>
      <c r="AH338" s="126"/>
      <c r="AI338" s="126"/>
      <c r="AJ338" s="126"/>
      <c r="AK338" s="126"/>
      <c r="AL338" s="133"/>
      <c r="AM338" s="133"/>
      <c r="AN338" s="1469">
        <f ca="1">P338-P342</f>
        <v>16071.833333333334</v>
      </c>
      <c r="AO338" s="1470"/>
      <c r="AP338" s="1470"/>
      <c r="AQ338" s="1470"/>
      <c r="AR338" s="1470"/>
      <c r="AS338" s="1470"/>
      <c r="AT338" s="1470">
        <f>SUM(SCAApp1HEM,SCAApp2HEM,SCAApp3HEM,SCAApp4HEM,SCAApp5HEM,SCAApp6HEM)</f>
        <v>0</v>
      </c>
      <c r="AU338" s="1471"/>
      <c r="BY338" s="126"/>
      <c r="BZ338" s="126"/>
      <c r="CA338" s="126"/>
      <c r="CB338" s="126"/>
      <c r="CC338" s="126"/>
      <c r="CD338" s="126"/>
    </row>
    <row r="339" spans="1:82" ht="18.75" hidden="1" customHeight="1" x14ac:dyDescent="0.4">
      <c r="A339" s="126"/>
      <c r="B339" s="233" t="s">
        <v>444</v>
      </c>
      <c r="C339" s="229"/>
      <c r="D339" s="229"/>
      <c r="E339" s="229"/>
      <c r="F339" s="229"/>
      <c r="G339" s="229"/>
      <c r="H339" s="229"/>
      <c r="I339" s="229"/>
      <c r="J339" s="229"/>
      <c r="K339" s="229"/>
      <c r="L339" s="229"/>
      <c r="M339" s="229"/>
      <c r="N339" s="229"/>
      <c r="O339" s="229"/>
      <c r="P339" s="132"/>
      <c r="Q339" s="132"/>
      <c r="R339" s="132"/>
      <c r="S339" s="132"/>
      <c r="T339" s="132"/>
      <c r="U339" s="133"/>
      <c r="V339" s="132"/>
      <c r="W339" s="132"/>
      <c r="X339" s="132"/>
      <c r="Y339" s="126"/>
      <c r="Z339" s="231" t="s">
        <v>344</v>
      </c>
      <c r="AB339" s="126"/>
      <c r="AC339" s="126"/>
      <c r="AD339" s="126"/>
      <c r="AE339" s="126"/>
      <c r="AF339" s="126"/>
      <c r="AG339" s="126"/>
      <c r="AH339" s="126"/>
      <c r="AI339" s="126"/>
      <c r="AJ339" s="126"/>
      <c r="AK339" s="126"/>
      <c r="AL339" s="133"/>
      <c r="AM339" s="133"/>
      <c r="AN339" s="1469">
        <f ca="1">AN338-P343</f>
        <v>16071.833333333334</v>
      </c>
      <c r="AO339" s="1470"/>
      <c r="AP339" s="1470"/>
      <c r="AQ339" s="1470"/>
      <c r="AR339" s="1470"/>
      <c r="AS339" s="1470"/>
      <c r="AT339" s="1470"/>
      <c r="AU339" s="1471"/>
      <c r="BY339" s="126"/>
      <c r="BZ339" s="126"/>
      <c r="CA339" s="126"/>
      <c r="CB339" s="126"/>
      <c r="CC339" s="126"/>
      <c r="CD339" s="126"/>
    </row>
    <row r="340" spans="1:82" ht="18.75" hidden="1" customHeight="1" x14ac:dyDescent="0.25">
      <c r="A340" s="126"/>
      <c r="B340" s="131"/>
      <c r="C340" s="231" t="s">
        <v>339</v>
      </c>
      <c r="D340" s="128"/>
      <c r="E340" s="128"/>
      <c r="F340" s="128"/>
      <c r="G340" s="128"/>
      <c r="H340" s="128"/>
      <c r="I340" s="128"/>
      <c r="J340" s="128"/>
      <c r="K340" s="128"/>
      <c r="L340" s="128"/>
      <c r="M340" s="128"/>
      <c r="N340" s="128"/>
      <c r="O340" s="128"/>
      <c r="P340" s="1469">
        <f>SUM('Expense Calculation'!$AA$8:$AA$13)</f>
        <v>0</v>
      </c>
      <c r="Q340" s="1470"/>
      <c r="R340" s="1470"/>
      <c r="S340" s="1470"/>
      <c r="T340" s="1470"/>
      <c r="U340" s="1470"/>
      <c r="V340" s="1470"/>
      <c r="W340" s="1471"/>
      <c r="X340" s="132"/>
      <c r="Y340" s="132"/>
      <c r="Z340" s="231" t="s">
        <v>345</v>
      </c>
      <c r="AB340" s="126"/>
      <c r="AC340" s="126"/>
      <c r="AD340" s="126"/>
      <c r="AE340" s="126"/>
      <c r="AF340" s="126"/>
      <c r="AG340" s="126"/>
      <c r="AH340" s="126"/>
      <c r="AI340" s="126"/>
      <c r="AJ340" s="126"/>
      <c r="AK340" s="126"/>
      <c r="AL340" s="126"/>
      <c r="AM340" s="126"/>
      <c r="AN340" s="1469">
        <f ca="1">AN339-P344</f>
        <v>16071.833333333334</v>
      </c>
      <c r="AO340" s="1470"/>
      <c r="AP340" s="1470"/>
      <c r="AQ340" s="1470"/>
      <c r="AR340" s="1470"/>
      <c r="AS340" s="1470"/>
      <c r="AT340" s="1470"/>
      <c r="AU340" s="1471"/>
      <c r="BY340" s="126"/>
      <c r="BZ340" s="126"/>
      <c r="CA340" s="126"/>
      <c r="CB340" s="126"/>
      <c r="CC340" s="126"/>
      <c r="CD340" s="126"/>
    </row>
    <row r="341" spans="1:82" ht="18.75" hidden="1" customHeight="1" x14ac:dyDescent="0.4">
      <c r="A341" s="126"/>
      <c r="C341" s="231" t="s">
        <v>340</v>
      </c>
      <c r="D341" s="134"/>
      <c r="E341" s="128"/>
      <c r="F341" s="128"/>
      <c r="G341" s="128"/>
      <c r="H341" s="128"/>
      <c r="I341" s="128"/>
      <c r="J341" s="128"/>
      <c r="L341" s="128"/>
      <c r="M341" s="128"/>
      <c r="N341" s="128"/>
      <c r="O341" s="128"/>
      <c r="P341" s="1469">
        <f ca="1">SUM(SCAApp1NonCompCDE,SCAApp1CDERent,SCAApp2NonCompCDE,SCAApp2CDERent,SCAApp3NonCompCDE,SCAApp3CDERent,SCAApp4NonCompCDE,SCAApp4CDERent,SCAApp5NonCompCDE,SCAApp5CDERent,SCAApp6NonCompCDE,SCAApp6CDERent)</f>
        <v>0</v>
      </c>
      <c r="Q341" s="1470"/>
      <c r="R341" s="1470"/>
      <c r="S341" s="1470"/>
      <c r="T341" s="1470"/>
      <c r="U341" s="1470"/>
      <c r="V341" s="1470"/>
      <c r="W341" s="1471"/>
      <c r="X341" s="129"/>
      <c r="Y341" s="233" t="s">
        <v>347</v>
      </c>
      <c r="Z341" s="229"/>
      <c r="AA341" s="229"/>
      <c r="AB341" s="229"/>
      <c r="AC341" s="229"/>
      <c r="AD341" s="229"/>
      <c r="AE341" s="229"/>
      <c r="AF341" s="229"/>
      <c r="AG341" s="229"/>
      <c r="AH341" s="229"/>
      <c r="AI341" s="229"/>
      <c r="AJ341" s="229"/>
      <c r="AK341" s="229"/>
      <c r="AL341" s="229"/>
      <c r="AM341" s="126"/>
      <c r="AN341" s="126"/>
      <c r="AO341" s="126"/>
      <c r="AP341" s="126"/>
      <c r="AQ341" s="126"/>
      <c r="AR341" s="126"/>
      <c r="AS341" s="126"/>
      <c r="AT341" s="128"/>
      <c r="AU341" s="128"/>
      <c r="BX341" s="126"/>
      <c r="BY341" s="126"/>
      <c r="BZ341" s="126"/>
      <c r="CA341" s="126"/>
      <c r="CB341" s="126"/>
      <c r="CC341" s="126"/>
      <c r="CD341" s="126"/>
    </row>
    <row r="342" spans="1:82" ht="18.75" hidden="1" customHeight="1" x14ac:dyDescent="0.4">
      <c r="A342" s="126"/>
      <c r="B342" s="131"/>
      <c r="C342" s="234" t="s">
        <v>341</v>
      </c>
      <c r="D342" s="134"/>
      <c r="E342" s="126"/>
      <c r="F342" s="126"/>
      <c r="G342" s="126"/>
      <c r="H342" s="126"/>
      <c r="I342" s="126"/>
      <c r="J342" s="126"/>
      <c r="K342" s="126"/>
      <c r="L342" s="126"/>
      <c r="M342" s="126"/>
      <c r="N342" s="126"/>
      <c r="O342" s="126"/>
      <c r="P342" s="1469">
        <f ca="1">P340+P341</f>
        <v>0</v>
      </c>
      <c r="Q342" s="1470"/>
      <c r="R342" s="1470"/>
      <c r="S342" s="1470"/>
      <c r="T342" s="1470"/>
      <c r="U342" s="1470"/>
      <c r="V342" s="1470"/>
      <c r="W342" s="1471"/>
      <c r="X342" s="129"/>
      <c r="Y342" s="131"/>
      <c r="Z342" s="231" t="s">
        <v>1420</v>
      </c>
      <c r="AA342" s="128"/>
      <c r="AB342" s="126"/>
      <c r="AC342" s="126"/>
      <c r="AD342" s="126"/>
      <c r="AE342" s="126"/>
      <c r="AF342" s="126"/>
      <c r="AG342" s="126"/>
      <c r="AH342" s="126"/>
      <c r="AI342" s="126"/>
      <c r="AJ342" s="126"/>
      <c r="AK342" s="126"/>
      <c r="AL342" s="126"/>
      <c r="AN342" s="1522" t="str">
        <f ca="1">IFERROR(TRUNC((P338-P342)/(P343+P344),2),"")</f>
        <v/>
      </c>
      <c r="AO342" s="1523"/>
      <c r="AP342" s="1523"/>
      <c r="AQ342" s="1523"/>
      <c r="AR342" s="1523"/>
      <c r="AS342" s="1523"/>
      <c r="AT342" s="1523"/>
      <c r="AU342" s="1524"/>
      <c r="AX342" s="1519" t="str">
        <f ca="1">IF(COUNTIF($AS$103:$AS$112,"&lt;" &amp; $AJ$282)&gt;0,CONCATENATE("The application includes one or more loans with an interest only period that is less than the highest remaining term for any student training and support loan.", " Any loans that do not meet the policy criteria will be calculated as PIF repayments. Please check the interest only term entered and update if required."),"")</f>
        <v/>
      </c>
      <c r="AY342" s="1519"/>
      <c r="AZ342" s="1519"/>
      <c r="BA342" s="1519"/>
      <c r="BB342" s="1519"/>
      <c r="BC342" s="1519"/>
      <c r="BD342" s="1519"/>
      <c r="BE342" s="1519"/>
      <c r="BF342" s="1519"/>
      <c r="BG342" s="1519"/>
      <c r="BH342" s="1519"/>
      <c r="BI342" s="1519"/>
      <c r="BJ342" s="1519"/>
      <c r="BK342" s="1519"/>
      <c r="BL342" s="1519"/>
      <c r="BM342" s="1519"/>
      <c r="BN342" s="1519"/>
      <c r="BO342" s="1519"/>
      <c r="BP342" s="1519"/>
      <c r="BQ342" s="1519"/>
      <c r="BR342" s="1519"/>
      <c r="BS342" s="1519"/>
      <c r="BT342" s="1519"/>
      <c r="BU342" s="1519"/>
      <c r="BX342" s="126"/>
      <c r="BY342" s="126"/>
      <c r="BZ342" s="126"/>
      <c r="CA342" s="126"/>
      <c r="CB342" s="126"/>
      <c r="CC342" s="126"/>
      <c r="CD342" s="126"/>
    </row>
    <row r="343" spans="1:82" ht="18.75" hidden="1" customHeight="1" x14ac:dyDescent="0.25">
      <c r="A343" s="126"/>
      <c r="B343" s="126"/>
      <c r="C343" s="231" t="s">
        <v>359</v>
      </c>
      <c r="D343" s="128"/>
      <c r="E343" s="126"/>
      <c r="F343" s="126"/>
      <c r="G343" s="126"/>
      <c r="H343" s="126"/>
      <c r="I343" s="126"/>
      <c r="J343" s="126"/>
      <c r="K343" s="126"/>
      <c r="L343" s="126"/>
      <c r="M343" s="126"/>
      <c r="N343" s="126"/>
      <c r="O343" s="126"/>
      <c r="P343" s="1469">
        <f>SUM(BY140,BY146,BY152,BY158,BY164,BY170,BY176,BY182,BY188,BY194,BY200,BY206,BY212,BY218,BY224,BY230,BY236,BY242,BY248,BY254,AE264:AE281)</f>
        <v>0</v>
      </c>
      <c r="Q343" s="1470"/>
      <c r="R343" s="1470"/>
      <c r="S343" s="1470"/>
      <c r="T343" s="1470"/>
      <c r="U343" s="1470"/>
      <c r="V343" s="1470"/>
      <c r="W343" s="1471"/>
      <c r="X343" s="128"/>
      <c r="Y343" s="126"/>
      <c r="Z343" s="231" t="s">
        <v>348</v>
      </c>
      <c r="AA343" s="134"/>
      <c r="AB343" s="126"/>
      <c r="AC343" s="126"/>
      <c r="AD343" s="126"/>
      <c r="AE343" s="126"/>
      <c r="AF343" s="126"/>
      <c r="AG343" s="126"/>
      <c r="AH343" s="126"/>
      <c r="AI343" s="126"/>
      <c r="AJ343" s="126"/>
      <c r="AK343" s="128"/>
      <c r="AL343" s="128"/>
      <c r="AN343" s="1522">
        <f>IFERROR(ROUNDUP(SUM(J103:J112,AZ142,AZ148,AZ154,AZ160,AZ166,AZ172,AZ178,AZ184,AZ190,AZ196,AZ202,AZ208,AZ214,AZ220,AZ226,AZ232,AZ238,AZ244,AZ250,AZ256,BG264:BG281)/SUM(ICApp1IncomeDTI,ICApp2IncomeDTI,ICApp3IncomeDTI,ICApp4IncomeDTI,ICApp5IncomeDTI,ICApp6IncomeDTI),2),0)</f>
        <v>0</v>
      </c>
      <c r="AO343" s="1523"/>
      <c r="AP343" s="1523"/>
      <c r="AQ343" s="1523"/>
      <c r="AR343" s="1523"/>
      <c r="AS343" s="1523"/>
      <c r="AT343" s="1523"/>
      <c r="AU343" s="1524"/>
      <c r="AX343" s="1520"/>
      <c r="AY343" s="1520"/>
      <c r="AZ343" s="1520"/>
      <c r="BA343" s="1520"/>
      <c r="BB343" s="1520"/>
      <c r="BC343" s="1520"/>
      <c r="BD343" s="1520"/>
      <c r="BE343" s="1520"/>
      <c r="BF343" s="1520"/>
      <c r="BG343" s="1520"/>
      <c r="BH343" s="1520"/>
      <c r="BI343" s="1520"/>
      <c r="BJ343" s="1520"/>
      <c r="BK343" s="1520"/>
      <c r="BL343" s="1520"/>
      <c r="BM343" s="1520"/>
      <c r="BN343" s="1520"/>
      <c r="BO343" s="1520"/>
      <c r="BP343" s="1520"/>
      <c r="BQ343" s="1520"/>
      <c r="BR343" s="1520"/>
      <c r="BS343" s="1520"/>
      <c r="BT343" s="1520"/>
      <c r="BU343" s="1520"/>
      <c r="BW343" s="126"/>
      <c r="BX343" s="126"/>
      <c r="BY343" s="126"/>
      <c r="BZ343" s="126"/>
      <c r="CA343" s="126"/>
      <c r="CB343" s="126"/>
      <c r="CC343" s="126"/>
      <c r="CD343" s="126"/>
    </row>
    <row r="344" spans="1:82" ht="18.75" hidden="1" customHeight="1" x14ac:dyDescent="0.3">
      <c r="A344" s="126"/>
      <c r="B344" s="126"/>
      <c r="C344" s="231" t="s">
        <v>1412</v>
      </c>
      <c r="D344" s="134"/>
      <c r="E344" s="126"/>
      <c r="F344" s="126"/>
      <c r="G344" s="126"/>
      <c r="H344" s="126"/>
      <c r="I344" s="126"/>
      <c r="J344" s="126"/>
      <c r="K344" s="126"/>
      <c r="L344" s="126"/>
      <c r="M344" s="126"/>
      <c r="N344" s="128"/>
      <c r="O344" s="128"/>
      <c r="P344" s="1469">
        <f>SUM(BX103:BX112)</f>
        <v>0</v>
      </c>
      <c r="Q344" s="1470"/>
      <c r="R344" s="1470"/>
      <c r="S344" s="1470"/>
      <c r="T344" s="1470"/>
      <c r="U344" s="1470"/>
      <c r="V344" s="1470"/>
      <c r="W344" s="1471"/>
      <c r="X344" s="132"/>
      <c r="Z344" s="232" t="s">
        <v>1421</v>
      </c>
      <c r="AA344" s="189"/>
      <c r="AB344" s="190"/>
      <c r="AC344" s="190"/>
      <c r="AD344" s="190"/>
      <c r="AE344" s="190"/>
      <c r="AF344" s="190"/>
      <c r="AG344" s="190"/>
      <c r="AH344" s="126"/>
      <c r="AI344" s="126"/>
      <c r="AJ344" s="126"/>
      <c r="AK344" s="128"/>
      <c r="AN344" s="1503" t="str">
        <f ca="1">IFERROR(IF(OR(ICDSCMinRequired="N/A",AN342=""),"",IF(AN342&lt;ICDSCMinRequired,"Decline","Pass")),"")</f>
        <v/>
      </c>
      <c r="AO344" s="1504"/>
      <c r="AP344" s="1504"/>
      <c r="AQ344" s="1504"/>
      <c r="AR344" s="1504"/>
      <c r="AS344" s="1504"/>
      <c r="AT344" s="1504"/>
      <c r="AU344" s="1505"/>
      <c r="AX344" s="1521"/>
      <c r="AY344" s="1521"/>
      <c r="AZ344" s="1521"/>
      <c r="BA344" s="1521"/>
      <c r="BB344" s="1521"/>
      <c r="BC344" s="1521"/>
      <c r="BD344" s="1521"/>
      <c r="BE344" s="1521"/>
      <c r="BF344" s="1521"/>
      <c r="BG344" s="1521"/>
      <c r="BH344" s="1521"/>
      <c r="BI344" s="1521"/>
      <c r="BJ344" s="1521"/>
      <c r="BK344" s="1521"/>
      <c r="BL344" s="1521"/>
      <c r="BM344" s="1521"/>
      <c r="BN344" s="1521"/>
      <c r="BO344" s="1521"/>
      <c r="BP344" s="1521"/>
      <c r="BQ344" s="1521"/>
      <c r="BR344" s="1521"/>
      <c r="BS344" s="1521"/>
      <c r="BT344" s="1521"/>
      <c r="BU344" s="1521"/>
      <c r="BW344" s="126"/>
      <c r="BX344" s="126"/>
      <c r="BY344" s="126"/>
      <c r="BZ344" s="126"/>
      <c r="CA344" s="126"/>
      <c r="CB344" s="126"/>
      <c r="CC344" s="126"/>
      <c r="CD344" s="126"/>
    </row>
    <row r="345" spans="1:82" ht="7.5" hidden="1" customHeight="1" x14ac:dyDescent="0.25">
      <c r="A345" s="126"/>
      <c r="B345" s="126"/>
      <c r="C345" s="126"/>
      <c r="D345" s="126"/>
      <c r="E345" s="126"/>
      <c r="F345" s="126"/>
      <c r="G345" s="126"/>
      <c r="H345" s="126"/>
      <c r="I345" s="126"/>
      <c r="J345" s="126"/>
      <c r="K345" s="126"/>
      <c r="L345" s="126"/>
      <c r="M345" s="126"/>
      <c r="N345" s="135"/>
      <c r="O345" s="135"/>
      <c r="P345" s="135"/>
      <c r="Q345" s="135"/>
      <c r="R345" s="135"/>
      <c r="S345" s="135"/>
      <c r="T345" s="135"/>
      <c r="U345" s="135"/>
      <c r="V345" s="135"/>
      <c r="W345" s="135"/>
      <c r="X345" s="135"/>
      <c r="Y345" s="135"/>
      <c r="Z345" s="135"/>
      <c r="AA345" s="135"/>
      <c r="AB345" s="135"/>
      <c r="AC345" s="135"/>
      <c r="AD345" s="135"/>
      <c r="AE345" s="135"/>
      <c r="AF345" s="135"/>
      <c r="AG345" s="135"/>
      <c r="AH345" s="135"/>
      <c r="AI345" s="135"/>
      <c r="AJ345" s="135"/>
      <c r="AK345" s="126"/>
      <c r="AL345" s="126"/>
      <c r="AM345" s="126"/>
      <c r="AN345" s="126"/>
      <c r="AO345" s="126"/>
      <c r="AP345" s="126"/>
      <c r="AQ345" s="126"/>
      <c r="AR345" s="126"/>
      <c r="AS345" s="126"/>
      <c r="AT345" s="126"/>
      <c r="AU345" s="126"/>
      <c r="AV345" s="126"/>
      <c r="AW345" s="126"/>
      <c r="AX345" s="188"/>
      <c r="AY345" s="188"/>
      <c r="AZ345" s="188"/>
      <c r="BA345" s="188"/>
      <c r="BB345" s="188"/>
      <c r="BC345" s="188"/>
      <c r="BD345" s="188"/>
      <c r="BE345" s="188"/>
      <c r="BF345" s="188"/>
      <c r="BG345" s="188"/>
      <c r="BH345" s="188"/>
      <c r="BI345" s="188"/>
      <c r="BJ345" s="188"/>
      <c r="BK345" s="188"/>
      <c r="BL345" s="188"/>
      <c r="BM345" s="188"/>
      <c r="BN345" s="188"/>
      <c r="BO345" s="188"/>
      <c r="BP345" s="188"/>
      <c r="BQ345" s="188"/>
      <c r="BR345" s="188"/>
      <c r="BS345" s="188"/>
      <c r="BT345" s="188"/>
      <c r="BU345" s="188"/>
      <c r="BV345" s="126"/>
      <c r="BW345" s="126"/>
      <c r="BX345" s="126"/>
      <c r="BY345" s="126"/>
      <c r="BZ345" s="126"/>
      <c r="CA345" s="126"/>
      <c r="CB345" s="126"/>
      <c r="CC345" s="126"/>
      <c r="CD345" s="126"/>
    </row>
    <row r="346" spans="1:82" ht="18.75" customHeight="1" x14ac:dyDescent="0.5">
      <c r="A346" s="857"/>
      <c r="B346" s="1156" t="s">
        <v>1065</v>
      </c>
      <c r="C346" s="858"/>
      <c r="D346" s="858"/>
      <c r="E346" s="858"/>
      <c r="F346" s="858"/>
      <c r="G346" s="858"/>
      <c r="H346" s="858"/>
      <c r="I346" s="858"/>
      <c r="J346" s="858"/>
      <c r="K346" s="858"/>
      <c r="L346" s="858"/>
      <c r="M346" s="858"/>
      <c r="N346" s="858"/>
      <c r="O346" s="858"/>
      <c r="P346" s="858"/>
      <c r="Q346" s="858"/>
      <c r="R346" s="858"/>
      <c r="S346" s="858"/>
      <c r="T346" s="858"/>
      <c r="U346" s="859"/>
      <c r="V346" s="859"/>
      <c r="W346" s="859"/>
      <c r="X346" s="859"/>
      <c r="Y346" s="859"/>
      <c r="Z346" s="859"/>
      <c r="AA346" s="859"/>
      <c r="AB346" s="859"/>
      <c r="AC346" s="859"/>
      <c r="AD346" s="859"/>
      <c r="AE346" s="859"/>
      <c r="AF346" s="859"/>
      <c r="AG346" s="859"/>
      <c r="AH346" s="859"/>
      <c r="AI346" s="859"/>
      <c r="AJ346" s="859"/>
      <c r="AK346" s="860"/>
      <c r="AL346" s="860"/>
      <c r="AM346" s="860"/>
      <c r="AN346" s="860"/>
      <c r="AO346" s="860"/>
      <c r="AP346" s="860"/>
      <c r="AQ346" s="860"/>
      <c r="AR346" s="860"/>
      <c r="AS346" s="860"/>
      <c r="AT346" s="860"/>
      <c r="AU346" s="860"/>
      <c r="AV346" s="860"/>
      <c r="AW346" s="860"/>
      <c r="AX346" s="860"/>
      <c r="AY346" s="860"/>
      <c r="AZ346" s="860"/>
      <c r="BA346" s="860"/>
      <c r="BB346" s="860"/>
      <c r="BC346" s="860"/>
      <c r="BD346" s="860"/>
      <c r="BE346" s="860"/>
      <c r="BF346" s="860"/>
      <c r="BG346" s="860"/>
      <c r="BH346" s="860"/>
      <c r="BI346" s="860"/>
      <c r="BJ346" s="860"/>
      <c r="BK346" s="860"/>
      <c r="BL346" s="860"/>
      <c r="BM346" s="860"/>
      <c r="BN346" s="860"/>
      <c r="BO346" s="860"/>
      <c r="BP346" s="860"/>
      <c r="BQ346" s="860"/>
      <c r="BR346" s="860"/>
      <c r="BS346" s="860"/>
      <c r="BT346" s="860"/>
      <c r="BU346" s="860"/>
      <c r="BV346" s="860"/>
      <c r="BW346" s="860"/>
      <c r="BX346" s="860"/>
      <c r="BY346" s="860"/>
      <c r="BZ346" s="860"/>
      <c r="CA346" s="860"/>
      <c r="CB346" s="860"/>
      <c r="CC346" s="860"/>
      <c r="CD346" s="860"/>
    </row>
    <row r="347" spans="1:82" ht="7.5" customHeight="1" x14ac:dyDescent="0.25"/>
    <row r="348" spans="1:82" ht="18.75" customHeight="1" x14ac:dyDescent="0.35">
      <c r="A348" s="136"/>
      <c r="B348" s="136"/>
      <c r="C348" s="510" t="s">
        <v>1066</v>
      </c>
      <c r="D348" s="136"/>
      <c r="E348" s="136"/>
      <c r="F348" s="136"/>
      <c r="G348" s="136"/>
      <c r="H348" s="136"/>
      <c r="I348" s="136"/>
      <c r="J348" s="136"/>
      <c r="K348" s="136"/>
      <c r="L348" s="136"/>
      <c r="M348" s="136"/>
      <c r="N348" s="137"/>
      <c r="O348" s="137"/>
      <c r="P348" s="1570"/>
      <c r="Q348" s="1571"/>
      <c r="R348" s="1571"/>
      <c r="S348" s="1571"/>
      <c r="T348" s="1571"/>
      <c r="U348" s="1571"/>
      <c r="V348" s="1571"/>
      <c r="W348" s="1572"/>
      <c r="Z348" s="511" t="s">
        <v>1068</v>
      </c>
      <c r="AN348" s="1573"/>
      <c r="AO348" s="1574"/>
      <c r="AP348" s="1574"/>
      <c r="AQ348" s="1574"/>
      <c r="AR348" s="1574"/>
      <c r="AS348" s="1574"/>
      <c r="AT348" s="1574"/>
      <c r="AU348" s="1575"/>
    </row>
    <row r="349" spans="1:82" ht="18.75" customHeight="1" x14ac:dyDescent="0.35">
      <c r="A349" s="136"/>
      <c r="B349" s="136"/>
      <c r="C349" s="510" t="s">
        <v>1067</v>
      </c>
      <c r="D349" s="136"/>
      <c r="E349" s="136"/>
      <c r="F349" s="136"/>
      <c r="G349" s="136"/>
      <c r="H349" s="136"/>
      <c r="I349" s="136"/>
      <c r="J349" s="136"/>
      <c r="K349" s="136"/>
      <c r="L349" s="136"/>
      <c r="M349" s="136"/>
      <c r="N349" s="137"/>
      <c r="O349" s="137"/>
      <c r="P349" s="1469">
        <f>SUM($J$103:$T$112)</f>
        <v>0</v>
      </c>
      <c r="Q349" s="1470"/>
      <c r="R349" s="1470"/>
      <c r="S349" s="1470"/>
      <c r="T349" s="1470"/>
      <c r="U349" s="1470"/>
      <c r="V349" s="1470"/>
      <c r="W349" s="1471"/>
      <c r="Z349" s="511" t="s">
        <v>1069</v>
      </c>
      <c r="AN349" s="1469">
        <f>SUM(P349,AN348)</f>
        <v>0</v>
      </c>
      <c r="AO349" s="1470"/>
      <c r="AP349" s="1470"/>
      <c r="AQ349" s="1470"/>
      <c r="AR349" s="1470"/>
      <c r="AS349" s="1470"/>
      <c r="AT349" s="1470"/>
      <c r="AU349" s="1471"/>
    </row>
    <row r="350" spans="1:82" ht="18.75" customHeight="1" x14ac:dyDescent="0.5">
      <c r="A350" s="126"/>
      <c r="C350" s="116"/>
      <c r="P350" s="138"/>
      <c r="Q350" s="138"/>
      <c r="Z350" s="648" t="s">
        <v>1070</v>
      </c>
      <c r="AN350" s="1550" t="str">
        <f>IF(OR(P348=0,ISBLANK(P348)),"",ROUND(AN349/P348,4))</f>
        <v/>
      </c>
      <c r="AO350" s="1551"/>
      <c r="AP350" s="1551"/>
      <c r="AQ350" s="1551"/>
      <c r="AR350" s="1551"/>
      <c r="AS350" s="1551"/>
      <c r="AT350" s="1551"/>
      <c r="AU350" s="1552"/>
    </row>
    <row r="351" spans="1:82" ht="7.5" customHeight="1" x14ac:dyDescent="0.3">
      <c r="A351" s="269"/>
      <c r="B351" s="270"/>
      <c r="C351" s="270"/>
      <c r="D351" s="270"/>
      <c r="E351" s="270"/>
      <c r="F351" s="270"/>
      <c r="G351" s="270"/>
      <c r="H351" s="270"/>
      <c r="I351" s="270"/>
      <c r="J351" s="270"/>
      <c r="K351" s="270"/>
      <c r="L351" s="270"/>
      <c r="M351" s="270"/>
      <c r="N351" s="270"/>
      <c r="O351" s="270"/>
      <c r="P351" s="270"/>
      <c r="Q351" s="271"/>
      <c r="R351" s="271"/>
      <c r="S351" s="271"/>
      <c r="T351" s="271"/>
      <c r="U351" s="272"/>
      <c r="V351" s="272"/>
      <c r="W351" s="272"/>
      <c r="X351" s="272"/>
      <c r="Y351" s="272"/>
      <c r="Z351" s="272"/>
      <c r="AA351" s="272"/>
      <c r="AB351" s="272"/>
      <c r="AC351" s="272"/>
      <c r="AD351" s="272"/>
      <c r="AE351" s="272"/>
      <c r="AF351" s="272"/>
      <c r="AG351" s="272"/>
      <c r="AH351" s="272"/>
      <c r="AI351" s="272"/>
      <c r="AJ351" s="272"/>
      <c r="AK351" s="272"/>
      <c r="AL351" s="272"/>
      <c r="AM351" s="272"/>
      <c r="AN351" s="272"/>
      <c r="AO351" s="272"/>
      <c r="AP351" s="272"/>
      <c r="AQ351" s="272"/>
      <c r="AR351" s="269"/>
      <c r="AS351" s="269"/>
      <c r="AT351" s="273"/>
      <c r="AU351" s="273"/>
      <c r="AV351" s="273"/>
      <c r="AW351" s="273"/>
      <c r="AX351" s="273"/>
      <c r="AY351" s="273"/>
      <c r="AZ351" s="273"/>
      <c r="BA351" s="273"/>
      <c r="BB351" s="273"/>
      <c r="BC351" s="273"/>
      <c r="BD351" s="273"/>
      <c r="BE351" s="273"/>
      <c r="BF351" s="273"/>
      <c r="BG351" s="273"/>
      <c r="BH351" s="273"/>
      <c r="BI351" s="273"/>
      <c r="BJ351" s="273"/>
      <c r="BK351" s="269"/>
      <c r="BL351" s="269"/>
      <c r="BM351" s="269"/>
      <c r="BN351" s="269"/>
      <c r="BO351" s="269"/>
      <c r="BP351" s="269"/>
      <c r="BQ351" s="269"/>
      <c r="BR351" s="269"/>
      <c r="BS351" s="269"/>
      <c r="BT351" s="269"/>
      <c r="BU351" s="269"/>
      <c r="BV351" s="269"/>
      <c r="BW351" s="269"/>
      <c r="BX351" s="269"/>
      <c r="BY351" s="269"/>
      <c r="BZ351" s="269"/>
      <c r="CA351" s="269"/>
      <c r="CB351" s="269"/>
      <c r="CC351" s="269"/>
      <c r="CD351" s="269"/>
    </row>
    <row r="352" spans="1:82" ht="18.75" hidden="1" customHeight="1" x14ac:dyDescent="0.5">
      <c r="A352" s="975"/>
      <c r="B352" s="1157" t="s">
        <v>1475</v>
      </c>
      <c r="C352" s="976"/>
      <c r="D352" s="976"/>
      <c r="E352" s="976"/>
      <c r="F352" s="976"/>
      <c r="G352" s="976"/>
      <c r="H352" s="976"/>
      <c r="I352" s="976"/>
      <c r="J352" s="976"/>
      <c r="K352" s="976"/>
      <c r="L352" s="976"/>
      <c r="M352" s="976"/>
      <c r="N352" s="976"/>
      <c r="O352" s="976"/>
      <c r="P352" s="976"/>
      <c r="Q352" s="976"/>
      <c r="R352" s="976"/>
      <c r="S352" s="976"/>
      <c r="T352" s="976"/>
      <c r="U352" s="977"/>
      <c r="V352" s="977"/>
      <c r="W352" s="977"/>
      <c r="X352" s="977"/>
      <c r="Y352" s="977"/>
      <c r="Z352" s="977"/>
      <c r="AA352" s="977"/>
      <c r="AB352" s="977"/>
      <c r="AC352" s="977"/>
      <c r="AD352" s="977"/>
      <c r="AE352" s="977"/>
      <c r="AF352" s="977"/>
      <c r="AG352" s="977"/>
      <c r="AH352" s="977"/>
      <c r="AI352" s="977"/>
      <c r="AJ352" s="977"/>
      <c r="AK352" s="978"/>
      <c r="AL352" s="978"/>
      <c r="AM352" s="978"/>
      <c r="AN352" s="978"/>
      <c r="AO352" s="978"/>
      <c r="AP352" s="978"/>
      <c r="AQ352" s="978"/>
      <c r="AR352" s="978"/>
      <c r="AS352" s="978"/>
      <c r="AT352" s="978"/>
      <c r="AU352" s="978"/>
      <c r="AV352" s="978"/>
      <c r="AW352" s="978"/>
      <c r="AX352" s="978"/>
      <c r="AY352" s="978"/>
      <c r="AZ352" s="978"/>
      <c r="BA352" s="978"/>
      <c r="BB352" s="978"/>
      <c r="BC352" s="978"/>
      <c r="BD352" s="978"/>
      <c r="BE352" s="978"/>
      <c r="BF352" s="978"/>
      <c r="BG352" s="978"/>
      <c r="BH352" s="978"/>
      <c r="BI352" s="978"/>
      <c r="BJ352" s="978"/>
      <c r="BK352" s="978"/>
      <c r="BL352" s="978"/>
      <c r="BM352" s="978"/>
      <c r="BN352" s="978"/>
      <c r="BO352" s="978"/>
      <c r="BP352" s="978"/>
      <c r="BQ352" s="978"/>
      <c r="BR352" s="978"/>
      <c r="BS352" s="978"/>
      <c r="BT352" s="978"/>
      <c r="BU352" s="978"/>
      <c r="BV352" s="978"/>
      <c r="BW352" s="978"/>
      <c r="BX352" s="978"/>
      <c r="BY352" s="978"/>
      <c r="BZ352" s="978"/>
      <c r="CA352" s="978"/>
      <c r="CB352" s="978"/>
      <c r="CC352" s="978"/>
      <c r="CD352" s="978"/>
    </row>
    <row r="353" spans="1:82" ht="7.5" hidden="1" customHeight="1" x14ac:dyDescent="0.25"/>
    <row r="354" spans="1:82" ht="18.75" hidden="1" customHeight="1" x14ac:dyDescent="0.25">
      <c r="C354" s="968" t="s">
        <v>1479</v>
      </c>
      <c r="D354" s="111"/>
      <c r="E354" s="111"/>
      <c r="F354" s="111"/>
      <c r="G354" s="111"/>
      <c r="H354" s="111"/>
      <c r="I354" s="111"/>
      <c r="P354" s="1469">
        <f ca="1">MIN(0,AN291)</f>
        <v>0</v>
      </c>
      <c r="Q354" s="1470"/>
      <c r="R354" s="1470"/>
      <c r="S354" s="1470"/>
      <c r="T354" s="1470"/>
      <c r="U354" s="1470"/>
      <c r="V354" s="1470"/>
      <c r="W354" s="1471"/>
      <c r="Y354" s="973" t="s">
        <v>72</v>
      </c>
    </row>
    <row r="355" spans="1:82" ht="7.5" hidden="1" customHeight="1" x14ac:dyDescent="0.25">
      <c r="C355" s="967"/>
      <c r="D355" s="967"/>
      <c r="E355" s="967"/>
      <c r="F355" s="967"/>
      <c r="G355" s="967"/>
      <c r="H355" s="967"/>
      <c r="I355" s="967"/>
      <c r="J355" s="967"/>
      <c r="K355" s="967"/>
      <c r="L355" s="967"/>
      <c r="M355" s="967"/>
      <c r="N355" s="967"/>
      <c r="O355" s="967"/>
      <c r="P355" s="967"/>
      <c r="Q355" s="967"/>
      <c r="R355" s="967"/>
      <c r="S355" s="967"/>
      <c r="T355" s="967"/>
      <c r="U355" s="967"/>
      <c r="V355" s="967"/>
      <c r="W355" s="967"/>
      <c r="X355" s="967"/>
      <c r="Y355" s="967"/>
      <c r="Z355" s="967"/>
      <c r="AA355" s="967"/>
      <c r="AB355" s="966"/>
      <c r="AC355" s="966"/>
      <c r="AD355" s="966"/>
      <c r="AE355" s="966"/>
      <c r="AF355" s="966"/>
      <c r="AG355" s="966"/>
      <c r="AH355" s="966"/>
      <c r="AI355" s="966"/>
      <c r="AJ355" s="966"/>
      <c r="AK355" s="966"/>
      <c r="AL355" s="966"/>
      <c r="AM355" s="966"/>
      <c r="AN355" s="966"/>
      <c r="AO355" s="966"/>
      <c r="AP355" s="966"/>
      <c r="AQ355" s="966"/>
      <c r="AR355" s="966"/>
      <c r="AS355" s="965"/>
      <c r="AT355" s="965"/>
      <c r="AU355" s="965"/>
      <c r="AV355" s="967"/>
      <c r="AW355" s="967"/>
      <c r="AX355" s="967"/>
      <c r="AY355" s="967"/>
      <c r="AZ355" s="967"/>
      <c r="BA355" s="967"/>
      <c r="BB355" s="967"/>
      <c r="BC355" s="967"/>
      <c r="BD355" s="967"/>
      <c r="BE355" s="967"/>
      <c r="BF355" s="967"/>
      <c r="BG355" s="964"/>
      <c r="BH355" s="964"/>
      <c r="BI355" s="964"/>
      <c r="BJ355" s="964"/>
      <c r="BK355" s="964"/>
      <c r="BL355" s="964"/>
      <c r="BM355" s="964"/>
      <c r="BN355" s="964"/>
      <c r="BO355" s="964"/>
      <c r="BP355" s="964"/>
      <c r="BQ355" s="964"/>
      <c r="BR355" s="964"/>
      <c r="BS355" s="964"/>
    </row>
    <row r="356" spans="1:82" ht="18.75" hidden="1" customHeight="1" x14ac:dyDescent="0.5">
      <c r="A356" s="139"/>
      <c r="B356" s="1079" t="s">
        <v>1480</v>
      </c>
      <c r="C356" s="223"/>
      <c r="D356" s="223"/>
      <c r="E356" s="223"/>
      <c r="F356" s="223"/>
      <c r="G356" s="223"/>
      <c r="H356" s="223"/>
      <c r="I356" s="223"/>
      <c r="J356" s="223"/>
      <c r="K356" s="223"/>
      <c r="L356" s="223"/>
      <c r="M356" s="223"/>
      <c r="N356" s="223"/>
      <c r="O356" s="223"/>
      <c r="P356" s="223"/>
      <c r="Q356" s="223"/>
      <c r="R356" s="223"/>
      <c r="S356" s="223"/>
      <c r="T356" s="223"/>
      <c r="U356" s="140"/>
      <c r="V356" s="140"/>
      <c r="W356" s="140"/>
      <c r="X356" s="140"/>
      <c r="Y356" s="140"/>
      <c r="Z356" s="140"/>
      <c r="AA356" s="140"/>
      <c r="AB356" s="140"/>
      <c r="AC356" s="140"/>
      <c r="AD356" s="140"/>
      <c r="AE356" s="140"/>
      <c r="AF356" s="140"/>
      <c r="AG356" s="140"/>
      <c r="AH356" s="140"/>
      <c r="AI356" s="140"/>
      <c r="AJ356" s="140"/>
      <c r="AK356" s="85"/>
      <c r="AL356" s="85"/>
      <c r="AM356" s="85"/>
      <c r="AN356" s="85"/>
      <c r="AO356" s="85"/>
      <c r="AP356" s="85"/>
      <c r="AQ356" s="85"/>
      <c r="AR356" s="85"/>
      <c r="AS356" s="85"/>
      <c r="AT356" s="85"/>
      <c r="AU356" s="85"/>
      <c r="AV356" s="85"/>
      <c r="AW356" s="85"/>
      <c r="AX356" s="85"/>
      <c r="AY356" s="85"/>
      <c r="AZ356" s="85"/>
      <c r="BA356" s="85"/>
      <c r="BB356" s="85"/>
      <c r="BC356" s="85"/>
      <c r="BD356" s="85"/>
      <c r="BE356" s="85"/>
      <c r="BF356" s="85"/>
      <c r="BG356" s="85"/>
      <c r="BH356" s="85"/>
      <c r="BI356" s="85"/>
      <c r="BJ356" s="85"/>
      <c r="BK356" s="85"/>
      <c r="BL356" s="85"/>
      <c r="BM356" s="85"/>
      <c r="BN356" s="85"/>
      <c r="BO356" s="85"/>
      <c r="BP356" s="85"/>
      <c r="BQ356" s="85"/>
      <c r="BR356" s="85"/>
      <c r="BS356" s="85"/>
      <c r="BT356" s="85"/>
      <c r="BU356" s="85"/>
      <c r="BV356" s="85"/>
      <c r="BW356" s="85"/>
      <c r="BX356" s="85"/>
      <c r="BY356" s="85"/>
      <c r="BZ356" s="85"/>
      <c r="CA356" s="85"/>
      <c r="CB356" s="85"/>
      <c r="CC356" s="85"/>
      <c r="CD356" s="85"/>
    </row>
    <row r="357" spans="1:82" ht="7.5" hidden="1" customHeight="1" x14ac:dyDescent="0.25">
      <c r="C357" s="967"/>
      <c r="D357" s="967"/>
      <c r="E357" s="967"/>
      <c r="F357" s="967"/>
      <c r="G357" s="967"/>
      <c r="H357" s="967"/>
      <c r="I357" s="967"/>
      <c r="J357" s="967"/>
      <c r="K357" s="967"/>
      <c r="L357" s="967"/>
      <c r="M357" s="967"/>
      <c r="N357" s="967"/>
      <c r="O357" s="967"/>
      <c r="P357" s="967"/>
      <c r="Q357" s="967"/>
      <c r="R357" s="967"/>
      <c r="S357" s="967"/>
      <c r="T357" s="967"/>
      <c r="U357" s="967"/>
      <c r="V357" s="967"/>
      <c r="W357" s="967"/>
      <c r="X357" s="967"/>
      <c r="Y357" s="967"/>
      <c r="Z357" s="967"/>
      <c r="AA357" s="967"/>
      <c r="AB357" s="966"/>
      <c r="AC357" s="966"/>
      <c r="AD357" s="966"/>
      <c r="AE357" s="966"/>
      <c r="AF357" s="966"/>
      <c r="AG357" s="966"/>
      <c r="AH357" s="966"/>
      <c r="AI357" s="966"/>
      <c r="AJ357" s="966"/>
      <c r="AK357" s="966"/>
      <c r="AL357" s="966"/>
      <c r="AM357" s="966"/>
      <c r="AN357" s="966"/>
      <c r="AO357" s="966"/>
      <c r="AP357" s="966"/>
      <c r="AQ357" s="966"/>
      <c r="AR357" s="966"/>
      <c r="AS357" s="965"/>
      <c r="AT357" s="965"/>
      <c r="AU357" s="965"/>
      <c r="AV357" s="967"/>
      <c r="AW357" s="967"/>
      <c r="AX357" s="967"/>
      <c r="AY357" s="967"/>
      <c r="AZ357" s="967"/>
      <c r="BA357" s="967"/>
      <c r="BB357" s="967"/>
      <c r="BC357" s="967"/>
      <c r="BD357" s="967"/>
      <c r="BE357" s="967"/>
      <c r="BF357" s="967"/>
      <c r="BG357" s="964"/>
      <c r="BH357" s="964"/>
      <c r="BI357" s="964"/>
      <c r="BJ357" s="964"/>
      <c r="BK357" s="964"/>
      <c r="BL357" s="964"/>
      <c r="BM357" s="964"/>
      <c r="BN357" s="964"/>
      <c r="BO357" s="964"/>
      <c r="BP357" s="964"/>
      <c r="BQ357" s="964"/>
      <c r="BR357" s="964"/>
      <c r="BS357" s="964"/>
    </row>
    <row r="358" spans="1:82" ht="37.5" hidden="1" customHeight="1" x14ac:dyDescent="0.25">
      <c r="C358" s="1543" t="s">
        <v>483</v>
      </c>
      <c r="D358" s="1543"/>
      <c r="E358" s="1543"/>
      <c r="F358" s="1543"/>
      <c r="G358" s="1543"/>
      <c r="H358" s="1543"/>
      <c r="I358" s="1543"/>
      <c r="M358" s="1543" t="s">
        <v>45</v>
      </c>
      <c r="N358" s="1543"/>
      <c r="O358" s="1543"/>
      <c r="P358" s="1543"/>
      <c r="Q358" s="1543"/>
      <c r="R358" s="1543"/>
      <c r="S358" s="1543"/>
      <c r="T358" s="1481" t="s">
        <v>1484</v>
      </c>
      <c r="U358" s="1481"/>
      <c r="V358" s="1481"/>
      <c r="W358" s="1656" t="s">
        <v>1476</v>
      </c>
      <c r="X358" s="1656"/>
      <c r="Y358" s="1656"/>
      <c r="Z358" s="1481" t="s">
        <v>368</v>
      </c>
      <c r="AA358" s="1481"/>
      <c r="AB358" s="1481"/>
      <c r="AC358" s="1481"/>
      <c r="AD358" s="1481"/>
      <c r="AE358" s="1481"/>
      <c r="AJ358" s="1656" t="s">
        <v>1477</v>
      </c>
      <c r="AK358" s="1656"/>
      <c r="AL358" s="1656"/>
      <c r="AM358" s="1656"/>
      <c r="AN358" s="1656"/>
      <c r="AO358" s="1656" t="s">
        <v>1478</v>
      </c>
      <c r="AP358" s="1656"/>
      <c r="AQ358" s="1656"/>
      <c r="AR358" s="1656"/>
      <c r="AS358" s="1656"/>
    </row>
    <row r="359" spans="1:82" ht="7.5" hidden="1" customHeight="1" x14ac:dyDescent="0.25">
      <c r="C359" s="17"/>
      <c r="D359" s="15"/>
      <c r="E359" s="15"/>
      <c r="F359" s="15"/>
      <c r="G359" s="15"/>
      <c r="H359" s="15"/>
      <c r="I359" s="15"/>
      <c r="M359" s="15"/>
      <c r="N359" s="15"/>
      <c r="O359" s="15"/>
      <c r="P359" s="15"/>
      <c r="Q359" s="15"/>
      <c r="R359" s="15"/>
      <c r="S359" s="15"/>
      <c r="T359" s="16"/>
      <c r="U359" s="16"/>
      <c r="V359" s="16"/>
      <c r="Z359" s="16"/>
      <c r="AA359" s="15"/>
      <c r="AB359" s="15"/>
      <c r="AC359" s="15"/>
      <c r="AD359" s="15"/>
      <c r="AE359" s="15"/>
    </row>
    <row r="360" spans="1:82" ht="18.75" hidden="1" customHeight="1" x14ac:dyDescent="0.25">
      <c r="C360" s="1509">
        <f t="shared" ref="C360:C369" si="13">C103</f>
        <v>0</v>
      </c>
      <c r="D360" s="1509"/>
      <c r="E360" s="1509"/>
      <c r="F360" s="1509"/>
      <c r="G360" s="1509"/>
      <c r="H360" s="1509"/>
      <c r="I360" s="1509"/>
      <c r="J360" s="1509"/>
      <c r="K360" s="1509"/>
      <c r="L360" s="1509"/>
      <c r="M360" s="1516" t="str">
        <f t="shared" ref="M360:M369" si="14">IF(C360=0,"",J103)</f>
        <v/>
      </c>
      <c r="N360" s="1517"/>
      <c r="O360" s="1517"/>
      <c r="P360" s="1517"/>
      <c r="Q360" s="1517"/>
      <c r="R360" s="1517"/>
      <c r="S360" s="1518"/>
      <c r="T360" s="1528" t="str">
        <f t="shared" ref="T360:T369" si="15">IF($C360=0,"",IF($AO$399&gt;0,"",AP103-AS103))</f>
        <v/>
      </c>
      <c r="U360" s="1529"/>
      <c r="V360" s="1530"/>
      <c r="W360" s="1525" t="str">
        <f t="shared" ref="W360:W369" si="16">IF($C360=0,"",IF($AO$399&gt;0,"",U103))</f>
        <v/>
      </c>
      <c r="X360" s="1526"/>
      <c r="Y360" s="1527"/>
      <c r="Z360" s="1534" t="str">
        <f t="shared" ref="Z360:Z369" si="17">IF($C360=0,"",IF($AO$399&gt;0,"",AV103))</f>
        <v/>
      </c>
      <c r="AA360" s="1535"/>
      <c r="AB360" s="1535"/>
      <c r="AC360" s="1535"/>
      <c r="AD360" s="1535"/>
      <c r="AE360" s="1536"/>
      <c r="AJ360" s="1531">
        <f>IFERROR(ROUNDUP(IF(C360="Interest only bullet loan",M360*W360/12,PMT(W360/12,T360*12,-M360)),2),0)</f>
        <v>0</v>
      </c>
      <c r="AK360" s="1532"/>
      <c r="AL360" s="1532"/>
      <c r="AM360" s="1532"/>
      <c r="AN360" s="1533"/>
      <c r="AO360" s="1531">
        <f>IFERROR(Z360-AJ360,0)</f>
        <v>0</v>
      </c>
      <c r="AP360" s="1532"/>
      <c r="AQ360" s="1532"/>
      <c r="AR360" s="1532"/>
      <c r="AS360" s="1533"/>
    </row>
    <row r="361" spans="1:82" ht="18.75" hidden="1" customHeight="1" x14ac:dyDescent="0.25">
      <c r="C361" s="1509">
        <f t="shared" si="13"/>
        <v>0</v>
      </c>
      <c r="D361" s="1509"/>
      <c r="E361" s="1509"/>
      <c r="F361" s="1509"/>
      <c r="G361" s="1509"/>
      <c r="H361" s="1509"/>
      <c r="I361" s="1509"/>
      <c r="J361" s="1509"/>
      <c r="K361" s="1509"/>
      <c r="L361" s="1509"/>
      <c r="M361" s="1516" t="str">
        <f t="shared" si="14"/>
        <v/>
      </c>
      <c r="N361" s="1517"/>
      <c r="O361" s="1517"/>
      <c r="P361" s="1517"/>
      <c r="Q361" s="1517"/>
      <c r="R361" s="1517"/>
      <c r="S361" s="1518"/>
      <c r="T361" s="1528" t="str">
        <f t="shared" si="15"/>
        <v/>
      </c>
      <c r="U361" s="1529"/>
      <c r="V361" s="1530"/>
      <c r="W361" s="1525" t="str">
        <f t="shared" si="16"/>
        <v/>
      </c>
      <c r="X361" s="1526"/>
      <c r="Y361" s="1527"/>
      <c r="Z361" s="1534" t="str">
        <f t="shared" si="17"/>
        <v/>
      </c>
      <c r="AA361" s="1535"/>
      <c r="AB361" s="1535"/>
      <c r="AC361" s="1535"/>
      <c r="AD361" s="1535"/>
      <c r="AE361" s="1536"/>
      <c r="AJ361" s="1531">
        <f t="shared" ref="AJ361:AJ369" si="18">IFERROR(ROUNDUP(IF(C361="Interest only bullet loan",M361*W361/12,PMT(W361/12,T361*12,-M361)),2),0)</f>
        <v>0</v>
      </c>
      <c r="AK361" s="1532"/>
      <c r="AL361" s="1532"/>
      <c r="AM361" s="1532"/>
      <c r="AN361" s="1533"/>
      <c r="AO361" s="1531">
        <f t="shared" ref="AO361:AO369" si="19">IFERROR(Z361-AJ361,0)</f>
        <v>0</v>
      </c>
      <c r="AP361" s="1532"/>
      <c r="AQ361" s="1532"/>
      <c r="AR361" s="1532"/>
      <c r="AS361" s="1533"/>
    </row>
    <row r="362" spans="1:82" ht="18.75" hidden="1" customHeight="1" x14ac:dyDescent="0.25">
      <c r="C362" s="1509">
        <f t="shared" si="13"/>
        <v>0</v>
      </c>
      <c r="D362" s="1509"/>
      <c r="E362" s="1509"/>
      <c r="F362" s="1509"/>
      <c r="G362" s="1509"/>
      <c r="H362" s="1509"/>
      <c r="I362" s="1509"/>
      <c r="J362" s="1509"/>
      <c r="K362" s="1509"/>
      <c r="L362" s="1509"/>
      <c r="M362" s="1516" t="str">
        <f t="shared" si="14"/>
        <v/>
      </c>
      <c r="N362" s="1517"/>
      <c r="O362" s="1517"/>
      <c r="P362" s="1517"/>
      <c r="Q362" s="1517"/>
      <c r="R362" s="1517"/>
      <c r="S362" s="1518"/>
      <c r="T362" s="1528" t="str">
        <f t="shared" si="15"/>
        <v/>
      </c>
      <c r="U362" s="1529"/>
      <c r="V362" s="1530"/>
      <c r="W362" s="1525" t="str">
        <f t="shared" si="16"/>
        <v/>
      </c>
      <c r="X362" s="1526"/>
      <c r="Y362" s="1527"/>
      <c r="Z362" s="1534" t="str">
        <f t="shared" si="17"/>
        <v/>
      </c>
      <c r="AA362" s="1535"/>
      <c r="AB362" s="1535"/>
      <c r="AC362" s="1535"/>
      <c r="AD362" s="1535"/>
      <c r="AE362" s="1536"/>
      <c r="AJ362" s="1531">
        <f t="shared" si="18"/>
        <v>0</v>
      </c>
      <c r="AK362" s="1532"/>
      <c r="AL362" s="1532"/>
      <c r="AM362" s="1532"/>
      <c r="AN362" s="1533"/>
      <c r="AO362" s="1531">
        <f t="shared" si="19"/>
        <v>0</v>
      </c>
      <c r="AP362" s="1532"/>
      <c r="AQ362" s="1532"/>
      <c r="AR362" s="1532"/>
      <c r="AS362" s="1533"/>
    </row>
    <row r="363" spans="1:82" ht="18.75" hidden="1" customHeight="1" x14ac:dyDescent="0.25">
      <c r="C363" s="1509">
        <f t="shared" si="13"/>
        <v>0</v>
      </c>
      <c r="D363" s="1509"/>
      <c r="E363" s="1509"/>
      <c r="F363" s="1509"/>
      <c r="G363" s="1509"/>
      <c r="H363" s="1509"/>
      <c r="I363" s="1509"/>
      <c r="J363" s="1509"/>
      <c r="K363" s="1509"/>
      <c r="L363" s="1509"/>
      <c r="M363" s="1516" t="str">
        <f t="shared" si="14"/>
        <v/>
      </c>
      <c r="N363" s="1517"/>
      <c r="O363" s="1517"/>
      <c r="P363" s="1517"/>
      <c r="Q363" s="1517"/>
      <c r="R363" s="1517"/>
      <c r="S363" s="1518"/>
      <c r="T363" s="1528" t="str">
        <f t="shared" si="15"/>
        <v/>
      </c>
      <c r="U363" s="1529"/>
      <c r="V363" s="1530"/>
      <c r="W363" s="1525" t="str">
        <f t="shared" si="16"/>
        <v/>
      </c>
      <c r="X363" s="1526"/>
      <c r="Y363" s="1527"/>
      <c r="Z363" s="1534" t="str">
        <f t="shared" si="17"/>
        <v/>
      </c>
      <c r="AA363" s="1535"/>
      <c r="AB363" s="1535"/>
      <c r="AC363" s="1535"/>
      <c r="AD363" s="1535"/>
      <c r="AE363" s="1536"/>
      <c r="AJ363" s="1531">
        <f t="shared" si="18"/>
        <v>0</v>
      </c>
      <c r="AK363" s="1532"/>
      <c r="AL363" s="1532"/>
      <c r="AM363" s="1532"/>
      <c r="AN363" s="1533"/>
      <c r="AO363" s="1531">
        <f t="shared" si="19"/>
        <v>0</v>
      </c>
      <c r="AP363" s="1532"/>
      <c r="AQ363" s="1532"/>
      <c r="AR363" s="1532"/>
      <c r="AS363" s="1533"/>
    </row>
    <row r="364" spans="1:82" ht="18.75" hidden="1" customHeight="1" x14ac:dyDescent="0.25">
      <c r="C364" s="1509">
        <f t="shared" si="13"/>
        <v>0</v>
      </c>
      <c r="D364" s="1509"/>
      <c r="E364" s="1509"/>
      <c r="F364" s="1509"/>
      <c r="G364" s="1509"/>
      <c r="H364" s="1509"/>
      <c r="I364" s="1509"/>
      <c r="J364" s="1509"/>
      <c r="K364" s="1509"/>
      <c r="L364" s="1509"/>
      <c r="M364" s="1516" t="str">
        <f t="shared" si="14"/>
        <v/>
      </c>
      <c r="N364" s="1517"/>
      <c r="O364" s="1517"/>
      <c r="P364" s="1517"/>
      <c r="Q364" s="1517"/>
      <c r="R364" s="1517"/>
      <c r="S364" s="1518"/>
      <c r="T364" s="1528" t="str">
        <f t="shared" si="15"/>
        <v/>
      </c>
      <c r="U364" s="1529"/>
      <c r="V364" s="1530"/>
      <c r="W364" s="1525" t="str">
        <f t="shared" si="16"/>
        <v/>
      </c>
      <c r="X364" s="1526"/>
      <c r="Y364" s="1527"/>
      <c r="Z364" s="1534" t="str">
        <f t="shared" si="17"/>
        <v/>
      </c>
      <c r="AA364" s="1535"/>
      <c r="AB364" s="1535"/>
      <c r="AC364" s="1535"/>
      <c r="AD364" s="1535"/>
      <c r="AE364" s="1536"/>
      <c r="AJ364" s="1531">
        <f t="shared" si="18"/>
        <v>0</v>
      </c>
      <c r="AK364" s="1532"/>
      <c r="AL364" s="1532"/>
      <c r="AM364" s="1532"/>
      <c r="AN364" s="1533"/>
      <c r="AO364" s="1531">
        <f t="shared" si="19"/>
        <v>0</v>
      </c>
      <c r="AP364" s="1532"/>
      <c r="AQ364" s="1532"/>
      <c r="AR364" s="1532"/>
      <c r="AS364" s="1533"/>
    </row>
    <row r="365" spans="1:82" ht="18.75" hidden="1" customHeight="1" x14ac:dyDescent="0.25">
      <c r="C365" s="1509">
        <f t="shared" si="13"/>
        <v>0</v>
      </c>
      <c r="D365" s="1509"/>
      <c r="E365" s="1509"/>
      <c r="F365" s="1509"/>
      <c r="G365" s="1509"/>
      <c r="H365" s="1509"/>
      <c r="I365" s="1509"/>
      <c r="J365" s="1509"/>
      <c r="K365" s="1509"/>
      <c r="L365" s="1509"/>
      <c r="M365" s="1516" t="str">
        <f t="shared" si="14"/>
        <v/>
      </c>
      <c r="N365" s="1517"/>
      <c r="O365" s="1517"/>
      <c r="P365" s="1517"/>
      <c r="Q365" s="1517"/>
      <c r="R365" s="1517"/>
      <c r="S365" s="1518"/>
      <c r="T365" s="1528" t="str">
        <f t="shared" si="15"/>
        <v/>
      </c>
      <c r="U365" s="1529"/>
      <c r="V365" s="1530"/>
      <c r="W365" s="1525" t="str">
        <f t="shared" si="16"/>
        <v/>
      </c>
      <c r="X365" s="1526"/>
      <c r="Y365" s="1527"/>
      <c r="Z365" s="1534" t="str">
        <f t="shared" si="17"/>
        <v/>
      </c>
      <c r="AA365" s="1535"/>
      <c r="AB365" s="1535"/>
      <c r="AC365" s="1535"/>
      <c r="AD365" s="1535"/>
      <c r="AE365" s="1536"/>
      <c r="AJ365" s="1531">
        <f t="shared" si="18"/>
        <v>0</v>
      </c>
      <c r="AK365" s="1532"/>
      <c r="AL365" s="1532"/>
      <c r="AM365" s="1532"/>
      <c r="AN365" s="1533"/>
      <c r="AO365" s="1531">
        <f t="shared" si="19"/>
        <v>0</v>
      </c>
      <c r="AP365" s="1532"/>
      <c r="AQ365" s="1532"/>
      <c r="AR365" s="1532"/>
      <c r="AS365" s="1533"/>
    </row>
    <row r="366" spans="1:82" ht="18.75" hidden="1" customHeight="1" x14ac:dyDescent="0.25">
      <c r="C366" s="1509">
        <f t="shared" si="13"/>
        <v>0</v>
      </c>
      <c r="D366" s="1509"/>
      <c r="E366" s="1509"/>
      <c r="F366" s="1509"/>
      <c r="G366" s="1509"/>
      <c r="H366" s="1509"/>
      <c r="I366" s="1509"/>
      <c r="J366" s="1509"/>
      <c r="K366" s="1509"/>
      <c r="L366" s="1509"/>
      <c r="M366" s="1516" t="str">
        <f t="shared" si="14"/>
        <v/>
      </c>
      <c r="N366" s="1517"/>
      <c r="O366" s="1517"/>
      <c r="P366" s="1517"/>
      <c r="Q366" s="1517"/>
      <c r="R366" s="1517"/>
      <c r="S366" s="1518"/>
      <c r="T366" s="1528" t="str">
        <f t="shared" si="15"/>
        <v/>
      </c>
      <c r="U366" s="1529"/>
      <c r="V366" s="1530"/>
      <c r="W366" s="1525" t="str">
        <f t="shared" si="16"/>
        <v/>
      </c>
      <c r="X366" s="1526"/>
      <c r="Y366" s="1527"/>
      <c r="Z366" s="1534" t="str">
        <f t="shared" si="17"/>
        <v/>
      </c>
      <c r="AA366" s="1535"/>
      <c r="AB366" s="1535"/>
      <c r="AC366" s="1535"/>
      <c r="AD366" s="1535"/>
      <c r="AE366" s="1536"/>
      <c r="AJ366" s="1531">
        <f t="shared" si="18"/>
        <v>0</v>
      </c>
      <c r="AK366" s="1532"/>
      <c r="AL366" s="1532"/>
      <c r="AM366" s="1532"/>
      <c r="AN366" s="1533"/>
      <c r="AO366" s="1531">
        <f t="shared" si="19"/>
        <v>0</v>
      </c>
      <c r="AP366" s="1532"/>
      <c r="AQ366" s="1532"/>
      <c r="AR366" s="1532"/>
      <c r="AS366" s="1533"/>
    </row>
    <row r="367" spans="1:82" ht="18.75" hidden="1" customHeight="1" x14ac:dyDescent="0.25">
      <c r="C367" s="1509">
        <f t="shared" si="13"/>
        <v>0</v>
      </c>
      <c r="D367" s="1509"/>
      <c r="E367" s="1509"/>
      <c r="F367" s="1509"/>
      <c r="G367" s="1509"/>
      <c r="H367" s="1509"/>
      <c r="I367" s="1509"/>
      <c r="J367" s="1509"/>
      <c r="K367" s="1509"/>
      <c r="L367" s="1509"/>
      <c r="M367" s="1516" t="str">
        <f t="shared" si="14"/>
        <v/>
      </c>
      <c r="N367" s="1517"/>
      <c r="O367" s="1517"/>
      <c r="P367" s="1517"/>
      <c r="Q367" s="1517"/>
      <c r="R367" s="1517"/>
      <c r="S367" s="1518"/>
      <c r="T367" s="1528" t="str">
        <f t="shared" si="15"/>
        <v/>
      </c>
      <c r="U367" s="1529"/>
      <c r="V367" s="1530"/>
      <c r="W367" s="1525" t="str">
        <f t="shared" si="16"/>
        <v/>
      </c>
      <c r="X367" s="1526"/>
      <c r="Y367" s="1527"/>
      <c r="Z367" s="1534" t="str">
        <f t="shared" si="17"/>
        <v/>
      </c>
      <c r="AA367" s="1535"/>
      <c r="AB367" s="1535"/>
      <c r="AC367" s="1535"/>
      <c r="AD367" s="1535"/>
      <c r="AE367" s="1536"/>
      <c r="AJ367" s="1531">
        <f t="shared" si="18"/>
        <v>0</v>
      </c>
      <c r="AK367" s="1532"/>
      <c r="AL367" s="1532"/>
      <c r="AM367" s="1532"/>
      <c r="AN367" s="1533"/>
      <c r="AO367" s="1531">
        <f t="shared" si="19"/>
        <v>0</v>
      </c>
      <c r="AP367" s="1532"/>
      <c r="AQ367" s="1532"/>
      <c r="AR367" s="1532"/>
      <c r="AS367" s="1533"/>
    </row>
    <row r="368" spans="1:82" ht="18.75" hidden="1" customHeight="1" x14ac:dyDescent="0.25">
      <c r="C368" s="1509">
        <f t="shared" si="13"/>
        <v>0</v>
      </c>
      <c r="D368" s="1509"/>
      <c r="E368" s="1509"/>
      <c r="F368" s="1509"/>
      <c r="G368" s="1509"/>
      <c r="H368" s="1509"/>
      <c r="I368" s="1509"/>
      <c r="J368" s="1509"/>
      <c r="K368" s="1509"/>
      <c r="L368" s="1509"/>
      <c r="M368" s="1516" t="str">
        <f t="shared" si="14"/>
        <v/>
      </c>
      <c r="N368" s="1517"/>
      <c r="O368" s="1517"/>
      <c r="P368" s="1517"/>
      <c r="Q368" s="1517"/>
      <c r="R368" s="1517"/>
      <c r="S368" s="1518"/>
      <c r="T368" s="1528" t="str">
        <f t="shared" si="15"/>
        <v/>
      </c>
      <c r="U368" s="1529"/>
      <c r="V368" s="1530"/>
      <c r="W368" s="1525" t="str">
        <f t="shared" si="16"/>
        <v/>
      </c>
      <c r="X368" s="1526"/>
      <c r="Y368" s="1527"/>
      <c r="Z368" s="1534" t="str">
        <f t="shared" si="17"/>
        <v/>
      </c>
      <c r="AA368" s="1535"/>
      <c r="AB368" s="1535"/>
      <c r="AC368" s="1535"/>
      <c r="AD368" s="1535"/>
      <c r="AE368" s="1536"/>
      <c r="AJ368" s="1531">
        <f t="shared" si="18"/>
        <v>0</v>
      </c>
      <c r="AK368" s="1532"/>
      <c r="AL368" s="1532"/>
      <c r="AM368" s="1532"/>
      <c r="AN368" s="1533"/>
      <c r="AO368" s="1531">
        <f t="shared" si="19"/>
        <v>0</v>
      </c>
      <c r="AP368" s="1532"/>
      <c r="AQ368" s="1532"/>
      <c r="AR368" s="1532"/>
      <c r="AS368" s="1533"/>
    </row>
    <row r="369" spans="1:82" ht="18.75" hidden="1" customHeight="1" x14ac:dyDescent="0.25">
      <c r="C369" s="1509">
        <f t="shared" si="13"/>
        <v>0</v>
      </c>
      <c r="D369" s="1509"/>
      <c r="E369" s="1509"/>
      <c r="F369" s="1509"/>
      <c r="G369" s="1509"/>
      <c r="H369" s="1509"/>
      <c r="I369" s="1509"/>
      <c r="J369" s="1509"/>
      <c r="K369" s="1509"/>
      <c r="L369" s="1509"/>
      <c r="M369" s="1516" t="str">
        <f t="shared" si="14"/>
        <v/>
      </c>
      <c r="N369" s="1517"/>
      <c r="O369" s="1517"/>
      <c r="P369" s="1517"/>
      <c r="Q369" s="1517"/>
      <c r="R369" s="1517"/>
      <c r="S369" s="1518"/>
      <c r="T369" s="1528" t="str">
        <f t="shared" si="15"/>
        <v/>
      </c>
      <c r="U369" s="1529"/>
      <c r="V369" s="1530"/>
      <c r="W369" s="1525" t="str">
        <f t="shared" si="16"/>
        <v/>
      </c>
      <c r="X369" s="1526"/>
      <c r="Y369" s="1527"/>
      <c r="Z369" s="1534" t="str">
        <f t="shared" si="17"/>
        <v/>
      </c>
      <c r="AA369" s="1535"/>
      <c r="AB369" s="1535"/>
      <c r="AC369" s="1535"/>
      <c r="AD369" s="1535"/>
      <c r="AE369" s="1536"/>
      <c r="AJ369" s="1531">
        <f t="shared" si="18"/>
        <v>0</v>
      </c>
      <c r="AK369" s="1532"/>
      <c r="AL369" s="1532"/>
      <c r="AM369" s="1532"/>
      <c r="AN369" s="1533"/>
      <c r="AO369" s="1531">
        <f t="shared" si="19"/>
        <v>0</v>
      </c>
      <c r="AP369" s="1532"/>
      <c r="AQ369" s="1532"/>
      <c r="AR369" s="1532"/>
      <c r="AS369" s="1533"/>
    </row>
    <row r="370" spans="1:82" ht="7.5" hidden="1" customHeight="1" x14ac:dyDescent="0.25"/>
    <row r="371" spans="1:82" ht="18.75" hidden="1" customHeight="1" x14ac:dyDescent="0.5">
      <c r="A371" s="139"/>
      <c r="B371" s="1079" t="s">
        <v>1481</v>
      </c>
      <c r="C371" s="223"/>
      <c r="D371" s="223"/>
      <c r="E371" s="223"/>
      <c r="F371" s="223"/>
      <c r="G371" s="223"/>
      <c r="H371" s="223"/>
      <c r="I371" s="223"/>
      <c r="J371" s="223"/>
      <c r="K371" s="223"/>
      <c r="L371" s="223"/>
      <c r="M371" s="223"/>
      <c r="N371" s="223"/>
      <c r="O371" s="223"/>
      <c r="P371" s="223"/>
      <c r="Q371" s="223"/>
      <c r="R371" s="223"/>
      <c r="S371" s="223"/>
      <c r="T371" s="223"/>
      <c r="U371" s="140"/>
      <c r="V371" s="140"/>
      <c r="W371" s="140"/>
      <c r="X371" s="140"/>
      <c r="Y371" s="140"/>
      <c r="Z371" s="140"/>
      <c r="AA371" s="140"/>
      <c r="AB371" s="140"/>
      <c r="AC371" s="140"/>
      <c r="AD371" s="140"/>
      <c r="AE371" s="140"/>
      <c r="AF371" s="140"/>
      <c r="AG371" s="140"/>
      <c r="AH371" s="140"/>
      <c r="AI371" s="140"/>
      <c r="AJ371" s="140"/>
      <c r="AK371" s="85"/>
      <c r="AL371" s="85"/>
      <c r="AM371" s="85"/>
      <c r="AN371" s="85"/>
      <c r="AO371" s="85"/>
      <c r="AP371" s="85"/>
      <c r="AQ371" s="85"/>
      <c r="AR371" s="85"/>
      <c r="AS371" s="85"/>
      <c r="AT371" s="85"/>
      <c r="AU371" s="85"/>
      <c r="AV371" s="85"/>
      <c r="AW371" s="85"/>
      <c r="AX371" s="85"/>
      <c r="AY371" s="85"/>
      <c r="AZ371" s="85"/>
      <c r="BA371" s="85"/>
      <c r="BB371" s="85"/>
      <c r="BC371" s="85"/>
      <c r="BD371" s="85"/>
      <c r="BE371" s="85"/>
      <c r="BF371" s="85"/>
      <c r="BG371" s="85"/>
      <c r="BH371" s="85"/>
      <c r="BI371" s="85"/>
      <c r="BJ371" s="85"/>
      <c r="BK371" s="85"/>
      <c r="BL371" s="85"/>
      <c r="BM371" s="85"/>
      <c r="BN371" s="85"/>
      <c r="BO371" s="85"/>
      <c r="BP371" s="85"/>
      <c r="BQ371" s="85"/>
      <c r="BR371" s="85"/>
      <c r="BS371" s="85"/>
      <c r="BT371" s="85"/>
      <c r="BU371" s="85"/>
      <c r="BV371" s="85"/>
      <c r="BW371" s="85"/>
      <c r="BX371" s="85"/>
      <c r="BY371" s="85"/>
      <c r="BZ371" s="85"/>
      <c r="CA371" s="85"/>
      <c r="CB371" s="85"/>
      <c r="CC371" s="85"/>
      <c r="CD371" s="85"/>
    </row>
    <row r="372" spans="1:82" ht="7.5" hidden="1" customHeight="1" x14ac:dyDescent="0.25">
      <c r="C372" s="967"/>
      <c r="D372" s="967"/>
      <c r="E372" s="967"/>
      <c r="F372" s="967"/>
      <c r="G372" s="967"/>
      <c r="H372" s="967"/>
      <c r="I372" s="967"/>
      <c r="J372" s="967"/>
      <c r="K372" s="967"/>
      <c r="L372" s="967"/>
      <c r="M372" s="967"/>
      <c r="N372" s="967"/>
      <c r="O372" s="967"/>
      <c r="P372" s="967"/>
      <c r="Q372" s="967"/>
      <c r="R372" s="967"/>
      <c r="S372" s="967"/>
      <c r="T372" s="967"/>
      <c r="U372" s="967"/>
      <c r="V372" s="967"/>
      <c r="W372" s="967"/>
      <c r="X372" s="967"/>
      <c r="Y372" s="967"/>
      <c r="Z372" s="967"/>
      <c r="AA372" s="967"/>
      <c r="AB372" s="966"/>
      <c r="AC372" s="966"/>
      <c r="AD372" s="966"/>
      <c r="AE372" s="966"/>
      <c r="AF372" s="966"/>
      <c r="AG372" s="966"/>
      <c r="AH372" s="966"/>
      <c r="AI372" s="966"/>
      <c r="AJ372" s="966"/>
      <c r="AK372" s="966"/>
      <c r="AL372" s="966"/>
      <c r="AM372" s="966"/>
      <c r="AN372" s="966"/>
      <c r="AO372" s="966"/>
      <c r="AP372" s="966"/>
      <c r="AQ372" s="966"/>
      <c r="AR372" s="966"/>
      <c r="AS372" s="965"/>
      <c r="AT372" s="965"/>
      <c r="AU372" s="965"/>
      <c r="AV372" s="967"/>
      <c r="AW372" s="967"/>
      <c r="AX372" s="967"/>
      <c r="AY372" s="967"/>
      <c r="AZ372" s="967"/>
      <c r="BA372" s="967"/>
      <c r="BB372" s="967"/>
      <c r="BC372" s="967"/>
      <c r="BD372" s="967"/>
      <c r="BE372" s="967"/>
      <c r="BF372" s="967"/>
      <c r="BG372" s="964"/>
      <c r="BH372" s="964"/>
      <c r="BI372" s="964"/>
      <c r="BJ372" s="964"/>
      <c r="BK372" s="964"/>
      <c r="BL372" s="964"/>
      <c r="BM372" s="964"/>
      <c r="BN372" s="964"/>
      <c r="BO372" s="964"/>
      <c r="BP372" s="964"/>
      <c r="BQ372" s="964"/>
      <c r="BR372" s="964"/>
      <c r="BS372" s="964"/>
    </row>
    <row r="373" spans="1:82" ht="37.5" hidden="1" customHeight="1" x14ac:dyDescent="0.25">
      <c r="C373" s="1543" t="s">
        <v>362</v>
      </c>
      <c r="D373" s="1543"/>
      <c r="E373" s="1543"/>
      <c r="F373" s="1543"/>
      <c r="G373" s="1543"/>
      <c r="H373" s="1543"/>
      <c r="I373" s="1543"/>
      <c r="M373" s="1481" t="s">
        <v>1482</v>
      </c>
      <c r="N373" s="1481"/>
      <c r="O373" s="1481"/>
      <c r="P373" s="1481"/>
      <c r="Q373" s="1481"/>
      <c r="R373" s="1481"/>
      <c r="S373" s="1481"/>
      <c r="T373" s="1558" t="s">
        <v>1483</v>
      </c>
      <c r="U373" s="1558"/>
      <c r="V373" s="1558"/>
      <c r="W373" s="1656" t="s">
        <v>1476</v>
      </c>
      <c r="X373" s="1656"/>
      <c r="Y373" s="1656"/>
      <c r="Z373" s="1481" t="s">
        <v>368</v>
      </c>
      <c r="AA373" s="1481"/>
      <c r="AB373" s="1481"/>
      <c r="AC373" s="1481"/>
      <c r="AD373" s="1481"/>
      <c r="AE373" s="1481"/>
      <c r="AF373" s="1558" t="s">
        <v>388</v>
      </c>
      <c r="AG373" s="1558"/>
      <c r="AH373" s="1558"/>
      <c r="AI373" s="1558"/>
      <c r="AJ373" s="1656" t="s">
        <v>1477</v>
      </c>
      <c r="AK373" s="1656"/>
      <c r="AL373" s="1656"/>
      <c r="AM373" s="1656"/>
      <c r="AN373" s="1656"/>
      <c r="AO373" s="1656" t="s">
        <v>1478</v>
      </c>
      <c r="AP373" s="1656"/>
      <c r="AQ373" s="1656"/>
      <c r="AR373" s="1656"/>
      <c r="AS373" s="1656"/>
    </row>
    <row r="374" spans="1:82" ht="7.5" hidden="1" customHeight="1" x14ac:dyDescent="0.25">
      <c r="C374" s="17"/>
      <c r="D374" s="15"/>
      <c r="E374" s="15"/>
      <c r="F374" s="15"/>
      <c r="G374" s="15"/>
      <c r="H374" s="15"/>
      <c r="I374" s="15"/>
      <c r="M374" s="15"/>
      <c r="N374" s="15"/>
      <c r="O374" s="15"/>
      <c r="P374" s="15"/>
      <c r="Q374" s="15"/>
      <c r="R374" s="15"/>
      <c r="S374" s="15"/>
      <c r="T374" s="15"/>
      <c r="U374" s="15"/>
      <c r="V374" s="15"/>
      <c r="Z374" s="16"/>
      <c r="AA374" s="15"/>
      <c r="AB374" s="15"/>
      <c r="AC374" s="15"/>
      <c r="AD374" s="15"/>
      <c r="AE374" s="15"/>
    </row>
    <row r="375" spans="1:82" ht="18.75" hidden="1" customHeight="1" x14ac:dyDescent="0.25">
      <c r="B375" s="974" t="str" cm="1">
        <f t="array" ref="B375">IFERROR(SMALL(IF(($C$140:$C$259="Mortgage - OO")+($C$140:$C$259="Mortgage - IPL")+($C$140:$C$259="Credit card")+($C$140:$C$259="Interest only bullet loan"),$A$140:$A$259),ROW(1:1)),"")</f>
        <v/>
      </c>
      <c r="C375" s="1509" t="str">
        <f>IFERROR(VLOOKUP($B375,$A$140:$CB$259,3,FALSE),"")</f>
        <v/>
      </c>
      <c r="D375" s="1509"/>
      <c r="E375" s="1509"/>
      <c r="F375" s="1509"/>
      <c r="G375" s="1509"/>
      <c r="H375" s="1509"/>
      <c r="I375" s="1509"/>
      <c r="J375" s="1509"/>
      <c r="K375" s="1509"/>
      <c r="L375" s="1509"/>
      <c r="M375" s="1516" t="str" cm="1">
        <f t="array" ref="M375">IFERROR(INDEX($A$140:$CB$259,MATCH($B375,$A$140:$A$259,0)+1,52)*IF($C375="Credit card",IF($AO$399&gt;=0,0,1),1),"")</f>
        <v/>
      </c>
      <c r="N375" s="1517"/>
      <c r="O375" s="1517"/>
      <c r="P375" s="1517"/>
      <c r="Q375" s="1517"/>
      <c r="R375" s="1517"/>
      <c r="S375" s="1518"/>
      <c r="T375" s="1537" t="str">
        <f ca="1">IFERROR(IF(OR($C375="Credit card",$C375="Interest only bullet loan"),"",IF($AO$399&gt;=0,"",VLOOKUP($B375,$A$140:$CB$259,59,FALSE))),"")</f>
        <v/>
      </c>
      <c r="U375" s="1538"/>
      <c r="V375" s="1539"/>
      <c r="W375" s="1540" t="str">
        <f ca="1">IFERROR(IF($C375="Credit card","",IF($AO$399&gt;=0,"",VLOOKUP($B375,$A$140:$CB$259,56,FALSE))),"")</f>
        <v/>
      </c>
      <c r="X375" s="1541"/>
      <c r="Y375" s="1542"/>
      <c r="Z375" s="1534" t="str">
        <f ca="1">IFERROR(IF($AO$399&gt;=0,"",VLOOKUP($B375,$A$140:$CB$259,77,FALSE)),"")</f>
        <v/>
      </c>
      <c r="AA375" s="1535"/>
      <c r="AB375" s="1535"/>
      <c r="AC375" s="1535"/>
      <c r="AD375" s="1535"/>
      <c r="AE375" s="1536"/>
      <c r="AF375" s="1658" t="str">
        <f ca="1">IFERROR(IF($AO$399&gt;=0,"",VLOOKUP($B375,$A$140:$CB$259,73,FALSE)),"")</f>
        <v/>
      </c>
      <c r="AG375" s="1658"/>
      <c r="AH375" s="1658"/>
      <c r="AI375" s="1658"/>
      <c r="AJ375" s="1531">
        <f ca="1">IFERROR(ROUNDUP(IF(OR(C375="Mortgage - OO",C375="Mortgage - IPL"),PMT(W375/12,T375,-M375),IF(C375="Interest only bullet loan",M375*W375/12,0))*AF375,2),0)</f>
        <v>0</v>
      </c>
      <c r="AK375" s="1532"/>
      <c r="AL375" s="1532"/>
      <c r="AM375" s="1532"/>
      <c r="AN375" s="1533"/>
      <c r="AO375" s="1531">
        <f t="shared" ref="AO375:AO377" si="20">IFERROR(IF(OR(C375="Mortgage - OO",C375="Mortgage - IPL",C375="Interest only bullet loan"),Z375-AJ375,IF(AND(C375="Credit card",NOT(ISBLANK(M375))),M375*1.6%*AF375,0)),0)</f>
        <v>0</v>
      </c>
      <c r="AP375" s="1532"/>
      <c r="AQ375" s="1532"/>
      <c r="AR375" s="1532"/>
      <c r="AS375" s="1533"/>
    </row>
    <row r="376" spans="1:82" ht="18.75" hidden="1" customHeight="1" x14ac:dyDescent="0.25">
      <c r="B376" s="974" t="str" cm="1">
        <f t="array" ref="B376">IFERROR(SMALL(IF(($C$140:$C$259="Mortgage - OO")+($C$140:$C$259="Mortgage - IPL")+($C$140:$C$259="Credit card")+($C$140:$C$259="Interest only bullet loan"),$A$140:$A$259),ROW(2:2)),"")</f>
        <v/>
      </c>
      <c r="C376" s="1509" t="str">
        <f t="shared" ref="C376:C394" si="21">IFERROR(VLOOKUP($B376,$A$140:$CB$259,3,FALSE),"")</f>
        <v/>
      </c>
      <c r="D376" s="1509"/>
      <c r="E376" s="1509"/>
      <c r="F376" s="1509"/>
      <c r="G376" s="1509"/>
      <c r="H376" s="1509"/>
      <c r="I376" s="1509"/>
      <c r="J376" s="1509"/>
      <c r="K376" s="1509"/>
      <c r="L376" s="1509"/>
      <c r="M376" s="1516" t="str" cm="1">
        <f t="array" ref="M376">IFERROR(INDEX($A$140:$CB$259,MATCH($B376,$A$140:$A$259,0)+1,52)*IF($C376="Credit card",IF($AO$399&gt;=0,0,1),1),"")</f>
        <v/>
      </c>
      <c r="N376" s="1517"/>
      <c r="O376" s="1517"/>
      <c r="P376" s="1517"/>
      <c r="Q376" s="1517"/>
      <c r="R376" s="1517"/>
      <c r="S376" s="1518"/>
      <c r="T376" s="1537" t="str">
        <f t="shared" ref="T376:T394" ca="1" si="22">IFERROR(IF(OR($C376="Credit card",$C376="Interest only bullet loan"),"",IF($AO$399&gt;=0,"",VLOOKUP($B376,$A$140:$CB$259,59,FALSE))),"")</f>
        <v/>
      </c>
      <c r="U376" s="1538"/>
      <c r="V376" s="1539"/>
      <c r="W376" s="1540" t="str">
        <f t="shared" ref="W376:W394" ca="1" si="23">IFERROR(IF($C376="Credit card","",IF($AO$399&gt;=0,"",VLOOKUP($B376,$A$140:$CB$259,56,FALSE))),"")</f>
        <v/>
      </c>
      <c r="X376" s="1541"/>
      <c r="Y376" s="1542"/>
      <c r="Z376" s="1534" t="str">
        <f t="shared" ref="Z376:Z394" ca="1" si="24">IFERROR(IF($AO$399&gt;=0,"",VLOOKUP($B376,$A$140:$CB$259,77,FALSE)),"")</f>
        <v/>
      </c>
      <c r="AA376" s="1535"/>
      <c r="AB376" s="1535"/>
      <c r="AC376" s="1535"/>
      <c r="AD376" s="1535"/>
      <c r="AE376" s="1536"/>
      <c r="AF376" s="1658" t="str">
        <f t="shared" ref="AF376:AF394" ca="1" si="25">IFERROR(IF($AO$399&gt;=0,"",VLOOKUP($B376,$A$140:$CB$259,73,FALSE)),"")</f>
        <v/>
      </c>
      <c r="AG376" s="1658"/>
      <c r="AH376" s="1658"/>
      <c r="AI376" s="1658"/>
      <c r="AJ376" s="1531">
        <f t="shared" ref="AJ376:AJ394" ca="1" si="26">IFERROR(ROUNDUP(IF(OR(C376="Mortgage - OO",C376="Mortgage - IPL"),PMT(W376/12,T376,-M376),IF(C376="Interest only bullet loan",M376*W376/12,0))*AF376,2),0)</f>
        <v>0</v>
      </c>
      <c r="AK376" s="1532"/>
      <c r="AL376" s="1532"/>
      <c r="AM376" s="1532"/>
      <c r="AN376" s="1533"/>
      <c r="AO376" s="1531">
        <f t="shared" si="20"/>
        <v>0</v>
      </c>
      <c r="AP376" s="1532"/>
      <c r="AQ376" s="1532"/>
      <c r="AR376" s="1532"/>
      <c r="AS376" s="1533"/>
    </row>
    <row r="377" spans="1:82" ht="18.75" hidden="1" customHeight="1" x14ac:dyDescent="0.25">
      <c r="B377" s="974" t="str" cm="1">
        <f t="array" ref="B377">IFERROR(SMALL(IF(($C$140:$C$259="Mortgage - OO")+($C$140:$C$259="Mortgage - IPL")+($C$140:$C$259="Credit card")+($C$140:$C$259="Interest only bullet loan"),$A$140:$A$259),ROW(3:3)),"")</f>
        <v/>
      </c>
      <c r="C377" s="1509" t="str">
        <f t="shared" si="21"/>
        <v/>
      </c>
      <c r="D377" s="1509"/>
      <c r="E377" s="1509"/>
      <c r="F377" s="1509"/>
      <c r="G377" s="1509"/>
      <c r="H377" s="1509"/>
      <c r="I377" s="1509"/>
      <c r="J377" s="1509"/>
      <c r="K377" s="1509"/>
      <c r="L377" s="1509"/>
      <c r="M377" s="1516" t="str" cm="1">
        <f t="array" ref="M377">IFERROR(INDEX($A$140:$CB$259,MATCH($B377,$A$140:$A$259,0)+1,52)*IF($C377="Credit card",IF($AO$399&gt;=0,0,1),1),"")</f>
        <v/>
      </c>
      <c r="N377" s="1517"/>
      <c r="O377" s="1517"/>
      <c r="P377" s="1517"/>
      <c r="Q377" s="1517"/>
      <c r="R377" s="1517"/>
      <c r="S377" s="1518"/>
      <c r="T377" s="1537" t="str">
        <f t="shared" ca="1" si="22"/>
        <v/>
      </c>
      <c r="U377" s="1538"/>
      <c r="V377" s="1539"/>
      <c r="W377" s="1540" t="str">
        <f t="shared" ca="1" si="23"/>
        <v/>
      </c>
      <c r="X377" s="1541"/>
      <c r="Y377" s="1542"/>
      <c r="Z377" s="1534" t="str">
        <f t="shared" ca="1" si="24"/>
        <v/>
      </c>
      <c r="AA377" s="1535"/>
      <c r="AB377" s="1535"/>
      <c r="AC377" s="1535"/>
      <c r="AD377" s="1535"/>
      <c r="AE377" s="1536"/>
      <c r="AF377" s="1658" t="str">
        <f t="shared" ca="1" si="25"/>
        <v/>
      </c>
      <c r="AG377" s="1658"/>
      <c r="AH377" s="1658"/>
      <c r="AI377" s="1658"/>
      <c r="AJ377" s="1531">
        <f t="shared" ca="1" si="26"/>
        <v>0</v>
      </c>
      <c r="AK377" s="1532"/>
      <c r="AL377" s="1532"/>
      <c r="AM377" s="1532"/>
      <c r="AN377" s="1533"/>
      <c r="AO377" s="1531">
        <f t="shared" si="20"/>
        <v>0</v>
      </c>
      <c r="AP377" s="1532"/>
      <c r="AQ377" s="1532"/>
      <c r="AR377" s="1532"/>
      <c r="AS377" s="1533"/>
    </row>
    <row r="378" spans="1:82" ht="18.75" hidden="1" customHeight="1" x14ac:dyDescent="0.25">
      <c r="B378" s="974" t="str" cm="1">
        <f t="array" ref="B378">IFERROR(SMALL(IF(($C$140:$C$259="Mortgage - OO")+($C$140:$C$259="Mortgage - IPL")+($C$140:$C$259="Credit card")+($C$140:$C$259="Interest only bullet loan"),$A$140:$A$259),ROW(4:4)),"")</f>
        <v/>
      </c>
      <c r="C378" s="1509" t="str">
        <f t="shared" si="21"/>
        <v/>
      </c>
      <c r="D378" s="1509"/>
      <c r="E378" s="1509"/>
      <c r="F378" s="1509"/>
      <c r="G378" s="1509"/>
      <c r="H378" s="1509"/>
      <c r="I378" s="1509"/>
      <c r="J378" s="1509"/>
      <c r="K378" s="1509"/>
      <c r="L378" s="1509"/>
      <c r="M378" s="1516" t="str" cm="1">
        <f t="array" ref="M378">IFERROR(INDEX($A$140:$CB$259,MATCH($B378,$A$140:$A$259,0)+1,52)*IF($C378="Credit card",IF($AO$399&gt;=0,0,1),1),"")</f>
        <v/>
      </c>
      <c r="N378" s="1517"/>
      <c r="O378" s="1517"/>
      <c r="P378" s="1517"/>
      <c r="Q378" s="1517"/>
      <c r="R378" s="1517"/>
      <c r="S378" s="1518"/>
      <c r="T378" s="1537" t="str">
        <f t="shared" ca="1" si="22"/>
        <v/>
      </c>
      <c r="U378" s="1538"/>
      <c r="V378" s="1539"/>
      <c r="W378" s="1540" t="str">
        <f t="shared" ca="1" si="23"/>
        <v/>
      </c>
      <c r="X378" s="1541"/>
      <c r="Y378" s="1542"/>
      <c r="Z378" s="1534" t="str">
        <f t="shared" ca="1" si="24"/>
        <v/>
      </c>
      <c r="AA378" s="1535"/>
      <c r="AB378" s="1535"/>
      <c r="AC378" s="1535"/>
      <c r="AD378" s="1535"/>
      <c r="AE378" s="1536"/>
      <c r="AF378" s="1658" t="str">
        <f t="shared" ca="1" si="25"/>
        <v/>
      </c>
      <c r="AG378" s="1658"/>
      <c r="AH378" s="1658"/>
      <c r="AI378" s="1658"/>
      <c r="AJ378" s="1531">
        <f t="shared" ca="1" si="26"/>
        <v>0</v>
      </c>
      <c r="AK378" s="1532"/>
      <c r="AL378" s="1532"/>
      <c r="AM378" s="1532"/>
      <c r="AN378" s="1533"/>
      <c r="AO378" s="1531">
        <f>IFERROR(IF(OR(C378="Mortgage - OO",C378="Mortgage - IPL",C378="Interest only bullet loan"),Z378-AJ378,IF(AND(C378="Credit card",NOT(ISBLANK(M378))),M378*1.6%*AF378,0)),0)</f>
        <v>0</v>
      </c>
      <c r="AP378" s="1532"/>
      <c r="AQ378" s="1532"/>
      <c r="AR378" s="1532"/>
      <c r="AS378" s="1533"/>
    </row>
    <row r="379" spans="1:82" ht="18.75" hidden="1" customHeight="1" x14ac:dyDescent="0.25">
      <c r="B379" s="974" t="str" cm="1">
        <f t="array" ref="B379">IFERROR(SMALL(IF(($C$140:$C$259="Mortgage - OO")+($C$140:$C$259="Mortgage - IPL")+($C$140:$C$259="Credit card")+($C$140:$C$259="Interest only bullet loan"),$A$140:$A$259),ROW(5:5)),"")</f>
        <v/>
      </c>
      <c r="C379" s="1509" t="str">
        <f t="shared" si="21"/>
        <v/>
      </c>
      <c r="D379" s="1509"/>
      <c r="E379" s="1509"/>
      <c r="F379" s="1509"/>
      <c r="G379" s="1509"/>
      <c r="H379" s="1509"/>
      <c r="I379" s="1509"/>
      <c r="J379" s="1509"/>
      <c r="K379" s="1509"/>
      <c r="L379" s="1509"/>
      <c r="M379" s="1516" t="str" cm="1">
        <f t="array" ref="M379">IFERROR(INDEX($A$140:$CB$259,MATCH($B379,$A$140:$A$259,0)+1,52)*IF($C379="Credit card",IF($AO$399&gt;=0,0,1),1),"")</f>
        <v/>
      </c>
      <c r="N379" s="1517"/>
      <c r="O379" s="1517"/>
      <c r="P379" s="1517"/>
      <c r="Q379" s="1517"/>
      <c r="R379" s="1517"/>
      <c r="S379" s="1518"/>
      <c r="T379" s="1537" t="str">
        <f t="shared" ca="1" si="22"/>
        <v/>
      </c>
      <c r="U379" s="1538"/>
      <c r="V379" s="1539"/>
      <c r="W379" s="1540" t="str">
        <f t="shared" ca="1" si="23"/>
        <v/>
      </c>
      <c r="X379" s="1541"/>
      <c r="Y379" s="1542"/>
      <c r="Z379" s="1534" t="str">
        <f t="shared" ca="1" si="24"/>
        <v/>
      </c>
      <c r="AA379" s="1535"/>
      <c r="AB379" s="1535"/>
      <c r="AC379" s="1535"/>
      <c r="AD379" s="1535"/>
      <c r="AE379" s="1536"/>
      <c r="AF379" s="1658" t="str">
        <f t="shared" ca="1" si="25"/>
        <v/>
      </c>
      <c r="AG379" s="1658"/>
      <c r="AH379" s="1658"/>
      <c r="AI379" s="1658"/>
      <c r="AJ379" s="1531">
        <f t="shared" ca="1" si="26"/>
        <v>0</v>
      </c>
      <c r="AK379" s="1532"/>
      <c r="AL379" s="1532"/>
      <c r="AM379" s="1532"/>
      <c r="AN379" s="1533"/>
      <c r="AO379" s="1531">
        <f t="shared" ref="AO379:AO394" si="27">IFERROR(IF(OR(C379="Mortgage - OO",C379="Mortgage - IPL",C379="Interest only bullet loan"),Z379-AJ379,IF(AND(C379="Credit card",NOT(ISBLANK(M379))),M379*1.6%*AF379,0)),0)</f>
        <v>0</v>
      </c>
      <c r="AP379" s="1532"/>
      <c r="AQ379" s="1532"/>
      <c r="AR379" s="1532"/>
      <c r="AS379" s="1533"/>
    </row>
    <row r="380" spans="1:82" ht="18.75" hidden="1" customHeight="1" x14ac:dyDescent="0.25">
      <c r="B380" s="974" t="str" cm="1">
        <f t="array" ref="B380">IFERROR(SMALL(IF(($C$140:$C$259="Mortgage - OO")+($C$140:$C$259="Mortgage - IPL")+($C$140:$C$259="Credit card")+($C$140:$C$259="Interest only bullet loan"),$A$140:$A$259),ROW(6:6)),"")</f>
        <v/>
      </c>
      <c r="C380" s="1509" t="str">
        <f t="shared" si="21"/>
        <v/>
      </c>
      <c r="D380" s="1509"/>
      <c r="E380" s="1509"/>
      <c r="F380" s="1509"/>
      <c r="G380" s="1509"/>
      <c r="H380" s="1509"/>
      <c r="I380" s="1509"/>
      <c r="J380" s="1509"/>
      <c r="K380" s="1509"/>
      <c r="L380" s="1509"/>
      <c r="M380" s="1516" t="str" cm="1">
        <f t="array" ref="M380">IFERROR(INDEX($A$140:$CB$259,MATCH($B380,$A$140:$A$259,0)+1,52)*IF($C380="Credit card",IF($AO$399&gt;=0,0,1),1),"")</f>
        <v/>
      </c>
      <c r="N380" s="1517"/>
      <c r="O380" s="1517"/>
      <c r="P380" s="1517"/>
      <c r="Q380" s="1517"/>
      <c r="R380" s="1517"/>
      <c r="S380" s="1518"/>
      <c r="T380" s="1537" t="str">
        <f t="shared" ca="1" si="22"/>
        <v/>
      </c>
      <c r="U380" s="1538"/>
      <c r="V380" s="1539"/>
      <c r="W380" s="1540" t="str">
        <f t="shared" ca="1" si="23"/>
        <v/>
      </c>
      <c r="X380" s="1541"/>
      <c r="Y380" s="1542"/>
      <c r="Z380" s="1534" t="str">
        <f t="shared" ca="1" si="24"/>
        <v/>
      </c>
      <c r="AA380" s="1535"/>
      <c r="AB380" s="1535"/>
      <c r="AC380" s="1535"/>
      <c r="AD380" s="1535"/>
      <c r="AE380" s="1536"/>
      <c r="AF380" s="1658" t="str">
        <f t="shared" ca="1" si="25"/>
        <v/>
      </c>
      <c r="AG380" s="1658"/>
      <c r="AH380" s="1658"/>
      <c r="AI380" s="1658"/>
      <c r="AJ380" s="1531">
        <f t="shared" ca="1" si="26"/>
        <v>0</v>
      </c>
      <c r="AK380" s="1532"/>
      <c r="AL380" s="1532"/>
      <c r="AM380" s="1532"/>
      <c r="AN380" s="1533"/>
      <c r="AO380" s="1531">
        <f t="shared" si="27"/>
        <v>0</v>
      </c>
      <c r="AP380" s="1532"/>
      <c r="AQ380" s="1532"/>
      <c r="AR380" s="1532"/>
      <c r="AS380" s="1533"/>
    </row>
    <row r="381" spans="1:82" ht="18.75" hidden="1" customHeight="1" x14ac:dyDescent="0.25">
      <c r="B381" s="974" t="str" cm="1">
        <f t="array" ref="B381">IFERROR(SMALL(IF(($C$140:$C$259="Mortgage - OO")+($C$140:$C$259="Mortgage - IPL")+($C$140:$C$259="Credit card")+($C$140:$C$259="Interest only bullet loan"),$A$140:$A$259),ROW(7:7)),"")</f>
        <v/>
      </c>
      <c r="C381" s="1509" t="str">
        <f t="shared" si="21"/>
        <v/>
      </c>
      <c r="D381" s="1509"/>
      <c r="E381" s="1509"/>
      <c r="F381" s="1509"/>
      <c r="G381" s="1509"/>
      <c r="H381" s="1509"/>
      <c r="I381" s="1509"/>
      <c r="J381" s="1509"/>
      <c r="K381" s="1509"/>
      <c r="L381" s="1509"/>
      <c r="M381" s="1516" t="str" cm="1">
        <f t="array" ref="M381">IFERROR(INDEX($A$140:$CB$259,MATCH($B381,$A$140:$A$259,0)+1,52)*IF($C381="Credit card",IF($AO$399&gt;=0,0,1),1),"")</f>
        <v/>
      </c>
      <c r="N381" s="1517"/>
      <c r="O381" s="1517"/>
      <c r="P381" s="1517"/>
      <c r="Q381" s="1517"/>
      <c r="R381" s="1517"/>
      <c r="S381" s="1518"/>
      <c r="T381" s="1537" t="str">
        <f t="shared" ca="1" si="22"/>
        <v/>
      </c>
      <c r="U381" s="1538"/>
      <c r="V381" s="1539"/>
      <c r="W381" s="1540" t="str">
        <f t="shared" ca="1" si="23"/>
        <v/>
      </c>
      <c r="X381" s="1541"/>
      <c r="Y381" s="1542"/>
      <c r="Z381" s="1534" t="str">
        <f t="shared" ca="1" si="24"/>
        <v/>
      </c>
      <c r="AA381" s="1535"/>
      <c r="AB381" s="1535"/>
      <c r="AC381" s="1535"/>
      <c r="AD381" s="1535"/>
      <c r="AE381" s="1536"/>
      <c r="AF381" s="1658" t="str">
        <f t="shared" ca="1" si="25"/>
        <v/>
      </c>
      <c r="AG381" s="1658"/>
      <c r="AH381" s="1658"/>
      <c r="AI381" s="1658"/>
      <c r="AJ381" s="1531">
        <f t="shared" ca="1" si="26"/>
        <v>0</v>
      </c>
      <c r="AK381" s="1532"/>
      <c r="AL381" s="1532"/>
      <c r="AM381" s="1532"/>
      <c r="AN381" s="1533"/>
      <c r="AO381" s="1531">
        <f t="shared" si="27"/>
        <v>0</v>
      </c>
      <c r="AP381" s="1532"/>
      <c r="AQ381" s="1532"/>
      <c r="AR381" s="1532"/>
      <c r="AS381" s="1533"/>
    </row>
    <row r="382" spans="1:82" ht="18.75" hidden="1" customHeight="1" x14ac:dyDescent="0.25">
      <c r="B382" s="974" t="str" cm="1">
        <f t="array" ref="B382">IFERROR(SMALL(IF(($C$140:$C$259="Mortgage - OO")+($C$140:$C$259="Mortgage - IPL")+($C$140:$C$259="Credit card")+($C$140:$C$259="Interest only bullet loan"),$A$140:$A$259),ROW(8:8)),"")</f>
        <v/>
      </c>
      <c r="C382" s="1509" t="str">
        <f t="shared" si="21"/>
        <v/>
      </c>
      <c r="D382" s="1509"/>
      <c r="E382" s="1509"/>
      <c r="F382" s="1509"/>
      <c r="G382" s="1509"/>
      <c r="H382" s="1509"/>
      <c r="I382" s="1509"/>
      <c r="J382" s="1509"/>
      <c r="K382" s="1509"/>
      <c r="L382" s="1509"/>
      <c r="M382" s="1516" t="str" cm="1">
        <f t="array" ref="M382">IFERROR(INDEX($A$140:$CB$259,MATCH($B382,$A$140:$A$259,0)+1,52)*IF($C382="Credit card",IF($AO$399&gt;=0,0,1),1),"")</f>
        <v/>
      </c>
      <c r="N382" s="1517"/>
      <c r="O382" s="1517"/>
      <c r="P382" s="1517"/>
      <c r="Q382" s="1517"/>
      <c r="R382" s="1517"/>
      <c r="S382" s="1518"/>
      <c r="T382" s="1537" t="str">
        <f t="shared" ca="1" si="22"/>
        <v/>
      </c>
      <c r="U382" s="1538"/>
      <c r="V382" s="1539"/>
      <c r="W382" s="1540" t="str">
        <f t="shared" ca="1" si="23"/>
        <v/>
      </c>
      <c r="X382" s="1541"/>
      <c r="Y382" s="1542"/>
      <c r="Z382" s="1534" t="str">
        <f t="shared" ca="1" si="24"/>
        <v/>
      </c>
      <c r="AA382" s="1535"/>
      <c r="AB382" s="1535"/>
      <c r="AC382" s="1535"/>
      <c r="AD382" s="1535"/>
      <c r="AE382" s="1536"/>
      <c r="AF382" s="1658" t="str">
        <f t="shared" ca="1" si="25"/>
        <v/>
      </c>
      <c r="AG382" s="1658"/>
      <c r="AH382" s="1658"/>
      <c r="AI382" s="1658"/>
      <c r="AJ382" s="1531">
        <f t="shared" ca="1" si="26"/>
        <v>0</v>
      </c>
      <c r="AK382" s="1532"/>
      <c r="AL382" s="1532"/>
      <c r="AM382" s="1532"/>
      <c r="AN382" s="1533"/>
      <c r="AO382" s="1531">
        <f t="shared" si="27"/>
        <v>0</v>
      </c>
      <c r="AP382" s="1532"/>
      <c r="AQ382" s="1532"/>
      <c r="AR382" s="1532"/>
      <c r="AS382" s="1533"/>
    </row>
    <row r="383" spans="1:82" ht="18.75" hidden="1" customHeight="1" x14ac:dyDescent="0.25">
      <c r="B383" s="974" t="str" cm="1">
        <f t="array" ref="B383">IFERROR(SMALL(IF(($C$140:$C$259="Mortgage - OO")+($C$140:$C$259="Mortgage - IPL")+($C$140:$C$259="Credit card")+($C$140:$C$259="Interest only bullet loan"),$A$140:$A$259),ROW(9:9)),"")</f>
        <v/>
      </c>
      <c r="C383" s="1509" t="str">
        <f t="shared" si="21"/>
        <v/>
      </c>
      <c r="D383" s="1509"/>
      <c r="E383" s="1509"/>
      <c r="F383" s="1509"/>
      <c r="G383" s="1509"/>
      <c r="H383" s="1509"/>
      <c r="I383" s="1509"/>
      <c r="J383" s="1509"/>
      <c r="K383" s="1509"/>
      <c r="L383" s="1509"/>
      <c r="M383" s="1516" t="str" cm="1">
        <f t="array" ref="M383">IFERROR(INDEX($A$140:$CB$259,MATCH($B383,$A$140:$A$259,0)+1,52)*IF($C383="Credit card",IF($AO$399&gt;=0,0,1),1),"")</f>
        <v/>
      </c>
      <c r="N383" s="1517"/>
      <c r="O383" s="1517"/>
      <c r="P383" s="1517"/>
      <c r="Q383" s="1517"/>
      <c r="R383" s="1517"/>
      <c r="S383" s="1518"/>
      <c r="T383" s="1537" t="str">
        <f t="shared" ca="1" si="22"/>
        <v/>
      </c>
      <c r="U383" s="1538"/>
      <c r="V383" s="1539"/>
      <c r="W383" s="1540" t="str">
        <f t="shared" ca="1" si="23"/>
        <v/>
      </c>
      <c r="X383" s="1541"/>
      <c r="Y383" s="1542"/>
      <c r="Z383" s="1534" t="str">
        <f t="shared" ca="1" si="24"/>
        <v/>
      </c>
      <c r="AA383" s="1535"/>
      <c r="AB383" s="1535"/>
      <c r="AC383" s="1535"/>
      <c r="AD383" s="1535"/>
      <c r="AE383" s="1536"/>
      <c r="AF383" s="1658" t="str">
        <f t="shared" ca="1" si="25"/>
        <v/>
      </c>
      <c r="AG383" s="1658"/>
      <c r="AH383" s="1658"/>
      <c r="AI383" s="1658"/>
      <c r="AJ383" s="1531">
        <f t="shared" ca="1" si="26"/>
        <v>0</v>
      </c>
      <c r="AK383" s="1532"/>
      <c r="AL383" s="1532"/>
      <c r="AM383" s="1532"/>
      <c r="AN383" s="1533"/>
      <c r="AO383" s="1531">
        <f t="shared" si="27"/>
        <v>0</v>
      </c>
      <c r="AP383" s="1532"/>
      <c r="AQ383" s="1532"/>
      <c r="AR383" s="1532"/>
      <c r="AS383" s="1533"/>
    </row>
    <row r="384" spans="1:82" ht="18.75" hidden="1" customHeight="1" x14ac:dyDescent="0.25">
      <c r="B384" s="974" t="str" cm="1">
        <f t="array" ref="B384">IFERROR(SMALL(IF(($C$140:$C$259="Mortgage - OO")+($C$140:$C$259="Mortgage - IPL")+($C$140:$C$259="Credit card")+($C$140:$C$259="Interest only bullet loan"),$A$140:$A$259),ROW(10:10)),"")</f>
        <v/>
      </c>
      <c r="C384" s="1509" t="str">
        <f t="shared" si="21"/>
        <v/>
      </c>
      <c r="D384" s="1509"/>
      <c r="E384" s="1509"/>
      <c r="F384" s="1509"/>
      <c r="G384" s="1509"/>
      <c r="H384" s="1509"/>
      <c r="I384" s="1509"/>
      <c r="J384" s="1509"/>
      <c r="K384" s="1509"/>
      <c r="L384" s="1509"/>
      <c r="M384" s="1516" t="str" cm="1">
        <f t="array" ref="M384">IFERROR(INDEX($A$140:$CB$259,MATCH($B384,$A$140:$A$259,0)+1,52)*IF($C384="Credit card",IF($AO$399&gt;=0,0,1),1),"")</f>
        <v/>
      </c>
      <c r="N384" s="1517"/>
      <c r="O384" s="1517"/>
      <c r="P384" s="1517"/>
      <c r="Q384" s="1517"/>
      <c r="R384" s="1517"/>
      <c r="S384" s="1518"/>
      <c r="T384" s="1537" t="str">
        <f t="shared" ca="1" si="22"/>
        <v/>
      </c>
      <c r="U384" s="1538"/>
      <c r="V384" s="1539"/>
      <c r="W384" s="1540" t="str">
        <f t="shared" ca="1" si="23"/>
        <v/>
      </c>
      <c r="X384" s="1541"/>
      <c r="Y384" s="1542"/>
      <c r="Z384" s="1534" t="str">
        <f t="shared" ca="1" si="24"/>
        <v/>
      </c>
      <c r="AA384" s="1535"/>
      <c r="AB384" s="1535"/>
      <c r="AC384" s="1535"/>
      <c r="AD384" s="1535"/>
      <c r="AE384" s="1536"/>
      <c r="AF384" s="1658" t="str">
        <f t="shared" ca="1" si="25"/>
        <v/>
      </c>
      <c r="AG384" s="1658"/>
      <c r="AH384" s="1658"/>
      <c r="AI384" s="1658"/>
      <c r="AJ384" s="1531">
        <f t="shared" ca="1" si="26"/>
        <v>0</v>
      </c>
      <c r="AK384" s="1532"/>
      <c r="AL384" s="1532"/>
      <c r="AM384" s="1532"/>
      <c r="AN384" s="1533"/>
      <c r="AO384" s="1531">
        <f t="shared" si="27"/>
        <v>0</v>
      </c>
      <c r="AP384" s="1532"/>
      <c r="AQ384" s="1532"/>
      <c r="AR384" s="1532"/>
      <c r="AS384" s="1533"/>
    </row>
    <row r="385" spans="2:47" ht="18.75" hidden="1" customHeight="1" x14ac:dyDescent="0.25">
      <c r="B385" s="974" t="str" cm="1">
        <f t="array" ref="B385">IFERROR(SMALL(IF(($C$140:$C$259="Mortgage - OO")+($C$140:$C$259="Mortgage - IPL")+($C$140:$C$259="Credit card")+($C$140:$C$259="Interest only bullet loan"),$A$140:$A$259),ROW(11:11)),"")</f>
        <v/>
      </c>
      <c r="C385" s="1509" t="str">
        <f t="shared" si="21"/>
        <v/>
      </c>
      <c r="D385" s="1509"/>
      <c r="E385" s="1509"/>
      <c r="F385" s="1509"/>
      <c r="G385" s="1509"/>
      <c r="H385" s="1509"/>
      <c r="I385" s="1509"/>
      <c r="J385" s="1509"/>
      <c r="K385" s="1509"/>
      <c r="L385" s="1509"/>
      <c r="M385" s="1516" t="str" cm="1">
        <f t="array" ref="M385">IFERROR(INDEX($A$140:$CB$259,MATCH($B385,$A$140:$A$259,0)+1,52)*IF($C385="Credit card",IF($AO$399&gt;=0,0,1),1),"")</f>
        <v/>
      </c>
      <c r="N385" s="1517"/>
      <c r="O385" s="1517"/>
      <c r="P385" s="1517"/>
      <c r="Q385" s="1517"/>
      <c r="R385" s="1517"/>
      <c r="S385" s="1518"/>
      <c r="T385" s="1537" t="str">
        <f t="shared" ca="1" si="22"/>
        <v/>
      </c>
      <c r="U385" s="1538"/>
      <c r="V385" s="1539"/>
      <c r="W385" s="1540" t="str">
        <f t="shared" ca="1" si="23"/>
        <v/>
      </c>
      <c r="X385" s="1541"/>
      <c r="Y385" s="1542"/>
      <c r="Z385" s="1534" t="str">
        <f t="shared" ca="1" si="24"/>
        <v/>
      </c>
      <c r="AA385" s="1535"/>
      <c r="AB385" s="1535"/>
      <c r="AC385" s="1535"/>
      <c r="AD385" s="1535"/>
      <c r="AE385" s="1536"/>
      <c r="AF385" s="1658" t="str">
        <f t="shared" ca="1" si="25"/>
        <v/>
      </c>
      <c r="AG385" s="1658"/>
      <c r="AH385" s="1658"/>
      <c r="AI385" s="1658"/>
      <c r="AJ385" s="1531">
        <f t="shared" ca="1" si="26"/>
        <v>0</v>
      </c>
      <c r="AK385" s="1532"/>
      <c r="AL385" s="1532"/>
      <c r="AM385" s="1532"/>
      <c r="AN385" s="1533"/>
      <c r="AO385" s="1531">
        <f t="shared" si="27"/>
        <v>0</v>
      </c>
      <c r="AP385" s="1532"/>
      <c r="AQ385" s="1532"/>
      <c r="AR385" s="1532"/>
      <c r="AS385" s="1533"/>
    </row>
    <row r="386" spans="2:47" ht="18.75" hidden="1" customHeight="1" x14ac:dyDescent="0.25">
      <c r="B386" s="974" t="str" cm="1">
        <f t="array" ref="B386">IFERROR(SMALL(IF(($C$140:$C$259="Mortgage - OO")+($C$140:$C$259="Mortgage - IPL")+($C$140:$C$259="Credit card")+($C$140:$C$259="Interest only bullet loan"),$A$140:$A$259),ROW(12:12)),"")</f>
        <v/>
      </c>
      <c r="C386" s="1509" t="str">
        <f t="shared" si="21"/>
        <v/>
      </c>
      <c r="D386" s="1509"/>
      <c r="E386" s="1509"/>
      <c r="F386" s="1509"/>
      <c r="G386" s="1509"/>
      <c r="H386" s="1509"/>
      <c r="I386" s="1509"/>
      <c r="J386" s="1509"/>
      <c r="K386" s="1509"/>
      <c r="L386" s="1509"/>
      <c r="M386" s="1516" t="str" cm="1">
        <f t="array" ref="M386">IFERROR(INDEX($A$140:$CB$259,MATCH($B386,$A$140:$A$259,0)+1,52)*IF($C386="Credit card",IF($AO$399&gt;=0,0,1),1),"")</f>
        <v/>
      </c>
      <c r="N386" s="1517"/>
      <c r="O386" s="1517"/>
      <c r="P386" s="1517"/>
      <c r="Q386" s="1517"/>
      <c r="R386" s="1517"/>
      <c r="S386" s="1518"/>
      <c r="T386" s="1537" t="str">
        <f t="shared" ca="1" si="22"/>
        <v/>
      </c>
      <c r="U386" s="1538"/>
      <c r="V386" s="1539"/>
      <c r="W386" s="1540" t="str">
        <f t="shared" ca="1" si="23"/>
        <v/>
      </c>
      <c r="X386" s="1541"/>
      <c r="Y386" s="1542"/>
      <c r="Z386" s="1534" t="str">
        <f t="shared" ca="1" si="24"/>
        <v/>
      </c>
      <c r="AA386" s="1535"/>
      <c r="AB386" s="1535"/>
      <c r="AC386" s="1535"/>
      <c r="AD386" s="1535"/>
      <c r="AE386" s="1536"/>
      <c r="AF386" s="1658" t="str">
        <f t="shared" ca="1" si="25"/>
        <v/>
      </c>
      <c r="AG386" s="1658"/>
      <c r="AH386" s="1658"/>
      <c r="AI386" s="1658"/>
      <c r="AJ386" s="1531">
        <f t="shared" ca="1" si="26"/>
        <v>0</v>
      </c>
      <c r="AK386" s="1532"/>
      <c r="AL386" s="1532"/>
      <c r="AM386" s="1532"/>
      <c r="AN386" s="1533"/>
      <c r="AO386" s="1531">
        <f t="shared" si="27"/>
        <v>0</v>
      </c>
      <c r="AP386" s="1532"/>
      <c r="AQ386" s="1532"/>
      <c r="AR386" s="1532"/>
      <c r="AS386" s="1533"/>
    </row>
    <row r="387" spans="2:47" ht="18.75" hidden="1" customHeight="1" x14ac:dyDescent="0.25">
      <c r="B387" s="974" t="str" cm="1">
        <f t="array" ref="B387">IFERROR(SMALL(IF(($C$140:$C$259="Mortgage - OO")+($C$140:$C$259="Mortgage - IPL")+($C$140:$C$259="Credit card")+($C$140:$C$259="Interest only bullet loan"),$A$140:$A$259),ROW(13:13)),"")</f>
        <v/>
      </c>
      <c r="C387" s="1509" t="str">
        <f t="shared" si="21"/>
        <v/>
      </c>
      <c r="D387" s="1509"/>
      <c r="E387" s="1509"/>
      <c r="F387" s="1509"/>
      <c r="G387" s="1509"/>
      <c r="H387" s="1509"/>
      <c r="I387" s="1509"/>
      <c r="J387" s="1509"/>
      <c r="K387" s="1509"/>
      <c r="L387" s="1509"/>
      <c r="M387" s="1516" t="str" cm="1">
        <f t="array" ref="M387">IFERROR(INDEX($A$140:$CB$259,MATCH($B387,$A$140:$A$259,0)+1,52)*IF($C387="Credit card",IF($AO$399&gt;=0,0,1),1),"")</f>
        <v/>
      </c>
      <c r="N387" s="1517"/>
      <c r="O387" s="1517"/>
      <c r="P387" s="1517"/>
      <c r="Q387" s="1517"/>
      <c r="R387" s="1517"/>
      <c r="S387" s="1518"/>
      <c r="T387" s="1537" t="str">
        <f t="shared" ca="1" si="22"/>
        <v/>
      </c>
      <c r="U387" s="1538"/>
      <c r="V387" s="1539"/>
      <c r="W387" s="1540" t="str">
        <f t="shared" ca="1" si="23"/>
        <v/>
      </c>
      <c r="X387" s="1541"/>
      <c r="Y387" s="1542"/>
      <c r="Z387" s="1534" t="str">
        <f t="shared" ca="1" si="24"/>
        <v/>
      </c>
      <c r="AA387" s="1535"/>
      <c r="AB387" s="1535"/>
      <c r="AC387" s="1535"/>
      <c r="AD387" s="1535"/>
      <c r="AE387" s="1536"/>
      <c r="AF387" s="1658" t="str">
        <f t="shared" ca="1" si="25"/>
        <v/>
      </c>
      <c r="AG387" s="1658"/>
      <c r="AH387" s="1658"/>
      <c r="AI387" s="1658"/>
      <c r="AJ387" s="1531">
        <f t="shared" ca="1" si="26"/>
        <v>0</v>
      </c>
      <c r="AK387" s="1532"/>
      <c r="AL387" s="1532"/>
      <c r="AM387" s="1532"/>
      <c r="AN387" s="1533"/>
      <c r="AO387" s="1531">
        <f t="shared" si="27"/>
        <v>0</v>
      </c>
      <c r="AP387" s="1532"/>
      <c r="AQ387" s="1532"/>
      <c r="AR387" s="1532"/>
      <c r="AS387" s="1533"/>
    </row>
    <row r="388" spans="2:47" ht="18.75" hidden="1" customHeight="1" x14ac:dyDescent="0.25">
      <c r="B388" s="974" t="str" cm="1">
        <f t="array" ref="B388">IFERROR(SMALL(IF(($C$140:$C$259="Mortgage - OO")+($C$140:$C$259="Mortgage - IPL")+($C$140:$C$259="Credit card")+($C$140:$C$259="Interest only bullet loan"),$A$140:$A$259),ROW(14:14)),"")</f>
        <v/>
      </c>
      <c r="C388" s="1509" t="str">
        <f t="shared" si="21"/>
        <v/>
      </c>
      <c r="D388" s="1509"/>
      <c r="E388" s="1509"/>
      <c r="F388" s="1509"/>
      <c r="G388" s="1509"/>
      <c r="H388" s="1509"/>
      <c r="I388" s="1509"/>
      <c r="J388" s="1509"/>
      <c r="K388" s="1509"/>
      <c r="L388" s="1509"/>
      <c r="M388" s="1516" t="str" cm="1">
        <f t="array" ref="M388">IFERROR(INDEX($A$140:$CB$259,MATCH($B388,$A$140:$A$259,0)+1,52)*IF($C388="Credit card",IF($AO$399&gt;=0,0,1),1),"")</f>
        <v/>
      </c>
      <c r="N388" s="1517"/>
      <c r="O388" s="1517"/>
      <c r="P388" s="1517"/>
      <c r="Q388" s="1517"/>
      <c r="R388" s="1517"/>
      <c r="S388" s="1518"/>
      <c r="T388" s="1537" t="str">
        <f t="shared" ca="1" si="22"/>
        <v/>
      </c>
      <c r="U388" s="1538"/>
      <c r="V388" s="1539"/>
      <c r="W388" s="1540" t="str">
        <f t="shared" ca="1" si="23"/>
        <v/>
      </c>
      <c r="X388" s="1541"/>
      <c r="Y388" s="1542"/>
      <c r="Z388" s="1534" t="str">
        <f t="shared" ca="1" si="24"/>
        <v/>
      </c>
      <c r="AA388" s="1535"/>
      <c r="AB388" s="1535"/>
      <c r="AC388" s="1535"/>
      <c r="AD388" s="1535"/>
      <c r="AE388" s="1536"/>
      <c r="AF388" s="1658" t="str">
        <f t="shared" ca="1" si="25"/>
        <v/>
      </c>
      <c r="AG388" s="1658"/>
      <c r="AH388" s="1658"/>
      <c r="AI388" s="1658"/>
      <c r="AJ388" s="1531">
        <f t="shared" ca="1" si="26"/>
        <v>0</v>
      </c>
      <c r="AK388" s="1532"/>
      <c r="AL388" s="1532"/>
      <c r="AM388" s="1532"/>
      <c r="AN388" s="1533"/>
      <c r="AO388" s="1531">
        <f t="shared" si="27"/>
        <v>0</v>
      </c>
      <c r="AP388" s="1532"/>
      <c r="AQ388" s="1532"/>
      <c r="AR388" s="1532"/>
      <c r="AS388" s="1533"/>
    </row>
    <row r="389" spans="2:47" ht="18.75" hidden="1" customHeight="1" x14ac:dyDescent="0.25">
      <c r="B389" s="974" t="str" cm="1">
        <f t="array" ref="B389">IFERROR(SMALL(IF(($C$140:$C$259="Mortgage - OO")+($C$140:$C$259="Mortgage - IPL")+($C$140:$C$259="Credit card")+($C$140:$C$259="Interest only bullet loan"),$A$140:$A$259),ROW(15:15)),"")</f>
        <v/>
      </c>
      <c r="C389" s="1509" t="str">
        <f t="shared" si="21"/>
        <v/>
      </c>
      <c r="D389" s="1509"/>
      <c r="E389" s="1509"/>
      <c r="F389" s="1509"/>
      <c r="G389" s="1509"/>
      <c r="H389" s="1509"/>
      <c r="I389" s="1509"/>
      <c r="J389" s="1509"/>
      <c r="K389" s="1509"/>
      <c r="L389" s="1509"/>
      <c r="M389" s="1516" t="str" cm="1">
        <f t="array" ref="M389">IFERROR(INDEX($A$140:$CB$259,MATCH($B389,$A$140:$A$259,0)+1,52)*IF($C389="Credit card",IF($AO$399&gt;=0,0,1),1),"")</f>
        <v/>
      </c>
      <c r="N389" s="1517"/>
      <c r="O389" s="1517"/>
      <c r="P389" s="1517"/>
      <c r="Q389" s="1517"/>
      <c r="R389" s="1517"/>
      <c r="S389" s="1518"/>
      <c r="T389" s="1537" t="str">
        <f t="shared" ca="1" si="22"/>
        <v/>
      </c>
      <c r="U389" s="1538"/>
      <c r="V389" s="1539"/>
      <c r="W389" s="1540" t="str">
        <f t="shared" ca="1" si="23"/>
        <v/>
      </c>
      <c r="X389" s="1541"/>
      <c r="Y389" s="1542"/>
      <c r="Z389" s="1534" t="str">
        <f t="shared" ca="1" si="24"/>
        <v/>
      </c>
      <c r="AA389" s="1535"/>
      <c r="AB389" s="1535"/>
      <c r="AC389" s="1535"/>
      <c r="AD389" s="1535"/>
      <c r="AE389" s="1536"/>
      <c r="AF389" s="1658" t="str">
        <f t="shared" ca="1" si="25"/>
        <v/>
      </c>
      <c r="AG389" s="1658"/>
      <c r="AH389" s="1658"/>
      <c r="AI389" s="1658"/>
      <c r="AJ389" s="1531">
        <f t="shared" ca="1" si="26"/>
        <v>0</v>
      </c>
      <c r="AK389" s="1532"/>
      <c r="AL389" s="1532"/>
      <c r="AM389" s="1532"/>
      <c r="AN389" s="1533"/>
      <c r="AO389" s="1531">
        <f t="shared" si="27"/>
        <v>0</v>
      </c>
      <c r="AP389" s="1532"/>
      <c r="AQ389" s="1532"/>
      <c r="AR389" s="1532"/>
      <c r="AS389" s="1533"/>
    </row>
    <row r="390" spans="2:47" ht="18.75" hidden="1" customHeight="1" x14ac:dyDescent="0.25">
      <c r="B390" s="974" t="str" cm="1">
        <f t="array" ref="B390">IFERROR(SMALL(IF(($C$140:$C$259="Mortgage - OO")+($C$140:$C$259="Mortgage - IPL")+($C$140:$C$259="Credit card")+($C$140:$C$259="Interest only bullet loan"),$A$140:$A$259),ROW(16:16)),"")</f>
        <v/>
      </c>
      <c r="C390" s="1509" t="str">
        <f t="shared" si="21"/>
        <v/>
      </c>
      <c r="D390" s="1509"/>
      <c r="E390" s="1509"/>
      <c r="F390" s="1509"/>
      <c r="G390" s="1509"/>
      <c r="H390" s="1509"/>
      <c r="I390" s="1509"/>
      <c r="J390" s="1509"/>
      <c r="K390" s="1509"/>
      <c r="L390" s="1509"/>
      <c r="M390" s="1516" t="str" cm="1">
        <f t="array" ref="M390">IFERROR(INDEX($A$140:$CB$259,MATCH($B390,$A$140:$A$259,0)+1,52)*IF($C390="Credit card",IF($AO$399&gt;=0,0,1),1),"")</f>
        <v/>
      </c>
      <c r="N390" s="1517"/>
      <c r="O390" s="1517"/>
      <c r="P390" s="1517"/>
      <c r="Q390" s="1517"/>
      <c r="R390" s="1517"/>
      <c r="S390" s="1518"/>
      <c r="T390" s="1537" t="str">
        <f t="shared" ca="1" si="22"/>
        <v/>
      </c>
      <c r="U390" s="1538"/>
      <c r="V390" s="1539"/>
      <c r="W390" s="1540" t="str">
        <f t="shared" ca="1" si="23"/>
        <v/>
      </c>
      <c r="X390" s="1541"/>
      <c r="Y390" s="1542"/>
      <c r="Z390" s="1534" t="str">
        <f t="shared" ca="1" si="24"/>
        <v/>
      </c>
      <c r="AA390" s="1535"/>
      <c r="AB390" s="1535"/>
      <c r="AC390" s="1535"/>
      <c r="AD390" s="1535"/>
      <c r="AE390" s="1536"/>
      <c r="AF390" s="1658" t="str">
        <f t="shared" ca="1" si="25"/>
        <v/>
      </c>
      <c r="AG390" s="1658"/>
      <c r="AH390" s="1658"/>
      <c r="AI390" s="1658"/>
      <c r="AJ390" s="1531">
        <f t="shared" ca="1" si="26"/>
        <v>0</v>
      </c>
      <c r="AK390" s="1532"/>
      <c r="AL390" s="1532"/>
      <c r="AM390" s="1532"/>
      <c r="AN390" s="1533"/>
      <c r="AO390" s="1531">
        <f t="shared" si="27"/>
        <v>0</v>
      </c>
      <c r="AP390" s="1532"/>
      <c r="AQ390" s="1532"/>
      <c r="AR390" s="1532"/>
      <c r="AS390" s="1533"/>
    </row>
    <row r="391" spans="2:47" ht="18.75" hidden="1" customHeight="1" x14ac:dyDescent="0.25">
      <c r="B391" s="974" t="str" cm="1">
        <f t="array" ref="B391">IFERROR(SMALL(IF(($C$140:$C$259="Mortgage - OO")+($C$140:$C$259="Mortgage - IPL")+($C$140:$C$259="Credit card")+($C$140:$C$259="Interest only bullet loan"),$A$140:$A$259),ROW(17:17)),"")</f>
        <v/>
      </c>
      <c r="C391" s="1509" t="str">
        <f t="shared" si="21"/>
        <v/>
      </c>
      <c r="D391" s="1509"/>
      <c r="E391" s="1509"/>
      <c r="F391" s="1509"/>
      <c r="G391" s="1509"/>
      <c r="H391" s="1509"/>
      <c r="I391" s="1509"/>
      <c r="J391" s="1509"/>
      <c r="K391" s="1509"/>
      <c r="L391" s="1509"/>
      <c r="M391" s="1516" t="str" cm="1">
        <f t="array" ref="M391">IFERROR(INDEX($A$140:$CB$259,MATCH($B391,$A$140:$A$259,0)+1,52)*IF($C391="Credit card",IF($AO$399&gt;=0,0,1),1),"")</f>
        <v/>
      </c>
      <c r="N391" s="1517"/>
      <c r="O391" s="1517"/>
      <c r="P391" s="1517"/>
      <c r="Q391" s="1517"/>
      <c r="R391" s="1517"/>
      <c r="S391" s="1518"/>
      <c r="T391" s="1537" t="str">
        <f t="shared" ca="1" si="22"/>
        <v/>
      </c>
      <c r="U391" s="1538"/>
      <c r="V391" s="1539"/>
      <c r="W391" s="1540" t="str">
        <f t="shared" ca="1" si="23"/>
        <v/>
      </c>
      <c r="X391" s="1541"/>
      <c r="Y391" s="1542"/>
      <c r="Z391" s="1534" t="str">
        <f t="shared" ca="1" si="24"/>
        <v/>
      </c>
      <c r="AA391" s="1535"/>
      <c r="AB391" s="1535"/>
      <c r="AC391" s="1535"/>
      <c r="AD391" s="1535"/>
      <c r="AE391" s="1536"/>
      <c r="AF391" s="1658" t="str">
        <f t="shared" ca="1" si="25"/>
        <v/>
      </c>
      <c r="AG391" s="1658"/>
      <c r="AH391" s="1658"/>
      <c r="AI391" s="1658"/>
      <c r="AJ391" s="1531">
        <f t="shared" ca="1" si="26"/>
        <v>0</v>
      </c>
      <c r="AK391" s="1532"/>
      <c r="AL391" s="1532"/>
      <c r="AM391" s="1532"/>
      <c r="AN391" s="1533"/>
      <c r="AO391" s="1531">
        <f t="shared" si="27"/>
        <v>0</v>
      </c>
      <c r="AP391" s="1532"/>
      <c r="AQ391" s="1532"/>
      <c r="AR391" s="1532"/>
      <c r="AS391" s="1533"/>
    </row>
    <row r="392" spans="2:47" ht="18.75" hidden="1" customHeight="1" x14ac:dyDescent="0.25">
      <c r="B392" s="974" t="str" cm="1">
        <f t="array" ref="B392">IFERROR(SMALL(IF(($C$140:$C$259="Mortgage - OO")+($C$140:$C$259="Mortgage - IPL")+($C$140:$C$259="Credit card")+($C$140:$C$259="Interest only bullet loan"),$A$140:$A$259),ROW(18:18)),"")</f>
        <v/>
      </c>
      <c r="C392" s="1509" t="str">
        <f t="shared" si="21"/>
        <v/>
      </c>
      <c r="D392" s="1509"/>
      <c r="E392" s="1509"/>
      <c r="F392" s="1509"/>
      <c r="G392" s="1509"/>
      <c r="H392" s="1509"/>
      <c r="I392" s="1509"/>
      <c r="J392" s="1509"/>
      <c r="K392" s="1509"/>
      <c r="L392" s="1509"/>
      <c r="M392" s="1516" t="str" cm="1">
        <f t="array" ref="M392">IFERROR(INDEX($A$140:$CB$259,MATCH($B392,$A$140:$A$259,0)+1,52)*IF($C392="Credit card",IF($AO$399&gt;=0,0,1),1),"")</f>
        <v/>
      </c>
      <c r="N392" s="1517"/>
      <c r="O392" s="1517"/>
      <c r="P392" s="1517"/>
      <c r="Q392" s="1517"/>
      <c r="R392" s="1517"/>
      <c r="S392" s="1518"/>
      <c r="T392" s="1537" t="str">
        <f t="shared" ca="1" si="22"/>
        <v/>
      </c>
      <c r="U392" s="1538"/>
      <c r="V392" s="1539"/>
      <c r="W392" s="1540" t="str">
        <f t="shared" ca="1" si="23"/>
        <v/>
      </c>
      <c r="X392" s="1541"/>
      <c r="Y392" s="1542"/>
      <c r="Z392" s="1534" t="str">
        <f t="shared" ca="1" si="24"/>
        <v/>
      </c>
      <c r="AA392" s="1535"/>
      <c r="AB392" s="1535"/>
      <c r="AC392" s="1535"/>
      <c r="AD392" s="1535"/>
      <c r="AE392" s="1536"/>
      <c r="AF392" s="1658" t="str">
        <f t="shared" ca="1" si="25"/>
        <v/>
      </c>
      <c r="AG392" s="1658"/>
      <c r="AH392" s="1658"/>
      <c r="AI392" s="1658"/>
      <c r="AJ392" s="1531">
        <f t="shared" ca="1" si="26"/>
        <v>0</v>
      </c>
      <c r="AK392" s="1532"/>
      <c r="AL392" s="1532"/>
      <c r="AM392" s="1532"/>
      <c r="AN392" s="1533"/>
      <c r="AO392" s="1531">
        <f t="shared" si="27"/>
        <v>0</v>
      </c>
      <c r="AP392" s="1532"/>
      <c r="AQ392" s="1532"/>
      <c r="AR392" s="1532"/>
      <c r="AS392" s="1533"/>
    </row>
    <row r="393" spans="2:47" ht="18.75" hidden="1" customHeight="1" x14ac:dyDescent="0.25">
      <c r="B393" s="974" t="str" cm="1">
        <f t="array" ref="B393">IFERROR(SMALL(IF(($C$140:$C$259="Mortgage - OO")+($C$140:$C$259="Mortgage - IPL")+($C$140:$C$259="Credit card")+($C$140:$C$259="Interest only bullet loan"),$A$140:$A$259),ROW(19:19)),"")</f>
        <v/>
      </c>
      <c r="C393" s="1509" t="str">
        <f t="shared" si="21"/>
        <v/>
      </c>
      <c r="D393" s="1509"/>
      <c r="E393" s="1509"/>
      <c r="F393" s="1509"/>
      <c r="G393" s="1509"/>
      <c r="H393" s="1509"/>
      <c r="I393" s="1509"/>
      <c r="J393" s="1509"/>
      <c r="K393" s="1509"/>
      <c r="L393" s="1509"/>
      <c r="M393" s="1516" t="str" cm="1">
        <f t="array" ref="M393">IFERROR(INDEX($A$140:$CB$259,MATCH($B393,$A$140:$A$259,0)+1,52)*IF($C393="Credit card",IF($AO$399&gt;=0,0,1),1),"")</f>
        <v/>
      </c>
      <c r="N393" s="1517"/>
      <c r="O393" s="1517"/>
      <c r="P393" s="1517"/>
      <c r="Q393" s="1517"/>
      <c r="R393" s="1517"/>
      <c r="S393" s="1518"/>
      <c r="T393" s="1537" t="str">
        <f t="shared" ca="1" si="22"/>
        <v/>
      </c>
      <c r="U393" s="1538"/>
      <c r="V393" s="1539"/>
      <c r="W393" s="1540" t="str">
        <f t="shared" ca="1" si="23"/>
        <v/>
      </c>
      <c r="X393" s="1541"/>
      <c r="Y393" s="1542"/>
      <c r="Z393" s="1534" t="str">
        <f t="shared" ca="1" si="24"/>
        <v/>
      </c>
      <c r="AA393" s="1535"/>
      <c r="AB393" s="1535"/>
      <c r="AC393" s="1535"/>
      <c r="AD393" s="1535"/>
      <c r="AE393" s="1536"/>
      <c r="AF393" s="1658" t="str">
        <f t="shared" ca="1" si="25"/>
        <v/>
      </c>
      <c r="AG393" s="1658"/>
      <c r="AH393" s="1658"/>
      <c r="AI393" s="1658"/>
      <c r="AJ393" s="1531">
        <f t="shared" ca="1" si="26"/>
        <v>0</v>
      </c>
      <c r="AK393" s="1532"/>
      <c r="AL393" s="1532"/>
      <c r="AM393" s="1532"/>
      <c r="AN393" s="1533"/>
      <c r="AO393" s="1531">
        <f t="shared" si="27"/>
        <v>0</v>
      </c>
      <c r="AP393" s="1532"/>
      <c r="AQ393" s="1532"/>
      <c r="AR393" s="1532"/>
      <c r="AS393" s="1533"/>
    </row>
    <row r="394" spans="2:47" ht="18.75" hidden="1" customHeight="1" x14ac:dyDescent="0.25">
      <c r="B394" s="974" t="str" cm="1">
        <f t="array" ref="B394">IFERROR(SMALL(IF(($C$140:$C$259="Mortgage - OO")+($C$140:$C$259="Mortgage - IPL")+($C$140:$C$259="Credit card")+($C$140:$C$259="Interest only bullet loan"),$A$140:$A$259),ROW(20:20)),"")</f>
        <v/>
      </c>
      <c r="C394" s="1509" t="str">
        <f t="shared" si="21"/>
        <v/>
      </c>
      <c r="D394" s="1509"/>
      <c r="E394" s="1509"/>
      <c r="F394" s="1509"/>
      <c r="G394" s="1509"/>
      <c r="H394" s="1509"/>
      <c r="I394" s="1509"/>
      <c r="J394" s="1509"/>
      <c r="K394" s="1509"/>
      <c r="L394" s="1509"/>
      <c r="M394" s="1516" t="str" cm="1">
        <f t="array" ref="M394">IFERROR(INDEX($A$140:$CB$259,MATCH($B394,$A$140:$A$259,0)+1,52)*IF($C394="Credit card",IF($AO$399&gt;=0,0,1),1),"")</f>
        <v/>
      </c>
      <c r="N394" s="1517"/>
      <c r="O394" s="1517"/>
      <c r="P394" s="1517"/>
      <c r="Q394" s="1517"/>
      <c r="R394" s="1517"/>
      <c r="S394" s="1518"/>
      <c r="T394" s="1537" t="str">
        <f t="shared" ca="1" si="22"/>
        <v/>
      </c>
      <c r="U394" s="1538"/>
      <c r="V394" s="1539"/>
      <c r="W394" s="1540" t="str">
        <f t="shared" ca="1" si="23"/>
        <v/>
      </c>
      <c r="X394" s="1541"/>
      <c r="Y394" s="1542"/>
      <c r="Z394" s="1534" t="str">
        <f t="shared" ca="1" si="24"/>
        <v/>
      </c>
      <c r="AA394" s="1535"/>
      <c r="AB394" s="1535"/>
      <c r="AC394" s="1535"/>
      <c r="AD394" s="1535"/>
      <c r="AE394" s="1536"/>
      <c r="AF394" s="1658" t="str">
        <f t="shared" ca="1" si="25"/>
        <v/>
      </c>
      <c r="AG394" s="1658"/>
      <c r="AH394" s="1658"/>
      <c r="AI394" s="1658"/>
      <c r="AJ394" s="1531">
        <f t="shared" ca="1" si="26"/>
        <v>0</v>
      </c>
      <c r="AK394" s="1532"/>
      <c r="AL394" s="1532"/>
      <c r="AM394" s="1532"/>
      <c r="AN394" s="1533"/>
      <c r="AO394" s="1531">
        <f t="shared" si="27"/>
        <v>0</v>
      </c>
      <c r="AP394" s="1532"/>
      <c r="AQ394" s="1532"/>
      <c r="AR394" s="1532"/>
      <c r="AS394" s="1533"/>
    </row>
    <row r="395" spans="2:47" ht="7.5" hidden="1" customHeight="1" x14ac:dyDescent="0.25"/>
    <row r="396" spans="2:47" ht="18.75" hidden="1" customHeight="1" x14ac:dyDescent="0.25">
      <c r="L396" s="972" t="s">
        <v>1490</v>
      </c>
      <c r="M396" s="1516">
        <f>(SUM(M360:S369)+SUMIF(C375:I394,"Mortgage*",M375:S394))</f>
        <v>0</v>
      </c>
      <c r="N396" s="1517"/>
      <c r="O396" s="1517"/>
      <c r="P396" s="1517"/>
      <c r="Q396" s="1517"/>
      <c r="R396" s="1517"/>
      <c r="S396" s="1518"/>
      <c r="U396" s="973" t="s">
        <v>75</v>
      </c>
      <c r="AJ396" s="969"/>
      <c r="AK396" s="969"/>
      <c r="AL396" s="969"/>
      <c r="AM396" s="969"/>
      <c r="AN396" s="972" t="s">
        <v>1485</v>
      </c>
      <c r="AO396" s="1513">
        <f>SUM(AO360:AO369,AO375:AO394)</f>
        <v>0</v>
      </c>
      <c r="AP396" s="1513"/>
      <c r="AQ396" s="1513"/>
      <c r="AR396" s="1513"/>
      <c r="AS396" s="1513"/>
      <c r="AU396" s="973" t="s">
        <v>78</v>
      </c>
    </row>
    <row r="397" spans="2:47" ht="7.5" hidden="1" customHeight="1" x14ac:dyDescent="0.25">
      <c r="AJ397" s="969"/>
      <c r="AK397" s="969"/>
      <c r="AL397" s="969"/>
      <c r="AM397" s="969"/>
      <c r="AN397" s="198"/>
      <c r="AO397" s="970"/>
    </row>
    <row r="398" spans="2:47" ht="18.75" hidden="1" customHeight="1" x14ac:dyDescent="0.25">
      <c r="AJ398" s="971"/>
      <c r="AK398" s="971"/>
      <c r="AL398" s="971"/>
      <c r="AM398" s="971"/>
      <c r="AN398" s="972" t="s">
        <v>1487</v>
      </c>
      <c r="AO398" s="1512" t="str">
        <f ca="1">IF(P354&lt;0,-M396*0.05%,"")</f>
        <v/>
      </c>
      <c r="AP398" s="1512"/>
      <c r="AQ398" s="1512"/>
      <c r="AR398" s="1512"/>
      <c r="AS398" s="1512"/>
      <c r="AU398" s="973" t="s">
        <v>81</v>
      </c>
    </row>
    <row r="399" spans="2:47" ht="18.75" hidden="1" customHeight="1" x14ac:dyDescent="0.25">
      <c r="AJ399" s="969"/>
      <c r="AM399" s="969"/>
      <c r="AN399" s="972" t="s">
        <v>1488</v>
      </c>
      <c r="AO399" s="1512" t="str">
        <f ca="1">IF(AO398&lt;0,P354-AO398,"")</f>
        <v/>
      </c>
      <c r="AP399" s="1512"/>
      <c r="AQ399" s="1512"/>
      <c r="AR399" s="1512"/>
      <c r="AS399" s="1512"/>
    </row>
    <row r="400" spans="2:47" ht="7.5" hidden="1" customHeight="1" x14ac:dyDescent="0.25">
      <c r="AM400" s="969"/>
      <c r="AN400" s="972"/>
      <c r="AO400" s="969"/>
    </row>
    <row r="401" spans="1:74" ht="18.75" hidden="1" customHeight="1" x14ac:dyDescent="0.25">
      <c r="AM401" s="969"/>
      <c r="AN401" s="972" t="s">
        <v>1489</v>
      </c>
      <c r="AO401" s="1511" t="str">
        <f ca="1">IFERROR(IF(AO399&lt;0,P354/AO396,"N/A"),"")</f>
        <v>N/A</v>
      </c>
      <c r="AP401" s="1511"/>
      <c r="AQ401" s="1511"/>
      <c r="AR401" s="1511"/>
      <c r="AS401" s="1511"/>
      <c r="AU401" s="1514" t="str">
        <f ca="1">IF(AO399&lt;0,"Additional data entry required to calculate deficit as a percentage of all buffers","")</f>
        <v/>
      </c>
      <c r="AV401" s="1514"/>
      <c r="AW401" s="1514"/>
      <c r="AX401" s="1514"/>
      <c r="AY401" s="1514"/>
      <c r="AZ401" s="1514"/>
      <c r="BA401" s="1514"/>
      <c r="BB401" s="1514"/>
      <c r="BC401" s="1514"/>
      <c r="BD401" s="1514"/>
      <c r="BE401" s="1514"/>
      <c r="BF401" s="1514"/>
      <c r="BG401" s="1514"/>
      <c r="BH401" s="1514"/>
    </row>
    <row r="402" spans="1:74" ht="18.75" hidden="1" customHeight="1" x14ac:dyDescent="0.25">
      <c r="AN402" s="972" t="s">
        <v>1486</v>
      </c>
      <c r="AO402" s="1510" t="str">
        <f ca="1">IFERROR(IF(AO399="","",IF(AO399&gt;=0,"Medium",IF(-AO401&lt;33%,"Medium","High"))),"")</f>
        <v/>
      </c>
      <c r="AP402" s="1510"/>
      <c r="AQ402" s="1510"/>
      <c r="AR402" s="1510"/>
      <c r="AS402" s="1510"/>
      <c r="AU402" s="1515"/>
      <c r="AV402" s="1515"/>
      <c r="AW402" s="1515"/>
      <c r="AX402" s="1515"/>
      <c r="AY402" s="1515"/>
      <c r="AZ402" s="1515"/>
      <c r="BA402" s="1515"/>
      <c r="BB402" s="1515"/>
      <c r="BC402" s="1515"/>
      <c r="BD402" s="1515"/>
      <c r="BE402" s="1515"/>
      <c r="BF402" s="1515"/>
      <c r="BG402" s="1515"/>
      <c r="BH402" s="1515"/>
    </row>
    <row r="403" spans="1:74" ht="7.5" hidden="1" customHeight="1" x14ac:dyDescent="0.25"/>
    <row r="404" spans="1:74" ht="7.5" customHeight="1" x14ac:dyDescent="0.25"/>
    <row r="405" spans="1:74" ht="11.25" customHeight="1" x14ac:dyDescent="0.25">
      <c r="A405" s="18"/>
      <c r="B405" s="18"/>
      <c r="C405" s="18"/>
      <c r="D405" s="18"/>
      <c r="E405" s="18"/>
      <c r="F405" s="18"/>
      <c r="G405" s="18"/>
      <c r="H405" s="18"/>
      <c r="I405" s="18"/>
      <c r="J405" s="18"/>
      <c r="K405" s="18"/>
      <c r="L405" s="18"/>
      <c r="M405" s="18"/>
      <c r="N405" s="191"/>
      <c r="O405" s="191"/>
      <c r="P405" s="191"/>
      <c r="Q405" s="191"/>
      <c r="R405" s="191"/>
      <c r="S405" s="191"/>
      <c r="T405" s="191"/>
      <c r="U405" s="191"/>
      <c r="V405" s="191"/>
      <c r="W405" s="191"/>
      <c r="X405" s="191"/>
      <c r="Y405" s="191"/>
      <c r="Z405" s="191"/>
      <c r="AA405" s="191"/>
      <c r="AB405" s="191"/>
      <c r="AC405" s="191"/>
      <c r="AD405" s="191"/>
      <c r="AE405" s="191"/>
      <c r="AF405" s="191"/>
      <c r="AG405" s="191"/>
      <c r="AH405" s="191"/>
      <c r="AI405" s="191"/>
      <c r="AJ405" s="191"/>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row>
    <row r="406" spans="1:74" ht="12.5" x14ac:dyDescent="0.25"/>
    <row r="407" spans="1:74" ht="12.5" x14ac:dyDescent="0.25"/>
    <row r="408" spans="1:74" ht="12.5" x14ac:dyDescent="0.25"/>
  </sheetData>
  <sheetProtection algorithmName="SHA-512" hashValue="BogI+TFgj8415HzY+SVYNkxHnp88UA39EYFQLSMJleRGs2zBknFWzbC5uenkNsGjnS3GGW8xwiL0r0lom5inOQ==" saltValue="VUlNp4bwVOgVZ/E1kQTf1w==" spinCount="100000" sheet="1" objects="1" scenarios="1" selectLockedCells="1"/>
  <dataConsolidate link="1"/>
  <mergeCells count="1792">
    <mergeCell ref="BQ170:BT170"/>
    <mergeCell ref="BM164:BP164"/>
    <mergeCell ref="BD164:BF164"/>
    <mergeCell ref="BD165:BF165"/>
    <mergeCell ref="BD242:BF242"/>
    <mergeCell ref="AZ236:BC236"/>
    <mergeCell ref="BD236:BF236"/>
    <mergeCell ref="BG236:BH236"/>
    <mergeCell ref="AN200:AQ200"/>
    <mergeCell ref="AR200:AU200"/>
    <mergeCell ref="BM218:BP218"/>
    <mergeCell ref="BM224:BP224"/>
    <mergeCell ref="BI230:BL230"/>
    <mergeCell ref="BM230:BP230"/>
    <mergeCell ref="BQ236:BT236"/>
    <mergeCell ref="AR182:AU182"/>
    <mergeCell ref="BM236:BP236"/>
    <mergeCell ref="BD212:BF212"/>
    <mergeCell ref="BD225:BF225"/>
    <mergeCell ref="AV236:AY236"/>
    <mergeCell ref="AR236:AU236"/>
    <mergeCell ref="BI206:BL206"/>
    <mergeCell ref="BM170:BP170"/>
    <mergeCell ref="BI194:BL194"/>
    <mergeCell ref="BM194:BP194"/>
    <mergeCell ref="BQ194:BT194"/>
    <mergeCell ref="AZ194:BC194"/>
    <mergeCell ref="BD218:BF218"/>
    <mergeCell ref="AV206:AY206"/>
    <mergeCell ref="AR212:AU212"/>
    <mergeCell ref="AV212:AY212"/>
    <mergeCell ref="AZ212:BC212"/>
    <mergeCell ref="Z393:AE393"/>
    <mergeCell ref="AF393:AI393"/>
    <mergeCell ref="AJ393:AN393"/>
    <mergeCell ref="AO393:AS393"/>
    <mergeCell ref="M388:S388"/>
    <mergeCell ref="T388:V388"/>
    <mergeCell ref="W388:Y388"/>
    <mergeCell ref="AM15:AT15"/>
    <mergeCell ref="M394:S394"/>
    <mergeCell ref="T394:V394"/>
    <mergeCell ref="W394:Y394"/>
    <mergeCell ref="Z394:AE394"/>
    <mergeCell ref="AF394:AI394"/>
    <mergeCell ref="AJ394:AN394"/>
    <mergeCell ref="AO394:AS394"/>
    <mergeCell ref="M391:S391"/>
    <mergeCell ref="T391:V391"/>
    <mergeCell ref="W391:Y391"/>
    <mergeCell ref="Z391:AE391"/>
    <mergeCell ref="AF391:AI391"/>
    <mergeCell ref="AJ391:AN391"/>
    <mergeCell ref="AO391:AS391"/>
    <mergeCell ref="M392:S392"/>
    <mergeCell ref="T392:V392"/>
    <mergeCell ref="AJ392:AN392"/>
    <mergeCell ref="AO392:AS392"/>
    <mergeCell ref="M393:S393"/>
    <mergeCell ref="T393:V393"/>
    <mergeCell ref="W393:Y393"/>
    <mergeCell ref="AF387:AI387"/>
    <mergeCell ref="AJ387:AN387"/>
    <mergeCell ref="AO387:AS387"/>
    <mergeCell ref="M386:S386"/>
    <mergeCell ref="T386:V386"/>
    <mergeCell ref="W386:Y386"/>
    <mergeCell ref="Z386:AE386"/>
    <mergeCell ref="AF386:AI386"/>
    <mergeCell ref="AJ386:AN386"/>
    <mergeCell ref="AO386:AS386"/>
    <mergeCell ref="Z389:AE389"/>
    <mergeCell ref="AF389:AI389"/>
    <mergeCell ref="AJ389:AN389"/>
    <mergeCell ref="AO389:AS389"/>
    <mergeCell ref="M390:S390"/>
    <mergeCell ref="T390:V390"/>
    <mergeCell ref="W390:Y390"/>
    <mergeCell ref="Z390:AE390"/>
    <mergeCell ref="AF390:AI390"/>
    <mergeCell ref="AJ390:AN390"/>
    <mergeCell ref="AO390:AS390"/>
    <mergeCell ref="Z388:AE388"/>
    <mergeCell ref="AF388:AI388"/>
    <mergeCell ref="AJ388:AN388"/>
    <mergeCell ref="AO388:AS388"/>
    <mergeCell ref="M389:S389"/>
    <mergeCell ref="T389:V389"/>
    <mergeCell ref="W389:Y389"/>
    <mergeCell ref="AF383:AI383"/>
    <mergeCell ref="AJ383:AN383"/>
    <mergeCell ref="AO383:AS383"/>
    <mergeCell ref="M384:S384"/>
    <mergeCell ref="T384:V384"/>
    <mergeCell ref="W384:Y384"/>
    <mergeCell ref="Z384:AE384"/>
    <mergeCell ref="AF384:AI384"/>
    <mergeCell ref="AJ384:AN384"/>
    <mergeCell ref="AO384:AS384"/>
    <mergeCell ref="M385:S385"/>
    <mergeCell ref="T385:V385"/>
    <mergeCell ref="W385:Y385"/>
    <mergeCell ref="Z385:AE385"/>
    <mergeCell ref="AF385:AI385"/>
    <mergeCell ref="AJ385:AN385"/>
    <mergeCell ref="AO385:AS385"/>
    <mergeCell ref="M380:S380"/>
    <mergeCell ref="T380:V380"/>
    <mergeCell ref="W380:Y380"/>
    <mergeCell ref="Z380:AE380"/>
    <mergeCell ref="AF380:AI380"/>
    <mergeCell ref="AJ380:AN380"/>
    <mergeCell ref="AO380:AS380"/>
    <mergeCell ref="M387:S387"/>
    <mergeCell ref="T387:V387"/>
    <mergeCell ref="W387:Y387"/>
    <mergeCell ref="Z387:AE387"/>
    <mergeCell ref="W392:Y392"/>
    <mergeCell ref="Z392:AE392"/>
    <mergeCell ref="AF392:AI392"/>
    <mergeCell ref="M381:S381"/>
    <mergeCell ref="T381:V381"/>
    <mergeCell ref="W381:Y381"/>
    <mergeCell ref="Z381:AE381"/>
    <mergeCell ref="AF381:AI381"/>
    <mergeCell ref="AJ381:AN381"/>
    <mergeCell ref="AO381:AS381"/>
    <mergeCell ref="M382:S382"/>
    <mergeCell ref="T382:V382"/>
    <mergeCell ref="W382:Y382"/>
    <mergeCell ref="Z382:AE382"/>
    <mergeCell ref="AF382:AI382"/>
    <mergeCell ref="AJ382:AN382"/>
    <mergeCell ref="AO382:AS382"/>
    <mergeCell ref="M383:S383"/>
    <mergeCell ref="T383:V383"/>
    <mergeCell ref="W383:Y383"/>
    <mergeCell ref="Z383:AE383"/>
    <mergeCell ref="Z378:AE378"/>
    <mergeCell ref="AF378:AI378"/>
    <mergeCell ref="AJ378:AN378"/>
    <mergeCell ref="AO378:AS378"/>
    <mergeCell ref="M379:S379"/>
    <mergeCell ref="T379:V379"/>
    <mergeCell ref="W379:Y379"/>
    <mergeCell ref="Z379:AE379"/>
    <mergeCell ref="AF379:AI379"/>
    <mergeCell ref="AJ379:AN379"/>
    <mergeCell ref="AO379:AS379"/>
    <mergeCell ref="AO373:AS373"/>
    <mergeCell ref="T367:V367"/>
    <mergeCell ref="W367:Y367"/>
    <mergeCell ref="T368:V368"/>
    <mergeCell ref="M369:S369"/>
    <mergeCell ref="M368:S368"/>
    <mergeCell ref="M367:S367"/>
    <mergeCell ref="W368:Y368"/>
    <mergeCell ref="C375:L375"/>
    <mergeCell ref="C369:L369"/>
    <mergeCell ref="C368:L368"/>
    <mergeCell ref="C367:L367"/>
    <mergeCell ref="C366:L366"/>
    <mergeCell ref="M376:S376"/>
    <mergeCell ref="T376:V376"/>
    <mergeCell ref="W376:Y376"/>
    <mergeCell ref="Z376:AE376"/>
    <mergeCell ref="AF376:AI376"/>
    <mergeCell ref="AJ376:AN376"/>
    <mergeCell ref="AO376:AS376"/>
    <mergeCell ref="M377:S377"/>
    <mergeCell ref="T377:V377"/>
    <mergeCell ref="W377:Y377"/>
    <mergeCell ref="Z377:AE377"/>
    <mergeCell ref="AF377:AI377"/>
    <mergeCell ref="AJ377:AN377"/>
    <mergeCell ref="AO377:AS377"/>
    <mergeCell ref="T366:V366"/>
    <mergeCell ref="W366:Y366"/>
    <mergeCell ref="AJ366:AN366"/>
    <mergeCell ref="AO366:AS366"/>
    <mergeCell ref="T375:V375"/>
    <mergeCell ref="W375:Y375"/>
    <mergeCell ref="AJ375:AN375"/>
    <mergeCell ref="AO375:AS375"/>
    <mergeCell ref="AF373:AI373"/>
    <mergeCell ref="AF375:AI375"/>
    <mergeCell ref="Z369:AE369"/>
    <mergeCell ref="Z368:AE368"/>
    <mergeCell ref="Z367:AE367"/>
    <mergeCell ref="U187:Y187"/>
    <mergeCell ref="AZ183:BC183"/>
    <mergeCell ref="AD149:AG149"/>
    <mergeCell ref="AN170:AQ170"/>
    <mergeCell ref="M366:S366"/>
    <mergeCell ref="M375:S375"/>
    <mergeCell ref="M373:S373"/>
    <mergeCell ref="T373:V373"/>
    <mergeCell ref="Z373:AE373"/>
    <mergeCell ref="Z375:AE375"/>
    <mergeCell ref="T369:V369"/>
    <mergeCell ref="W369:Y369"/>
    <mergeCell ref="AJ369:AN369"/>
    <mergeCell ref="AO369:AS369"/>
    <mergeCell ref="M365:S365"/>
    <mergeCell ref="T363:V363"/>
    <mergeCell ref="W363:Y363"/>
    <mergeCell ref="AJ363:AN363"/>
    <mergeCell ref="AO363:AS363"/>
    <mergeCell ref="T364:V364"/>
    <mergeCell ref="W364:Y364"/>
    <mergeCell ref="AJ364:AN364"/>
    <mergeCell ref="AO364:AS364"/>
    <mergeCell ref="M364:S364"/>
    <mergeCell ref="M363:S363"/>
    <mergeCell ref="AJ368:AN368"/>
    <mergeCell ref="AO368:AS368"/>
    <mergeCell ref="W373:Y373"/>
    <mergeCell ref="AJ373:AN373"/>
    <mergeCell ref="W365:Y365"/>
    <mergeCell ref="AJ365:AN365"/>
    <mergeCell ref="AO365:AS365"/>
    <mergeCell ref="AZ158:BC158"/>
    <mergeCell ref="AV182:AY182"/>
    <mergeCell ref="AZ182:BC182"/>
    <mergeCell ref="BD182:BF182"/>
    <mergeCell ref="R170:T170"/>
    <mergeCell ref="Z165:AC165"/>
    <mergeCell ref="AD165:AG165"/>
    <mergeCell ref="Z166:AC166"/>
    <mergeCell ref="AD166:AG166"/>
    <mergeCell ref="BD183:BF183"/>
    <mergeCell ref="AD185:AG185"/>
    <mergeCell ref="U183:Y183"/>
    <mergeCell ref="R146:T146"/>
    <mergeCell ref="AZ172:BC172"/>
    <mergeCell ref="AZ178:BC178"/>
    <mergeCell ref="AZ170:BC170"/>
    <mergeCell ref="AZ177:BC177"/>
    <mergeCell ref="AH182:AJ182"/>
    <mergeCell ref="AK182:AM182"/>
    <mergeCell ref="U153:Y153"/>
    <mergeCell ref="AV164:AY164"/>
    <mergeCell ref="AZ164:BC164"/>
    <mergeCell ref="AN158:AQ158"/>
    <mergeCell ref="AR158:AU158"/>
    <mergeCell ref="AD148:AG148"/>
    <mergeCell ref="Z149:AC149"/>
    <mergeCell ref="AD173:AG173"/>
    <mergeCell ref="Z362:AE362"/>
    <mergeCell ref="Z361:AE361"/>
    <mergeCell ref="AO280:AZ280"/>
    <mergeCell ref="R200:T200"/>
    <mergeCell ref="U196:Y196"/>
    <mergeCell ref="U197:Y197"/>
    <mergeCell ref="U201:Y201"/>
    <mergeCell ref="U202:Y202"/>
    <mergeCell ref="U195:Y195"/>
    <mergeCell ref="AK218:AM218"/>
    <mergeCell ref="AN218:AQ218"/>
    <mergeCell ref="AK206:AM206"/>
    <mergeCell ref="U200:Y200"/>
    <mergeCell ref="Z200:AC200"/>
    <mergeCell ref="U198:Y198"/>
    <mergeCell ref="AO265:AZ265"/>
    <mergeCell ref="AO266:AZ266"/>
    <mergeCell ref="AO267:AZ267"/>
    <mergeCell ref="AO268:AZ268"/>
    <mergeCell ref="AO269:AZ269"/>
    <mergeCell ref="AO270:AZ270"/>
    <mergeCell ref="AO271:AZ271"/>
    <mergeCell ref="AO272:AZ272"/>
    <mergeCell ref="AO273:AZ273"/>
    <mergeCell ref="AO274:AZ274"/>
    <mergeCell ref="AO275:AZ275"/>
    <mergeCell ref="AO276:AZ276"/>
    <mergeCell ref="U207:Y207"/>
    <mergeCell ref="U211:Y211"/>
    <mergeCell ref="AO277:AZ277"/>
    <mergeCell ref="AO278:AZ278"/>
    <mergeCell ref="AO279:AZ279"/>
    <mergeCell ref="BM140:BP140"/>
    <mergeCell ref="W272:Z272"/>
    <mergeCell ref="AH164:AJ164"/>
    <mergeCell ref="U165:Y165"/>
    <mergeCell ref="BM131:BR131"/>
    <mergeCell ref="BU138:BX138"/>
    <mergeCell ref="BU140:BX140"/>
    <mergeCell ref="BX136:CB136"/>
    <mergeCell ref="BD138:BF138"/>
    <mergeCell ref="BG140:BH140"/>
    <mergeCell ref="BG138:BH138"/>
    <mergeCell ref="AV188:AY188"/>
    <mergeCell ref="AZ188:BC188"/>
    <mergeCell ref="BD189:BF189"/>
    <mergeCell ref="U194:Y194"/>
    <mergeCell ref="BY138:CB138"/>
    <mergeCell ref="BY152:CB152"/>
    <mergeCell ref="AZ146:BC146"/>
    <mergeCell ref="BY140:CB140"/>
    <mergeCell ref="AR146:AU146"/>
    <mergeCell ref="BE136:BI136"/>
    <mergeCell ref="AZ152:BC152"/>
    <mergeCell ref="BD152:BF152"/>
    <mergeCell ref="BM146:BP146"/>
    <mergeCell ref="U199:Y199"/>
    <mergeCell ref="AH194:AJ194"/>
    <mergeCell ref="BD158:BF158"/>
    <mergeCell ref="BG158:BH158"/>
    <mergeCell ref="AV146:AY146"/>
    <mergeCell ref="AZ148:BC148"/>
    <mergeCell ref="AZ154:BC154"/>
    <mergeCell ref="AZ153:BC153"/>
    <mergeCell ref="BH107:BJ107"/>
    <mergeCell ref="AS99:AW99"/>
    <mergeCell ref="C358:I358"/>
    <mergeCell ref="T358:V358"/>
    <mergeCell ref="W358:Y358"/>
    <mergeCell ref="AJ358:AN358"/>
    <mergeCell ref="AO358:AS358"/>
    <mergeCell ref="BI93:BP93"/>
    <mergeCell ref="BH111:BJ111"/>
    <mergeCell ref="BH112:BJ112"/>
    <mergeCell ref="Z142:AC142"/>
    <mergeCell ref="AO92:AV92"/>
    <mergeCell ref="AO94:AV94"/>
    <mergeCell ref="AY93:BF93"/>
    <mergeCell ref="BB99:BF99"/>
    <mergeCell ref="AO121:AT121"/>
    <mergeCell ref="AO123:AT123"/>
    <mergeCell ref="AO124:AT124"/>
    <mergeCell ref="BM127:BR127"/>
    <mergeCell ref="BH101:BJ101"/>
    <mergeCell ref="AV105:BF105"/>
    <mergeCell ref="C105:I105"/>
    <mergeCell ref="U149:Y149"/>
    <mergeCell ref="AB121:AH121"/>
    <mergeCell ref="BQ140:BT140"/>
    <mergeCell ref="BQ138:BT138"/>
    <mergeCell ref="AR140:AU140"/>
    <mergeCell ref="AV107:BF107"/>
    <mergeCell ref="BD140:BF140"/>
    <mergeCell ref="BM242:BP242"/>
    <mergeCell ref="BM248:BP248"/>
    <mergeCell ref="BM254:BP254"/>
    <mergeCell ref="AY58:BF58"/>
    <mergeCell ref="AV108:BF108"/>
    <mergeCell ref="AV109:BF109"/>
    <mergeCell ref="AV110:BF110"/>
    <mergeCell ref="AP106:AR106"/>
    <mergeCell ref="AP105:AR105"/>
    <mergeCell ref="AP108:AR108"/>
    <mergeCell ref="AP107:AR107"/>
    <mergeCell ref="BM125:BR125"/>
    <mergeCell ref="AI108:AO108"/>
    <mergeCell ref="AI127:AN127"/>
    <mergeCell ref="AI103:AO103"/>
    <mergeCell ref="AZ142:BC142"/>
    <mergeCell ref="AB123:AH123"/>
    <mergeCell ref="AB124:AH124"/>
    <mergeCell ref="AB125:AH125"/>
    <mergeCell ref="AB126:AH126"/>
    <mergeCell ref="AB127:AH127"/>
    <mergeCell ref="AB128:AH128"/>
    <mergeCell ref="AB129:AH129"/>
    <mergeCell ref="AB130:AH130"/>
    <mergeCell ref="AB131:AH131"/>
    <mergeCell ref="AB132:AH132"/>
    <mergeCell ref="BD141:BF141"/>
    <mergeCell ref="BM129:BR129"/>
    <mergeCell ref="AZ138:BC138"/>
    <mergeCell ref="AI126:AN126"/>
    <mergeCell ref="AZ141:BC141"/>
    <mergeCell ref="AD141:AG141"/>
    <mergeCell ref="BI92:BP92"/>
    <mergeCell ref="BI91:BP91"/>
    <mergeCell ref="BL112:BR112"/>
    <mergeCell ref="BI50:BP50"/>
    <mergeCell ref="AY52:BF52"/>
    <mergeCell ref="BI56:BP56"/>
    <mergeCell ref="BI69:BP69"/>
    <mergeCell ref="AY55:BF55"/>
    <mergeCell ref="BI55:BP55"/>
    <mergeCell ref="AO60:AV60"/>
    <mergeCell ref="AY60:BF60"/>
    <mergeCell ref="BI60:BP60"/>
    <mergeCell ref="BD146:BF146"/>
    <mergeCell ref="AS107:AU107"/>
    <mergeCell ref="BI71:BP71"/>
    <mergeCell ref="BI65:BP65"/>
    <mergeCell ref="BI54:BP54"/>
    <mergeCell ref="BN136:BR136"/>
    <mergeCell ref="AV112:BF112"/>
    <mergeCell ref="AS101:AU101"/>
    <mergeCell ref="AS104:AU104"/>
    <mergeCell ref="AY90:BF90"/>
    <mergeCell ref="AY94:BF94"/>
    <mergeCell ref="BI140:BL140"/>
    <mergeCell ref="BI138:BL138"/>
    <mergeCell ref="BM138:BP138"/>
    <mergeCell ref="BI90:BP90"/>
    <mergeCell ref="BI94:BP94"/>
    <mergeCell ref="BH103:BJ103"/>
    <mergeCell ref="BH104:BJ104"/>
    <mergeCell ref="BH106:BJ106"/>
    <mergeCell ref="BH105:BJ105"/>
    <mergeCell ref="BH110:BJ110"/>
    <mergeCell ref="AZ121:BQ123"/>
    <mergeCell ref="BI58:BP58"/>
    <mergeCell ref="AY38:BF38"/>
    <mergeCell ref="AY39:BF39"/>
    <mergeCell ref="BI38:BP38"/>
    <mergeCell ref="BI39:BP39"/>
    <mergeCell ref="BI35:BP35"/>
    <mergeCell ref="BI36:BP36"/>
    <mergeCell ref="BI37:BP37"/>
    <mergeCell ref="U39:AB39"/>
    <mergeCell ref="AE38:AL38"/>
    <mergeCell ref="AY19:BF19"/>
    <mergeCell ref="AY21:BF21"/>
    <mergeCell ref="BI19:BP19"/>
    <mergeCell ref="BI21:BP21"/>
    <mergeCell ref="K20:R20"/>
    <mergeCell ref="K22:R22"/>
    <mergeCell ref="U22:AB22"/>
    <mergeCell ref="U20:AB20"/>
    <mergeCell ref="AO19:AV19"/>
    <mergeCell ref="AY35:BF35"/>
    <mergeCell ref="AY36:BF36"/>
    <mergeCell ref="AY37:BF37"/>
    <mergeCell ref="U19:AB19"/>
    <mergeCell ref="AE19:AL19"/>
    <mergeCell ref="AY31:BF31"/>
    <mergeCell ref="BI23:BP23"/>
    <mergeCell ref="B24:J24"/>
    <mergeCell ref="B22:J22"/>
    <mergeCell ref="K34:R34"/>
    <mergeCell ref="U34:AB34"/>
    <mergeCell ref="AE34:AL34"/>
    <mergeCell ref="AO34:AV34"/>
    <mergeCell ref="AY34:BF34"/>
    <mergeCell ref="BI34:BP34"/>
    <mergeCell ref="K33:R33"/>
    <mergeCell ref="U33:AB33"/>
    <mergeCell ref="U23:AB23"/>
    <mergeCell ref="AO23:AV23"/>
    <mergeCell ref="AO22:AV22"/>
    <mergeCell ref="AO20:AV20"/>
    <mergeCell ref="B19:J19"/>
    <mergeCell ref="K37:R37"/>
    <mergeCell ref="K36:R36"/>
    <mergeCell ref="AE36:AL36"/>
    <mergeCell ref="AE37:AL37"/>
    <mergeCell ref="AE31:AL31"/>
    <mergeCell ref="AO31:AV31"/>
    <mergeCell ref="BI24:BP24"/>
    <mergeCell ref="U21:AB21"/>
    <mergeCell ref="AE21:AL21"/>
    <mergeCell ref="K23:R23"/>
    <mergeCell ref="K21:R21"/>
    <mergeCell ref="AO21:AV21"/>
    <mergeCell ref="BI59:BP59"/>
    <mergeCell ref="BI22:BP22"/>
    <mergeCell ref="AO59:AV59"/>
    <mergeCell ref="BI48:BP48"/>
    <mergeCell ref="AE40:AL40"/>
    <mergeCell ref="U40:AB40"/>
    <mergeCell ref="AE41:AL41"/>
    <mergeCell ref="AE42:AL42"/>
    <mergeCell ref="AE43:AL43"/>
    <mergeCell ref="AO56:AV56"/>
    <mergeCell ref="BI52:BP52"/>
    <mergeCell ref="AO53:AV53"/>
    <mergeCell ref="AY53:BF53"/>
    <mergeCell ref="BI53:BP53"/>
    <mergeCell ref="AO54:AV54"/>
    <mergeCell ref="AO50:AV50"/>
    <mergeCell ref="BI20:BP20"/>
    <mergeCell ref="AY23:BF23"/>
    <mergeCell ref="BI31:BP31"/>
    <mergeCell ref="U32:AB32"/>
    <mergeCell ref="AE32:AL32"/>
    <mergeCell ref="AO32:AV32"/>
    <mergeCell ref="AY32:BF32"/>
    <mergeCell ref="BI32:BP32"/>
    <mergeCell ref="AE33:AL33"/>
    <mergeCell ref="AO33:AV33"/>
    <mergeCell ref="AY33:BF33"/>
    <mergeCell ref="BI33:BP33"/>
    <mergeCell ref="AO36:AV36"/>
    <mergeCell ref="AE23:AL23"/>
    <mergeCell ref="AO38:AV38"/>
    <mergeCell ref="AO39:AV39"/>
    <mergeCell ref="AV138:AY138"/>
    <mergeCell ref="K66:R66"/>
    <mergeCell ref="BI57:BP57"/>
    <mergeCell ref="BI40:BP40"/>
    <mergeCell ref="AY40:BF40"/>
    <mergeCell ref="AO40:AV40"/>
    <mergeCell ref="K54:R54"/>
    <mergeCell ref="K59:R59"/>
    <mergeCell ref="BI41:BP41"/>
    <mergeCell ref="K49:R49"/>
    <mergeCell ref="U49:AB49"/>
    <mergeCell ref="AE49:AL49"/>
    <mergeCell ref="AO49:AV49"/>
    <mergeCell ref="AY49:BF49"/>
    <mergeCell ref="K51:R51"/>
    <mergeCell ref="AY50:BF50"/>
    <mergeCell ref="BI42:BP42"/>
    <mergeCell ref="BI43:BP43"/>
    <mergeCell ref="BI49:BP49"/>
    <mergeCell ref="AY54:BF54"/>
    <mergeCell ref="AO58:AV58"/>
    <mergeCell ref="BI51:BP51"/>
    <mergeCell ref="AY51:BF51"/>
    <mergeCell ref="AO51:AV51"/>
    <mergeCell ref="AE51:AL51"/>
    <mergeCell ref="U51:AB51"/>
    <mergeCell ref="AO44:AV44"/>
    <mergeCell ref="AY44:BF44"/>
    <mergeCell ref="BI44:BP44"/>
    <mergeCell ref="U54:AB54"/>
    <mergeCell ref="AE54:AL54"/>
    <mergeCell ref="AO52:AV52"/>
    <mergeCell ref="AE58:AL58"/>
    <mergeCell ref="U57:AB57"/>
    <mergeCell ref="AE57:AL57"/>
    <mergeCell ref="K43:R43"/>
    <mergeCell ref="K41:R41"/>
    <mergeCell ref="K65:R65"/>
    <mergeCell ref="K42:R42"/>
    <mergeCell ref="U50:AB50"/>
    <mergeCell ref="K58:R58"/>
    <mergeCell ref="AE55:AL55"/>
    <mergeCell ref="K56:R56"/>
    <mergeCell ref="U56:AB56"/>
    <mergeCell ref="AE50:AL50"/>
    <mergeCell ref="AO37:AV37"/>
    <mergeCell ref="U36:AB36"/>
    <mergeCell ref="AE22:AL22"/>
    <mergeCell ref="AE39:AL39"/>
    <mergeCell ref="K32:R32"/>
    <mergeCell ref="U48:AB48"/>
    <mergeCell ref="AE48:AL48"/>
    <mergeCell ref="AO48:AV48"/>
    <mergeCell ref="K24:R24"/>
    <mergeCell ref="AE24:AL24"/>
    <mergeCell ref="K48:R48"/>
    <mergeCell ref="C123:I123"/>
    <mergeCell ref="C124:I124"/>
    <mergeCell ref="U144:Y144"/>
    <mergeCell ref="U145:Y145"/>
    <mergeCell ref="U146:Y146"/>
    <mergeCell ref="C140:L140"/>
    <mergeCell ref="M146:Q146"/>
    <mergeCell ref="J125:P125"/>
    <mergeCell ref="J126:P126"/>
    <mergeCell ref="J127:P127"/>
    <mergeCell ref="J128:P128"/>
    <mergeCell ref="J129:P129"/>
    <mergeCell ref="C103:I103"/>
    <mergeCell ref="C112:I112"/>
    <mergeCell ref="AE94:AL94"/>
    <mergeCell ref="Z148:AC148"/>
    <mergeCell ref="U162:Y162"/>
    <mergeCell ref="Z162:AC162"/>
    <mergeCell ref="AD162:AG162"/>
    <mergeCell ref="Q121:V121"/>
    <mergeCell ref="AH152:AJ152"/>
    <mergeCell ref="AK152:AM152"/>
    <mergeCell ref="M152:Q152"/>
    <mergeCell ref="AI128:AN128"/>
    <mergeCell ref="AD138:AG138"/>
    <mergeCell ref="AN138:AQ138"/>
    <mergeCell ref="AN140:AQ140"/>
    <mergeCell ref="J107:T107"/>
    <mergeCell ref="C111:I111"/>
    <mergeCell ref="U105:AA105"/>
    <mergeCell ref="U151:Y151"/>
    <mergeCell ref="U152:Y152"/>
    <mergeCell ref="AZ140:BC140"/>
    <mergeCell ref="U159:Y159"/>
    <mergeCell ref="U160:Y160"/>
    <mergeCell ref="U161:Y161"/>
    <mergeCell ref="Z160:AC160"/>
    <mergeCell ref="AD160:AG160"/>
    <mergeCell ref="Z161:AC161"/>
    <mergeCell ref="AD161:AG161"/>
    <mergeCell ref="AV111:BF111"/>
    <mergeCell ref="AY86:BF86"/>
    <mergeCell ref="K93:R93"/>
    <mergeCell ref="J121:P121"/>
    <mergeCell ref="AI121:AN121"/>
    <mergeCell ref="AI123:AN123"/>
    <mergeCell ref="AI124:AN124"/>
    <mergeCell ref="AD147:AG147"/>
    <mergeCell ref="K71:R71"/>
    <mergeCell ref="AV104:BF104"/>
    <mergeCell ref="Z141:AC141"/>
    <mergeCell ref="C136:AG137"/>
    <mergeCell ref="S114:V114"/>
    <mergeCell ref="AV140:AY140"/>
    <mergeCell ref="J103:T103"/>
    <mergeCell ref="AI106:AO106"/>
    <mergeCell ref="J104:T104"/>
    <mergeCell ref="C104:I104"/>
    <mergeCell ref="J101:T101"/>
    <mergeCell ref="AB105:AH105"/>
    <mergeCell ref="AB106:AH106"/>
    <mergeCell ref="AI105:AO105"/>
    <mergeCell ref="J106:T106"/>
    <mergeCell ref="U94:AB94"/>
    <mergeCell ref="BK8:BU8"/>
    <mergeCell ref="B9:K9"/>
    <mergeCell ref="C129:I129"/>
    <mergeCell ref="C130:I130"/>
    <mergeCell ref="C131:I131"/>
    <mergeCell ref="R138:T138"/>
    <mergeCell ref="U66:AB66"/>
    <mergeCell ref="C101:I101"/>
    <mergeCell ref="AE35:AL35"/>
    <mergeCell ref="K38:R38"/>
    <mergeCell ref="K39:R39"/>
    <mergeCell ref="U38:AB38"/>
    <mergeCell ref="AB103:AH103"/>
    <mergeCell ref="AI101:AO101"/>
    <mergeCell ref="Q123:V123"/>
    <mergeCell ref="U104:AA104"/>
    <mergeCell ref="AI104:AO104"/>
    <mergeCell ref="AE70:AL70"/>
    <mergeCell ref="K44:R44"/>
    <mergeCell ref="U44:AB44"/>
    <mergeCell ref="AE44:AL44"/>
    <mergeCell ref="K40:R40"/>
    <mergeCell ref="K35:R35"/>
    <mergeCell ref="K57:R57"/>
    <mergeCell ref="U37:AB37"/>
    <mergeCell ref="AB107:AH107"/>
    <mergeCell ref="K67:R67"/>
    <mergeCell ref="AO66:AV66"/>
    <mergeCell ref="AE78:AL78"/>
    <mergeCell ref="AO78:AV78"/>
    <mergeCell ref="AY78:BF78"/>
    <mergeCell ref="L9:U9"/>
    <mergeCell ref="B4:AJ4"/>
    <mergeCell ref="B8:K8"/>
    <mergeCell ref="L8:U8"/>
    <mergeCell ref="V8:AF8"/>
    <mergeCell ref="AG8:AP8"/>
    <mergeCell ref="AQ8:AZ8"/>
    <mergeCell ref="BA8:BJ8"/>
    <mergeCell ref="K15:R15"/>
    <mergeCell ref="K14:R14"/>
    <mergeCell ref="AM13:AT13"/>
    <mergeCell ref="AM14:AT14"/>
    <mergeCell ref="AO24:AV24"/>
    <mergeCell ref="AY24:BF24"/>
    <mergeCell ref="U24:AB24"/>
    <mergeCell ref="U35:AB35"/>
    <mergeCell ref="AO65:AV65"/>
    <mergeCell ref="K52:R52"/>
    <mergeCell ref="U52:AB52"/>
    <mergeCell ref="AE52:AL52"/>
    <mergeCell ref="K53:R53"/>
    <mergeCell ref="U53:AB53"/>
    <mergeCell ref="AE53:AL53"/>
    <mergeCell ref="U58:AB58"/>
    <mergeCell ref="U41:AB41"/>
    <mergeCell ref="U42:AB42"/>
    <mergeCell ref="U43:AB43"/>
    <mergeCell ref="K55:R55"/>
    <mergeCell ref="AY48:BF48"/>
    <mergeCell ref="B21:J21"/>
    <mergeCell ref="B20:J20"/>
    <mergeCell ref="AE20:AL20"/>
    <mergeCell ref="V9:AF9"/>
    <mergeCell ref="BL101:BR101"/>
    <mergeCell ref="BL103:BR103"/>
    <mergeCell ref="BL104:BR104"/>
    <mergeCell ref="BL105:BR105"/>
    <mergeCell ref="BL106:BR106"/>
    <mergeCell ref="BL107:BR107"/>
    <mergeCell ref="BL108:BR108"/>
    <mergeCell ref="BL109:BR109"/>
    <mergeCell ref="BL110:BR110"/>
    <mergeCell ref="BL111:BR111"/>
    <mergeCell ref="AI107:AO107"/>
    <mergeCell ref="AV106:BF106"/>
    <mergeCell ref="AB104:AH104"/>
    <mergeCell ref="AS108:AU108"/>
    <mergeCell ref="B23:J23"/>
    <mergeCell ref="AY56:BF56"/>
    <mergeCell ref="AO69:AV69"/>
    <mergeCell ref="AY69:BF69"/>
    <mergeCell ref="AO71:AV71"/>
    <mergeCell ref="AO35:AV35"/>
    <mergeCell ref="AY59:BF59"/>
    <mergeCell ref="AE56:AL56"/>
    <mergeCell ref="AO55:AV55"/>
    <mergeCell ref="AY68:BF68"/>
    <mergeCell ref="AY57:BF57"/>
    <mergeCell ref="AE59:AL59"/>
    <mergeCell ref="K70:R70"/>
    <mergeCell ref="AY70:BF70"/>
    <mergeCell ref="K94:R94"/>
    <mergeCell ref="AS106:AU106"/>
    <mergeCell ref="U55:AB55"/>
    <mergeCell ref="AE71:AL71"/>
    <mergeCell ref="AY88:BF88"/>
    <mergeCell ref="AE87:AL87"/>
    <mergeCell ref="K82:R82"/>
    <mergeCell ref="U59:AB59"/>
    <mergeCell ref="K60:R60"/>
    <mergeCell ref="U60:AB60"/>
    <mergeCell ref="AE60:AL60"/>
    <mergeCell ref="AY89:BF89"/>
    <mergeCell ref="AO87:AV87"/>
    <mergeCell ref="AY87:BF87"/>
    <mergeCell ref="AG9:AP9"/>
    <mergeCell ref="AQ9:AZ9"/>
    <mergeCell ref="BA9:BJ9"/>
    <mergeCell ref="BK9:BU9"/>
    <mergeCell ref="K13:R13"/>
    <mergeCell ref="K19:R19"/>
    <mergeCell ref="AO41:AV41"/>
    <mergeCell ref="AO42:AV42"/>
    <mergeCell ref="AO43:AV43"/>
    <mergeCell ref="AY41:BF41"/>
    <mergeCell ref="AY42:BF42"/>
    <mergeCell ref="AY43:BF43"/>
    <mergeCell ref="AY22:BF22"/>
    <mergeCell ref="AY20:BF20"/>
    <mergeCell ref="AO68:AV68"/>
    <mergeCell ref="AY66:BF66"/>
    <mergeCell ref="K29:R29"/>
    <mergeCell ref="K31:R31"/>
    <mergeCell ref="U31:AB31"/>
    <mergeCell ref="AY61:BF61"/>
    <mergeCell ref="AY65:BF65"/>
    <mergeCell ref="K50:R50"/>
    <mergeCell ref="C108:I108"/>
    <mergeCell ref="J110:T110"/>
    <mergeCell ref="J109:T109"/>
    <mergeCell ref="U107:AA107"/>
    <mergeCell ref="K86:R86"/>
    <mergeCell ref="U86:AB86"/>
    <mergeCell ref="AE86:AL86"/>
    <mergeCell ref="AO86:AV86"/>
    <mergeCell ref="AI109:AO109"/>
    <mergeCell ref="AE93:AL93"/>
    <mergeCell ref="J108:T108"/>
    <mergeCell ref="U108:AA108"/>
    <mergeCell ref="J105:T105"/>
    <mergeCell ref="K88:R88"/>
    <mergeCell ref="U88:AB88"/>
    <mergeCell ref="AE88:AL88"/>
    <mergeCell ref="AO88:AV88"/>
    <mergeCell ref="U109:AA109"/>
    <mergeCell ref="U106:AA106"/>
    <mergeCell ref="U90:AB90"/>
    <mergeCell ref="K90:R90"/>
    <mergeCell ref="K91:R91"/>
    <mergeCell ref="K92:R92"/>
    <mergeCell ref="AS105:AU105"/>
    <mergeCell ref="AS109:AU109"/>
    <mergeCell ref="U87:AB87"/>
    <mergeCell ref="C109:I109"/>
    <mergeCell ref="C110:I110"/>
    <mergeCell ref="AB101:AH101"/>
    <mergeCell ref="AO90:AV90"/>
    <mergeCell ref="AO91:AV91"/>
    <mergeCell ref="C121:I121"/>
    <mergeCell ref="U140:Y140"/>
    <mergeCell ref="M140:Q140"/>
    <mergeCell ref="Z140:AC140"/>
    <mergeCell ref="AD140:AG140"/>
    <mergeCell ref="AJ99:AN99"/>
    <mergeCell ref="U89:AB89"/>
    <mergeCell ref="AE89:AL89"/>
    <mergeCell ref="AO89:AV89"/>
    <mergeCell ref="U101:AA101"/>
    <mergeCell ref="AV103:BF103"/>
    <mergeCell ref="AV101:BF101"/>
    <mergeCell ref="AS103:AU103"/>
    <mergeCell ref="AO93:AV93"/>
    <mergeCell ref="AE90:AL90"/>
    <mergeCell ref="C132:I132"/>
    <mergeCell ref="J123:P123"/>
    <mergeCell ref="AP111:AR111"/>
    <mergeCell ref="AP110:AR110"/>
    <mergeCell ref="AP109:AR109"/>
    <mergeCell ref="AB109:AH109"/>
    <mergeCell ref="AB110:AH110"/>
    <mergeCell ref="U110:AA110"/>
    <mergeCell ref="AI110:AO110"/>
    <mergeCell ref="AY91:BF91"/>
    <mergeCell ref="C106:I106"/>
    <mergeCell ref="J111:T111"/>
    <mergeCell ref="U111:AA111"/>
    <mergeCell ref="AI111:AO111"/>
    <mergeCell ref="AI129:AN129"/>
    <mergeCell ref="AI130:AN130"/>
    <mergeCell ref="C107:I107"/>
    <mergeCell ref="U78:AB78"/>
    <mergeCell ref="U93:AB93"/>
    <mergeCell ref="U91:AB91"/>
    <mergeCell ref="AO57:AV57"/>
    <mergeCell ref="U68:AB68"/>
    <mergeCell ref="AE68:AL68"/>
    <mergeCell ref="U67:AB67"/>
    <mergeCell ref="AE65:AL65"/>
    <mergeCell ref="K61:R61"/>
    <mergeCell ref="U61:AB61"/>
    <mergeCell ref="AE61:AL61"/>
    <mergeCell ref="AO61:AV61"/>
    <mergeCell ref="AI125:AN125"/>
    <mergeCell ref="U141:Y141"/>
    <mergeCell ref="J132:P132"/>
    <mergeCell ref="AO131:AT131"/>
    <mergeCell ref="AO132:AT132"/>
    <mergeCell ref="R140:T140"/>
    <mergeCell ref="AH140:AJ140"/>
    <mergeCell ref="AK140:AM140"/>
    <mergeCell ref="Q125:V125"/>
    <mergeCell ref="AE69:AL69"/>
    <mergeCell ref="U103:AA103"/>
    <mergeCell ref="Q126:V126"/>
    <mergeCell ref="Q127:V127"/>
    <mergeCell ref="Q128:V128"/>
    <mergeCell ref="Q129:V129"/>
    <mergeCell ref="Q130:V130"/>
    <mergeCell ref="Q131:V131"/>
    <mergeCell ref="Q132:V132"/>
    <mergeCell ref="U138:Y138"/>
    <mergeCell ref="AI131:AN131"/>
    <mergeCell ref="M176:Q176"/>
    <mergeCell ref="U176:Y176"/>
    <mergeCell ref="Z170:AC170"/>
    <mergeCell ref="AD170:AG170"/>
    <mergeCell ref="Z174:AC174"/>
    <mergeCell ref="AD174:AG174"/>
    <mergeCell ref="U164:Y164"/>
    <mergeCell ref="U147:Y147"/>
    <mergeCell ref="Z151:AC151"/>
    <mergeCell ref="R152:T152"/>
    <mergeCell ref="AD157:AG157"/>
    <mergeCell ref="AR152:AU152"/>
    <mergeCell ref="AD151:AG151"/>
    <mergeCell ref="AD150:AG150"/>
    <mergeCell ref="U155:Y155"/>
    <mergeCell ref="U158:Y158"/>
    <mergeCell ref="Z158:AC158"/>
    <mergeCell ref="Z159:AC159"/>
    <mergeCell ref="AD159:AG159"/>
    <mergeCell ref="AK176:AM176"/>
    <mergeCell ref="AN176:AQ176"/>
    <mergeCell ref="AR176:AU176"/>
    <mergeCell ref="AH176:AJ176"/>
    <mergeCell ref="U154:Y154"/>
    <mergeCell ref="AD176:AG176"/>
    <mergeCell ref="U171:Y171"/>
    <mergeCell ref="U172:Y172"/>
    <mergeCell ref="U173:Y173"/>
    <mergeCell ref="U174:Y174"/>
    <mergeCell ref="U175:Y175"/>
    <mergeCell ref="Z171:AC171"/>
    <mergeCell ref="Z173:AC173"/>
    <mergeCell ref="BY158:CB158"/>
    <mergeCell ref="BU158:BX158"/>
    <mergeCell ref="BU164:BX164"/>
    <mergeCell ref="Z155:AC155"/>
    <mergeCell ref="AV158:AY158"/>
    <mergeCell ref="AD158:AG158"/>
    <mergeCell ref="AH158:AJ158"/>
    <mergeCell ref="AK158:AM158"/>
    <mergeCell ref="BD153:BF153"/>
    <mergeCell ref="BG152:BH152"/>
    <mergeCell ref="BD147:BF147"/>
    <mergeCell ref="BQ146:BT146"/>
    <mergeCell ref="BU152:BX152"/>
    <mergeCell ref="BM158:BP158"/>
    <mergeCell ref="BQ164:BT164"/>
    <mergeCell ref="BG164:BH164"/>
    <mergeCell ref="BD159:BF159"/>
    <mergeCell ref="AZ159:BC159"/>
    <mergeCell ref="BY146:CB146"/>
    <mergeCell ref="BQ152:BT152"/>
    <mergeCell ref="BQ158:BT158"/>
    <mergeCell ref="BI146:BL146"/>
    <mergeCell ref="Z153:AC153"/>
    <mergeCell ref="AD153:AG153"/>
    <mergeCell ref="Z154:AC154"/>
    <mergeCell ref="Z152:AC152"/>
    <mergeCell ref="AD152:AG152"/>
    <mergeCell ref="AN164:AQ164"/>
    <mergeCell ref="Z163:AC163"/>
    <mergeCell ref="BU146:BX146"/>
    <mergeCell ref="BY164:CB164"/>
    <mergeCell ref="AV152:AY152"/>
    <mergeCell ref="BM152:BP152"/>
    <mergeCell ref="AZ147:BC147"/>
    <mergeCell ref="BG146:BH146"/>
    <mergeCell ref="AD181:AG181"/>
    <mergeCell ref="AZ165:BC165"/>
    <mergeCell ref="Z180:AC180"/>
    <mergeCell ref="AD180:AG180"/>
    <mergeCell ref="AZ166:BC166"/>
    <mergeCell ref="U156:Y156"/>
    <mergeCell ref="BQ182:BT182"/>
    <mergeCell ref="Z150:AC150"/>
    <mergeCell ref="AK138:AM138"/>
    <mergeCell ref="AH138:AJ138"/>
    <mergeCell ref="AO125:AT125"/>
    <mergeCell ref="AO126:AT126"/>
    <mergeCell ref="AO127:AT127"/>
    <mergeCell ref="AO128:AT128"/>
    <mergeCell ref="Z138:AC138"/>
    <mergeCell ref="AH146:AJ146"/>
    <mergeCell ref="Z144:AC144"/>
    <mergeCell ref="AD144:AG144"/>
    <mergeCell ref="Z145:AC145"/>
    <mergeCell ref="AD145:AG145"/>
    <mergeCell ref="Z146:AC146"/>
    <mergeCell ref="AD146:AG146"/>
    <mergeCell ref="BI152:BL152"/>
    <mergeCell ref="AD155:AG155"/>
    <mergeCell ref="AN146:AQ146"/>
    <mergeCell ref="AK146:AM146"/>
    <mergeCell ref="BI158:BL158"/>
    <mergeCell ref="BI164:BL164"/>
    <mergeCell ref="AZ160:BC160"/>
    <mergeCell ref="C182:L182"/>
    <mergeCell ref="M182:Q182"/>
    <mergeCell ref="Z182:AC182"/>
    <mergeCell ref="AD182:AG182"/>
    <mergeCell ref="C170:L170"/>
    <mergeCell ref="M170:Q170"/>
    <mergeCell ref="Z156:AC156"/>
    <mergeCell ref="AD156:AG156"/>
    <mergeCell ref="Z157:AC157"/>
    <mergeCell ref="Z167:AC167"/>
    <mergeCell ref="AD167:AG167"/>
    <mergeCell ref="Z168:AC168"/>
    <mergeCell ref="AD168:AG168"/>
    <mergeCell ref="Z169:AC169"/>
    <mergeCell ref="AD169:AG169"/>
    <mergeCell ref="U170:Y170"/>
    <mergeCell ref="U168:Y168"/>
    <mergeCell ref="C176:L176"/>
    <mergeCell ref="C164:L164"/>
    <mergeCell ref="M164:Q164"/>
    <mergeCell ref="C158:L158"/>
    <mergeCell ref="M158:Q158"/>
    <mergeCell ref="R158:T158"/>
    <mergeCell ref="R182:T182"/>
    <mergeCell ref="AD164:AG164"/>
    <mergeCell ref="U166:Y166"/>
    <mergeCell ref="U167:Y167"/>
    <mergeCell ref="Z175:AC175"/>
    <mergeCell ref="U163:Y163"/>
    <mergeCell ref="U169:Y169"/>
    <mergeCell ref="R176:T176"/>
    <mergeCell ref="Z176:AC176"/>
    <mergeCell ref="AD186:AG186"/>
    <mergeCell ref="U179:Y179"/>
    <mergeCell ref="U180:Y180"/>
    <mergeCell ref="U181:Y181"/>
    <mergeCell ref="U184:Y184"/>
    <mergeCell ref="U185:Y185"/>
    <mergeCell ref="U178:Y178"/>
    <mergeCell ref="Z177:AC177"/>
    <mergeCell ref="AD177:AG177"/>
    <mergeCell ref="Z181:AC181"/>
    <mergeCell ref="U182:Y182"/>
    <mergeCell ref="U177:Y177"/>
    <mergeCell ref="U186:Y186"/>
    <mergeCell ref="R164:T164"/>
    <mergeCell ref="Z147:AC147"/>
    <mergeCell ref="AD154:AG154"/>
    <mergeCell ref="AD163:AG163"/>
    <mergeCell ref="Z164:AC164"/>
    <mergeCell ref="Z186:AC186"/>
    <mergeCell ref="AI132:AN132"/>
    <mergeCell ref="J124:P124"/>
    <mergeCell ref="U157:Y157"/>
    <mergeCell ref="C152:L152"/>
    <mergeCell ref="U143:Y143"/>
    <mergeCell ref="C146:L146"/>
    <mergeCell ref="M138:Q138"/>
    <mergeCell ref="Z143:AC143"/>
    <mergeCell ref="AD143:AG143"/>
    <mergeCell ref="C125:I125"/>
    <mergeCell ref="C126:I126"/>
    <mergeCell ref="C127:I127"/>
    <mergeCell ref="C128:I128"/>
    <mergeCell ref="Q124:V124"/>
    <mergeCell ref="U148:Y148"/>
    <mergeCell ref="U150:Y150"/>
    <mergeCell ref="J130:P130"/>
    <mergeCell ref="J131:P131"/>
    <mergeCell ref="AD142:AG142"/>
    <mergeCell ref="U142:Y142"/>
    <mergeCell ref="Z194:AC194"/>
    <mergeCell ref="AD194:AG194"/>
    <mergeCell ref="U190:Y190"/>
    <mergeCell ref="U191:Y191"/>
    <mergeCell ref="U192:Y192"/>
    <mergeCell ref="U193:Y193"/>
    <mergeCell ref="C188:L188"/>
    <mergeCell ref="M188:Q188"/>
    <mergeCell ref="Z188:AC188"/>
    <mergeCell ref="AD188:AG188"/>
    <mergeCell ref="R188:T188"/>
    <mergeCell ref="R194:T194"/>
    <mergeCell ref="Z190:AC190"/>
    <mergeCell ref="AD190:AG190"/>
    <mergeCell ref="Z191:AC191"/>
    <mergeCell ref="Z192:AC192"/>
    <mergeCell ref="AD192:AG192"/>
    <mergeCell ref="AD189:AG189"/>
    <mergeCell ref="U189:Y189"/>
    <mergeCell ref="U188:Y188"/>
    <mergeCell ref="C200:L200"/>
    <mergeCell ref="M200:Q200"/>
    <mergeCell ref="AD197:AG197"/>
    <mergeCell ref="Z189:AC189"/>
    <mergeCell ref="AD193:AG193"/>
    <mergeCell ref="Z187:AC187"/>
    <mergeCell ref="AD187:AG187"/>
    <mergeCell ref="M218:Q218"/>
    <mergeCell ref="C218:L218"/>
    <mergeCell ref="C206:L206"/>
    <mergeCell ref="M206:Q206"/>
    <mergeCell ref="Z206:AC206"/>
    <mergeCell ref="AD206:AG206"/>
    <mergeCell ref="AH206:AJ206"/>
    <mergeCell ref="C212:L212"/>
    <mergeCell ref="M212:Q212"/>
    <mergeCell ref="U214:Y214"/>
    <mergeCell ref="U215:Y215"/>
    <mergeCell ref="U216:Y216"/>
    <mergeCell ref="U217:Y217"/>
    <mergeCell ref="U212:Y212"/>
    <mergeCell ref="R212:T212"/>
    <mergeCell ref="R218:T218"/>
    <mergeCell ref="Z208:AC208"/>
    <mergeCell ref="AD208:AG208"/>
    <mergeCell ref="U209:Y209"/>
    <mergeCell ref="Z207:AC207"/>
    <mergeCell ref="AD207:AG207"/>
    <mergeCell ref="U206:Y206"/>
    <mergeCell ref="U208:Y208"/>
    <mergeCell ref="C194:L194"/>
    <mergeCell ref="M194:Q194"/>
    <mergeCell ref="BD213:BF213"/>
    <mergeCell ref="BD207:BF207"/>
    <mergeCell ref="AK212:AM212"/>
    <mergeCell ref="Z213:AC213"/>
    <mergeCell ref="AR206:AU206"/>
    <mergeCell ref="U228:Y228"/>
    <mergeCell ref="U224:Y224"/>
    <mergeCell ref="AD228:AG228"/>
    <mergeCell ref="Z228:AC228"/>
    <mergeCell ref="AH224:AJ224"/>
    <mergeCell ref="AD213:AG213"/>
    <mergeCell ref="Z214:AC214"/>
    <mergeCell ref="Z211:AC211"/>
    <mergeCell ref="Z210:AC210"/>
    <mergeCell ref="AZ208:BC208"/>
    <mergeCell ref="AZ214:BC214"/>
    <mergeCell ref="AZ220:BC220"/>
    <mergeCell ref="AH212:AJ212"/>
    <mergeCell ref="AD211:AG211"/>
    <mergeCell ref="Z216:AC216"/>
    <mergeCell ref="Z209:AC209"/>
    <mergeCell ref="AN206:AQ206"/>
    <mergeCell ref="AK224:AM224"/>
    <mergeCell ref="AN224:AQ224"/>
    <mergeCell ref="AZ224:BC224"/>
    <mergeCell ref="U220:Y220"/>
    <mergeCell ref="U221:Y221"/>
    <mergeCell ref="U223:Y223"/>
    <mergeCell ref="U222:Y222"/>
    <mergeCell ref="U213:Y213"/>
    <mergeCell ref="AR218:AU218"/>
    <mergeCell ref="AR224:AU224"/>
    <mergeCell ref="U254:Y254"/>
    <mergeCell ref="Z247:AC247"/>
    <mergeCell ref="AD247:AG247"/>
    <mergeCell ref="AV242:AY242"/>
    <mergeCell ref="AR242:AU242"/>
    <mergeCell ref="AZ242:BC242"/>
    <mergeCell ref="AK248:AM248"/>
    <mergeCell ref="AN248:AQ248"/>
    <mergeCell ref="Z242:AC242"/>
    <mergeCell ref="AD242:AG242"/>
    <mergeCell ref="AZ244:BC244"/>
    <mergeCell ref="AD214:AG214"/>
    <mergeCell ref="Z215:AC215"/>
    <mergeCell ref="U235:Y235"/>
    <mergeCell ref="U244:Y244"/>
    <mergeCell ref="U245:Y245"/>
    <mergeCell ref="U219:Y219"/>
    <mergeCell ref="AD218:AG218"/>
    <mergeCell ref="AH218:AJ218"/>
    <mergeCell ref="AD220:AG220"/>
    <mergeCell ref="Z221:AC221"/>
    <mergeCell ref="AD221:AG221"/>
    <mergeCell ref="Z222:AC222"/>
    <mergeCell ref="AD222:AG222"/>
    <mergeCell ref="AH230:AJ230"/>
    <mergeCell ref="Z219:AC219"/>
    <mergeCell ref="AD219:AG219"/>
    <mergeCell ref="Z220:AC220"/>
    <mergeCell ref="U218:Y218"/>
    <mergeCell ref="U229:Y229"/>
    <mergeCell ref="AD215:AG215"/>
    <mergeCell ref="U252:Y252"/>
    <mergeCell ref="C224:L224"/>
    <mergeCell ref="M224:Q224"/>
    <mergeCell ref="U232:Y232"/>
    <mergeCell ref="U233:Y233"/>
    <mergeCell ref="Z230:AC230"/>
    <mergeCell ref="AD230:AG230"/>
    <mergeCell ref="Z239:AC239"/>
    <mergeCell ref="AD239:AG239"/>
    <mergeCell ref="Z240:AC240"/>
    <mergeCell ref="Z224:AC224"/>
    <mergeCell ref="U240:Y240"/>
    <mergeCell ref="U241:Y241"/>
    <mergeCell ref="AH236:AJ236"/>
    <mergeCell ref="AK236:AM236"/>
    <mergeCell ref="Z227:AC227"/>
    <mergeCell ref="AD232:AG232"/>
    <mergeCell ref="R224:T224"/>
    <mergeCell ref="R230:T230"/>
    <mergeCell ref="U225:Y225"/>
    <mergeCell ref="U226:Y226"/>
    <mergeCell ref="U227:Y227"/>
    <mergeCell ref="U230:Y230"/>
    <mergeCell ref="U231:Y231"/>
    <mergeCell ref="Z225:AC225"/>
    <mergeCell ref="AD225:AG225"/>
    <mergeCell ref="Z226:AC226"/>
    <mergeCell ref="AD226:AG226"/>
    <mergeCell ref="C236:L236"/>
    <mergeCell ref="M236:Q236"/>
    <mergeCell ref="U238:Y238"/>
    <mergeCell ref="AD229:AG229"/>
    <mergeCell ref="Z237:AC237"/>
    <mergeCell ref="C230:L230"/>
    <mergeCell ref="M230:Q230"/>
    <mergeCell ref="AD246:AG246"/>
    <mergeCell ref="U243:Y243"/>
    <mergeCell ref="AD234:AG234"/>
    <mergeCell ref="Z235:AC235"/>
    <mergeCell ref="AD235:AG235"/>
    <mergeCell ref="M242:Q242"/>
    <mergeCell ref="U242:Y242"/>
    <mergeCell ref="U248:Y248"/>
    <mergeCell ref="U237:Y237"/>
    <mergeCell ref="U249:Y249"/>
    <mergeCell ref="U250:Y250"/>
    <mergeCell ref="Z236:AC236"/>
    <mergeCell ref="C248:L248"/>
    <mergeCell ref="M248:Q248"/>
    <mergeCell ref="Z248:AC248"/>
    <mergeCell ref="AD248:AG248"/>
    <mergeCell ref="Z244:AC244"/>
    <mergeCell ref="U236:Y236"/>
    <mergeCell ref="U247:Y247"/>
    <mergeCell ref="U246:Y246"/>
    <mergeCell ref="AD237:AG237"/>
    <mergeCell ref="Z238:AC238"/>
    <mergeCell ref="AD238:AG238"/>
    <mergeCell ref="U234:Y234"/>
    <mergeCell ref="AD240:AG240"/>
    <mergeCell ref="AD250:AG250"/>
    <mergeCell ref="C242:L242"/>
    <mergeCell ref="R236:T236"/>
    <mergeCell ref="Z241:AC241"/>
    <mergeCell ref="AD241:AG241"/>
    <mergeCell ref="W265:Z265"/>
    <mergeCell ref="C254:L254"/>
    <mergeCell ref="M254:Q254"/>
    <mergeCell ref="AH248:AJ248"/>
    <mergeCell ref="N266:R266"/>
    <mergeCell ref="W266:Z266"/>
    <mergeCell ref="AA265:AD265"/>
    <mergeCell ref="AA266:AD266"/>
    <mergeCell ref="S270:V270"/>
    <mergeCell ref="W270:Z270"/>
    <mergeCell ref="C271:M271"/>
    <mergeCell ref="N271:R271"/>
    <mergeCell ref="S271:V271"/>
    <mergeCell ref="W271:Z271"/>
    <mergeCell ref="AE262:AI262"/>
    <mergeCell ref="AD255:AG255"/>
    <mergeCell ref="R254:T254"/>
    <mergeCell ref="Z256:AC256"/>
    <mergeCell ref="AE271:AI271"/>
    <mergeCell ref="AE270:AI270"/>
    <mergeCell ref="AE269:AI269"/>
    <mergeCell ref="AJ267:AM267"/>
    <mergeCell ref="AJ268:AM268"/>
    <mergeCell ref="R248:T248"/>
    <mergeCell ref="AD256:AG256"/>
    <mergeCell ref="U251:Y251"/>
    <mergeCell ref="U253:Y253"/>
    <mergeCell ref="AJ269:AM269"/>
    <mergeCell ref="AJ270:AM270"/>
    <mergeCell ref="AJ271:AM271"/>
    <mergeCell ref="AA271:AD271"/>
    <mergeCell ref="N267:R267"/>
    <mergeCell ref="AJ272:AM272"/>
    <mergeCell ref="N264:R264"/>
    <mergeCell ref="S264:V264"/>
    <mergeCell ref="W264:Z264"/>
    <mergeCell ref="AA267:AD267"/>
    <mergeCell ref="AA264:AD264"/>
    <mergeCell ref="AE267:AI267"/>
    <mergeCell ref="AE266:AI266"/>
    <mergeCell ref="AE265:AI265"/>
    <mergeCell ref="U255:Y255"/>
    <mergeCell ref="C266:M266"/>
    <mergeCell ref="S267:V267"/>
    <mergeCell ref="C264:M264"/>
    <mergeCell ref="AE264:AI264"/>
    <mergeCell ref="AA262:AD262"/>
    <mergeCell ref="W267:Z267"/>
    <mergeCell ref="Z255:AC255"/>
    <mergeCell ref="W268:Z268"/>
    <mergeCell ref="AA268:AD268"/>
    <mergeCell ref="AJ265:AM265"/>
    <mergeCell ref="AJ266:AM266"/>
    <mergeCell ref="S265:V265"/>
    <mergeCell ref="S266:V266"/>
    <mergeCell ref="U256:Y256"/>
    <mergeCell ref="U257:Y257"/>
    <mergeCell ref="U258:Y258"/>
    <mergeCell ref="U259:Y259"/>
    <mergeCell ref="AJ264:AM264"/>
    <mergeCell ref="C267:M267"/>
    <mergeCell ref="AA270:AD270"/>
    <mergeCell ref="S269:V269"/>
    <mergeCell ref="W269:Z269"/>
    <mergeCell ref="BU254:BX254"/>
    <mergeCell ref="AR248:AU248"/>
    <mergeCell ref="AV248:AY248"/>
    <mergeCell ref="BG248:BH248"/>
    <mergeCell ref="AV254:AY254"/>
    <mergeCell ref="BI218:BL218"/>
    <mergeCell ref="AZ207:BC207"/>
    <mergeCell ref="AZ213:BC213"/>
    <mergeCell ref="AZ219:BC219"/>
    <mergeCell ref="AZ225:BC225"/>
    <mergeCell ref="Z231:AC231"/>
    <mergeCell ref="Z233:AC233"/>
    <mergeCell ref="BU242:BX242"/>
    <mergeCell ref="BG242:BH242"/>
    <mergeCell ref="BQ248:BT248"/>
    <mergeCell ref="BQ254:BT254"/>
    <mergeCell ref="AD233:AG233"/>
    <mergeCell ref="Z234:AC234"/>
    <mergeCell ref="AZ249:BC249"/>
    <mergeCell ref="AD209:AG209"/>
    <mergeCell ref="BU230:BX230"/>
    <mergeCell ref="BQ242:BT242"/>
    <mergeCell ref="BQ224:BT224"/>
    <mergeCell ref="BU248:BX248"/>
    <mergeCell ref="BG224:BH224"/>
    <mergeCell ref="AD210:AG210"/>
    <mergeCell ref="AD227:AG227"/>
    <mergeCell ref="BG230:BH230"/>
    <mergeCell ref="AN242:AQ242"/>
    <mergeCell ref="AN236:AQ236"/>
    <mergeCell ref="BI236:BL236"/>
    <mergeCell ref="AN254:AQ254"/>
    <mergeCell ref="BU206:BX206"/>
    <mergeCell ref="BY254:CB254"/>
    <mergeCell ref="BY248:CB248"/>
    <mergeCell ref="Z251:AC251"/>
    <mergeCell ref="AD251:AG251"/>
    <mergeCell ref="Z252:AC252"/>
    <mergeCell ref="AD252:AG252"/>
    <mergeCell ref="Z253:AC253"/>
    <mergeCell ref="AD253:AG253"/>
    <mergeCell ref="BI254:BL254"/>
    <mergeCell ref="BD237:BF237"/>
    <mergeCell ref="BD243:BF243"/>
    <mergeCell ref="BD249:BF249"/>
    <mergeCell ref="AZ226:BC226"/>
    <mergeCell ref="AD231:AG231"/>
    <mergeCell ref="BD231:BF231"/>
    <mergeCell ref="AD249:AG249"/>
    <mergeCell ref="Z250:AC250"/>
    <mergeCell ref="BG254:BH254"/>
    <mergeCell ref="BD230:BF230"/>
    <mergeCell ref="AZ238:BC238"/>
    <mergeCell ref="AZ248:BC248"/>
    <mergeCell ref="BD248:BF248"/>
    <mergeCell ref="AZ254:BC254"/>
    <mergeCell ref="BD254:BF254"/>
    <mergeCell ref="BY236:CB236"/>
    <mergeCell ref="BI242:BL242"/>
    <mergeCell ref="BY242:CB242"/>
    <mergeCell ref="BU236:BX236"/>
    <mergeCell ref="BQ230:BT230"/>
    <mergeCell ref="AD236:AG236"/>
    <mergeCell ref="AK254:AM254"/>
    <mergeCell ref="BU200:BX200"/>
    <mergeCell ref="BY176:CB176"/>
    <mergeCell ref="BQ176:BT176"/>
    <mergeCell ref="BG212:BH212"/>
    <mergeCell ref="BI212:BL212"/>
    <mergeCell ref="BY212:CB212"/>
    <mergeCell ref="BQ200:BT200"/>
    <mergeCell ref="BQ206:BT206"/>
    <mergeCell ref="BQ212:BT212"/>
    <mergeCell ref="BQ218:BT218"/>
    <mergeCell ref="BG218:BH218"/>
    <mergeCell ref="BI224:BL224"/>
    <mergeCell ref="BY218:CB218"/>
    <mergeCell ref="BI188:BL188"/>
    <mergeCell ref="BM182:BP182"/>
    <mergeCell ref="BM188:BP188"/>
    <mergeCell ref="BM206:BP206"/>
    <mergeCell ref="BM212:BP212"/>
    <mergeCell ref="BG200:BH200"/>
    <mergeCell ref="BI200:BL200"/>
    <mergeCell ref="BU212:BX212"/>
    <mergeCell ref="BU218:BX218"/>
    <mergeCell ref="BU224:BX224"/>
    <mergeCell ref="BY194:CB194"/>
    <mergeCell ref="BY206:CB206"/>
    <mergeCell ref="BY224:CB224"/>
    <mergeCell ref="BM200:BP200"/>
    <mergeCell ref="BY188:CB188"/>
    <mergeCell ref="BU182:BX182"/>
    <mergeCell ref="BI182:BL182"/>
    <mergeCell ref="BU194:BX194"/>
    <mergeCell ref="BM176:BP176"/>
    <mergeCell ref="BG182:BH182"/>
    <mergeCell ref="AD204:AG204"/>
    <mergeCell ref="Z201:AC201"/>
    <mergeCell ref="AD201:AG201"/>
    <mergeCell ref="AH200:AJ200"/>
    <mergeCell ref="AN182:AQ182"/>
    <mergeCell ref="BG188:BH188"/>
    <mergeCell ref="BD171:BF171"/>
    <mergeCell ref="BD200:BF200"/>
    <mergeCell ref="BG176:BH176"/>
    <mergeCell ref="BD170:BF170"/>
    <mergeCell ref="BD177:BF177"/>
    <mergeCell ref="AV176:AY176"/>
    <mergeCell ref="AD178:AG178"/>
    <mergeCell ref="Z179:AC179"/>
    <mergeCell ref="AD200:AG200"/>
    <mergeCell ref="BD201:BF201"/>
    <mergeCell ref="AN188:AQ188"/>
    <mergeCell ref="AR188:AU188"/>
    <mergeCell ref="AZ195:BC195"/>
    <mergeCell ref="BD195:BF195"/>
    <mergeCell ref="Z202:AC202"/>
    <mergeCell ref="Z195:AC195"/>
    <mergeCell ref="AD195:AG195"/>
    <mergeCell ref="AD202:AG202"/>
    <mergeCell ref="AZ201:BC201"/>
    <mergeCell ref="AV200:AY200"/>
    <mergeCell ref="AZ184:BC184"/>
    <mergeCell ref="AZ190:BC190"/>
    <mergeCell ref="AH188:AJ188"/>
    <mergeCell ref="AK188:AM188"/>
    <mergeCell ref="BD188:BF188"/>
    <mergeCell ref="BY200:CB200"/>
    <mergeCell ref="Z198:AC198"/>
    <mergeCell ref="Z199:AC199"/>
    <mergeCell ref="AZ200:BC200"/>
    <mergeCell ref="AV170:AY170"/>
    <mergeCell ref="AH170:AJ170"/>
    <mergeCell ref="AD171:AG171"/>
    <mergeCell ref="Z172:AC172"/>
    <mergeCell ref="AD172:AG172"/>
    <mergeCell ref="AD191:AG191"/>
    <mergeCell ref="BI176:BL176"/>
    <mergeCell ref="BI170:BL170"/>
    <mergeCell ref="AK200:AM200"/>
    <mergeCell ref="BU188:BX188"/>
    <mergeCell ref="AZ176:BC176"/>
    <mergeCell ref="BD176:BF176"/>
    <mergeCell ref="BD194:BF194"/>
    <mergeCell ref="BG194:BH194"/>
    <mergeCell ref="AZ171:BC171"/>
    <mergeCell ref="AZ189:BC189"/>
    <mergeCell ref="Z183:AC183"/>
    <mergeCell ref="AD183:AG183"/>
    <mergeCell ref="Z184:AC184"/>
    <mergeCell ref="AD184:AG184"/>
    <mergeCell ref="Z185:AC185"/>
    <mergeCell ref="Z197:AC197"/>
    <mergeCell ref="AZ196:BC196"/>
    <mergeCell ref="AV194:AY194"/>
    <mergeCell ref="Z178:AC178"/>
    <mergeCell ref="BQ188:BT188"/>
    <mergeCell ref="AD198:AG198"/>
    <mergeCell ref="AD199:AG199"/>
    <mergeCell ref="AI112:AO112"/>
    <mergeCell ref="AP112:AR112"/>
    <mergeCell ref="BY230:CB230"/>
    <mergeCell ref="P348:W348"/>
    <mergeCell ref="P349:W349"/>
    <mergeCell ref="AN348:AU348"/>
    <mergeCell ref="AN349:AU349"/>
    <mergeCell ref="P300:W300"/>
    <mergeCell ref="AN299:AU299"/>
    <mergeCell ref="AN300:AU300"/>
    <mergeCell ref="P295:W295"/>
    <mergeCell ref="AN295:AU295"/>
    <mergeCell ref="P299:W299"/>
    <mergeCell ref="P292:W292"/>
    <mergeCell ref="P293:W293"/>
    <mergeCell ref="P294:W294"/>
    <mergeCell ref="AN290:AU290"/>
    <mergeCell ref="AN291:AU291"/>
    <mergeCell ref="P289:W289"/>
    <mergeCell ref="P291:W291"/>
    <mergeCell ref="AN293:AU293"/>
    <mergeCell ref="AN294:AU294"/>
    <mergeCell ref="AN289:AU289"/>
    <mergeCell ref="BD219:BF219"/>
    <mergeCell ref="BI248:BL248"/>
    <mergeCell ref="BD255:BF255"/>
    <mergeCell ref="BU170:BX170"/>
    <mergeCell ref="AE268:AI268"/>
    <mergeCell ref="AZ250:BC250"/>
    <mergeCell ref="BY170:CB170"/>
    <mergeCell ref="BU176:BX176"/>
    <mergeCell ref="BY182:CB182"/>
    <mergeCell ref="C274:M274"/>
    <mergeCell ref="N274:R274"/>
    <mergeCell ref="S274:V274"/>
    <mergeCell ref="W274:Z274"/>
    <mergeCell ref="C268:M268"/>
    <mergeCell ref="N268:R268"/>
    <mergeCell ref="C269:M269"/>
    <mergeCell ref="AA274:AD274"/>
    <mergeCell ref="N269:R269"/>
    <mergeCell ref="AA269:AD269"/>
    <mergeCell ref="AA275:AD275"/>
    <mergeCell ref="C273:M273"/>
    <mergeCell ref="N273:R273"/>
    <mergeCell ref="C270:M270"/>
    <mergeCell ref="N270:R270"/>
    <mergeCell ref="S268:V268"/>
    <mergeCell ref="W275:Z275"/>
    <mergeCell ref="C272:M272"/>
    <mergeCell ref="AA272:AD272"/>
    <mergeCell ref="AA273:AD273"/>
    <mergeCell ref="N272:R272"/>
    <mergeCell ref="S272:V272"/>
    <mergeCell ref="N262:R262"/>
    <mergeCell ref="AD254:AG254"/>
    <mergeCell ref="AO264:AZ264"/>
    <mergeCell ref="R206:T206"/>
    <mergeCell ref="U203:Y203"/>
    <mergeCell ref="U204:Y204"/>
    <mergeCell ref="BG170:BH170"/>
    <mergeCell ref="BD224:BF224"/>
    <mergeCell ref="BG206:BH206"/>
    <mergeCell ref="Z259:AC259"/>
    <mergeCell ref="AD259:AG259"/>
    <mergeCell ref="W262:Z262"/>
    <mergeCell ref="S262:V262"/>
    <mergeCell ref="AZ255:BC255"/>
    <mergeCell ref="AZ232:BC232"/>
    <mergeCell ref="AV218:AY218"/>
    <mergeCell ref="AZ218:BC218"/>
    <mergeCell ref="AV224:AY224"/>
    <mergeCell ref="AZ243:BC243"/>
    <mergeCell ref="Z249:AC249"/>
    <mergeCell ref="R242:T242"/>
    <mergeCell ref="U239:Y239"/>
    <mergeCell ref="Z243:AC243"/>
    <mergeCell ref="AD243:AG243"/>
    <mergeCell ref="U210:Y210"/>
    <mergeCell ref="Z204:AC204"/>
    <mergeCell ref="BD206:BF206"/>
    <mergeCell ref="AZ206:BC206"/>
    <mergeCell ref="U205:Y205"/>
    <mergeCell ref="AK242:AM242"/>
    <mergeCell ref="AK194:AM194"/>
    <mergeCell ref="Z232:AC232"/>
    <mergeCell ref="AH242:AJ242"/>
    <mergeCell ref="Z212:AC212"/>
    <mergeCell ref="AD212:AG212"/>
    <mergeCell ref="AD217:AG217"/>
    <mergeCell ref="Z218:AC218"/>
    <mergeCell ref="AZ256:BC256"/>
    <mergeCell ref="Z254:AC254"/>
    <mergeCell ref="AR254:AU254"/>
    <mergeCell ref="AH254:AJ254"/>
    <mergeCell ref="AD244:AG244"/>
    <mergeCell ref="Z245:AC245"/>
    <mergeCell ref="AD245:AG245"/>
    <mergeCell ref="Z246:AC246"/>
    <mergeCell ref="AZ230:BC230"/>
    <mergeCell ref="Z223:AC223"/>
    <mergeCell ref="AD223:AG223"/>
    <mergeCell ref="AD224:AG224"/>
    <mergeCell ref="AZ231:BC231"/>
    <mergeCell ref="AZ237:BC237"/>
    <mergeCell ref="AK230:AM230"/>
    <mergeCell ref="AN230:AQ230"/>
    <mergeCell ref="AR230:AU230"/>
    <mergeCell ref="AV230:AY230"/>
    <mergeCell ref="Z229:AC229"/>
    <mergeCell ref="AD216:AG216"/>
    <mergeCell ref="Z217:AC217"/>
    <mergeCell ref="AN212:AQ212"/>
    <mergeCell ref="AZ202:BC202"/>
    <mergeCell ref="AD175:AG175"/>
    <mergeCell ref="BY327:CC332"/>
    <mergeCell ref="AN328:AU328"/>
    <mergeCell ref="P329:W329"/>
    <mergeCell ref="AN329:AU329"/>
    <mergeCell ref="P330:W330"/>
    <mergeCell ref="BP330:BW330"/>
    <mergeCell ref="P331:W331"/>
    <mergeCell ref="AN331:AU331"/>
    <mergeCell ref="BP331:BW331"/>
    <mergeCell ref="P332:W332"/>
    <mergeCell ref="AN332:AU332"/>
    <mergeCell ref="BP332:BW332"/>
    <mergeCell ref="BY305:CC310"/>
    <mergeCell ref="P321:W321"/>
    <mergeCell ref="AN321:AU321"/>
    <mergeCell ref="P322:W322"/>
    <mergeCell ref="AN322:AU322"/>
    <mergeCell ref="BP305:BW305"/>
    <mergeCell ref="AN327:AU327"/>
    <mergeCell ref="P310:W310"/>
    <mergeCell ref="AN310:AU310"/>
    <mergeCell ref="P311:W311"/>
    <mergeCell ref="AN311:AU311"/>
    <mergeCell ref="BP308:BW308"/>
    <mergeCell ref="AJ280:AM280"/>
    <mergeCell ref="AE280:AI280"/>
    <mergeCell ref="S279:V279"/>
    <mergeCell ref="W279:Z279"/>
    <mergeCell ref="AJ278:AM278"/>
    <mergeCell ref="AJ279:AM279"/>
    <mergeCell ref="AE279:AI279"/>
    <mergeCell ref="AE278:AI278"/>
    <mergeCell ref="AX289:BU295"/>
    <mergeCell ref="BP311:BW311"/>
    <mergeCell ref="P316:W316"/>
    <mergeCell ref="AE281:AI281"/>
    <mergeCell ref="AB111:AH111"/>
    <mergeCell ref="AB112:AH112"/>
    <mergeCell ref="Z196:AC196"/>
    <mergeCell ref="AD196:AG196"/>
    <mergeCell ref="Z205:AC205"/>
    <mergeCell ref="AD205:AG205"/>
    <mergeCell ref="AK164:AM164"/>
    <mergeCell ref="AK170:AM170"/>
    <mergeCell ref="AD179:AG179"/>
    <mergeCell ref="AR164:AU164"/>
    <mergeCell ref="AR170:AU170"/>
    <mergeCell ref="AN152:AQ152"/>
    <mergeCell ref="AR138:AU138"/>
    <mergeCell ref="Z257:AC257"/>
    <mergeCell ref="AD257:AG257"/>
    <mergeCell ref="Z258:AC258"/>
    <mergeCell ref="AD258:AG258"/>
    <mergeCell ref="Z203:AC203"/>
    <mergeCell ref="AD203:AG203"/>
    <mergeCell ref="AO129:AT129"/>
    <mergeCell ref="AA279:AD279"/>
    <mergeCell ref="AA277:AD277"/>
    <mergeCell ref="AJ262:AM262"/>
    <mergeCell ref="AE277:AI277"/>
    <mergeCell ref="AE276:AI276"/>
    <mergeCell ref="AE275:AI275"/>
    <mergeCell ref="M358:S358"/>
    <mergeCell ref="M362:S362"/>
    <mergeCell ref="M361:S361"/>
    <mergeCell ref="Z365:AE365"/>
    <mergeCell ref="Z364:AE364"/>
    <mergeCell ref="Z363:AE363"/>
    <mergeCell ref="Z366:AE366"/>
    <mergeCell ref="AJ367:AN367"/>
    <mergeCell ref="AO367:AS367"/>
    <mergeCell ref="T365:V365"/>
    <mergeCell ref="AN343:AU343"/>
    <mergeCell ref="P344:W344"/>
    <mergeCell ref="C280:M280"/>
    <mergeCell ref="N280:R280"/>
    <mergeCell ref="S280:V280"/>
    <mergeCell ref="W280:Z280"/>
    <mergeCell ref="AA280:AD280"/>
    <mergeCell ref="AA281:AD281"/>
    <mergeCell ref="AN317:AU317"/>
    <mergeCell ref="P318:W318"/>
    <mergeCell ref="AN318:AU318"/>
    <mergeCell ref="P319:W319"/>
    <mergeCell ref="P320:W320"/>
    <mergeCell ref="AN320:AU320"/>
    <mergeCell ref="AN344:AU344"/>
    <mergeCell ref="AN350:AU350"/>
    <mergeCell ref="S281:V281"/>
    <mergeCell ref="W281:Z281"/>
    <mergeCell ref="T361:V361"/>
    <mergeCell ref="W362:Y362"/>
    <mergeCell ref="AJ362:AN362"/>
    <mergeCell ref="AO362:AS362"/>
    <mergeCell ref="C279:M279"/>
    <mergeCell ref="N279:R279"/>
    <mergeCell ref="C277:M277"/>
    <mergeCell ref="C373:I373"/>
    <mergeCell ref="C376:L376"/>
    <mergeCell ref="C380:L380"/>
    <mergeCell ref="P333:W333"/>
    <mergeCell ref="AN333:AU333"/>
    <mergeCell ref="BP333:BW333"/>
    <mergeCell ref="P305:W305"/>
    <mergeCell ref="AN305:AU305"/>
    <mergeCell ref="BP310:BW310"/>
    <mergeCell ref="AN309:AU309"/>
    <mergeCell ref="AO281:AZ281"/>
    <mergeCell ref="C360:L360"/>
    <mergeCell ref="C365:L365"/>
    <mergeCell ref="C364:L364"/>
    <mergeCell ref="C363:L363"/>
    <mergeCell ref="C362:L362"/>
    <mergeCell ref="C361:L361"/>
    <mergeCell ref="AJ281:AM281"/>
    <mergeCell ref="P327:W327"/>
    <mergeCell ref="P309:W309"/>
    <mergeCell ref="C281:M281"/>
    <mergeCell ref="BP306:BW306"/>
    <mergeCell ref="BP309:BW309"/>
    <mergeCell ref="AN316:AU316"/>
    <mergeCell ref="AN306:AU306"/>
    <mergeCell ref="P307:W307"/>
    <mergeCell ref="AN307:AU307"/>
    <mergeCell ref="P308:W308"/>
    <mergeCell ref="N281:R281"/>
    <mergeCell ref="AO402:AS402"/>
    <mergeCell ref="AO401:AS401"/>
    <mergeCell ref="AO399:AS399"/>
    <mergeCell ref="AO398:AS398"/>
    <mergeCell ref="AO396:AS396"/>
    <mergeCell ref="AU401:BH402"/>
    <mergeCell ref="M396:S396"/>
    <mergeCell ref="AX342:BU344"/>
    <mergeCell ref="P338:W338"/>
    <mergeCell ref="AN338:AU338"/>
    <mergeCell ref="AN339:AU339"/>
    <mergeCell ref="P340:W340"/>
    <mergeCell ref="AN340:AU340"/>
    <mergeCell ref="P341:W341"/>
    <mergeCell ref="P342:W342"/>
    <mergeCell ref="AN342:AU342"/>
    <mergeCell ref="P343:W343"/>
    <mergeCell ref="W360:Y360"/>
    <mergeCell ref="T360:V360"/>
    <mergeCell ref="AJ360:AN360"/>
    <mergeCell ref="AO360:AS360"/>
    <mergeCell ref="M360:S360"/>
    <mergeCell ref="P354:W354"/>
    <mergeCell ref="Z360:AE360"/>
    <mergeCell ref="Z358:AE358"/>
    <mergeCell ref="W361:Y361"/>
    <mergeCell ref="AJ361:AN361"/>
    <mergeCell ref="AO361:AS361"/>
    <mergeCell ref="T362:V362"/>
    <mergeCell ref="M378:S378"/>
    <mergeCell ref="T378:V378"/>
    <mergeCell ref="W378:Y378"/>
    <mergeCell ref="C394:L394"/>
    <mergeCell ref="C393:L393"/>
    <mergeCell ref="C392:L392"/>
    <mergeCell ref="C391:L391"/>
    <mergeCell ref="C390:L390"/>
    <mergeCell ref="C389:L389"/>
    <mergeCell ref="C388:L388"/>
    <mergeCell ref="C387:L387"/>
    <mergeCell ref="C386:L386"/>
    <mergeCell ref="C385:L385"/>
    <mergeCell ref="C384:L384"/>
    <mergeCell ref="C383:L383"/>
    <mergeCell ref="C382:L382"/>
    <mergeCell ref="C381:L381"/>
    <mergeCell ref="C379:L379"/>
    <mergeCell ref="C378:L378"/>
    <mergeCell ref="C377:L377"/>
    <mergeCell ref="BI61:BP61"/>
    <mergeCell ref="K79:R79"/>
    <mergeCell ref="U79:AB79"/>
    <mergeCell ref="AE79:AL79"/>
    <mergeCell ref="AO79:AV79"/>
    <mergeCell ref="AY79:BF79"/>
    <mergeCell ref="BI79:BP79"/>
    <mergeCell ref="K81:R81"/>
    <mergeCell ref="U81:AB81"/>
    <mergeCell ref="AE81:AL81"/>
    <mergeCell ref="AO81:AV81"/>
    <mergeCell ref="AY81:BF81"/>
    <mergeCell ref="BI81:BP81"/>
    <mergeCell ref="U70:AB70"/>
    <mergeCell ref="K75:R75"/>
    <mergeCell ref="AE66:AL66"/>
    <mergeCell ref="AE67:AL67"/>
    <mergeCell ref="AO67:AV67"/>
    <mergeCell ref="K68:R68"/>
    <mergeCell ref="K69:R69"/>
    <mergeCell ref="U69:AB69"/>
    <mergeCell ref="BI68:BP68"/>
    <mergeCell ref="BI70:BP70"/>
    <mergeCell ref="BI66:BP66"/>
    <mergeCell ref="U65:AB65"/>
    <mergeCell ref="U71:AB71"/>
    <mergeCell ref="AY71:BF71"/>
    <mergeCell ref="BI67:BP67"/>
    <mergeCell ref="AO70:AV70"/>
    <mergeCell ref="AY67:BF67"/>
    <mergeCell ref="BI78:BP78"/>
    <mergeCell ref="K80:R80"/>
    <mergeCell ref="AS111:AU111"/>
    <mergeCell ref="AS110:AU110"/>
    <mergeCell ref="AE274:AI274"/>
    <mergeCell ref="AE273:AI273"/>
    <mergeCell ref="AE272:AI272"/>
    <mergeCell ref="AJ276:AM276"/>
    <mergeCell ref="AJ277:AM277"/>
    <mergeCell ref="N276:R276"/>
    <mergeCell ref="S276:V276"/>
    <mergeCell ref="W276:Z276"/>
    <mergeCell ref="N277:R277"/>
    <mergeCell ref="S277:V277"/>
    <mergeCell ref="W277:Z277"/>
    <mergeCell ref="AA276:AD276"/>
    <mergeCell ref="C278:M278"/>
    <mergeCell ref="N278:R278"/>
    <mergeCell ref="C275:M275"/>
    <mergeCell ref="S273:V273"/>
    <mergeCell ref="AJ273:AM273"/>
    <mergeCell ref="AJ274:AM274"/>
    <mergeCell ref="AJ275:AM275"/>
    <mergeCell ref="C276:M276"/>
    <mergeCell ref="S278:V278"/>
    <mergeCell ref="W278:Z278"/>
    <mergeCell ref="N275:R275"/>
    <mergeCell ref="S275:V275"/>
    <mergeCell ref="AA278:AD278"/>
    <mergeCell ref="W273:Z273"/>
    <mergeCell ref="AN194:AQ194"/>
    <mergeCell ref="AR194:AU194"/>
    <mergeCell ref="Z193:AC193"/>
    <mergeCell ref="AO130:AT130"/>
    <mergeCell ref="BI89:BP89"/>
    <mergeCell ref="U112:AA112"/>
    <mergeCell ref="C265:M265"/>
    <mergeCell ref="N265:R265"/>
    <mergeCell ref="U80:AB80"/>
    <mergeCell ref="AE80:AL80"/>
    <mergeCell ref="AO80:AV80"/>
    <mergeCell ref="AY80:BF80"/>
    <mergeCell ref="BI80:BP80"/>
    <mergeCell ref="K78:R78"/>
    <mergeCell ref="BI88:BP88"/>
    <mergeCell ref="J112:T112"/>
    <mergeCell ref="AE91:AL91"/>
    <mergeCell ref="AE92:AL92"/>
    <mergeCell ref="AP101:AR101"/>
    <mergeCell ref="AP104:AR104"/>
    <mergeCell ref="AP103:AR103"/>
    <mergeCell ref="K87:R87"/>
    <mergeCell ref="BI87:BP87"/>
    <mergeCell ref="AE82:AL82"/>
    <mergeCell ref="AO82:AV82"/>
    <mergeCell ref="AY82:BF82"/>
    <mergeCell ref="BI82:BP82"/>
    <mergeCell ref="BI86:BP86"/>
    <mergeCell ref="AB108:AH108"/>
    <mergeCell ref="U92:AB92"/>
    <mergeCell ref="K89:R89"/>
    <mergeCell ref="U82:AB82"/>
    <mergeCell ref="BH108:BJ108"/>
    <mergeCell ref="BH109:BJ109"/>
    <mergeCell ref="AY92:BF92"/>
    <mergeCell ref="AS112:AU112"/>
  </mergeCells>
  <phoneticPr fontId="43" type="noConversion"/>
  <conditionalFormatting sqref="K65 U65 AE65 AO65 AY65 BI65">
    <cfRule type="cellIs" dxfId="833" priority="1730" operator="equal">
      <formula>"Yes"</formula>
    </cfRule>
  </conditionalFormatting>
  <conditionalFormatting sqref="AM13:AT13">
    <cfRule type="expression" dxfId="832" priority="1726">
      <formula>$AM$13="Yes"</formula>
    </cfRule>
  </conditionalFormatting>
  <conditionalFormatting sqref="R140:T140 Z140:AU140 Z141:AG145">
    <cfRule type="expression" dxfId="831" priority="657" stopIfTrue="1">
      <formula>$M$140="Default"</formula>
    </cfRule>
  </conditionalFormatting>
  <conditionalFormatting sqref="R146">
    <cfRule type="expression" dxfId="830" priority="1614">
      <formula>$M146="Default"</formula>
    </cfRule>
  </conditionalFormatting>
  <conditionalFormatting sqref="R170">
    <cfRule type="expression" dxfId="829" priority="1550">
      <formula>$M170="Default"</formula>
    </cfRule>
  </conditionalFormatting>
  <conditionalFormatting sqref="BD140:BF254">
    <cfRule type="expression" dxfId="828" priority="656">
      <formula>$CK140="No"</formula>
    </cfRule>
  </conditionalFormatting>
  <conditionalFormatting sqref="BG140:BH254">
    <cfRule type="expression" dxfId="827" priority="654">
      <formula>$CL140="No"</formula>
    </cfRule>
  </conditionalFormatting>
  <conditionalFormatting sqref="BI140:BL254">
    <cfRule type="expression" dxfId="826" priority="653">
      <formula>$CM140="No"</formula>
    </cfRule>
  </conditionalFormatting>
  <conditionalFormatting sqref="R254">
    <cfRule type="expression" dxfId="825" priority="1326">
      <formula>$M254="Default"</formula>
    </cfRule>
  </conditionalFormatting>
  <conditionalFormatting sqref="R152">
    <cfRule type="expression" dxfId="824" priority="1598">
      <formula>$M152="Default"</formula>
    </cfRule>
  </conditionalFormatting>
  <conditionalFormatting sqref="R158">
    <cfRule type="expression" dxfId="823" priority="1582">
      <formula>$M158="Default"</formula>
    </cfRule>
  </conditionalFormatting>
  <conditionalFormatting sqref="R164">
    <cfRule type="expression" dxfId="822" priority="1566">
      <formula>$M164="Default"</formula>
    </cfRule>
  </conditionalFormatting>
  <conditionalFormatting sqref="R176">
    <cfRule type="expression" dxfId="821" priority="1534">
      <formula>$M176="Default"</formula>
    </cfRule>
  </conditionalFormatting>
  <conditionalFormatting sqref="R182">
    <cfRule type="expression" dxfId="820" priority="1518">
      <formula>$M182="Default"</formula>
    </cfRule>
  </conditionalFormatting>
  <conditionalFormatting sqref="R188">
    <cfRule type="expression" dxfId="819" priority="1502">
      <formula>$M188="Default"</formula>
    </cfRule>
  </conditionalFormatting>
  <conditionalFormatting sqref="R194">
    <cfRule type="expression" dxfId="818" priority="1486">
      <formula>$M194="Default"</formula>
    </cfRule>
  </conditionalFormatting>
  <conditionalFormatting sqref="R200">
    <cfRule type="expression" dxfId="817" priority="1470">
      <formula>$M200="Default"</formula>
    </cfRule>
  </conditionalFormatting>
  <conditionalFormatting sqref="R206">
    <cfRule type="expression" dxfId="816" priority="1454">
      <formula>$M206="Default"</formula>
    </cfRule>
  </conditionalFormatting>
  <conditionalFormatting sqref="R212">
    <cfRule type="expression" dxfId="815" priority="1438">
      <formula>$M212="Default"</formula>
    </cfRule>
  </conditionalFormatting>
  <conditionalFormatting sqref="R218">
    <cfRule type="expression" dxfId="814" priority="1422">
      <formula>$M218="Default"</formula>
    </cfRule>
  </conditionalFormatting>
  <conditionalFormatting sqref="R224">
    <cfRule type="expression" dxfId="813" priority="1406">
      <formula>$M224="Default"</formula>
    </cfRule>
  </conditionalFormatting>
  <conditionalFormatting sqref="R230">
    <cfRule type="expression" dxfId="812" priority="1390">
      <formula>$M230="Default"</formula>
    </cfRule>
  </conditionalFormatting>
  <conditionalFormatting sqref="R236">
    <cfRule type="expression" dxfId="811" priority="1374">
      <formula>$M236="Default"</formula>
    </cfRule>
  </conditionalFormatting>
  <conditionalFormatting sqref="R242">
    <cfRule type="expression" dxfId="810" priority="1358">
      <formula>$M242="Default"</formula>
    </cfRule>
  </conditionalFormatting>
  <conditionalFormatting sqref="R248">
    <cfRule type="expression" dxfId="809" priority="1342">
      <formula>$M248="Default"</formula>
    </cfRule>
  </conditionalFormatting>
  <conditionalFormatting sqref="AN295:AU295">
    <cfRule type="cellIs" dxfId="808" priority="1307" operator="equal">
      <formula>"Pass"</formula>
    </cfRule>
    <cfRule type="cellIs" dxfId="807" priority="1308" operator="equal">
      <formula>"Refer"</formula>
    </cfRule>
    <cfRule type="cellIs" dxfId="806" priority="1309" operator="equal">
      <formula>"Decline"</formula>
    </cfRule>
  </conditionalFormatting>
  <conditionalFormatting sqref="AX289:BU295">
    <cfRule type="containsBlanks" dxfId="805" priority="1862">
      <formula>LEN(TRIM(AX289))=0</formula>
    </cfRule>
  </conditionalFormatting>
  <conditionalFormatting sqref="K21:R22">
    <cfRule type="expression" dxfId="804" priority="1286" stopIfTrue="1">
      <formula>$K$20="Not married"</formula>
    </cfRule>
  </conditionalFormatting>
  <conditionalFormatting sqref="U21:AB22">
    <cfRule type="expression" dxfId="803" priority="1857">
      <formula>$U$20="Not married"</formula>
    </cfRule>
  </conditionalFormatting>
  <conditionalFormatting sqref="AE21:AL22">
    <cfRule type="expression" dxfId="802" priority="1859">
      <formula>$AE$20="Not married"</formula>
    </cfRule>
  </conditionalFormatting>
  <conditionalFormatting sqref="AO21:AV22">
    <cfRule type="expression" dxfId="801" priority="1861">
      <formula>$AO$20="Not married"</formula>
    </cfRule>
  </conditionalFormatting>
  <conditionalFormatting sqref="AY21:BF22">
    <cfRule type="expression" dxfId="800" priority="2237">
      <formula>$AY$20="Not married"</formula>
    </cfRule>
  </conditionalFormatting>
  <conditionalFormatting sqref="BI21:BP22">
    <cfRule type="expression" dxfId="799" priority="2240">
      <formula>$BI$20="Not married"</formula>
    </cfRule>
  </conditionalFormatting>
  <conditionalFormatting sqref="U18 U77">
    <cfRule type="expression" dxfId="798" priority="1854">
      <formula>ShowApplicant2=FALSE</formula>
    </cfRule>
  </conditionalFormatting>
  <conditionalFormatting sqref="AE18 AE77">
    <cfRule type="expression" dxfId="797" priority="1839">
      <formula>ShowApplicant3=FALSE</formula>
    </cfRule>
  </conditionalFormatting>
  <conditionalFormatting sqref="AO18 AO77">
    <cfRule type="expression" dxfId="796" priority="1298">
      <formula>ShowApplicant4=FALSE</formula>
    </cfRule>
  </conditionalFormatting>
  <conditionalFormatting sqref="AY18 AY77">
    <cfRule type="expression" dxfId="795" priority="1293">
      <formula>ShowApplicant5=FALSE</formula>
    </cfRule>
  </conditionalFormatting>
  <conditionalFormatting sqref="BI18 BI74 BI85 BI83 BI76:BI77">
    <cfRule type="expression" dxfId="794" priority="1292">
      <formula>ShowApplicant6=FALSE</formula>
    </cfRule>
  </conditionalFormatting>
  <conditionalFormatting sqref="U45:AB45 U71:AB71 U65:AB68 U35:AB39 U19:AB24 U41:AB43 U90:AB94">
    <cfRule type="expression" dxfId="793" priority="1206" stopIfTrue="1">
      <formula>ShowApplicant2=FALSE</formula>
    </cfRule>
  </conditionalFormatting>
  <conditionalFormatting sqref="AE45:AL45 AE71:AL71 AE65:AL68 AE35:AL39 AE19:AL24 AE41:AL43 AE90:AL94">
    <cfRule type="expression" dxfId="792" priority="1205" stopIfTrue="1">
      <formula>ShowApplicant3=FALSE</formula>
    </cfRule>
  </conditionalFormatting>
  <conditionalFormatting sqref="AO45:AV45 AO71:AV71 AO65:AV68 AO35:AV39 AO19:AV24 AO41:AV43 AO90:AV94">
    <cfRule type="expression" dxfId="791" priority="1204" stopIfTrue="1">
      <formula>ShowApplicant4=FALSE</formula>
    </cfRule>
  </conditionalFormatting>
  <conditionalFormatting sqref="AY45:BF45 AY71:BF71 AY65:BF68 AY35:BF39 AY19:BF24 AY41:BF43 AY90:BF94">
    <cfRule type="expression" dxfId="790" priority="1203" stopIfTrue="1">
      <formula>ShowApplicant5=FALSE</formula>
    </cfRule>
  </conditionalFormatting>
  <conditionalFormatting sqref="BI45:BP45 BI71:BP71 BI65:BP68 BI35:BP39 BI19:BP24 BI41:BP43 BI90:BP94">
    <cfRule type="expression" dxfId="789" priority="1202" stopIfTrue="1">
      <formula>ShowApplicant6=FALSE</formula>
    </cfRule>
  </conditionalFormatting>
  <conditionalFormatting sqref="AE30">
    <cfRule type="expression" dxfId="788" priority="1283">
      <formula>ShowApplicant3=FALSE</formula>
    </cfRule>
  </conditionalFormatting>
  <conditionalFormatting sqref="AO30">
    <cfRule type="expression" dxfId="787" priority="1282">
      <formula>ShowApplicant4=FALSE</formula>
    </cfRule>
  </conditionalFormatting>
  <conditionalFormatting sqref="AY30">
    <cfRule type="expression" dxfId="786" priority="1281">
      <formula>ShowApplicant5=FALSE</formula>
    </cfRule>
  </conditionalFormatting>
  <conditionalFormatting sqref="BI30">
    <cfRule type="expression" dxfId="785" priority="1280">
      <formula>ShowApplicant6=FALSE</formula>
    </cfRule>
  </conditionalFormatting>
  <conditionalFormatting sqref="U74 U76:U77 U85 U83">
    <cfRule type="expression" dxfId="784" priority="1276">
      <formula>ShowApplicant2=FALSE</formula>
    </cfRule>
  </conditionalFormatting>
  <conditionalFormatting sqref="AE74 AE76:AE77 AE85 AE83">
    <cfRule type="expression" dxfId="783" priority="1275">
      <formula>ShowApplicant3=FALSE</formula>
    </cfRule>
  </conditionalFormatting>
  <conditionalFormatting sqref="AO74 AO76:AO77 AO85 AO83">
    <cfRule type="expression" dxfId="782" priority="1274">
      <formula>ShowApplicant4=FALSE</formula>
    </cfRule>
  </conditionalFormatting>
  <conditionalFormatting sqref="AY74 AY76:AY77 AY85 AY83">
    <cfRule type="expression" dxfId="781" priority="1273">
      <formula>ShowApplicant5=FALSE</formula>
    </cfRule>
  </conditionalFormatting>
  <conditionalFormatting sqref="U30">
    <cfRule type="expression" dxfId="780" priority="1246">
      <formula>ShowApplicant2=FALSE</formula>
    </cfRule>
  </conditionalFormatting>
  <conditionalFormatting sqref="U22:AB22">
    <cfRule type="cellIs" dxfId="779" priority="1291" operator="notEqual">
      <formula>INDIRECT("SCAApp" &amp; AC21 &amp; "SameHousehold")</formula>
    </cfRule>
  </conditionalFormatting>
  <conditionalFormatting sqref="K22:R22">
    <cfRule type="cellIs" dxfId="778" priority="1855" operator="notEqual">
      <formula>INDIRECT("SCAApp" &amp; S21 &amp; "SameHousehold")</formula>
    </cfRule>
  </conditionalFormatting>
  <conditionalFormatting sqref="AE22:AL22">
    <cfRule type="cellIs" dxfId="777" priority="1290" operator="notEqual">
      <formula>INDIRECT("SCAApp" &amp; AM21 &amp; "SameHousehold")</formula>
    </cfRule>
  </conditionalFormatting>
  <conditionalFormatting sqref="AO22:AV22">
    <cfRule type="cellIs" dxfId="776" priority="1289" operator="notEqual">
      <formula>INDIRECT("SCAApp" &amp; AW21 &amp; "SameHousehold")</formula>
    </cfRule>
  </conditionalFormatting>
  <conditionalFormatting sqref="AY22:BF22">
    <cfRule type="cellIs" dxfId="775" priority="1288" operator="notEqual">
      <formula>INDIRECT("SCAApp" &amp; BG21 &amp; "SameHousehold")</formula>
    </cfRule>
  </conditionalFormatting>
  <conditionalFormatting sqref="U69:AB69">
    <cfRule type="expression" dxfId="774" priority="1191">
      <formula>ShowApplicant2=FALSE</formula>
    </cfRule>
  </conditionalFormatting>
  <conditionalFormatting sqref="AE69:AL69">
    <cfRule type="expression" dxfId="773" priority="1190">
      <formula>ShowApplicant3=FALSE</formula>
    </cfRule>
  </conditionalFormatting>
  <conditionalFormatting sqref="AO69:AV69">
    <cfRule type="expression" dxfId="772" priority="1189">
      <formula>ShowApplicant4=FALSE</formula>
    </cfRule>
  </conditionalFormatting>
  <conditionalFormatting sqref="AY69:BF69">
    <cfRule type="expression" dxfId="771" priority="1188">
      <formula>ShowApplicant5=FALSE</formula>
    </cfRule>
  </conditionalFormatting>
  <conditionalFormatting sqref="BI69:BP69">
    <cfRule type="expression" dxfId="770" priority="1187">
      <formula>ShowApplicant6=FALSE</formula>
    </cfRule>
  </conditionalFormatting>
  <conditionalFormatting sqref="U70:AB71">
    <cfRule type="expression" dxfId="769" priority="1186">
      <formula>ShowApplicant2=FALSE</formula>
    </cfRule>
  </conditionalFormatting>
  <conditionalFormatting sqref="AE70:AL71">
    <cfRule type="expression" dxfId="768" priority="1185">
      <formula>ShowApplicant3=FALSE</formula>
    </cfRule>
  </conditionalFormatting>
  <conditionalFormatting sqref="AO70:AV71">
    <cfRule type="expression" dxfId="767" priority="1184">
      <formula>ShowApplicant4=FALSE</formula>
    </cfRule>
  </conditionalFormatting>
  <conditionalFormatting sqref="AY70:BF71">
    <cfRule type="expression" dxfId="766" priority="1183">
      <formula>ShowApplicant5=FALSE</formula>
    </cfRule>
  </conditionalFormatting>
  <conditionalFormatting sqref="BI70:BP71">
    <cfRule type="expression" dxfId="765" priority="1182">
      <formula>ShowApplicant6=FALSE</formula>
    </cfRule>
  </conditionalFormatting>
  <conditionalFormatting sqref="U44:AB44">
    <cfRule type="expression" dxfId="764" priority="1181">
      <formula>ShowApplicant2=FALSE</formula>
    </cfRule>
  </conditionalFormatting>
  <conditionalFormatting sqref="AE44:AL44">
    <cfRule type="expression" dxfId="763" priority="1180">
      <formula>ShowApplicant3=FALSE</formula>
    </cfRule>
  </conditionalFormatting>
  <conditionalFormatting sqref="AO44:AV44">
    <cfRule type="expression" dxfId="762" priority="1179">
      <formula>ShowApplicant4=FALSE</formula>
    </cfRule>
  </conditionalFormatting>
  <conditionalFormatting sqref="AY44:BF44">
    <cfRule type="expression" dxfId="761" priority="1178">
      <formula>ShowApplicant5=FALSE</formula>
    </cfRule>
  </conditionalFormatting>
  <conditionalFormatting sqref="BI44:BP44">
    <cfRule type="expression" dxfId="760" priority="1177">
      <formula>ShowApplicant6=FALSE</formula>
    </cfRule>
  </conditionalFormatting>
  <conditionalFormatting sqref="U44:AB44">
    <cfRule type="expression" dxfId="759" priority="1176">
      <formula>ShowApplicant2=FALSE</formula>
    </cfRule>
  </conditionalFormatting>
  <conditionalFormatting sqref="AE44:AL44">
    <cfRule type="expression" dxfId="758" priority="1175">
      <formula>ShowApplicant3=FALSE</formula>
    </cfRule>
  </conditionalFormatting>
  <conditionalFormatting sqref="AO44:AV44">
    <cfRule type="expression" dxfId="757" priority="1174">
      <formula>ShowApplicant4=FALSE</formula>
    </cfRule>
  </conditionalFormatting>
  <conditionalFormatting sqref="AY44:BF44">
    <cfRule type="expression" dxfId="756" priority="1173">
      <formula>ShowApplicant5=FALSE</formula>
    </cfRule>
  </conditionalFormatting>
  <conditionalFormatting sqref="BI44:BP44">
    <cfRule type="expression" dxfId="755" priority="1172">
      <formula>ShowApplicant6=FALSE</formula>
    </cfRule>
  </conditionalFormatting>
  <conditionalFormatting sqref="K51:R61 U51:AB61 AE51:AL61 AO51:AV61 AY51:BF61 BI51:BP61">
    <cfRule type="expression" dxfId="754" priority="1156">
      <formula>OR(K$21&lt;&gt;"Non-applicant",AND(K$21="Non-applicant",K$22&lt;&gt;"Yes"))</formula>
    </cfRule>
  </conditionalFormatting>
  <conditionalFormatting sqref="K93:R93">
    <cfRule type="expression" dxfId="753" priority="1150">
      <formula>AND($K$93&gt;0,$K$41=0)</formula>
    </cfRule>
  </conditionalFormatting>
  <conditionalFormatting sqref="U93:AB93">
    <cfRule type="expression" dxfId="752" priority="1149">
      <formula>AND($U$93&gt;0,$U$41=0)</formula>
    </cfRule>
  </conditionalFormatting>
  <conditionalFormatting sqref="AE93:AL93">
    <cfRule type="expression" dxfId="751" priority="1148">
      <formula>AND($AE$93&gt;0,$AE$41=0)</formula>
    </cfRule>
  </conditionalFormatting>
  <conditionalFormatting sqref="AO93:AV93">
    <cfRule type="expression" dxfId="750" priority="1147">
      <formula>AND($AO$93&gt;0,$AO$41=0)</formula>
    </cfRule>
  </conditionalFormatting>
  <conditionalFormatting sqref="AY93:BF93">
    <cfRule type="expression" dxfId="749" priority="1146">
      <formula>AND($AY$93&gt;0,$AY$41=0)</formula>
    </cfRule>
  </conditionalFormatting>
  <conditionalFormatting sqref="BI93:BP93">
    <cfRule type="expression" dxfId="748" priority="1145">
      <formula>AND($BI$93&gt;0,$BI$41=0)</formula>
    </cfRule>
  </conditionalFormatting>
  <conditionalFormatting sqref="K42:R42">
    <cfRule type="expression" dxfId="747" priority="1144">
      <formula>AND($K$42&gt;0,$K$41=0)</formula>
    </cfRule>
  </conditionalFormatting>
  <conditionalFormatting sqref="U42:AB42">
    <cfRule type="expression" dxfId="746" priority="1143">
      <formula>AND($U$42&gt;0,$U$41=0)</formula>
    </cfRule>
  </conditionalFormatting>
  <conditionalFormatting sqref="AE42:AL42">
    <cfRule type="expression" dxfId="745" priority="1142">
      <formula>AND($AE$42&gt;0,$AE$41=0)</formula>
    </cfRule>
  </conditionalFormatting>
  <conditionalFormatting sqref="AO42:AV42">
    <cfRule type="expression" dxfId="744" priority="1141">
      <formula>AND($AO$42&gt;0,$AO$41=0)</formula>
    </cfRule>
  </conditionalFormatting>
  <conditionalFormatting sqref="AY42:BF42">
    <cfRule type="expression" dxfId="743" priority="1140">
      <formula>AND($AY$42&gt;0,$AY$41=0)</formula>
    </cfRule>
  </conditionalFormatting>
  <conditionalFormatting sqref="BI42:BP42">
    <cfRule type="expression" dxfId="742" priority="1139">
      <formula>AND($BI$42&gt;0,$BI$41=0)</formula>
    </cfRule>
  </conditionalFormatting>
  <conditionalFormatting sqref="BI22:BP22">
    <cfRule type="cellIs" dxfId="741" priority="1287" operator="notEqual">
      <formula>INDIRECT("SCAApp" &amp; BP21 &amp; "SameHousehold")</formula>
    </cfRule>
  </conditionalFormatting>
  <conditionalFormatting sqref="AD143:AG143">
    <cfRule type="expression" dxfId="740" priority="1682">
      <formula>AND(NOT(ISBLANK(AD143)),$AI141)</formula>
    </cfRule>
  </conditionalFormatting>
  <conditionalFormatting sqref="Z140:AC140 AN140:AQ140">
    <cfRule type="expression" dxfId="739" priority="1652">
      <formula>AND(NOT(ISBLANK(Z140)),$AH141)</formula>
    </cfRule>
  </conditionalFormatting>
  <conditionalFormatting sqref="AD140:AG140 AR140:AU140">
    <cfRule type="expression" dxfId="738" priority="1125">
      <formula>AND(NOT(ISBLANK(AD140)),$AI141)</formula>
    </cfRule>
  </conditionalFormatting>
  <conditionalFormatting sqref="AH140:AM140">
    <cfRule type="expression" dxfId="737" priority="1661">
      <formula>AND(NOT(ISBLANK(AH140)),$AJ141)</formula>
    </cfRule>
  </conditionalFormatting>
  <conditionalFormatting sqref="Z143:AC143">
    <cfRule type="expression" dxfId="736" priority="1662">
      <formula>AND(NOT(ISBLANK(Z143)),$AH141)</formula>
    </cfRule>
  </conditionalFormatting>
  <conditionalFormatting sqref="AD141:AG141">
    <cfRule type="expression" dxfId="735" priority="1120">
      <formula>AND(NOT(ISBLANK(AD141)),$AI141)</formula>
    </cfRule>
  </conditionalFormatting>
  <conditionalFormatting sqref="Z141:AC141">
    <cfRule type="expression" dxfId="734" priority="750">
      <formula>AND(NOT(ISBLANK(Z141)),$AH141)</formula>
    </cfRule>
  </conditionalFormatting>
  <conditionalFormatting sqref="AD142:AG142">
    <cfRule type="expression" dxfId="733" priority="749">
      <formula>AND(NOT(ISBLANK(AD142)),$AI141)</formula>
    </cfRule>
  </conditionalFormatting>
  <conditionalFormatting sqref="Z142:AC142">
    <cfRule type="expression" dxfId="732" priority="748">
      <formula>AND(NOT(ISBLANK(Z142)),$AH141)</formula>
    </cfRule>
  </conditionalFormatting>
  <conditionalFormatting sqref="AD144:AG144">
    <cfRule type="expression" dxfId="731" priority="663">
      <formula>AND(NOT(ISBLANK(AD144)),$AI141)</formula>
    </cfRule>
  </conditionalFormatting>
  <conditionalFormatting sqref="Z144:AC144">
    <cfRule type="expression" dxfId="730" priority="662">
      <formula>AND(NOT(ISBLANK(Z144)),$AH141)</formula>
    </cfRule>
  </conditionalFormatting>
  <conditionalFormatting sqref="AD145:AG145">
    <cfRule type="expression" dxfId="729" priority="660">
      <formula>AND(NOT(ISBLANK(AD145)),$AI141)</formula>
    </cfRule>
  </conditionalFormatting>
  <conditionalFormatting sqref="Z145:AC145">
    <cfRule type="expression" dxfId="728" priority="659">
      <formula>AND(NOT(ISBLANK(Z145)),$AH141)</formula>
    </cfRule>
  </conditionalFormatting>
  <conditionalFormatting sqref="Z149:AG149">
    <cfRule type="expression" dxfId="727" priority="652">
      <formula>$M146="Default"</formula>
    </cfRule>
  </conditionalFormatting>
  <conditionalFormatting sqref="AD149:AG149">
    <cfRule type="expression" dxfId="726" priority="651">
      <formula>AND(NOT(ISBLANK(AD149)),$AI147)</formula>
    </cfRule>
  </conditionalFormatting>
  <conditionalFormatting sqref="Z146:AU146">
    <cfRule type="expression" dxfId="725" priority="646">
      <formula>$M146="Default"</formula>
    </cfRule>
  </conditionalFormatting>
  <conditionalFormatting sqref="Z146:AC146 AN146:AQ146">
    <cfRule type="expression" dxfId="724" priority="648">
      <formula>AND(NOT(ISBLANK(Z146)),$AH147)</formula>
    </cfRule>
  </conditionalFormatting>
  <conditionalFormatting sqref="AD146:AG146 AR146:AU146">
    <cfRule type="expression" dxfId="723" priority="647">
      <formula>AND(NOT(ISBLANK(AD146)),$AI147)</formula>
    </cfRule>
  </conditionalFormatting>
  <conditionalFormatting sqref="AH146:AM146">
    <cfRule type="expression" dxfId="722" priority="649">
      <formula>AND(NOT(ISBLANK(AH146)),$AJ147)</formula>
    </cfRule>
  </conditionalFormatting>
  <conditionalFormatting sqref="Z149:AC149">
    <cfRule type="expression" dxfId="721" priority="650">
      <formula>AND(NOT(ISBLANK(Z149)),$AH147)</formula>
    </cfRule>
  </conditionalFormatting>
  <conditionalFormatting sqref="Z147:AG147">
    <cfRule type="expression" dxfId="720" priority="645">
      <formula>$M146="Default"</formula>
    </cfRule>
  </conditionalFormatting>
  <conditionalFormatting sqref="AD147:AG147">
    <cfRule type="expression" dxfId="719" priority="644">
      <formula>AND(NOT(ISBLANK(AD147)),$AI147)</formula>
    </cfRule>
  </conditionalFormatting>
  <conditionalFormatting sqref="Z147:AC147">
    <cfRule type="expression" dxfId="718" priority="643">
      <formula>AND(NOT(ISBLANK(Z147)),$AH147)</formula>
    </cfRule>
  </conditionalFormatting>
  <conditionalFormatting sqref="Z148:AG148">
    <cfRule type="expression" dxfId="717" priority="642">
      <formula>$M146="Default"</formula>
    </cfRule>
  </conditionalFormatting>
  <conditionalFormatting sqref="AD148:AG148">
    <cfRule type="expression" dxfId="716" priority="641">
      <formula>AND(NOT(ISBLANK(AD148)),$AI147)</formula>
    </cfRule>
  </conditionalFormatting>
  <conditionalFormatting sqref="Z148:AC148">
    <cfRule type="expression" dxfId="715" priority="640">
      <formula>AND(NOT(ISBLANK(Z148)),$AH147)</formula>
    </cfRule>
  </conditionalFormatting>
  <conditionalFormatting sqref="Z150:AG150">
    <cfRule type="expression" dxfId="714" priority="639">
      <formula>$M146="Default"</formula>
    </cfRule>
  </conditionalFormatting>
  <conditionalFormatting sqref="AD150:AG150">
    <cfRule type="expression" dxfId="713" priority="638">
      <formula>AND(NOT(ISBLANK(AD150)),$AI147)</formula>
    </cfRule>
  </conditionalFormatting>
  <conditionalFormatting sqref="Z150:AC150">
    <cfRule type="expression" dxfId="712" priority="637">
      <formula>AND(NOT(ISBLANK(Z150)),$AH147)</formula>
    </cfRule>
  </conditionalFormatting>
  <conditionalFormatting sqref="Z151:AG151">
    <cfRule type="expression" dxfId="711" priority="636">
      <formula>$M146="Default"</formula>
    </cfRule>
  </conditionalFormatting>
  <conditionalFormatting sqref="AD151:AG151">
    <cfRule type="expression" dxfId="710" priority="635">
      <formula>AND(NOT(ISBLANK(AD151)),$AI147)</formula>
    </cfRule>
  </conditionalFormatting>
  <conditionalFormatting sqref="Z151:AC151">
    <cfRule type="expression" dxfId="709" priority="634">
      <formula>AND(NOT(ISBLANK(Z151)),$AH147)</formula>
    </cfRule>
  </conditionalFormatting>
  <conditionalFormatting sqref="Z155:AG155">
    <cfRule type="expression" dxfId="708" priority="633">
      <formula>$M152="Default"</formula>
    </cfRule>
  </conditionalFormatting>
  <conditionalFormatting sqref="AD155:AG155">
    <cfRule type="expression" dxfId="707" priority="632">
      <formula>AND(NOT(ISBLANK(AD155)),$AI153)</formula>
    </cfRule>
  </conditionalFormatting>
  <conditionalFormatting sqref="Z152:AU152">
    <cfRule type="expression" dxfId="706" priority="627">
      <formula>$M152="Default"</formula>
    </cfRule>
  </conditionalFormatting>
  <conditionalFormatting sqref="Z152:AC152 AN152:AQ152">
    <cfRule type="expression" dxfId="705" priority="629">
      <formula>AND(NOT(ISBLANK(Z152)),$AH153)</formula>
    </cfRule>
  </conditionalFormatting>
  <conditionalFormatting sqref="AD152:AG152 AR152:AU152">
    <cfRule type="expression" dxfId="704" priority="628">
      <formula>AND(NOT(ISBLANK(AD152)),$AI153)</formula>
    </cfRule>
  </conditionalFormatting>
  <conditionalFormatting sqref="AH152:AM152">
    <cfRule type="expression" dxfId="703" priority="630">
      <formula>AND(NOT(ISBLANK(AH152)),$AJ153)</formula>
    </cfRule>
  </conditionalFormatting>
  <conditionalFormatting sqref="Z155:AC155">
    <cfRule type="expression" dxfId="702" priority="631">
      <formula>AND(NOT(ISBLANK(Z155)),$AH153)</formula>
    </cfRule>
  </conditionalFormatting>
  <conditionalFormatting sqref="Z153:AG153">
    <cfRule type="expression" dxfId="701" priority="626">
      <formula>$M152="Default"</formula>
    </cfRule>
  </conditionalFormatting>
  <conditionalFormatting sqref="AD153:AG153">
    <cfRule type="expression" dxfId="700" priority="625">
      <formula>AND(NOT(ISBLANK(AD153)),$AI153)</formula>
    </cfRule>
  </conditionalFormatting>
  <conditionalFormatting sqref="Z153:AC153">
    <cfRule type="expression" dxfId="699" priority="624">
      <formula>AND(NOT(ISBLANK(Z153)),$AH153)</formula>
    </cfRule>
  </conditionalFormatting>
  <conditionalFormatting sqref="Z154:AG154">
    <cfRule type="expression" dxfId="698" priority="623">
      <formula>$M152="Default"</formula>
    </cfRule>
  </conditionalFormatting>
  <conditionalFormatting sqref="AD154:AG154">
    <cfRule type="expression" dxfId="697" priority="622">
      <formula>AND(NOT(ISBLANK(AD154)),$AI153)</formula>
    </cfRule>
  </conditionalFormatting>
  <conditionalFormatting sqref="Z154:AC154">
    <cfRule type="expression" dxfId="696" priority="621">
      <formula>AND(NOT(ISBLANK(Z154)),$AH153)</formula>
    </cfRule>
  </conditionalFormatting>
  <conditionalFormatting sqref="Z156:AG156">
    <cfRule type="expression" dxfId="695" priority="620">
      <formula>$M152="Default"</formula>
    </cfRule>
  </conditionalFormatting>
  <conditionalFormatting sqref="AD156:AG156">
    <cfRule type="expression" dxfId="694" priority="619">
      <formula>AND(NOT(ISBLANK(AD156)),$AI153)</formula>
    </cfRule>
  </conditionalFormatting>
  <conditionalFormatting sqref="Z156:AC156">
    <cfRule type="expression" dxfId="693" priority="618">
      <formula>AND(NOT(ISBLANK(Z156)),$AH153)</formula>
    </cfRule>
  </conditionalFormatting>
  <conditionalFormatting sqref="Z157:AG157">
    <cfRule type="expression" dxfId="692" priority="617">
      <formula>$M152="Default"</formula>
    </cfRule>
  </conditionalFormatting>
  <conditionalFormatting sqref="AD157:AG157">
    <cfRule type="expression" dxfId="691" priority="616">
      <formula>AND(NOT(ISBLANK(AD157)),$AI153)</formula>
    </cfRule>
  </conditionalFormatting>
  <conditionalFormatting sqref="Z157:AC157">
    <cfRule type="expression" dxfId="690" priority="615">
      <formula>AND(NOT(ISBLANK(Z157)),$AH153)</formula>
    </cfRule>
  </conditionalFormatting>
  <conditionalFormatting sqref="Z161:AG161">
    <cfRule type="expression" dxfId="689" priority="614">
      <formula>$M158="Default"</formula>
    </cfRule>
  </conditionalFormatting>
  <conditionalFormatting sqref="AD161:AG161">
    <cfRule type="expression" dxfId="688" priority="613">
      <formula>AND(NOT(ISBLANK(AD161)),$AI159)</formula>
    </cfRule>
  </conditionalFormatting>
  <conditionalFormatting sqref="Z158:AU158">
    <cfRule type="expression" dxfId="687" priority="608">
      <formula>$M158="Default"</formula>
    </cfRule>
  </conditionalFormatting>
  <conditionalFormatting sqref="Z158:AC158 AN158:AQ158">
    <cfRule type="expression" dxfId="686" priority="610">
      <formula>AND(NOT(ISBLANK(Z158)),$AH159)</formula>
    </cfRule>
  </conditionalFormatting>
  <conditionalFormatting sqref="AD158:AG158 AR158:AU158">
    <cfRule type="expression" dxfId="685" priority="609">
      <formula>AND(NOT(ISBLANK(AD158)),$AI159)</formula>
    </cfRule>
  </conditionalFormatting>
  <conditionalFormatting sqref="AH158:AM158">
    <cfRule type="expression" dxfId="684" priority="611">
      <formula>AND(NOT(ISBLANK(AH158)),$AJ159)</formula>
    </cfRule>
  </conditionalFormatting>
  <conditionalFormatting sqref="Z161:AC161">
    <cfRule type="expression" dxfId="683" priority="612">
      <formula>AND(NOT(ISBLANK(Z161)),$AH159)</formula>
    </cfRule>
  </conditionalFormatting>
  <conditionalFormatting sqref="Z159:AG159">
    <cfRule type="expression" dxfId="682" priority="607">
      <formula>$M158="Default"</formula>
    </cfRule>
  </conditionalFormatting>
  <conditionalFormatting sqref="AD159:AG159">
    <cfRule type="expression" dxfId="681" priority="606">
      <formula>AND(NOT(ISBLANK(AD159)),$AI159)</formula>
    </cfRule>
  </conditionalFormatting>
  <conditionalFormatting sqref="Z159:AC159">
    <cfRule type="expression" dxfId="680" priority="605">
      <formula>AND(NOT(ISBLANK(Z159)),$AH159)</formula>
    </cfRule>
  </conditionalFormatting>
  <conditionalFormatting sqref="Z160:AG160">
    <cfRule type="expression" dxfId="679" priority="604">
      <formula>$M158="Default"</formula>
    </cfRule>
  </conditionalFormatting>
  <conditionalFormatting sqref="AD160:AG160">
    <cfRule type="expression" dxfId="678" priority="603">
      <formula>AND(NOT(ISBLANK(AD160)),$AI159)</formula>
    </cfRule>
  </conditionalFormatting>
  <conditionalFormatting sqref="Z160:AC160">
    <cfRule type="expression" dxfId="677" priority="602">
      <formula>AND(NOT(ISBLANK(Z160)),$AH159)</formula>
    </cfRule>
  </conditionalFormatting>
  <conditionalFormatting sqref="Z162:AG162">
    <cfRule type="expression" dxfId="676" priority="601">
      <formula>$M158="Default"</formula>
    </cfRule>
  </conditionalFormatting>
  <conditionalFormatting sqref="AD162:AG162">
    <cfRule type="expression" dxfId="675" priority="600">
      <formula>AND(NOT(ISBLANK(AD162)),$AI159)</formula>
    </cfRule>
  </conditionalFormatting>
  <conditionalFormatting sqref="Z162:AC162">
    <cfRule type="expression" dxfId="674" priority="599">
      <formula>AND(NOT(ISBLANK(Z162)),$AH159)</formula>
    </cfRule>
  </conditionalFormatting>
  <conditionalFormatting sqref="Z163:AG163">
    <cfRule type="expression" dxfId="673" priority="598">
      <formula>$M158="Default"</formula>
    </cfRule>
  </conditionalFormatting>
  <conditionalFormatting sqref="AD163:AG163">
    <cfRule type="expression" dxfId="672" priority="597">
      <formula>AND(NOT(ISBLANK(AD163)),$AI159)</formula>
    </cfRule>
  </conditionalFormatting>
  <conditionalFormatting sqref="Z163:AC163">
    <cfRule type="expression" dxfId="671" priority="596">
      <formula>AND(NOT(ISBLANK(Z163)),$AH159)</formula>
    </cfRule>
  </conditionalFormatting>
  <conditionalFormatting sqref="Z167:AG167">
    <cfRule type="expression" dxfId="670" priority="595">
      <formula>$M164="Default"</formula>
    </cfRule>
  </conditionalFormatting>
  <conditionalFormatting sqref="AD167:AG167">
    <cfRule type="expression" dxfId="669" priority="594">
      <formula>AND(NOT(ISBLANK(AD167)),$AI165)</formula>
    </cfRule>
  </conditionalFormatting>
  <conditionalFormatting sqref="Z164:AU164">
    <cfRule type="expression" dxfId="668" priority="589">
      <formula>$M164="Default"</formula>
    </cfRule>
  </conditionalFormatting>
  <conditionalFormatting sqref="Z164:AC164 AN164:AQ164">
    <cfRule type="expression" dxfId="667" priority="591">
      <formula>AND(NOT(ISBLANK(Z164)),$AH165)</formula>
    </cfRule>
  </conditionalFormatting>
  <conditionalFormatting sqref="AD164:AG164 AR164:AU164">
    <cfRule type="expression" dxfId="666" priority="590">
      <formula>AND(NOT(ISBLANK(AD164)),$AI165)</formula>
    </cfRule>
  </conditionalFormatting>
  <conditionalFormatting sqref="AH164:AM164">
    <cfRule type="expression" dxfId="665" priority="592">
      <formula>AND(NOT(ISBLANK(AH164)),$AJ165)</formula>
    </cfRule>
  </conditionalFormatting>
  <conditionalFormatting sqref="Z167:AC167">
    <cfRule type="expression" dxfId="664" priority="593">
      <formula>AND(NOT(ISBLANK(Z167)),$AH165)</formula>
    </cfRule>
  </conditionalFormatting>
  <conditionalFormatting sqref="Z165:AG165">
    <cfRule type="expression" dxfId="663" priority="588">
      <formula>$M164="Default"</formula>
    </cfRule>
  </conditionalFormatting>
  <conditionalFormatting sqref="AD165:AG165">
    <cfRule type="expression" dxfId="662" priority="587">
      <formula>AND(NOT(ISBLANK(AD165)),$AI165)</formula>
    </cfRule>
  </conditionalFormatting>
  <conditionalFormatting sqref="Z165:AC165">
    <cfRule type="expression" dxfId="661" priority="586">
      <formula>AND(NOT(ISBLANK(Z165)),$AH165)</formula>
    </cfRule>
  </conditionalFormatting>
  <conditionalFormatting sqref="Z166:AG166">
    <cfRule type="expression" dxfId="660" priority="585">
      <formula>$M164="Default"</formula>
    </cfRule>
  </conditionalFormatting>
  <conditionalFormatting sqref="AD166:AG166">
    <cfRule type="expression" dxfId="659" priority="584">
      <formula>AND(NOT(ISBLANK(AD166)),$AI165)</formula>
    </cfRule>
  </conditionalFormatting>
  <conditionalFormatting sqref="Z166:AC166">
    <cfRule type="expression" dxfId="658" priority="583">
      <formula>AND(NOT(ISBLANK(Z166)),$AH165)</formula>
    </cfRule>
  </conditionalFormatting>
  <conditionalFormatting sqref="Z168:AG168">
    <cfRule type="expression" dxfId="657" priority="582">
      <formula>$M164="Default"</formula>
    </cfRule>
  </conditionalFormatting>
  <conditionalFormatting sqref="AD168:AG168">
    <cfRule type="expression" dxfId="656" priority="581">
      <formula>AND(NOT(ISBLANK(AD168)),$AI165)</formula>
    </cfRule>
  </conditionalFormatting>
  <conditionalFormatting sqref="Z168:AC168">
    <cfRule type="expression" dxfId="655" priority="580">
      <formula>AND(NOT(ISBLANK(Z168)),$AH165)</formula>
    </cfRule>
  </conditionalFormatting>
  <conditionalFormatting sqref="Z169:AG169">
    <cfRule type="expression" dxfId="654" priority="579">
      <formula>$M164="Default"</formula>
    </cfRule>
  </conditionalFormatting>
  <conditionalFormatting sqref="AD169:AG169">
    <cfRule type="expression" dxfId="653" priority="578">
      <formula>AND(NOT(ISBLANK(AD169)),$AI165)</formula>
    </cfRule>
  </conditionalFormatting>
  <conditionalFormatting sqref="Z169:AC169">
    <cfRule type="expression" dxfId="652" priority="577">
      <formula>AND(NOT(ISBLANK(Z169)),$AH165)</formula>
    </cfRule>
  </conditionalFormatting>
  <conditionalFormatting sqref="Z173:AG173">
    <cfRule type="expression" dxfId="651" priority="576">
      <formula>$M170="Default"</formula>
    </cfRule>
  </conditionalFormatting>
  <conditionalFormatting sqref="AD173:AG173">
    <cfRule type="expression" dxfId="650" priority="575">
      <formula>AND(NOT(ISBLANK(AD173)),$AI171)</formula>
    </cfRule>
  </conditionalFormatting>
  <conditionalFormatting sqref="Z170:AU170">
    <cfRule type="expression" dxfId="649" priority="570">
      <formula>$M170="Default"</formula>
    </cfRule>
  </conditionalFormatting>
  <conditionalFormatting sqref="Z170:AC170 AN170:AQ170">
    <cfRule type="expression" dxfId="648" priority="572">
      <formula>AND(NOT(ISBLANK(Z170)),$AH171)</formula>
    </cfRule>
  </conditionalFormatting>
  <conditionalFormatting sqref="AD170:AG170 AR170:AU170">
    <cfRule type="expression" dxfId="647" priority="571">
      <formula>AND(NOT(ISBLANK(AD170)),$AI171)</formula>
    </cfRule>
  </conditionalFormatting>
  <conditionalFormatting sqref="AH170:AM170">
    <cfRule type="expression" dxfId="646" priority="573">
      <formula>AND(NOT(ISBLANK(AH170)),$AJ171)</formula>
    </cfRule>
  </conditionalFormatting>
  <conditionalFormatting sqref="Z173:AC173">
    <cfRule type="expression" dxfId="645" priority="574">
      <formula>AND(NOT(ISBLANK(Z173)),$AH171)</formula>
    </cfRule>
  </conditionalFormatting>
  <conditionalFormatting sqref="Z171:AG171">
    <cfRule type="expression" dxfId="644" priority="569">
      <formula>$M170="Default"</formula>
    </cfRule>
  </conditionalFormatting>
  <conditionalFormatting sqref="AD171:AG171">
    <cfRule type="expression" dxfId="643" priority="568">
      <formula>AND(NOT(ISBLANK(AD171)),$AI171)</formula>
    </cfRule>
  </conditionalFormatting>
  <conditionalFormatting sqref="Z171:AC171">
    <cfRule type="expression" dxfId="642" priority="567">
      <formula>AND(NOT(ISBLANK(Z171)),$AH171)</formula>
    </cfRule>
  </conditionalFormatting>
  <conditionalFormatting sqref="Z172:AG172">
    <cfRule type="expression" dxfId="641" priority="566">
      <formula>$M170="Default"</formula>
    </cfRule>
  </conditionalFormatting>
  <conditionalFormatting sqref="AD172:AG172">
    <cfRule type="expression" dxfId="640" priority="565">
      <formula>AND(NOT(ISBLANK(AD172)),$AI171)</formula>
    </cfRule>
  </conditionalFormatting>
  <conditionalFormatting sqref="Z172:AC172">
    <cfRule type="expression" dxfId="639" priority="564">
      <formula>AND(NOT(ISBLANK(Z172)),$AH171)</formula>
    </cfRule>
  </conditionalFormatting>
  <conditionalFormatting sqref="Z174:AG174">
    <cfRule type="expression" dxfId="638" priority="563">
      <formula>$M170="Default"</formula>
    </cfRule>
  </conditionalFormatting>
  <conditionalFormatting sqref="AD174:AG174">
    <cfRule type="expression" dxfId="637" priority="562">
      <formula>AND(NOT(ISBLANK(AD174)),$AI171)</formula>
    </cfRule>
  </conditionalFormatting>
  <conditionalFormatting sqref="Z174:AC174">
    <cfRule type="expression" dxfId="636" priority="561">
      <formula>AND(NOT(ISBLANK(Z174)),$AH171)</formula>
    </cfRule>
  </conditionalFormatting>
  <conditionalFormatting sqref="Z175:AG175">
    <cfRule type="expression" dxfId="635" priority="560">
      <formula>$M170="Default"</formula>
    </cfRule>
  </conditionalFormatting>
  <conditionalFormatting sqref="AD175:AG175">
    <cfRule type="expression" dxfId="634" priority="559">
      <formula>AND(NOT(ISBLANK(AD175)),$AI171)</formula>
    </cfRule>
  </conditionalFormatting>
  <conditionalFormatting sqref="Z175:AC175">
    <cfRule type="expression" dxfId="633" priority="558">
      <formula>AND(NOT(ISBLANK(Z175)),$AH171)</formula>
    </cfRule>
  </conditionalFormatting>
  <conditionalFormatting sqref="Z179:AG179">
    <cfRule type="expression" dxfId="632" priority="557">
      <formula>$M176="Default"</formula>
    </cfRule>
  </conditionalFormatting>
  <conditionalFormatting sqref="AD179:AG179">
    <cfRule type="expression" dxfId="631" priority="556">
      <formula>AND(NOT(ISBLANK(AD179)),$AI177)</formula>
    </cfRule>
  </conditionalFormatting>
  <conditionalFormatting sqref="Z176:AU176">
    <cfRule type="expression" dxfId="630" priority="551">
      <formula>$M176="Default"</formula>
    </cfRule>
  </conditionalFormatting>
  <conditionalFormatting sqref="Z176:AC176 AN176:AQ176">
    <cfRule type="expression" dxfId="629" priority="553">
      <formula>AND(NOT(ISBLANK(Z176)),$AH177)</formula>
    </cfRule>
  </conditionalFormatting>
  <conditionalFormatting sqref="AD176:AG176 AR176:AU176">
    <cfRule type="expression" dxfId="628" priority="552">
      <formula>AND(NOT(ISBLANK(AD176)),$AI177)</formula>
    </cfRule>
  </conditionalFormatting>
  <conditionalFormatting sqref="AH176:AM176">
    <cfRule type="expression" dxfId="627" priority="554">
      <formula>AND(NOT(ISBLANK(AH176)),$AJ177)</formula>
    </cfRule>
  </conditionalFormatting>
  <conditionalFormatting sqref="Z179:AC179">
    <cfRule type="expression" dxfId="626" priority="555">
      <formula>AND(NOT(ISBLANK(Z179)),$AH177)</formula>
    </cfRule>
  </conditionalFormatting>
  <conditionalFormatting sqref="Z177:AG177">
    <cfRule type="expression" dxfId="625" priority="550">
      <formula>$M176="Default"</formula>
    </cfRule>
  </conditionalFormatting>
  <conditionalFormatting sqref="AD177:AG177">
    <cfRule type="expression" dxfId="624" priority="549">
      <formula>AND(NOT(ISBLANK(AD177)),$AI177)</formula>
    </cfRule>
  </conditionalFormatting>
  <conditionalFormatting sqref="Z177:AC177">
    <cfRule type="expression" dxfId="623" priority="548">
      <formula>AND(NOT(ISBLANK(Z177)),$AH177)</formula>
    </cfRule>
  </conditionalFormatting>
  <conditionalFormatting sqref="Z178:AG178">
    <cfRule type="expression" dxfId="622" priority="547">
      <formula>$M176="Default"</formula>
    </cfRule>
  </conditionalFormatting>
  <conditionalFormatting sqref="AD178:AG178">
    <cfRule type="expression" dxfId="621" priority="546">
      <formula>AND(NOT(ISBLANK(AD178)),$AI177)</formula>
    </cfRule>
  </conditionalFormatting>
  <conditionalFormatting sqref="Z178:AC178">
    <cfRule type="expression" dxfId="620" priority="545">
      <formula>AND(NOT(ISBLANK(Z178)),$AH177)</formula>
    </cfRule>
  </conditionalFormatting>
  <conditionalFormatting sqref="Z180:AG180">
    <cfRule type="expression" dxfId="619" priority="544">
      <formula>$M176="Default"</formula>
    </cfRule>
  </conditionalFormatting>
  <conditionalFormatting sqref="AD180:AG180">
    <cfRule type="expression" dxfId="618" priority="543">
      <formula>AND(NOT(ISBLANK(AD180)),$AI177)</formula>
    </cfRule>
  </conditionalFormatting>
  <conditionalFormatting sqref="Z180:AC180">
    <cfRule type="expression" dxfId="617" priority="542">
      <formula>AND(NOT(ISBLANK(Z180)),$AH177)</formula>
    </cfRule>
  </conditionalFormatting>
  <conditionalFormatting sqref="Z181:AG181">
    <cfRule type="expression" dxfId="616" priority="541">
      <formula>$M176="Default"</formula>
    </cfRule>
  </conditionalFormatting>
  <conditionalFormatting sqref="AD181:AG181">
    <cfRule type="expression" dxfId="615" priority="540">
      <formula>AND(NOT(ISBLANK(AD181)),$AI177)</formula>
    </cfRule>
  </conditionalFormatting>
  <conditionalFormatting sqref="Z181:AC181">
    <cfRule type="expression" dxfId="614" priority="539">
      <formula>AND(NOT(ISBLANK(Z181)),$AH177)</formula>
    </cfRule>
  </conditionalFormatting>
  <conditionalFormatting sqref="Z185:AG185">
    <cfRule type="expression" dxfId="613" priority="538">
      <formula>$M182="Default"</formula>
    </cfRule>
  </conditionalFormatting>
  <conditionalFormatting sqref="AD185:AG185">
    <cfRule type="expression" dxfId="612" priority="537">
      <formula>AND(NOT(ISBLANK(AD185)),$AI183)</formula>
    </cfRule>
  </conditionalFormatting>
  <conditionalFormatting sqref="Z182:AU182">
    <cfRule type="expression" dxfId="611" priority="532">
      <formula>$M182="Default"</formula>
    </cfRule>
  </conditionalFormatting>
  <conditionalFormatting sqref="Z182:AC182 AN182:AQ182">
    <cfRule type="expression" dxfId="610" priority="534">
      <formula>AND(NOT(ISBLANK(Z182)),$AH183)</formula>
    </cfRule>
  </conditionalFormatting>
  <conditionalFormatting sqref="AD182:AG182 AR182:AU182">
    <cfRule type="expression" dxfId="609" priority="533">
      <formula>AND(NOT(ISBLANK(AD182)),$AI183)</formula>
    </cfRule>
  </conditionalFormatting>
  <conditionalFormatting sqref="AH182:AM182">
    <cfRule type="expression" dxfId="608" priority="535">
      <formula>AND(NOT(ISBLANK(AH182)),$AJ183)</formula>
    </cfRule>
  </conditionalFormatting>
  <conditionalFormatting sqref="Z185:AC185">
    <cfRule type="expression" dxfId="607" priority="536">
      <formula>AND(NOT(ISBLANK(Z185)),$AH183)</formula>
    </cfRule>
  </conditionalFormatting>
  <conditionalFormatting sqref="Z183:AG183">
    <cfRule type="expression" dxfId="606" priority="531">
      <formula>$M182="Default"</formula>
    </cfRule>
  </conditionalFormatting>
  <conditionalFormatting sqref="AD183:AG183">
    <cfRule type="expression" dxfId="605" priority="530">
      <formula>AND(NOT(ISBLANK(AD183)),$AI183)</formula>
    </cfRule>
  </conditionalFormatting>
  <conditionalFormatting sqref="Z183:AC183">
    <cfRule type="expression" dxfId="604" priority="529">
      <formula>AND(NOT(ISBLANK(Z183)),$AH183)</formula>
    </cfRule>
  </conditionalFormatting>
  <conditionalFormatting sqref="Z184:AG184">
    <cfRule type="expression" dxfId="603" priority="528">
      <formula>$M182="Default"</formula>
    </cfRule>
  </conditionalFormatting>
  <conditionalFormatting sqref="AD184:AG184">
    <cfRule type="expression" dxfId="602" priority="527">
      <formula>AND(NOT(ISBLANK(AD184)),$AI183)</formula>
    </cfRule>
  </conditionalFormatting>
  <conditionalFormatting sqref="Z184:AC184">
    <cfRule type="expression" dxfId="601" priority="526">
      <formula>AND(NOT(ISBLANK(Z184)),$AH183)</formula>
    </cfRule>
  </conditionalFormatting>
  <conditionalFormatting sqref="Z186:AG186">
    <cfRule type="expression" dxfId="600" priority="525">
      <formula>$M182="Default"</formula>
    </cfRule>
  </conditionalFormatting>
  <conditionalFormatting sqref="AD186:AG186">
    <cfRule type="expression" dxfId="599" priority="524">
      <formula>AND(NOT(ISBLANK(AD186)),$AI183)</formula>
    </cfRule>
  </conditionalFormatting>
  <conditionalFormatting sqref="Z186:AC186">
    <cfRule type="expression" dxfId="598" priority="523">
      <formula>AND(NOT(ISBLANK(Z186)),$AH183)</formula>
    </cfRule>
  </conditionalFormatting>
  <conditionalFormatting sqref="Z187:AG187">
    <cfRule type="expression" dxfId="597" priority="522">
      <formula>$M182="Default"</formula>
    </cfRule>
  </conditionalFormatting>
  <conditionalFormatting sqref="AD187:AG187">
    <cfRule type="expression" dxfId="596" priority="521">
      <formula>AND(NOT(ISBLANK(AD187)),$AI183)</formula>
    </cfRule>
  </conditionalFormatting>
  <conditionalFormatting sqref="Z187:AC187">
    <cfRule type="expression" dxfId="595" priority="520">
      <formula>AND(NOT(ISBLANK(Z187)),$AH183)</formula>
    </cfRule>
  </conditionalFormatting>
  <conditionalFormatting sqref="Z191:AG191">
    <cfRule type="expression" dxfId="594" priority="519">
      <formula>$M188="Default"</formula>
    </cfRule>
  </conditionalFormatting>
  <conditionalFormatting sqref="AD191:AG191">
    <cfRule type="expression" dxfId="593" priority="518">
      <formula>AND(NOT(ISBLANK(AD191)),$AI189)</formula>
    </cfRule>
  </conditionalFormatting>
  <conditionalFormatting sqref="Z188:AU188">
    <cfRule type="expression" dxfId="592" priority="513">
      <formula>$M188="Default"</formula>
    </cfRule>
  </conditionalFormatting>
  <conditionalFormatting sqref="Z188:AC188 AN188:AQ188">
    <cfRule type="expression" dxfId="591" priority="515">
      <formula>AND(NOT(ISBLANK(Z188)),$AH189)</formula>
    </cfRule>
  </conditionalFormatting>
  <conditionalFormatting sqref="AD188:AG188 AR188:AU188">
    <cfRule type="expression" dxfId="590" priority="514">
      <formula>AND(NOT(ISBLANK(AD188)),$AI189)</formula>
    </cfRule>
  </conditionalFormatting>
  <conditionalFormatting sqref="AH188:AM188">
    <cfRule type="expression" dxfId="589" priority="516">
      <formula>AND(NOT(ISBLANK(AH188)),$AJ189)</formula>
    </cfRule>
  </conditionalFormatting>
  <conditionalFormatting sqref="Z191:AC191">
    <cfRule type="expression" dxfId="588" priority="517">
      <formula>AND(NOT(ISBLANK(Z191)),$AH189)</formula>
    </cfRule>
  </conditionalFormatting>
  <conditionalFormatting sqref="Z189:AG189">
    <cfRule type="expression" dxfId="587" priority="512">
      <formula>$M188="Default"</formula>
    </cfRule>
  </conditionalFormatting>
  <conditionalFormatting sqref="AD189:AG189">
    <cfRule type="expression" dxfId="586" priority="511">
      <formula>AND(NOT(ISBLANK(AD189)),$AI189)</formula>
    </cfRule>
  </conditionalFormatting>
  <conditionalFormatting sqref="Z189:AC189">
    <cfRule type="expression" dxfId="585" priority="510">
      <formula>AND(NOT(ISBLANK(Z189)),$AH189)</formula>
    </cfRule>
  </conditionalFormatting>
  <conditionalFormatting sqref="Z190:AG190">
    <cfRule type="expression" dxfId="584" priority="509">
      <formula>$M188="Default"</formula>
    </cfRule>
  </conditionalFormatting>
  <conditionalFormatting sqref="AD190:AG190">
    <cfRule type="expression" dxfId="583" priority="508">
      <formula>AND(NOT(ISBLANK(AD190)),$AI189)</formula>
    </cfRule>
  </conditionalFormatting>
  <conditionalFormatting sqref="Z190:AC190">
    <cfRule type="expression" dxfId="582" priority="507">
      <formula>AND(NOT(ISBLANK(Z190)),$AH189)</formula>
    </cfRule>
  </conditionalFormatting>
  <conditionalFormatting sqref="Z192:AG192">
    <cfRule type="expression" dxfId="581" priority="506">
      <formula>$M188="Default"</formula>
    </cfRule>
  </conditionalFormatting>
  <conditionalFormatting sqref="AD192:AG192">
    <cfRule type="expression" dxfId="580" priority="505">
      <formula>AND(NOT(ISBLANK(AD192)),$AI189)</formula>
    </cfRule>
  </conditionalFormatting>
  <conditionalFormatting sqref="Z192:AC192">
    <cfRule type="expression" dxfId="579" priority="504">
      <formula>AND(NOT(ISBLANK(Z192)),$AH189)</formula>
    </cfRule>
  </conditionalFormatting>
  <conditionalFormatting sqref="Z193:AG193">
    <cfRule type="expression" dxfId="578" priority="503">
      <formula>$M188="Default"</formula>
    </cfRule>
  </conditionalFormatting>
  <conditionalFormatting sqref="AD193:AG193">
    <cfRule type="expression" dxfId="577" priority="502">
      <formula>AND(NOT(ISBLANK(AD193)),$AI189)</formula>
    </cfRule>
  </conditionalFormatting>
  <conditionalFormatting sqref="Z193:AC193">
    <cfRule type="expression" dxfId="576" priority="501">
      <formula>AND(NOT(ISBLANK(Z193)),$AH189)</formula>
    </cfRule>
  </conditionalFormatting>
  <conditionalFormatting sqref="Z197:AG197">
    <cfRule type="expression" dxfId="575" priority="500">
      <formula>$M194="Default"</formula>
    </cfRule>
  </conditionalFormatting>
  <conditionalFormatting sqref="AD197:AG197">
    <cfRule type="expression" dxfId="574" priority="499">
      <formula>AND(NOT(ISBLANK(AD197)),$AI195)</formula>
    </cfRule>
  </conditionalFormatting>
  <conditionalFormatting sqref="Z194:AU194">
    <cfRule type="expression" dxfId="573" priority="494">
      <formula>$M194="Default"</formula>
    </cfRule>
  </conditionalFormatting>
  <conditionalFormatting sqref="Z194:AC194 AN194:AQ194">
    <cfRule type="expression" dxfId="572" priority="496">
      <formula>AND(NOT(ISBLANK(Z194)),$AH195)</formula>
    </cfRule>
  </conditionalFormatting>
  <conditionalFormatting sqref="AD194:AG194 AR194:AU194">
    <cfRule type="expression" dxfId="571" priority="495">
      <formula>AND(NOT(ISBLANK(AD194)),$AI195)</formula>
    </cfRule>
  </conditionalFormatting>
  <conditionalFormatting sqref="AH194:AM194">
    <cfRule type="expression" dxfId="570" priority="497">
      <formula>AND(NOT(ISBLANK(AH194)),$AJ195)</formula>
    </cfRule>
  </conditionalFormatting>
  <conditionalFormatting sqref="Z197:AC197">
    <cfRule type="expression" dxfId="569" priority="498">
      <formula>AND(NOT(ISBLANK(Z197)),$AH195)</formula>
    </cfRule>
  </conditionalFormatting>
  <conditionalFormatting sqref="Z195:AG195">
    <cfRule type="expression" dxfId="568" priority="493">
      <formula>$M194="Default"</formula>
    </cfRule>
  </conditionalFormatting>
  <conditionalFormatting sqref="AD195:AG195">
    <cfRule type="expression" dxfId="567" priority="492">
      <formula>AND(NOT(ISBLANK(AD195)),$AI195)</formula>
    </cfRule>
  </conditionalFormatting>
  <conditionalFormatting sqref="Z195:AC195">
    <cfRule type="expression" dxfId="566" priority="491">
      <formula>AND(NOT(ISBLANK(Z195)),$AH195)</formula>
    </cfRule>
  </conditionalFormatting>
  <conditionalFormatting sqref="Z196:AG196">
    <cfRule type="expression" dxfId="565" priority="490">
      <formula>$M194="Default"</formula>
    </cfRule>
  </conditionalFormatting>
  <conditionalFormatting sqref="AD196:AG196">
    <cfRule type="expression" dxfId="564" priority="489">
      <formula>AND(NOT(ISBLANK(AD196)),$AI195)</formula>
    </cfRule>
  </conditionalFormatting>
  <conditionalFormatting sqref="Z196:AC196">
    <cfRule type="expression" dxfId="563" priority="488">
      <formula>AND(NOT(ISBLANK(Z196)),$AH195)</formula>
    </cfRule>
  </conditionalFormatting>
  <conditionalFormatting sqref="Z198:AG198">
    <cfRule type="expression" dxfId="562" priority="487">
      <formula>$M194="Default"</formula>
    </cfRule>
  </conditionalFormatting>
  <conditionalFormatting sqref="AD198:AG198">
    <cfRule type="expression" dxfId="561" priority="486">
      <formula>AND(NOT(ISBLANK(AD198)),$AI195)</formula>
    </cfRule>
  </conditionalFormatting>
  <conditionalFormatting sqref="Z198:AC198">
    <cfRule type="expression" dxfId="560" priority="485">
      <formula>AND(NOT(ISBLANK(Z198)),$AH195)</formula>
    </cfRule>
  </conditionalFormatting>
  <conditionalFormatting sqref="Z199:AG199">
    <cfRule type="expression" dxfId="559" priority="484">
      <formula>$M194="Default"</formula>
    </cfRule>
  </conditionalFormatting>
  <conditionalFormatting sqref="AD199:AG199">
    <cfRule type="expression" dxfId="558" priority="483">
      <formula>AND(NOT(ISBLANK(AD199)),$AI195)</formula>
    </cfRule>
  </conditionalFormatting>
  <conditionalFormatting sqref="Z199:AC199">
    <cfRule type="expression" dxfId="557" priority="482">
      <formula>AND(NOT(ISBLANK(Z199)),$AH195)</formula>
    </cfRule>
  </conditionalFormatting>
  <conditionalFormatting sqref="Z203:AG203">
    <cfRule type="expression" dxfId="556" priority="481">
      <formula>$M200="Default"</formula>
    </cfRule>
  </conditionalFormatting>
  <conditionalFormatting sqref="AD203:AG203">
    <cfRule type="expression" dxfId="555" priority="480">
      <formula>AND(NOT(ISBLANK(AD203)),$AI201)</formula>
    </cfRule>
  </conditionalFormatting>
  <conditionalFormatting sqref="Z200:AU200">
    <cfRule type="expression" dxfId="554" priority="475">
      <formula>$M200="Default"</formula>
    </cfRule>
  </conditionalFormatting>
  <conditionalFormatting sqref="Z200:AC200 AN200:AQ200">
    <cfRule type="expression" dxfId="553" priority="477">
      <formula>AND(NOT(ISBLANK(Z200)),$AH201)</formula>
    </cfRule>
  </conditionalFormatting>
  <conditionalFormatting sqref="AD200:AG200 AR200:AU200">
    <cfRule type="expression" dxfId="552" priority="476">
      <formula>AND(NOT(ISBLANK(AD200)),$AI201)</formula>
    </cfRule>
  </conditionalFormatting>
  <conditionalFormatting sqref="AH200:AM200">
    <cfRule type="expression" dxfId="551" priority="478">
      <formula>AND(NOT(ISBLANK(AH200)),$AJ201)</formula>
    </cfRule>
  </conditionalFormatting>
  <conditionalFormatting sqref="Z203:AC203">
    <cfRule type="expression" dxfId="550" priority="479">
      <formula>AND(NOT(ISBLANK(Z203)),$AH201)</formula>
    </cfRule>
  </conditionalFormatting>
  <conditionalFormatting sqref="Z201:AG201">
    <cfRule type="expression" dxfId="549" priority="474">
      <formula>$M200="Default"</formula>
    </cfRule>
  </conditionalFormatting>
  <conditionalFormatting sqref="AD201:AG201">
    <cfRule type="expression" dxfId="548" priority="473">
      <formula>AND(NOT(ISBLANK(AD201)),$AI201)</formula>
    </cfRule>
  </conditionalFormatting>
  <conditionalFormatting sqref="Z201:AC201">
    <cfRule type="expression" dxfId="547" priority="472">
      <formula>AND(NOT(ISBLANK(Z201)),$AH201)</formula>
    </cfRule>
  </conditionalFormatting>
  <conditionalFormatting sqref="Z202:AG202">
    <cfRule type="expression" dxfId="546" priority="471">
      <formula>$M200="Default"</formula>
    </cfRule>
  </conditionalFormatting>
  <conditionalFormatting sqref="AD202:AG202">
    <cfRule type="expression" dxfId="545" priority="470">
      <formula>AND(NOT(ISBLANK(AD202)),$AI201)</formula>
    </cfRule>
  </conditionalFormatting>
  <conditionalFormatting sqref="Z202:AC202">
    <cfRule type="expression" dxfId="544" priority="469">
      <formula>AND(NOT(ISBLANK(Z202)),$AH201)</formula>
    </cfRule>
  </conditionalFormatting>
  <conditionalFormatting sqref="Z204:AG204">
    <cfRule type="expression" dxfId="543" priority="468">
      <formula>$M200="Default"</formula>
    </cfRule>
  </conditionalFormatting>
  <conditionalFormatting sqref="AD204:AG204">
    <cfRule type="expression" dxfId="542" priority="467">
      <formula>AND(NOT(ISBLANK(AD204)),$AI201)</formula>
    </cfRule>
  </conditionalFormatting>
  <conditionalFormatting sqref="Z204:AC204">
    <cfRule type="expression" dxfId="541" priority="466">
      <formula>AND(NOT(ISBLANK(Z204)),$AH201)</formula>
    </cfRule>
  </conditionalFormatting>
  <conditionalFormatting sqref="Z205:AG205">
    <cfRule type="expression" dxfId="540" priority="465">
      <formula>$M200="Default"</formula>
    </cfRule>
  </conditionalFormatting>
  <conditionalFormatting sqref="AD205:AG205">
    <cfRule type="expression" dxfId="539" priority="464">
      <formula>AND(NOT(ISBLANK(AD205)),$AI201)</formula>
    </cfRule>
  </conditionalFormatting>
  <conditionalFormatting sqref="Z205:AC205">
    <cfRule type="expression" dxfId="538" priority="463">
      <formula>AND(NOT(ISBLANK(Z205)),$AH201)</formula>
    </cfRule>
  </conditionalFormatting>
  <conditionalFormatting sqref="Z209:AG209">
    <cfRule type="expression" dxfId="537" priority="462">
      <formula>$M206="Default"</formula>
    </cfRule>
  </conditionalFormatting>
  <conditionalFormatting sqref="AD209:AG209">
    <cfRule type="expression" dxfId="536" priority="461">
      <formula>AND(NOT(ISBLANK(AD209)),$AI207)</formula>
    </cfRule>
  </conditionalFormatting>
  <conditionalFormatting sqref="Z206:AU206">
    <cfRule type="expression" dxfId="535" priority="456">
      <formula>$M206="Default"</formula>
    </cfRule>
  </conditionalFormatting>
  <conditionalFormatting sqref="Z206:AC206 AN206:AQ206">
    <cfRule type="expression" dxfId="534" priority="458">
      <formula>AND(NOT(ISBLANK(Z206)),$AH207)</formula>
    </cfRule>
  </conditionalFormatting>
  <conditionalFormatting sqref="AD206:AG206 AR206:AU206">
    <cfRule type="expression" dxfId="533" priority="457">
      <formula>AND(NOT(ISBLANK(AD206)),$AI207)</formula>
    </cfRule>
  </conditionalFormatting>
  <conditionalFormatting sqref="AH206:AM206">
    <cfRule type="expression" dxfId="532" priority="459">
      <formula>AND(NOT(ISBLANK(AH206)),$AJ207)</formula>
    </cfRule>
  </conditionalFormatting>
  <conditionalFormatting sqref="Z209:AC209">
    <cfRule type="expression" dxfId="531" priority="460">
      <formula>AND(NOT(ISBLANK(Z209)),$AH207)</formula>
    </cfRule>
  </conditionalFormatting>
  <conditionalFormatting sqref="Z207:AG207">
    <cfRule type="expression" dxfId="530" priority="455">
      <formula>$M206="Default"</formula>
    </cfRule>
  </conditionalFormatting>
  <conditionalFormatting sqref="AD207:AG207">
    <cfRule type="expression" dxfId="529" priority="454">
      <formula>AND(NOT(ISBLANK(AD207)),$AI207)</formula>
    </cfRule>
  </conditionalFormatting>
  <conditionalFormatting sqref="Z207:AC207">
    <cfRule type="expression" dxfId="528" priority="453">
      <formula>AND(NOT(ISBLANK(Z207)),$AH207)</formula>
    </cfRule>
  </conditionalFormatting>
  <conditionalFormatting sqref="Z208:AG208">
    <cfRule type="expression" dxfId="527" priority="452">
      <formula>$M206="Default"</formula>
    </cfRule>
  </conditionalFormatting>
  <conditionalFormatting sqref="AD208:AG208">
    <cfRule type="expression" dxfId="526" priority="451">
      <formula>AND(NOT(ISBLANK(AD208)),$AI207)</formula>
    </cfRule>
  </conditionalFormatting>
  <conditionalFormatting sqref="Z208:AC208">
    <cfRule type="expression" dxfId="525" priority="450">
      <formula>AND(NOT(ISBLANK(Z208)),$AH207)</formula>
    </cfRule>
  </conditionalFormatting>
  <conditionalFormatting sqref="Z210:AG210">
    <cfRule type="expression" dxfId="524" priority="449">
      <formula>$M206="Default"</formula>
    </cfRule>
  </conditionalFormatting>
  <conditionalFormatting sqref="AD210:AG210">
    <cfRule type="expression" dxfId="523" priority="448">
      <formula>AND(NOT(ISBLANK(AD210)),$AI207)</formula>
    </cfRule>
  </conditionalFormatting>
  <conditionalFormatting sqref="Z210:AC210">
    <cfRule type="expression" dxfId="522" priority="447">
      <formula>AND(NOT(ISBLANK(Z210)),$AH207)</formula>
    </cfRule>
  </conditionalFormatting>
  <conditionalFormatting sqref="Z211:AG211">
    <cfRule type="expression" dxfId="521" priority="446">
      <formula>$M206="Default"</formula>
    </cfRule>
  </conditionalFormatting>
  <conditionalFormatting sqref="AD211:AG211">
    <cfRule type="expression" dxfId="520" priority="445">
      <formula>AND(NOT(ISBLANK(AD211)),$AI207)</formula>
    </cfRule>
  </conditionalFormatting>
  <conditionalFormatting sqref="Z211:AC211">
    <cfRule type="expression" dxfId="519" priority="444">
      <formula>AND(NOT(ISBLANK(Z211)),$AH207)</formula>
    </cfRule>
  </conditionalFormatting>
  <conditionalFormatting sqref="Z215:AG215">
    <cfRule type="expression" dxfId="518" priority="443">
      <formula>$M212="Default"</formula>
    </cfRule>
  </conditionalFormatting>
  <conditionalFormatting sqref="AD215:AG215">
    <cfRule type="expression" dxfId="517" priority="442">
      <formula>AND(NOT(ISBLANK(AD215)),$AI213)</formula>
    </cfRule>
  </conditionalFormatting>
  <conditionalFormatting sqref="Z212:AU212">
    <cfRule type="expression" dxfId="516" priority="437">
      <formula>$M212="Default"</formula>
    </cfRule>
  </conditionalFormatting>
  <conditionalFormatting sqref="Z212:AC212 AN212:AQ212">
    <cfRule type="expression" dxfId="515" priority="439">
      <formula>AND(NOT(ISBLANK(Z212)),$AH213)</formula>
    </cfRule>
  </conditionalFormatting>
  <conditionalFormatting sqref="AD212:AG212 AR212:AU212">
    <cfRule type="expression" dxfId="514" priority="438">
      <formula>AND(NOT(ISBLANK(AD212)),$AI213)</formula>
    </cfRule>
  </conditionalFormatting>
  <conditionalFormatting sqref="AH212:AM212">
    <cfRule type="expression" dxfId="513" priority="440">
      <formula>AND(NOT(ISBLANK(AH212)),$AJ213)</formula>
    </cfRule>
  </conditionalFormatting>
  <conditionalFormatting sqref="Z215:AC215">
    <cfRule type="expression" dxfId="512" priority="441">
      <formula>AND(NOT(ISBLANK(Z215)),$AH213)</formula>
    </cfRule>
  </conditionalFormatting>
  <conditionalFormatting sqref="Z213:AG213">
    <cfRule type="expression" dxfId="511" priority="436">
      <formula>$M212="Default"</formula>
    </cfRule>
  </conditionalFormatting>
  <conditionalFormatting sqref="AD213:AG213">
    <cfRule type="expression" dxfId="510" priority="435">
      <formula>AND(NOT(ISBLANK(AD213)),$AI213)</formula>
    </cfRule>
  </conditionalFormatting>
  <conditionalFormatting sqref="Z213:AC213">
    <cfRule type="expression" dxfId="509" priority="434">
      <formula>AND(NOT(ISBLANK(Z213)),$AH213)</formula>
    </cfRule>
  </conditionalFormatting>
  <conditionalFormatting sqref="Z214:AG214">
    <cfRule type="expression" dxfId="508" priority="433">
      <formula>$M212="Default"</formula>
    </cfRule>
  </conditionalFormatting>
  <conditionalFormatting sqref="AD214:AG214">
    <cfRule type="expression" dxfId="507" priority="432">
      <formula>AND(NOT(ISBLANK(AD214)),$AI213)</formula>
    </cfRule>
  </conditionalFormatting>
  <conditionalFormatting sqref="Z214:AC214">
    <cfRule type="expression" dxfId="506" priority="431">
      <formula>AND(NOT(ISBLANK(Z214)),$AH213)</formula>
    </cfRule>
  </conditionalFormatting>
  <conditionalFormatting sqref="Z216:AG216">
    <cfRule type="expression" dxfId="505" priority="430">
      <formula>$M212="Default"</formula>
    </cfRule>
  </conditionalFormatting>
  <conditionalFormatting sqref="AD216:AG216">
    <cfRule type="expression" dxfId="504" priority="429">
      <formula>AND(NOT(ISBLANK(AD216)),$AI213)</formula>
    </cfRule>
  </conditionalFormatting>
  <conditionalFormatting sqref="Z216:AC216">
    <cfRule type="expression" dxfId="503" priority="428">
      <formula>AND(NOT(ISBLANK(Z216)),$AH213)</formula>
    </cfRule>
  </conditionalFormatting>
  <conditionalFormatting sqref="Z217:AG217">
    <cfRule type="expression" dxfId="502" priority="427">
      <formula>$M212="Default"</formula>
    </cfRule>
  </conditionalFormatting>
  <conditionalFormatting sqref="AD217:AG217">
    <cfRule type="expression" dxfId="501" priority="426">
      <formula>AND(NOT(ISBLANK(AD217)),$AI213)</formula>
    </cfRule>
  </conditionalFormatting>
  <conditionalFormatting sqref="Z217:AC217">
    <cfRule type="expression" dxfId="500" priority="425">
      <formula>AND(NOT(ISBLANK(Z217)),$AH213)</formula>
    </cfRule>
  </conditionalFormatting>
  <conditionalFormatting sqref="Z221:AG221">
    <cfRule type="expression" dxfId="499" priority="424">
      <formula>$M218="Default"</formula>
    </cfRule>
  </conditionalFormatting>
  <conditionalFormatting sqref="AD221:AG221">
    <cfRule type="expression" dxfId="498" priority="423">
      <formula>AND(NOT(ISBLANK(AD221)),$AI219)</formula>
    </cfRule>
  </conditionalFormatting>
  <conditionalFormatting sqref="Z218:AU218">
    <cfRule type="expression" dxfId="497" priority="418">
      <formula>$M218="Default"</formula>
    </cfRule>
  </conditionalFormatting>
  <conditionalFormatting sqref="Z218:AC218 AN218:AQ218">
    <cfRule type="expression" dxfId="496" priority="420">
      <formula>AND(NOT(ISBLANK(Z218)),$AH219)</formula>
    </cfRule>
  </conditionalFormatting>
  <conditionalFormatting sqref="AD218:AG218 AR218:AU218">
    <cfRule type="expression" dxfId="495" priority="419">
      <formula>AND(NOT(ISBLANK(AD218)),$AI219)</formula>
    </cfRule>
  </conditionalFormatting>
  <conditionalFormatting sqref="AH218:AM218">
    <cfRule type="expression" dxfId="494" priority="421">
      <formula>AND(NOT(ISBLANK(AH218)),$AJ219)</formula>
    </cfRule>
  </conditionalFormatting>
  <conditionalFormatting sqref="Z221:AC221">
    <cfRule type="expression" dxfId="493" priority="422">
      <formula>AND(NOT(ISBLANK(Z221)),$AH219)</formula>
    </cfRule>
  </conditionalFormatting>
  <conditionalFormatting sqref="Z219:AG219">
    <cfRule type="expression" dxfId="492" priority="417">
      <formula>$M218="Default"</formula>
    </cfRule>
  </conditionalFormatting>
  <conditionalFormatting sqref="AD219:AG219">
    <cfRule type="expression" dxfId="491" priority="416">
      <formula>AND(NOT(ISBLANK(AD219)),$AI219)</formula>
    </cfRule>
  </conditionalFormatting>
  <conditionalFormatting sqref="Z219:AC219">
    <cfRule type="expression" dxfId="490" priority="415">
      <formula>AND(NOT(ISBLANK(Z219)),$AH219)</formula>
    </cfRule>
  </conditionalFormatting>
  <conditionalFormatting sqref="Z220:AG220">
    <cfRule type="expression" dxfId="489" priority="414">
      <formula>$M218="Default"</formula>
    </cfRule>
  </conditionalFormatting>
  <conditionalFormatting sqref="AD220:AG220">
    <cfRule type="expression" dxfId="488" priority="413">
      <formula>AND(NOT(ISBLANK(AD220)),$AI219)</formula>
    </cfRule>
  </conditionalFormatting>
  <conditionalFormatting sqref="Z220:AC220">
    <cfRule type="expression" dxfId="487" priority="412">
      <formula>AND(NOT(ISBLANK(Z220)),$AH219)</formula>
    </cfRule>
  </conditionalFormatting>
  <conditionalFormatting sqref="Z222:AG222">
    <cfRule type="expression" dxfId="486" priority="411">
      <formula>$M218="Default"</formula>
    </cfRule>
  </conditionalFormatting>
  <conditionalFormatting sqref="AD222:AG222">
    <cfRule type="expression" dxfId="485" priority="410">
      <formula>AND(NOT(ISBLANK(AD222)),$AI219)</formula>
    </cfRule>
  </conditionalFormatting>
  <conditionalFormatting sqref="Z222:AC222">
    <cfRule type="expression" dxfId="484" priority="409">
      <formula>AND(NOT(ISBLANK(Z222)),$AH219)</formula>
    </cfRule>
  </conditionalFormatting>
  <conditionalFormatting sqref="Z223:AG223">
    <cfRule type="expression" dxfId="483" priority="408">
      <formula>$M218="Default"</formula>
    </cfRule>
  </conditionalFormatting>
  <conditionalFormatting sqref="AD223:AG223">
    <cfRule type="expression" dxfId="482" priority="407">
      <formula>AND(NOT(ISBLANK(AD223)),$AI219)</formula>
    </cfRule>
  </conditionalFormatting>
  <conditionalFormatting sqref="Z223:AC223">
    <cfRule type="expression" dxfId="481" priority="406">
      <formula>AND(NOT(ISBLANK(Z223)),$AH219)</formula>
    </cfRule>
  </conditionalFormatting>
  <conditionalFormatting sqref="Z227:AG227">
    <cfRule type="expression" dxfId="480" priority="405">
      <formula>$M224="Default"</formula>
    </cfRule>
  </conditionalFormatting>
  <conditionalFormatting sqref="AD227:AG227">
    <cfRule type="expression" dxfId="479" priority="404">
      <formula>AND(NOT(ISBLANK(AD227)),$AI225)</formula>
    </cfRule>
  </conditionalFormatting>
  <conditionalFormatting sqref="Z224:AU224">
    <cfRule type="expression" dxfId="478" priority="399">
      <formula>$M224="Default"</formula>
    </cfRule>
  </conditionalFormatting>
  <conditionalFormatting sqref="Z224:AC224 AN224:AQ224">
    <cfRule type="expression" dxfId="477" priority="401">
      <formula>AND(NOT(ISBLANK(Z224)),$AH225)</formula>
    </cfRule>
  </conditionalFormatting>
  <conditionalFormatting sqref="AD224:AG224 AR224:AU224">
    <cfRule type="expression" dxfId="476" priority="400">
      <formula>AND(NOT(ISBLANK(AD224)),$AI225)</formula>
    </cfRule>
  </conditionalFormatting>
  <conditionalFormatting sqref="AH224:AM224">
    <cfRule type="expression" dxfId="475" priority="402">
      <formula>AND(NOT(ISBLANK(AH224)),$AJ225)</formula>
    </cfRule>
  </conditionalFormatting>
  <conditionalFormatting sqref="Z227:AC227">
    <cfRule type="expression" dxfId="474" priority="403">
      <formula>AND(NOT(ISBLANK(Z227)),$AH225)</formula>
    </cfRule>
  </conditionalFormatting>
  <conditionalFormatting sqref="Z225:AG225">
    <cfRule type="expression" dxfId="473" priority="398">
      <formula>$M224="Default"</formula>
    </cfRule>
  </conditionalFormatting>
  <conditionalFormatting sqref="AD225:AG225">
    <cfRule type="expression" dxfId="472" priority="397">
      <formula>AND(NOT(ISBLANK(AD225)),$AI225)</formula>
    </cfRule>
  </conditionalFormatting>
  <conditionalFormatting sqref="Z225:AC225">
    <cfRule type="expression" dxfId="471" priority="396">
      <formula>AND(NOT(ISBLANK(Z225)),$AH225)</formula>
    </cfRule>
  </conditionalFormatting>
  <conditionalFormatting sqref="Z226:AG226">
    <cfRule type="expression" dxfId="470" priority="395">
      <formula>$M224="Default"</formula>
    </cfRule>
  </conditionalFormatting>
  <conditionalFormatting sqref="AD226:AG226">
    <cfRule type="expression" dxfId="469" priority="394">
      <formula>AND(NOT(ISBLANK(AD226)),$AI225)</formula>
    </cfRule>
  </conditionalFormatting>
  <conditionalFormatting sqref="Z226:AC226">
    <cfRule type="expression" dxfId="468" priority="393">
      <formula>AND(NOT(ISBLANK(Z226)),$AH225)</formula>
    </cfRule>
  </conditionalFormatting>
  <conditionalFormatting sqref="Z228:AG228">
    <cfRule type="expression" dxfId="467" priority="392">
      <formula>$M224="Default"</formula>
    </cfRule>
  </conditionalFormatting>
  <conditionalFormatting sqref="AD228:AG228">
    <cfRule type="expression" dxfId="466" priority="391">
      <formula>AND(NOT(ISBLANK(AD228)),$AI225)</formula>
    </cfRule>
  </conditionalFormatting>
  <conditionalFormatting sqref="Z228:AC228">
    <cfRule type="expression" dxfId="465" priority="390">
      <formula>AND(NOT(ISBLANK(Z228)),$AH225)</formula>
    </cfRule>
  </conditionalFormatting>
  <conditionalFormatting sqref="Z229:AG229">
    <cfRule type="expression" dxfId="464" priority="389">
      <formula>$M224="Default"</formula>
    </cfRule>
  </conditionalFormatting>
  <conditionalFormatting sqref="AD229:AG229">
    <cfRule type="expression" dxfId="463" priority="388">
      <formula>AND(NOT(ISBLANK(AD229)),$AI225)</formula>
    </cfRule>
  </conditionalFormatting>
  <conditionalFormatting sqref="Z229:AC229">
    <cfRule type="expression" dxfId="462" priority="387">
      <formula>AND(NOT(ISBLANK(Z229)),$AH225)</formula>
    </cfRule>
  </conditionalFormatting>
  <conditionalFormatting sqref="Z233:AG233">
    <cfRule type="expression" dxfId="461" priority="386">
      <formula>$M230="Default"</formula>
    </cfRule>
  </conditionalFormatting>
  <conditionalFormatting sqref="AD233:AG233">
    <cfRule type="expression" dxfId="460" priority="385">
      <formula>AND(NOT(ISBLANK(AD233)),$AI231)</formula>
    </cfRule>
  </conditionalFormatting>
  <conditionalFormatting sqref="Z230:AU230">
    <cfRule type="expression" dxfId="459" priority="380">
      <formula>$M230="Default"</formula>
    </cfRule>
  </conditionalFormatting>
  <conditionalFormatting sqref="Z230:AC230 AN230:AQ230">
    <cfRule type="expression" dxfId="458" priority="382">
      <formula>AND(NOT(ISBLANK(Z230)),$AH231)</formula>
    </cfRule>
  </conditionalFormatting>
  <conditionalFormatting sqref="AD230:AG230 AR230:AU230">
    <cfRule type="expression" dxfId="457" priority="381">
      <formula>AND(NOT(ISBLANK(AD230)),$AI231)</formula>
    </cfRule>
  </conditionalFormatting>
  <conditionalFormatting sqref="AH230:AM230">
    <cfRule type="expression" dxfId="456" priority="383">
      <formula>AND(NOT(ISBLANK(AH230)),$AJ231)</formula>
    </cfRule>
  </conditionalFormatting>
  <conditionalFormatting sqref="Z233:AC233">
    <cfRule type="expression" dxfId="455" priority="384">
      <formula>AND(NOT(ISBLANK(Z233)),$AH231)</formula>
    </cfRule>
  </conditionalFormatting>
  <conditionalFormatting sqref="Z231:AG231">
    <cfRule type="expression" dxfId="454" priority="379">
      <formula>$M230="Default"</formula>
    </cfRule>
  </conditionalFormatting>
  <conditionalFormatting sqref="AD231:AG231">
    <cfRule type="expression" dxfId="453" priority="378">
      <formula>AND(NOT(ISBLANK(AD231)),$AI231)</formula>
    </cfRule>
  </conditionalFormatting>
  <conditionalFormatting sqref="Z231:AC231">
    <cfRule type="expression" dxfId="452" priority="377">
      <formula>AND(NOT(ISBLANK(Z231)),$AH231)</formula>
    </cfRule>
  </conditionalFormatting>
  <conditionalFormatting sqref="Z232:AG232">
    <cfRule type="expression" dxfId="451" priority="376">
      <formula>$M230="Default"</formula>
    </cfRule>
  </conditionalFormatting>
  <conditionalFormatting sqref="AD232:AG232">
    <cfRule type="expression" dxfId="450" priority="375">
      <formula>AND(NOT(ISBLANK(AD232)),$AI231)</formula>
    </cfRule>
  </conditionalFormatting>
  <conditionalFormatting sqref="Z232:AC232">
    <cfRule type="expression" dxfId="449" priority="374">
      <formula>AND(NOT(ISBLANK(Z232)),$AH231)</formula>
    </cfRule>
  </conditionalFormatting>
  <conditionalFormatting sqref="Z234:AG234">
    <cfRule type="expression" dxfId="448" priority="373">
      <formula>$M230="Default"</formula>
    </cfRule>
  </conditionalFormatting>
  <conditionalFormatting sqref="AD234:AG234">
    <cfRule type="expression" dxfId="447" priority="372">
      <formula>AND(NOT(ISBLANK(AD234)),$AI231)</formula>
    </cfRule>
  </conditionalFormatting>
  <conditionalFormatting sqref="Z234:AC234">
    <cfRule type="expression" dxfId="446" priority="371">
      <formula>AND(NOT(ISBLANK(Z234)),$AH231)</formula>
    </cfRule>
  </conditionalFormatting>
  <conditionalFormatting sqref="Z235:AG235">
    <cfRule type="expression" dxfId="445" priority="370">
      <formula>$M230="Default"</formula>
    </cfRule>
  </conditionalFormatting>
  <conditionalFormatting sqref="AD235:AG235">
    <cfRule type="expression" dxfId="444" priority="369">
      <formula>AND(NOT(ISBLANK(AD235)),$AI231)</formula>
    </cfRule>
  </conditionalFormatting>
  <conditionalFormatting sqref="Z235:AC235">
    <cfRule type="expression" dxfId="443" priority="368">
      <formula>AND(NOT(ISBLANK(Z235)),$AH231)</formula>
    </cfRule>
  </conditionalFormatting>
  <conditionalFormatting sqref="Z239:AG239">
    <cfRule type="expression" dxfId="442" priority="367">
      <formula>$M236="Default"</formula>
    </cfRule>
  </conditionalFormatting>
  <conditionalFormatting sqref="AD239:AG239">
    <cfRule type="expression" dxfId="441" priority="366">
      <formula>AND(NOT(ISBLANK(AD239)),$AI237)</formula>
    </cfRule>
  </conditionalFormatting>
  <conditionalFormatting sqref="Z236:AU236">
    <cfRule type="expression" dxfId="440" priority="361">
      <formula>$M236="Default"</formula>
    </cfRule>
  </conditionalFormatting>
  <conditionalFormatting sqref="Z236:AC236 AN236:AQ236">
    <cfRule type="expression" dxfId="439" priority="363">
      <formula>AND(NOT(ISBLANK(Z236)),$AH237)</formula>
    </cfRule>
  </conditionalFormatting>
  <conditionalFormatting sqref="AD236:AG236 AR236:AU236">
    <cfRule type="expression" dxfId="438" priority="362">
      <formula>AND(NOT(ISBLANK(AD236)),$AI237)</formula>
    </cfRule>
  </conditionalFormatting>
  <conditionalFormatting sqref="AH236:AM236">
    <cfRule type="expression" dxfId="437" priority="364">
      <formula>AND(NOT(ISBLANK(AH236)),$AJ237)</formula>
    </cfRule>
  </conditionalFormatting>
  <conditionalFormatting sqref="Z239:AC239">
    <cfRule type="expression" dxfId="436" priority="365">
      <formula>AND(NOT(ISBLANK(Z239)),$AH237)</formula>
    </cfRule>
  </conditionalFormatting>
  <conditionalFormatting sqref="Z237:AG237">
    <cfRule type="expression" dxfId="435" priority="360">
      <formula>$M236="Default"</formula>
    </cfRule>
  </conditionalFormatting>
  <conditionalFormatting sqref="AD237:AG237">
    <cfRule type="expression" dxfId="434" priority="359">
      <formula>AND(NOT(ISBLANK(AD237)),$AI237)</formula>
    </cfRule>
  </conditionalFormatting>
  <conditionalFormatting sqref="Z237:AC237">
    <cfRule type="expression" dxfId="433" priority="358">
      <formula>AND(NOT(ISBLANK(Z237)),$AH237)</formula>
    </cfRule>
  </conditionalFormatting>
  <conditionalFormatting sqref="Z238:AG238">
    <cfRule type="expression" dxfId="432" priority="357">
      <formula>$M236="Default"</formula>
    </cfRule>
  </conditionalFormatting>
  <conditionalFormatting sqref="AD238:AG238">
    <cfRule type="expression" dxfId="431" priority="356">
      <formula>AND(NOT(ISBLANK(AD238)),$AI237)</formula>
    </cfRule>
  </conditionalFormatting>
  <conditionalFormatting sqref="Z238:AC238">
    <cfRule type="expression" dxfId="430" priority="355">
      <formula>AND(NOT(ISBLANK(Z238)),$AH237)</formula>
    </cfRule>
  </conditionalFormatting>
  <conditionalFormatting sqref="Z240:AG240">
    <cfRule type="expression" dxfId="429" priority="354">
      <formula>$M236="Default"</formula>
    </cfRule>
  </conditionalFormatting>
  <conditionalFormatting sqref="AD240:AG240">
    <cfRule type="expression" dxfId="428" priority="353">
      <formula>AND(NOT(ISBLANK(AD240)),$AI237)</formula>
    </cfRule>
  </conditionalFormatting>
  <conditionalFormatting sqref="Z240:AC240">
    <cfRule type="expression" dxfId="427" priority="352">
      <formula>AND(NOT(ISBLANK(Z240)),$AH237)</formula>
    </cfRule>
  </conditionalFormatting>
  <conditionalFormatting sqref="Z241:AG241">
    <cfRule type="expression" dxfId="426" priority="351">
      <formula>$M236="Default"</formula>
    </cfRule>
  </conditionalFormatting>
  <conditionalFormatting sqref="AD241:AG241">
    <cfRule type="expression" dxfId="425" priority="350">
      <formula>AND(NOT(ISBLANK(AD241)),$AI237)</formula>
    </cfRule>
  </conditionalFormatting>
  <conditionalFormatting sqref="Z241:AC241">
    <cfRule type="expression" dxfId="424" priority="349">
      <formula>AND(NOT(ISBLANK(Z241)),$AH237)</formula>
    </cfRule>
  </conditionalFormatting>
  <conditionalFormatting sqref="Z245:AG245">
    <cfRule type="expression" dxfId="423" priority="348">
      <formula>$M242="Default"</formula>
    </cfRule>
  </conditionalFormatting>
  <conditionalFormatting sqref="AD245:AG245">
    <cfRule type="expression" dxfId="422" priority="347">
      <formula>AND(NOT(ISBLANK(AD245)),$AI243)</formula>
    </cfRule>
  </conditionalFormatting>
  <conditionalFormatting sqref="Z242:AU242">
    <cfRule type="expression" dxfId="421" priority="342">
      <formula>$M242="Default"</formula>
    </cfRule>
  </conditionalFormatting>
  <conditionalFormatting sqref="Z242:AC242 AN242:AQ242">
    <cfRule type="expression" dxfId="420" priority="344">
      <formula>AND(NOT(ISBLANK(Z242)),$AH243)</formula>
    </cfRule>
  </conditionalFormatting>
  <conditionalFormatting sqref="AD242:AG242 AR242:AU242">
    <cfRule type="expression" dxfId="419" priority="343">
      <formula>AND(NOT(ISBLANK(AD242)),$AI243)</formula>
    </cfRule>
  </conditionalFormatting>
  <conditionalFormatting sqref="AH242:AM242">
    <cfRule type="expression" dxfId="418" priority="345">
      <formula>AND(NOT(ISBLANK(AH242)),$AJ243)</formula>
    </cfRule>
  </conditionalFormatting>
  <conditionalFormatting sqref="Z245:AC245">
    <cfRule type="expression" dxfId="417" priority="346">
      <formula>AND(NOT(ISBLANK(Z245)),$AH243)</formula>
    </cfRule>
  </conditionalFormatting>
  <conditionalFormatting sqref="Z243:AG243">
    <cfRule type="expression" dxfId="416" priority="341">
      <formula>$M242="Default"</formula>
    </cfRule>
  </conditionalFormatting>
  <conditionalFormatting sqref="AD243:AG243">
    <cfRule type="expression" dxfId="415" priority="340">
      <formula>AND(NOT(ISBLANK(AD243)),$AI243)</formula>
    </cfRule>
  </conditionalFormatting>
  <conditionalFormatting sqref="Z243:AC243">
    <cfRule type="expression" dxfId="414" priority="339">
      <formula>AND(NOT(ISBLANK(Z243)),$AH243)</formula>
    </cfRule>
  </conditionalFormatting>
  <conditionalFormatting sqref="Z244:AG244">
    <cfRule type="expression" dxfId="413" priority="338">
      <formula>$M242="Default"</formula>
    </cfRule>
  </conditionalFormatting>
  <conditionalFormatting sqref="AD244:AG244">
    <cfRule type="expression" dxfId="412" priority="337">
      <formula>AND(NOT(ISBLANK(AD244)),$AI243)</formula>
    </cfRule>
  </conditionalFormatting>
  <conditionalFormatting sqref="Z244:AC244">
    <cfRule type="expression" dxfId="411" priority="336">
      <formula>AND(NOT(ISBLANK(Z244)),$AH243)</formula>
    </cfRule>
  </conditionalFormatting>
  <conditionalFormatting sqref="Z246:AG246">
    <cfRule type="expression" dxfId="410" priority="335">
      <formula>$M242="Default"</formula>
    </cfRule>
  </conditionalFormatting>
  <conditionalFormatting sqref="AD246:AG246">
    <cfRule type="expression" dxfId="409" priority="334">
      <formula>AND(NOT(ISBLANK(AD246)),$AI243)</formula>
    </cfRule>
  </conditionalFormatting>
  <conditionalFormatting sqref="Z246:AC246">
    <cfRule type="expression" dxfId="408" priority="333">
      <formula>AND(NOT(ISBLANK(Z246)),$AH243)</formula>
    </cfRule>
  </conditionalFormatting>
  <conditionalFormatting sqref="Z247:AG247">
    <cfRule type="expression" dxfId="407" priority="332">
      <formula>$M242="Default"</formula>
    </cfRule>
  </conditionalFormatting>
  <conditionalFormatting sqref="AD247:AG247">
    <cfRule type="expression" dxfId="406" priority="331">
      <formula>AND(NOT(ISBLANK(AD247)),$AI243)</formula>
    </cfRule>
  </conditionalFormatting>
  <conditionalFormatting sqref="Z247:AC247">
    <cfRule type="expression" dxfId="405" priority="330">
      <formula>AND(NOT(ISBLANK(Z247)),$AH243)</formula>
    </cfRule>
  </conditionalFormatting>
  <conditionalFormatting sqref="Z251:AG251">
    <cfRule type="expression" dxfId="404" priority="329">
      <formula>$M248="Default"</formula>
    </cfRule>
  </conditionalFormatting>
  <conditionalFormatting sqref="AD251:AG251">
    <cfRule type="expression" dxfId="403" priority="328">
      <formula>AND(NOT(ISBLANK(AD251)),$AI249)</formula>
    </cfRule>
  </conditionalFormatting>
  <conditionalFormatting sqref="Z248:AU248">
    <cfRule type="expression" dxfId="402" priority="323">
      <formula>$M248="Default"</formula>
    </cfRule>
  </conditionalFormatting>
  <conditionalFormatting sqref="Z248:AC248 AN248:AQ248">
    <cfRule type="expression" dxfId="401" priority="325">
      <formula>AND(NOT(ISBLANK(Z248)),$AH249)</formula>
    </cfRule>
  </conditionalFormatting>
  <conditionalFormatting sqref="AD248:AG248 AR248:AU248">
    <cfRule type="expression" dxfId="400" priority="324">
      <formula>AND(NOT(ISBLANK(AD248)),$AI249)</formula>
    </cfRule>
  </conditionalFormatting>
  <conditionalFormatting sqref="AH248:AM248">
    <cfRule type="expression" dxfId="399" priority="326">
      <formula>AND(NOT(ISBLANK(AH248)),$AJ249)</formula>
    </cfRule>
  </conditionalFormatting>
  <conditionalFormatting sqref="Z251:AC251">
    <cfRule type="expression" dxfId="398" priority="327">
      <formula>AND(NOT(ISBLANK(Z251)),$AH249)</formula>
    </cfRule>
  </conditionalFormatting>
  <conditionalFormatting sqref="Z249:AG249">
    <cfRule type="expression" dxfId="397" priority="322">
      <formula>$M248="Default"</formula>
    </cfRule>
  </conditionalFormatting>
  <conditionalFormatting sqref="AD249:AG249">
    <cfRule type="expression" dxfId="396" priority="321">
      <formula>AND(NOT(ISBLANK(AD249)),$AI249)</formula>
    </cfRule>
  </conditionalFormatting>
  <conditionalFormatting sqref="Z249:AC249">
    <cfRule type="expression" dxfId="395" priority="320">
      <formula>AND(NOT(ISBLANK(Z249)),$AH249)</formula>
    </cfRule>
  </conditionalFormatting>
  <conditionalFormatting sqref="Z250:AG250">
    <cfRule type="expression" dxfId="394" priority="319">
      <formula>$M248="Default"</formula>
    </cfRule>
  </conditionalFormatting>
  <conditionalFormatting sqref="AD250:AG250">
    <cfRule type="expression" dxfId="393" priority="318">
      <formula>AND(NOT(ISBLANK(AD250)),$AI249)</formula>
    </cfRule>
  </conditionalFormatting>
  <conditionalFormatting sqref="Z250:AC250">
    <cfRule type="expression" dxfId="392" priority="317">
      <formula>AND(NOT(ISBLANK(Z250)),$AH249)</formula>
    </cfRule>
  </conditionalFormatting>
  <conditionalFormatting sqref="Z252:AG252">
    <cfRule type="expression" dxfId="391" priority="316">
      <formula>$M248="Default"</formula>
    </cfRule>
  </conditionalFormatting>
  <conditionalFormatting sqref="AD252:AG252">
    <cfRule type="expression" dxfId="390" priority="315">
      <formula>AND(NOT(ISBLANK(AD252)),$AI249)</formula>
    </cfRule>
  </conditionalFormatting>
  <conditionalFormatting sqref="Z252:AC252">
    <cfRule type="expression" dxfId="389" priority="314">
      <formula>AND(NOT(ISBLANK(Z252)),$AH249)</formula>
    </cfRule>
  </conditionalFormatting>
  <conditionalFormatting sqref="Z253:AG253">
    <cfRule type="expression" dxfId="388" priority="313">
      <formula>$M248="Default"</formula>
    </cfRule>
  </conditionalFormatting>
  <conditionalFormatting sqref="AD253:AG253">
    <cfRule type="expression" dxfId="387" priority="312">
      <formula>AND(NOT(ISBLANK(AD253)),$AI249)</formula>
    </cfRule>
  </conditionalFormatting>
  <conditionalFormatting sqref="Z253:AC253">
    <cfRule type="expression" dxfId="386" priority="311">
      <formula>AND(NOT(ISBLANK(Z253)),$AH249)</formula>
    </cfRule>
  </conditionalFormatting>
  <conditionalFormatting sqref="Z257:AG257">
    <cfRule type="expression" dxfId="385" priority="310">
      <formula>$M254="Default"</formula>
    </cfRule>
  </conditionalFormatting>
  <conditionalFormatting sqref="AD257:AG257">
    <cfRule type="expression" dxfId="384" priority="309">
      <formula>AND(NOT(ISBLANK(AD257)),$AI255)</formula>
    </cfRule>
  </conditionalFormatting>
  <conditionalFormatting sqref="Z254:AU254">
    <cfRule type="expression" dxfId="383" priority="304">
      <formula>$M254="Default"</formula>
    </cfRule>
  </conditionalFormatting>
  <conditionalFormatting sqref="Z254:AC254 AN254:AQ254">
    <cfRule type="expression" dxfId="382" priority="306">
      <formula>AND(NOT(ISBLANK(Z254)),$AH255)</formula>
    </cfRule>
  </conditionalFormatting>
  <conditionalFormatting sqref="AD254:AG254 AR254:AU254">
    <cfRule type="expression" dxfId="381" priority="305">
      <formula>AND(NOT(ISBLANK(AD254)),$AI255)</formula>
    </cfRule>
  </conditionalFormatting>
  <conditionalFormatting sqref="AH254:AM254">
    <cfRule type="expression" dxfId="380" priority="307">
      <formula>AND(NOT(ISBLANK(AH254)),$AJ255)</formula>
    </cfRule>
  </conditionalFormatting>
  <conditionalFormatting sqref="Z257:AC257">
    <cfRule type="expression" dxfId="379" priority="308">
      <formula>AND(NOT(ISBLANK(Z257)),$AH255)</formula>
    </cfRule>
  </conditionalFormatting>
  <conditionalFormatting sqref="Z255:AG255">
    <cfRule type="expression" dxfId="378" priority="303">
      <formula>$M254="Default"</formula>
    </cfRule>
  </conditionalFormatting>
  <conditionalFormatting sqref="AD255:AG255">
    <cfRule type="expression" dxfId="377" priority="302">
      <formula>AND(NOT(ISBLANK(AD255)),$AI255)</formula>
    </cfRule>
  </conditionalFormatting>
  <conditionalFormatting sqref="Z255:AC255">
    <cfRule type="expression" dxfId="376" priority="301">
      <formula>AND(NOT(ISBLANK(Z255)),$AH255)</formula>
    </cfRule>
  </conditionalFormatting>
  <conditionalFormatting sqref="Z256:AG256">
    <cfRule type="expression" dxfId="375" priority="300">
      <formula>$M254="Default"</formula>
    </cfRule>
  </conditionalFormatting>
  <conditionalFormatting sqref="AD256:AG256">
    <cfRule type="expression" dxfId="374" priority="299">
      <formula>AND(NOT(ISBLANK(AD256)),$AI255)</formula>
    </cfRule>
  </conditionalFormatting>
  <conditionalFormatting sqref="Z256:AC256">
    <cfRule type="expression" dxfId="373" priority="298">
      <formula>AND(NOT(ISBLANK(Z256)),$AH255)</formula>
    </cfRule>
  </conditionalFormatting>
  <conditionalFormatting sqref="Z258:AG258">
    <cfRule type="expression" dxfId="372" priority="297">
      <formula>$M254="Default"</formula>
    </cfRule>
  </conditionalFormatting>
  <conditionalFormatting sqref="AD258:AG258">
    <cfRule type="expression" dxfId="371" priority="296">
      <formula>AND(NOT(ISBLANK(AD258)),$AI255)</formula>
    </cfRule>
  </conditionalFormatting>
  <conditionalFormatting sqref="Z258:AC258">
    <cfRule type="expression" dxfId="370" priority="295">
      <formula>AND(NOT(ISBLANK(Z258)),$AH255)</formula>
    </cfRule>
  </conditionalFormatting>
  <conditionalFormatting sqref="Z259:AG259">
    <cfRule type="expression" dxfId="369" priority="294">
      <formula>$M254="Default"</formula>
    </cfRule>
  </conditionalFormatting>
  <conditionalFormatting sqref="AD259:AG259">
    <cfRule type="expression" dxfId="368" priority="293">
      <formula>AND(NOT(ISBLANK(AD259)),$AI255)</formula>
    </cfRule>
  </conditionalFormatting>
  <conditionalFormatting sqref="Z259:AC259">
    <cfRule type="expression" dxfId="367" priority="292">
      <formula>AND(NOT(ISBLANK(Z259)),$AH255)</formula>
    </cfRule>
  </conditionalFormatting>
  <conditionalFormatting sqref="BQ140:BT140 BQ146:BT146 BQ152:BT152 BQ158:BT158 BQ164:BT164 BQ170:BT170 BQ176:BT176 BQ182:BT182 BQ188:BT188 BQ194:BT194 BQ200:BT200 BQ206:BT206 BQ212:BT212 BQ218:BT218 BQ224:BT224 BQ230:BT230 BQ236:BT236 BQ242:BT242 BQ248:BT248 BQ254:BT254">
    <cfRule type="expression" dxfId="366" priority="232">
      <formula>$C140="Portfolio loan - sub account"</formula>
    </cfRule>
  </conditionalFormatting>
  <conditionalFormatting sqref="U34:AB34">
    <cfRule type="expression" dxfId="365" priority="230">
      <formula>ShowApplicant2=FALSE</formula>
    </cfRule>
  </conditionalFormatting>
  <conditionalFormatting sqref="AE34:AL34">
    <cfRule type="expression" dxfId="364" priority="229">
      <formula>ShowApplicant3=FALSE</formula>
    </cfRule>
  </conditionalFormatting>
  <conditionalFormatting sqref="AO34:AV34">
    <cfRule type="expression" dxfId="363" priority="228">
      <formula>ShowApplicant4=FALSE</formula>
    </cfRule>
  </conditionalFormatting>
  <conditionalFormatting sqref="AY34:BF34">
    <cfRule type="expression" dxfId="362" priority="227">
      <formula>ShowApplicant5=FALSE</formula>
    </cfRule>
  </conditionalFormatting>
  <conditionalFormatting sqref="BI34:BP34">
    <cfRule type="expression" dxfId="361" priority="226">
      <formula>ShowApplicant6=FALSE</formula>
    </cfRule>
  </conditionalFormatting>
  <conditionalFormatting sqref="U40:AB40">
    <cfRule type="expression" dxfId="360" priority="224" stopIfTrue="1">
      <formula>ShowApplicant2=FALSE</formula>
    </cfRule>
  </conditionalFormatting>
  <conditionalFormatting sqref="AE40:AL40">
    <cfRule type="expression" dxfId="359" priority="223" stopIfTrue="1">
      <formula>ShowApplicant3=FALSE</formula>
    </cfRule>
  </conditionalFormatting>
  <conditionalFormatting sqref="AO40:AV40">
    <cfRule type="expression" dxfId="358" priority="222" stopIfTrue="1">
      <formula>ShowApplicant4=FALSE</formula>
    </cfRule>
  </conditionalFormatting>
  <conditionalFormatting sqref="AY40:BF40">
    <cfRule type="expression" dxfId="357" priority="221" stopIfTrue="1">
      <formula>ShowApplicant5=FALSE</formula>
    </cfRule>
  </conditionalFormatting>
  <conditionalFormatting sqref="BI40:BP40">
    <cfRule type="expression" dxfId="356" priority="92" stopIfTrue="1">
      <formula>ShowApplicant6=FALSE</formula>
    </cfRule>
  </conditionalFormatting>
  <conditionalFormatting sqref="BM146:BP146 BM152:BP152 BM158:BP158 BM164:BP164 BM170:BP170 BM176:BP176 BM182:BP182 BM188:BP188 BM194:BP194 BM200:BP200 BM206:BP206 BM212:BP212 BM218:BP218 BM224:BP224 BM230:BP230 BM236:BP236 BM242:BP242 BM248:BP248 BM254:BP254 BM140:BP140">
    <cfRule type="expression" dxfId="355" priority="198">
      <formula>$C140="Personal loan"</formula>
    </cfRule>
  </conditionalFormatting>
  <conditionalFormatting sqref="S264:V281">
    <cfRule type="expression" dxfId="354" priority="194">
      <formula>VLOOKUP($C264,INDIRECT("ExistingNonShareableCommitmentTypeTable"),3,FALSE)="No"</formula>
    </cfRule>
  </conditionalFormatting>
  <conditionalFormatting sqref="AA264:AD281">
    <cfRule type="expression" dxfId="353" priority="193">
      <formula>VLOOKUP($C264,INDIRECT("ExistingNonShareableCommitmentTypeTable"),5,FALSE)="No"</formula>
    </cfRule>
  </conditionalFormatting>
  <conditionalFormatting sqref="W264:Z281">
    <cfRule type="expression" dxfId="352" priority="192">
      <formula>VLOOKUP($C264,INDIRECT("ExistingNonShareableCommitmentTypeTable"),4,FALSE)="No"</formula>
    </cfRule>
  </conditionalFormatting>
  <conditionalFormatting sqref="AN311:AU311">
    <cfRule type="cellIs" dxfId="351" priority="188" operator="equal">
      <formula>"Pass"</formula>
    </cfRule>
    <cfRule type="cellIs" dxfId="350" priority="189" operator="equal">
      <formula>"Refer"</formula>
    </cfRule>
    <cfRule type="cellIs" dxfId="349" priority="190" operator="equal">
      <formula>"Decline"</formula>
    </cfRule>
  </conditionalFormatting>
  <conditionalFormatting sqref="AN322:AU322">
    <cfRule type="cellIs" dxfId="348" priority="183" operator="equal">
      <formula>"Pass"</formula>
    </cfRule>
    <cfRule type="cellIs" dxfId="347" priority="184" operator="equal">
      <formula>"Refer"</formula>
    </cfRule>
    <cfRule type="cellIs" dxfId="346" priority="185" operator="equal">
      <formula>"Decline"</formula>
    </cfRule>
  </conditionalFormatting>
  <conditionalFormatting sqref="BP311:BW311">
    <cfRule type="cellIs" dxfId="345" priority="170" operator="equal">
      <formula>"Pass"</formula>
    </cfRule>
    <cfRule type="cellIs" dxfId="344" priority="171" operator="equal">
      <formula>"Refer"</formula>
    </cfRule>
    <cfRule type="cellIs" dxfId="343" priority="172" operator="equal">
      <formula>"Decline"</formula>
    </cfRule>
  </conditionalFormatting>
  <conditionalFormatting sqref="BP309:BW310">
    <cfRule type="expression" dxfId="342" priority="168">
      <formula>AND(BP309&gt;0,BP309=MIN($BP$309:$BP$310),$BP$311="Pass")</formula>
    </cfRule>
  </conditionalFormatting>
  <conditionalFormatting sqref="BH101:BJ101">
    <cfRule type="expression" dxfId="341" priority="166">
      <formula>NOT(SCCProLoanIORateFlag)</formula>
    </cfRule>
  </conditionalFormatting>
  <conditionalFormatting sqref="BH103:BJ112">
    <cfRule type="expression" dxfId="340" priority="164" stopIfTrue="1">
      <formula>NOT(SCCProLoanIORateFlag)</formula>
    </cfRule>
    <cfRule type="expression" dxfId="339" priority="165">
      <formula>ISBLANK($AS103)</formula>
    </cfRule>
  </conditionalFormatting>
  <conditionalFormatting sqref="AN333:AU333">
    <cfRule type="cellIs" dxfId="338" priority="161" operator="equal">
      <formula>"Pass"</formula>
    </cfRule>
    <cfRule type="cellIs" dxfId="337" priority="162" operator="equal">
      <formula>"Refer"</formula>
    </cfRule>
    <cfRule type="cellIs" dxfId="336" priority="163" operator="equal">
      <formula>"Decline"</formula>
    </cfRule>
  </conditionalFormatting>
  <conditionalFormatting sqref="AN344:AU344">
    <cfRule type="cellIs" dxfId="335" priority="157" operator="equal">
      <formula>"Pass"</formula>
    </cfRule>
    <cfRule type="cellIs" dxfId="334" priority="158" operator="equal">
      <formula>"Refer"</formula>
    </cfRule>
    <cfRule type="cellIs" dxfId="333" priority="159" operator="equal">
      <formula>"Decline"</formula>
    </cfRule>
  </conditionalFormatting>
  <conditionalFormatting sqref="BP333:BW333">
    <cfRule type="cellIs" dxfId="332" priority="149" operator="equal">
      <formula>"Pass"</formula>
    </cfRule>
    <cfRule type="cellIs" dxfId="331" priority="150" operator="equal">
      <formula>"Refer"</formula>
    </cfRule>
    <cfRule type="cellIs" dxfId="330" priority="151" operator="equal">
      <formula>"Decline"</formula>
    </cfRule>
  </conditionalFormatting>
  <conditionalFormatting sqref="BP331:BW332">
    <cfRule type="expression" dxfId="329" priority="147">
      <formula>AND(BP331&gt;0,BP331=MIN($BP$331:$BP$332),$BP$333="Pass")</formula>
    </cfRule>
  </conditionalFormatting>
  <conditionalFormatting sqref="AJ262:AM262">
    <cfRule type="expression" dxfId="328" priority="145">
      <formula>SCSProLoanPolicy&lt;&gt;"STSL repayments"</formula>
    </cfRule>
  </conditionalFormatting>
  <conditionalFormatting sqref="AJ264:AM281">
    <cfRule type="expression" dxfId="327" priority="143" stopIfTrue="1">
      <formula>SCSProLoanPolicy&lt;&gt;"STSL repayments"</formula>
    </cfRule>
    <cfRule type="expression" dxfId="326" priority="144">
      <formula>AND($AJ264&lt;&gt;"",$AJ264&gt;5)</formula>
    </cfRule>
  </conditionalFormatting>
  <conditionalFormatting sqref="AX342:BU344">
    <cfRule type="containsBlanks" dxfId="325" priority="142">
      <formula>LEN(TRIM(AX342))=0</formula>
    </cfRule>
  </conditionalFormatting>
  <conditionalFormatting sqref="AU401:BI402">
    <cfRule type="expression" dxfId="324" priority="116">
      <formula>$AU$401=""</formula>
    </cfRule>
  </conditionalFormatting>
  <conditionalFormatting sqref="AN401">
    <cfRule type="expression" dxfId="323" priority="115">
      <formula>$AO$399&gt;=0</formula>
    </cfRule>
  </conditionalFormatting>
  <conditionalFormatting sqref="AO401:AS401">
    <cfRule type="expression" dxfId="322" priority="117">
      <formula>$AO$399&gt;=0</formula>
    </cfRule>
  </conditionalFormatting>
  <conditionalFormatting sqref="AO402:AS402">
    <cfRule type="cellIs" dxfId="321" priority="118" operator="equal">
      <formula>"High"</formula>
    </cfRule>
    <cfRule type="cellIs" dxfId="320" priority="119" operator="equal">
      <formula>"Medium"</formula>
    </cfRule>
  </conditionalFormatting>
  <conditionalFormatting sqref="C360:AE369 AJ360:AS369 C375:AS394 AO396:AS396 M396:S396">
    <cfRule type="expression" dxfId="319" priority="111" stopIfTrue="1">
      <formula>$P$354=0</formula>
    </cfRule>
  </conditionalFormatting>
  <conditionalFormatting sqref="BW289:CC289">
    <cfRule type="expression" dxfId="318" priority="107">
      <formula>AND(SDVersionChannel&lt;&gt;"PL",SDVersionChannel&lt;&gt;"MQ")</formula>
    </cfRule>
  </conditionalFormatting>
  <conditionalFormatting sqref="BM125:BR125 BM127:BR127 BM131:BR131">
    <cfRule type="cellIs" dxfId="317" priority="102" operator="equal">
      <formula>"OK"</formula>
    </cfRule>
    <cfRule type="cellIs" dxfId="316" priority="103" operator="equal">
      <formula>"Fail"</formula>
    </cfRule>
  </conditionalFormatting>
  <conditionalFormatting sqref="BL103:BR112">
    <cfRule type="expression" dxfId="315" priority="98">
      <formula>AND($AV103&lt;&gt;"",ISBLANK($BL103))</formula>
    </cfRule>
  </conditionalFormatting>
  <conditionalFormatting sqref="BL101:BR112">
    <cfRule type="expression" dxfId="314" priority="97">
      <formula>$AM$15&lt;&gt;"Streamlined refinance"</formula>
    </cfRule>
  </conditionalFormatting>
  <conditionalFormatting sqref="J123:P132">
    <cfRule type="expression" dxfId="313" priority="95">
      <formula>AND($J123="",$Q123&gt;0)</formula>
    </cfRule>
    <cfRule type="expression" dxfId="312" priority="96">
      <formula>AND(NOT(ISBLANK($J123)),ISNA(MATCH($J123,$BT$103:$BT$112,0)))</formula>
    </cfRule>
  </conditionalFormatting>
  <conditionalFormatting sqref="AB124:AT132">
    <cfRule type="expression" dxfId="311" priority="94">
      <formula>$AB124=""</formula>
    </cfRule>
  </conditionalFormatting>
  <conditionalFormatting sqref="AO123:AT132">
    <cfRule type="expression" dxfId="310" priority="93">
      <formula>$AO123&gt;$AI123</formula>
    </cfRule>
  </conditionalFormatting>
  <conditionalFormatting sqref="K40:R40 U40:AB40 AE40:AL40 AO40:AV40 AY40:BF40 BI40:BP40">
    <cfRule type="expression" dxfId="309" priority="225">
      <formula>J$40</formula>
    </cfRule>
  </conditionalFormatting>
  <conditionalFormatting sqref="U31:AB31">
    <cfRule type="expression" dxfId="308" priority="91" stopIfTrue="1">
      <formula>ShowApplicant2=FALSE</formula>
    </cfRule>
  </conditionalFormatting>
  <conditionalFormatting sqref="AE31:AL31">
    <cfRule type="expression" dxfId="307" priority="90" stopIfTrue="1">
      <formula>ShowApplicant3=FALSE</formula>
    </cfRule>
  </conditionalFormatting>
  <conditionalFormatting sqref="AO31:AV31">
    <cfRule type="expression" dxfId="306" priority="89" stopIfTrue="1">
      <formula>ShowApplicant4=FALSE</formula>
    </cfRule>
  </conditionalFormatting>
  <conditionalFormatting sqref="AY31:BF31">
    <cfRule type="expression" dxfId="305" priority="88" stopIfTrue="1">
      <formula>ShowApplicant5=FALSE</formula>
    </cfRule>
  </conditionalFormatting>
  <conditionalFormatting sqref="BI31:BP31">
    <cfRule type="expression" dxfId="304" priority="87" stopIfTrue="1">
      <formula>ShowApplicant6=FALSE</formula>
    </cfRule>
  </conditionalFormatting>
  <conditionalFormatting sqref="U32:AB32">
    <cfRule type="expression" dxfId="303" priority="86" stopIfTrue="1">
      <formula>ShowApplicant2=FALSE</formula>
    </cfRule>
  </conditionalFormatting>
  <conditionalFormatting sqref="AE32:AL32">
    <cfRule type="expression" dxfId="302" priority="85" stopIfTrue="1">
      <formula>ShowApplicant3=FALSE</formula>
    </cfRule>
  </conditionalFormatting>
  <conditionalFormatting sqref="AO32:AV32">
    <cfRule type="expression" dxfId="301" priority="84" stopIfTrue="1">
      <formula>ShowApplicant4=FALSE</formula>
    </cfRule>
  </conditionalFormatting>
  <conditionalFormatting sqref="AY32:BF32">
    <cfRule type="expression" dxfId="300" priority="83" stopIfTrue="1">
      <formula>ShowApplicant5=FALSE</formula>
    </cfRule>
  </conditionalFormatting>
  <conditionalFormatting sqref="BI32:BP32">
    <cfRule type="expression" dxfId="299" priority="82" stopIfTrue="1">
      <formula>ShowApplicant6=FALSE</formula>
    </cfRule>
  </conditionalFormatting>
  <conditionalFormatting sqref="U33:AB33">
    <cfRule type="expression" dxfId="298" priority="81" stopIfTrue="1">
      <formula>ShowApplicant2=FALSE</formula>
    </cfRule>
  </conditionalFormatting>
  <conditionalFormatting sqref="AE33:AL33">
    <cfRule type="expression" dxfId="297" priority="80" stopIfTrue="1">
      <formula>ShowApplicant3=FALSE</formula>
    </cfRule>
  </conditionalFormatting>
  <conditionalFormatting sqref="AO33:AV33">
    <cfRule type="expression" dxfId="296" priority="79" stopIfTrue="1">
      <formula>ShowApplicant4=FALSE</formula>
    </cfRule>
  </conditionalFormatting>
  <conditionalFormatting sqref="AY33:BF33">
    <cfRule type="expression" dxfId="295" priority="78" stopIfTrue="1">
      <formula>ShowApplicant5=FALSE</formula>
    </cfRule>
  </conditionalFormatting>
  <conditionalFormatting sqref="BI33:BP33">
    <cfRule type="expression" dxfId="294" priority="77" stopIfTrue="1">
      <formula>ShowApplicant6=FALSE</formula>
    </cfRule>
  </conditionalFormatting>
  <conditionalFormatting sqref="K48:R50 U48:AB50 AE48:AL50 AO48:AV50 AY48:BF50 BI48:BP50">
    <cfRule type="expression" dxfId="293" priority="61">
      <formula>OR(K$21&lt;&gt;"Non-applicant",AND(K$21="Non-applicant",K$22&lt;&gt;"Yes"))</formula>
    </cfRule>
  </conditionalFormatting>
  <conditionalFormatting sqref="U89:AB89">
    <cfRule type="expression" dxfId="292" priority="60" stopIfTrue="1">
      <formula>ShowApplicant2=FALSE</formula>
    </cfRule>
  </conditionalFormatting>
  <conditionalFormatting sqref="AE89:AL89">
    <cfRule type="expression" dxfId="291" priority="59" stopIfTrue="1">
      <formula>ShowApplicant3=FALSE</formula>
    </cfRule>
  </conditionalFormatting>
  <conditionalFormatting sqref="AO89:AV89">
    <cfRule type="expression" dxfId="290" priority="58" stopIfTrue="1">
      <formula>ShowApplicant4=FALSE</formula>
    </cfRule>
  </conditionalFormatting>
  <conditionalFormatting sqref="AY89:BF89">
    <cfRule type="expression" dxfId="289" priority="57" stopIfTrue="1">
      <formula>ShowApplicant5=FALSE</formula>
    </cfRule>
  </conditionalFormatting>
  <conditionalFormatting sqref="BI89:BP89">
    <cfRule type="expression" dxfId="288" priority="56" stopIfTrue="1">
      <formula>ShowApplicant6=FALSE</formula>
    </cfRule>
  </conditionalFormatting>
  <conditionalFormatting sqref="U88:AB88">
    <cfRule type="expression" dxfId="287" priority="55" stopIfTrue="1">
      <formula>ShowApplicant2=FALSE</formula>
    </cfRule>
  </conditionalFormatting>
  <conditionalFormatting sqref="AE88:AL88">
    <cfRule type="expression" dxfId="286" priority="54" stopIfTrue="1">
      <formula>ShowApplicant3=FALSE</formula>
    </cfRule>
  </conditionalFormatting>
  <conditionalFormatting sqref="AO88:AV88">
    <cfRule type="expression" dxfId="285" priority="53" stopIfTrue="1">
      <formula>ShowApplicant4=FALSE</formula>
    </cfRule>
  </conditionalFormatting>
  <conditionalFormatting sqref="AY88:BF88">
    <cfRule type="expression" dxfId="284" priority="52" stopIfTrue="1">
      <formula>ShowApplicant5=FALSE</formula>
    </cfRule>
  </conditionalFormatting>
  <conditionalFormatting sqref="BI88:BP88">
    <cfRule type="expression" dxfId="283" priority="51" stopIfTrue="1">
      <formula>ShowApplicant6=FALSE</formula>
    </cfRule>
  </conditionalFormatting>
  <conditionalFormatting sqref="U78:AB78">
    <cfRule type="expression" dxfId="282" priority="50" stopIfTrue="1">
      <formula>ShowApplicant2=FALSE</formula>
    </cfRule>
  </conditionalFormatting>
  <conditionalFormatting sqref="AE78:AL78">
    <cfRule type="expression" dxfId="281" priority="49" stopIfTrue="1">
      <formula>ShowApplicant3=FALSE</formula>
    </cfRule>
  </conditionalFormatting>
  <conditionalFormatting sqref="AO78:AV78">
    <cfRule type="expression" dxfId="280" priority="48" stopIfTrue="1">
      <formula>ShowApplicant4=FALSE</formula>
    </cfRule>
  </conditionalFormatting>
  <conditionalFormatting sqref="AY78:BF78">
    <cfRule type="expression" dxfId="279" priority="47" stopIfTrue="1">
      <formula>ShowApplicant5=FALSE</formula>
    </cfRule>
  </conditionalFormatting>
  <conditionalFormatting sqref="BI78:BP78">
    <cfRule type="expression" dxfId="278" priority="46" stopIfTrue="1">
      <formula>ShowApplicant6=FALSE</formula>
    </cfRule>
  </conditionalFormatting>
  <conditionalFormatting sqref="U80:AB80">
    <cfRule type="expression" dxfId="277" priority="45" stopIfTrue="1">
      <formula>ShowApplicant2=FALSE</formula>
    </cfRule>
  </conditionalFormatting>
  <conditionalFormatting sqref="AE80:AL80">
    <cfRule type="expression" dxfId="276" priority="44" stopIfTrue="1">
      <formula>ShowApplicant3=FALSE</formula>
    </cfRule>
  </conditionalFormatting>
  <conditionalFormatting sqref="AO80:AV80">
    <cfRule type="expression" dxfId="275" priority="43" stopIfTrue="1">
      <formula>ShowApplicant4=FALSE</formula>
    </cfRule>
  </conditionalFormatting>
  <conditionalFormatting sqref="AY80:BF80">
    <cfRule type="expression" dxfId="274" priority="42" stopIfTrue="1">
      <formula>ShowApplicant5=FALSE</formula>
    </cfRule>
  </conditionalFormatting>
  <conditionalFormatting sqref="BI80:BP80">
    <cfRule type="expression" dxfId="273" priority="41" stopIfTrue="1">
      <formula>ShowApplicant6=FALSE</formula>
    </cfRule>
  </conditionalFormatting>
  <conditionalFormatting sqref="U82:AB82">
    <cfRule type="expression" dxfId="272" priority="40" stopIfTrue="1">
      <formula>ShowApplicant2=FALSE</formula>
    </cfRule>
  </conditionalFormatting>
  <conditionalFormatting sqref="AE82:AL82">
    <cfRule type="expression" dxfId="271" priority="39" stopIfTrue="1">
      <formula>ShowApplicant3=FALSE</formula>
    </cfRule>
  </conditionalFormatting>
  <conditionalFormatting sqref="AO82:AV82">
    <cfRule type="expression" dxfId="270" priority="38" stopIfTrue="1">
      <formula>ShowApplicant4=FALSE</formula>
    </cfRule>
  </conditionalFormatting>
  <conditionalFormatting sqref="AY82:BF82">
    <cfRule type="expression" dxfId="269" priority="37" stopIfTrue="1">
      <formula>ShowApplicant5=FALSE</formula>
    </cfRule>
  </conditionalFormatting>
  <conditionalFormatting sqref="BI82:BP82">
    <cfRule type="expression" dxfId="268" priority="36" stopIfTrue="1">
      <formula>ShowApplicant6=FALSE</formula>
    </cfRule>
  </conditionalFormatting>
  <conditionalFormatting sqref="U86:AB86">
    <cfRule type="expression" dxfId="267" priority="35" stopIfTrue="1">
      <formula>ShowApplicant2=FALSE</formula>
    </cfRule>
  </conditionalFormatting>
  <conditionalFormatting sqref="AE86:AL86">
    <cfRule type="expression" dxfId="266" priority="34" stopIfTrue="1">
      <formula>ShowApplicant3=FALSE</formula>
    </cfRule>
  </conditionalFormatting>
  <conditionalFormatting sqref="AO86:AV86">
    <cfRule type="expression" dxfId="265" priority="33" stopIfTrue="1">
      <formula>ShowApplicant4=FALSE</formula>
    </cfRule>
  </conditionalFormatting>
  <conditionalFormatting sqref="AY86:BF86">
    <cfRule type="expression" dxfId="264" priority="32" stopIfTrue="1">
      <formula>ShowApplicant5=FALSE</formula>
    </cfRule>
  </conditionalFormatting>
  <conditionalFormatting sqref="BI86:BP86">
    <cfRule type="expression" dxfId="263" priority="31" stopIfTrue="1">
      <formula>ShowApplicant6=FALSE</formula>
    </cfRule>
  </conditionalFormatting>
  <conditionalFormatting sqref="U87:AB87">
    <cfRule type="expression" dxfId="262" priority="30" stopIfTrue="1">
      <formula>ShowApplicant2=FALSE</formula>
    </cfRule>
  </conditionalFormatting>
  <conditionalFormatting sqref="AE87:AL87">
    <cfRule type="expression" dxfId="261" priority="29" stopIfTrue="1">
      <formula>ShowApplicant3=FALSE</formula>
    </cfRule>
  </conditionalFormatting>
  <conditionalFormatting sqref="AO87:AV87">
    <cfRule type="expression" dxfId="260" priority="28" stopIfTrue="1">
      <formula>ShowApplicant4=FALSE</formula>
    </cfRule>
  </conditionalFormatting>
  <conditionalFormatting sqref="AY87:BF87">
    <cfRule type="expression" dxfId="259" priority="27" stopIfTrue="1">
      <formula>ShowApplicant5=FALSE</formula>
    </cfRule>
  </conditionalFormatting>
  <conditionalFormatting sqref="BI87:BP87">
    <cfRule type="expression" dxfId="258" priority="26" stopIfTrue="1">
      <formula>ShowApplicant6=FALSE</formula>
    </cfRule>
  </conditionalFormatting>
  <conditionalFormatting sqref="U61:AB61">
    <cfRule type="expression" dxfId="257" priority="25" stopIfTrue="1">
      <formula>ShowApplicant2=FALSE</formula>
    </cfRule>
  </conditionalFormatting>
  <conditionalFormatting sqref="AE61:AL61">
    <cfRule type="expression" dxfId="256" priority="24" stopIfTrue="1">
      <formula>ShowApplicant3=FALSE</formula>
    </cfRule>
  </conditionalFormatting>
  <conditionalFormatting sqref="AO61:AV61">
    <cfRule type="expression" dxfId="255" priority="23" stopIfTrue="1">
      <formula>ShowApplicant4=FALSE</formula>
    </cfRule>
  </conditionalFormatting>
  <conditionalFormatting sqref="AY61:BF61">
    <cfRule type="expression" dxfId="254" priority="22" stopIfTrue="1">
      <formula>ShowApplicant5=FALSE</formula>
    </cfRule>
  </conditionalFormatting>
  <conditionalFormatting sqref="BI61:BP61">
    <cfRule type="expression" dxfId="253" priority="21" stopIfTrue="1">
      <formula>ShowApplicant6=FALSE</formula>
    </cfRule>
  </conditionalFormatting>
  <conditionalFormatting sqref="U79:AB79">
    <cfRule type="expression" dxfId="252" priority="20" stopIfTrue="1">
      <formula>ShowApplicant2=FALSE</formula>
    </cfRule>
  </conditionalFormatting>
  <conditionalFormatting sqref="AE79:AL79">
    <cfRule type="expression" dxfId="251" priority="19" stopIfTrue="1">
      <formula>ShowApplicant3=FALSE</formula>
    </cfRule>
  </conditionalFormatting>
  <conditionalFormatting sqref="AO79:AV79">
    <cfRule type="expression" dxfId="250" priority="18" stopIfTrue="1">
      <formula>ShowApplicant4=FALSE</formula>
    </cfRule>
  </conditionalFormatting>
  <conditionalFormatting sqref="AY79:BF79">
    <cfRule type="expression" dxfId="249" priority="17" stopIfTrue="1">
      <formula>ShowApplicant5=FALSE</formula>
    </cfRule>
  </conditionalFormatting>
  <conditionalFormatting sqref="BI79:BP79">
    <cfRule type="expression" dxfId="248" priority="16" stopIfTrue="1">
      <formula>ShowApplicant6=FALSE</formula>
    </cfRule>
  </conditionalFormatting>
  <conditionalFormatting sqref="U81:AB81">
    <cfRule type="expression" dxfId="247" priority="15" stopIfTrue="1">
      <formula>ShowApplicant2=FALSE</formula>
    </cfRule>
  </conditionalFormatting>
  <conditionalFormatting sqref="AE81:AL81">
    <cfRule type="expression" dxfId="246" priority="14" stopIfTrue="1">
      <formula>ShowApplicant3=FALSE</formula>
    </cfRule>
  </conditionalFormatting>
  <conditionalFormatting sqref="AO81:AV81">
    <cfRule type="expression" dxfId="245" priority="13" stopIfTrue="1">
      <formula>ShowApplicant4=FALSE</formula>
    </cfRule>
  </conditionalFormatting>
  <conditionalFormatting sqref="AY81:BF81">
    <cfRule type="expression" dxfId="244" priority="12" stopIfTrue="1">
      <formula>ShowApplicant5=FALSE</formula>
    </cfRule>
  </conditionalFormatting>
  <conditionalFormatting sqref="BI81:BP81">
    <cfRule type="expression" dxfId="243" priority="11" stopIfTrue="1">
      <formula>ShowApplicant6=FALSE</formula>
    </cfRule>
  </conditionalFormatting>
  <conditionalFormatting sqref="AM15:AT15">
    <cfRule type="expression" dxfId="242" priority="2959">
      <formula>AND($AM$15="Streamlined refinance",OR($BM$125="FAIL",$BM$127="FAIL",$BM$131="FAIL"))</formula>
    </cfRule>
  </conditionalFormatting>
  <conditionalFormatting sqref="BM129:BR129">
    <cfRule type="cellIs" dxfId="241" priority="9" operator="equal">
      <formula>"OK"</formula>
    </cfRule>
    <cfRule type="cellIs" dxfId="240" priority="10" operator="equal">
      <formula>"Fail"</formula>
    </cfRule>
  </conditionalFormatting>
  <conditionalFormatting sqref="BT127:CC127 BT129:CC129 BT131:CC131 BT125:CC125">
    <cfRule type="expression" dxfId="239" priority="2960">
      <formula>$BU125=""</formula>
    </cfRule>
  </conditionalFormatting>
  <conditionalFormatting sqref="AP103:AR112">
    <cfRule type="expression" dxfId="238" priority="1" stopIfTrue="1">
      <formula>$CI103="No"</formula>
    </cfRule>
    <cfRule type="expression" dxfId="237" priority="5">
      <formula>AND(ISBLANK(AP103),$CI103="Yes")</formula>
    </cfRule>
    <cfRule type="cellIs" dxfId="236" priority="7" operator="greaterThan">
      <formula>$CF103</formula>
    </cfRule>
  </conditionalFormatting>
  <conditionalFormatting sqref="AS103:AU112">
    <cfRule type="expression" dxfId="235" priority="4" stopIfTrue="1">
      <formula>$CJ103="No"</formula>
    </cfRule>
    <cfRule type="cellIs" dxfId="234" priority="6" operator="greaterThan">
      <formula>$CG103</formula>
    </cfRule>
  </conditionalFormatting>
  <conditionalFormatting sqref="C103:I112">
    <cfRule type="expression" dxfId="233" priority="3">
      <formula>$CM103</formula>
    </cfRule>
  </conditionalFormatting>
  <conditionalFormatting sqref="J103:AA112">
    <cfRule type="expression" dxfId="232" priority="2">
      <formula>AND(ISBLANK(J103),NOT(ISBLANK($C103)))</formula>
    </cfRule>
  </conditionalFormatting>
  <dataValidations count="32">
    <dataValidation type="list" allowBlank="1" showInputMessage="1" showErrorMessage="1" sqref="AE22 U22 AY22 BI22 K22 AO22 AM13:AT14" xr:uid="{332A1BA9-4466-4232-A7EF-E2B5B3FE32FC}">
      <formula1>INDIRECT("ValidationYesNo[DisplayValue]")</formula1>
    </dataValidation>
    <dataValidation type="whole" allowBlank="1" showInputMessage="1" showErrorMessage="1" sqref="K23 U23 AE23 AO23 AY23 BI23" xr:uid="{E537EFD0-AFC5-4219-9A92-5F4089036E7E}">
      <formula1>0</formula1>
      <formula2>99</formula2>
    </dataValidation>
    <dataValidation type="list" allowBlank="1" showInputMessage="1" showErrorMessage="1" sqref="K20 U20 AE20 AO20 AY20 BI20" xr:uid="{FCC9ED47-EE7C-4F59-AFF7-A64740BE1586}">
      <formula1>INDIRECT("ApplicantMaritalStatus[MaritalStatus]")</formula1>
    </dataValidation>
    <dataValidation type="custom" allowBlank="1" showInputMessage="1" showErrorMessage="1" errorTitle="Applicant Name Validation" error="This applicant name is already in use. Please update to make it unique for this application." sqref="AE19 AO19 AY19 BI19 U19 K19" xr:uid="{CA19896A-2272-455E-B15A-C78951A6BCBA}">
      <formula1>COUNTIF(INDIRECT("ApplicantList[Applicant Name]"),K19)&lt;2</formula1>
    </dataValidation>
    <dataValidation type="date" allowBlank="1" showInputMessage="1" showErrorMessage="1" errorTitle="Invalid Data" error="Please enter a valid date" sqref="K14" xr:uid="{B3CAB279-A01E-4C8C-BE1A-713E57F103DA}">
      <formula1>43831</formula1>
      <formula2>401768</formula2>
    </dataValidation>
    <dataValidation type="list" allowBlank="1" showInputMessage="1" showErrorMessage="1" sqref="AE21" xr:uid="{88ECEF8C-7D91-4573-AD41-D0CF11DB4F37}">
      <formula1>Applicant3SpouseLookup</formula1>
    </dataValidation>
    <dataValidation type="list" allowBlank="1" showInputMessage="1" showErrorMessage="1" sqref="AO21" xr:uid="{8A4A6711-145E-4E49-B7D9-C369CE009F4E}">
      <formula1>Applicant4SpouseLookup</formula1>
    </dataValidation>
    <dataValidation type="list" allowBlank="1" showInputMessage="1" showErrorMessage="1" sqref="AY21" xr:uid="{D176C898-4DC0-47C4-9EDA-A02E756A2C37}">
      <formula1>Applicant5SpouseLookup</formula1>
    </dataValidation>
    <dataValidation type="list" allowBlank="1" showInputMessage="1" showErrorMessage="1" sqref="BI21" xr:uid="{BAD4A9B8-FDCF-47A8-A117-7248A7459289}">
      <formula1>Applicant6SpouseLookup</formula1>
    </dataValidation>
    <dataValidation type="list" allowBlank="1" showInputMessage="1" showErrorMessage="1" sqref="U21" xr:uid="{70B9B7F9-39C4-40B8-9FCD-2B7E9A5683EE}">
      <formula1>Applicant2SpouseLookup</formula1>
    </dataValidation>
    <dataValidation type="list" allowBlank="1" showInputMessage="1" showErrorMessage="1" sqref="K15:R15" xr:uid="{6F0EE378-8F39-4A5D-A5FF-D5AC10D50703}">
      <formula1>"1,2,3,4,5,6"</formula1>
    </dataValidation>
    <dataValidation type="list" allowBlank="1" showInputMessage="1" showErrorMessage="1" sqref="M140:Q140 M146:Q146 M152:Q152 M158:Q158 M164:Q164 M170:Q170 M176:Q176 M182:Q182 M188:Q188 M194:Q194 M200:Q200 M206:Q206 M212:Q212 M218:Q218 M224:Q224 M230:Q230 M236:Q236 M242:Q242 M248:Q248 M254:Q254" xr:uid="{44F76135-C760-49B8-8774-D3C7A490E105}">
      <formula1>"Default, Apportioned"</formula1>
    </dataValidation>
    <dataValidation type="list" allowBlank="1" showInputMessage="1" showErrorMessage="1" sqref="C264:M281" xr:uid="{04AC4A2F-7D2F-43A3-9A8A-3730DDC32D21}">
      <formula1>INDIRECT("ExistingNonShareableCommitmentTypeTable[CommitmentType]")</formula1>
    </dataValidation>
    <dataValidation type="list" allowBlank="1" showInputMessage="1" showErrorMessage="1" sqref="K21" xr:uid="{0DC207C6-5C83-4B99-9B94-5631E44FA963}">
      <formula1>Applicant1SpouseLookup</formula1>
    </dataValidation>
    <dataValidation type="list" allowBlank="1" showInputMessage="1" showErrorMessage="1" errorTitle="Loan type error" error="Please select a valid loan type from the list." sqref="C103:I112" xr:uid="{1903B91C-F925-447C-8B5B-8D5592E26643}">
      <formula1>NewLoanTypeListData</formula1>
    </dataValidation>
    <dataValidation type="list" allowBlank="1" showInputMessage="1" showErrorMessage="1" sqref="U140:Y259 N264:R281" xr:uid="{D72D7EA9-6CA6-41AF-819A-9716339B1EC5}">
      <formula1>ApplicantLookup</formula1>
    </dataValidation>
    <dataValidation type="list" allowBlank="1" showInputMessage="1" showErrorMessage="1" sqref="BI34:BP34 U34:AB34 AE34:AL34 AO34:AV34 AY34:BF34 K34:R34 K51:R51 U51:AB51 AE51:AL51 AO51:AV51 AY51:BF51 BI51:BP51" xr:uid="{12331646-EE84-4B43-8BC4-D42F86AA4082}">
      <formula1>"0,1,2,3,4,5"</formula1>
    </dataValidation>
    <dataValidation type="list" allowBlank="1" showInputMessage="1" showErrorMessage="1" sqref="R140:T140 R146:T146 R152:T152 R158:T158 R164:T164 R170:T170 R176:T176 R182:T182 R188:T188 R194:T194 R200:T200 R206:T206 R212:T212 R218:T218 R224:T224 R230:T230 R236:T236 R242:T242 R248:T248 R254:T254" xr:uid="{E5BA385F-C5B3-4A94-B09B-4FF8D27B8A05}">
      <formula1>INDIRECT("BorrowerCountList"&amp;SCAApplicantCount&amp;"[BorrowerCount]")</formula1>
    </dataValidation>
    <dataValidation type="list" allowBlank="1" showInputMessage="1" showErrorMessage="1" sqref="CC289" xr:uid="{AFBAE4DB-EA51-44A8-BC49-D4AF6106E78D}">
      <formula1>"Standard,School fees,STSL repayments"</formula1>
    </dataValidation>
    <dataValidation type="list" allowBlank="1" showInputMessage="1" showErrorMessage="1" sqref="AM15:AT15" xr:uid="{64162E9C-DFBC-4A9D-9E4E-D42926CFF172}">
      <formula1>INDIRECT("ServiceabilityAssessmentType[AssessmentType]")</formula1>
    </dataValidation>
    <dataValidation type="list" allowBlank="1" showInputMessage="1" showErrorMessage="1" sqref="J123:P132" xr:uid="{3E51FB07-A613-48BC-BFEA-ABA0DC499D07}">
      <formula1>SCCFacilityNameList</formula1>
    </dataValidation>
    <dataValidation type="list" allowBlank="1" showInputMessage="1" showErrorMessage="1" sqref="K29:R29" xr:uid="{ADCB33AE-1FD4-4C45-A31D-7D454FDFAE82}">
      <formula1>"Estimate,Verified"</formula1>
    </dataValidation>
    <dataValidation type="list" allowBlank="1" showInputMessage="1" showErrorMessage="1" sqref="K86:R86 U86:AB86 AE86:AL86 AO86:AV86 AY86:BF86 BI86:BP86" xr:uid="{8C9DCA94-77A1-42E1-BED1-18A4F45BF44D}">
      <formula1>"Yes,No"</formula1>
    </dataValidation>
    <dataValidation type="list" allowBlank="1" showInputMessage="1" showErrorMessage="1" sqref="K75:R75" xr:uid="{B044BC08-B3F6-4D3A-9720-8FF9F5FA7E67}">
      <formula1>"Consolidated,Itemised"</formula1>
    </dataValidation>
    <dataValidation type="decimal" operator="greaterThanOrEqual" allowBlank="1" showInputMessage="1" showErrorMessage="1" errorTitle="Invalid income amount" error="Please enter a valid income amount greater than or equal to zero." sqref="K48:R50 U48:AB50 AE48:AL50 AO48:AV50 AY48:BF50 BI48:BP50 K31:R33 U31:AB33 AE31:AL33 AO31:AV33 AY31:BF33 BI31:BP33" xr:uid="{7BA27D6D-BD03-4DD1-A26E-EF543D3B9520}">
      <formula1>0</formula1>
    </dataValidation>
    <dataValidation type="decimal" operator="greaterThanOrEqual" allowBlank="1" showInputMessage="1" showErrorMessage="1" errorTitle="Invalid expense amount" error="Please enter a valid amount greater than or equal to zero." sqref="K78:R78 U78:AB78 K80:R80 U80:AB80 K82:R82 U82:AB82 K87:R87 U87:AB87 AE78:AL78 AE80:AL80 AE82:AL82 AE87:AL87 AO78:AV78 AO80:AV80 AO82:AV82 AO87:AV87 AY78:BF78 AY80:BF80 AY82:BF82 AY87:BF87 BI78:BP78 BI80:BP80 BI82:BP82 BI87:BP87" xr:uid="{A302DC74-98F6-44C5-948C-D89EE431B838}">
      <formula1>0</formula1>
    </dataValidation>
    <dataValidation type="whole" operator="greaterThanOrEqual" allowBlank="1" showInputMessage="1" showErrorMessage="1" errorTitle="Invalid remaining term" error="Please enter a valid remaining term value." sqref="BG140:BH140 BG146:BH146 BG152:BH152 BG158:BH158 BG164:BH164 BG170:BH170 BG176:BH176 BG182:BH182 BG188:BH188 BG194:BH194 BG200:BH200 BG206:BH206 BG212:BH212 BG218:BH218 BG224:BH224 BG230:BH230 BG236:BH236 BG242:BH242 BG248:BH248 BG254:BH254" xr:uid="{6EC86385-22FF-452D-B79D-AAA9ACEF2077}">
      <formula1>0</formula1>
    </dataValidation>
    <dataValidation type="custom" allowBlank="1" showInputMessage="1" showErrorMessage="1" errorTitle="Invalid Term" error="Please enter the new loan term in years. Use decimals for part years if required. eg. 18 months would be 1.5. Value cannot exceed the maximum loan term." sqref="AP103:AR112" xr:uid="{149CDB39-6233-4F80-A366-A939A8046453}">
      <formula1>$CK103</formula1>
    </dataValidation>
    <dataValidation type="custom" allowBlank="1" showInputMessage="1" showErrorMessage="1" errorTitle="Invalid interest only term" error="Please enter the new loan interest only term in years. Use decimals for part years if required. eg. 18 months would be 1.5. Value cannot exceed the loan term or the maximum IO term for the loan type." sqref="AS103:AU112" xr:uid="{7FF483C4-CE06-4D92-831F-699DE2992FE9}">
      <formula1>$CL103</formula1>
    </dataValidation>
    <dataValidation type="list" allowBlank="1" showInputMessage="1" showErrorMessage="1" sqref="C140:L140 C146:L146 C152:L152 C158:L158 C164:L164 C170:L170 C176:L176 C182:L182 C188:L188 C194:L194 C200:L200 C206:L206 C212:L212 C218:L218 C224:L224 C230:L230 C236:L236 C242:L242 C248:L248 C254:L254" xr:uid="{B8E84729-977E-4C7E-9ACB-78DF9A6CCEB5}">
      <formula1>ExistingShareableCommitmentTypeListData</formula1>
    </dataValidation>
    <dataValidation type="decimal" operator="greaterThan" allowBlank="1" showInputMessage="1" showErrorMessage="1" errorTitle="Invalid loan amount" error="Please enter a valid loan amount greater than zero." sqref="J103:T112" xr:uid="{A936ECD1-93A2-4374-BC36-7AB95AFA345F}">
      <formula1>0</formula1>
    </dataValidation>
    <dataValidation type="decimal" allowBlank="1" showInputMessage="1" showErrorMessage="1" errorTitle="Invalid final interest rate" error="Please enter a valid interest rate percentage." sqref="U103:AA112" xr:uid="{D9FE548C-C724-444A-9545-40228B1214EC}">
      <formula1>0</formula1>
      <formula2>1</formula2>
    </dataValidation>
  </dataValidations>
  <pageMargins left="0.25" right="0.25" top="0.75" bottom="0.75" header="0.3" footer="0.3"/>
  <pageSetup paperSize="9" scale="35" fitToHeight="0" orientation="portrait" r:id="rId1"/>
  <rowBreaks count="2" manualBreakCount="2">
    <brk id="95" max="81" man="1"/>
    <brk id="351" max="81" man="1"/>
  </rowBreaks>
  <cellWatches>
    <cellWatch r="AN295"/>
  </cellWatches>
  <ignoredErrors>
    <ignoredError xmlns:x16r3="http://schemas.microsoft.com/office/spreadsheetml/2018/08/main" sqref="AB125:AH132 AB124" x16r3:misleadingFormat="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EB8FF-26B3-406C-B767-8F1A3224E618}">
  <sheetPr codeName="shEmployerIncome">
    <pageSetUpPr fitToPage="1"/>
  </sheetPr>
  <dimension ref="A1:AD158"/>
  <sheetViews>
    <sheetView showGridLines="0" showRowColHeaders="0" zoomScaleNormal="100" workbookViewId="0">
      <selection activeCell="C14" sqref="C14"/>
    </sheetView>
  </sheetViews>
  <sheetFormatPr defaultRowHeight="15" customHeight="1" x14ac:dyDescent="0.25"/>
  <cols>
    <col min="1" max="1" width="2.81640625" customWidth="1"/>
    <col min="2" max="2" width="48.54296875" customWidth="1"/>
    <col min="3" max="4" width="23.7265625" customWidth="1"/>
    <col min="5" max="5" width="5.7265625" customWidth="1"/>
    <col min="6" max="6" width="27.453125" customWidth="1"/>
    <col min="7" max="8" width="23.7265625" customWidth="1"/>
    <col min="9" max="10" width="2.81640625" customWidth="1"/>
    <col min="11" max="12" width="17.1796875" customWidth="1"/>
    <col min="13" max="13" width="1.1796875" customWidth="1"/>
    <col min="14" max="15" width="2.81640625" customWidth="1"/>
    <col min="16" max="16" width="9.1796875" hidden="1" customWidth="1"/>
    <col min="17" max="17" width="47.81640625" hidden="1" customWidth="1"/>
    <col min="18" max="22" width="21.1796875" hidden="1" customWidth="1"/>
    <col min="23" max="23" width="1.453125" hidden="1" customWidth="1"/>
    <col min="24" max="25" width="21.1796875" hidden="1" customWidth="1"/>
    <col min="26" max="26" width="12.1796875" hidden="1" customWidth="1"/>
    <col min="27" max="27" width="71.26953125" hidden="1" customWidth="1"/>
    <col min="28" max="29" width="16" hidden="1" customWidth="1"/>
    <col min="30" max="30" width="9.1796875" hidden="1" customWidth="1"/>
    <col min="31" max="52" width="9.1796875" customWidth="1"/>
  </cols>
  <sheetData>
    <row r="1" spans="1:29" ht="15" customHeight="1" x14ac:dyDescent="0.35">
      <c r="A1" s="302"/>
      <c r="B1" s="302"/>
      <c r="C1" s="302"/>
      <c r="D1" s="302"/>
      <c r="E1" s="302"/>
      <c r="F1" s="302"/>
      <c r="G1" s="302"/>
      <c r="H1" s="302"/>
      <c r="I1" s="302"/>
      <c r="J1" s="302"/>
      <c r="K1" s="303"/>
      <c r="L1" s="303"/>
      <c r="M1" s="303"/>
      <c r="N1" s="303"/>
      <c r="O1" s="303"/>
      <c r="P1" s="303"/>
      <c r="Q1" s="303"/>
      <c r="R1" s="303"/>
      <c r="S1" s="303"/>
      <c r="T1" s="303"/>
      <c r="U1" s="303"/>
      <c r="V1" s="303"/>
      <c r="W1" s="303"/>
      <c r="X1" s="303"/>
      <c r="Y1" s="303"/>
      <c r="Z1" s="303"/>
      <c r="AA1" s="303"/>
      <c r="AB1" s="303"/>
      <c r="AC1" s="303"/>
    </row>
    <row r="2" spans="1:29" ht="15" customHeight="1" x14ac:dyDescent="0.35">
      <c r="A2" s="302"/>
      <c r="B2" s="302"/>
      <c r="C2" s="302"/>
      <c r="D2" s="302"/>
      <c r="E2" s="302"/>
      <c r="F2" s="302"/>
      <c r="G2" s="302"/>
      <c r="H2" s="302"/>
      <c r="I2" s="302"/>
      <c r="J2" s="302"/>
      <c r="K2" s="303"/>
      <c r="L2" s="303"/>
      <c r="M2" s="303"/>
      <c r="N2" s="303"/>
      <c r="O2" s="303"/>
      <c r="P2" s="303"/>
      <c r="Q2" s="303"/>
      <c r="R2" s="303"/>
      <c r="S2" s="303"/>
      <c r="T2" s="303"/>
      <c r="U2" s="303"/>
      <c r="V2" s="303"/>
      <c r="W2" s="303"/>
      <c r="X2" s="303"/>
      <c r="Y2" s="303"/>
      <c r="Z2" s="303"/>
      <c r="AA2" s="303"/>
      <c r="AB2" s="303"/>
      <c r="AC2" s="303"/>
    </row>
    <row r="3" spans="1:29" ht="15" customHeight="1" x14ac:dyDescent="0.35">
      <c r="A3" s="302"/>
      <c r="B3" s="302"/>
      <c r="C3" s="302"/>
      <c r="D3" s="302"/>
      <c r="E3" s="302"/>
      <c r="F3" s="302"/>
      <c r="G3" s="302"/>
      <c r="H3" s="302"/>
      <c r="I3" s="302"/>
      <c r="J3" s="302"/>
      <c r="K3" s="303"/>
      <c r="L3" s="303"/>
      <c r="M3" s="303"/>
      <c r="N3" s="303"/>
      <c r="O3" s="303"/>
      <c r="P3" s="303"/>
      <c r="Q3" s="303"/>
      <c r="R3" s="303"/>
      <c r="S3" s="303"/>
      <c r="T3" s="303"/>
      <c r="U3" s="303"/>
      <c r="V3" s="303"/>
      <c r="W3" s="303"/>
      <c r="X3" s="303"/>
      <c r="Y3" s="303"/>
      <c r="Z3" s="303"/>
      <c r="AA3" s="303"/>
      <c r="AB3" s="303"/>
      <c r="AC3" s="303"/>
    </row>
    <row r="4" spans="1:29" ht="30" customHeight="1" x14ac:dyDescent="0.55000000000000004">
      <c r="A4" s="4"/>
      <c r="B4" s="535" t="s">
        <v>1439</v>
      </c>
      <c r="C4" s="535"/>
      <c r="D4" s="535"/>
      <c r="E4" s="535"/>
      <c r="F4" s="535"/>
      <c r="G4" s="535"/>
      <c r="H4" s="535"/>
      <c r="I4" s="535"/>
      <c r="J4" s="535"/>
      <c r="K4" s="535"/>
      <c r="L4" s="535"/>
      <c r="M4" s="535"/>
      <c r="N4" s="535"/>
      <c r="O4" s="535"/>
      <c r="P4" s="535"/>
      <c r="Q4" s="535"/>
      <c r="R4" s="535"/>
      <c r="S4" s="535"/>
      <c r="T4" s="535"/>
      <c r="U4" s="535"/>
      <c r="V4" s="535"/>
      <c r="W4" s="535"/>
      <c r="X4" s="535"/>
      <c r="Y4" s="535"/>
    </row>
    <row r="5" spans="1:29" ht="7.5" customHeight="1" x14ac:dyDescent="0.35">
      <c r="A5" s="302"/>
      <c r="B5" s="302"/>
      <c r="C5" s="302"/>
      <c r="D5" s="302"/>
      <c r="E5" s="302"/>
      <c r="F5" s="303"/>
      <c r="G5" s="302"/>
      <c r="H5" s="302"/>
      <c r="I5" s="302"/>
      <c r="J5" s="302"/>
      <c r="K5" s="303"/>
      <c r="L5" s="303"/>
      <c r="M5" s="303"/>
      <c r="N5" s="303"/>
      <c r="O5" s="303"/>
      <c r="P5" s="303"/>
      <c r="Q5" s="303"/>
      <c r="R5" s="303"/>
      <c r="S5" s="303"/>
      <c r="T5" s="303"/>
      <c r="U5" s="303"/>
      <c r="V5" s="303"/>
      <c r="W5" s="303"/>
      <c r="X5" s="303"/>
      <c r="Y5" s="303"/>
      <c r="Z5" s="303"/>
      <c r="AA5" s="303"/>
      <c r="AB5" s="303"/>
      <c r="AC5" s="303"/>
    </row>
    <row r="6" spans="1:29" ht="15" customHeight="1" x14ac:dyDescent="0.35">
      <c r="A6" s="302"/>
      <c r="B6" s="843" t="s">
        <v>252</v>
      </c>
      <c r="C6" s="844" t="s">
        <v>1123</v>
      </c>
      <c r="D6" s="844" t="s">
        <v>1124</v>
      </c>
      <c r="E6" s="1659" t="s">
        <v>753</v>
      </c>
      <c r="F6" s="1660"/>
      <c r="G6" s="303"/>
      <c r="H6" s="168" t="s">
        <v>528</v>
      </c>
      <c r="I6" s="168">
        <v>1</v>
      </c>
      <c r="J6" s="168" t="s">
        <v>9</v>
      </c>
      <c r="K6" s="168">
        <v>1</v>
      </c>
      <c r="L6" s="303"/>
      <c r="M6" s="303"/>
      <c r="N6" s="303"/>
      <c r="O6" s="303"/>
      <c r="P6" s="303"/>
      <c r="Q6" s="303"/>
      <c r="R6" s="303"/>
      <c r="S6" s="303"/>
      <c r="T6" s="303"/>
      <c r="U6" s="303"/>
      <c r="V6" s="303"/>
      <c r="W6" s="303"/>
      <c r="X6" s="303"/>
      <c r="Y6" s="303"/>
      <c r="Z6" s="303"/>
      <c r="AA6" s="303"/>
      <c r="AB6" s="303"/>
      <c r="AC6" s="303"/>
    </row>
    <row r="7" spans="1:29" ht="15" customHeight="1" x14ac:dyDescent="0.35">
      <c r="A7" s="302"/>
      <c r="B7" s="374" t="str" cm="1">
        <f t="array" aca="1" ref="B7" ca="1">IFERROR(IF(INDIRECT("SCAApp" &amp; AICApplicantID &amp; "Name")&lt;&gt;"",INDIRECT("SCAApp" &amp; AICApplicantID &amp; "Name"),"Applicant " &amp; AICApplicantID) &amp; IF(AICSpouseIncomeFlag="Yes"," - non-applicant spouse",""),"")</f>
        <v>Applicant 1</v>
      </c>
      <c r="C7" s="844" t="str">
        <f>SCAUserID</f>
        <v>craig</v>
      </c>
      <c r="D7" s="845">
        <f ca="1">Serviceability!BA9</f>
        <v>45714</v>
      </c>
      <c r="E7" s="1659" t="str">
        <f>IF(ISBLANK(SCAApplicationReference),"",SCAApplicationReference)</f>
        <v/>
      </c>
      <c r="F7" s="1660"/>
      <c r="G7" s="303"/>
      <c r="H7" s="1007">
        <f>SUM(G35,G52,G65,G88,G115,G126,G138)</f>
        <v>0</v>
      </c>
      <c r="I7" s="467">
        <f>SUM(G36,G53)</f>
        <v>0</v>
      </c>
      <c r="J7" s="1045">
        <f>SUM(G37,G54,G116,G127)</f>
        <v>0</v>
      </c>
      <c r="K7" s="168"/>
      <c r="O7" s="303"/>
      <c r="P7" s="303"/>
      <c r="Q7" s="303"/>
      <c r="R7" s="303"/>
      <c r="S7" s="303"/>
      <c r="T7" s="303"/>
      <c r="U7" s="303"/>
      <c r="V7" s="303"/>
      <c r="W7" s="303"/>
      <c r="X7" s="303"/>
      <c r="Y7" s="303"/>
      <c r="Z7" s="303"/>
      <c r="AA7" s="303"/>
      <c r="AB7" s="303"/>
      <c r="AC7" s="303"/>
    </row>
    <row r="8" spans="1:29" ht="7.5" customHeight="1" x14ac:dyDescent="0.35">
      <c r="A8" s="302"/>
      <c r="B8" s="302"/>
      <c r="O8" s="303"/>
      <c r="P8" s="303"/>
      <c r="Q8" s="303"/>
      <c r="R8" s="303"/>
      <c r="S8" s="303"/>
      <c r="T8" s="303"/>
      <c r="U8" s="303"/>
      <c r="V8" s="303"/>
      <c r="W8" s="303"/>
      <c r="X8" s="303"/>
      <c r="Y8" s="303"/>
      <c r="Z8" s="303"/>
      <c r="AA8" s="303"/>
      <c r="AB8" s="303"/>
      <c r="AC8" s="303"/>
    </row>
    <row r="9" spans="1:29" ht="18.75" customHeight="1" x14ac:dyDescent="0.35">
      <c r="A9" s="307"/>
      <c r="B9" s="1153" t="s">
        <v>521</v>
      </c>
      <c r="C9" s="304"/>
      <c r="D9" s="304"/>
      <c r="E9" s="304"/>
      <c r="F9" s="304"/>
      <c r="G9" s="304"/>
      <c r="H9" s="304"/>
      <c r="I9" s="304"/>
      <c r="J9" s="304"/>
      <c r="K9" s="308"/>
      <c r="L9" s="308"/>
      <c r="M9" s="308"/>
      <c r="N9" s="308"/>
      <c r="O9" s="303"/>
      <c r="P9" s="303"/>
      <c r="Q9" s="303"/>
      <c r="R9" s="303"/>
      <c r="S9" s="303"/>
      <c r="T9" s="303"/>
      <c r="U9" s="303"/>
      <c r="V9" s="303"/>
      <c r="W9" s="303"/>
      <c r="X9" s="303"/>
      <c r="Y9" s="303"/>
      <c r="Z9" s="303"/>
      <c r="AA9" s="303"/>
      <c r="AB9" s="303"/>
      <c r="AC9" s="303"/>
    </row>
    <row r="10" spans="1:29" ht="7.5" customHeight="1" x14ac:dyDescent="0.35">
      <c r="A10" s="302"/>
      <c r="B10" s="305"/>
      <c r="C10" s="305"/>
      <c r="D10" s="305"/>
      <c r="E10" s="305"/>
      <c r="F10" s="305"/>
      <c r="G10" s="305"/>
      <c r="H10" s="305"/>
      <c r="I10" s="305"/>
      <c r="J10" s="305"/>
      <c r="K10" s="303"/>
      <c r="L10" s="303"/>
      <c r="M10" s="303"/>
      <c r="N10" s="303"/>
      <c r="O10" s="303"/>
      <c r="P10" s="303"/>
      <c r="Q10" s="303"/>
      <c r="R10" s="303"/>
      <c r="S10" s="303"/>
      <c r="T10" s="303"/>
      <c r="U10" s="303"/>
      <c r="V10" s="303"/>
      <c r="W10" s="303"/>
      <c r="X10" s="303"/>
      <c r="Y10" s="303"/>
      <c r="Z10" s="303"/>
      <c r="AA10" s="303"/>
      <c r="AB10" s="303"/>
      <c r="AC10" s="303"/>
    </row>
    <row r="11" spans="1:29" ht="18.75" hidden="1" customHeight="1" x14ac:dyDescent="0.35">
      <c r="A11" s="302"/>
      <c r="B11" s="373" t="s">
        <v>252</v>
      </c>
      <c r="C11" s="1308"/>
      <c r="D11" s="305"/>
      <c r="E11" s="305"/>
      <c r="F11" s="373" t="s">
        <v>1123</v>
      </c>
      <c r="G11" s="844" t="str">
        <f>C7</f>
        <v>craig</v>
      </c>
      <c r="H11" s="305"/>
      <c r="I11" s="305"/>
      <c r="J11" s="305"/>
      <c r="K11" s="303"/>
      <c r="L11" s="303"/>
      <c r="M11" s="303"/>
      <c r="N11" s="303"/>
      <c r="O11" s="303"/>
      <c r="P11" s="303"/>
      <c r="Q11" s="303"/>
      <c r="R11" s="303"/>
      <c r="S11" s="303"/>
      <c r="T11" s="303"/>
      <c r="U11" s="303"/>
      <c r="V11" s="303"/>
      <c r="W11" s="303"/>
      <c r="X11" s="303"/>
      <c r="Y11" s="303"/>
      <c r="Z11" s="303"/>
      <c r="AA11" s="303"/>
      <c r="AB11" s="303"/>
      <c r="AC11" s="303"/>
    </row>
    <row r="12" spans="1:29" ht="18.75" hidden="1" customHeight="1" x14ac:dyDescent="0.35">
      <c r="A12" s="302"/>
      <c r="B12" s="373" t="s">
        <v>753</v>
      </c>
      <c r="C12" s="1308"/>
      <c r="D12" s="305"/>
      <c r="E12" s="305"/>
      <c r="F12" s="373" t="s">
        <v>1124</v>
      </c>
      <c r="G12" s="845">
        <f ca="1">TODAY()</f>
        <v>45714</v>
      </c>
      <c r="H12" s="305"/>
      <c r="I12" s="305"/>
      <c r="J12" s="305"/>
      <c r="K12" s="303"/>
      <c r="L12" s="303"/>
      <c r="M12" s="303"/>
      <c r="N12" s="303"/>
      <c r="O12" s="303"/>
      <c r="P12" s="303"/>
      <c r="Q12" s="303"/>
      <c r="R12" s="303"/>
      <c r="S12" s="303"/>
      <c r="T12" s="303"/>
      <c r="U12" s="303"/>
      <c r="V12" s="303"/>
      <c r="W12" s="303"/>
      <c r="X12" s="303"/>
      <c r="Y12" s="303"/>
      <c r="Z12" s="303"/>
      <c r="AA12" s="303"/>
      <c r="AB12" s="303"/>
      <c r="AC12" s="303"/>
    </row>
    <row r="13" spans="1:29" ht="7.5" hidden="1" customHeight="1" x14ac:dyDescent="0.35">
      <c r="A13" s="302"/>
      <c r="B13" s="305"/>
      <c r="C13" s="305"/>
      <c r="D13" s="305"/>
      <c r="E13" s="305"/>
      <c r="F13" s="305"/>
      <c r="G13" s="305"/>
      <c r="H13" s="305"/>
      <c r="I13" s="305"/>
      <c r="J13" s="305"/>
      <c r="K13" s="303"/>
      <c r="L13" s="303"/>
      <c r="M13" s="303"/>
      <c r="N13" s="303"/>
      <c r="O13" s="303"/>
      <c r="P13" s="303"/>
      <c r="Q13" s="303"/>
      <c r="R13" s="303"/>
      <c r="S13" s="303"/>
      <c r="T13" s="303"/>
      <c r="U13" s="303"/>
      <c r="V13" s="303"/>
      <c r="W13" s="303"/>
      <c r="X13" s="303"/>
      <c r="Y13" s="303"/>
      <c r="Z13" s="303"/>
      <c r="AA13" s="303"/>
      <c r="AB13" s="303"/>
      <c r="AC13" s="303"/>
    </row>
    <row r="14" spans="1:29" ht="18.75" customHeight="1" x14ac:dyDescent="0.35">
      <c r="A14" s="302"/>
      <c r="B14" s="1171" t="s">
        <v>493</v>
      </c>
      <c r="C14" s="311"/>
      <c r="D14" s="381"/>
      <c r="E14" s="303"/>
      <c r="F14" s="303"/>
      <c r="G14" s="303"/>
      <c r="H14" s="303"/>
      <c r="I14" s="303"/>
      <c r="J14" s="305"/>
      <c r="K14" s="303"/>
      <c r="L14" s="303"/>
      <c r="M14" s="303"/>
      <c r="N14" s="303"/>
      <c r="O14" s="303"/>
      <c r="P14" s="303"/>
      <c r="Q14" s="303"/>
      <c r="R14" s="303"/>
      <c r="S14" s="303"/>
      <c r="T14" s="303"/>
      <c r="U14" s="303"/>
      <c r="V14" s="303"/>
      <c r="W14" s="303"/>
      <c r="X14" s="303"/>
      <c r="Y14" s="303"/>
      <c r="Z14" s="303"/>
      <c r="AA14" s="303"/>
      <c r="AB14" s="303"/>
      <c r="AC14" s="303"/>
    </row>
    <row r="15" spans="1:29" ht="18.75" customHeight="1" x14ac:dyDescent="0.35">
      <c r="A15" s="302"/>
      <c r="B15" s="373" t="s">
        <v>250</v>
      </c>
      <c r="C15" s="1309"/>
      <c r="D15" s="305"/>
      <c r="E15" s="303"/>
      <c r="F15" s="373" t="s">
        <v>1520</v>
      </c>
      <c r="G15" s="311" t="s">
        <v>9</v>
      </c>
      <c r="H15" s="303"/>
      <c r="I15" s="303"/>
      <c r="J15" s="305"/>
      <c r="K15" s="303"/>
      <c r="L15" s="303"/>
      <c r="M15" s="303"/>
      <c r="N15" s="303"/>
      <c r="O15" s="303"/>
      <c r="P15" s="303"/>
      <c r="Q15" s="1175" t="s">
        <v>2163</v>
      </c>
      <c r="R15" s="1176" t="s">
        <v>498</v>
      </c>
      <c r="S15" s="1176" t="s">
        <v>2162</v>
      </c>
      <c r="T15" s="1176" t="s">
        <v>11</v>
      </c>
      <c r="U15" s="1176" t="s">
        <v>657</v>
      </c>
      <c r="V15" s="1176" t="s">
        <v>658</v>
      </c>
      <c r="W15" s="114"/>
      <c r="X15" s="1176" t="s">
        <v>512</v>
      </c>
      <c r="Y15" s="1176" t="s">
        <v>1521</v>
      </c>
      <c r="Z15" s="303"/>
      <c r="AA15" s="303"/>
      <c r="AB15" s="303"/>
      <c r="AC15" s="303"/>
    </row>
    <row r="16" spans="1:29" ht="7.5" customHeight="1" x14ac:dyDescent="0.35">
      <c r="A16" s="302"/>
      <c r="B16" s="302"/>
      <c r="C16" s="302"/>
      <c r="D16" s="302"/>
      <c r="E16" s="302"/>
      <c r="F16" s="302"/>
      <c r="G16" s="302"/>
      <c r="H16" s="302"/>
      <c r="I16" s="302"/>
      <c r="J16" s="302"/>
      <c r="K16" s="303"/>
      <c r="L16" s="303"/>
      <c r="M16" s="303"/>
      <c r="N16" s="303"/>
      <c r="O16" s="303"/>
      <c r="P16" s="303"/>
      <c r="Q16" s="1177"/>
      <c r="R16" s="1177"/>
      <c r="S16" s="1177"/>
      <c r="T16" s="1177"/>
      <c r="U16" s="1177"/>
      <c r="V16" s="1177"/>
      <c r="W16" s="114"/>
      <c r="X16" s="1177"/>
      <c r="Y16" s="1177"/>
      <c r="Z16" s="303"/>
      <c r="AA16" s="303"/>
      <c r="AB16" s="303"/>
      <c r="AC16" s="303"/>
    </row>
    <row r="17" spans="1:29" ht="18.75" hidden="1" customHeight="1" x14ac:dyDescent="0.35">
      <c r="A17" s="309"/>
      <c r="B17" s="1119" t="s">
        <v>520</v>
      </c>
      <c r="C17" s="306"/>
      <c r="D17" s="306"/>
      <c r="E17" s="306"/>
      <c r="F17" s="306"/>
      <c r="G17" s="306"/>
      <c r="H17" s="306"/>
      <c r="I17" s="306"/>
      <c r="J17" s="306"/>
      <c r="K17" s="310"/>
      <c r="L17" s="310"/>
      <c r="M17" s="310"/>
      <c r="N17" s="310"/>
      <c r="O17" s="303"/>
      <c r="P17" s="303"/>
      <c r="Q17" s="1188" t="s">
        <v>2161</v>
      </c>
      <c r="R17" s="1183" t="b">
        <f>IF(AICPermanentYTDPayslipFlag="Yes",AND(NOT(ISBLANK(AICPermanentYTDPayCycle)),NOT(ISBLANK(AICPermanentYTDStartPayDate)),NOT(ISBLANK(AICPermanentYTDEndPayDate)),NOT(ISBLANK(AICPermanentYTDBasePay)),NOT(ISBLANK(AICPermanentYTDTotalPay)),NOT(ISBLANK(AICPermanentYTDTotalPayTaxStatus)),T17:V17),TRUE)</f>
        <v>1</v>
      </c>
      <c r="S17" s="1183" t="b">
        <f>IF(AICPermanentYTDPayslipFlag="No",AND(NOT(ISBLANK(AICPermanentNoYTDPayCycle)),NOT(ISBLANK(AICPermanentNoYTDPayslip1BasePay)),NOT(ISBLANK(AICPermanentNoYTDPayslip1TotalPay)),NOT(ISBLANK(AICPermanentNoYTDPayslip2BasePay)),NOT(ISBLANK(AICPermanentNoYTDPayslip2TotalPay)),T17:V17),TRUE)</f>
        <v>1</v>
      </c>
      <c r="T17" s="1183" t="b">
        <f>IF(AICPermanentIncomeVerificationType=T$15,IF(AICPermanentYTDPayslipFlag="Yes",AND(AICPermanentYTDPreTaxDeductionMandatoryFieldCheck,IF(AICPermanentBaseIncomeIncreaseFlag="No",IF(AICPermanentYTDTransitionFlag,AND(NOT(ISBLANK(AICPermanentYTDStartPayDatePY)),NOT(ISBLANK(AICPermanentYTDEndPayDatePY)),NOT(ISBLANK(AICPermanentYTDBasePayPY)),NOT(ISBLANK(AICPermanentYTDTotalPayPY)),NOT(ISBLANK(AICPermanentYTDTotalPayTaxStatusPY))),TRUE),IF(AICPermanentBaseIncomeIncreaseFlag="Yes",IF(AICPermanentBaseIncomeIncreaseType="Increase in current FY",AND(NOT(ISBLANK(AICPermanentYTDLowerBasePayLastDate)),NOT(ISBLANK(AICPermanentYTDLowerBasePay))),AND(NOT(ISBLANK(AICPermanentYTDStartPayDatePY)),NOT(ISBLANK(AICPermanentYTDEndPayDatePY)),NOT(ISBLANK(AICPermanentYTDBasePayPY)),NOT(ISBLANK(AICPermanentYTDTotalPayPY)),NOT(ISBLANK(AICPermanentYTDTotalPayTaxStatusPY)),IF(AICPermanentBaseIncomeIncreaseType="Increase in prior FY",AND(NOT(ISBLANK(AICPermanentYTDLowerBasePayLastDatePY)),NOT(ISBLANK(AICPermanentYTDLowerBasePayPY))),IF(AICPermanentBaseIncomeIncreaseType="Increase in transition",AND(NOT(ISBLANK(AICPermanentYTDLowerBasePayLastDate)),NOT(ISBLANK(AICPermanentYTDLowerBasePay))),TRUE)))),TRUE)),IF(AICPermanentNonBaseIncomeFlag="Yes",AND(NOT(ISBLANK(AICPermanentYTDPaidBonus)),IF(AICPermanentBaseIncomeIncreaseFlag="No",IF(AICPermanentYTDTransitionFlag,NOT(ISBLANK(AICPermanentYTDPaidBonusPY)),TRUE),TRUE)),TRUE),IF(T23,NOT(ISBLANK(AICPermanentPYIncomeSummaryAmount)),TRUE)),IF(AICPermanentYTDPayslipFlag="No",AND(AICPermanentNoYTDPreTaxDeductionMandatoryFieldCheck,IF(T23,NOT(ISBLANK(AICPermanentPYIncomeSummaryAmount)),TRUE)))),TRUE)</f>
        <v>1</v>
      </c>
      <c r="U17" s="1183" t="b">
        <f>IF(AICPermanentIncomeVerificationType=U$15,IF(AICPermanentYTDPayslipFlag="Yes",AND(AICPermanentYTDPreTaxDeductionMandatoryFieldCheck,IF(AICPermanentNonBaseIncomeFlag="Yes",NOT(ISBLANK(AICPermanentYTDPaidBonus)),TRUE),IF(U23,OR(NOT(ISBLANK(AICPermanentPYIncomeSummaryAmount)),NOT(ISBLANK(AICPermanentTransactionHistoryLowestDeposit))),TRUE)),IF(AICPermanentYTDPayslipFlag="No",AND(AICPermanentNoYTDPreTaxDeductionMandatoryFieldCheck,IF(U23,OR(NOT(ISBLANK(AICPermanentPYIncomeSummaryAmount)),NOT(ISBLANK(AICPermanentTransactionHistoryLowestDeposit))),TRUE)),TRUE)),TRUE)</f>
        <v>1</v>
      </c>
      <c r="V17" s="1183" t="b">
        <f>IF(AICPermanentIncomeVerificationType=V$15,IF(AICPermanentYTDPayslipFlag="Yes",AND(AICPermanentYTDPreTaxDeductionMandatoryFieldCheck,IF(AICPermanentNonBaseIncomeFlag="Yes",NOT(ISBLANK(AICPermanentYTDPaidBonus)),TRUE),IF(AICPermanentEmergencyServicesGroup2Required,NOT(ISBLANK(AICPermanentPYIncomeSummaryAmount)),TRUE)),IF(AICPermanentYTDPayslipFlag="No",AND(AICPermanentNoYTDPreTaxDeductionMandatoryFieldCheck,IF(AICPermanentEmergencyServicesGroup2Required,NOT(ISBLANK(AICPermanentPYIncomeSummaryAmount)),TRUE)),TRUE)),TRUE)</f>
        <v>1</v>
      </c>
      <c r="W17" s="1179"/>
      <c r="X17" s="1190" t="b">
        <f>IF(AICPermanentIncomeVerificationType=X$15,AND(NOT(ISBLANK(AICPermanentAccountCreditPayCycle)),NOT(ISBLANK(AICPermanentAccountCreditConsistent)),NOT(ISBLANK(AICPermanentAccountCreditLowest))),TRUE)</f>
        <v>1</v>
      </c>
      <c r="Y17" s="1190" t="b">
        <f>IF(AICPermanentIncomeVerificationType=Y$15,AND(NOT(ISBLANK(AICPermanentAUDForeignEmploymentPayCycle)),NOT(ISBLANK(AICPermanentAUDForeignEmploymentGrossBasePayslip1)),IF(AICPermanentAUDForeignEmploymentGroup2Required,NOT(ISBLANK(AICPermanentPYIncomeSummaryAmount)),TRUE)),TRUE)</f>
        <v>1</v>
      </c>
      <c r="Z17" s="1177"/>
      <c r="AB17" s="1202"/>
      <c r="AC17" s="1202"/>
    </row>
    <row r="18" spans="1:29" ht="7.5" hidden="1" customHeight="1" x14ac:dyDescent="0.35">
      <c r="A18" s="302"/>
      <c r="B18" s="88"/>
      <c r="C18" s="88"/>
      <c r="D18" s="88"/>
      <c r="E18" s="88"/>
      <c r="F18" s="88"/>
      <c r="G18" s="88"/>
      <c r="H18" s="88"/>
      <c r="I18" s="88"/>
      <c r="J18" s="88"/>
      <c r="K18" s="88"/>
      <c r="L18" s="88"/>
      <c r="M18" s="88"/>
      <c r="N18" s="88"/>
      <c r="Q18" s="303"/>
      <c r="R18" s="303"/>
      <c r="S18" s="303"/>
      <c r="T18" s="303"/>
      <c r="U18" s="303"/>
      <c r="V18" s="303"/>
      <c r="W18" s="303"/>
      <c r="X18" s="303"/>
      <c r="Y18" s="303"/>
      <c r="Z18" s="1177"/>
      <c r="AA18" s="1197"/>
      <c r="AB18" s="1202"/>
      <c r="AC18" s="1202"/>
    </row>
    <row r="19" spans="1:29" ht="18.75" hidden="1" customHeight="1" x14ac:dyDescent="0.35">
      <c r="A19" s="302"/>
      <c r="B19" s="417" t="s">
        <v>494</v>
      </c>
      <c r="C19" s="1006"/>
      <c r="D19" s="1008" t="str">
        <f>IF(AICPermanentIncomeVerificationType="AUD foreign employment","Note: Only use this verification method when income from foreign employment is received in Australian dollars (AUD)","")</f>
        <v/>
      </c>
      <c r="E19" s="88"/>
      <c r="F19" s="88"/>
      <c r="G19" s="379"/>
      <c r="H19" s="88"/>
      <c r="I19" s="88"/>
      <c r="J19" s="88"/>
      <c r="K19" s="88"/>
      <c r="L19" s="88"/>
      <c r="M19" s="88"/>
      <c r="N19" s="88"/>
      <c r="Q19" s="1188" t="s">
        <v>2177</v>
      </c>
      <c r="R19" s="1206">
        <f>IFERROR(VLOOKUP(AICPermanentYTDPayCycle,IncomeCycleData[],3,FALSE),0)</f>
        <v>0</v>
      </c>
      <c r="S19" s="1190">
        <f>IFERROR(VLOOKUP(AICPermanentNoYTDPayCycle,IncomeCycleData[],3,FALSE),0)</f>
        <v>0</v>
      </c>
      <c r="T19" s="1181"/>
      <c r="U19" s="1181"/>
      <c r="V19" s="1181"/>
      <c r="W19" s="1177"/>
      <c r="X19" s="1206">
        <f>IFERROR(VLOOKUP(AICPermanentAccountCreditPayCycle,IncomeCycleData[],3,FALSE),0)</f>
        <v>0</v>
      </c>
      <c r="Y19" s="1206">
        <f>IFERROR(VLOOKUP(AICPermanentAUDForeignEmploymentPayCycle,IncomeCycleData[],3,FALSE),0)</f>
        <v>0</v>
      </c>
      <c r="Z19" s="1177"/>
      <c r="AA19" s="303"/>
      <c r="AB19" s="303"/>
      <c r="AC19" s="303"/>
    </row>
    <row r="20" spans="1:29" ht="18.75" hidden="1" customHeight="1" x14ac:dyDescent="0.35">
      <c r="A20" s="302"/>
      <c r="B20" s="417" t="s">
        <v>495</v>
      </c>
      <c r="C20" s="465"/>
      <c r="D20" s="381" t="str">
        <f>IF(AICPermanentIncomeVerificationType="AUD foreign employment","","YTD Payslip or Single Touch Payroll (STP) YTD Income Statement")</f>
        <v>YTD Payslip or Single Touch Payroll (STP) YTD Income Statement</v>
      </c>
      <c r="E20" s="382"/>
      <c r="H20" s="88"/>
      <c r="I20" s="88"/>
      <c r="J20" s="88"/>
      <c r="Q20" s="1172" t="s">
        <v>705</v>
      </c>
      <c r="R20" s="1173" t="b">
        <f>IFERROR(AB35,0)&lt;IFERROR(AC35,0)</f>
        <v>0</v>
      </c>
      <c r="S20" s="1181"/>
      <c r="T20" s="1181"/>
      <c r="U20" s="1181"/>
      <c r="V20" s="1181"/>
      <c r="W20" s="1179"/>
      <c r="X20" s="1181"/>
      <c r="Y20" s="1181"/>
      <c r="Z20" s="1177"/>
      <c r="AA20" s="303"/>
      <c r="AB20" s="303"/>
      <c r="AC20" s="303"/>
    </row>
    <row r="21" spans="1:29" ht="18.75" hidden="1" customHeight="1" x14ac:dyDescent="0.35">
      <c r="A21" s="302"/>
      <c r="B21" s="417" t="s">
        <v>1584</v>
      </c>
      <c r="C21" s="465"/>
      <c r="D21" s="381" t="s">
        <v>1598</v>
      </c>
      <c r="E21" s="382"/>
      <c r="H21" s="88"/>
      <c r="I21" s="88"/>
      <c r="J21" s="88"/>
      <c r="Q21" s="1172" t="s">
        <v>706</v>
      </c>
      <c r="R21" s="1173" t="b">
        <f>IF(OR(AICPermanentBaseIncomeIncreaseFlag="No",ISBLANK(AICPermanentBaseIncomeIncreaseFlag)),TRUE,IF(AND(AICPermanentYTDTransitionFlag,AICPermanentBaseIncomeIncreaseType="Increase in current FY"),FALSE,IF(AND(AICPermanentYTDTransitionFlag=FALSE,AICPermanentBaseIncomeIncreaseType&lt;&gt;"Increase in current FY"),FALSE,TRUE)))</f>
        <v>1</v>
      </c>
      <c r="S21" s="1181"/>
      <c r="T21" s="1181"/>
      <c r="U21" s="1181"/>
      <c r="V21" s="1181"/>
      <c r="W21" s="1179"/>
      <c r="X21" s="1181"/>
      <c r="Y21" s="1181"/>
      <c r="Z21" s="1177"/>
      <c r="AA21" s="303"/>
      <c r="AB21" s="303"/>
      <c r="AC21" s="303"/>
    </row>
    <row r="22" spans="1:29" ht="18.75" hidden="1" customHeight="1" x14ac:dyDescent="0.35">
      <c r="A22" s="302"/>
      <c r="B22" s="417" t="s">
        <v>1606</v>
      </c>
      <c r="C22" s="465"/>
      <c r="D22" s="381" t="s">
        <v>1572</v>
      </c>
      <c r="E22" s="382"/>
      <c r="H22" s="88"/>
      <c r="I22" s="88"/>
      <c r="J22" s="88"/>
      <c r="Q22" s="1172" t="s">
        <v>707</v>
      </c>
      <c r="R22" s="1182" t="b">
        <f>IF(AICPermanentBaseIncomeIncreaseFlag="Yes",IF(OR(AICPermanentYTDPayslipCoverageMonths&lt;AICPermanentYTDPayslipNonBaseMinimumCoverageMonths,AICPermanentYTDPayslipCoverageMonths&gt;15,AICPermanentYTDCurrentYearLessThanPriorYearCheck),FALSE,AICPermanentYTDBaseIncomeIncreasePolicyCheck),TRUE)</f>
        <v>1</v>
      </c>
      <c r="S22" s="1181"/>
      <c r="T22" s="1181"/>
      <c r="U22" s="1181"/>
      <c r="V22" s="1181"/>
      <c r="W22" s="1179"/>
      <c r="X22" s="1181"/>
      <c r="Y22" s="1181"/>
      <c r="Z22" s="1177"/>
      <c r="AA22" s="303"/>
      <c r="AB22" s="303"/>
      <c r="AC22" s="303"/>
    </row>
    <row r="23" spans="1:29" ht="18.75" hidden="1" customHeight="1" x14ac:dyDescent="0.35">
      <c r="A23" s="302"/>
      <c r="B23" s="417" t="s">
        <v>496</v>
      </c>
      <c r="C23" s="465"/>
      <c r="D23" s="381" t="s">
        <v>708</v>
      </c>
      <c r="E23" s="382"/>
      <c r="H23" s="88"/>
      <c r="I23" s="88"/>
      <c r="J23" s="88"/>
      <c r="Q23" s="1188" t="s">
        <v>2164</v>
      </c>
      <c r="R23" s="1173" t="b">
        <f>IF(AICPermanentYTDPayslipFlag="Yes",OR(T23:V23),FALSE)</f>
        <v>0</v>
      </c>
      <c r="S23" s="1183" t="b">
        <f>IF(AICPermanentYTDPayslipFlag="No",OR(T23:V23),FALSE)</f>
        <v>0</v>
      </c>
      <c r="T23" s="1183" t="b">
        <f>IF(AICPermanentIncomeVerificationType=T$15,IF(AICPermanentYTDPayslipFlag="Yes",AND(NOT(ISBLANK(AICPermanentYTDPayCycle)),NOT(ISBLANK(AICPermanentYTDStartPayDate)),NOT(ISBLANK(AICPermanentYTDEndPayDate)),AICPermanentYTDPayslipCoverageMonthsCY&lt;AICPermanentYTDPayslipNonBaseMinimumCoverageMonths,NOT(AICPermanentYTDTransitionFlag),AICPermanentNonBaseIncomeFlag="Yes"),IF(AICPermanentYTDPayslipFlag="No",MIN(C55:D55)&lt;MIN(C56:D56),FALSE)),FALSE)</f>
        <v>0</v>
      </c>
      <c r="U23" s="1183" t="b">
        <f>IF(AICPermanentIncomeVerificationType=U$15,TRUE,FALSE)</f>
        <v>0</v>
      </c>
      <c r="V23" s="1173" t="b">
        <f>IF(AICPermanentIncomeVerificationType=V$15,IF(AICPermanentYTDPayslipFlag="Yes",IF(AND(OR(AICPermanentHospitalEmployedDoctorFlag&lt;&gt;"Yes",SCALMIFlag="Yes")),TRUE,IF(AICPermanentHospitalEmployedDoctorFlag="Yes",IF(AND(NOT(ISBLANK(AICPermanentYTDPayCycle)),NOT(ISBLANK(AICPermanentYTDStartPayDate)),NOT(ISBLANK(AICPermanentYTDEndPayDate)),AICPermanentYTDPayslipCoverageMonthsCY&lt;AICPermanentYTDPayslipNonBaseMinimumCoverageMonths),TRUE,FALSE),FALSE)),IF(AICPermanentYTDPayslipFlag="No",TRUE,FALSE)),FALSE)</f>
        <v>0</v>
      </c>
      <c r="W23" s="1179"/>
      <c r="X23" s="1183" t="b">
        <f>IF(AICPermanentIncomeVerificationType=X$15,FALSE,FALSE)</f>
        <v>0</v>
      </c>
      <c r="Y23" s="1183" t="b">
        <f>IF(AICPermanentIncomeVerificationType=Y$15,AICPermanentAUDForeignEmploymentDocType="AUS tax return / NoA",FALSE)</f>
        <v>0</v>
      </c>
      <c r="Z23" s="1177"/>
      <c r="AA23" s="303"/>
      <c r="AB23" s="303"/>
      <c r="AC23" s="303"/>
    </row>
    <row r="24" spans="1:29" ht="18.75" hidden="1" customHeight="1" x14ac:dyDescent="0.35">
      <c r="A24" s="302"/>
      <c r="B24" s="417" t="s">
        <v>497</v>
      </c>
      <c r="C24" s="465"/>
      <c r="D24" s="381" t="str">
        <f>IF(ISBLANK(AICPermanentBaseIncomeIncreaseType),"When did the base income increase occur?",VLOOKUP(AICPermanentBaseIncomeIncreaseType,BaseIncomeIncreaseType[],3,0))</f>
        <v>When did the base income increase occur?</v>
      </c>
      <c r="E24" s="382"/>
      <c r="Q24" s="1172" t="s">
        <v>709</v>
      </c>
      <c r="R24" s="1183" t="b">
        <f>AND(NOT(ISBLANK(AICPermanentYTDPayCycle)),NOT(ISBLANK(AICPermanentYTDStartPayDate)),NOT(ISBLANK(AICPermanentYTDEndPayDate)),AICPermanentYTDPayslipCoverageMonthsCY&lt;AICPermanentYTDPayslipNonBaseMinimumCoverageMonths,NOT(AICPermanentYTDTransitionFlag))</f>
        <v>0</v>
      </c>
      <c r="S24" s="1181"/>
      <c r="T24" s="1181"/>
      <c r="U24" s="1181"/>
      <c r="V24" s="1181"/>
      <c r="W24" s="1179"/>
      <c r="X24" s="1181"/>
      <c r="Y24" s="1181"/>
      <c r="Z24" s="1177"/>
      <c r="AA24" s="1207" t="s">
        <v>2212</v>
      </c>
      <c r="AB24" s="1208"/>
      <c r="AC24" s="1208"/>
    </row>
    <row r="25" spans="1:29" ht="18.75" hidden="1" customHeight="1" x14ac:dyDescent="0.3">
      <c r="A25" s="302"/>
      <c r="B25" s="373" t="s">
        <v>1394</v>
      </c>
      <c r="C25" s="311"/>
      <c r="D25" s="381" t="s">
        <v>1395</v>
      </c>
      <c r="E25" s="382"/>
      <c r="Q25" s="1172" t="s">
        <v>2354</v>
      </c>
      <c r="R25" s="1183" t="b">
        <f>IF(AICPermanentYTDPayslipFlag="Yes",AND(NOT(ISBLANK(AICPermanentYTDPayCycle)),NOT(ISBLANK(AICPermanentYTDStartPayDate)),NOT(ISBLANK(AICPermanentYTDEndPayDate)),NOT(ISBLANK(AICPermanentYTDBasePay)),NOT(ISBLANK(AICPermanentYTDTotalPay)),NOT(ISBLANK(AICPermanentYTDTotalPayTaxStatus)),T25:U25),TRUE)</f>
        <v>1</v>
      </c>
      <c r="S25" s="1181"/>
      <c r="T25" s="1183" t="b">
        <f>IF(AICPermanentIncomeVerificationType=T$15,IF(AICPermanentNonBaseIncomeFlag="No",$AB$35&gt;=($AB$36-13),TRUE),TRUE)</f>
        <v>1</v>
      </c>
      <c r="U25" s="1183" t="b">
        <f>IF(AICPermanentIncomeVerificationType=U$15,IF(AICPermanentNonBaseIncomeFlag="No",$AB$35&gt;=($AB$36-13),TRUE),TRUE)</f>
        <v>1</v>
      </c>
      <c r="V25" s="1181"/>
      <c r="W25" s="1179"/>
      <c r="X25" s="1181"/>
      <c r="Y25" s="1181"/>
      <c r="Z25" s="1177"/>
      <c r="AA25" s="1195" t="s">
        <v>2192</v>
      </c>
      <c r="AB25" s="1176" t="s">
        <v>712</v>
      </c>
      <c r="AC25" s="1176" t="s">
        <v>713</v>
      </c>
    </row>
    <row r="26" spans="1:29" ht="18.75" hidden="1" customHeight="1" x14ac:dyDescent="0.35">
      <c r="A26" s="303"/>
      <c r="B26" s="417" t="s">
        <v>1522</v>
      </c>
      <c r="C26" s="465"/>
      <c r="D26" s="88"/>
      <c r="E26" s="88"/>
      <c r="F26" s="413"/>
      <c r="G26" s="88"/>
      <c r="H26" s="88"/>
      <c r="I26" s="88"/>
      <c r="J26" s="88"/>
      <c r="K26" s="88"/>
      <c r="L26" s="88"/>
      <c r="M26" s="88"/>
      <c r="N26" s="88"/>
      <c r="Q26" s="1188" t="s">
        <v>2175</v>
      </c>
      <c r="R26" s="1183" t="b">
        <f>IF(AICPermanentYTDPayslipFlag="Yes",OR(T26:V26),FALSE)</f>
        <v>0</v>
      </c>
      <c r="S26" s="1183" t="b">
        <f>IF(AICPermanentYTDPayslipFlag="No",OR(T26:V26),FALSE)</f>
        <v>0</v>
      </c>
      <c r="T26" s="1183" t="b">
        <f>IF(AICPermanentIncomeVerificationType=T$15,FALSE,FALSE)</f>
        <v>0</v>
      </c>
      <c r="U26" s="1190" t="b">
        <f>IF(AICPermanentIncomeVerificationType=U$15,IF(AICPermanentYTDPayslipFlag="Yes",AND(AICPermanentBonusIncomeFlag="No",AICPermanentNonBaseIncomeFlag="No"),IF(AICPermanentYTDPayslipFlag="No",AND(AICPermanentBonusIncomeFlag="No",MIN(C55:D55)&gt;0,MIN(C55:D55)=MIN(C56:D56)),FALSE)),FALSE)</f>
        <v>0</v>
      </c>
      <c r="V26" s="1183" t="b">
        <f>IF(AICPermanentIncomeVerificationType=V$15,FALSE,FALSE)</f>
        <v>0</v>
      </c>
      <c r="W26" s="303"/>
      <c r="X26" s="1181"/>
      <c r="Y26" s="1181"/>
      <c r="Z26" s="1177"/>
      <c r="AA26" s="1196" t="s">
        <v>715</v>
      </c>
      <c r="AB26" s="1200">
        <f>IFERROR((AICPermanentLowerPreTaxDeduction*AICPermanentYTDNumberofPaysLowerBase)+(AICPermanentPreTaxDeduction*(AICPermanentYTDNumberofPays-AICPermanentYTDNumberofPaysLowerBase)),0)</f>
        <v>0</v>
      </c>
      <c r="AC26" s="1200">
        <f>IFERROR((AICPermanentLowerPreTaxDeductionPY*AICPermanentYTDNumberofPaysLowerBasePY)+(AICPermanentPreTaxDeductionPY*(AICPermanentYTDNumberofPaysPY-AICPermanentYTDNumberofPaysLowerBasePY)),0)</f>
        <v>0</v>
      </c>
    </row>
    <row r="27" spans="1:29" ht="7.5" hidden="1" customHeight="1" x14ac:dyDescent="0.35">
      <c r="A27" s="302"/>
      <c r="B27" s="383"/>
      <c r="C27" s="384"/>
      <c r="D27" s="88"/>
      <c r="E27" s="88"/>
      <c r="F27" s="88"/>
      <c r="G27" s="88"/>
      <c r="H27" s="88"/>
      <c r="I27" s="88"/>
      <c r="J27" s="88"/>
      <c r="Q27" s="303"/>
      <c r="R27" s="303"/>
      <c r="S27" s="303"/>
      <c r="T27" s="303"/>
      <c r="U27" s="303"/>
      <c r="V27" s="303"/>
      <c r="W27" s="303"/>
      <c r="X27" s="303"/>
      <c r="Y27" s="303"/>
      <c r="Z27" s="1177"/>
      <c r="AA27" s="303"/>
      <c r="AB27" s="1201"/>
      <c r="AC27" s="1202"/>
    </row>
    <row r="28" spans="1:29" ht="18.75" hidden="1" customHeight="1" x14ac:dyDescent="0.3">
      <c r="A28" s="425"/>
      <c r="B28" s="1078" t="s">
        <v>710</v>
      </c>
      <c r="C28" s="385"/>
      <c r="D28" s="385"/>
      <c r="E28" s="385"/>
      <c r="F28" s="386"/>
      <c r="G28" s="385"/>
      <c r="H28" s="125"/>
      <c r="I28" s="125"/>
      <c r="J28" s="125"/>
      <c r="K28" s="125"/>
      <c r="L28" s="125"/>
      <c r="M28" s="125"/>
      <c r="N28" s="125"/>
      <c r="Q28" s="1172" t="s">
        <v>2191</v>
      </c>
      <c r="R28" s="1173" t="b">
        <f>IF(AICPermanentYTDPayslipFlag="Yes",AND(T28:V28),TRUE)</f>
        <v>1</v>
      </c>
      <c r="S28" s="1173" t="b">
        <f>IF(AICPermanentYTDPayslipFlag="No",AND(T28:V28),TRUE)</f>
        <v>1</v>
      </c>
      <c r="T28" s="1183" t="b">
        <f>IF(AICPermanentIncomeVerificationType=T$15,IF(AICPermanentYTDPayslipFlag="Yes",AB29&gt;=AB31,IF(AICPermanentYTDPayslipFlag="No",IF(MIN(C55:D55)&gt;=MIN(C56:D56),TRUE,(AICPermanentPYIncomeSummaryAmount-AICPermanentPaidBonusLast12Months)&gt;MIN(C55:D55)),TRUE)),TRUE)</f>
        <v>1</v>
      </c>
      <c r="U28" s="1183" t="b">
        <f>IF(AICPermanentIncomeVerificationType=U$15,IF(AICPermanentYTDPayslipFlag="Yes",AB29&gt;=AB31,IF(AICPermanentYTDPayslipFlag="No",IF(MIN(C55:D55)=MIN(C56:D56),TRUE,(U94-AICPermanentPaidBonusLast12Months)&gt;MIN(C55:D55)),TRUE)),TRUE)</f>
        <v>1</v>
      </c>
      <c r="V28" s="1183" t="b">
        <f>IF(AICPermanentIncomeVerificationType=V$15,IF(AICPermanentYTDPayslipFlag="Yes",AB29&gt;=AB31,IF(AICPermanentYTDPayslipFlag="No",IF(MIN(C55:D55)=MIN(C56:D56),TRUE,(AICPermanentPYIncomeSummaryAmount-AICPermanentPaidBonusLast12Months)&gt;MIN(C55:D55)),TRUE)),TRUE)</f>
        <v>1</v>
      </c>
      <c r="W28" s="1179"/>
      <c r="X28" s="1181"/>
      <c r="Y28" s="1181"/>
      <c r="Z28" s="1177"/>
      <c r="AA28" s="1196" t="s">
        <v>2193</v>
      </c>
      <c r="AB28" s="1200">
        <f>IFERROR(AB26*IF(AND(AICPermanentYTDTotalPayTaxStatus="Gross",AICPermanentPreTaxDeductionFlag="No"),1,IF(AND(AICPermanentYTDTotalPayTaxStatus="Taxable",AICPermanentPreTaxDeductionFlag="Yes"),-1,0)),0)</f>
        <v>0</v>
      </c>
      <c r="AC28" s="1200">
        <f>IFERROR(AC26*IF(AND(AICPermanentYTDTotalPayTaxStatusPY="Gross",AICPermanentPreTaxDeductionFlag="No"),1,IF(AND(AICPermanentYTDTotalPayTaxStatusPY="Taxable",AICPermanentPreTaxDeductionFlag="Yes"),-1,0)),0)</f>
        <v>0</v>
      </c>
    </row>
    <row r="29" spans="1:29" ht="18.75" hidden="1" customHeight="1" x14ac:dyDescent="0.3">
      <c r="A29" s="302"/>
      <c r="B29" s="418" t="s">
        <v>498</v>
      </c>
      <c r="D29" s="88"/>
      <c r="E29" s="88"/>
      <c r="M29" s="387"/>
      <c r="Q29" s="1172" t="s">
        <v>2165</v>
      </c>
      <c r="R29" s="1181"/>
      <c r="S29" s="1181"/>
      <c r="T29" s="1173" t="b">
        <f>IF(AICPermanentIncomeVerificationType=T$15,AND(YEAR(AICPermanentYTDStartPayDate)=YEAR(AICPermanentYTDEndPayDate),MONTH(AICPermanentYTDEndPayDate)&gt;=7,MONTH(AICPermanentYTDEndPayDate)&lt;=9,AICPermanentYTDPayslipCoverageMonthsCY&lt;AICPermanentYTDPayslipNonBaseMinimumCoverageMonths),FALSE)</f>
        <v>0</v>
      </c>
      <c r="U29" s="1181"/>
      <c r="V29" s="1182" t="b">
        <f>IF(AICPermanentIncomeVerificationType=V$15,AND(YEAR(AICPermanentYTDStartPayDate)=YEAR(AICPermanentYTDEndPayDate),MONTH(AICPermanentYTDEndPayDate)&gt;=7,MONTH(AICPermanentYTDEndPayDate)&lt;=9,AICPermanentYTDPayslipCoverageMonthsCY&lt;AICPermanentYTDPayslipNonBaseMinimumCoverageMonths),FALSE)</f>
        <v>0</v>
      </c>
      <c r="W29" s="1179"/>
      <c r="X29" s="1181"/>
      <c r="Y29" s="1181"/>
      <c r="Z29" s="1177"/>
      <c r="AA29" s="1196" t="s">
        <v>2194</v>
      </c>
      <c r="AB29" s="1200">
        <f>IFERROR(AICPermanentYTDTotalPay-AICPermanentYTDPaidBonus-AB28,0)</f>
        <v>0</v>
      </c>
      <c r="AC29" s="1200">
        <f>IFERROR(AICPermanentYTDTotalPayPY-AICPermanentYTDPaidBonusPY-AC28,0)</f>
        <v>0</v>
      </c>
    </row>
    <row r="30" spans="1:29" ht="7.5" hidden="1" customHeight="1" x14ac:dyDescent="0.3">
      <c r="A30" s="302"/>
      <c r="B30" s="418"/>
      <c r="D30" s="88"/>
      <c r="E30" s="88"/>
      <c r="F30" s="388"/>
      <c r="G30" s="388"/>
      <c r="H30" s="388"/>
      <c r="I30" s="388"/>
      <c r="J30" s="131"/>
      <c r="K30" s="1663" t="str">
        <f>IFERROR(IF(AND(NOT(ISBLANK(AICPermanentYTDStartPayDate)),NOT(ISBLANK(AICPermanentYTDEndPayDate)),NOT(AICPermanentYTDBaseIncomeIncreasePolicyCheck)),"Error!" &amp; CHAR(10) &amp;  "Base income increase type '" &amp; AICPermanentBaseIncomeIncreaseType &amp; "' " &amp; VLOOKUP(AICPermanentBaseIncomeIncreaseType,BaseIncomeIncreaseType[],2,FALSE),IF(AND(AICPermanentBaseIncomeIncreaseFlag="Yes",AICPermanentYTDNumberofPays&lt;&gt;"",AICPermanentYTDNumberofPays&gt;0,IF(AICPermanentBaseIncomeIncreaseType&lt;&gt;"Increase in current FY",AICPermanentYTDNumberofPaysPY&gt;0,TRUE),OR(AICPermanentYTDPayslipCoverageMonths&lt;3,AICPermanentYTDPayslipCoverageMonths&gt;15)),"Error!" &amp; CHAR(10) &amp;  "The base pay increase policy may only be utilised where payslip documents cover a minimum period of 3" &amp; IF(AICPermanentBaseIncomeIncreaseType&lt;&gt;"Increase in current FY", " and a maximum period of 15","") &amp; " months." &amp; CHAR(10) &amp;  "Please use standard policy.",IF(NOT(AICPermanentYTDMandatoryFieldCheck),"Please complete all mandatory fields",IF(AND(AICPermanentYTDPayslipCoverageMonths&lt;3,NOT(AICPermanentEmergencyServicesTransitionFlag),AICPermanentNonBaseIncomeFlag="Yes"),"Application must be referred to Credit for consideration to include non-base income in serviceability and only where minimum time in employment requirements are met and YTD income supports non-base income.",IF(AND(AICPermanentBaseIncomeIncreaseFlag="Yes",AICPermanentYTDCurrentYearLessThanPriorYearCheck),"Error!" &amp; CHAR(10) &amp;  "The base pay increase policy may only be utilised where the current year annualised income is greater than the prior year (excluding bonuses)." &amp; " Check the correct dates and figures have been entered and where the figures entered are correct, standard policy must be used, i.e. Has base income increased? &lt;No&gt;",IF(NOT(AICPermanentYTDSalarySacrificeAmountSupported),"Check income information as the pre-tax deduction amount is not supported by the YTD pay amount entered",IF(AND(AICPermanentNonBaseIncomeFlag="Yes",NOT(AICPermanentYTDNonBaseIncomeSupportedCheck)),"Annualised base is greater than annualised YTD income and/or YTD does not support non-base income." &amp;  "Check the correct dates and figures have been entered, and where the figures entered are correct, only base income may be used.",IF(AND(NOT(ISBLANK(AICPermanentYTDTotalPay)),NOT(AICPermanentBaseIncomeSupported)),"YTD total is less than the YTD base. Check the correct dates and figures have been entered and where correct, refer to credit policy.","")))))))),"")</f>
        <v/>
      </c>
      <c r="L30" s="1663"/>
      <c r="M30" s="1661"/>
      <c r="Z30" s="1177"/>
      <c r="AA30" s="1194"/>
      <c r="AB30" s="1194"/>
      <c r="AC30" s="1194"/>
    </row>
    <row r="31" spans="1:29" ht="18.75" hidden="1" customHeight="1" x14ac:dyDescent="0.35">
      <c r="A31" s="302"/>
      <c r="B31" s="417" t="s">
        <v>499</v>
      </c>
      <c r="C31" s="465"/>
      <c r="D31" s="88"/>
      <c r="E31" s="88"/>
      <c r="F31" s="615" t="s">
        <v>711</v>
      </c>
      <c r="G31" s="431" t="s">
        <v>500</v>
      </c>
      <c r="H31" s="431" t="s">
        <v>501</v>
      </c>
      <c r="I31" s="389"/>
      <c r="J31" s="390"/>
      <c r="K31" s="1664"/>
      <c r="L31" s="1664"/>
      <c r="M31" s="1666"/>
      <c r="Q31" s="303"/>
      <c r="R31" s="303"/>
      <c r="S31" s="303"/>
      <c r="T31" s="303"/>
      <c r="U31" s="303"/>
      <c r="V31" s="303"/>
      <c r="W31" s="303"/>
      <c r="X31" s="303"/>
      <c r="Y31" s="303"/>
      <c r="Z31" s="1177"/>
      <c r="AA31" s="1196" t="s">
        <v>716</v>
      </c>
      <c r="AB31" s="1200">
        <f>IFERROR(MAX(0,((AICPermanentYTDLowerBasePay-IF(AICPermanentPreTaxDeductionFlag="No",AICPermanentLowerPreTaxDeduction,0))*AICPermanentYTDNumberofPaysLowerBase)+((AICPermanentYTDBasePay-IF(AICPermanentPreTaxDeductionFlag="No",AICPermanentPreTaxDeduction,0))*(AICPermanentYTDNumberofPays-AICPermanentYTDNumberofPaysLowerBase))),0)</f>
        <v>0</v>
      </c>
      <c r="AC31" s="1200">
        <f>IFERROR(MAX(0,((AICPermanentYTDLowerBasePayPY-IF(AICPermanentPreTaxDeductionFlag="No",AICPermanentLowerPreTaxDeductionPY,0))*AICPermanentYTDNumberofPaysLowerBasePY)+((AICPermanentYTDBasePayPY-IF(AICPermanentPreTaxDeductionFlag="No",AICPermanentPreTaxDeductionPY,0))*(AICPermanentYTDNumberofPaysPY-AICPermanentYTDNumberofPaysLowerBasePY))),0)</f>
        <v>0</v>
      </c>
    </row>
    <row r="32" spans="1:29" ht="7.5" hidden="1" customHeight="1" x14ac:dyDescent="0.35">
      <c r="A32" s="302"/>
      <c r="B32" s="419"/>
      <c r="D32" s="88"/>
      <c r="E32" s="88"/>
      <c r="F32" s="391"/>
      <c r="G32" s="392"/>
      <c r="H32" s="389"/>
      <c r="I32" s="389"/>
      <c r="J32" s="390"/>
      <c r="K32" s="1664"/>
      <c r="L32" s="1664"/>
      <c r="M32" s="1666"/>
      <c r="Q32" s="303"/>
      <c r="R32" s="303"/>
      <c r="S32" s="303"/>
      <c r="T32" s="114"/>
      <c r="U32" s="1177"/>
      <c r="V32" s="1177"/>
      <c r="W32" s="1177"/>
      <c r="X32" s="1177"/>
      <c r="Y32" s="1177"/>
      <c r="Z32" s="1177"/>
      <c r="AA32" s="1194"/>
      <c r="AB32" s="1194"/>
      <c r="AC32" s="1194"/>
    </row>
    <row r="33" spans="1:29" ht="18.75" hidden="1" customHeight="1" x14ac:dyDescent="0.35">
      <c r="A33" s="302"/>
      <c r="B33" s="394"/>
      <c r="C33" s="466" t="s">
        <v>500</v>
      </c>
      <c r="D33" s="466" t="s">
        <v>714</v>
      </c>
      <c r="E33" s="88"/>
      <c r="F33" s="615" t="s">
        <v>2</v>
      </c>
      <c r="G33" s="432" t="str">
        <f>IFERROR(IF(AND(NOT(ISBLANK(AICPermanentYTDStartPayDate)),NOT(ISBLANK(AICPermanentYTDEndPayDate))),IF(AICPermanentYTDPayCycle="Monthly",DATEDIF(AICPermanentYTDStartPayDate,AICPermanentYTDEndPayDate,"m")+1,ROUNDDOWN((AICPermanentYTDEndPayDate-AICPermanentYTDStartPayDate)/VLOOKUP(AICPermanentYTDPayCycle,IncomeCycleData[],2,FALSE),0)+1),""),0)</f>
        <v/>
      </c>
      <c r="H33" s="432">
        <f>IFERROR(IF(AND(NOT(ISBLANK(AICPermanentYTDStartPayDatePY)),NOT(ISBLANK(AICPermanentYTDEndPayDatePY))),IF(AICPermanentYTDPayCycle="Monthly",DATEDIF(AICPermanentYTDStartPayDatePY,AICPermanentYTDEndPayDatePY,"m")+1,ROUNDDOWN((IF(AND(DAY(AICPermanentYTDEndPayDatePY)=30,MONTH(AICPermanentYTDEndPayDatePY)=6),AICPermanentYTDEndPayDate-(AICPermanentYTDNumberofPays*VLOOKUP(AICPermanentYTDPayCycle,IncomeCycleData[],2,0)),AICPermanentYTDEndPayDatePY)-AICPermanentYTDStartPayDatePY)/VLOOKUP(AICPermanentYTDPayCycle,IncomeCycleData[],2,FALSE),0)+1),0),0)</f>
        <v>0</v>
      </c>
      <c r="I33" s="389"/>
      <c r="J33" s="390"/>
      <c r="K33" s="1664"/>
      <c r="L33" s="1664"/>
      <c r="M33" s="1666"/>
      <c r="Q33" s="303"/>
      <c r="R33" s="303"/>
      <c r="S33" s="303"/>
      <c r="T33" s="303"/>
      <c r="U33" s="303"/>
      <c r="V33" s="303"/>
      <c r="W33" s="1177"/>
      <c r="X33" s="1177"/>
      <c r="Y33" s="1177"/>
      <c r="Z33" s="1177"/>
      <c r="AA33" s="1198" t="s">
        <v>2199</v>
      </c>
      <c r="AB33" s="1203">
        <f>IFERROR(((AC29-AC31)+(AB29-AB31))/(AICPermanentYTDNumberofPays+AICPermanentYTDNumberofPaysPY)*AICPermanentYTDAnnualNumberofPays,0)</f>
        <v>0</v>
      </c>
      <c r="AC33" s="1204"/>
    </row>
    <row r="34" spans="1:29" ht="18.75" hidden="1" customHeight="1" x14ac:dyDescent="0.35">
      <c r="A34" s="302"/>
      <c r="B34" s="417" t="s">
        <v>656</v>
      </c>
      <c r="C34" s="434">
        <v>45474</v>
      </c>
      <c r="D34" s="1790">
        <v>45108</v>
      </c>
      <c r="E34" s="88"/>
      <c r="F34" s="615" t="str">
        <f>IF(C31="","Base pay",TRIM(C31 &amp; " base pay"))</f>
        <v>Base pay</v>
      </c>
      <c r="G34" s="1311">
        <f>IFERROR(G35/AICPermanentYTDAnnualNumberofPays,0)</f>
        <v>0</v>
      </c>
      <c r="H34" s="436"/>
      <c r="I34" s="389"/>
      <c r="J34" s="390"/>
      <c r="K34" s="1664"/>
      <c r="L34" s="1664"/>
      <c r="M34" s="1666"/>
      <c r="Q34" s="1175" t="s">
        <v>2190</v>
      </c>
      <c r="R34" s="1176"/>
      <c r="S34" s="1176"/>
      <c r="T34" s="1176" t="str">
        <f>T15</f>
        <v>PAYG</v>
      </c>
      <c r="U34" s="1176" t="str">
        <f>U15</f>
        <v>Family employee</v>
      </c>
      <c r="V34" s="1176" t="str">
        <f>V15</f>
        <v>Emergency services</v>
      </c>
      <c r="W34" s="1177"/>
      <c r="X34" s="1177"/>
      <c r="Y34" s="1177"/>
      <c r="Z34" s="1177"/>
      <c r="AA34" s="1196" t="s">
        <v>2195</v>
      </c>
      <c r="AB34" s="1200">
        <f>IFERROR(AICPermanentYTDTotalPay-AICPermanentYTDPaidBonus+IF(AICPermanentYTDTotalPayTaxStatus="Taxable",AB26,0),0)</f>
        <v>0</v>
      </c>
      <c r="AC34" s="1200">
        <f>IFERROR(AICPermanentYTDTotalPayPY-AICPermanentYTDPaidBonusPY+IF(AICPermanentYTDTotalPayTaxStatusPY="Taxable",AC26,0),0)</f>
        <v>0</v>
      </c>
    </row>
    <row r="35" spans="1:29" ht="18.75" hidden="1" customHeight="1" x14ac:dyDescent="0.35">
      <c r="A35" s="302"/>
      <c r="B35" s="417" t="s">
        <v>2120</v>
      </c>
      <c r="C35" s="434"/>
      <c r="D35" s="1790"/>
      <c r="E35" s="88"/>
      <c r="F35" s="615" t="str">
        <f>IF(AICPermanentFutureIncomeAnnualBase=0,"Annual base","Future annual base")</f>
        <v>Annual base</v>
      </c>
      <c r="G35" s="1311">
        <f>IFERROR(IF(AND(AICPermanentYTDPayslipFlag="Yes",AICPermanentYTDMandatoryFieldCheck),IF(AICPermanentIncomeVerificationType="PAYG",T35,IF(AICPermanentIncomeVerificationType="Family employee",U35,IF(AICPermanentIncomeVerificationType="Emergency services",V35,0))),0),0)</f>
        <v>0</v>
      </c>
      <c r="H35" s="436"/>
      <c r="I35" s="396"/>
      <c r="J35" s="390"/>
      <c r="K35" s="1664"/>
      <c r="L35" s="1664"/>
      <c r="M35" s="1666"/>
      <c r="Q35" s="1188" t="s">
        <v>2184</v>
      </c>
      <c r="R35" s="1185"/>
      <c r="S35" s="1185"/>
      <c r="T35" s="1191">
        <f>IFERROR(IF(AICPermanentYTDBaseIncomeIncreaseValidityCheck,MAX(0,(AICPermanentYTDBasePay-IF(AICPermanentPreTaxDeductionFlag="No",AICPermanentPreTaxDeduction,0))*AICPermanentYTDAnnualNumberofPays),0),0)</f>
        <v>0</v>
      </c>
      <c r="U35" s="1191">
        <f>IFERROR(MIN(AB36,MAX(0,U94-AICPermanentPaidBonusLast12Months))-IF(AICPermanentPreTaxDeductionFlag="No",AICPermanentPreTaxDeduction,0)*AICPermanentYTDAnnualNumberofPays,0)</f>
        <v>0</v>
      </c>
      <c r="V35" s="1191">
        <f>IFERROR(MAX(0,IF(AICPermanentFutureIncomeAnnualBase=0,(AICPermanentYTDBasePay-IF(AICPermanentPreTaxDeductionFlag="No",AICPermanentPreTaxDeduction,0))*AICPermanentYTDAnnualNumberofPays,AICPermanentFutureIncomeAnnualBase-(IF(AICPermanentPreTaxDeductionFlag="No",AICPermanentPreTaxDeduction,0)*AICPermanentYTDAnnualNumberofPays))),0)</f>
        <v>0</v>
      </c>
      <c r="W35" s="114">
        <f t="shared" ref="W35" si="0">W15</f>
        <v>0</v>
      </c>
      <c r="Z35" s="1177"/>
      <c r="AA35" s="1196" t="s">
        <v>2196</v>
      </c>
      <c r="AB35" s="1200">
        <f>IFERROR(AB34/AICPermanentYTDNumberofPays*AICPermanentYTDAnnualNumberofPays,0)</f>
        <v>0</v>
      </c>
      <c r="AC35" s="1200">
        <f>IFERROR(AC34/AICPermanentYTDNumberofPaysPY*AICPermanentYTDAnnualNumberofPays,0)</f>
        <v>0</v>
      </c>
    </row>
    <row r="36" spans="1:29" ht="18.75" hidden="1" customHeight="1" x14ac:dyDescent="0.35">
      <c r="A36" s="302"/>
      <c r="B36" s="417" t="str">
        <f>IF(NOT(ISBLANK(AICPermanentYTDPayCycle)),AICPermanentYTDPayCycle &amp; " base pay","Base pay")</f>
        <v>Base pay</v>
      </c>
      <c r="C36" s="1788"/>
      <c r="D36" s="1789"/>
      <c r="E36" s="88"/>
      <c r="F36" s="615" t="s">
        <v>502</v>
      </c>
      <c r="G36" s="1312">
        <f>IFERROR(IF(AND(AICPermanentYTDPayslipFlag="Yes",AICPermanentNonBaseIncomeFlag="Yes",AICPermanentYTDMandatoryFieldCheck),IF(AICPermanentIncomeVerificationType="PAYG",T36,IF(AICPermanentIncomeVerificationType="Family employee",U36,IF(AICPermanentIncomeVerificationType="Emergency services",V36))),0),0)</f>
        <v>0</v>
      </c>
      <c r="H36" s="436"/>
      <c r="I36" s="389"/>
      <c r="J36" s="390"/>
      <c r="K36" s="1664"/>
      <c r="L36" s="1664"/>
      <c r="M36" s="1666"/>
      <c r="Q36" s="1188" t="s">
        <v>2185</v>
      </c>
      <c r="R36" s="1185"/>
      <c r="S36" s="1185"/>
      <c r="T36" s="1191">
        <f>IFERROR(MAX(0,IF(AND(AICPermanentYTDBaseIncomeIncreaseValidityCheck,AICPermanentYTDNonBaseIncomeSupportedCheck,AICPermanentYTDPayslipCoverageMonths&gt;=AICPermanentYTDPayslipNonBaseMinimumCoverageMonths),IF(AICPermanentGroup2RequiredCoverage,MIN(SUM(AB36,AB33),(AICPermanentPYIncomeSummaryAmount-AICPermanentPaidBonusLast12Months))-AB36,IF(AND(AICPermanentYTDTransitionFlag,AICPermanentTransitionCYLessThanPYCheck),AB37,AB33)),0)),0)</f>
        <v>0</v>
      </c>
      <c r="U36" s="1191">
        <f>IFERROR(MAX(0,IF(AND(AICPermanentYTDNonBaseIncomeSupportedCheck,AICPermanentYTDPayslipCoverageMonths&gt;=AICPermanentYTDPayslipNonBaseMinimumCoverageMonths),MIN(U94-AICPermanentPaidBonusLast12Months,AB35)-U35,0)),0)</f>
        <v>0</v>
      </c>
      <c r="V36" s="1191">
        <f>IFERROR(MAX(0,IF(AND(AICPermanentYTDNonBaseIncomeSupportedCheck,OR(AICPermanentYTDPayslipCoverageMonths&gt;=AICPermanentYTDPayslipNonBaseMinimumCoverageMonths,AICPermanentEmergencyServicesTransitionFlag)),IF(AICPermanentEmergencyServicesGroup2Required,MIN(SUM(AB36,AB33),(AICPermanentPYIncomeSummaryAmount-AICPermanentPaidBonusLast12Months))-AB36,AB33),0)),0)</f>
        <v>0</v>
      </c>
      <c r="W36" s="114"/>
      <c r="Z36" s="1177"/>
      <c r="AA36" s="1196" t="s">
        <v>2197</v>
      </c>
      <c r="AB36" s="1200">
        <f>IFERROR(AICPermanentYTDBasePay*AICPermanentYTDAnnualNumberofPays,0)</f>
        <v>0</v>
      </c>
      <c r="AC36" s="1204"/>
    </row>
    <row r="37" spans="1:29" ht="18.75" hidden="1" customHeight="1" x14ac:dyDescent="0.35">
      <c r="A37" s="302"/>
      <c r="B37" s="417" t="str">
        <f>AICPermanentYTDTotalPayTaxStatus &amp; " YTD amount"</f>
        <v>Gross YTD amount</v>
      </c>
      <c r="C37" s="1788"/>
      <c r="D37" s="1789"/>
      <c r="E37" s="88"/>
      <c r="F37" s="615" t="s">
        <v>503</v>
      </c>
      <c r="G37" s="1311">
        <f>IFERROR(IF(AND(AICPermanentYTDPayslipFlag="Yes",AICPermanentBonusIncomeFlag="Yes",AICPermanentYTDMandatoryFieldCheck),IF(AICPermanentIncomeVerificationType="PAYG",T37,IF(AICPermanentIncomeVerificationType="Family employee",U37,IF(AICPermanentIncomeVerificationType="Emergency services",V37))),0),0)</f>
        <v>0</v>
      </c>
      <c r="H37" s="856"/>
      <c r="I37" s="389"/>
      <c r="J37" s="390"/>
      <c r="K37" s="1664"/>
      <c r="L37" s="1664"/>
      <c r="M37" s="1666"/>
      <c r="Q37" s="1188" t="s">
        <v>2181</v>
      </c>
      <c r="R37" s="1185"/>
      <c r="S37" s="1185"/>
      <c r="T37" s="1191">
        <f>AICPermanentPaidBonusLast12Months</f>
        <v>0</v>
      </c>
      <c r="U37" s="1191">
        <f>MIN(U94,--AICPermanentPaidBonusLast12Months)</f>
        <v>0</v>
      </c>
      <c r="V37" s="1191">
        <f>AICPermanentPaidBonusLast12Months</f>
        <v>0</v>
      </c>
      <c r="W37" s="1177"/>
      <c r="X37" s="1177"/>
      <c r="Y37" s="1177"/>
      <c r="Z37" s="1177"/>
      <c r="AA37" s="1198" t="s">
        <v>2200</v>
      </c>
      <c r="AB37" s="1203">
        <f>MAX(0,MIN(AB35,AC35)-AB36)</f>
        <v>0</v>
      </c>
      <c r="AC37" s="1204"/>
    </row>
    <row r="38" spans="1:29" ht="18.75" hidden="1" customHeight="1" x14ac:dyDescent="0.35">
      <c r="A38" s="302"/>
      <c r="B38" s="417" t="s">
        <v>504</v>
      </c>
      <c r="C38" s="435" t="s">
        <v>6</v>
      </c>
      <c r="D38" s="1389" t="s">
        <v>6</v>
      </c>
      <c r="E38" s="88"/>
      <c r="F38" s="615" t="s">
        <v>4</v>
      </c>
      <c r="G38" s="1311">
        <f>IFERROR(SUM(G35:G37),0)</f>
        <v>0</v>
      </c>
      <c r="H38" s="856"/>
      <c r="I38" s="389"/>
      <c r="J38" s="390"/>
      <c r="K38" s="1665"/>
      <c r="L38" s="1665"/>
      <c r="M38" s="1662"/>
      <c r="Q38" s="1188" t="s">
        <v>2449</v>
      </c>
      <c r="R38" s="1423">
        <f>SUM(T38:U38)</f>
        <v>0</v>
      </c>
      <c r="S38" s="1185"/>
      <c r="T38" s="1422">
        <f>IF(AICPermanentIncomeVerificationType=T$34,IF(AND(AICPermanentNonBaseIncomeFlag="No",AICPermanentBonusIncomeFlag="No"),($AB$36-$AB$35)/$AB$35,0),0)</f>
        <v>0</v>
      </c>
      <c r="U38" s="1422">
        <f>IF(AICPermanentIncomeVerificationType=U$34,IF(AND(AICPermanentNonBaseIncomeFlag="No",AICPermanentBonusIncomeFlag="No"),($AB$36-$AB$35)/$AB$35,0),0)</f>
        <v>0</v>
      </c>
      <c r="V38" s="1185"/>
      <c r="W38" s="1177"/>
      <c r="X38" s="1177"/>
      <c r="Y38" s="1177"/>
      <c r="Z38" s="1177"/>
      <c r="AA38" s="1196" t="s">
        <v>2198</v>
      </c>
      <c r="AB38" s="1200">
        <f>AB35+AICPermanentYTDPaidBonus</f>
        <v>0</v>
      </c>
      <c r="AC38" s="1200">
        <f>AC35+AICPermanentYTDPaidBonusPY</f>
        <v>0</v>
      </c>
    </row>
    <row r="39" spans="1:29" ht="18.75" hidden="1" customHeight="1" x14ac:dyDescent="0.35">
      <c r="A39" s="302"/>
      <c r="B39" s="1015" t="s">
        <v>1573</v>
      </c>
      <c r="C39" s="1788"/>
      <c r="D39" s="1789"/>
      <c r="E39" s="88"/>
      <c r="F39" s="615"/>
      <c r="G39" s="389"/>
      <c r="H39" s="856"/>
      <c r="I39" s="389"/>
      <c r="J39" s="390"/>
      <c r="Q39" s="303"/>
      <c r="R39" s="303"/>
      <c r="S39" s="303"/>
      <c r="T39" s="303"/>
      <c r="U39" s="303"/>
      <c r="V39" s="303"/>
      <c r="W39" s="1177"/>
      <c r="X39" s="1177"/>
      <c r="Y39" s="1177"/>
      <c r="Z39" s="1177"/>
      <c r="AA39" s="1196" t="s">
        <v>1575</v>
      </c>
      <c r="AB39" s="1199" t="b">
        <f>IFERROR(AB38,0)&lt;IFERROR(AC38,0)</f>
        <v>0</v>
      </c>
      <c r="AC39" s="1204"/>
    </row>
    <row r="40" spans="1:29" ht="7.5" hidden="1" customHeight="1" x14ac:dyDescent="0.35">
      <c r="A40" s="302"/>
      <c r="B40" s="419"/>
      <c r="E40" s="88"/>
      <c r="F40" s="430"/>
      <c r="G40" s="389"/>
      <c r="H40" s="389"/>
      <c r="I40" s="389"/>
      <c r="J40" s="390"/>
      <c r="M40" s="397"/>
      <c r="Q40" s="303"/>
      <c r="R40" s="303"/>
      <c r="S40" s="303"/>
      <c r="T40" s="303"/>
      <c r="U40" s="303"/>
      <c r="V40" s="303"/>
      <c r="W40" s="1177"/>
      <c r="X40" s="1177"/>
      <c r="Y40" s="1177"/>
      <c r="Z40" s="1177"/>
      <c r="AA40" s="1194"/>
      <c r="AB40" s="1194"/>
      <c r="AC40" s="1194"/>
    </row>
    <row r="41" spans="1:29" ht="18.75" hidden="1" customHeight="1" x14ac:dyDescent="0.35">
      <c r="A41" s="302"/>
      <c r="B41" s="418" t="s">
        <v>505</v>
      </c>
      <c r="E41" s="88"/>
      <c r="F41" s="391"/>
      <c r="G41" s="389"/>
      <c r="H41" s="389"/>
      <c r="I41" s="389"/>
      <c r="J41" s="390"/>
      <c r="M41" s="393"/>
      <c r="Q41" s="303"/>
      <c r="R41" s="303"/>
      <c r="S41" s="303"/>
      <c r="T41" s="303"/>
      <c r="U41" s="303"/>
      <c r="V41" s="303"/>
      <c r="W41" s="1177"/>
      <c r="X41" s="1177"/>
      <c r="Y41" s="1177"/>
      <c r="Z41" s="1177"/>
      <c r="AA41" s="1172" t="s">
        <v>2172</v>
      </c>
      <c r="AB41" s="1173">
        <f>IF(AICPermanentYTDPayCycle="Monthly",IFERROR(AICPermanentYTDNumberofPays,0)+IFERROR(AICPermanentYTDNumberofPaysPY,0),IF(AND(NOT(ISBLANK(AICPermanentYTDStartPayDate)),NOT(ISBLANK(AICPermanentYTDEndPayDate)),NOT(ISBLANK(AICPermanentYTDStartPayDatePY)),NOT(ISBLANK(AICPermanentYTDEndPayDatePY)),MONTH(AICPermanentYTDEndPayDatePY)=6),DATEDIF(AICPermanentYTDStartPayDatePY,AICPermanentYTDEndPayDate+1,"m"),IFERROR(DATEDIF(AICPermanentYTDStartPayDate,AICPermanentYTDEndPayDate+1,"m"),0)+IFERROR(DATEDIF(AICPermanentYTDStartPayDatePY,AICPermanentYTDEndPayDatePY+1,"m"),0)))</f>
        <v>0</v>
      </c>
      <c r="AC41" s="1204"/>
    </row>
    <row r="42" spans="1:29" ht="18.75" hidden="1" customHeight="1" x14ac:dyDescent="0.35">
      <c r="A42" s="302"/>
      <c r="B42" s="417" t="s">
        <v>506</v>
      </c>
      <c r="C42" s="1790"/>
      <c r="D42" s="1790"/>
      <c r="E42" s="88"/>
      <c r="F42" s="429" t="s">
        <v>2</v>
      </c>
      <c r="G42" s="432">
        <f>IFERROR(IF(AND(NOT(ISBLANK(AICPermanentYTDPayCycle)),NOT(ISBLANK(AICPermanentYTDLowerBasePayLastDate))),IF(AICPermanentYTDPayCycle="Monthly",DATEDIF(AICPermanentYTDStartPayDate,AICPermanentYTDLowerBasePayLastDate,"m")+1,ROUNDDOWN((AICPermanentYTDLowerBasePayLastDate-AICPermanentYTDStartPayDate)/VLOOKUP(AICPermanentYTDPayCycle,IncomeCycleData[],2,FALSE),0)+1),0),0)</f>
        <v>0</v>
      </c>
      <c r="H42" s="432">
        <f>IFERROR(IF(AND(NOT(ISBLANK(AICPermanentYTDStartPayDatePY)),NOT(ISBLANK(AICPermanentYTDLowerBasePayLastDatePY))),IF(AICPermanentYTDPayCycle="Monthly",DATEDIF(AICPermanentYTDStartPayDatePY,AICPermanentYTDLowerBasePayLastDatePY,"m")+1,ROUNDDOWN((AICPermanentYTDLowerBasePayLastDatePY-AICPermanentYTDStartPayDatePY)/VLOOKUP(AICPermanentYTDPayCycle,IncomeCycleData[],2,FALSE),0)+1),0),0)</f>
        <v>0</v>
      </c>
      <c r="I42" s="389"/>
      <c r="J42" s="390"/>
      <c r="M42" s="397"/>
      <c r="Q42" s="303"/>
      <c r="R42" s="303"/>
      <c r="S42" s="303"/>
      <c r="T42" s="303"/>
      <c r="U42" s="303"/>
      <c r="V42" s="303"/>
      <c r="W42" s="1177"/>
      <c r="X42" s="1177"/>
      <c r="Y42" s="1177"/>
      <c r="Z42" s="1177"/>
      <c r="AA42" s="1172" t="s">
        <v>704</v>
      </c>
      <c r="AB42" s="1173">
        <f>IF(AICPermanentYTDPayCycle="Monthly",IFERROR(AICPermanentYTDNumberofPays,0),IF(AND(NOT(ISBLANK(AICPermanentYTDStartPayDate)),NOT(ISBLANK(AICPermanentYTDEndPayDate))),IFERROR(DATEDIF(AICPermanentYTDStartPayDate,AICPermanentYTDEndPayDate+1,"m"),0),0))</f>
        <v>0</v>
      </c>
      <c r="AC42" s="1204"/>
    </row>
    <row r="43" spans="1:29" ht="18.75" hidden="1" customHeight="1" x14ac:dyDescent="0.35">
      <c r="A43" s="302"/>
      <c r="B43" s="417" t="str">
        <f>B36</f>
        <v>Base pay</v>
      </c>
      <c r="C43" s="1789"/>
      <c r="D43" s="1789"/>
      <c r="E43" s="88"/>
      <c r="F43" s="429" t="s">
        <v>507</v>
      </c>
      <c r="G43" s="389"/>
      <c r="H43" s="389"/>
      <c r="I43" s="389"/>
      <c r="J43" s="390"/>
      <c r="M43" s="397"/>
      <c r="Q43" s="303"/>
      <c r="R43" s="303"/>
      <c r="S43" s="303"/>
      <c r="T43" s="303"/>
      <c r="U43" s="303"/>
      <c r="V43" s="303"/>
      <c r="W43" s="1177"/>
      <c r="X43" s="1177"/>
      <c r="Y43" s="1177"/>
      <c r="Z43" s="1177"/>
      <c r="AA43" s="1172" t="s">
        <v>2209</v>
      </c>
      <c r="AB43" s="1173">
        <v>3</v>
      </c>
      <c r="AC43" s="1204"/>
    </row>
    <row r="44" spans="1:29" ht="7.5" hidden="1" customHeight="1" x14ac:dyDescent="0.35">
      <c r="A44" s="302"/>
      <c r="D44" s="88"/>
      <c r="E44" s="88"/>
      <c r="F44" s="399"/>
      <c r="G44" s="400"/>
      <c r="H44" s="401"/>
      <c r="I44" s="401"/>
      <c r="J44" s="402"/>
      <c r="M44" s="393"/>
      <c r="Q44" s="303"/>
      <c r="R44" s="303"/>
      <c r="S44" s="303"/>
      <c r="T44" s="380"/>
      <c r="U44" s="1177"/>
      <c r="V44" s="1177"/>
      <c r="W44" s="1177"/>
      <c r="X44" s="1177"/>
      <c r="Y44" s="1177"/>
      <c r="Z44" s="1177"/>
      <c r="AA44" s="1194"/>
      <c r="AB44" s="1194"/>
      <c r="AC44" s="1194"/>
    </row>
    <row r="45" spans="1:29" ht="7.5" hidden="1" customHeight="1" x14ac:dyDescent="0.35">
      <c r="A45" s="302"/>
      <c r="D45" s="88"/>
      <c r="E45" s="88"/>
      <c r="F45" s="84"/>
      <c r="G45" s="403"/>
      <c r="H45" s="88"/>
      <c r="I45" s="88"/>
      <c r="J45" s="88"/>
      <c r="K45" s="398"/>
      <c r="L45" s="398"/>
      <c r="M45" s="398"/>
      <c r="N45" s="398"/>
      <c r="Q45" s="303"/>
      <c r="R45" s="303"/>
      <c r="S45" s="303"/>
      <c r="T45" s="380"/>
      <c r="U45" s="1177"/>
      <c r="V45" s="1177"/>
      <c r="W45" s="1177"/>
      <c r="X45" s="1177"/>
      <c r="Y45" s="1177"/>
      <c r="Z45" s="1177"/>
      <c r="AA45" s="303"/>
      <c r="AB45" s="303"/>
      <c r="AC45" s="303"/>
    </row>
    <row r="46" spans="1:29" ht="18.75" hidden="1" customHeight="1" x14ac:dyDescent="0.35">
      <c r="A46" s="425"/>
      <c r="B46" s="1078" t="s">
        <v>710</v>
      </c>
      <c r="C46" s="385"/>
      <c r="D46" s="385"/>
      <c r="E46" s="385"/>
      <c r="F46" s="386"/>
      <c r="G46" s="385"/>
      <c r="H46" s="385"/>
      <c r="I46" s="385"/>
      <c r="J46" s="385"/>
      <c r="K46" s="385"/>
      <c r="L46" s="385"/>
      <c r="M46" s="385"/>
      <c r="N46" s="385"/>
      <c r="Q46" s="303"/>
      <c r="R46" s="303"/>
      <c r="S46" s="303"/>
      <c r="T46" s="380"/>
      <c r="U46" s="1177"/>
      <c r="V46" s="1177"/>
      <c r="W46" s="1177"/>
      <c r="X46" s="1177"/>
      <c r="Y46" s="1177"/>
      <c r="Z46" s="1177"/>
      <c r="AA46" s="303"/>
      <c r="AB46" s="303"/>
      <c r="AC46" s="303"/>
    </row>
    <row r="47" spans="1:29" ht="18.75" hidden="1" customHeight="1" x14ac:dyDescent="0.35">
      <c r="A47" s="302"/>
      <c r="B47" s="418" t="s">
        <v>508</v>
      </c>
      <c r="D47" s="88"/>
      <c r="E47" s="88"/>
      <c r="F47" s="84"/>
      <c r="G47" s="403"/>
      <c r="H47" s="88"/>
      <c r="I47" s="88"/>
      <c r="J47" s="88"/>
      <c r="K47" s="88"/>
      <c r="L47" s="88"/>
      <c r="M47" s="88"/>
      <c r="N47" s="88"/>
      <c r="Q47" s="303"/>
      <c r="R47" s="303"/>
      <c r="S47" s="303"/>
      <c r="T47" s="380"/>
      <c r="U47" s="1177"/>
      <c r="V47" s="1177"/>
      <c r="W47" s="1177"/>
      <c r="X47" s="1177"/>
      <c r="Y47" s="1177"/>
      <c r="Z47" s="1177"/>
      <c r="AA47" s="303"/>
      <c r="AB47" s="303"/>
      <c r="AC47" s="303"/>
    </row>
    <row r="48" spans="1:29" ht="7.5" hidden="1" customHeight="1" x14ac:dyDescent="0.35">
      <c r="A48" s="302"/>
      <c r="B48" s="418"/>
      <c r="D48" s="88"/>
      <c r="E48" s="88"/>
      <c r="F48" s="404"/>
      <c r="G48" s="405"/>
      <c r="H48" s="404"/>
      <c r="I48" s="404"/>
      <c r="J48" s="402"/>
      <c r="K48" s="88"/>
      <c r="L48" s="303"/>
      <c r="M48" s="88"/>
      <c r="N48" s="88"/>
      <c r="Q48" s="303"/>
      <c r="R48" s="303"/>
      <c r="S48" s="303"/>
      <c r="T48" s="114"/>
      <c r="U48" s="1177"/>
      <c r="V48" s="1177"/>
      <c r="W48" s="1177"/>
      <c r="X48" s="1177"/>
      <c r="Y48" s="1177"/>
      <c r="Z48" s="1177"/>
      <c r="AA48" s="303"/>
      <c r="AB48" s="303"/>
      <c r="AC48" s="303"/>
    </row>
    <row r="49" spans="1:29" ht="18.75" hidden="1" customHeight="1" x14ac:dyDescent="0.35">
      <c r="A49" s="302"/>
      <c r="B49" s="417" t="s">
        <v>499</v>
      </c>
      <c r="C49" s="433"/>
      <c r="D49" s="88"/>
      <c r="E49" s="88"/>
      <c r="F49" s="615" t="s">
        <v>711</v>
      </c>
      <c r="G49" s="389"/>
      <c r="H49" s="404"/>
      <c r="I49" s="404"/>
      <c r="J49" s="402"/>
      <c r="K49" s="303"/>
      <c r="L49" s="303"/>
      <c r="M49" s="397"/>
      <c r="N49" s="397"/>
      <c r="Q49" s="303"/>
      <c r="R49" s="303"/>
      <c r="S49" s="303"/>
      <c r="T49" s="114"/>
      <c r="U49" s="1177"/>
      <c r="V49" s="1177"/>
      <c r="W49" s="1177"/>
      <c r="X49" s="1177"/>
      <c r="Y49" s="1177"/>
      <c r="Z49" s="303"/>
      <c r="AA49" s="303"/>
      <c r="AB49" s="303"/>
      <c r="AC49" s="303"/>
    </row>
    <row r="50" spans="1:29" ht="7.5" hidden="1" customHeight="1" x14ac:dyDescent="0.35">
      <c r="A50" s="302"/>
      <c r="B50" s="417"/>
      <c r="D50" s="88"/>
      <c r="E50" s="88"/>
      <c r="F50" s="395"/>
      <c r="G50" s="404"/>
      <c r="H50" s="404"/>
      <c r="I50" s="404"/>
      <c r="J50" s="402"/>
      <c r="K50" s="88"/>
      <c r="L50" s="88"/>
      <c r="M50" s="88"/>
      <c r="N50" s="88"/>
      <c r="Q50" s="303"/>
      <c r="R50" s="303"/>
      <c r="S50" s="303"/>
      <c r="T50" s="114"/>
      <c r="U50" s="1177"/>
      <c r="V50" s="1177"/>
      <c r="W50" s="1177"/>
      <c r="X50" s="1177"/>
      <c r="Y50" s="1177"/>
      <c r="Z50" s="303"/>
      <c r="AA50" s="303"/>
      <c r="AB50" s="303"/>
      <c r="AC50" s="303"/>
    </row>
    <row r="51" spans="1:29" ht="18.75" hidden="1" customHeight="1" x14ac:dyDescent="0.35">
      <c r="A51" s="302"/>
      <c r="B51" s="406"/>
      <c r="C51" s="431" t="s">
        <v>509</v>
      </c>
      <c r="D51" s="431" t="s">
        <v>510</v>
      </c>
      <c r="E51" s="88"/>
      <c r="F51" s="615" t="str">
        <f>IF(C49="","Base pay",TRIM(C49 &amp; " base pay"))</f>
        <v>Base pay</v>
      </c>
      <c r="G51" s="1311">
        <f>IFERROR(G52/AICPermanentNoYTDAnnualNumberofPays,0)</f>
        <v>0</v>
      </c>
      <c r="H51" s="407"/>
      <c r="I51" s="404"/>
      <c r="J51" s="402"/>
      <c r="K51" s="1663" t="str">
        <f>IFERROR(IF(AICPermanentYTDPayslipFlag="No",IF(NOT(AICPermanentNoYTDMandatoryFieldCheck),"Please complete all mandatory fields",IF(NOT(AICPermanentNoYTDSalarySacrificeAmountSupported),"Check income information as the pre-tax deduction amount is not supported by the total pay or previous year income amount entered",IF(NOT(AICPermanentNoYTDNonBaseSupported),"If income from the Group 2 document is less than or equal to the current anualised base income, base income only may be used. Please check the correct base pay, total gross pay and Group 2 amounts have been entered.",""))),""),"")</f>
        <v/>
      </c>
      <c r="L51" s="1663"/>
      <c r="M51" s="1661"/>
      <c r="Q51" s="1175" t="s">
        <v>2189</v>
      </c>
      <c r="R51" s="1176"/>
      <c r="S51" s="1176"/>
      <c r="T51" s="1176" t="str">
        <f t="shared" ref="T51:V51" si="1">T15</f>
        <v>PAYG</v>
      </c>
      <c r="U51" s="1176" t="str">
        <f t="shared" si="1"/>
        <v>Family employee</v>
      </c>
      <c r="V51" s="1176" t="str">
        <f t="shared" si="1"/>
        <v>Emergency services</v>
      </c>
      <c r="W51" s="1177"/>
      <c r="X51" s="1177"/>
      <c r="Y51" s="1177"/>
      <c r="Z51" s="303"/>
      <c r="AA51" s="303"/>
      <c r="AB51" s="303"/>
      <c r="AC51" s="303"/>
    </row>
    <row r="52" spans="1:29" ht="18.75" hidden="1" customHeight="1" x14ac:dyDescent="0.35">
      <c r="A52" s="303"/>
      <c r="B52" s="417" t="str">
        <f>IF(NOT(ISBLANK(AICPermanentNoYTDPayCycle)),AICPermanentNoYTDPayCycle &amp; " base pay","Base pay")</f>
        <v>Base pay</v>
      </c>
      <c r="C52" s="1788"/>
      <c r="D52" s="1788"/>
      <c r="F52" s="615" t="s">
        <v>511</v>
      </c>
      <c r="G52" s="1311">
        <f>IFERROR(IF(AND(AICPermanentYTDPayslipFlag="No",AICPermanentNoYTDMandatoryFieldCheck),IF(AICPermanentIncomeVerificationType="PAYG",T52,IF(AICPermanentIncomeVerificationType="Family employee",U52,IF(AICPermanentIncomeVerificationType="Emergency services",V52))),0),0)</f>
        <v>0</v>
      </c>
      <c r="H52" s="407"/>
      <c r="I52" s="404"/>
      <c r="J52" s="402"/>
      <c r="K52" s="1664"/>
      <c r="L52" s="1664"/>
      <c r="M52" s="1666"/>
      <c r="Q52" s="1188" t="s">
        <v>2186</v>
      </c>
      <c r="R52" s="1185"/>
      <c r="S52" s="1185"/>
      <c r="T52" s="1191">
        <f>IFERROR(MAX(0,MIN(C55:D55)-(IF(AICPermanentPreTaxDeductionFlag="No",AICPermanentPreTaxDeduction,0)*AICPermanentNoYTDAnnualNumberofPays)),0)</f>
        <v>0</v>
      </c>
      <c r="U52" s="1191">
        <f>IFERROR(MAX(0,MIN(C55:D55,U94-AICPermanentPaidBonusLast12Months)-(IF(AICPermanentPreTaxDeductionFlag="No",AICPermanentPreTaxDeduction,0)*AICPermanentNoYTDAnnualNumberofPays)),0)</f>
        <v>0</v>
      </c>
      <c r="V52" s="1191">
        <f>IFERROR(MAX(0,IF(AICPermanentFutureIncomeAnnualBase=0,MIN(C55:D55),AICPermanentFutureIncomeAnnualBase)-(IF(AICPermanentPreTaxDeductionFlag="No",AICPermanentPreTaxDeduction,0)*AICPermanentNoYTDAnnualNumberofPays)),0)</f>
        <v>0</v>
      </c>
      <c r="W52" s="1177"/>
      <c r="X52" s="1177"/>
      <c r="Y52" s="1177"/>
      <c r="Z52" s="303"/>
      <c r="AA52" s="303"/>
      <c r="AB52" s="303"/>
      <c r="AC52" s="303"/>
    </row>
    <row r="53" spans="1:29" ht="18.75" hidden="1" customHeight="1" x14ac:dyDescent="0.35">
      <c r="A53" s="303"/>
      <c r="B53" s="417" t="str">
        <f>IF(NOT(ISBLANK(AICPermanentNoYTDPayCycle)),"Total " &amp; LOWER(AICPermanentNoYTDPayCycle) &amp; " gross pay","Total gross pay")</f>
        <v>Total gross pay</v>
      </c>
      <c r="C53" s="1788"/>
      <c r="D53" s="1788"/>
      <c r="F53" s="615" t="s">
        <v>502</v>
      </c>
      <c r="G53" s="1311">
        <f>IFERROR(IF(AND(AICPermanentYTDPayslipFlag="No",AICPermanentNoYTDMandatoryFieldCheck),IF(AICPermanentIncomeVerificationType="PAYG",T53,IF(AICPermanentIncomeVerificationType="Family employee",U53,IF(AICPermanentIncomeVerificationType="Emergency services",V53))),0),0)</f>
        <v>0</v>
      </c>
      <c r="H53" s="407"/>
      <c r="I53" s="404"/>
      <c r="J53" s="402"/>
      <c r="K53" s="1664"/>
      <c r="L53" s="1664"/>
      <c r="M53" s="1666"/>
      <c r="Q53" s="1188" t="s">
        <v>2187</v>
      </c>
      <c r="R53" s="1185"/>
      <c r="S53" s="1185"/>
      <c r="T53" s="1191">
        <f>IFERROR(MAX(0,MIN(C56:D56,(AICPermanentPYIncomeSummaryAmount-AICPermanentPaidBonusLast12Months))-(MAX(MIN(C55:D55),IF(AICPermanentPreTaxDeductionFlag="No",AICPermanentPreTaxDeduction,0)*AICPermanentNoYTDAnnualNumberofPays,0))),0)</f>
        <v>0</v>
      </c>
      <c r="U53" s="1191">
        <f>IFERROR(MAX(0,MIN(C56:D56,(U94-AICPermanentPaidBonusLast12Months))-(MAX(MIN(C55:D55),IF(AICPermanentPreTaxDeductionFlag="No",AICPermanentPreTaxDeduction,0)*AICPermanentNoYTDAnnualNumberofPays,0))),0)</f>
        <v>0</v>
      </c>
      <c r="V53" s="1191">
        <f>IFERROR(MAX(0,MIN(C56:D56,(AICPermanentPYIncomeSummaryAmount-AICPermanentPaidBonusLast12Months))-(MAX(MIN(C55:D55),IF(AICPermanentPreTaxDeductionFlag="No",AICPermanentPreTaxDeduction,0)*AICPermanentNoYTDAnnualNumberofPays,0))),0)</f>
        <v>0</v>
      </c>
      <c r="W53" s="1177"/>
      <c r="X53" s="1177"/>
      <c r="Y53" s="1177"/>
      <c r="Z53" s="303"/>
      <c r="AA53" s="303"/>
      <c r="AB53" s="303"/>
      <c r="AC53" s="303"/>
    </row>
    <row r="54" spans="1:29" ht="18.75" hidden="1" customHeight="1" x14ac:dyDescent="0.35">
      <c r="A54" s="303"/>
      <c r="B54" s="1015" t="s">
        <v>1591</v>
      </c>
      <c r="C54" s="1788"/>
      <c r="D54" s="1788"/>
      <c r="F54" s="615" t="s">
        <v>503</v>
      </c>
      <c r="G54" s="1311">
        <f>IFERROR(IF(AND(AICPermanentYTDPayslipFlag="No",AICPermanentBonusIncomeFlag="Yes",AICPermanentNoYTDMandatoryFieldCheck),IF(AICPermanentIncomeVerificationType="PAYG",T54,IF(AICPermanentIncomeVerificationType="Family employee",U54,IF(AICPermanentIncomeVerificationType="Emergency services",V54))),0),0)</f>
        <v>0</v>
      </c>
      <c r="H54" s="407"/>
      <c r="I54" s="404"/>
      <c r="J54" s="402"/>
      <c r="K54" s="1664"/>
      <c r="L54" s="1664"/>
      <c r="M54" s="1666"/>
      <c r="Q54" s="1188" t="s">
        <v>2183</v>
      </c>
      <c r="R54" s="1185"/>
      <c r="S54" s="1185"/>
      <c r="T54" s="1191">
        <f>AICPermanentPaidBonusLast12Months</f>
        <v>0</v>
      </c>
      <c r="U54" s="1191">
        <f>MIN(U94,--AICPermanentPaidBonusLast12Months)</f>
        <v>0</v>
      </c>
      <c r="V54" s="1191">
        <f>AICPermanentPaidBonusLast12Months</f>
        <v>0</v>
      </c>
      <c r="W54" s="1177"/>
      <c r="X54" s="1177"/>
      <c r="Y54" s="1177"/>
      <c r="Z54" s="303"/>
      <c r="AA54" s="303"/>
      <c r="AB54" s="303"/>
      <c r="AC54" s="303"/>
    </row>
    <row r="55" spans="1:29" ht="18.75" hidden="1" customHeight="1" x14ac:dyDescent="0.35">
      <c r="A55" s="303"/>
      <c r="B55" s="417" t="s">
        <v>3</v>
      </c>
      <c r="C55" s="1311">
        <f>IFERROR(AICPermanentNoYTDPayslip1BasePay*AICPermanentNoYTDAnnualNumberofPays,0)</f>
        <v>0</v>
      </c>
      <c r="D55" s="1311">
        <f>IFERROR(AICPermanentNoYTDPayslip2BasePay*AICPermanentNoYTDAnnualNumberofPays,0)</f>
        <v>0</v>
      </c>
      <c r="E55" s="88"/>
      <c r="F55" s="615" t="s">
        <v>4</v>
      </c>
      <c r="G55" s="1311">
        <f>IFERROR(SUM(G52:G54),0)</f>
        <v>0</v>
      </c>
      <c r="H55" s="407"/>
      <c r="I55" s="404"/>
      <c r="J55" s="402"/>
      <c r="K55" s="1664"/>
      <c r="L55" s="1664"/>
      <c r="M55" s="1666"/>
      <c r="Q55" s="303"/>
      <c r="R55" s="303"/>
      <c r="S55" s="378"/>
      <c r="T55" s="378"/>
      <c r="U55" s="1177"/>
      <c r="V55" s="1177"/>
      <c r="W55" s="1177"/>
      <c r="X55" s="1177"/>
      <c r="Y55" s="1177"/>
      <c r="Z55" s="303"/>
      <c r="AA55" s="303"/>
      <c r="AB55" s="303"/>
      <c r="AC55" s="303"/>
    </row>
    <row r="56" spans="1:29" ht="18.75" hidden="1" customHeight="1" x14ac:dyDescent="0.35">
      <c r="A56" s="303"/>
      <c r="B56" s="417" t="s">
        <v>4</v>
      </c>
      <c r="C56" s="1311">
        <f>IFERROR((AICPermanentNoYTDPayslip1TotalPay-AICPermanentNoYTDPayslip1Bonus)*AICPermanentNoYTDAnnualNumberofPays,0)</f>
        <v>0</v>
      </c>
      <c r="D56" s="1311">
        <f>IFERROR((AICPermanentNoYTDPayslip2TotalPay-AICPermanentNoYTDPayslip2Bonus)*AICPermanentNoYTDAnnualNumberofPays,0)</f>
        <v>0</v>
      </c>
      <c r="E56" s="88"/>
      <c r="F56" s="854"/>
      <c r="G56" s="854"/>
      <c r="H56" s="407"/>
      <c r="I56" s="404"/>
      <c r="J56" s="402"/>
      <c r="K56" s="1665"/>
      <c r="L56" s="1665"/>
      <c r="M56" s="1662"/>
      <c r="Q56" s="303"/>
      <c r="R56" s="303"/>
      <c r="S56" s="378"/>
      <c r="T56" s="378"/>
      <c r="U56" s="1177"/>
      <c r="V56" s="1177"/>
      <c r="W56" s="1177"/>
      <c r="X56" s="1177"/>
      <c r="Y56" s="1177"/>
      <c r="Z56" s="303"/>
      <c r="AA56" s="303"/>
      <c r="AB56" s="303"/>
      <c r="AC56" s="303"/>
    </row>
    <row r="57" spans="1:29" ht="7.5" hidden="1" customHeight="1" x14ac:dyDescent="0.35">
      <c r="A57" s="303"/>
      <c r="B57" s="408"/>
      <c r="F57" s="389"/>
      <c r="G57" s="389"/>
      <c r="H57" s="389"/>
      <c r="I57" s="389"/>
      <c r="J57" s="131"/>
      <c r="Q57" s="378"/>
      <c r="R57" s="378"/>
      <c r="S57" s="378"/>
      <c r="T57" s="378"/>
      <c r="U57" s="1177"/>
      <c r="V57" s="1177"/>
      <c r="W57" s="1177"/>
      <c r="X57" s="1177"/>
      <c r="Y57" s="1177"/>
      <c r="Z57" s="303"/>
      <c r="AA57" s="303"/>
      <c r="AB57" s="303"/>
      <c r="AC57" s="303"/>
    </row>
    <row r="58" spans="1:29" ht="7.5" hidden="1" customHeight="1" x14ac:dyDescent="0.35">
      <c r="A58" s="303"/>
      <c r="B58" s="408"/>
      <c r="Q58" s="378"/>
      <c r="R58" s="378"/>
      <c r="S58" s="378"/>
      <c r="T58" s="378"/>
      <c r="U58" s="1177"/>
      <c r="V58" s="1177"/>
      <c r="W58" s="1177"/>
      <c r="X58" s="1177"/>
      <c r="Y58" s="1177"/>
      <c r="Z58" s="303"/>
      <c r="AA58" s="303"/>
      <c r="AB58" s="303"/>
      <c r="AC58" s="303"/>
    </row>
    <row r="59" spans="1:29" ht="18.75" hidden="1" customHeight="1" x14ac:dyDescent="0.35">
      <c r="A59" s="425"/>
      <c r="B59" s="1078" t="s">
        <v>710</v>
      </c>
      <c r="C59" s="385"/>
      <c r="D59" s="385"/>
      <c r="E59" s="385"/>
      <c r="F59" s="386"/>
      <c r="G59" s="385"/>
      <c r="H59" s="385"/>
      <c r="I59" s="385"/>
      <c r="J59" s="385"/>
      <c r="K59" s="385"/>
      <c r="L59" s="385"/>
      <c r="M59" s="385"/>
      <c r="N59" s="385"/>
      <c r="Q59" s="303"/>
      <c r="R59" s="303"/>
      <c r="S59" s="378"/>
      <c r="T59" s="378"/>
      <c r="U59" s="1177"/>
      <c r="V59" s="1177"/>
      <c r="W59" s="1177"/>
      <c r="X59" s="1177"/>
      <c r="Y59" s="1177"/>
      <c r="Z59" s="303"/>
      <c r="AA59" s="303"/>
      <c r="AB59" s="303"/>
      <c r="AC59" s="303"/>
    </row>
    <row r="60" spans="1:29" ht="18.75" hidden="1" customHeight="1" x14ac:dyDescent="0.35">
      <c r="A60" s="302"/>
      <c r="B60" s="418" t="s">
        <v>512</v>
      </c>
      <c r="Q60" s="303"/>
      <c r="R60" s="303"/>
      <c r="S60" s="378"/>
      <c r="T60" s="378"/>
      <c r="U60" s="1177"/>
      <c r="V60" s="1177"/>
      <c r="W60" s="1177"/>
      <c r="X60" s="1177"/>
      <c r="Y60" s="1177"/>
      <c r="Z60" s="303"/>
      <c r="AA60" s="303"/>
      <c r="AB60" s="303"/>
      <c r="AC60" s="303"/>
    </row>
    <row r="61" spans="1:29" ht="7.5" hidden="1" customHeight="1" x14ac:dyDescent="0.35">
      <c r="A61" s="302"/>
      <c r="B61" s="418"/>
      <c r="F61" s="389"/>
      <c r="G61" s="389"/>
      <c r="H61" s="389"/>
      <c r="I61" s="389"/>
      <c r="Q61" s="378"/>
      <c r="R61" s="303"/>
      <c r="S61" s="378"/>
      <c r="T61" s="378"/>
      <c r="U61" s="1177"/>
      <c r="V61" s="1177"/>
      <c r="W61" s="1177"/>
      <c r="X61" s="1177"/>
      <c r="Y61" s="1177"/>
      <c r="Z61" s="303"/>
      <c r="AA61" s="303"/>
      <c r="AB61" s="303"/>
      <c r="AC61" s="303"/>
    </row>
    <row r="62" spans="1:29" ht="18.75" hidden="1" customHeight="1" x14ac:dyDescent="0.35">
      <c r="A62" s="302"/>
      <c r="B62" s="417" t="s">
        <v>499</v>
      </c>
      <c r="C62" s="465"/>
      <c r="F62" s="615" t="s">
        <v>711</v>
      </c>
      <c r="G62" s="389"/>
      <c r="H62" s="389"/>
      <c r="I62" s="389"/>
      <c r="Q62" s="303"/>
      <c r="R62" s="303"/>
      <c r="S62" s="378"/>
      <c r="T62" s="378"/>
      <c r="U62" s="1177"/>
      <c r="V62" s="1177"/>
      <c r="W62" s="1177"/>
      <c r="X62" s="1177"/>
      <c r="Y62" s="1177"/>
      <c r="Z62" s="303"/>
      <c r="AA62" s="303"/>
      <c r="AB62" s="303"/>
      <c r="AC62" s="303"/>
    </row>
    <row r="63" spans="1:29" ht="7.5" hidden="1" customHeight="1" x14ac:dyDescent="0.35">
      <c r="A63" s="302"/>
      <c r="B63" s="303"/>
      <c r="C63" s="303"/>
      <c r="D63" s="88"/>
      <c r="F63" s="391"/>
      <c r="G63" s="389"/>
      <c r="H63" s="389"/>
      <c r="I63" s="389"/>
      <c r="Q63" s="378"/>
      <c r="R63" s="378"/>
      <c r="S63" s="378"/>
      <c r="T63" s="378"/>
      <c r="U63" s="1177"/>
      <c r="V63" s="1177"/>
      <c r="W63" s="1177"/>
      <c r="X63" s="1177"/>
      <c r="Y63" s="1177"/>
      <c r="Z63" s="303"/>
      <c r="AA63" s="303"/>
      <c r="AB63" s="303"/>
      <c r="AC63" s="303"/>
    </row>
    <row r="64" spans="1:29" ht="18.75" hidden="1" customHeight="1" x14ac:dyDescent="0.35">
      <c r="A64" s="302"/>
      <c r="B64" s="417" t="s">
        <v>2113</v>
      </c>
      <c r="C64" s="1788"/>
      <c r="D64" s="88"/>
      <c r="F64" s="615" t="str">
        <f>IF(C62="","Base pay",TRIM(C62 &amp; " base pay"))</f>
        <v>Base pay</v>
      </c>
      <c r="G64" s="1311">
        <f>IFERROR(G65/AICPermanentAccountCreditsAnnualNumberofPays,0)</f>
        <v>0</v>
      </c>
      <c r="H64" s="389"/>
      <c r="I64" s="389"/>
      <c r="K64" s="1661" t="str">
        <f>IFERROR(IF(AICPermanentAccountCreditsMandatoryFieldCheck,IF(AICPermanentAccountCreditsVariance&gt;SDAICPermanentAccountCreditVarianceThreshold,"The Account credits verification method is not acceptable where there is &gt;" &amp; TEXT(SDAICPermanentAccountCreditVarianceThreshold,"0%") &amp; " variance between the consistent salary credit and the lowest salary credit.",""),"Please complete all mandatory fields"),"")</f>
        <v/>
      </c>
      <c r="L64" s="1661"/>
      <c r="M64" s="1661"/>
      <c r="Q64" s="1175" t="s">
        <v>2163</v>
      </c>
      <c r="R64" s="1176" t="str">
        <f t="shared" ref="R64:Y64" si="2">R15</f>
        <v>YTD payslip</v>
      </c>
      <c r="S64" s="1176" t="str">
        <f t="shared" si="2"/>
        <v>2 payslips</v>
      </c>
      <c r="T64" s="1176" t="str">
        <f t="shared" si="2"/>
        <v>PAYG</v>
      </c>
      <c r="U64" s="1176" t="str">
        <f t="shared" si="2"/>
        <v>Family employee</v>
      </c>
      <c r="V64" s="1176" t="str">
        <f t="shared" si="2"/>
        <v>Emergency services</v>
      </c>
      <c r="W64" s="114">
        <f t="shared" si="2"/>
        <v>0</v>
      </c>
      <c r="X64" s="1176" t="str">
        <f t="shared" si="2"/>
        <v>Account credits</v>
      </c>
      <c r="Y64" s="1176" t="str">
        <f t="shared" si="2"/>
        <v>AUD foreign employment</v>
      </c>
      <c r="Z64" s="303"/>
      <c r="AA64" s="303"/>
      <c r="AB64" s="303"/>
      <c r="AC64" s="303"/>
    </row>
    <row r="65" spans="1:29" ht="18.75" hidden="1" customHeight="1" x14ac:dyDescent="0.35">
      <c r="A65" s="302"/>
      <c r="B65" s="417" t="s">
        <v>2114</v>
      </c>
      <c r="C65" s="1788"/>
      <c r="D65" s="303"/>
      <c r="F65" s="615" t="s">
        <v>3</v>
      </c>
      <c r="G65" s="1311">
        <f>IFERROR(IF(AND(AICPermanentAccountCreditsMandatoryFieldCheck,AICPermanentIncomeVerificationType="Account credits"),IF(AICPermanentAccountCreditsVariance&lt;=SDAICPermanentAccountCreditVarianceThreshold,'Income Calculation'!T16,0),0),0)</f>
        <v>0</v>
      </c>
      <c r="H65" s="389"/>
      <c r="I65" s="389"/>
      <c r="K65" s="1666"/>
      <c r="L65" s="1666"/>
      <c r="M65" s="1666"/>
      <c r="Q65" s="1188" t="s">
        <v>2117</v>
      </c>
      <c r="R65" s="1185"/>
      <c r="S65" s="1185"/>
      <c r="T65" s="1185"/>
      <c r="U65" s="1185"/>
      <c r="V65" s="1185"/>
      <c r="W65" s="1179"/>
      <c r="X65" s="1189">
        <f>IFERROR(ABS(AICPermanentAccountCreditLowest/AICPermanentAccountCreditConsistent-1),0)</f>
        <v>0</v>
      </c>
      <c r="Y65" s="1181"/>
      <c r="Z65" s="303"/>
      <c r="AA65" s="303"/>
      <c r="AB65" s="303"/>
      <c r="AC65" s="303"/>
    </row>
    <row r="66" spans="1:29" ht="18.75" hidden="1" customHeight="1" x14ac:dyDescent="0.35">
      <c r="A66" s="302"/>
      <c r="B66" s="417" t="s">
        <v>513</v>
      </c>
      <c r="C66" s="1311">
        <f>IFERROR(IF(AICPermanentAccountCreditsMandatoryFieldCheck,MIN(AICPermanentAccountCreditConsistent,AICPermanentAccountCreditLowest)*AICPermanentAccountCreditsAnnualNumberofPays,0),0)</f>
        <v>0</v>
      </c>
      <c r="F66" s="615" t="s">
        <v>4</v>
      </c>
      <c r="G66" s="1311">
        <f>G65</f>
        <v>0</v>
      </c>
      <c r="H66" s="389"/>
      <c r="I66" s="389"/>
      <c r="K66" s="1662"/>
      <c r="L66" s="1662"/>
      <c r="M66" s="1662"/>
      <c r="Q66" s="378"/>
      <c r="R66" s="1178"/>
      <c r="S66" s="378"/>
      <c r="T66" s="378"/>
      <c r="U66" s="1177"/>
      <c r="V66" s="1177"/>
      <c r="W66" s="1177"/>
      <c r="X66" s="1177"/>
      <c r="Y66" s="1177"/>
      <c r="Z66" s="303"/>
      <c r="AA66" s="303"/>
      <c r="AB66" s="303"/>
      <c r="AC66" s="303"/>
    </row>
    <row r="67" spans="1:29" ht="7.5" hidden="1" customHeight="1" x14ac:dyDescent="0.35">
      <c r="A67" s="302"/>
      <c r="B67" s="303"/>
      <c r="C67" s="303"/>
      <c r="F67" s="404"/>
      <c r="G67" s="404"/>
      <c r="H67" s="404"/>
      <c r="I67" s="404"/>
      <c r="K67" s="303"/>
      <c r="L67" s="303"/>
      <c r="M67" s="303"/>
      <c r="Q67" s="378"/>
      <c r="R67" s="378"/>
      <c r="S67" s="378"/>
      <c r="T67" s="378"/>
      <c r="U67" s="1177"/>
      <c r="V67" s="1177"/>
      <c r="W67" s="1177"/>
      <c r="X67" s="1177"/>
      <c r="Y67" s="1177"/>
      <c r="Z67" s="303"/>
      <c r="AA67" s="303"/>
      <c r="AB67" s="303"/>
      <c r="AC67" s="303"/>
    </row>
    <row r="68" spans="1:29" ht="7.5" hidden="1" customHeight="1" x14ac:dyDescent="0.35">
      <c r="A68" s="302"/>
      <c r="B68" s="422"/>
      <c r="C68" s="88"/>
      <c r="D68" s="88"/>
      <c r="E68" s="88"/>
      <c r="F68" s="303"/>
      <c r="G68" s="303"/>
      <c r="H68" s="303"/>
      <c r="I68" s="303"/>
      <c r="J68" s="88"/>
      <c r="Q68" s="378"/>
      <c r="R68" s="378"/>
      <c r="S68" s="378"/>
      <c r="T68" s="378"/>
      <c r="U68" s="1177"/>
      <c r="V68" s="1177"/>
      <c r="W68" s="1177"/>
      <c r="X68" s="1177"/>
      <c r="Y68" s="1177"/>
      <c r="Z68" s="303"/>
      <c r="AA68" s="303"/>
      <c r="AB68" s="303"/>
      <c r="AC68" s="303"/>
    </row>
    <row r="69" spans="1:29" ht="18.75" hidden="1" customHeight="1" x14ac:dyDescent="0.35">
      <c r="A69" s="302"/>
      <c r="B69" s="418" t="s">
        <v>1396</v>
      </c>
      <c r="E69" s="88"/>
      <c r="F69" s="401"/>
      <c r="G69" s="401"/>
      <c r="H69" s="401"/>
      <c r="I69" s="401"/>
      <c r="J69" s="402"/>
      <c r="K69" s="131"/>
      <c r="Q69" s="378"/>
      <c r="R69" s="378"/>
      <c r="S69" s="378"/>
      <c r="T69" s="378"/>
      <c r="U69" s="1177"/>
      <c r="V69" s="1177"/>
      <c r="W69" s="1177"/>
      <c r="X69" s="1177"/>
      <c r="Y69" s="1177"/>
      <c r="Z69" s="303"/>
      <c r="AA69" s="303"/>
      <c r="AB69" s="303"/>
      <c r="AC69" s="303"/>
    </row>
    <row r="70" spans="1:29" ht="18.75" hidden="1" customHeight="1" x14ac:dyDescent="0.35">
      <c r="A70" s="302"/>
      <c r="B70" s="417" t="s">
        <v>1397</v>
      </c>
      <c r="C70" s="851"/>
      <c r="E70" s="88"/>
      <c r="F70" s="615" t="s">
        <v>1398</v>
      </c>
      <c r="G70" s="1313">
        <f>IFERROR(IF(AICPermanentIncomeVerificationType="Emergency services",IF(AICPermanentYTDPayslipFlag="Yes",IF(AICPermanentYTDMandatoryFieldCheck,MAX(0,(AICPermanentYTDBasePay-IF(AICPermanentPreTaxDeductionFlag="No",AICPermanentPreTaxDeduction,0))*AICPermanentYTDAnnualNumberofPays),0),IF(AICPermanentYTDPayslipFlag="No",IF(AICPermanentNoYTDMandatoryFieldCheck,MAX(0,MIN(C55:D55))-(IF(AICPermanentPreTaxDeductionFlag="No",AICPermanentPreTaxDeduction,0)*AICPermanentNoYTDAnnualNumberofPays),0),0)),0),0)</f>
        <v>0</v>
      </c>
      <c r="H70" s="388"/>
      <c r="I70" s="388"/>
      <c r="J70" s="131"/>
      <c r="K70" s="852"/>
      <c r="L70" s="303"/>
      <c r="M70" s="303"/>
      <c r="N70" s="88"/>
      <c r="Q70" s="1172" t="s">
        <v>2371</v>
      </c>
      <c r="R70" s="1184" t="str">
        <f>IFERROR(VLOOKUP(AICPermanentFutureIncomeEmploymentYear,ProLoanFutureIncomeDataTable[],MATCH("FutureIncomeYear",ProLoanFutureIncomeDataTable[#Headers],0),FALSE),"")</f>
        <v/>
      </c>
      <c r="S70" s="378"/>
      <c r="T70" s="378"/>
      <c r="U70" s="1177"/>
      <c r="V70" s="1177"/>
      <c r="W70" s="1177"/>
      <c r="X70" s="1177"/>
      <c r="Y70" s="1177"/>
      <c r="Z70" s="303"/>
      <c r="AA70" s="303"/>
      <c r="AB70" s="303"/>
      <c r="AC70" s="303"/>
    </row>
    <row r="71" spans="1:29" ht="18.75" hidden="1" customHeight="1" x14ac:dyDescent="0.35">
      <c r="A71" s="302"/>
      <c r="B71" s="417" t="s">
        <v>1399</v>
      </c>
      <c r="C71" s="851"/>
      <c r="D71" s="1393"/>
      <c r="E71" s="88"/>
      <c r="F71" s="615" t="s">
        <v>1400</v>
      </c>
      <c r="G71" s="1313">
        <f>IF(AICPermanentIncomeVerificationType="Emergency services",IF(AICPermanentYTDPayslipFlag="Yes",SUM(G70,G36:G37),IF(AICPermanentYTDPayslipFlag="No",SUM(G70,G53:G54),0)),0)</f>
        <v>0</v>
      </c>
      <c r="H71" s="388"/>
      <c r="I71" s="388"/>
      <c r="J71" s="131"/>
      <c r="K71" s="852"/>
      <c r="L71" s="303"/>
      <c r="M71" s="303"/>
      <c r="N71" s="88"/>
      <c r="Q71" s="114"/>
      <c r="R71" s="114"/>
      <c r="S71" s="114"/>
      <c r="T71" s="114"/>
      <c r="U71" s="1177"/>
      <c r="V71" s="1177"/>
      <c r="W71" s="1177"/>
      <c r="X71" s="1177"/>
      <c r="Y71" s="1177"/>
      <c r="Z71" s="303"/>
      <c r="AA71" s="303"/>
      <c r="AB71" s="303"/>
      <c r="AC71" s="303"/>
    </row>
    <row r="72" spans="1:29" ht="18.75" hidden="1" customHeight="1" x14ac:dyDescent="0.35">
      <c r="A72" s="302"/>
      <c r="B72" s="417" t="s">
        <v>1401</v>
      </c>
      <c r="C72" s="1313">
        <f>IFERROR(VLOOKUP(R70,ProLoanFutureIncomeDataTable[],MATCH(AICPermanentFutureIncomeEmploymentState,ProLoanFutureIncomeDataTable[#Headers],0),FALSE),0)</f>
        <v>0</v>
      </c>
      <c r="D72" s="853" t="str">
        <f>IFERROR(IF(AND(NOT(ISBLANK(AICPermanentFutureIncomeEmploymentState)),NOT(ISBLANK(AICPermanentFutureIncomeEmploymentYear))),IF(R70=0,"Future income not applicable",R70 &amp; " income"),""),"")</f>
        <v/>
      </c>
      <c r="E72" s="88"/>
      <c r="F72" s="854"/>
      <c r="G72" s="854"/>
      <c r="H72" s="854"/>
      <c r="I72" s="401"/>
      <c r="J72" s="131"/>
      <c r="K72" s="852"/>
      <c r="L72" s="303"/>
      <c r="M72" s="303"/>
      <c r="N72" s="88"/>
      <c r="Q72" s="1179"/>
      <c r="R72" s="114"/>
      <c r="S72" s="114"/>
      <c r="T72" s="114"/>
      <c r="U72" s="1177"/>
      <c r="V72" s="1177"/>
      <c r="W72" s="1177"/>
      <c r="X72" s="1177"/>
      <c r="Y72" s="1177"/>
      <c r="Z72" s="303"/>
      <c r="AA72" s="303"/>
      <c r="AB72" s="303"/>
      <c r="AC72" s="303"/>
    </row>
    <row r="73" spans="1:29" ht="7.5" hidden="1" customHeight="1" x14ac:dyDescent="0.35">
      <c r="A73" s="302"/>
      <c r="B73" s="423"/>
      <c r="C73" s="88"/>
      <c r="D73" s="88"/>
      <c r="E73" s="88"/>
      <c r="F73" s="88"/>
      <c r="G73" s="88"/>
      <c r="H73" s="88"/>
      <c r="I73" s="88"/>
      <c r="K73" s="303"/>
      <c r="L73" s="303"/>
      <c r="M73" s="303"/>
      <c r="N73" s="88"/>
      <c r="Q73" s="1179"/>
      <c r="R73" s="114"/>
      <c r="S73" s="114"/>
      <c r="T73" s="114"/>
      <c r="U73" s="1177"/>
      <c r="V73" s="1177"/>
      <c r="W73" s="1177"/>
      <c r="X73" s="1177"/>
      <c r="Y73" s="1177"/>
      <c r="Z73" s="303"/>
      <c r="AA73" s="303"/>
      <c r="AB73" s="303"/>
      <c r="AC73" s="303"/>
    </row>
    <row r="74" spans="1:29" ht="18.75" hidden="1" customHeight="1" x14ac:dyDescent="0.35">
      <c r="A74" s="302"/>
      <c r="B74" s="418" t="s">
        <v>1585</v>
      </c>
      <c r="E74" s="88"/>
      <c r="F74" s="88"/>
      <c r="G74" s="88"/>
      <c r="H74" s="88"/>
      <c r="I74" s="88"/>
      <c r="J74" s="88"/>
      <c r="Q74" s="114"/>
      <c r="R74" s="114"/>
      <c r="S74" s="114"/>
      <c r="T74" s="114"/>
      <c r="U74" s="1177"/>
      <c r="V74" s="1177"/>
      <c r="W74" s="1177"/>
      <c r="X74" s="1177"/>
      <c r="Y74" s="1177"/>
      <c r="Z74" s="303"/>
      <c r="AA74" s="303"/>
      <c r="AB74" s="303"/>
      <c r="AC74" s="303"/>
    </row>
    <row r="75" spans="1:29" ht="18.75" hidden="1" customHeight="1" x14ac:dyDescent="0.35">
      <c r="A75" s="302"/>
      <c r="B75" s="1044" t="s">
        <v>1576</v>
      </c>
      <c r="C75" s="1788"/>
      <c r="E75" s="88"/>
      <c r="F75" s="537" t="s">
        <v>1574</v>
      </c>
      <c r="G75" s="412"/>
      <c r="H75" s="412"/>
      <c r="I75" s="536"/>
      <c r="K75" s="303"/>
      <c r="L75" s="303"/>
      <c r="M75" s="303"/>
      <c r="N75" s="88"/>
      <c r="Q75" s="114"/>
      <c r="R75" s="114"/>
      <c r="S75" s="114"/>
      <c r="T75" s="114"/>
      <c r="U75" s="1177"/>
      <c r="V75" s="1177"/>
      <c r="W75" s="1177"/>
      <c r="X75" s="1177"/>
      <c r="Y75" s="1177"/>
      <c r="Z75" s="303"/>
      <c r="AA75" s="303"/>
      <c r="AB75" s="303"/>
      <c r="AC75" s="303"/>
    </row>
    <row r="76" spans="1:29" ht="7.5" hidden="1" customHeight="1" x14ac:dyDescent="0.35">
      <c r="A76" s="302"/>
      <c r="B76" s="423"/>
      <c r="C76" s="88"/>
      <c r="D76" s="88"/>
      <c r="E76" s="88"/>
      <c r="F76" s="88"/>
      <c r="G76" s="88"/>
      <c r="H76" s="88"/>
      <c r="I76" s="88"/>
      <c r="K76" s="303"/>
      <c r="L76" s="303"/>
      <c r="M76" s="303"/>
      <c r="N76" s="88"/>
      <c r="Q76" s="1179"/>
      <c r="R76" s="114"/>
      <c r="S76" s="114"/>
      <c r="T76" s="114"/>
      <c r="U76" s="1177"/>
      <c r="V76" s="1177"/>
      <c r="W76" s="1177"/>
      <c r="X76" s="1177"/>
      <c r="Y76" s="1177"/>
      <c r="Z76" s="303"/>
      <c r="AA76" s="303"/>
      <c r="AB76" s="303"/>
      <c r="AC76" s="303"/>
    </row>
    <row r="77" spans="1:29" ht="18.75" hidden="1" customHeight="1" x14ac:dyDescent="0.35">
      <c r="A77" s="302"/>
      <c r="B77" s="418" t="s">
        <v>514</v>
      </c>
      <c r="E77" s="88"/>
      <c r="F77" s="88"/>
      <c r="G77" s="88"/>
      <c r="H77" s="88"/>
      <c r="I77" s="88"/>
      <c r="K77" s="88"/>
      <c r="L77" s="88"/>
      <c r="M77" s="88"/>
      <c r="N77" s="88"/>
      <c r="Q77" s="1175" t="s">
        <v>2163</v>
      </c>
      <c r="R77" s="1176" t="str">
        <f t="shared" ref="R77:Y77" si="3">R15</f>
        <v>YTD payslip</v>
      </c>
      <c r="S77" s="1176" t="str">
        <f t="shared" si="3"/>
        <v>2 payslips</v>
      </c>
      <c r="T77" s="1176" t="str">
        <f t="shared" si="3"/>
        <v>PAYG</v>
      </c>
      <c r="U77" s="1176" t="str">
        <f t="shared" si="3"/>
        <v>Family employee</v>
      </c>
      <c r="V77" s="1176" t="str">
        <f t="shared" si="3"/>
        <v>Emergency services</v>
      </c>
      <c r="W77" s="114">
        <f t="shared" si="3"/>
        <v>0</v>
      </c>
      <c r="X77" s="1176" t="str">
        <f t="shared" si="3"/>
        <v>Account credits</v>
      </c>
      <c r="Y77" s="1176" t="str">
        <f t="shared" si="3"/>
        <v>AUD foreign employment</v>
      </c>
      <c r="Z77" s="303"/>
      <c r="AA77" s="303"/>
      <c r="AB77" s="303"/>
      <c r="AC77" s="303"/>
    </row>
    <row r="78" spans="1:29" ht="18.75" hidden="1" customHeight="1" x14ac:dyDescent="0.35">
      <c r="A78" s="302"/>
      <c r="B78" s="417" t="s">
        <v>13</v>
      </c>
      <c r="C78" s="465"/>
      <c r="E78" s="88"/>
      <c r="F78" s="537" t="str">
        <f>IF(AND(ISBLANK(AICPermanentPreTaxDeductionFlag),ISBLANK(AICPermanentPreTaxDeduction),ISBLANK(AICPermanentLowerPreTaxDeduction)),"Only complete the pre-tax deduction section if pre-tax deductions are included on the payslip.","If required for servicing, ensure pre-tax deductions are verified to policy.")</f>
        <v>Only complete the pre-tax deduction section if pre-tax deductions are included on the payslip.</v>
      </c>
      <c r="G78" s="412"/>
      <c r="H78" s="412"/>
      <c r="I78" s="536"/>
      <c r="K78" s="88"/>
      <c r="L78" s="88"/>
      <c r="M78" s="88"/>
      <c r="N78" s="88"/>
      <c r="Q78" s="1172" t="s">
        <v>2188</v>
      </c>
      <c r="R78" s="1184" t="b">
        <f>IF(AICPermanentYTDPayslipFlag="Yes",AND(IF(NOT(ISBLANK(AICPermanentPreTaxDeductionFlag)),NOT(ISBLANK(AICPermanentPreTaxDeductionFlag)),TRUE),T78:V78),TRUE)</f>
        <v>1</v>
      </c>
      <c r="S78" s="1182" t="b">
        <f>IF(AICPermanentYTDPayslipFlag="No",AND(IF(NOT(ISBLANK(AICPermanentPreTaxDeductionFlag)),NOT(ISBLANK(AICPermanentPreTaxDeductionFlag)),TRUE),T78:V78),TRUE)</f>
        <v>1</v>
      </c>
      <c r="T78" s="1182" t="b">
        <f>IF(AICPermanentIncomeVerificationType=T$15,IF(AICPermanentYTDPayslipFlag="Yes",IF(NOT(ISBLANK(AICPermanentPreTaxDeductionFlag)),AND(IF(AND(SUBTOTAL(103,B80),AICPermanentBaseIncomeIncreaseType&lt;&gt;"Increase in prior FY"),NOT(ISBLANK(AICPermanentLowerPreTaxDeduction)),TRUE),IF(OR(AICPermanentNonBaseIncomeFlag="No",AND(NOT(AICPermanentYTDTransitionFlag),OR(AICPermanentBaseIncomeIncreaseFlag="No",AICPermanentBaseIncomeIncreaseType="Increase in current FY",AICPermanentBaseIncomeIncreaseType=""))),TRUE,AND(NOT(ISBLANK(AICPermanentPreTaxDeductionPY)),IF(AND(SUBTOTAL(103,B80),AICPermanentBaseIncomeIncreaseType&lt;&gt;"Increase in transition"),NOT(ISBLANK(AICPermanentLowerPreTaxDeductionPY)),TRUE)))),TRUE),IF(AICPermanentYTDPayslipFlag="No",TRUE,TRUE)),TRUE)</f>
        <v>1</v>
      </c>
      <c r="U78" s="1182" t="b">
        <f>IF(AICPermanentIncomeVerificationType=U$15,TRUE,TRUE)</f>
        <v>1</v>
      </c>
      <c r="V78" s="1182" t="b">
        <f>IF(AICPermanentIncomeVerificationType=V$15,TRUE,TRUE)</f>
        <v>1</v>
      </c>
      <c r="W78" s="1179"/>
      <c r="X78" s="1181"/>
      <c r="Y78" s="1181"/>
      <c r="Z78" s="303"/>
      <c r="AA78" s="303"/>
      <c r="AB78" s="303"/>
      <c r="AC78" s="303"/>
    </row>
    <row r="79" spans="1:29" ht="18.75" hidden="1" customHeight="1" x14ac:dyDescent="0.35">
      <c r="A79" s="302"/>
      <c r="B79" s="417" t="str">
        <f>IF(OR(NOT(ISBLANK(AICPermanentYTDPayCycle)),NOT(ISBLANK(AICPermanentNoYTDPayCycle))), CONCATENATE(AICPermanentYTDPayCycle,AICPermanentNoYTDPayCycle) &amp; " pre-tax deduction","Pre-tax deduction")</f>
        <v>Pre-tax deduction</v>
      </c>
      <c r="C79" s="1788"/>
      <c r="D79" s="1789"/>
      <c r="E79" s="403"/>
      <c r="F79" s="303"/>
      <c r="G79" s="303"/>
      <c r="H79" s="303"/>
      <c r="I79" s="303"/>
      <c r="J79" s="303"/>
      <c r="K79" s="88"/>
      <c r="L79" s="88"/>
      <c r="M79" s="88"/>
      <c r="N79" s="88"/>
      <c r="Q79" s="1172" t="s">
        <v>1312</v>
      </c>
      <c r="R79" s="1173" t="b">
        <f>IF(AICPermanentYTDPayslipFlag="Yes",AB29+AC29&gt;=0,TRUE)</f>
        <v>1</v>
      </c>
      <c r="S79" s="1173" t="b">
        <f>IF(AICPermanentYTDPayslipFlag="No",IF(AICPermanentNoYTDGroup2Required,MIN(MIN(C56:D56),(AICPermanentPYIncomeSummaryAmount-AICPermanentPaidBonusLast12Months)),MIN(C56:D56))-(IF(AICPermanentPreTaxDeductionFlag="No",AICPermanentPreTaxDeduction,0)*AICPermanentNoYTDAnnualNumberofPays)&gt;=0,TRUE)</f>
        <v>1</v>
      </c>
      <c r="T79" s="1185"/>
      <c r="U79" s="1185"/>
      <c r="V79" s="1185"/>
      <c r="W79" s="1179"/>
      <c r="X79" s="1181"/>
      <c r="Y79" s="1181"/>
      <c r="Z79" s="303"/>
      <c r="AA79" s="303"/>
      <c r="AB79" s="303"/>
      <c r="AC79" s="303"/>
    </row>
    <row r="80" spans="1:29" ht="18.75" hidden="1" customHeight="1" x14ac:dyDescent="0.35">
      <c r="A80" s="302"/>
      <c r="B80" s="417" t="str">
        <f>"Lower base pay " &amp; LOWER(B79)</f>
        <v>Lower base pay pre-tax deduction</v>
      </c>
      <c r="C80" s="1789"/>
      <c r="D80" s="1789"/>
      <c r="E80" s="88"/>
      <c r="F80" s="303"/>
      <c r="G80" s="303"/>
      <c r="H80" s="303"/>
      <c r="Q80" s="303"/>
      <c r="R80" s="303"/>
      <c r="S80" s="303"/>
      <c r="T80" s="303"/>
      <c r="U80" s="303"/>
      <c r="V80" s="303"/>
      <c r="W80" s="303"/>
      <c r="X80" s="303"/>
      <c r="Y80" s="303"/>
      <c r="Z80" s="303"/>
      <c r="AA80" s="303"/>
      <c r="AB80" s="303"/>
      <c r="AC80" s="303"/>
    </row>
    <row r="81" spans="1:29" ht="7.5" hidden="1" customHeight="1" x14ac:dyDescent="0.35">
      <c r="A81" s="302"/>
      <c r="B81" s="408"/>
      <c r="C81" s="88"/>
      <c r="D81" s="88"/>
      <c r="E81" s="88"/>
      <c r="F81" s="413"/>
      <c r="G81" s="88"/>
      <c r="H81" s="88"/>
      <c r="I81" s="88"/>
      <c r="J81" s="88"/>
      <c r="K81" s="88"/>
      <c r="L81" s="88"/>
      <c r="M81" s="88"/>
      <c r="N81" s="88"/>
      <c r="Q81" s="114"/>
      <c r="R81" s="114"/>
      <c r="S81" s="114"/>
      <c r="T81" s="114"/>
      <c r="U81" s="1177"/>
      <c r="V81" s="1177"/>
      <c r="W81" s="1177"/>
      <c r="X81" s="1177"/>
      <c r="Y81" s="1177"/>
      <c r="Z81" s="303"/>
      <c r="AA81" s="303"/>
      <c r="AB81" s="303"/>
      <c r="AC81" s="303"/>
    </row>
    <row r="82" spans="1:29" ht="18.75" hidden="1" customHeight="1" x14ac:dyDescent="0.35">
      <c r="A82" s="425"/>
      <c r="B82" s="1078" t="s">
        <v>710</v>
      </c>
      <c r="C82" s="385"/>
      <c r="D82" s="385"/>
      <c r="E82" s="385"/>
      <c r="F82" s="386"/>
      <c r="G82" s="385"/>
      <c r="H82" s="385"/>
      <c r="I82" s="385"/>
      <c r="J82" s="385"/>
      <c r="K82" s="385"/>
      <c r="L82" s="385"/>
      <c r="M82" s="385"/>
      <c r="N82" s="385"/>
      <c r="Q82" s="114"/>
      <c r="R82" s="114"/>
      <c r="S82" s="114"/>
      <c r="T82" s="114"/>
      <c r="U82" s="1177"/>
      <c r="V82" s="1177"/>
      <c r="W82" s="1177"/>
      <c r="X82" s="1177"/>
      <c r="Y82" s="1177"/>
      <c r="Z82" s="303"/>
      <c r="AA82" s="303"/>
      <c r="AB82" s="303"/>
      <c r="AC82" s="303"/>
    </row>
    <row r="83" spans="1:29" ht="18.75" hidden="1" customHeight="1" x14ac:dyDescent="0.35">
      <c r="A83" s="302"/>
      <c r="B83" s="418" t="s">
        <v>1521</v>
      </c>
      <c r="Q83" s="114"/>
      <c r="R83" s="114"/>
      <c r="S83" s="114"/>
      <c r="T83" s="114"/>
      <c r="U83" s="1177"/>
      <c r="V83" s="1177"/>
      <c r="W83" s="1177"/>
      <c r="X83" s="1177"/>
      <c r="Y83" s="1177"/>
      <c r="Z83" s="303"/>
      <c r="AA83" s="303"/>
      <c r="AB83" s="303"/>
      <c r="AC83" s="303"/>
    </row>
    <row r="84" spans="1:29" ht="18.75" hidden="1" customHeight="1" x14ac:dyDescent="0.35">
      <c r="A84" s="303"/>
      <c r="B84" s="417" t="s">
        <v>499</v>
      </c>
      <c r="C84" s="465"/>
      <c r="D84" s="88"/>
      <c r="Q84" s="114"/>
      <c r="R84" s="114"/>
      <c r="S84" s="114"/>
      <c r="T84" s="114"/>
      <c r="U84" s="1177"/>
      <c r="V84" s="1177"/>
      <c r="W84" s="1177"/>
      <c r="X84" s="1177"/>
      <c r="Y84" s="1177"/>
      <c r="Z84" s="303"/>
      <c r="AA84" s="303"/>
      <c r="AB84" s="303"/>
      <c r="AC84" s="303"/>
    </row>
    <row r="85" spans="1:29" ht="7.5" hidden="1" customHeight="1" x14ac:dyDescent="0.35">
      <c r="A85" s="303"/>
      <c r="B85" s="420"/>
      <c r="D85" s="88"/>
      <c r="F85" s="389"/>
      <c r="G85" s="389"/>
      <c r="H85" s="389"/>
      <c r="I85" s="389"/>
      <c r="Q85" s="114"/>
      <c r="R85" s="114"/>
      <c r="S85" s="114"/>
      <c r="T85" s="114"/>
      <c r="U85" s="1177"/>
      <c r="V85" s="1177"/>
      <c r="W85" s="1177"/>
      <c r="X85" s="1177"/>
      <c r="Y85" s="1177"/>
      <c r="Z85" s="303"/>
      <c r="AA85" s="303"/>
      <c r="AB85" s="303"/>
      <c r="AC85" s="303"/>
    </row>
    <row r="86" spans="1:29" ht="18.75" hidden="1" customHeight="1" x14ac:dyDescent="0.35">
      <c r="A86" s="303"/>
      <c r="B86" s="1015" t="str">
        <f>IF(NOT(ISBLANK(AICPermanentAUDForeignEmploymentPayCycle)),AICPermanentAUDForeignEmploymentPayCycle &amp; " gross base pay","Gross base pay")</f>
        <v>Gross base pay</v>
      </c>
      <c r="C86" s="431" t="s">
        <v>1528</v>
      </c>
      <c r="F86" s="615" t="s">
        <v>711</v>
      </c>
      <c r="G86" s="389"/>
      <c r="H86" s="389"/>
      <c r="I86" s="389"/>
      <c r="Q86" s="114"/>
      <c r="R86" s="114"/>
      <c r="S86" s="114"/>
      <c r="T86" s="114"/>
      <c r="U86" s="1177"/>
      <c r="V86" s="1177"/>
      <c r="W86" s="1177"/>
      <c r="X86" s="1177"/>
      <c r="Y86" s="1177"/>
      <c r="Z86" s="303"/>
      <c r="AA86" s="303"/>
      <c r="AB86" s="303"/>
      <c r="AC86" s="303"/>
    </row>
    <row r="87" spans="1:29" ht="18.75" hidden="1" customHeight="1" x14ac:dyDescent="0.35">
      <c r="A87" s="303"/>
      <c r="B87" s="417" t="s">
        <v>1529</v>
      </c>
      <c r="C87" s="1788"/>
      <c r="F87" s="615"/>
      <c r="G87" s="389"/>
      <c r="H87" s="389"/>
      <c r="I87" s="389"/>
      <c r="K87" s="1661" t="str">
        <f>IFERROR(IF(AICPermanentAUDForeignEmploymentMandatoryFieldCheck,"","Please complete all mandatory fields"),"")</f>
        <v/>
      </c>
      <c r="L87" s="1661"/>
      <c r="M87" s="1661"/>
      <c r="Q87" s="114"/>
      <c r="R87" s="114"/>
      <c r="S87" s="114"/>
      <c r="T87" s="114"/>
      <c r="U87" s="1177"/>
      <c r="V87" s="1177"/>
      <c r="W87" s="1177"/>
      <c r="X87" s="1177"/>
      <c r="Y87" s="1177"/>
      <c r="Z87" s="303"/>
      <c r="AA87" s="303"/>
      <c r="AB87" s="303"/>
      <c r="AC87" s="303"/>
    </row>
    <row r="88" spans="1:29" ht="18.75" hidden="1" customHeight="1" x14ac:dyDescent="0.35">
      <c r="A88" s="303"/>
      <c r="B88" s="417" t="s">
        <v>510</v>
      </c>
      <c r="C88" s="1788"/>
      <c r="D88" s="303"/>
      <c r="F88" s="615" t="s">
        <v>511</v>
      </c>
      <c r="G88" s="1311">
        <f>IFERROR(IF(AND(AICPermanentIncomeVerificationType="AUD foreign employment",AICPermanentAUDForeignEmploymentMandatoryFieldCheck),IF(AICPermanentAUDForeignEmploymentGroup2Required,MIN(C90,AICPermanentPYIncomeSummaryAmount),C90),0),0)</f>
        <v>0</v>
      </c>
      <c r="H88" s="389"/>
      <c r="I88" s="389"/>
      <c r="K88" s="1662"/>
      <c r="L88" s="1662"/>
      <c r="M88" s="1662"/>
      <c r="Q88" s="114"/>
      <c r="R88" s="114"/>
      <c r="S88" s="114"/>
      <c r="T88" s="114"/>
      <c r="U88" s="1177"/>
      <c r="V88" s="1177"/>
      <c r="W88" s="1177"/>
      <c r="X88" s="1177"/>
      <c r="Y88" s="1177"/>
      <c r="Z88" s="303"/>
      <c r="AA88" s="303"/>
      <c r="AB88" s="303"/>
      <c r="AC88" s="303"/>
    </row>
    <row r="89" spans="1:29" ht="18.75" hidden="1" customHeight="1" x14ac:dyDescent="0.35">
      <c r="A89" s="303"/>
      <c r="B89" s="417" t="s">
        <v>1530</v>
      </c>
      <c r="C89" s="1788"/>
      <c r="F89" s="615"/>
      <c r="G89" s="407"/>
      <c r="H89" s="407"/>
      <c r="I89" s="404"/>
      <c r="K89" s="303"/>
      <c r="L89" s="303"/>
      <c r="M89" s="303"/>
      <c r="Q89" s="114"/>
      <c r="R89" s="114"/>
      <c r="S89" s="114"/>
      <c r="T89" s="114"/>
      <c r="U89" s="1177"/>
      <c r="V89" s="1177"/>
      <c r="W89" s="1177"/>
      <c r="X89" s="1177"/>
      <c r="Y89" s="1177"/>
      <c r="Z89" s="303"/>
      <c r="AA89" s="303"/>
      <c r="AB89" s="303"/>
      <c r="AC89" s="303"/>
    </row>
    <row r="90" spans="1:29" ht="18.75" hidden="1" customHeight="1" x14ac:dyDescent="0.35">
      <c r="A90" s="303"/>
      <c r="B90" s="417" t="s">
        <v>1525</v>
      </c>
      <c r="C90" s="1311">
        <f>IFERROR(IF(AND(AICPermanentIncomeVerificationType="AUD foreign employment",AICPermanentAUDForeignEmploymentMandatoryFieldCheck),MIN(AICPermanentAUDForeignEmploymentGrossBasePayslip1,AICPermanentAUDForeignEmploymentGrossBasePayslip2,AICPermanentAUDForeignEmploymentGrossBasePayslip3)*AICPermanentAUDForeignEmploymentAnnualNumberofPays,0),0)</f>
        <v>0</v>
      </c>
      <c r="F90" s="615"/>
      <c r="G90" s="407"/>
      <c r="H90" s="407"/>
      <c r="I90" s="404"/>
      <c r="Q90" s="114"/>
      <c r="R90" s="114"/>
      <c r="S90" s="114"/>
      <c r="T90" s="114"/>
      <c r="U90" s="1177"/>
      <c r="V90" s="1177"/>
      <c r="W90" s="1177"/>
      <c r="X90" s="1177"/>
      <c r="Y90" s="1177"/>
      <c r="Z90" s="303"/>
      <c r="AA90" s="303"/>
      <c r="AB90" s="303"/>
      <c r="AC90" s="303"/>
    </row>
    <row r="91" spans="1:29" ht="7.5" hidden="1" customHeight="1" x14ac:dyDescent="0.35">
      <c r="A91" s="303"/>
      <c r="B91" s="421"/>
      <c r="C91" s="303"/>
      <c r="Q91" s="114"/>
      <c r="R91" s="114"/>
      <c r="S91" s="114"/>
      <c r="T91" s="114"/>
      <c r="U91" s="1177"/>
      <c r="V91" s="1177"/>
      <c r="W91" s="1177"/>
      <c r="X91" s="1177"/>
      <c r="Y91" s="1177"/>
      <c r="Z91" s="303"/>
      <c r="AA91" s="303"/>
      <c r="AB91" s="303"/>
      <c r="AC91" s="303"/>
    </row>
    <row r="92" spans="1:29" ht="18.75" hidden="1" customHeight="1" x14ac:dyDescent="0.35">
      <c r="A92" s="424"/>
      <c r="B92" s="1078" t="s">
        <v>717</v>
      </c>
      <c r="C92" s="385"/>
      <c r="D92" s="385"/>
      <c r="E92" s="385"/>
      <c r="F92" s="386"/>
      <c r="G92" s="385"/>
      <c r="H92" s="385"/>
      <c r="I92" s="385"/>
      <c r="J92" s="385"/>
      <c r="K92" s="385"/>
      <c r="L92" s="385"/>
      <c r="M92" s="385"/>
      <c r="N92" s="385"/>
      <c r="U92" s="303"/>
      <c r="V92" s="303"/>
      <c r="W92" s="303"/>
      <c r="X92" s="303"/>
      <c r="Y92" s="303"/>
      <c r="Z92" s="303"/>
      <c r="AA92" s="303"/>
      <c r="AB92" s="303"/>
      <c r="AC92" s="303"/>
    </row>
    <row r="93" spans="1:29" ht="18.75" hidden="1" customHeight="1" x14ac:dyDescent="0.35">
      <c r="A93" s="303"/>
      <c r="B93" s="418" t="s">
        <v>515</v>
      </c>
      <c r="D93" s="88"/>
      <c r="E93" s="88"/>
      <c r="F93" s="88"/>
      <c r="G93" s="88"/>
      <c r="H93" s="88"/>
      <c r="I93" s="88"/>
      <c r="J93" s="88"/>
      <c r="K93" s="88"/>
      <c r="L93" s="88"/>
      <c r="M93" s="88"/>
      <c r="N93" s="88"/>
      <c r="Q93" s="1175" t="s">
        <v>2163</v>
      </c>
      <c r="R93" s="1176" t="str">
        <f t="shared" ref="R93:Y93" si="4">R15</f>
        <v>YTD payslip</v>
      </c>
      <c r="S93" s="1176" t="str">
        <f t="shared" si="4"/>
        <v>2 payslips</v>
      </c>
      <c r="T93" s="1176" t="str">
        <f t="shared" si="4"/>
        <v>PAYG</v>
      </c>
      <c r="U93" s="1176" t="str">
        <f t="shared" si="4"/>
        <v>Family employee</v>
      </c>
      <c r="V93" s="1176" t="str">
        <f t="shared" si="4"/>
        <v>Emergency services</v>
      </c>
      <c r="W93" s="114">
        <f t="shared" si="4"/>
        <v>0</v>
      </c>
      <c r="X93" s="1176" t="str">
        <f t="shared" si="4"/>
        <v>Account credits</v>
      </c>
      <c r="Y93" s="1176" t="str">
        <f t="shared" si="4"/>
        <v>AUD foreign employment</v>
      </c>
      <c r="Z93" s="303"/>
      <c r="AA93" s="303"/>
      <c r="AB93" s="303"/>
      <c r="AC93" s="303"/>
    </row>
    <row r="94" spans="1:29" ht="18.75" hidden="1" customHeight="1" x14ac:dyDescent="0.35">
      <c r="A94" s="303"/>
      <c r="B94" s="417" t="s">
        <v>516</v>
      </c>
      <c r="C94" s="1788"/>
      <c r="D94" s="1013"/>
      <c r="E94" s="1013"/>
      <c r="F94" s="1013"/>
      <c r="G94" s="1013"/>
      <c r="H94" s="1013"/>
      <c r="I94" s="415"/>
      <c r="J94" s="415"/>
      <c r="K94" s="88"/>
      <c r="L94" s="88"/>
      <c r="M94" s="88"/>
      <c r="N94" s="88"/>
      <c r="Q94" s="1172" t="s">
        <v>2146</v>
      </c>
      <c r="R94" s="1186"/>
      <c r="S94" s="1187"/>
      <c r="T94" s="1187"/>
      <c r="U94" s="1174">
        <f>IF(ISBLANK(AICPermanentTransactionHistoryLowestDeposit),AICPermanentPYIncomeSummaryAmount,IF(ISBLANK(AICPermanentPYIncomeSummaryAmount),C99,MIN(C99,AICPermanentPYIncomeSummaryAmount)))</f>
        <v>0</v>
      </c>
      <c r="V94" s="1186"/>
      <c r="W94" s="303"/>
      <c r="X94" s="1186"/>
      <c r="Y94" s="1186"/>
      <c r="Z94" s="303"/>
      <c r="AA94" s="303"/>
      <c r="AB94" s="303"/>
      <c r="AC94" s="303"/>
    </row>
    <row r="95" spans="1:29" ht="15" hidden="1" customHeight="1" x14ac:dyDescent="0.35">
      <c r="A95" s="303"/>
      <c r="B95" s="1169" t="s">
        <v>1063</v>
      </c>
      <c r="D95" s="1013"/>
      <c r="E95" s="1013"/>
      <c r="F95" s="1013"/>
      <c r="G95" s="1013"/>
      <c r="H95" s="1013"/>
      <c r="I95" s="415"/>
      <c r="J95" s="415"/>
      <c r="K95" s="88"/>
      <c r="L95" s="88"/>
      <c r="M95" s="88"/>
      <c r="N95" s="88"/>
      <c r="Q95" s="1074"/>
      <c r="R95" s="1168"/>
      <c r="U95" s="303"/>
      <c r="V95" s="303"/>
      <c r="W95" s="303"/>
      <c r="X95" s="303"/>
      <c r="Y95" s="303"/>
      <c r="Z95" s="303"/>
      <c r="AA95" s="303"/>
      <c r="AB95" s="303"/>
      <c r="AC95" s="303"/>
    </row>
    <row r="96" spans="1:29" ht="18.75" hidden="1" customHeight="1" x14ac:dyDescent="0.35">
      <c r="A96" s="303"/>
      <c r="B96" s="418" t="s">
        <v>2160</v>
      </c>
      <c r="C96" s="1167"/>
      <c r="D96" s="1013"/>
      <c r="E96" s="1013"/>
      <c r="F96" s="1013"/>
      <c r="G96" s="1013"/>
      <c r="H96" s="1013"/>
      <c r="I96" s="415"/>
      <c r="J96" s="415"/>
      <c r="K96" s="88"/>
      <c r="L96" s="88"/>
      <c r="M96" s="88"/>
      <c r="N96" s="88"/>
      <c r="U96" s="303"/>
      <c r="V96" s="303"/>
      <c r="W96" s="303"/>
      <c r="X96" s="303"/>
      <c r="Y96" s="303"/>
      <c r="Z96" s="303"/>
      <c r="AA96" s="303"/>
      <c r="AB96" s="303"/>
      <c r="AC96" s="303"/>
    </row>
    <row r="97" spans="1:29" ht="18.75" hidden="1" customHeight="1" x14ac:dyDescent="0.35">
      <c r="A97" s="303"/>
      <c r="B97" s="417" t="str">
        <f>"Lowest " &amp; LOWER(AICPermanentYTDPayCycle) &amp; " salary credit"</f>
        <v>Lowest  salary credit</v>
      </c>
      <c r="C97" s="1788"/>
      <c r="D97" s="1013"/>
      <c r="E97" s="1013"/>
      <c r="F97" s="1013"/>
      <c r="G97" s="1013"/>
      <c r="H97" s="1013"/>
      <c r="I97" s="415"/>
      <c r="J97" s="415"/>
      <c r="K97" s="88"/>
      <c r="L97" s="88"/>
      <c r="M97" s="88"/>
      <c r="N97" s="88"/>
      <c r="U97" s="303"/>
      <c r="V97" s="303"/>
      <c r="W97" s="303"/>
      <c r="X97" s="303"/>
      <c r="Y97" s="303"/>
      <c r="Z97" s="303"/>
      <c r="AA97" s="303"/>
      <c r="AB97" s="303"/>
      <c r="AC97" s="303"/>
    </row>
    <row r="98" spans="1:29" ht="18.75" hidden="1" customHeight="1" x14ac:dyDescent="0.35">
      <c r="A98" s="303"/>
      <c r="B98" s="417" t="s">
        <v>2145</v>
      </c>
      <c r="C98" s="1314">
        <f>IFERROR(AICPermanentTransactionHistoryLowestDeposit*IF(AICPermanentYTDPayslipFlag="Yes",AICPermanentYTDAnnualNumberofPays,AICPermanentNoYTDAnnualNumberofPays),0)</f>
        <v>0</v>
      </c>
      <c r="D98" s="1013"/>
      <c r="E98" s="1013"/>
      <c r="F98" s="1013"/>
      <c r="G98" s="1013"/>
      <c r="H98" s="1013"/>
      <c r="I98" s="415"/>
      <c r="J98" s="415"/>
      <c r="K98" s="88"/>
      <c r="L98" s="88"/>
      <c r="M98" s="88"/>
      <c r="N98" s="88"/>
      <c r="U98" s="303"/>
      <c r="V98" s="303"/>
      <c r="W98" s="303"/>
      <c r="X98" s="303"/>
      <c r="Y98" s="303"/>
      <c r="Z98" s="303"/>
      <c r="AA98" s="303"/>
      <c r="AB98" s="303"/>
      <c r="AC98" s="303"/>
    </row>
    <row r="99" spans="1:29" ht="18.75" hidden="1" customHeight="1" x14ac:dyDescent="0.35">
      <c r="A99" s="303"/>
      <c r="B99" s="417" t="s">
        <v>2144</v>
      </c>
      <c r="C99" s="1314">
        <f>IF(AND(AICEmploymentBasis="Permanent",AICPermanentIncomeVerificationType="Family employee"),'Income Calculation'!T16,0)</f>
        <v>0</v>
      </c>
      <c r="D99" s="1013"/>
      <c r="E99" s="1013"/>
      <c r="F99" s="1013"/>
      <c r="G99" s="1013"/>
      <c r="H99" s="1013"/>
      <c r="I99" s="415"/>
      <c r="J99" s="415"/>
      <c r="K99" s="88"/>
      <c r="L99" s="88"/>
      <c r="M99" s="88"/>
      <c r="N99" s="88"/>
      <c r="U99" s="303"/>
      <c r="V99" s="303"/>
      <c r="W99" s="303"/>
      <c r="X99" s="303"/>
      <c r="Y99" s="303"/>
      <c r="Z99" s="303"/>
      <c r="AA99" s="303"/>
      <c r="AB99" s="303"/>
      <c r="AC99" s="303"/>
    </row>
    <row r="100" spans="1:29" ht="7.5" hidden="1" customHeight="1" x14ac:dyDescent="0.35">
      <c r="A100" s="303"/>
      <c r="B100" s="408"/>
      <c r="C100" s="88"/>
      <c r="D100" s="88"/>
      <c r="E100" s="88"/>
      <c r="H100" s="88"/>
      <c r="I100" s="88"/>
      <c r="J100" s="88"/>
      <c r="K100" s="88"/>
      <c r="L100" s="88"/>
      <c r="M100" s="88"/>
      <c r="N100" s="88"/>
      <c r="U100" s="303"/>
      <c r="V100" s="303"/>
      <c r="W100" s="303"/>
      <c r="X100" s="303"/>
      <c r="Y100" s="303"/>
      <c r="Z100" s="303"/>
      <c r="AA100" s="303"/>
      <c r="AB100" s="303"/>
      <c r="AC100" s="303"/>
    </row>
    <row r="101" spans="1:29" ht="18.75" hidden="1" customHeight="1" x14ac:dyDescent="0.35">
      <c r="A101" s="309"/>
      <c r="B101" s="1170" t="s">
        <v>851</v>
      </c>
      <c r="C101" s="306"/>
      <c r="D101" s="306"/>
      <c r="E101" s="306"/>
      <c r="F101" s="306"/>
      <c r="G101" s="306"/>
      <c r="H101" s="306"/>
      <c r="I101" s="306"/>
      <c r="J101" s="306"/>
      <c r="K101" s="306"/>
      <c r="L101" s="306"/>
      <c r="M101" s="306"/>
      <c r="N101" s="306"/>
      <c r="Q101" s="1175" t="s">
        <v>2173</v>
      </c>
      <c r="R101" s="1176" t="str">
        <f t="shared" ref="R101:Y101" si="5">R15</f>
        <v>YTD payslip</v>
      </c>
      <c r="S101" s="1176" t="str">
        <f t="shared" si="5"/>
        <v>2 payslips</v>
      </c>
      <c r="T101" s="1176" t="str">
        <f t="shared" si="5"/>
        <v>PAYG</v>
      </c>
      <c r="U101" s="1176" t="str">
        <f t="shared" si="5"/>
        <v>Family employee</v>
      </c>
      <c r="V101" s="1193" t="str">
        <f t="shared" si="5"/>
        <v>Emergency services</v>
      </c>
      <c r="W101" s="114">
        <f t="shared" si="5"/>
        <v>0</v>
      </c>
      <c r="X101" s="1176" t="str">
        <f t="shared" si="5"/>
        <v>Account credits</v>
      </c>
      <c r="Y101" s="1193" t="str">
        <f t="shared" si="5"/>
        <v>AUD foreign employment</v>
      </c>
      <c r="Z101" s="303"/>
      <c r="AA101" s="303"/>
      <c r="AB101" s="303"/>
      <c r="AC101" s="303"/>
    </row>
    <row r="102" spans="1:29" ht="7.5" hidden="1" customHeight="1" x14ac:dyDescent="0.35">
      <c r="A102" s="302"/>
      <c r="B102" s="88"/>
      <c r="C102" s="88"/>
      <c r="D102" s="88"/>
      <c r="E102" s="88"/>
      <c r="F102" s="88"/>
      <c r="G102" s="88"/>
      <c r="H102" s="88"/>
      <c r="I102" s="88"/>
      <c r="J102" s="88"/>
      <c r="K102" s="88"/>
      <c r="L102" s="88"/>
      <c r="M102" s="88"/>
      <c r="N102" s="88"/>
      <c r="Q102" s="1177"/>
      <c r="R102" s="1177"/>
      <c r="S102" s="1177"/>
      <c r="T102" s="1177"/>
      <c r="U102" s="1177"/>
      <c r="W102" s="114"/>
      <c r="X102" s="1177"/>
      <c r="Z102" s="303"/>
      <c r="AA102" s="303"/>
      <c r="AB102" s="303"/>
      <c r="AC102" s="303"/>
    </row>
    <row r="103" spans="1:29" ht="18.75" hidden="1" customHeight="1" x14ac:dyDescent="0.35">
      <c r="A103" s="303"/>
      <c r="B103" s="417" t="s">
        <v>494</v>
      </c>
      <c r="C103" s="465"/>
      <c r="D103" s="381"/>
      <c r="E103" s="88"/>
      <c r="G103" s="88"/>
      <c r="H103" s="88"/>
      <c r="I103" s="88"/>
      <c r="J103" s="88"/>
      <c r="K103" s="88"/>
      <c r="L103" s="88"/>
      <c r="M103" s="88"/>
      <c r="N103" s="88"/>
      <c r="Q103" s="1188" t="s">
        <v>2161</v>
      </c>
      <c r="R103" s="1183" t="b">
        <f>IF(AICCasualYTDPayslipFlag="Yes",AND(NOT(ISBLANK(AICCasualYTDPayCycle)),NOT(ISBLANK(AICCasualYTDStartPayDate)),NOT(ISBLANK(AICCasualYTDEndPayDate)),NOT(ISBLANK(AICCasualYTDTotalPay)),NOT(ISBLANK(AICCasualYTDTotalPayTaxStatus)),R144,T103:U103),TRUE)</f>
        <v>1</v>
      </c>
      <c r="S103" s="1183" t="b">
        <f>IF(AICCasualYTDPayslipFlag="No",AND(NOT(ISBLANK(AICCasualNoYTDPayCycle)),NOT(ISBLANK(AICCasualNoYTDGrossPay1)),NOT(ISBLANK(AICCasualNoYTDGrossPay2)),S144,T103:U103),TRUE)</f>
        <v>1</v>
      </c>
      <c r="T103" s="1183" t="b">
        <f>IF(AICCasualIncomeVerificationType=T$15,IF(T104,NOT(ISBLANK(AICCasualPYIncomeSummaryAmount)),TRUE),TRUE)</f>
        <v>1</v>
      </c>
      <c r="U103" s="1183" t="b">
        <f>IF(AICCasualIncomeVerificationType=U$15,IF(U104,OR(NOT(ISBLANK(AICCasualPYIncomeSummaryAmount)),NOT(ISBLANK(AICCasualTransactionHistoryLowestDeposit))),TRUE),TRUE)</f>
        <v>1</v>
      </c>
      <c r="V103" s="1186"/>
      <c r="W103" s="1179"/>
      <c r="X103" s="1183" t="b">
        <f>IF(AICCasualIncomeVerificationType=X$15,AND(NOT(ISBLANK(AICCasualAccountCreditPayCycle)),NOT(ISBLANK(AICCasualAccountCreditDeposit1)),NOT(ISBLANK(AICCasualAccountCreditDeposit2)),IF(X104,NOT(ISBLANK(AICCasualPYIncomeSummaryAmount)),TRUE)),TRUE)</f>
        <v>1</v>
      </c>
      <c r="Y103" s="1186"/>
      <c r="Z103" s="303"/>
      <c r="AA103" s="303"/>
      <c r="AB103" s="303"/>
      <c r="AC103" s="303"/>
    </row>
    <row r="104" spans="1:29" ht="18.75" hidden="1" customHeight="1" x14ac:dyDescent="0.35">
      <c r="A104" s="303"/>
      <c r="B104" s="417" t="s">
        <v>495</v>
      </c>
      <c r="C104" s="465"/>
      <c r="D104" s="381" t="str">
        <f>IF(AICPermanentIncomeVerificationType="AUD foreign employment","","YTD Payslip or Single Touch Payroll (STP) YTD Income Statement")</f>
        <v>YTD Payslip or Single Touch Payroll (STP) YTD Income Statement</v>
      </c>
      <c r="E104" s="382"/>
      <c r="G104" s="88"/>
      <c r="H104" s="88"/>
      <c r="I104" s="88"/>
      <c r="J104" s="88"/>
      <c r="K104" s="88"/>
      <c r="L104" s="88"/>
      <c r="M104" s="88"/>
      <c r="N104" s="88"/>
      <c r="Q104" s="1188" t="s">
        <v>2164</v>
      </c>
      <c r="R104" s="1183" t="b">
        <f>IF(AICCasualYTDPayslipFlag="Yes",OR(T104:U104),FALSE)</f>
        <v>0</v>
      </c>
      <c r="S104" s="1183" t="b">
        <f>IF(AICCasualYTDPayslipFlag="No",OR(T104:U104),FALSE)</f>
        <v>0</v>
      </c>
      <c r="T104" s="1183" t="b">
        <f>IF(AICCasualIncomeVerificationType=T$15,IF(AICCasualYTDPayslipFlag="Yes",IF(AND(NOT(ISBLANK(AICCasualYTDPayCycle)),NOT(ISBLANK(AICCasualYTDStartPayDate)),NOT(ISBLANK(AICCasualYTDEndPayDate))),IF(AICCasualYTDPayCycle="Monthly",AICCasualYTDNumberofPays&lt;3,DATEDIF(AICCasualYTDStartPayDate,AICCasualYTDEndPayDate+1,"m")&lt;3),FALSE),IF(AICCasualYTDPayslipFlag="No",TRUE,FALSE)),FALSE)</f>
        <v>0</v>
      </c>
      <c r="U104" s="1183" t="b">
        <f>IF(AICCasualIncomeVerificationType=U$15,TRUE,FALSE)</f>
        <v>0</v>
      </c>
      <c r="V104" s="1186"/>
      <c r="W104" s="1179"/>
      <c r="X104" s="1183" t="b">
        <f>IF(AICCasualIncomeVerificationType=X$15,TRUE,FALSE)</f>
        <v>0</v>
      </c>
      <c r="Y104" s="1186"/>
      <c r="Z104" s="303"/>
      <c r="AA104" s="303"/>
      <c r="AB104" s="303"/>
      <c r="AC104" s="303"/>
    </row>
    <row r="105" spans="1:29" ht="18.75" hidden="1" customHeight="1" x14ac:dyDescent="0.35">
      <c r="A105" s="302"/>
      <c r="B105" s="417" t="str">
        <f>B21</f>
        <v>Do you have bonus income?</v>
      </c>
      <c r="C105" s="465"/>
      <c r="D105" s="381" t="str">
        <f>D21</f>
        <v>Bonus income received during the previous 12 months used for serviceability</v>
      </c>
      <c r="E105" s="382"/>
      <c r="H105" s="88"/>
      <c r="I105" s="88"/>
      <c r="J105" s="88"/>
      <c r="Q105" s="1188" t="s">
        <v>2175</v>
      </c>
      <c r="R105" s="1183" t="b">
        <f>IF(AICCasualYTDPayslipFlag="Yes",OR(T105:U105),FALSE)</f>
        <v>0</v>
      </c>
      <c r="S105" s="1183" t="b">
        <f>IF(AICCasualYTDPayslipFlag="No",OR(T105:U105),FALSE)</f>
        <v>0</v>
      </c>
      <c r="T105" s="1183" t="b">
        <f>IF(AICCasualIncomeVerificationType=T$15,FALSE,FALSE)</f>
        <v>0</v>
      </c>
      <c r="U105" s="1190" t="b">
        <f>IF(AICCasualIncomeVerificationType=U$15,IF(AICCasualBonusIncomeFlag="No",TRUE,FALSE),FALSE)</f>
        <v>0</v>
      </c>
      <c r="V105" s="1186"/>
      <c r="W105" s="303"/>
      <c r="X105" s="1186"/>
      <c r="Y105" s="1186"/>
      <c r="Z105" s="303"/>
      <c r="AA105" s="303"/>
      <c r="AB105" s="303"/>
      <c r="AC105" s="303"/>
    </row>
    <row r="106" spans="1:29" ht="7.5" hidden="1" customHeight="1" x14ac:dyDescent="0.35">
      <c r="A106" s="303"/>
      <c r="B106" s="410"/>
      <c r="D106" s="88"/>
      <c r="E106" s="88"/>
      <c r="F106" s="88"/>
      <c r="G106" s="88"/>
      <c r="H106" s="88"/>
      <c r="I106" s="88"/>
      <c r="J106" s="88"/>
      <c r="K106" s="88"/>
      <c r="L106" s="88"/>
      <c r="M106" s="88"/>
      <c r="N106" s="88"/>
      <c r="Q106" s="303"/>
      <c r="R106" s="303"/>
      <c r="S106" s="303"/>
      <c r="T106" s="303"/>
      <c r="U106" s="303"/>
      <c r="V106" s="303"/>
      <c r="W106" s="303"/>
      <c r="X106" s="303"/>
      <c r="Y106" s="303"/>
      <c r="Z106" s="303"/>
      <c r="AA106" s="303"/>
      <c r="AB106" s="303"/>
      <c r="AC106" s="303"/>
    </row>
    <row r="107" spans="1:29" ht="18.75" hidden="1" customHeight="1" x14ac:dyDescent="0.35">
      <c r="A107" s="424"/>
      <c r="B107" s="1078" t="s">
        <v>710</v>
      </c>
      <c r="C107" s="385"/>
      <c r="D107" s="385"/>
      <c r="E107" s="385"/>
      <c r="F107" s="386"/>
      <c r="G107" s="385"/>
      <c r="H107" s="385"/>
      <c r="I107" s="385"/>
      <c r="J107" s="385"/>
      <c r="K107" s="385"/>
      <c r="L107" s="385"/>
      <c r="M107" s="385"/>
      <c r="N107" s="385"/>
      <c r="Q107" s="1188" t="s">
        <v>2178</v>
      </c>
      <c r="R107" s="1173">
        <f>IFERROR(VLOOKUP(AICCasualYTDPayCycle,IncomeCycleData[],3,FALSE),0)</f>
        <v>0</v>
      </c>
      <c r="S107" s="1183">
        <f>IFERROR(VLOOKUP(AICCasualNoYTDPayCycle,IncomeCycleData[],3,FALSE),0)</f>
        <v>0</v>
      </c>
      <c r="T107" s="1185"/>
      <c r="U107" s="1185"/>
      <c r="V107" s="1192"/>
      <c r="W107" s="114"/>
      <c r="X107" s="1185"/>
      <c r="Y107" s="1185"/>
      <c r="Z107" s="303"/>
      <c r="AA107" s="303"/>
      <c r="AB107" s="303"/>
      <c r="AC107" s="303"/>
    </row>
    <row r="108" spans="1:29" ht="18.75" hidden="1" customHeight="1" x14ac:dyDescent="0.35">
      <c r="A108" s="303"/>
      <c r="B108" s="418" t="s">
        <v>498</v>
      </c>
      <c r="D108" s="88"/>
      <c r="E108" s="88"/>
      <c r="F108" s="88"/>
      <c r="G108" s="88"/>
      <c r="H108" s="88"/>
      <c r="I108" s="88"/>
      <c r="J108" s="88"/>
      <c r="K108" s="88"/>
      <c r="L108" s="88"/>
      <c r="M108" s="88"/>
      <c r="N108" s="88"/>
      <c r="Q108" s="303"/>
      <c r="R108" s="303"/>
      <c r="S108" s="303"/>
      <c r="T108" s="303"/>
      <c r="U108" s="303"/>
      <c r="V108" s="303"/>
      <c r="W108" s="303"/>
      <c r="X108" s="303"/>
      <c r="Y108" s="303"/>
      <c r="Z108" s="303"/>
      <c r="AA108" s="303"/>
      <c r="AB108" s="303"/>
      <c r="AC108" s="303"/>
    </row>
    <row r="109" spans="1:29" ht="18.75" hidden="1" customHeight="1" x14ac:dyDescent="0.35">
      <c r="A109" s="303"/>
      <c r="B109" s="417" t="s">
        <v>499</v>
      </c>
      <c r="C109" s="465"/>
      <c r="Q109" s="303"/>
      <c r="R109" s="303"/>
      <c r="S109" s="303"/>
      <c r="T109" s="303"/>
      <c r="U109" s="303"/>
      <c r="V109" s="303"/>
      <c r="W109" s="303"/>
      <c r="X109" s="303"/>
      <c r="Y109" s="303"/>
      <c r="Z109" s="303"/>
      <c r="AA109" s="303"/>
      <c r="AB109" s="303"/>
      <c r="AC109" s="303"/>
    </row>
    <row r="110" spans="1:29" ht="18.75" hidden="1" customHeight="1" x14ac:dyDescent="0.35">
      <c r="A110" s="303"/>
      <c r="B110" s="417" t="s">
        <v>287</v>
      </c>
      <c r="C110" s="1166">
        <v>48</v>
      </c>
      <c r="D110" s="381"/>
      <c r="Q110" s="303"/>
      <c r="R110" s="303"/>
      <c r="S110" s="303"/>
      <c r="T110" s="303"/>
      <c r="U110" s="303"/>
      <c r="V110" s="303"/>
      <c r="W110" s="303"/>
      <c r="X110" s="303"/>
      <c r="Y110" s="303"/>
      <c r="Z110" s="303"/>
      <c r="AA110" s="303"/>
      <c r="AB110" s="303"/>
      <c r="AC110" s="303"/>
    </row>
    <row r="111" spans="1:29" ht="7.5" hidden="1" customHeight="1" x14ac:dyDescent="0.35">
      <c r="A111" s="302"/>
      <c r="B111" s="422"/>
      <c r="F111" s="389"/>
      <c r="G111" s="389"/>
      <c r="H111" s="389"/>
      <c r="I111" s="388"/>
      <c r="Z111" s="303"/>
      <c r="AA111" s="303"/>
      <c r="AB111" s="303"/>
      <c r="AC111" s="303"/>
    </row>
    <row r="112" spans="1:29" ht="18.75" hidden="1" customHeight="1" x14ac:dyDescent="0.35">
      <c r="A112" s="303"/>
      <c r="B112" s="417" t="s">
        <v>656</v>
      </c>
      <c r="C112" s="434">
        <v>45474</v>
      </c>
      <c r="F112" s="615" t="s">
        <v>711</v>
      </c>
      <c r="G112" s="389"/>
      <c r="H112" s="396"/>
      <c r="I112" s="388"/>
      <c r="K112" s="303"/>
      <c r="L112" s="303"/>
      <c r="M112" s="303"/>
      <c r="Q112" s="303"/>
      <c r="R112" s="303"/>
      <c r="S112" s="303"/>
      <c r="T112" s="303"/>
      <c r="U112" s="303"/>
      <c r="V112" s="303"/>
      <c r="W112" s="303"/>
      <c r="X112" s="303"/>
      <c r="Y112" s="303"/>
      <c r="Z112" s="303"/>
      <c r="AA112" s="303"/>
      <c r="AB112" s="303"/>
      <c r="AC112" s="303"/>
    </row>
    <row r="113" spans="1:29" ht="18.75" hidden="1" customHeight="1" x14ac:dyDescent="0.35">
      <c r="A113" s="303"/>
      <c r="B113" s="417" t="s">
        <v>2120</v>
      </c>
      <c r="C113" s="434"/>
      <c r="F113" s="391"/>
      <c r="G113" s="389"/>
      <c r="H113" s="396"/>
      <c r="I113" s="389"/>
      <c r="J113" s="409"/>
      <c r="K113" s="1661" t="str">
        <f>IFERROR(IF(AICCasualYTDMandatoryFieldCheck,IF(--AICCasualYTDPaidBonus&gt;AICCasualYTDTotalPay,"Check income information as the bonus income included in the YTD amount is higher than the YTD amount",IF(R145,"","Check income information as the pre-tax deduction amount is not supported by the YTD amount entered")),"Please complete all mandatory fields"),"")</f>
        <v/>
      </c>
      <c r="L113" s="1661"/>
      <c r="M113" s="1661"/>
      <c r="Q113" s="1175" t="s">
        <v>2210</v>
      </c>
      <c r="R113" s="1176" t="str">
        <f t="shared" ref="R113:V113" si="6">R15</f>
        <v>YTD payslip</v>
      </c>
      <c r="S113" s="1185"/>
      <c r="T113" s="1176" t="str">
        <f t="shared" si="6"/>
        <v>PAYG</v>
      </c>
      <c r="U113" s="1176" t="str">
        <f t="shared" si="6"/>
        <v>Family employee</v>
      </c>
      <c r="V113" s="1193" t="str">
        <f t="shared" si="6"/>
        <v>Emergency services</v>
      </c>
      <c r="W113" s="303"/>
      <c r="X113" s="303"/>
      <c r="Y113" s="303"/>
      <c r="Z113" s="303"/>
      <c r="AA113" s="303"/>
      <c r="AB113" s="303"/>
      <c r="AC113" s="303"/>
    </row>
    <row r="114" spans="1:29" ht="18.75" hidden="1" customHeight="1" x14ac:dyDescent="0.35">
      <c r="A114" s="303"/>
      <c r="B114" s="417" t="str">
        <f>AICCasualYTDTotalPayTaxStatus &amp; " YTD amount"</f>
        <v>Gross YTD amount</v>
      </c>
      <c r="C114" s="1788"/>
      <c r="F114" s="615" t="s">
        <v>2</v>
      </c>
      <c r="G114" s="432" t="str">
        <f>IFERROR(IF(AND(NOT(ISBLANK(AICCasualYTDStartPayDate)),NOT(ISBLANK(AICCasualYTDEndPayDate))),IF(AICCasualYTDPayCycle="Monthly",DATEDIF(AICCasualYTDStartPayDate,AICCasualYTDEndPayDate,"m")+1,ROUNDDOWN((AICCasualYTDEndPayDate-AICCasualYTDStartPayDate)/VLOOKUP(AICCasualYTDPayCycle,IncomeCycleData[],2,FALSE),0)+1),""),0)</f>
        <v/>
      </c>
      <c r="H114" s="396"/>
      <c r="I114" s="388"/>
      <c r="K114" s="1666"/>
      <c r="L114" s="1666"/>
      <c r="M114" s="1666"/>
      <c r="P114" s="303"/>
      <c r="Q114" s="1188" t="s">
        <v>2176</v>
      </c>
      <c r="R114" s="1191">
        <f>IFERROR((AICCasualYTDTotalPay-AICCasualYTDPaidBonus)/AICCasualYTDNumberofPays*(ROUNDDOWN(AICCasualYTDAnnualiseWeeks*7/VLOOKUP(AICCasualYTDPayCycle,IncomeCycleData[],2,FALSE),0)),0)</f>
        <v>0</v>
      </c>
      <c r="S114" s="1185"/>
      <c r="T114" s="1185"/>
      <c r="U114" s="1185"/>
      <c r="V114" s="1185"/>
      <c r="W114" s="303"/>
      <c r="X114" s="303"/>
      <c r="Y114" s="303"/>
      <c r="Z114" s="303"/>
      <c r="AA114" s="303"/>
      <c r="AB114" s="303"/>
      <c r="AC114" s="303"/>
    </row>
    <row r="115" spans="1:29" ht="18.75" hidden="1" customHeight="1" x14ac:dyDescent="0.35">
      <c r="A115" s="303"/>
      <c r="B115" s="417" t="s">
        <v>504</v>
      </c>
      <c r="C115" s="435" t="s">
        <v>6</v>
      </c>
      <c r="F115" s="615" t="s">
        <v>1597</v>
      </c>
      <c r="G115" s="1311">
        <f>IFERROR(IF(AND(AICCasualYTDMandatoryFieldCheck,AICCasualYTDPayslipFlag="Yes"),IF(AICCasualIncomeVerificationType="PAYG",T116,IF(AICCasualIncomeVerificationType="Family employee",U116,0)),0),0)</f>
        <v>0</v>
      </c>
      <c r="H115" s="396"/>
      <c r="I115" s="388"/>
      <c r="K115" s="1662"/>
      <c r="L115" s="1662"/>
      <c r="M115" s="1662"/>
      <c r="P115" s="303"/>
      <c r="Q115" s="1188" t="s">
        <v>2213</v>
      </c>
      <c r="R115" s="1191">
        <f>IF(AICCasualYTDTotalPayTaxStatus="Gross",R114,IF(AICCasualYTDTotalPayTaxStatus="Taxable",((AICCasualYTDTotalPay-AICCasualYTDPaidBonus)+(AICCasualPreTaxDeduction*AICCasualYTDNumberofPays))/AICCasualYTDNumberofPays*(ROUNDDOWN(AICCasualYTDAnnualiseWeeks*7/VLOOKUP(AICCasualYTDPayCycle,IncomeCycleData[],2,FALSE),0)),0))-IF(AICCasualPreTaxDeductionFlag="No",(AICCasualPreTaxDeduction*AICCasualYTDAnnualNumberofPays),0)</f>
        <v>0</v>
      </c>
      <c r="S115" s="1185"/>
      <c r="T115" s="1185"/>
      <c r="U115" s="1185"/>
      <c r="V115" s="1185"/>
      <c r="W115" s="303"/>
      <c r="X115" s="303"/>
      <c r="Y115" s="303"/>
      <c r="Z115" s="303"/>
      <c r="AA115" s="303"/>
      <c r="AB115" s="303"/>
      <c r="AC115" s="303"/>
    </row>
    <row r="116" spans="1:29" ht="18.75" hidden="1" customHeight="1" x14ac:dyDescent="0.35">
      <c r="A116" s="303"/>
      <c r="B116" s="1015" t="str">
        <f>B39</f>
        <v>Bonus income included in YTD amount</v>
      </c>
      <c r="C116" s="1310"/>
      <c r="F116" s="615" t="s">
        <v>503</v>
      </c>
      <c r="G116" s="1311">
        <f>IF(AND(AICCasualYTDPayslipFlag="Yes",AICCasualBonusIncomeFlag="Yes",AICCasualYTDMandatoryFieldCheck),IF(AICCasualIncomeVerificationType="PAYG",T117,IF(AICCasualIncomeVerificationType="Family employee",U117,0)),0)</f>
        <v>0</v>
      </c>
      <c r="H116" s="396"/>
      <c r="I116" s="388"/>
      <c r="P116" s="303"/>
      <c r="Q116" s="1188" t="s">
        <v>2180</v>
      </c>
      <c r="R116" s="1185"/>
      <c r="S116" s="1185"/>
      <c r="T116" s="1191">
        <f>MAX(0,MIN(IF(AICCasualYTDGroup2Required,(AICCasualPYIncomeSummaryAmount-AICCasualPaidBonusLast12Months),99999999999),R115))</f>
        <v>0</v>
      </c>
      <c r="U116" s="1191">
        <f>MAX(0,MIN(R115,U149-AICCasualPaidBonusLast12Months))</f>
        <v>0</v>
      </c>
      <c r="V116" s="1192"/>
      <c r="W116" s="303"/>
      <c r="X116" s="303"/>
      <c r="Y116" s="303"/>
      <c r="Z116" s="303"/>
      <c r="AA116" s="303"/>
      <c r="AB116" s="303"/>
      <c r="AC116" s="303"/>
    </row>
    <row r="117" spans="1:29" ht="18.75" hidden="1" customHeight="1" x14ac:dyDescent="0.35">
      <c r="A117" s="303"/>
      <c r="B117" s="417"/>
      <c r="F117" s="615" t="s">
        <v>4</v>
      </c>
      <c r="G117" s="1311">
        <f>SUM(G115:G116)</f>
        <v>0</v>
      </c>
      <c r="H117" s="396"/>
      <c r="I117" s="388"/>
      <c r="P117" s="303"/>
      <c r="Q117" s="1188" t="s">
        <v>2181</v>
      </c>
      <c r="R117" s="1185"/>
      <c r="S117" s="1185"/>
      <c r="T117" s="1191">
        <f>AICCasualPaidBonusLast12Months</f>
        <v>0</v>
      </c>
      <c r="U117" s="1191">
        <f>MIN(U149,--AICCasualPaidBonusLast12Months)</f>
        <v>0</v>
      </c>
      <c r="V117" s="1192"/>
      <c r="W117" s="303"/>
      <c r="X117" s="303"/>
      <c r="Y117" s="303"/>
      <c r="Z117" s="303"/>
      <c r="AA117" s="303"/>
      <c r="AB117" s="303"/>
      <c r="AC117" s="303"/>
    </row>
    <row r="118" spans="1:29" ht="7.5" hidden="1" customHeight="1" x14ac:dyDescent="0.35">
      <c r="A118" s="303"/>
      <c r="B118" s="410"/>
      <c r="F118" s="389"/>
      <c r="G118" s="389"/>
      <c r="H118" s="389"/>
      <c r="I118" s="388"/>
      <c r="Q118" s="303"/>
      <c r="R118" s="303"/>
      <c r="U118" s="303"/>
      <c r="V118" s="303"/>
      <c r="W118" s="303"/>
      <c r="X118" s="303"/>
      <c r="Y118" s="303"/>
      <c r="Z118" s="303"/>
      <c r="AA118" s="303"/>
      <c r="AB118" s="303"/>
      <c r="AC118" s="303"/>
    </row>
    <row r="119" spans="1:29" ht="7.5" hidden="1" customHeight="1" x14ac:dyDescent="0.35">
      <c r="A119" s="303"/>
      <c r="B119" s="410"/>
      <c r="Q119" s="303"/>
      <c r="R119" s="303"/>
      <c r="U119" s="303"/>
      <c r="V119" s="303"/>
      <c r="W119" s="303"/>
      <c r="X119" s="303"/>
      <c r="Y119" s="303"/>
      <c r="Z119" s="303"/>
      <c r="AA119" s="303"/>
      <c r="AB119" s="303"/>
      <c r="AC119" s="303"/>
    </row>
    <row r="120" spans="1:29" ht="18.75" hidden="1" customHeight="1" x14ac:dyDescent="0.35">
      <c r="A120" s="424"/>
      <c r="B120" s="1078" t="s">
        <v>710</v>
      </c>
      <c r="C120" s="385"/>
      <c r="D120" s="385"/>
      <c r="E120" s="385"/>
      <c r="F120" s="386"/>
      <c r="G120" s="385"/>
      <c r="H120" s="385"/>
      <c r="I120" s="385"/>
      <c r="J120" s="385"/>
      <c r="K120" s="385"/>
      <c r="L120" s="385"/>
      <c r="M120" s="385"/>
      <c r="N120" s="385"/>
      <c r="U120" s="303"/>
      <c r="V120" s="303"/>
      <c r="W120" s="303"/>
      <c r="X120" s="303"/>
      <c r="Y120" s="303"/>
      <c r="Z120" s="303"/>
      <c r="AA120" s="303"/>
      <c r="AB120" s="303"/>
      <c r="AC120" s="303"/>
    </row>
    <row r="121" spans="1:29" ht="18.75" hidden="1" customHeight="1" x14ac:dyDescent="0.35">
      <c r="A121" s="302"/>
      <c r="B121" s="418" t="s">
        <v>508</v>
      </c>
      <c r="U121" s="303"/>
      <c r="V121" s="303"/>
      <c r="W121" s="303"/>
      <c r="X121" s="303"/>
      <c r="Y121" s="303"/>
      <c r="Z121" s="303"/>
      <c r="AA121" s="303"/>
      <c r="AB121" s="303"/>
      <c r="AC121" s="303"/>
    </row>
    <row r="122" spans="1:29" ht="18.75" hidden="1" customHeight="1" x14ac:dyDescent="0.35">
      <c r="A122" s="302"/>
      <c r="B122" s="417" t="s">
        <v>499</v>
      </c>
      <c r="C122" s="465"/>
      <c r="D122" s="88"/>
      <c r="U122" s="303"/>
      <c r="V122" s="303"/>
      <c r="W122" s="303"/>
      <c r="X122" s="303"/>
      <c r="Y122" s="303"/>
      <c r="Z122" s="303"/>
      <c r="AA122" s="303"/>
      <c r="AB122" s="303"/>
      <c r="AC122" s="303"/>
    </row>
    <row r="123" spans="1:29" ht="18.75" hidden="1" customHeight="1" x14ac:dyDescent="0.35">
      <c r="A123" s="302"/>
      <c r="B123" s="417" t="s">
        <v>287</v>
      </c>
      <c r="C123" s="1166">
        <v>48</v>
      </c>
      <c r="D123" s="381"/>
      <c r="Q123" s="1175" t="s">
        <v>2211</v>
      </c>
      <c r="R123" s="1185"/>
      <c r="S123" s="1176" t="str">
        <f t="shared" ref="S123:V123" si="7">S15</f>
        <v>2 payslips</v>
      </c>
      <c r="T123" s="1176" t="str">
        <f t="shared" si="7"/>
        <v>PAYG</v>
      </c>
      <c r="U123" s="1176" t="str">
        <f t="shared" si="7"/>
        <v>Family employee</v>
      </c>
      <c r="V123" s="1193" t="str">
        <f t="shared" si="7"/>
        <v>Emergency services</v>
      </c>
      <c r="W123" s="303"/>
      <c r="X123" s="303"/>
      <c r="Y123" s="303"/>
      <c r="Z123" s="303"/>
      <c r="AA123" s="303"/>
      <c r="AB123" s="303"/>
      <c r="AC123" s="303"/>
    </row>
    <row r="124" spans="1:29" ht="7.5" hidden="1" customHeight="1" x14ac:dyDescent="0.35">
      <c r="A124" s="302"/>
      <c r="B124" s="422"/>
      <c r="D124" s="88"/>
      <c r="F124" s="389"/>
      <c r="G124" s="389"/>
      <c r="H124" s="389"/>
      <c r="I124" s="389"/>
      <c r="U124" s="303"/>
      <c r="V124" s="303"/>
      <c r="W124" s="303"/>
      <c r="X124" s="303"/>
      <c r="Y124" s="303"/>
      <c r="Z124" s="303"/>
      <c r="AA124" s="303"/>
      <c r="AB124" s="303"/>
      <c r="AC124" s="303"/>
    </row>
    <row r="125" spans="1:29" ht="18.75" hidden="1" customHeight="1" x14ac:dyDescent="0.35">
      <c r="A125" s="302"/>
      <c r="B125" s="416"/>
      <c r="C125" s="431" t="s">
        <v>509</v>
      </c>
      <c r="D125" s="431" t="s">
        <v>510</v>
      </c>
      <c r="F125" s="615" t="s">
        <v>711</v>
      </c>
      <c r="G125" s="389"/>
      <c r="H125" s="389"/>
      <c r="I125" s="389"/>
      <c r="K125" s="1661" t="str">
        <f>IFERROR(IF(AICCasualNoYTDMandatoryFieldCheck,IF(OR(AICCasualNoYTDBonusPay1&gt;AICCasualNoYTDGrossPay1,AICCasualNoYTDBonusPay2&gt;AICCasualNoYTDGrossPay2),"Check income information as the bonus amount is not supported by the total gross pay amount entered",IF(S145,"","Check income information as the pre-tax deduction amount is not supported by the gross pay amount entered")),"Please complete all mandatory fields"),"")</f>
        <v/>
      </c>
      <c r="L125" s="1661"/>
      <c r="M125" s="1661"/>
      <c r="Q125" s="1188" t="s">
        <v>2179</v>
      </c>
      <c r="R125" s="1185"/>
      <c r="S125" s="1191">
        <f>MIN(C128:D128)-IF(AICCasualPreTaxDeductionFlag="No",AICCasualPreTaxDeduction*AICCasualNoYTDAnnualNumberofPays,0)</f>
        <v>0</v>
      </c>
      <c r="T125" s="1185"/>
      <c r="U125" s="1185"/>
      <c r="V125" s="1185"/>
      <c r="W125" s="303"/>
      <c r="X125" s="303"/>
      <c r="Y125" s="303"/>
      <c r="Z125" s="303"/>
      <c r="AA125" s="303"/>
      <c r="AB125" s="303"/>
      <c r="AC125" s="303"/>
    </row>
    <row r="126" spans="1:29" ht="18.75" hidden="1" customHeight="1" x14ac:dyDescent="0.35">
      <c r="A126" s="302"/>
      <c r="B126" s="417" t="str">
        <f>IF(NOT(ISBLANK(AICCasualNoYTDPayCycle)),AICCasualNoYTDPayCycle&amp;" gross pay","Gross pay")</f>
        <v>Gross pay</v>
      </c>
      <c r="C126" s="1788"/>
      <c r="D126" s="1788"/>
      <c r="F126" s="615" t="s">
        <v>1597</v>
      </c>
      <c r="G126" s="1311">
        <f>IFERROR(IF(AND(AICCasualYTDPayslipFlag="No",AICCasualNoYTDMandatoryFieldCheck),IF(AICCasualIncomeVerificationType="PAYG",T126,IF(AICCasualIncomeVerificationType="Family employee",U126,0)),0),0)</f>
        <v>0</v>
      </c>
      <c r="H126" s="740"/>
      <c r="I126" s="389"/>
      <c r="K126" s="1666"/>
      <c r="L126" s="1666"/>
      <c r="M126" s="1666"/>
      <c r="Q126" s="1188" t="s">
        <v>2182</v>
      </c>
      <c r="R126" s="1185"/>
      <c r="S126" s="1185"/>
      <c r="T126" s="1191">
        <f>MAX(0,MIN(S125,(AICCasualPYIncomeSummaryAmount-AICCasualPaidBonusLast12Months)))</f>
        <v>0</v>
      </c>
      <c r="U126" s="1191">
        <f>MAX(0,MIN(S125,(U149-AICCasualPaidBonusLast12Months)))</f>
        <v>0</v>
      </c>
      <c r="V126" s="1192"/>
      <c r="W126" s="303"/>
      <c r="X126" s="303"/>
      <c r="Y126" s="303"/>
      <c r="Z126" s="303"/>
      <c r="AA126" s="303"/>
      <c r="AB126" s="303"/>
      <c r="AC126" s="303"/>
    </row>
    <row r="127" spans="1:29" ht="18.75" hidden="1" customHeight="1" x14ac:dyDescent="0.35">
      <c r="A127" s="302"/>
      <c r="B127" s="1015" t="s">
        <v>1592</v>
      </c>
      <c r="C127" s="1788"/>
      <c r="D127" s="1788"/>
      <c r="F127" s="615" t="s">
        <v>503</v>
      </c>
      <c r="G127" s="1311">
        <f>IFERROR(IF(AND(AICCasualYTDPayslipFlag="No",AICCasualBonusIncomeFlag="Yes",AICCasualNoYTDMandatoryFieldCheck),IF(AICCasualIncomeVerificationType="PAYG",T127,IF(AICCasualIncomeVerificationType="Family employee",U127,0)),0),0)</f>
        <v>0</v>
      </c>
      <c r="H127" s="740"/>
      <c r="I127" s="389"/>
      <c r="K127" s="1666"/>
      <c r="L127" s="1666"/>
      <c r="M127" s="1666"/>
      <c r="Q127" s="1188" t="s">
        <v>2183</v>
      </c>
      <c r="R127" s="1185"/>
      <c r="S127" s="1185"/>
      <c r="T127" s="1191">
        <f>AICCasualPaidBonusLast12Months</f>
        <v>0</v>
      </c>
      <c r="U127" s="1191">
        <f>MIN(U149,--AICCasualPaidBonusLast12Months)</f>
        <v>0</v>
      </c>
      <c r="V127" s="1192"/>
      <c r="W127" s="303"/>
      <c r="X127" s="303"/>
      <c r="Y127" s="303"/>
      <c r="Z127" s="303"/>
      <c r="AA127" s="303"/>
      <c r="AB127" s="303"/>
      <c r="AC127" s="303"/>
    </row>
    <row r="128" spans="1:29" ht="18.75" hidden="1" customHeight="1" x14ac:dyDescent="0.35">
      <c r="A128" s="302"/>
      <c r="B128" s="417" t="s">
        <v>517</v>
      </c>
      <c r="C128" s="1311">
        <f>IFERROR((AICCasualNoYTDGrossPay1-AICCasualNoYTDBonusPay1)*ROUNDDOWN(AICCasualNoYTDAnnualiseWeeks*7/VLOOKUP(AICCasualNoYTDPayCycle,IncomeCycleData[],2,FALSE),0),0)</f>
        <v>0</v>
      </c>
      <c r="D128" s="1311">
        <f>IFERROR((AICCasualNoYTDGrossPay2-AICCasualNoYTDBonusPay2)*ROUNDDOWN(AICCasualNoYTDAnnualiseWeeks*7/VLOOKUP(AICCasualNoYTDPayCycle,IncomeCycleData[],2,FALSE),0),0)</f>
        <v>0</v>
      </c>
      <c r="E128" s="88"/>
      <c r="F128" s="615" t="s">
        <v>4</v>
      </c>
      <c r="G128" s="1311">
        <f>SUM(G126:G127)</f>
        <v>0</v>
      </c>
      <c r="H128" s="740"/>
      <c r="I128" s="404"/>
      <c r="J128" s="88"/>
      <c r="K128" s="1662"/>
      <c r="L128" s="1662"/>
      <c r="M128" s="1662"/>
      <c r="U128" s="303"/>
      <c r="V128" s="303"/>
      <c r="W128" s="303"/>
      <c r="X128" s="303"/>
      <c r="Y128" s="303"/>
      <c r="Z128" s="303"/>
      <c r="AA128" s="303"/>
      <c r="AB128" s="303"/>
      <c r="AC128" s="303"/>
    </row>
    <row r="129" spans="1:29" ht="7.5" hidden="1" customHeight="1" x14ac:dyDescent="0.35">
      <c r="A129" s="302"/>
      <c r="B129" s="408"/>
      <c r="F129" s="389"/>
      <c r="G129" s="389"/>
      <c r="H129" s="389"/>
      <c r="I129" s="389"/>
      <c r="U129" s="303"/>
      <c r="V129" s="303"/>
      <c r="W129" s="303"/>
      <c r="X129" s="303"/>
      <c r="Y129" s="303"/>
      <c r="Z129" s="303"/>
      <c r="AA129" s="303"/>
      <c r="AB129" s="303"/>
      <c r="AC129" s="303"/>
    </row>
    <row r="130" spans="1:29" ht="7.5" hidden="1" customHeight="1" x14ac:dyDescent="0.35">
      <c r="A130" s="302"/>
      <c r="B130" s="408"/>
      <c r="U130" s="303"/>
      <c r="V130" s="303"/>
      <c r="W130" s="303"/>
      <c r="X130" s="303"/>
      <c r="Y130" s="303"/>
      <c r="Z130" s="303"/>
      <c r="AA130" s="303"/>
      <c r="AB130" s="303"/>
      <c r="AC130" s="303"/>
    </row>
    <row r="131" spans="1:29" ht="18.75" hidden="1" customHeight="1" x14ac:dyDescent="0.35">
      <c r="A131" s="425"/>
      <c r="B131" s="1078" t="s">
        <v>710</v>
      </c>
      <c r="C131" s="385"/>
      <c r="D131" s="385"/>
      <c r="E131" s="385"/>
      <c r="F131" s="386"/>
      <c r="G131" s="385"/>
      <c r="H131" s="385"/>
      <c r="I131" s="385"/>
      <c r="J131" s="385"/>
      <c r="K131" s="385"/>
      <c r="L131" s="385"/>
      <c r="M131" s="385"/>
      <c r="N131" s="385"/>
      <c r="U131" s="303"/>
      <c r="V131" s="303"/>
      <c r="W131" s="303"/>
      <c r="X131" s="303"/>
      <c r="Y131" s="303"/>
      <c r="Z131" s="303"/>
      <c r="AA131" s="303"/>
      <c r="AB131" s="303"/>
      <c r="AC131" s="303"/>
    </row>
    <row r="132" spans="1:29" ht="18.75" hidden="1" customHeight="1" x14ac:dyDescent="0.35">
      <c r="A132" s="302"/>
      <c r="B132" s="418" t="s">
        <v>512</v>
      </c>
      <c r="U132" s="303"/>
      <c r="V132" s="303"/>
      <c r="W132" s="303"/>
      <c r="X132" s="303"/>
      <c r="Y132" s="303"/>
      <c r="Z132" s="303"/>
      <c r="AA132" s="303"/>
      <c r="AB132" s="303"/>
      <c r="AC132" s="303"/>
    </row>
    <row r="133" spans="1:29" ht="18.75" hidden="1" customHeight="1" x14ac:dyDescent="0.35">
      <c r="A133" s="303"/>
      <c r="B133" s="417" t="s">
        <v>499</v>
      </c>
      <c r="C133" s="465"/>
      <c r="D133" s="88"/>
      <c r="U133" s="303"/>
      <c r="V133" s="303"/>
      <c r="W133" s="303"/>
      <c r="X133" s="303"/>
      <c r="Y133" s="303"/>
      <c r="Z133" s="303"/>
      <c r="AA133" s="303"/>
      <c r="AB133" s="303"/>
      <c r="AC133" s="303"/>
    </row>
    <row r="134" spans="1:29" ht="18.75" hidden="1" customHeight="1" x14ac:dyDescent="0.35">
      <c r="A134" s="303"/>
      <c r="B134" s="417" t="s">
        <v>287</v>
      </c>
      <c r="C134" s="1166">
        <v>48</v>
      </c>
      <c r="D134" s="381"/>
      <c r="U134" s="303"/>
      <c r="V134" s="303"/>
      <c r="W134" s="303"/>
      <c r="X134" s="303"/>
      <c r="Y134" s="303"/>
      <c r="Z134" s="303"/>
      <c r="AA134" s="303"/>
      <c r="AB134" s="303"/>
      <c r="AC134" s="303"/>
    </row>
    <row r="135" spans="1:29" ht="7.5" hidden="1" customHeight="1" x14ac:dyDescent="0.35">
      <c r="A135" s="303"/>
      <c r="B135" s="420"/>
      <c r="D135" s="88"/>
      <c r="F135" s="389"/>
      <c r="G135" s="389"/>
      <c r="H135" s="389"/>
      <c r="I135" s="389"/>
      <c r="U135" s="303"/>
      <c r="V135" s="303"/>
      <c r="W135" s="303"/>
      <c r="X135" s="303"/>
      <c r="Y135" s="303"/>
      <c r="Z135" s="303"/>
      <c r="AA135" s="303"/>
      <c r="AB135" s="303"/>
      <c r="AC135" s="303"/>
    </row>
    <row r="136" spans="1:29" ht="18.75" hidden="1" customHeight="1" x14ac:dyDescent="0.35">
      <c r="A136" s="303"/>
      <c r="B136" s="421"/>
      <c r="C136" s="431" t="s">
        <v>718</v>
      </c>
      <c r="D136" s="431" t="s">
        <v>719</v>
      </c>
      <c r="F136" s="615" t="s">
        <v>711</v>
      </c>
      <c r="G136" s="389"/>
      <c r="H136" s="389"/>
      <c r="I136" s="389"/>
      <c r="U136" s="303"/>
      <c r="V136" s="303"/>
      <c r="W136" s="303"/>
      <c r="X136" s="303"/>
      <c r="Y136" s="303"/>
      <c r="Z136" s="303"/>
      <c r="AA136" s="303"/>
      <c r="AB136" s="303"/>
      <c r="AC136" s="303"/>
    </row>
    <row r="137" spans="1:29" ht="18.75" hidden="1" customHeight="1" x14ac:dyDescent="0.35">
      <c r="A137" s="303"/>
      <c r="B137" s="417" t="str">
        <f>IF(NOT(ISBLANK(AICCasualAccountCreditPayCycle)),AICCasualAccountCreditPayCycle &amp; " net pay","Net pay")</f>
        <v>Net pay</v>
      </c>
      <c r="C137" s="1788"/>
      <c r="D137" s="1788"/>
      <c r="F137" s="391"/>
      <c r="G137" s="389"/>
      <c r="H137" s="389"/>
      <c r="I137" s="389"/>
      <c r="K137" s="1661" t="str">
        <f>IFERROR(IF(AICCasualAccountCreditMandatoryFieldCheck,"","Please complete all mandatory fields"),"")</f>
        <v/>
      </c>
      <c r="L137" s="1661"/>
      <c r="M137" s="1661"/>
      <c r="U137" s="303"/>
      <c r="V137" s="303"/>
      <c r="W137" s="303"/>
      <c r="X137" s="303"/>
      <c r="Y137" s="303"/>
      <c r="Z137" s="303"/>
      <c r="AA137" s="303"/>
      <c r="AB137" s="303"/>
      <c r="AC137" s="303"/>
    </row>
    <row r="138" spans="1:29" ht="18.75" hidden="1" customHeight="1" x14ac:dyDescent="0.35">
      <c r="A138" s="303"/>
      <c r="B138" s="417" t="s">
        <v>513</v>
      </c>
      <c r="C138" s="1311">
        <f>IFERROR(AICCasualAccountCreditDeposit1*ROUNDDOWN(AICCasualAccountCreditAnnualiseWeeks*7/VLOOKUP(AICCasualAccountCreditPayCycle,IncomeCycleData[],2,FALSE),0),0)</f>
        <v>0</v>
      </c>
      <c r="D138" s="1311">
        <f>IFERROR(AICCasualAccountCreditDeposit2*ROUNDDOWN(AICCasualAccountCreditAnnualiseWeeks*7/VLOOKUP(AICCasualAccountCreditPayCycle,IncomeCycleData[],2,FALSE),0),0)</f>
        <v>0</v>
      </c>
      <c r="E138" s="88"/>
      <c r="F138" s="615" t="s">
        <v>1597</v>
      </c>
      <c r="G138" s="1311">
        <f>IFERROR(IF(AND(AICCasualIncomeVerificationType="Account credits",AICCasualAccountCreditMandatoryFieldCheck),MIN('Income Calculation'!T16,AICCasualPYIncomeSummaryAmount),0),0)</f>
        <v>0</v>
      </c>
      <c r="H138" s="389"/>
      <c r="I138" s="404"/>
      <c r="J138" s="88"/>
      <c r="K138" s="1662"/>
      <c r="L138" s="1662"/>
      <c r="M138" s="1662"/>
      <c r="U138" s="303"/>
      <c r="V138" s="303"/>
      <c r="W138" s="303"/>
      <c r="X138" s="303"/>
      <c r="Y138" s="303"/>
      <c r="Z138" s="303"/>
      <c r="AA138" s="303"/>
      <c r="AB138" s="303"/>
      <c r="AC138" s="303"/>
    </row>
    <row r="139" spans="1:29" ht="7.5" hidden="1" customHeight="1" x14ac:dyDescent="0.35">
      <c r="A139" s="303"/>
      <c r="B139" s="423"/>
      <c r="C139" s="88"/>
      <c r="D139" s="88"/>
      <c r="E139" s="88"/>
      <c r="F139" s="404"/>
      <c r="G139" s="404"/>
      <c r="H139" s="404"/>
      <c r="I139" s="404"/>
      <c r="J139" s="88"/>
      <c r="U139" s="303"/>
      <c r="V139" s="303"/>
      <c r="W139" s="303"/>
      <c r="X139" s="303"/>
      <c r="Y139" s="303"/>
      <c r="Z139" s="303"/>
      <c r="AA139" s="303"/>
      <c r="AB139" s="303"/>
      <c r="AC139" s="303"/>
    </row>
    <row r="140" spans="1:29" ht="18.75" hidden="1" customHeight="1" x14ac:dyDescent="0.35">
      <c r="A140" s="302"/>
      <c r="B140" s="418" t="str">
        <f>B74</f>
        <v>Bonus income used for serviceability</v>
      </c>
      <c r="E140" s="88"/>
      <c r="F140" s="88"/>
      <c r="G140" s="88"/>
      <c r="H140" s="88"/>
      <c r="I140" s="88"/>
      <c r="J140" s="88"/>
      <c r="U140" s="303"/>
      <c r="V140" s="303"/>
      <c r="W140" s="303"/>
      <c r="X140" s="303"/>
      <c r="Y140" s="303"/>
      <c r="Z140" s="303"/>
      <c r="AA140" s="303"/>
      <c r="AB140" s="303"/>
      <c r="AC140" s="303"/>
    </row>
    <row r="141" spans="1:29" ht="18.75" hidden="1" customHeight="1" x14ac:dyDescent="0.35">
      <c r="A141" s="302"/>
      <c r="B141" s="417" t="str">
        <f>B75</f>
        <v>Total bonus received in the last 12 months</v>
      </c>
      <c r="C141" s="1788"/>
      <c r="E141" s="88"/>
      <c r="F141" s="537" t="str">
        <f>F75</f>
        <v>Include any bonus income paid in the last 12 months. Ensure bonus income is verified to policy.</v>
      </c>
      <c r="G141" s="412"/>
      <c r="H141" s="412"/>
      <c r="I141" s="536"/>
      <c r="K141" s="303"/>
      <c r="L141" s="303"/>
      <c r="M141" s="303"/>
      <c r="N141" s="88"/>
      <c r="U141" s="303"/>
      <c r="V141" s="303"/>
      <c r="W141" s="303"/>
      <c r="X141" s="303"/>
      <c r="Y141" s="303"/>
      <c r="Z141" s="303"/>
      <c r="AA141" s="303"/>
      <c r="AB141" s="303"/>
      <c r="AC141" s="303"/>
    </row>
    <row r="142" spans="1:29" ht="7.5" hidden="1" customHeight="1" x14ac:dyDescent="0.35">
      <c r="U142" s="303"/>
      <c r="V142" s="303"/>
      <c r="W142" s="303"/>
      <c r="X142" s="303"/>
      <c r="Y142" s="303"/>
      <c r="Z142" s="303"/>
      <c r="AA142" s="303"/>
      <c r="AB142" s="303"/>
      <c r="AC142" s="303"/>
    </row>
    <row r="143" spans="1:29" ht="18.75" hidden="1" customHeight="1" x14ac:dyDescent="0.35">
      <c r="A143" s="303"/>
      <c r="B143" s="418" t="s">
        <v>514</v>
      </c>
      <c r="E143" s="88"/>
      <c r="F143" s="88"/>
      <c r="G143" s="88"/>
      <c r="H143" s="88"/>
      <c r="I143" s="88"/>
      <c r="J143" s="88"/>
      <c r="Q143" s="1175" t="s">
        <v>2173</v>
      </c>
      <c r="R143" s="1176" t="str">
        <f t="shared" ref="R143:Y143" si="8">R15</f>
        <v>YTD payslip</v>
      </c>
      <c r="S143" s="1176" t="str">
        <f t="shared" si="8"/>
        <v>2 payslips</v>
      </c>
      <c r="T143" s="1176" t="str">
        <f t="shared" si="8"/>
        <v>PAYG</v>
      </c>
      <c r="U143" s="1176" t="str">
        <f t="shared" si="8"/>
        <v>Family employee</v>
      </c>
      <c r="V143" s="1193" t="str">
        <f t="shared" si="8"/>
        <v>Emergency services</v>
      </c>
      <c r="W143" s="114">
        <f t="shared" si="8"/>
        <v>0</v>
      </c>
      <c r="X143" s="1176" t="str">
        <f t="shared" si="8"/>
        <v>Account credits</v>
      </c>
      <c r="Y143" s="1193" t="str">
        <f t="shared" si="8"/>
        <v>AUD foreign employment</v>
      </c>
      <c r="Z143" s="303"/>
      <c r="AA143" s="303"/>
      <c r="AB143" s="303"/>
      <c r="AC143" s="303"/>
    </row>
    <row r="144" spans="1:29" ht="18.75" hidden="1" customHeight="1" x14ac:dyDescent="0.35">
      <c r="A144" s="303"/>
      <c r="B144" s="417" t="s">
        <v>13</v>
      </c>
      <c r="C144" s="465"/>
      <c r="E144" s="88"/>
      <c r="F144" s="537" t="str">
        <f>IF(AND(ISBLANK(AICCasualPreTaxDeductionFlag),ISBLANK(AICCasualPreTaxDeduction)),"Only complete the pre-tax deduction section if pre-tax deductions are included on the payslip.","If required for servicing, ensure pre-tax deductions are verified to policy.")</f>
        <v>Only complete the pre-tax deduction section if pre-tax deductions are included on the payslip.</v>
      </c>
      <c r="G144" s="412"/>
      <c r="H144" s="412"/>
      <c r="I144" s="536"/>
      <c r="J144" s="414"/>
      <c r="K144" s="88"/>
      <c r="L144" s="88"/>
      <c r="M144" s="88"/>
      <c r="N144" s="88"/>
      <c r="Q144" s="1172" t="s">
        <v>2174</v>
      </c>
      <c r="R144" s="1184" t="b">
        <f>IF(AICCasualYTDPayslipFlag="Yes",IF(ISBLANK(AICCasualPreTaxDeductionFlag),TRUE,AND(NOT(ISBLANK(AICCasualPreTaxDeduction)),T144:U144)),TRUE)</f>
        <v>1</v>
      </c>
      <c r="S144" s="1182" t="b">
        <f>IF(AICCasualYTDPayslipFlag="No",IF(ISBLANK(AICCasualPreTaxDeductionFlag),TRUE,AND(NOT(ISBLANK(AICCasualPreTaxDeduction)),T144:U144)),TRUE)</f>
        <v>1</v>
      </c>
      <c r="T144" s="1182" t="b">
        <f>IF(AICCasualIncomeVerificationType=T$15,TRUE,TRUE)</f>
        <v>1</v>
      </c>
      <c r="U144" s="1182" t="b">
        <f>IF(AICCasualIncomeVerificationType=U$15,TRUE,TRUE)</f>
        <v>1</v>
      </c>
      <c r="V144" s="1185"/>
      <c r="W144" s="1179"/>
      <c r="X144" s="1181"/>
      <c r="Y144" s="1181"/>
      <c r="Z144" s="303"/>
      <c r="AA144" s="303"/>
      <c r="AB144" s="303"/>
      <c r="AC144" s="303"/>
    </row>
    <row r="145" spans="1:29" ht="18.75" hidden="1" customHeight="1" x14ac:dyDescent="0.35">
      <c r="A145" s="303"/>
      <c r="B145" s="417" t="str">
        <f>IF(OR(NOT(ISBLANK(AICCasualYTDPayCycle)),NOT(ISBLANK(AICCasualNoYTDPayCycle))), CONCATENATE(AICCasualYTDPayCycle,AICCasualNoYTDPayCycle) &amp; " pre-tax deduction","Pre-tax deduction")</f>
        <v>Pre-tax deduction</v>
      </c>
      <c r="C145" s="1788"/>
      <c r="E145" s="403"/>
      <c r="K145" s="88"/>
      <c r="L145" s="88"/>
      <c r="M145" s="88"/>
      <c r="N145" s="88"/>
      <c r="Q145" s="1172" t="s">
        <v>1312</v>
      </c>
      <c r="R145" s="1173" t="b">
        <f>R115&gt;=0</f>
        <v>1</v>
      </c>
      <c r="S145" s="1173" t="b">
        <f>S125&gt;=0</f>
        <v>1</v>
      </c>
      <c r="T145" s="1185"/>
      <c r="U145" s="1185"/>
      <c r="V145" s="1185"/>
      <c r="W145" s="1179"/>
      <c r="X145" s="1181"/>
      <c r="Y145" s="1181"/>
      <c r="Z145" s="303"/>
      <c r="AA145" s="303"/>
      <c r="AB145" s="303"/>
      <c r="AC145" s="303"/>
    </row>
    <row r="146" spans="1:29" ht="7.5" hidden="1" customHeight="1" x14ac:dyDescent="0.35">
      <c r="A146" s="303"/>
      <c r="B146" s="408"/>
      <c r="C146" s="88"/>
      <c r="D146" s="88"/>
      <c r="E146" s="88"/>
      <c r="F146" s="413"/>
      <c r="G146" s="88"/>
      <c r="H146" s="88"/>
      <c r="I146" s="88"/>
      <c r="J146" s="88"/>
      <c r="K146" s="88"/>
      <c r="L146" s="88"/>
      <c r="M146" s="88"/>
      <c r="N146" s="88"/>
      <c r="U146" s="303"/>
      <c r="V146" s="303"/>
      <c r="W146" s="303"/>
      <c r="X146" s="303"/>
      <c r="Y146" s="303"/>
      <c r="Z146" s="303"/>
      <c r="AA146" s="303"/>
      <c r="AB146" s="303"/>
      <c r="AC146" s="303"/>
    </row>
    <row r="147" spans="1:29" ht="18.75" hidden="1" customHeight="1" x14ac:dyDescent="0.35">
      <c r="A147" s="424"/>
      <c r="B147" s="1078" t="s">
        <v>717</v>
      </c>
      <c r="C147" s="385"/>
      <c r="D147" s="385"/>
      <c r="E147" s="385"/>
      <c r="F147" s="386"/>
      <c r="G147" s="385"/>
      <c r="H147" s="385"/>
      <c r="I147" s="385"/>
      <c r="J147" s="385"/>
      <c r="K147" s="385"/>
      <c r="L147" s="385"/>
      <c r="M147" s="385"/>
      <c r="N147" s="385"/>
      <c r="U147" s="303"/>
      <c r="V147" s="303"/>
      <c r="W147" s="303"/>
      <c r="X147" s="303"/>
      <c r="Y147" s="303"/>
      <c r="Z147" s="303"/>
      <c r="AA147" s="303"/>
      <c r="AB147" s="303"/>
      <c r="AC147" s="303"/>
    </row>
    <row r="148" spans="1:29" ht="18.75" hidden="1" customHeight="1" x14ac:dyDescent="0.35">
      <c r="A148" s="303"/>
      <c r="B148" s="418" t="s">
        <v>515</v>
      </c>
      <c r="D148" s="88"/>
      <c r="E148" s="88"/>
      <c r="F148" s="88"/>
      <c r="G148" s="88"/>
      <c r="H148" s="88"/>
      <c r="I148" s="88"/>
      <c r="J148" s="88"/>
      <c r="K148" s="88"/>
      <c r="L148" s="88"/>
      <c r="M148" s="88"/>
      <c r="N148" s="88"/>
      <c r="Q148" s="1175" t="s">
        <v>2173</v>
      </c>
      <c r="R148" s="1176" t="str">
        <f t="shared" ref="R148:Y148" si="9">R15</f>
        <v>YTD payslip</v>
      </c>
      <c r="S148" s="1176" t="str">
        <f t="shared" si="9"/>
        <v>2 payslips</v>
      </c>
      <c r="T148" s="1176" t="str">
        <f t="shared" si="9"/>
        <v>PAYG</v>
      </c>
      <c r="U148" s="1176" t="str">
        <f t="shared" si="9"/>
        <v>Family employee</v>
      </c>
      <c r="V148" s="1193" t="str">
        <f t="shared" si="9"/>
        <v>Emergency services</v>
      </c>
      <c r="W148" s="114">
        <f t="shared" si="9"/>
        <v>0</v>
      </c>
      <c r="X148" s="1176" t="str">
        <f t="shared" si="9"/>
        <v>Account credits</v>
      </c>
      <c r="Y148" s="1193" t="str">
        <f t="shared" si="9"/>
        <v>AUD foreign employment</v>
      </c>
      <c r="Z148" s="303"/>
      <c r="AA148" s="303"/>
      <c r="AB148" s="303"/>
      <c r="AC148" s="303"/>
    </row>
    <row r="149" spans="1:29" ht="18.75" hidden="1" customHeight="1" x14ac:dyDescent="0.35">
      <c r="A149" s="303"/>
      <c r="B149" s="417" t="s">
        <v>516</v>
      </c>
      <c r="C149" s="1788"/>
      <c r="D149" s="1013"/>
      <c r="E149" s="1013"/>
      <c r="F149" s="1013"/>
      <c r="G149" s="1013"/>
      <c r="H149" s="1013"/>
      <c r="I149" s="415"/>
      <c r="J149" s="415"/>
      <c r="K149" s="88"/>
      <c r="L149" s="88"/>
      <c r="M149" s="88"/>
      <c r="N149" s="88"/>
      <c r="Q149" s="1172" t="s">
        <v>2146</v>
      </c>
      <c r="R149" s="1186"/>
      <c r="S149" s="1187"/>
      <c r="T149" s="1187"/>
      <c r="U149" s="1174">
        <f>IF(ISBLANK(AICCasualTransactionHistoryLowestDeposit),AICCasualPYIncomeSummaryAmount,IF(ISBLANK(AICCasualPYIncomeSummaryAmount),AICCasualTransactionHistoryAnnualGrossBase,MIN(AICCasualTransactionHistoryAnnualGrossBase,AICCasualPYIncomeSummaryAmount)))</f>
        <v>0</v>
      </c>
      <c r="V149" s="1186"/>
      <c r="W149" s="303"/>
      <c r="X149" s="1186"/>
      <c r="Y149" s="1186"/>
      <c r="Z149" s="303"/>
      <c r="AA149" s="303"/>
      <c r="AB149" s="303"/>
      <c r="AC149" s="303"/>
    </row>
    <row r="150" spans="1:29" ht="15" hidden="1" customHeight="1" x14ac:dyDescent="0.35">
      <c r="A150" s="303"/>
      <c r="B150" s="1169" t="s">
        <v>1063</v>
      </c>
      <c r="D150" s="1013"/>
      <c r="E150" s="1013"/>
      <c r="F150" s="1013"/>
      <c r="G150" s="1013"/>
      <c r="H150" s="1013"/>
      <c r="I150" s="415"/>
      <c r="J150" s="415"/>
      <c r="K150" s="88"/>
      <c r="L150" s="88"/>
      <c r="M150" s="88"/>
      <c r="N150" s="88"/>
      <c r="Q150" s="1074"/>
      <c r="R150" s="1168"/>
      <c r="U150" s="303"/>
      <c r="V150" s="303"/>
      <c r="W150" s="303"/>
      <c r="X150" s="303"/>
      <c r="Y150" s="303"/>
      <c r="Z150" s="303"/>
      <c r="AA150" s="303"/>
      <c r="AB150" s="303"/>
      <c r="AC150" s="303"/>
    </row>
    <row r="151" spans="1:29" ht="18.75" hidden="1" customHeight="1" x14ac:dyDescent="0.35">
      <c r="A151" s="303"/>
      <c r="B151" s="418" t="s">
        <v>2160</v>
      </c>
      <c r="C151" s="1180"/>
      <c r="D151" s="1013"/>
      <c r="E151" s="1013"/>
      <c r="F151" s="1013"/>
      <c r="G151" s="1013"/>
      <c r="H151" s="1013"/>
      <c r="I151" s="415"/>
      <c r="J151" s="415"/>
      <c r="K151" s="88"/>
      <c r="L151" s="88"/>
      <c r="M151" s="88"/>
      <c r="N151" s="88"/>
      <c r="U151" s="303"/>
      <c r="V151" s="303"/>
      <c r="W151" s="303"/>
      <c r="X151" s="303"/>
      <c r="Y151" s="303"/>
      <c r="Z151" s="303"/>
      <c r="AA151" s="303"/>
      <c r="AB151" s="303"/>
      <c r="AC151" s="303"/>
    </row>
    <row r="152" spans="1:29" ht="18.75" hidden="1" customHeight="1" x14ac:dyDescent="0.35">
      <c r="A152" s="303"/>
      <c r="B152" s="417" t="str">
        <f>"Lowest " &amp; LOWER(AICPermanentYTDPayCycle) &amp; " salary credit"</f>
        <v>Lowest  salary credit</v>
      </c>
      <c r="C152" s="1788"/>
      <c r="D152" s="1013"/>
      <c r="E152" s="1013"/>
      <c r="F152" s="1013"/>
      <c r="G152" s="1013"/>
      <c r="H152" s="1013"/>
      <c r="I152" s="415"/>
      <c r="J152" s="415"/>
      <c r="K152" s="88"/>
      <c r="L152" s="88"/>
      <c r="M152" s="88"/>
      <c r="N152" s="88"/>
      <c r="U152" s="303"/>
      <c r="V152" s="303"/>
      <c r="W152" s="303"/>
      <c r="X152" s="303"/>
      <c r="Y152" s="303"/>
      <c r="Z152" s="303"/>
      <c r="AA152" s="303"/>
      <c r="AB152" s="303"/>
      <c r="AC152" s="303"/>
    </row>
    <row r="153" spans="1:29" ht="18.75" hidden="1" customHeight="1" x14ac:dyDescent="0.35">
      <c r="A153" s="303"/>
      <c r="B153" s="417" t="s">
        <v>2145</v>
      </c>
      <c r="C153" s="1314">
        <f>IFERROR(AICCasualTransactionHistoryLowestDeposit*IF(AICCasualYTDPayslipFlag="Yes",ROUNDDOWN(AICCasualYTDAnnualiseWeeks*7/VLOOKUP(AICCasualYTDPayCycle,IncomeCycleData[],2,FALSE),0),ROUNDDOWN(AICCasualNoYTDAnnualiseWeeks*7/VLOOKUP(AICCasualNoYTDPayCycle,IncomeCycleData[],2,FALSE),0)),0)</f>
        <v>0</v>
      </c>
      <c r="D153" s="1013"/>
      <c r="E153" s="1013"/>
      <c r="F153" s="1013"/>
      <c r="G153" s="1013"/>
      <c r="H153" s="1013"/>
      <c r="I153" s="415"/>
      <c r="J153" s="415"/>
      <c r="K153" s="88"/>
      <c r="L153" s="88"/>
      <c r="M153" s="88"/>
      <c r="N153" s="88"/>
      <c r="U153" s="303"/>
      <c r="V153" s="303"/>
      <c r="W153" s="303"/>
      <c r="X153" s="303"/>
      <c r="Y153" s="303"/>
      <c r="Z153" s="303"/>
      <c r="AA153" s="303"/>
      <c r="AB153" s="303"/>
      <c r="AC153" s="303"/>
    </row>
    <row r="154" spans="1:29" ht="18.75" hidden="1" customHeight="1" x14ac:dyDescent="0.35">
      <c r="A154" s="303"/>
      <c r="B154" s="417" t="s">
        <v>2144</v>
      </c>
      <c r="C154" s="1314">
        <f>IF(AND(AICEmploymentBasis="Casual",AICCasualIncomeVerificationType="Family employee"),'Income Calculation'!T16,0)</f>
        <v>0</v>
      </c>
      <c r="D154" s="1013"/>
      <c r="E154" s="1013"/>
      <c r="F154" s="1013"/>
      <c r="G154" s="1013"/>
      <c r="H154" s="1013"/>
      <c r="I154" s="415"/>
      <c r="J154" s="415"/>
      <c r="K154" s="88"/>
      <c r="L154" s="88"/>
      <c r="M154" s="88"/>
      <c r="N154" s="88"/>
      <c r="U154" s="303"/>
      <c r="V154" s="303"/>
      <c r="W154" s="303"/>
      <c r="X154" s="303"/>
      <c r="Y154" s="303"/>
      <c r="Z154" s="303"/>
      <c r="AA154" s="303"/>
      <c r="AB154" s="303"/>
      <c r="AC154" s="303"/>
    </row>
    <row r="155" spans="1:29" ht="15" customHeight="1" x14ac:dyDescent="0.35">
      <c r="A155" s="303"/>
      <c r="B155" s="303"/>
      <c r="C155" s="303"/>
      <c r="D155" s="303"/>
      <c r="E155" s="303"/>
      <c r="F155" s="303"/>
      <c r="G155" s="303"/>
      <c r="H155" s="303"/>
      <c r="I155" s="303"/>
      <c r="J155" s="303"/>
      <c r="K155" s="303"/>
      <c r="L155" s="303"/>
      <c r="M155" s="303"/>
      <c r="N155" s="303"/>
      <c r="O155" s="303"/>
      <c r="P155" s="303"/>
      <c r="Q155" s="303"/>
      <c r="R155" s="303"/>
      <c r="S155" s="303"/>
      <c r="T155" s="303"/>
      <c r="U155" s="303"/>
      <c r="V155" s="303"/>
      <c r="W155" s="303"/>
      <c r="X155" s="303"/>
      <c r="Y155" s="303"/>
      <c r="Z155" s="303"/>
      <c r="AA155" s="303"/>
      <c r="AB155" s="303"/>
      <c r="AC155" s="303"/>
    </row>
    <row r="156" spans="1:29" ht="15" customHeight="1" x14ac:dyDescent="0.35">
      <c r="A156" s="303"/>
      <c r="B156" s="303"/>
      <c r="C156" s="303"/>
      <c r="D156" s="303"/>
      <c r="E156" s="303"/>
      <c r="F156" s="303"/>
      <c r="G156" s="303"/>
      <c r="H156" s="303"/>
      <c r="I156" s="303"/>
      <c r="J156" s="303"/>
      <c r="K156" s="303"/>
      <c r="L156" s="303"/>
      <c r="M156" s="303"/>
      <c r="N156" s="303"/>
      <c r="O156" s="303"/>
      <c r="P156" s="303"/>
      <c r="Q156" s="303"/>
      <c r="R156" s="303"/>
      <c r="S156" s="303"/>
      <c r="T156" s="303"/>
      <c r="U156" s="303"/>
      <c r="V156" s="303"/>
      <c r="W156" s="303"/>
      <c r="X156" s="303"/>
      <c r="Y156" s="303"/>
      <c r="Z156" s="303"/>
      <c r="AA156" s="303"/>
      <c r="AB156" s="303"/>
      <c r="AC156" s="303"/>
    </row>
    <row r="157" spans="1:29" ht="15" customHeight="1" x14ac:dyDescent="0.35">
      <c r="A157" s="303"/>
      <c r="B157" s="303"/>
      <c r="C157" s="303"/>
      <c r="D157" s="303"/>
      <c r="E157" s="303"/>
      <c r="F157" s="303"/>
      <c r="G157" s="303"/>
      <c r="H157" s="303"/>
      <c r="I157" s="303"/>
      <c r="J157" s="303"/>
      <c r="K157" s="303"/>
      <c r="L157" s="303"/>
      <c r="M157" s="303"/>
      <c r="N157" s="303"/>
      <c r="O157" s="303"/>
      <c r="P157" s="303"/>
      <c r="Q157" s="303"/>
      <c r="R157" s="303"/>
      <c r="S157" s="303"/>
      <c r="T157" s="303"/>
      <c r="U157" s="303"/>
      <c r="V157" s="303"/>
      <c r="W157" s="303"/>
      <c r="X157" s="303"/>
      <c r="Y157" s="303"/>
      <c r="Z157" s="303"/>
      <c r="AA157" s="303"/>
      <c r="AB157" s="303"/>
      <c r="AC157" s="303"/>
    </row>
    <row r="158" spans="1:29" ht="15" customHeight="1" x14ac:dyDescent="0.35">
      <c r="A158" s="303"/>
      <c r="B158" s="303"/>
      <c r="C158" s="303"/>
      <c r="D158" s="303"/>
      <c r="E158" s="303"/>
      <c r="F158" s="303"/>
      <c r="G158" s="303"/>
      <c r="H158" s="303"/>
      <c r="I158" s="303"/>
      <c r="J158" s="303"/>
      <c r="K158" s="303"/>
      <c r="L158" s="303"/>
      <c r="M158" s="303"/>
      <c r="N158" s="303"/>
      <c r="O158" s="303"/>
      <c r="P158" s="303"/>
      <c r="Q158" s="303"/>
      <c r="R158" s="303"/>
      <c r="S158" s="303"/>
      <c r="T158" s="303"/>
      <c r="U158" s="303"/>
      <c r="V158" s="303"/>
      <c r="W158" s="303"/>
      <c r="X158" s="303"/>
      <c r="Y158" s="303"/>
      <c r="Z158" s="303"/>
      <c r="AA158" s="303"/>
      <c r="AB158" s="303"/>
      <c r="AC158" s="303"/>
    </row>
  </sheetData>
  <sheetProtection algorithmName="SHA-512" hashValue="Oxc+7QMzokwVbcntnQkXz+Cr5kU1gdf3Jle18MigCgvNmnJSEOB7uhXewiG7FQa8yRo7jgXFvxjdoTuoKqHHdg==" saltValue="JWrCluFE7FAZkhOXz8mSWA==" spinCount="100000" sheet="1" objects="1" scenarios="1" selectLockedCells="1"/>
  <mergeCells count="16">
    <mergeCell ref="E6:F6"/>
    <mergeCell ref="E7:F7"/>
    <mergeCell ref="K137:L138"/>
    <mergeCell ref="M137:M138"/>
    <mergeCell ref="K30:L38"/>
    <mergeCell ref="M30:M38"/>
    <mergeCell ref="K51:L56"/>
    <mergeCell ref="M51:M56"/>
    <mergeCell ref="K64:L66"/>
    <mergeCell ref="M64:M66"/>
    <mergeCell ref="K113:L115"/>
    <mergeCell ref="M113:M115"/>
    <mergeCell ref="K125:L128"/>
    <mergeCell ref="M125:M128"/>
    <mergeCell ref="K87:L88"/>
    <mergeCell ref="M87:M88"/>
  </mergeCells>
  <conditionalFormatting sqref="H33 H42">
    <cfRule type="expression" dxfId="231" priority="30" stopIfTrue="1">
      <formula>OR(AICPermanentNonBaseIncomeFlag="No",AND(AICPermanentYTDTransitionFlag=FALSE,OR(AICPermanentBaseIncomeIncreaseFlag="No",AICPermanentBaseIncomeIncreaseType="Increase in current FY",AICPermanentBaseIncomeIncreaseType="")))</formula>
    </cfRule>
  </conditionalFormatting>
  <conditionalFormatting sqref="G31:H31">
    <cfRule type="expression" dxfId="230" priority="48">
      <formula>OR(AICPermanentNonBaseIncomeFlag="No",AND(AICPermanentYTDTransitionFlag=FALSE,OR(AICPermanentBaseIncomeIncreaseFlag="No",AICPermanentBaseIncomeIncreaseType="Increase in current FY",AICPermanentBaseIncomeIncreaseType="")))</formula>
    </cfRule>
  </conditionalFormatting>
  <conditionalFormatting sqref="D33">
    <cfRule type="expression" dxfId="229" priority="47">
      <formula>OR(AICPermanentNonBaseIncomeFlag="No",AND(AICPermanentYTDTransitionFlag=FALSE,OR(AICPermanentBaseIncomeIncreaseFlag="No",AICPermanentBaseIncomeIncreaseType="Increase in current FY",AICPermanentBaseIncomeIncreaseType="")))</formula>
    </cfRule>
  </conditionalFormatting>
  <conditionalFormatting sqref="C33">
    <cfRule type="expression" dxfId="228" priority="46">
      <formula>OR(AICPermanentNonBaseIncomeFlag="No",AND(AICPermanentYTDTransitionFlag=FALSE,OR(AICPermanentBaseIncomeIncreaseFlag="No",AICPermanentBaseIncomeIncreaseType="Increase in current FY",AICPermanentBaseIncomeIncreaseType="")))</formula>
    </cfRule>
  </conditionalFormatting>
  <conditionalFormatting sqref="C42:C43">
    <cfRule type="expression" dxfId="227" priority="45" stopIfTrue="1">
      <formula>AICPermanentBaseIncomeIncreaseType="Increase in prior FY"</formula>
    </cfRule>
  </conditionalFormatting>
  <conditionalFormatting sqref="C80">
    <cfRule type="expression" dxfId="226" priority="24" stopIfTrue="1">
      <formula>AICPermanentBaseIncomeIncreaseType="Increase in prior FY"</formula>
    </cfRule>
    <cfRule type="expression" dxfId="225" priority="29">
      <formula>AND(NOT(ISBLANK(AICPermanentPreTaxDeductionFlag)),ISBLANK(AICPermanentLowerPreTaxDeduction))</formula>
    </cfRule>
  </conditionalFormatting>
  <conditionalFormatting sqref="D80">
    <cfRule type="expression" dxfId="224" priority="23" stopIfTrue="1">
      <formula>AICPermanentBaseIncomeIncreaseType="Increase in transition"</formula>
    </cfRule>
    <cfRule type="expression" dxfId="223" priority="37">
      <formula>AND(NOT(ISBLANK(AICPermanentPreTaxDeductionFlag)),ISBLANK(AICPermanentLowerPreTaxDeductionPY))</formula>
    </cfRule>
  </conditionalFormatting>
  <conditionalFormatting sqref="H42">
    <cfRule type="expression" dxfId="222" priority="44" stopIfTrue="1">
      <formula>AICPermanentBaseIncomeIncreaseType="Increase in transition"</formula>
    </cfRule>
  </conditionalFormatting>
  <conditionalFormatting sqref="C87 C19:C26 C103:C105">
    <cfRule type="containsBlanks" dxfId="221" priority="38">
      <formula>LEN(TRIM(C19))=0</formula>
    </cfRule>
  </conditionalFormatting>
  <conditionalFormatting sqref="C31 C42:D43 C49 C52:D53 C62 C34:D39 C64:C65">
    <cfRule type="containsBlanks" dxfId="220" priority="51">
      <formula>LEN(TRIM(C31))=0</formula>
    </cfRule>
  </conditionalFormatting>
  <conditionalFormatting sqref="C109:C110 C112:C115 C122:C123 C126:D126 C133:C134 C137:D137">
    <cfRule type="containsBlanks" dxfId="219" priority="36">
      <formula>LEN(TRIM(C109))=0</formula>
    </cfRule>
  </conditionalFormatting>
  <conditionalFormatting sqref="K64:M66">
    <cfRule type="expression" dxfId="218" priority="34">
      <formula>$K$64=""</formula>
    </cfRule>
  </conditionalFormatting>
  <conditionalFormatting sqref="K113:M115">
    <cfRule type="expression" dxfId="217" priority="33">
      <formula>$K$113=""</formula>
    </cfRule>
  </conditionalFormatting>
  <conditionalFormatting sqref="K137:M138">
    <cfRule type="expression" dxfId="216" priority="31">
      <formula>$K$137=""</formula>
    </cfRule>
  </conditionalFormatting>
  <conditionalFormatting sqref="K51:M56">
    <cfRule type="expression" dxfId="215" priority="35">
      <formula>$K$51=""</formula>
    </cfRule>
  </conditionalFormatting>
  <conditionalFormatting sqref="D42:D43 D79:D80 D34:D39">
    <cfRule type="expression" dxfId="214" priority="22" stopIfTrue="1">
      <formula>OR(AICPermanentNonBaseIncomeFlag="No",AND(AICPermanentYTDTransitionFlag=FALSE,OR(AICPermanentBaseIncomeIncreaseFlag="No",AICPermanentBaseIncomeIncreaseType="Increase in current FY",AICPermanentBaseIncomeIncreaseType="")))</formula>
    </cfRule>
  </conditionalFormatting>
  <conditionalFormatting sqref="D42:D43">
    <cfRule type="expression" dxfId="213" priority="27" stopIfTrue="1">
      <formula>AICPermanentBaseIncomeIncreaseType="Increase in transition"</formula>
    </cfRule>
  </conditionalFormatting>
  <conditionalFormatting sqref="G42">
    <cfRule type="expression" dxfId="212" priority="26" stopIfTrue="1">
      <formula>AICPermanentBaseIncomeIncreaseType="Increase in prior FY"</formula>
    </cfRule>
  </conditionalFormatting>
  <conditionalFormatting sqref="C79">
    <cfRule type="expression" dxfId="211" priority="25">
      <formula>AND(NOT(ISBLANK(AICPermanentPreTaxDeductionFlag)),ISBLANK(AICPermanentPreTaxDeduction))</formula>
    </cfRule>
  </conditionalFormatting>
  <conditionalFormatting sqref="D79">
    <cfRule type="expression" dxfId="210" priority="28">
      <formula>AND(NOT(ISBLANK(AICPermanentPreTaxDeductionFlag)),ISBLANK(AICPermanentPreTaxDeductionPY))</formula>
    </cfRule>
  </conditionalFormatting>
  <conditionalFormatting sqref="C94 C97">
    <cfRule type="expression" dxfId="209" priority="54">
      <formula>AND(ISBLANK($C$94),ISBLANK($C$97))</formula>
    </cfRule>
  </conditionalFormatting>
  <conditionalFormatting sqref="K30:M38">
    <cfRule type="expression" dxfId="208" priority="18">
      <formula>LEFT($K$30,5)="Error"</formula>
    </cfRule>
    <cfRule type="expression" dxfId="207" priority="19" stopIfTrue="1">
      <formula>$K$30=""</formula>
    </cfRule>
  </conditionalFormatting>
  <conditionalFormatting sqref="K125:M128">
    <cfRule type="expression" dxfId="206" priority="2153">
      <formula>$K$125=""</formula>
    </cfRule>
  </conditionalFormatting>
  <conditionalFormatting sqref="D71">
    <cfRule type="expression" dxfId="205" priority="16" stopIfTrue="1">
      <formula>OR(AICPermanentNonBaseIncomeFlag="No",AND(AICPermanentYTDTransitionFlag=FALSE,OR(AICPermanentBaseIncomeIncreaseFlag="No",AICPermanentBaseIncomeIncreaseType="Increase in current FY",AICPermanentBaseIncomeIncreaseType="")))</formula>
    </cfRule>
  </conditionalFormatting>
  <conditionalFormatting sqref="K87:M88">
    <cfRule type="expression" dxfId="204" priority="14">
      <formula>$K$87=""</formula>
    </cfRule>
  </conditionalFormatting>
  <conditionalFormatting sqref="C84">
    <cfRule type="containsBlanks" dxfId="203" priority="10">
      <formula>LEN(TRIM(C84))=0</formula>
    </cfRule>
  </conditionalFormatting>
  <conditionalFormatting sqref="C22">
    <cfRule type="expression" dxfId="202" priority="6">
      <formula>$C$19="Emergency services"</formula>
    </cfRule>
  </conditionalFormatting>
  <conditionalFormatting sqref="C149 C152">
    <cfRule type="expression" dxfId="201" priority="1">
      <formula>AND(ISBLANK($C$149),ISBLANK($C$152))</formula>
    </cfRule>
  </conditionalFormatting>
  <dataValidations count="25">
    <dataValidation type="list" allowBlank="1" showInputMessage="1" showErrorMessage="1" sqref="C38:D38 C115" xr:uid="{BE586466-1998-4D2A-91CE-B8EB16AD8FCB}">
      <formula1>"Gross,Taxable"</formula1>
    </dataValidation>
    <dataValidation type="list" allowBlank="1" showInputMessage="1" showErrorMessage="1" sqref="C24" xr:uid="{3329B91C-8E6A-41B2-85DC-BCFD6CD39925}">
      <formula1>INDIRECT("BaseIncomeIncreaseType[IncreaseType]")</formula1>
    </dataValidation>
    <dataValidation type="decimal" operator="greaterThanOrEqual" allowBlank="1" showInputMessage="1" showErrorMessage="1" sqref="C36:D37 C80:D80 C43:D43 C39:D39 D79:D80 C145 C87:C89 C79 C116 C97 C94 C137:D137" xr:uid="{FA591895-D58C-4ACE-831C-69DFFCADE6D4}">
      <formula1>0</formula1>
    </dataValidation>
    <dataValidation type="list" allowBlank="1" showInputMessage="1" showErrorMessage="1" sqref="C14" xr:uid="{BFBD9FF4-69CF-481A-A3AF-62DDA7BF42ED}">
      <formula1>"Permanent,Casual"</formula1>
    </dataValidation>
    <dataValidation type="list" allowBlank="1" showInputMessage="1" showErrorMessage="1" sqref="G15 C78 C144 C25 C104:C105 C20:C23" xr:uid="{CD893154-6ACB-43C9-A831-D6C9B89EA485}">
      <formula1>"Yes,No"</formula1>
    </dataValidation>
    <dataValidation type="date" operator="lessThanOrEqual" allowBlank="1" showInputMessage="1" showErrorMessage="1" errorTitle="Invalid date" error="The 'First day of financial year or employment start date' must not be later than the 'Most recent pay date'." sqref="C112" xr:uid="{BC2A5848-0FB1-4754-A6F8-E7A8B98B9441}">
      <formula1>C113</formula1>
    </dataValidation>
    <dataValidation type="date" allowBlank="1" showInputMessage="1" showErrorMessage="1" errorTitle="Invalid date" error="The pay date for the lower base pay must be between the 'First day of financial year or employment start date' and the 'Most recent pay date'." sqref="C42" xr:uid="{119B4F1B-67B1-4494-B338-D1BCB437A018}">
      <formula1>C34</formula1>
      <formula2>C35</formula2>
    </dataValidation>
    <dataValidation type="date" allowBlank="1" showInputMessage="1" showErrorMessage="1" errorTitle="Invalid date" error="The pay date for the prior year lower base pay must be between the prior year 'First day of financial year or employment start date' and the prior year 'Most recent pay date'." sqref="D42" xr:uid="{7F6B5C41-6A6A-444F-8CFB-99640199FDDF}">
      <formula1>D34</formula1>
      <formula2>D35</formula2>
    </dataValidation>
    <dataValidation type="date" allowBlank="1" showInputMessage="1" showErrorMessage="1" errorTitle="Invalid date" error="The prior year 'Most recent pay date' cannot be earlier than or more than one year later than the prior year 'First day of financial year or employment start date' and cannot be later than the current year start date." sqref="D35" xr:uid="{3AEDF794-83AA-4176-AA89-BA7E85D7438C}">
      <formula1>D34</formula1>
      <formula2>MIN(EDATE(D34,12)-1,C34)</formula2>
    </dataValidation>
    <dataValidation type="date" allowBlank="1" showInputMessage="1" showErrorMessage="1" errorTitle="Invalid date" error="The prior year 'First day of financial year or employment start date' must not be later than or more than one year earlier than the prior year 'Most recent pay date'." sqref="D34" xr:uid="{BBD8F4CE-59AF-4349-86D6-7802CCA02568}">
      <formula1>EDATE(D35,-12)+1</formula1>
      <formula2>D35</formula2>
    </dataValidation>
    <dataValidation type="date" allowBlank="1" showInputMessage="1" showErrorMessage="1" errorTitle="Invalid date" error="The 'Most recent pay date' cannot be earlier than or more than one year later than the 'First day of financial year or employment start date'." sqref="C35 C113" xr:uid="{31950A34-BEF6-4351-8431-374E8F749843}">
      <formula1>C34</formula1>
      <formula2>EDATE(C34,12)-1</formula2>
    </dataValidation>
    <dataValidation type="date" allowBlank="1" showInputMessage="1" showErrorMessage="1" errorTitle="Invalid Date" error="The 'First day of financial year or employment start date' must not be later than or more than one year earlier than the 'Most recent pay date' and must not be earlier than the prior year end date." sqref="C34" xr:uid="{C7AEA817-2B8C-4F9C-82FC-0D90D65FD46C}">
      <formula1>MAX(EDATE(C35,-12)+1,D35)</formula1>
      <formula2>C35</formula2>
    </dataValidation>
    <dataValidation type="list" allowBlank="1" showInputMessage="1" showErrorMessage="1" sqref="C103" xr:uid="{45E52328-F739-4606-97F2-F510B8A42BB1}">
      <formula1>INDIRECT("CasualIncomeVerificationTypeTable[Verification Type]")</formula1>
    </dataValidation>
    <dataValidation type="list" allowBlank="1" showInputMessage="1" showErrorMessage="1" sqref="C19" xr:uid="{88BD85B5-DCBB-4441-84BF-4A099F99C638}">
      <formula1>INDIRECT("PermanentIncomeVerificationTypeTable[Verification Type]")</formula1>
    </dataValidation>
    <dataValidation type="list" allowBlank="1" showInputMessage="1" showErrorMessage="1" sqref="C31 C49 C62 C109 C122 C133 C84" xr:uid="{BD460215-EA9C-4F3B-902B-4BC51866C74C}">
      <formula1>INDIRECT("EmployerIncomeFrequencyList[IncomeCycle]")</formula1>
    </dataValidation>
    <dataValidation type="list" operator="greaterThanOrEqual" allowBlank="1" showInputMessage="1" showErrorMessage="1" sqref="C78 C144" xr:uid="{F267DA8E-449E-42BD-B0E0-FF73068826A0}">
      <formula1>"Yes,No"</formula1>
    </dataValidation>
    <dataValidation type="decimal" operator="greaterThanOrEqual" allowBlank="1" showInputMessage="1" showErrorMessage="1" errorTitle="Invalid data" error="Please enter a valid number" sqref="C149 C152" xr:uid="{E4150FBE-59BD-40D3-8406-BFB539FCFA2F}">
      <formula1>0</formula1>
    </dataValidation>
    <dataValidation type="list" operator="greaterThanOrEqual" allowBlank="1" showInputMessage="1" showErrorMessage="1" sqref="C71" xr:uid="{962A8B26-41D1-44B6-8060-874F3ABFC026}">
      <formula1>INDIRECT("ProLoanFutureIncomeDataTable[DisplayYear]")</formula1>
    </dataValidation>
    <dataValidation type="list" operator="greaterThanOrEqual" allowBlank="1" showInputMessage="1" showErrorMessage="1" sqref="C70" xr:uid="{BE74EF11-6901-4C5E-B283-5CAA21621D1F}">
      <formula1>INDIRECT("SEStateTable[StateCode]")</formula1>
    </dataValidation>
    <dataValidation type="list" allowBlank="1" showInputMessage="1" showErrorMessage="1" sqref="C26" xr:uid="{9FBDC4C5-C053-4C86-B074-25852FF90799}">
      <formula1>"Account credits, AUS tax return / NoA"</formula1>
    </dataValidation>
    <dataValidation type="list" allowBlank="1" showInputMessage="1" showErrorMessage="1" sqref="C26" xr:uid="{B5CB505E-9C7A-4F18-84AA-DC9A09541EB6}">
      <formula1>"Account credits,AUS tax return / NoA"</formula1>
    </dataValidation>
    <dataValidation type="decimal" operator="greaterThanOrEqual" allowBlank="1" showErrorMessage="1" errorTitle="Invalid amount entered" error="Please enter a dollar amount greater than or equal to zero." sqref="C52:D54 C126:D127 C141" xr:uid="{820843ED-3D25-4B2E-A14B-8A9539293FF1}">
      <formula1>0</formula1>
    </dataValidation>
    <dataValidation type="decimal" operator="greaterThanOrEqual" allowBlank="1" showInputMessage="1" showErrorMessage="1" errorTitle="Invalid amount entered" error="Please enter a dollar amount greater than or equal to zero." sqref="C75" xr:uid="{C60DC5EB-7A10-4457-A4EA-4EC1493398ED}">
      <formula1>0</formula1>
    </dataValidation>
    <dataValidation type="decimal" allowBlank="1" showInputMessage="1" showErrorMessage="1" errorTitle="Invalid salary credit amount" error="The 'Lowest salary credit amount' should be less than or equal to the 'Consistent salary credit amount'. Please check your data and try again." sqref="C65" xr:uid="{2ADEC27D-D11C-4B69-BB71-33337331B6D3}">
      <formula1>0</formula1>
      <formula2>C64</formula2>
    </dataValidation>
    <dataValidation type="decimal" operator="greaterThanOrEqual" allowBlank="1" showInputMessage="1" showErrorMessage="1" error="The 'Lowest salary credit amount' should be less than or equal to the 'Consistent salary credit amount'. Please check your data and try again." sqref="C64" xr:uid="{731F1E12-7F26-4773-A65A-66FD8528FA9C}">
      <formula1>C65</formula1>
    </dataValidation>
  </dataValidations>
  <pageMargins left="0.25" right="0.25" top="0.75" bottom="0.75" header="0.3" footer="0.3"/>
  <pageSetup paperSize="9" scale="4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6704F-DE7E-4189-9B66-585637C2086F}">
  <sheetPr codeName="shSEApplicant">
    <pageSetUpPr fitToPage="1"/>
  </sheetPr>
  <dimension ref="A1:Z87"/>
  <sheetViews>
    <sheetView showGridLines="0" showRowColHeaders="0" zoomScaleNormal="100" workbookViewId="0">
      <selection activeCell="D10" sqref="D10"/>
    </sheetView>
  </sheetViews>
  <sheetFormatPr defaultColWidth="12.81640625" defaultRowHeight="16" customHeight="1" x14ac:dyDescent="0.25"/>
  <cols>
    <col min="1" max="1" width="2.81640625" customWidth="1"/>
    <col min="2" max="2" width="10.7265625" customWidth="1"/>
    <col min="3" max="3" width="29.54296875" customWidth="1"/>
    <col min="4" max="13" width="20" customWidth="1"/>
    <col min="14" max="14" width="2.81640625" customWidth="1"/>
    <col min="15" max="15" width="12.81640625" customWidth="1"/>
    <col min="16" max="16" width="44.1796875" hidden="1" customWidth="1"/>
    <col min="17" max="26" width="12.81640625" hidden="1" customWidth="1"/>
    <col min="27" max="27" width="12.81640625" customWidth="1"/>
  </cols>
  <sheetData>
    <row r="1" spans="1:14" ht="16" customHeight="1" x14ac:dyDescent="0.25">
      <c r="A1" s="25"/>
      <c r="B1" s="25"/>
      <c r="C1" s="25"/>
      <c r="D1" s="25"/>
      <c r="E1" s="25"/>
      <c r="F1" s="25"/>
      <c r="G1" s="25"/>
      <c r="H1" s="25"/>
      <c r="I1" s="25"/>
      <c r="J1" s="25"/>
      <c r="K1" s="25"/>
      <c r="L1" s="25"/>
      <c r="M1" s="25"/>
      <c r="N1" s="25"/>
    </row>
    <row r="2" spans="1:14" ht="16" customHeight="1" x14ac:dyDescent="0.25">
      <c r="A2" s="25"/>
      <c r="B2" s="25"/>
      <c r="C2" s="25"/>
      <c r="D2" s="25"/>
      <c r="E2" s="25"/>
      <c r="F2" s="25"/>
      <c r="G2" s="25"/>
      <c r="H2" s="25"/>
      <c r="I2" s="25"/>
      <c r="J2" s="25"/>
      <c r="K2" s="25"/>
      <c r="L2" s="25"/>
      <c r="M2" s="25"/>
      <c r="N2" s="25"/>
    </row>
    <row r="3" spans="1:14" ht="16" customHeight="1" x14ac:dyDescent="0.25">
      <c r="A3" s="25"/>
      <c r="B3" s="25"/>
      <c r="C3" s="25"/>
      <c r="D3" s="25"/>
      <c r="E3" s="25"/>
      <c r="F3" s="25"/>
      <c r="G3" s="25"/>
      <c r="H3" s="25"/>
      <c r="I3" s="25"/>
      <c r="J3" s="25"/>
      <c r="K3" s="25"/>
      <c r="L3" s="25"/>
      <c r="M3" s="25"/>
      <c r="N3" s="25"/>
    </row>
    <row r="4" spans="1:14" ht="30" customHeight="1" x14ac:dyDescent="0.25">
      <c r="A4" s="89"/>
      <c r="B4" s="369" t="s">
        <v>2243</v>
      </c>
      <c r="C4" s="369"/>
      <c r="D4" s="369"/>
      <c r="E4" s="369"/>
      <c r="F4" s="115"/>
      <c r="G4" s="115"/>
      <c r="H4" s="115"/>
      <c r="I4" s="115"/>
      <c r="J4" s="115"/>
      <c r="K4" s="115"/>
      <c r="L4" s="115"/>
      <c r="M4" s="115"/>
      <c r="N4" s="115"/>
    </row>
    <row r="5" spans="1:14" ht="7.5" customHeight="1" x14ac:dyDescent="0.25">
      <c r="A5" s="89"/>
      <c r="B5" s="327"/>
      <c r="C5" s="328"/>
      <c r="D5" s="328"/>
      <c r="E5" s="329"/>
      <c r="F5" s="327"/>
      <c r="G5" s="327"/>
      <c r="H5" s="327"/>
      <c r="I5" s="327"/>
      <c r="J5" s="327"/>
      <c r="K5" s="327"/>
      <c r="L5" s="331"/>
      <c r="M5" s="331"/>
      <c r="N5" s="25"/>
    </row>
    <row r="6" spans="1:14" ht="22.5" customHeight="1" x14ac:dyDescent="0.25">
      <c r="A6" s="332"/>
      <c r="B6" s="338" t="s">
        <v>2299</v>
      </c>
      <c r="C6" s="333"/>
      <c r="D6" s="333"/>
      <c r="E6" s="334"/>
      <c r="F6" s="335"/>
      <c r="G6" s="335"/>
      <c r="H6" s="335"/>
      <c r="I6" s="335"/>
      <c r="J6" s="335"/>
      <c r="K6" s="335"/>
      <c r="L6" s="337"/>
      <c r="M6" s="337"/>
      <c r="N6" s="596"/>
    </row>
    <row r="7" spans="1:14" ht="7.5" customHeight="1" x14ac:dyDescent="0.4">
      <c r="A7" s="9"/>
      <c r="B7" s="8"/>
      <c r="C7" s="8"/>
      <c r="D7" s="90"/>
      <c r="E7" s="90"/>
      <c r="F7" s="90"/>
      <c r="G7" s="90"/>
      <c r="H7" s="11"/>
      <c r="I7" s="11"/>
      <c r="J7" s="11"/>
      <c r="K7" s="11"/>
      <c r="L7" s="11"/>
      <c r="M7" s="11"/>
      <c r="N7" s="11"/>
    </row>
    <row r="8" spans="1:14" ht="18.75" customHeight="1" x14ac:dyDescent="0.25">
      <c r="A8" s="9"/>
      <c r="B8" s="375" t="s">
        <v>252</v>
      </c>
      <c r="C8" s="97"/>
      <c r="D8" s="1671" t="s">
        <v>33</v>
      </c>
      <c r="E8" s="1672"/>
      <c r="N8" s="597"/>
    </row>
    <row r="9" spans="1:14" ht="7.5" customHeight="1" x14ac:dyDescent="0.25">
      <c r="A9" s="9"/>
    </row>
    <row r="10" spans="1:14" ht="18.75" customHeight="1" x14ac:dyDescent="0.25">
      <c r="A10" s="9"/>
      <c r="B10" s="375" t="s">
        <v>874</v>
      </c>
      <c r="C10" s="97"/>
      <c r="D10" s="1228"/>
      <c r="E10" s="600"/>
      <c r="G10" s="411" t="str">
        <f>IF(SEASpouseIncomeFlag="Yes","Non-applicant spouse self-employed income must use the Fast track assessment type","")</f>
        <v/>
      </c>
      <c r="H10" s="590"/>
      <c r="I10" s="590"/>
      <c r="J10" s="590"/>
      <c r="L10" s="25"/>
      <c r="M10" s="25"/>
      <c r="N10" s="597"/>
    </row>
    <row r="11" spans="1:14" ht="7.5" customHeight="1" x14ac:dyDescent="0.25">
      <c r="A11" s="9"/>
      <c r="B11" s="375"/>
      <c r="C11" s="97"/>
      <c r="D11" s="1128"/>
      <c r="E11" s="600"/>
      <c r="F11" s="25"/>
      <c r="G11" s="25"/>
      <c r="H11" s="25"/>
      <c r="I11" s="25"/>
      <c r="J11" s="25"/>
      <c r="K11" s="25"/>
      <c r="L11" s="25"/>
      <c r="M11" s="25"/>
      <c r="N11" s="597"/>
    </row>
    <row r="12" spans="1:14" ht="18.75" hidden="1" customHeight="1" x14ac:dyDescent="0.3">
      <c r="A12" s="309"/>
      <c r="B12" s="1119" t="s">
        <v>882</v>
      </c>
      <c r="C12" s="306"/>
      <c r="D12" s="309"/>
      <c r="E12" s="309"/>
      <c r="F12" s="309"/>
      <c r="G12" s="309"/>
      <c r="H12" s="309"/>
      <c r="I12" s="309"/>
      <c r="J12" s="309"/>
      <c r="K12" s="309"/>
      <c r="L12" s="309"/>
      <c r="M12" s="309"/>
      <c r="N12" s="309"/>
    </row>
    <row r="13" spans="1:14" ht="3.75" hidden="1" customHeight="1" x14ac:dyDescent="0.25">
      <c r="A13" s="9"/>
      <c r="B13" s="274"/>
      <c r="C13" s="97"/>
      <c r="D13" s="600"/>
      <c r="E13" s="600"/>
      <c r="F13" s="25"/>
      <c r="G13" s="25"/>
      <c r="H13" s="25"/>
      <c r="I13" s="25"/>
      <c r="J13" s="25"/>
      <c r="K13" s="25"/>
      <c r="L13" s="25"/>
      <c r="M13" s="25"/>
      <c r="N13" s="597"/>
    </row>
    <row r="14" spans="1:14" ht="18.75" hidden="1" customHeight="1" x14ac:dyDescent="0.25">
      <c r="A14" s="9"/>
      <c r="B14" s="339"/>
      <c r="C14" s="97"/>
      <c r="D14" s="578" t="s">
        <v>307</v>
      </c>
      <c r="E14" s="578" t="s">
        <v>298</v>
      </c>
      <c r="H14" s="25"/>
      <c r="I14" s="25"/>
      <c r="J14" s="25"/>
      <c r="K14" s="25"/>
      <c r="L14" s="25"/>
      <c r="M14" s="25"/>
      <c r="N14" s="110"/>
    </row>
    <row r="15" spans="1:14" ht="18.75" hidden="1" customHeight="1" x14ac:dyDescent="0.25">
      <c r="A15" s="50"/>
      <c r="B15" s="375" t="s">
        <v>897</v>
      </c>
      <c r="C15" s="323"/>
      <c r="D15" s="113"/>
      <c r="E15" s="109" t="str">
        <f ca="1">IFERROR(VLOOKUP(D15,TaxYearTable[],2,FALSE),"")</f>
        <v/>
      </c>
      <c r="G15" s="411" t="str">
        <f>IF(SEASpouseIncomeFlag="No","If additional information is held for a business, enter the business details below and perform the required 'simple solvency check'.","")</f>
        <v>If additional information is held for a business, enter the business details below and perform the required 'simple solvency check'.</v>
      </c>
      <c r="H15" s="412"/>
      <c r="I15" s="412"/>
      <c r="J15" s="412"/>
      <c r="K15" s="412"/>
      <c r="L15" s="412"/>
    </row>
    <row r="16" spans="1:14" ht="18.75" hidden="1" customHeight="1" x14ac:dyDescent="0.25">
      <c r="A16" s="50"/>
      <c r="B16" s="375" t="s">
        <v>778</v>
      </c>
      <c r="C16" s="323"/>
      <c r="D16" s="1009"/>
      <c r="E16" s="1009"/>
    </row>
    <row r="17" spans="1:17" ht="18.75" hidden="1" customHeight="1" x14ac:dyDescent="0.25">
      <c r="A17" s="50"/>
      <c r="B17" s="375" t="s">
        <v>1609</v>
      </c>
      <c r="C17" s="323"/>
      <c r="D17" s="1009"/>
      <c r="E17" s="1009"/>
      <c r="F17" s="1124" t="s">
        <v>2012</v>
      </c>
      <c r="G17" s="1667" t="str">
        <f>IF(L86&gt;0,"Fast track assessment is not available as one or more associated businesses have failed the simple solvency check." &amp; CHAR(10) &amp; CHAR(10) &amp; "Please use the Fully verified assessment method.","")</f>
        <v/>
      </c>
      <c r="H17" s="1667"/>
      <c r="I17" s="1667"/>
      <c r="J17" s="1667"/>
    </row>
    <row r="18" spans="1:17" ht="18.75" hidden="1" customHeight="1" x14ac:dyDescent="0.25">
      <c r="A18" s="50"/>
      <c r="B18" s="375" t="s">
        <v>780</v>
      </c>
      <c r="C18" s="323"/>
      <c r="D18" s="1010">
        <f>SEATaxableIncomeNoALY-SEACapitalGainsNoALY</f>
        <v>0</v>
      </c>
      <c r="E18" s="1010">
        <f>SEATaxableIncomeNoAPY-SEACapitalGainsNoAPY</f>
        <v>0</v>
      </c>
      <c r="G18" s="1668"/>
      <c r="H18" s="1668"/>
      <c r="I18" s="1668"/>
      <c r="J18" s="1668"/>
    </row>
    <row r="19" spans="1:17" ht="18.75" hidden="1" customHeight="1" x14ac:dyDescent="0.25">
      <c r="A19" s="50"/>
      <c r="B19" s="375" t="s">
        <v>779</v>
      </c>
      <c r="C19" s="325"/>
      <c r="D19" s="1010">
        <f>IF(AND(NOT(ISBLANK(SEAFinancialYearLY)),NOT(ISBLANK(SEATaxableIncomeNoALY)),NOT(ISBLANK(SEATaxableIncomeNoAPY)),L86=0),MIN(SEATotalTaxableIncomeLY,AVERAGE(SEATotalTaxableIncomePY,SEATotalTaxableIncomeLY)),0)</f>
        <v>0</v>
      </c>
      <c r="E19" s="25"/>
      <c r="G19" s="1668"/>
      <c r="H19" s="1668"/>
      <c r="I19" s="1668"/>
      <c r="J19" s="1668"/>
      <c r="N19" s="50"/>
      <c r="O19" s="25"/>
    </row>
    <row r="20" spans="1:17" ht="18.75" hidden="1" customHeight="1" x14ac:dyDescent="0.25">
      <c r="A20" s="50"/>
      <c r="E20" s="25"/>
      <c r="F20" s="463"/>
      <c r="G20" s="1669"/>
      <c r="H20" s="1669"/>
      <c r="I20" s="1669"/>
      <c r="J20" s="1669"/>
      <c r="N20" s="50"/>
      <c r="O20" s="25"/>
    </row>
    <row r="21" spans="1:17" ht="7.5" hidden="1" customHeight="1" x14ac:dyDescent="0.25">
      <c r="A21" s="9"/>
      <c r="B21" s="375"/>
      <c r="C21" s="97"/>
      <c r="D21" s="1128"/>
      <c r="E21" s="600"/>
      <c r="F21" s="25"/>
      <c r="G21" s="25"/>
      <c r="H21" s="25"/>
      <c r="I21" s="25"/>
      <c r="J21" s="25"/>
      <c r="K21" s="25"/>
      <c r="L21" s="25"/>
      <c r="M21" s="25"/>
      <c r="N21" s="597"/>
      <c r="O21" s="598"/>
    </row>
    <row r="22" spans="1:17" ht="18.75" customHeight="1" x14ac:dyDescent="0.3">
      <c r="A22" s="309"/>
      <c r="B22" s="1119" t="s">
        <v>1608</v>
      </c>
      <c r="C22" s="306"/>
      <c r="D22" s="309"/>
      <c r="E22" s="309"/>
      <c r="F22" s="309"/>
      <c r="G22" s="309"/>
      <c r="H22" s="309"/>
      <c r="I22" s="309"/>
      <c r="J22" s="309"/>
      <c r="K22" s="309"/>
      <c r="L22" s="309"/>
      <c r="M22" s="309"/>
      <c r="N22" s="309"/>
      <c r="O22" s="598"/>
    </row>
    <row r="23" spans="1:17" ht="3.75" customHeight="1" x14ac:dyDescent="0.25">
      <c r="A23" s="5"/>
      <c r="B23" s="5"/>
      <c r="C23" s="5"/>
      <c r="D23" s="5"/>
      <c r="E23" s="5"/>
      <c r="F23" s="5"/>
      <c r="G23" s="5"/>
      <c r="H23" s="599"/>
      <c r="I23" s="599"/>
      <c r="J23" s="599"/>
      <c r="K23" s="599"/>
      <c r="L23" s="599"/>
      <c r="M23" s="599"/>
      <c r="N23" s="599"/>
      <c r="O23" s="599"/>
    </row>
    <row r="24" spans="1:17" ht="33" customHeight="1" x14ac:dyDescent="0.25">
      <c r="A24" s="8"/>
      <c r="B24" s="8"/>
      <c r="C24" s="575" t="s">
        <v>886</v>
      </c>
      <c r="D24" s="575" t="s">
        <v>883</v>
      </c>
      <c r="E24" s="575" t="s">
        <v>884</v>
      </c>
      <c r="F24" s="575" t="s">
        <v>885</v>
      </c>
      <c r="G24" s="584" t="s">
        <v>1463</v>
      </c>
      <c r="H24" s="584" t="s">
        <v>1641</v>
      </c>
      <c r="I24" s="584" t="s">
        <v>1642</v>
      </c>
      <c r="J24" s="584" t="s">
        <v>1614</v>
      </c>
      <c r="K24" s="584" t="s">
        <v>1643</v>
      </c>
      <c r="L24" s="584" t="s">
        <v>1788</v>
      </c>
      <c r="M24" s="584" t="s">
        <v>2333</v>
      </c>
      <c r="N24" s="8"/>
      <c r="O24" s="8"/>
    </row>
    <row r="25" spans="1:17" ht="18.75" customHeight="1" x14ac:dyDescent="0.25">
      <c r="A25" s="25"/>
      <c r="B25" s="25"/>
      <c r="C25" s="1315"/>
      <c r="D25" s="585"/>
      <c r="E25" s="585"/>
      <c r="F25" s="1316"/>
      <c r="G25" s="1317"/>
      <c r="H25" s="1317"/>
      <c r="I25" s="1317"/>
      <c r="J25" s="1317"/>
      <c r="K25" s="635"/>
      <c r="L25" s="635"/>
      <c r="M25" s="635"/>
      <c r="N25" s="552"/>
      <c r="O25" s="25"/>
      <c r="P25" s="1226" t="s">
        <v>902</v>
      </c>
      <c r="Q25" s="1227" t="s">
        <v>659</v>
      </c>
    </row>
    <row r="26" spans="1:17" ht="18.75" hidden="1" customHeight="1" x14ac:dyDescent="0.25">
      <c r="A26" s="25"/>
      <c r="B26" s="25"/>
      <c r="C26" s="1315"/>
      <c r="D26" s="585"/>
      <c r="E26" s="585"/>
      <c r="F26" s="1316"/>
      <c r="G26" s="1317"/>
      <c r="H26" s="1317"/>
      <c r="I26" s="1317"/>
      <c r="J26" s="1317"/>
      <c r="K26" s="635"/>
      <c r="L26" s="635"/>
      <c r="M26" s="635"/>
      <c r="N26" s="552"/>
      <c r="O26" s="25"/>
      <c r="P26" s="1226" t="s">
        <v>875</v>
      </c>
      <c r="Q26" s="1227">
        <v>1</v>
      </c>
    </row>
    <row r="27" spans="1:17" ht="18.75" hidden="1" customHeight="1" x14ac:dyDescent="0.25">
      <c r="A27" s="25"/>
      <c r="B27" s="25"/>
      <c r="C27" s="1315"/>
      <c r="D27" s="585"/>
      <c r="E27" s="585"/>
      <c r="F27" s="1316"/>
      <c r="G27" s="1317"/>
      <c r="H27" s="1317"/>
      <c r="I27" s="1317"/>
      <c r="J27" s="1317"/>
      <c r="K27" s="635"/>
      <c r="L27" s="635"/>
      <c r="M27" s="635"/>
      <c r="N27" s="168"/>
      <c r="O27" s="25"/>
      <c r="P27" s="1226" t="s">
        <v>876</v>
      </c>
      <c r="Q27" s="1227" t="s">
        <v>9</v>
      </c>
    </row>
    <row r="28" spans="1:17" ht="18.75" hidden="1" customHeight="1" x14ac:dyDescent="0.25">
      <c r="A28" s="25"/>
      <c r="B28" s="25"/>
      <c r="C28" s="1315"/>
      <c r="D28" s="585"/>
      <c r="E28" s="585"/>
      <c r="F28" s="1316"/>
      <c r="G28" s="1317"/>
      <c r="H28" s="1317"/>
      <c r="I28" s="1317"/>
      <c r="J28" s="1317"/>
      <c r="K28" s="635"/>
      <c r="L28" s="635"/>
      <c r="M28" s="635"/>
      <c r="N28" s="168"/>
      <c r="O28" s="25"/>
      <c r="P28" s="1226" t="s">
        <v>1782</v>
      </c>
      <c r="Q28" s="1227" t="b">
        <f ca="1">IF(COUNTIFS(INDIRECT("SEBBusinessDataTable[SEBAssociatedFlagApp" &amp; SEAApplicantID &amp; "]"),"Yes",SEBBusinessDataTable[SEBAssessmentType],"&lt;&gt;Simple solvency")&gt;0,TRUE,FALSE)</f>
        <v>0</v>
      </c>
    </row>
    <row r="29" spans="1:17" ht="18.75" hidden="1" customHeight="1" x14ac:dyDescent="0.25">
      <c r="A29" s="25"/>
      <c r="B29" s="25"/>
      <c r="C29" s="1315"/>
      <c r="D29" s="585"/>
      <c r="E29" s="585"/>
      <c r="F29" s="1316"/>
      <c r="G29" s="1317"/>
      <c r="H29" s="1317"/>
      <c r="I29" s="1317"/>
      <c r="J29" s="1317"/>
      <c r="K29" s="635"/>
      <c r="L29" s="635"/>
      <c r="M29" s="635"/>
      <c r="N29" s="168"/>
      <c r="O29" s="25"/>
      <c r="P29" s="1226" t="s">
        <v>1783</v>
      </c>
      <c r="Q29" s="1227" t="b">
        <f ca="1">IF(SEASpouseIncomeFlag="No",IF(COUNTIF(INDIRECT("SEBBusinessDataTable[SEBAssociatedFlagApp" &amp; SEAApplicantID &amp; "]"),"Yes")&gt;0,TRUE,FALSE),FALSE)</f>
        <v>0</v>
      </c>
    </row>
    <row r="30" spans="1:17" ht="18.75" hidden="1" customHeight="1" x14ac:dyDescent="0.25">
      <c r="A30" s="25"/>
      <c r="B30" s="25"/>
      <c r="C30" s="1315"/>
      <c r="D30" s="585"/>
      <c r="E30" s="585"/>
      <c r="F30" s="1316"/>
      <c r="G30" s="1317"/>
      <c r="H30" s="1317"/>
      <c r="I30" s="1317"/>
      <c r="J30" s="1317"/>
      <c r="K30" s="635"/>
      <c r="L30" s="635"/>
      <c r="M30" s="635"/>
      <c r="N30" s="168"/>
      <c r="O30" s="25"/>
    </row>
    <row r="31" spans="1:17" ht="18.75" hidden="1" customHeight="1" x14ac:dyDescent="0.25">
      <c r="A31" s="25"/>
      <c r="B31" s="25"/>
      <c r="C31" s="1315"/>
      <c r="D31" s="585"/>
      <c r="E31" s="585"/>
      <c r="F31" s="1316"/>
      <c r="G31" s="1317"/>
      <c r="H31" s="1317"/>
      <c r="I31" s="1317"/>
      <c r="J31" s="1317"/>
      <c r="K31" s="635"/>
      <c r="L31" s="635"/>
      <c r="M31" s="635"/>
      <c r="N31" s="168"/>
      <c r="O31" s="25"/>
    </row>
    <row r="32" spans="1:17" ht="18.75" hidden="1" customHeight="1" x14ac:dyDescent="0.25">
      <c r="A32" s="25"/>
      <c r="B32" s="25"/>
      <c r="C32" s="1315"/>
      <c r="D32" s="585"/>
      <c r="E32" s="585"/>
      <c r="F32" s="1316"/>
      <c r="G32" s="1317"/>
      <c r="H32" s="1317"/>
      <c r="I32" s="1317"/>
      <c r="J32" s="1317"/>
      <c r="K32" s="635"/>
      <c r="L32" s="635"/>
      <c r="M32" s="635"/>
      <c r="N32" s="168"/>
      <c r="O32" s="25"/>
    </row>
    <row r="33" spans="1:14" ht="18.75" hidden="1" customHeight="1" x14ac:dyDescent="0.25">
      <c r="A33" s="25"/>
      <c r="B33" s="25"/>
      <c r="C33" s="1315"/>
      <c r="D33" s="585"/>
      <c r="E33" s="585"/>
      <c r="F33" s="1316"/>
      <c r="G33" s="1317"/>
      <c r="H33" s="1317"/>
      <c r="I33" s="1317"/>
      <c r="J33" s="1317"/>
      <c r="K33" s="635"/>
      <c r="L33" s="635"/>
      <c r="M33" s="635"/>
      <c r="N33" s="168"/>
    </row>
    <row r="34" spans="1:14" ht="18.75" hidden="1" customHeight="1" x14ac:dyDescent="0.25">
      <c r="A34" s="25"/>
      <c r="B34" s="25"/>
      <c r="C34" s="1315"/>
      <c r="D34" s="585"/>
      <c r="E34" s="585"/>
      <c r="F34" s="1316"/>
      <c r="G34" s="1317"/>
      <c r="H34" s="1317"/>
      <c r="I34" s="1317"/>
      <c r="J34" s="1317"/>
      <c r="K34" s="635"/>
      <c r="L34" s="635"/>
      <c r="M34" s="635"/>
      <c r="N34" s="168"/>
    </row>
    <row r="35" spans="1:14" ht="18.75" hidden="1" customHeight="1" x14ac:dyDescent="0.25">
      <c r="A35" s="25"/>
      <c r="B35" s="25"/>
      <c r="C35" s="1315"/>
      <c r="D35" s="585"/>
      <c r="E35" s="585"/>
      <c r="F35" s="1316"/>
      <c r="G35" s="1317"/>
      <c r="H35" s="1317"/>
      <c r="I35" s="1315"/>
      <c r="J35" s="1315"/>
      <c r="K35" s="635"/>
      <c r="L35" s="635"/>
      <c r="M35" s="635"/>
      <c r="N35" s="168"/>
    </row>
    <row r="36" spans="1:14" ht="18.75" hidden="1" customHeight="1" x14ac:dyDescent="0.25">
      <c r="A36" s="25"/>
      <c r="B36" s="25"/>
      <c r="C36" s="1315"/>
      <c r="D36" s="585"/>
      <c r="E36" s="585"/>
      <c r="F36" s="1316"/>
      <c r="G36" s="1317"/>
      <c r="H36" s="1317"/>
      <c r="I36" s="1315"/>
      <c r="J36" s="1315"/>
      <c r="K36" s="635"/>
      <c r="L36" s="635"/>
      <c r="M36" s="635"/>
      <c r="N36" s="168"/>
    </row>
    <row r="37" spans="1:14" ht="18.75" hidden="1" customHeight="1" x14ac:dyDescent="0.25">
      <c r="A37" s="25"/>
      <c r="B37" s="25"/>
      <c r="C37" s="1315"/>
      <c r="D37" s="585"/>
      <c r="E37" s="585"/>
      <c r="F37" s="1316"/>
      <c r="G37" s="1317"/>
      <c r="H37" s="1317"/>
      <c r="I37" s="1315"/>
      <c r="J37" s="1315"/>
      <c r="K37" s="635"/>
      <c r="L37" s="635"/>
      <c r="M37" s="635"/>
      <c r="N37" s="168"/>
    </row>
    <row r="38" spans="1:14" ht="18.75" hidden="1" customHeight="1" x14ac:dyDescent="0.25">
      <c r="A38" s="25"/>
      <c r="B38" s="25"/>
      <c r="C38" s="1315"/>
      <c r="D38" s="585"/>
      <c r="E38" s="585"/>
      <c r="F38" s="1316"/>
      <c r="G38" s="1317"/>
      <c r="H38" s="1317"/>
      <c r="I38" s="1315"/>
      <c r="J38" s="1315"/>
      <c r="K38" s="635"/>
      <c r="L38" s="635"/>
      <c r="M38" s="635"/>
      <c r="N38" s="168"/>
    </row>
    <row r="39" spans="1:14" ht="18.75" hidden="1" customHeight="1" x14ac:dyDescent="0.25">
      <c r="A39" s="25"/>
      <c r="B39" s="25"/>
      <c r="C39" s="1315"/>
      <c r="D39" s="585"/>
      <c r="E39" s="585"/>
      <c r="F39" s="1316"/>
      <c r="G39" s="1317"/>
      <c r="H39" s="1317"/>
      <c r="I39" s="1315"/>
      <c r="J39" s="1315"/>
      <c r="K39" s="635"/>
      <c r="L39" s="635"/>
      <c r="M39" s="635"/>
      <c r="N39" s="168"/>
    </row>
    <row r="40" spans="1:14" ht="18.75" hidden="1" customHeight="1" x14ac:dyDescent="0.25">
      <c r="A40" s="25"/>
      <c r="B40" s="25"/>
      <c r="C40" s="1315"/>
      <c r="D40" s="585"/>
      <c r="E40" s="585"/>
      <c r="F40" s="1316"/>
      <c r="G40" s="1317"/>
      <c r="H40" s="1317"/>
      <c r="I40" s="1315"/>
      <c r="J40" s="1315"/>
      <c r="K40" s="635"/>
      <c r="L40" s="635"/>
      <c r="M40" s="635"/>
      <c r="N40" s="168"/>
    </row>
    <row r="41" spans="1:14" ht="18.75" hidden="1" customHeight="1" x14ac:dyDescent="0.25">
      <c r="A41" s="25"/>
      <c r="B41" s="25"/>
      <c r="C41" s="1315"/>
      <c r="D41" s="585"/>
      <c r="E41" s="585"/>
      <c r="F41" s="1316"/>
      <c r="G41" s="1317"/>
      <c r="H41" s="1317"/>
      <c r="I41" s="1315"/>
      <c r="J41" s="1315"/>
      <c r="K41" s="635"/>
      <c r="L41" s="635"/>
      <c r="M41" s="635"/>
      <c r="N41" s="168"/>
    </row>
    <row r="42" spans="1:14" ht="18.75" hidden="1" customHeight="1" x14ac:dyDescent="0.25">
      <c r="A42" s="25"/>
      <c r="B42" s="25"/>
      <c r="C42" s="1315"/>
      <c r="D42" s="585"/>
      <c r="E42" s="585"/>
      <c r="F42" s="1316"/>
      <c r="G42" s="1317"/>
      <c r="H42" s="1317"/>
      <c r="I42" s="1315"/>
      <c r="J42" s="1315"/>
      <c r="K42" s="635"/>
      <c r="L42" s="635"/>
      <c r="M42" s="635"/>
      <c r="N42" s="168"/>
    </row>
    <row r="43" spans="1:14" ht="18.75" hidden="1" customHeight="1" x14ac:dyDescent="0.25">
      <c r="A43" s="25"/>
      <c r="B43" s="25"/>
      <c r="C43" s="1315"/>
      <c r="D43" s="585"/>
      <c r="E43" s="585"/>
      <c r="F43" s="1316"/>
      <c r="G43" s="1317"/>
      <c r="H43" s="1317"/>
      <c r="I43" s="1315"/>
      <c r="J43" s="1315"/>
      <c r="K43" s="635"/>
      <c r="L43" s="635"/>
      <c r="M43" s="635"/>
      <c r="N43" s="168"/>
    </row>
    <row r="44" spans="1:14" ht="18.75" hidden="1" customHeight="1" x14ac:dyDescent="0.25">
      <c r="A44" s="25"/>
      <c r="B44" s="25"/>
      <c r="C44" s="1315"/>
      <c r="D44" s="585"/>
      <c r="E44" s="585"/>
      <c r="F44" s="1316"/>
      <c r="G44" s="1317"/>
      <c r="H44" s="1317"/>
      <c r="I44" s="1315"/>
      <c r="J44" s="1315"/>
      <c r="K44" s="635"/>
      <c r="L44" s="635"/>
      <c r="M44" s="635"/>
      <c r="N44" s="168"/>
    </row>
    <row r="45" spans="1:14" ht="18.75" hidden="1" customHeight="1" x14ac:dyDescent="0.25">
      <c r="A45" s="25"/>
      <c r="B45" s="25"/>
      <c r="C45" s="1315"/>
      <c r="D45" s="585"/>
      <c r="E45" s="585"/>
      <c r="F45" s="1316"/>
      <c r="G45" s="1317"/>
      <c r="H45" s="1317"/>
      <c r="I45" s="1315"/>
      <c r="J45" s="1315"/>
      <c r="K45" s="635"/>
      <c r="L45" s="635"/>
      <c r="M45" s="635"/>
      <c r="N45" s="168"/>
    </row>
    <row r="46" spans="1:14" ht="18.75" hidden="1" customHeight="1" x14ac:dyDescent="0.25">
      <c r="A46" s="25"/>
      <c r="B46" s="25"/>
      <c r="C46" s="1315"/>
      <c r="D46" s="585"/>
      <c r="E46" s="585"/>
      <c r="F46" s="1316"/>
      <c r="G46" s="1317"/>
      <c r="H46" s="1317"/>
      <c r="I46" s="1315"/>
      <c r="J46" s="1315"/>
      <c r="K46" s="635"/>
      <c r="L46" s="635"/>
      <c r="M46" s="635"/>
      <c r="N46" s="168"/>
    </row>
    <row r="47" spans="1:14" ht="18.75" hidden="1" customHeight="1" x14ac:dyDescent="0.25">
      <c r="A47" s="25"/>
      <c r="B47" s="25"/>
      <c r="C47" s="1315"/>
      <c r="D47" s="585"/>
      <c r="E47" s="585"/>
      <c r="F47" s="1316"/>
      <c r="G47" s="1317"/>
      <c r="H47" s="1317"/>
      <c r="I47" s="1315"/>
      <c r="J47" s="1315"/>
      <c r="K47" s="635"/>
      <c r="L47" s="635"/>
      <c r="M47" s="635"/>
      <c r="N47" s="168"/>
    </row>
    <row r="48" spans="1:14" ht="18.75" hidden="1" customHeight="1" x14ac:dyDescent="0.25">
      <c r="A48" s="25"/>
      <c r="B48" s="25"/>
      <c r="C48" s="1315"/>
      <c r="D48" s="585"/>
      <c r="E48" s="585"/>
      <c r="F48" s="1316"/>
      <c r="G48" s="1317"/>
      <c r="H48" s="1317"/>
      <c r="I48" s="1315"/>
      <c r="J48" s="1315"/>
      <c r="K48" s="635"/>
      <c r="L48" s="635"/>
      <c r="M48" s="635"/>
      <c r="N48" s="168"/>
    </row>
    <row r="49" spans="1:14" ht="18.75" hidden="1" customHeight="1" x14ac:dyDescent="0.25">
      <c r="A49" s="25"/>
      <c r="B49" s="25"/>
      <c r="C49" s="1315"/>
      <c r="D49" s="585"/>
      <c r="E49" s="585"/>
      <c r="F49" s="1316"/>
      <c r="G49" s="1317"/>
      <c r="H49" s="1317"/>
      <c r="I49" s="1315"/>
      <c r="J49" s="1315"/>
      <c r="K49" s="635"/>
      <c r="L49" s="635"/>
      <c r="M49" s="635"/>
      <c r="N49" s="168"/>
    </row>
    <row r="50" spans="1:14" ht="18.75" hidden="1" customHeight="1" x14ac:dyDescent="0.25">
      <c r="A50" s="25"/>
      <c r="B50" s="25"/>
      <c r="C50" s="1315"/>
      <c r="D50" s="585"/>
      <c r="E50" s="585"/>
      <c r="F50" s="1316"/>
      <c r="G50" s="1317"/>
      <c r="H50" s="1317"/>
      <c r="I50" s="1315"/>
      <c r="J50" s="1315"/>
      <c r="K50" s="635"/>
      <c r="L50" s="635"/>
      <c r="M50" s="635"/>
      <c r="N50" s="168"/>
    </row>
    <row r="51" spans="1:14" ht="18.75" hidden="1" customHeight="1" x14ac:dyDescent="0.25">
      <c r="A51" s="25"/>
      <c r="B51" s="25"/>
      <c r="C51" s="1315"/>
      <c r="D51" s="585"/>
      <c r="E51" s="585"/>
      <c r="F51" s="1316"/>
      <c r="G51" s="1317"/>
      <c r="H51" s="1317"/>
      <c r="I51" s="1315"/>
      <c r="J51" s="1315"/>
      <c r="K51" s="635"/>
      <c r="L51" s="635"/>
      <c r="M51" s="635"/>
      <c r="N51" s="168"/>
    </row>
    <row r="52" spans="1:14" ht="18.75" hidden="1" customHeight="1" x14ac:dyDescent="0.25">
      <c r="A52" s="25"/>
      <c r="B52" s="25"/>
      <c r="C52" s="1315"/>
      <c r="D52" s="585"/>
      <c r="E52" s="585"/>
      <c r="F52" s="1316"/>
      <c r="G52" s="1317"/>
      <c r="H52" s="1317"/>
      <c r="I52" s="1315"/>
      <c r="J52" s="1315"/>
      <c r="K52" s="635"/>
      <c r="L52" s="635"/>
      <c r="M52" s="635"/>
      <c r="N52" s="168"/>
    </row>
    <row r="53" spans="1:14" ht="18.75" hidden="1" customHeight="1" x14ac:dyDescent="0.25">
      <c r="A53" s="25"/>
      <c r="B53" s="25"/>
      <c r="C53" s="1315"/>
      <c r="D53" s="585"/>
      <c r="E53" s="585"/>
      <c r="F53" s="1316"/>
      <c r="G53" s="1317"/>
      <c r="H53" s="1317"/>
      <c r="I53" s="1315"/>
      <c r="J53" s="1315"/>
      <c r="K53" s="635"/>
      <c r="L53" s="635"/>
      <c r="M53" s="635"/>
      <c r="N53" s="168"/>
    </row>
    <row r="54" spans="1:14" ht="18.75" hidden="1" customHeight="1" x14ac:dyDescent="0.25">
      <c r="A54" s="25"/>
      <c r="B54" s="25"/>
      <c r="C54" s="1315"/>
      <c r="D54" s="585"/>
      <c r="E54" s="585"/>
      <c r="F54" s="1316"/>
      <c r="G54" s="1317"/>
      <c r="H54" s="1317"/>
      <c r="I54" s="1315"/>
      <c r="J54" s="1315"/>
      <c r="K54" s="635"/>
      <c r="L54" s="635"/>
      <c r="M54" s="635"/>
      <c r="N54" s="168"/>
    </row>
    <row r="55" spans="1:14" ht="18.75" hidden="1" customHeight="1" x14ac:dyDescent="0.25">
      <c r="A55" s="25"/>
      <c r="B55" s="25"/>
      <c r="C55" s="1315"/>
      <c r="D55" s="585"/>
      <c r="E55" s="585"/>
      <c r="F55" s="1316"/>
      <c r="G55" s="1317"/>
      <c r="H55" s="1317"/>
      <c r="I55" s="1315"/>
      <c r="J55" s="1315"/>
      <c r="K55" s="635"/>
      <c r="L55" s="635"/>
      <c r="M55" s="635"/>
      <c r="N55" s="168"/>
    </row>
    <row r="56" spans="1:14" ht="18.75" hidden="1" customHeight="1" x14ac:dyDescent="0.25">
      <c r="A56" s="25"/>
      <c r="B56" s="25"/>
      <c r="C56" s="1315"/>
      <c r="D56" s="585"/>
      <c r="E56" s="585"/>
      <c r="F56" s="1316"/>
      <c r="G56" s="1317"/>
      <c r="H56" s="1317"/>
      <c r="I56" s="1315"/>
      <c r="J56" s="1315"/>
      <c r="K56" s="635"/>
      <c r="L56" s="635"/>
      <c r="M56" s="635"/>
      <c r="N56" s="168"/>
    </row>
    <row r="57" spans="1:14" ht="18.75" hidden="1" customHeight="1" x14ac:dyDescent="0.25">
      <c r="A57" s="25"/>
      <c r="B57" s="25"/>
      <c r="C57" s="1315"/>
      <c r="D57" s="585"/>
      <c r="E57" s="585"/>
      <c r="F57" s="1316"/>
      <c r="G57" s="1317"/>
      <c r="H57" s="1317"/>
      <c r="I57" s="1315"/>
      <c r="J57" s="1315"/>
      <c r="K57" s="635"/>
      <c r="L57" s="635"/>
      <c r="M57" s="635"/>
      <c r="N57" s="168"/>
    </row>
    <row r="58" spans="1:14" ht="18.75" hidden="1" customHeight="1" x14ac:dyDescent="0.25">
      <c r="A58" s="25"/>
      <c r="B58" s="25"/>
      <c r="C58" s="1315"/>
      <c r="D58" s="585"/>
      <c r="E58" s="585"/>
      <c r="F58" s="1316"/>
      <c r="G58" s="1317"/>
      <c r="H58" s="1317"/>
      <c r="I58" s="1315"/>
      <c r="J58" s="1315"/>
      <c r="K58" s="635"/>
      <c r="L58" s="635"/>
      <c r="M58" s="635"/>
      <c r="N58" s="168"/>
    </row>
    <row r="59" spans="1:14" ht="18.75" hidden="1" customHeight="1" x14ac:dyDescent="0.25">
      <c r="A59" s="25"/>
      <c r="B59" s="25"/>
      <c r="C59" s="1315"/>
      <c r="D59" s="585"/>
      <c r="E59" s="585"/>
      <c r="F59" s="1316"/>
      <c r="G59" s="1317"/>
      <c r="H59" s="1317"/>
      <c r="I59" s="1315"/>
      <c r="J59" s="1315"/>
      <c r="K59" s="635"/>
      <c r="L59" s="635"/>
      <c r="M59" s="635"/>
      <c r="N59" s="168"/>
    </row>
    <row r="60" spans="1:14" ht="18.75" hidden="1" customHeight="1" x14ac:dyDescent="0.25">
      <c r="A60" s="25"/>
      <c r="B60" s="25"/>
      <c r="C60" s="1315"/>
      <c r="D60" s="585"/>
      <c r="E60" s="585"/>
      <c r="F60" s="1316"/>
      <c r="G60" s="1317"/>
      <c r="H60" s="1317"/>
      <c r="I60" s="1315"/>
      <c r="J60" s="1315"/>
      <c r="K60" s="635"/>
      <c r="L60" s="635"/>
      <c r="M60" s="635"/>
      <c r="N60" s="168"/>
    </row>
    <row r="61" spans="1:14" ht="18.75" hidden="1" customHeight="1" x14ac:dyDescent="0.25">
      <c r="A61" s="25"/>
      <c r="B61" s="25"/>
      <c r="C61" s="1315"/>
      <c r="D61" s="585"/>
      <c r="E61" s="585"/>
      <c r="F61" s="1316"/>
      <c r="G61" s="1317"/>
      <c r="H61" s="1317"/>
      <c r="I61" s="1315"/>
      <c r="J61" s="1315"/>
      <c r="K61" s="635"/>
      <c r="L61" s="635"/>
      <c r="M61" s="635"/>
      <c r="N61" s="168"/>
    </row>
    <row r="62" spans="1:14" ht="18.75" hidden="1" customHeight="1" x14ac:dyDescent="0.25">
      <c r="A62" s="25"/>
      <c r="B62" s="25"/>
      <c r="C62" s="1315"/>
      <c r="D62" s="585"/>
      <c r="E62" s="585"/>
      <c r="F62" s="1316"/>
      <c r="G62" s="1317"/>
      <c r="H62" s="1317"/>
      <c r="I62" s="1315"/>
      <c r="J62" s="1315"/>
      <c r="K62" s="635"/>
      <c r="L62" s="635"/>
      <c r="M62" s="635"/>
      <c r="N62" s="168"/>
    </row>
    <row r="63" spans="1:14" ht="18.75" hidden="1" customHeight="1" x14ac:dyDescent="0.25">
      <c r="A63" s="25"/>
      <c r="B63" s="25"/>
      <c r="C63" s="1315"/>
      <c r="D63" s="585"/>
      <c r="E63" s="585"/>
      <c r="F63" s="1316"/>
      <c r="G63" s="1317"/>
      <c r="H63" s="1317"/>
      <c r="I63" s="1315"/>
      <c r="J63" s="1315"/>
      <c r="K63" s="635"/>
      <c r="L63" s="635"/>
      <c r="M63" s="635"/>
      <c r="N63" s="168"/>
    </row>
    <row r="64" spans="1:14" ht="18.75" hidden="1" customHeight="1" x14ac:dyDescent="0.25">
      <c r="A64" s="25"/>
      <c r="B64" s="25"/>
      <c r="C64" s="1315"/>
      <c r="D64" s="585"/>
      <c r="E64" s="585"/>
      <c r="F64" s="1316"/>
      <c r="G64" s="1317"/>
      <c r="H64" s="1317"/>
      <c r="I64" s="1315"/>
      <c r="J64" s="1315"/>
      <c r="K64" s="635"/>
      <c r="L64" s="635"/>
      <c r="M64" s="635"/>
      <c r="N64" s="168"/>
    </row>
    <row r="65" spans="1:14" ht="18.75" hidden="1" customHeight="1" x14ac:dyDescent="0.25">
      <c r="A65" s="25"/>
      <c r="B65" s="25"/>
      <c r="C65" s="1315"/>
      <c r="D65" s="585"/>
      <c r="E65" s="585"/>
      <c r="F65" s="1316"/>
      <c r="G65" s="1317"/>
      <c r="H65" s="1317"/>
      <c r="I65" s="1315"/>
      <c r="J65" s="1315"/>
      <c r="K65" s="635"/>
      <c r="L65" s="635"/>
      <c r="M65" s="635"/>
      <c r="N65" s="168"/>
    </row>
    <row r="66" spans="1:14" ht="18.75" hidden="1" customHeight="1" x14ac:dyDescent="0.25">
      <c r="A66" s="25"/>
      <c r="B66" s="25"/>
      <c r="C66" s="1315"/>
      <c r="D66" s="585"/>
      <c r="E66" s="585"/>
      <c r="F66" s="1316"/>
      <c r="G66" s="1317"/>
      <c r="H66" s="1317"/>
      <c r="I66" s="1315"/>
      <c r="J66" s="1315"/>
      <c r="K66" s="635"/>
      <c r="L66" s="635"/>
      <c r="M66" s="635"/>
      <c r="N66" s="168"/>
    </row>
    <row r="67" spans="1:14" ht="18.75" hidden="1" customHeight="1" x14ac:dyDescent="0.25">
      <c r="A67" s="25"/>
      <c r="B67" s="25"/>
      <c r="C67" s="1315"/>
      <c r="D67" s="585"/>
      <c r="E67" s="585"/>
      <c r="F67" s="1316"/>
      <c r="G67" s="1317"/>
      <c r="H67" s="1317"/>
      <c r="I67" s="1315"/>
      <c r="J67" s="1315"/>
      <c r="K67" s="635"/>
      <c r="L67" s="635"/>
      <c r="M67" s="635"/>
      <c r="N67" s="168"/>
    </row>
    <row r="68" spans="1:14" ht="18.75" hidden="1" customHeight="1" x14ac:dyDescent="0.25">
      <c r="A68" s="25"/>
      <c r="B68" s="25"/>
      <c r="C68" s="1315"/>
      <c r="D68" s="585"/>
      <c r="E68" s="585"/>
      <c r="F68" s="1316"/>
      <c r="G68" s="1317"/>
      <c r="H68" s="1317"/>
      <c r="I68" s="1315"/>
      <c r="J68" s="1315"/>
      <c r="K68" s="635"/>
      <c r="L68" s="635"/>
      <c r="M68" s="635"/>
      <c r="N68" s="168"/>
    </row>
    <row r="69" spans="1:14" ht="18.75" hidden="1" customHeight="1" x14ac:dyDescent="0.25">
      <c r="A69" s="25"/>
      <c r="B69" s="25"/>
      <c r="C69" s="1315"/>
      <c r="D69" s="585"/>
      <c r="E69" s="585"/>
      <c r="F69" s="1316"/>
      <c r="G69" s="1317"/>
      <c r="H69" s="1317"/>
      <c r="I69" s="1315"/>
      <c r="J69" s="1315"/>
      <c r="K69" s="635"/>
      <c r="L69" s="635"/>
      <c r="M69" s="635"/>
      <c r="N69" s="168"/>
    </row>
    <row r="70" spans="1:14" ht="18.75" hidden="1" customHeight="1" x14ac:dyDescent="0.25">
      <c r="A70" s="25"/>
      <c r="B70" s="25"/>
      <c r="C70" s="1315"/>
      <c r="D70" s="585"/>
      <c r="E70" s="585"/>
      <c r="F70" s="1316"/>
      <c r="G70" s="1317"/>
      <c r="H70" s="1317"/>
      <c r="I70" s="1315"/>
      <c r="J70" s="1315"/>
      <c r="K70" s="635"/>
      <c r="L70" s="635"/>
      <c r="M70" s="635"/>
      <c r="N70" s="168"/>
    </row>
    <row r="71" spans="1:14" ht="18.75" hidden="1" customHeight="1" x14ac:dyDescent="0.25">
      <c r="A71" s="25"/>
      <c r="B71" s="25"/>
      <c r="C71" s="1315"/>
      <c r="D71" s="585"/>
      <c r="E71" s="585"/>
      <c r="F71" s="1316"/>
      <c r="G71" s="1317"/>
      <c r="H71" s="1317"/>
      <c r="I71" s="1315"/>
      <c r="J71" s="1315"/>
      <c r="K71" s="635"/>
      <c r="L71" s="635"/>
      <c r="M71" s="635"/>
      <c r="N71" s="168"/>
    </row>
    <row r="72" spans="1:14" ht="18.75" hidden="1" customHeight="1" x14ac:dyDescent="0.25">
      <c r="A72" s="25"/>
      <c r="B72" s="25"/>
      <c r="C72" s="1315"/>
      <c r="D72" s="585"/>
      <c r="E72" s="585"/>
      <c r="F72" s="1316"/>
      <c r="G72" s="1317"/>
      <c r="H72" s="1317"/>
      <c r="I72" s="1315"/>
      <c r="J72" s="1315"/>
      <c r="K72" s="635"/>
      <c r="L72" s="635"/>
      <c r="M72" s="635"/>
      <c r="N72" s="168"/>
    </row>
    <row r="73" spans="1:14" ht="18.75" hidden="1" customHeight="1" x14ac:dyDescent="0.25">
      <c r="A73" s="25"/>
      <c r="B73" s="25"/>
      <c r="C73" s="1315"/>
      <c r="D73" s="585"/>
      <c r="E73" s="585"/>
      <c r="F73" s="1316"/>
      <c r="G73" s="1317"/>
      <c r="H73" s="1317"/>
      <c r="I73" s="1315"/>
      <c r="J73" s="1315"/>
      <c r="K73" s="635"/>
      <c r="L73" s="635"/>
      <c r="M73" s="635"/>
      <c r="N73" s="168"/>
    </row>
    <row r="74" spans="1:14" ht="18.75" hidden="1" customHeight="1" x14ac:dyDescent="0.25">
      <c r="A74" s="25"/>
      <c r="B74" s="25"/>
      <c r="C74" s="1315"/>
      <c r="D74" s="585"/>
      <c r="E74" s="585"/>
      <c r="F74" s="1316"/>
      <c r="G74" s="1317"/>
      <c r="H74" s="1317"/>
      <c r="I74" s="1315"/>
      <c r="J74" s="1315"/>
      <c r="K74" s="635"/>
      <c r="L74" s="635"/>
      <c r="M74" s="635"/>
      <c r="N74" s="168"/>
    </row>
    <row r="75" spans="1:14" ht="18.75" hidden="1" customHeight="1" x14ac:dyDescent="0.25">
      <c r="A75" s="25"/>
      <c r="B75" s="25"/>
      <c r="C75" s="1315"/>
      <c r="D75" s="585"/>
      <c r="E75" s="585"/>
      <c r="F75" s="1316"/>
      <c r="G75" s="1317"/>
      <c r="H75" s="1317"/>
      <c r="I75" s="1315"/>
      <c r="J75" s="1315"/>
      <c r="K75" s="635"/>
      <c r="L75" s="635"/>
      <c r="M75" s="635"/>
      <c r="N75" s="168"/>
    </row>
    <row r="76" spans="1:14" ht="18.75" hidden="1" customHeight="1" x14ac:dyDescent="0.25">
      <c r="A76" s="25"/>
      <c r="B76" s="25"/>
      <c r="C76" s="1315"/>
      <c r="D76" s="585"/>
      <c r="E76" s="585"/>
      <c r="F76" s="1316"/>
      <c r="G76" s="1317"/>
      <c r="H76" s="1317"/>
      <c r="I76" s="1315"/>
      <c r="J76" s="1315"/>
      <c r="K76" s="635"/>
      <c r="L76" s="635"/>
      <c r="M76" s="635"/>
      <c r="N76" s="168"/>
    </row>
    <row r="77" spans="1:14" ht="18.75" hidden="1" customHeight="1" x14ac:dyDescent="0.25">
      <c r="A77" s="25"/>
      <c r="B77" s="25"/>
      <c r="C77" s="1315"/>
      <c r="D77" s="585"/>
      <c r="E77" s="585"/>
      <c r="F77" s="1316"/>
      <c r="G77" s="1317"/>
      <c r="H77" s="1317"/>
      <c r="I77" s="1315"/>
      <c r="J77" s="1315"/>
      <c r="K77" s="635"/>
      <c r="L77" s="635"/>
      <c r="M77" s="635"/>
      <c r="N77" s="168"/>
    </row>
    <row r="78" spans="1:14" ht="18.75" hidden="1" customHeight="1" x14ac:dyDescent="0.25">
      <c r="A78" s="25"/>
      <c r="B78" s="25"/>
      <c r="C78" s="1315"/>
      <c r="D78" s="585"/>
      <c r="E78" s="585"/>
      <c r="F78" s="1316"/>
      <c r="G78" s="1317"/>
      <c r="H78" s="1317"/>
      <c r="I78" s="1315"/>
      <c r="J78" s="1315"/>
      <c r="K78" s="635"/>
      <c r="L78" s="635"/>
      <c r="M78" s="635"/>
      <c r="N78" s="168"/>
    </row>
    <row r="79" spans="1:14" ht="18.75" hidden="1" customHeight="1" x14ac:dyDescent="0.25">
      <c r="A79" s="25"/>
      <c r="B79" s="25"/>
      <c r="C79" s="1315"/>
      <c r="D79" s="585"/>
      <c r="E79" s="585"/>
      <c r="F79" s="1316"/>
      <c r="G79" s="1317"/>
      <c r="H79" s="1317"/>
      <c r="I79" s="1315"/>
      <c r="J79" s="1315"/>
      <c r="K79" s="635"/>
      <c r="L79" s="635"/>
      <c r="M79" s="635"/>
      <c r="N79" s="168"/>
    </row>
    <row r="80" spans="1:14" ht="18.75" hidden="1" customHeight="1" x14ac:dyDescent="0.25">
      <c r="A80" s="25"/>
      <c r="B80" s="25"/>
      <c r="C80" s="1315"/>
      <c r="D80" s="585"/>
      <c r="E80" s="585"/>
      <c r="F80" s="1316"/>
      <c r="G80" s="1317"/>
      <c r="H80" s="1317"/>
      <c r="I80" s="1315"/>
      <c r="J80" s="1315"/>
      <c r="K80" s="635"/>
      <c r="L80" s="635"/>
      <c r="M80" s="635"/>
      <c r="N80" s="168"/>
    </row>
    <row r="81" spans="1:14" ht="18.75" hidden="1" customHeight="1" x14ac:dyDescent="0.25">
      <c r="A81" s="25"/>
      <c r="B81" s="25"/>
      <c r="C81" s="1315"/>
      <c r="D81" s="585"/>
      <c r="E81" s="585"/>
      <c r="F81" s="1316"/>
      <c r="G81" s="1317"/>
      <c r="H81" s="1317"/>
      <c r="I81" s="1315"/>
      <c r="J81" s="1315"/>
      <c r="K81" s="635"/>
      <c r="L81" s="635"/>
      <c r="M81" s="635"/>
      <c r="N81" s="168"/>
    </row>
    <row r="82" spans="1:14" ht="18.75" hidden="1" customHeight="1" x14ac:dyDescent="0.25">
      <c r="A82" s="25"/>
      <c r="B82" s="25"/>
      <c r="C82" s="1315"/>
      <c r="D82" s="585"/>
      <c r="E82" s="585"/>
      <c r="F82" s="1316"/>
      <c r="G82" s="1317"/>
      <c r="H82" s="1317"/>
      <c r="I82" s="1315"/>
      <c r="J82" s="1315"/>
      <c r="K82" s="635"/>
      <c r="L82" s="635"/>
      <c r="M82" s="635"/>
      <c r="N82" s="168"/>
    </row>
    <row r="83" spans="1:14" ht="18.75" hidden="1" customHeight="1" x14ac:dyDescent="0.25">
      <c r="A83" s="25"/>
      <c r="B83" s="25"/>
      <c r="C83" s="1315"/>
      <c r="D83" s="585"/>
      <c r="E83" s="585"/>
      <c r="F83" s="1316"/>
      <c r="G83" s="1317"/>
      <c r="H83" s="1317"/>
      <c r="I83" s="1315"/>
      <c r="J83" s="1315"/>
      <c r="K83" s="635"/>
      <c r="L83" s="635"/>
      <c r="M83" s="635"/>
      <c r="N83" s="168"/>
    </row>
    <row r="84" spans="1:14" ht="18.75" hidden="1" customHeight="1" x14ac:dyDescent="0.25">
      <c r="A84" s="25"/>
      <c r="B84" s="25"/>
      <c r="C84" s="1315"/>
      <c r="D84" s="585"/>
      <c r="E84" s="585"/>
      <c r="F84" s="1316"/>
      <c r="G84" s="1317"/>
      <c r="H84" s="1317"/>
      <c r="I84" s="1315"/>
      <c r="J84" s="1315"/>
      <c r="K84" s="635"/>
      <c r="L84" s="635"/>
      <c r="M84" s="635"/>
      <c r="N84" s="168"/>
    </row>
    <row r="85" spans="1:14" ht="3.75" customHeight="1" x14ac:dyDescent="0.25">
      <c r="A85" s="25"/>
      <c r="B85" s="25"/>
      <c r="C85" s="25"/>
      <c r="D85" s="25"/>
      <c r="E85" s="25"/>
      <c r="F85" s="25"/>
      <c r="G85" s="25"/>
      <c r="H85" s="586"/>
      <c r="I85" s="25"/>
      <c r="J85" s="25"/>
      <c r="K85" s="25"/>
      <c r="L85" s="25"/>
      <c r="M85" s="25"/>
      <c r="N85" s="25"/>
    </row>
    <row r="86" spans="1:14" ht="18.75" customHeight="1" x14ac:dyDescent="0.25">
      <c r="A86" s="25"/>
      <c r="B86" s="25"/>
      <c r="C86" s="25"/>
      <c r="D86" s="25"/>
      <c r="E86" s="1123">
        <f t="array" ref="E86">SUM(IF((E25:E34&lt;&gt;"")*(E25:E34&lt;&gt;"Simple solvency"),1/COUNTIFS(E25:E34,E25:E34),0))</f>
        <v>0</v>
      </c>
      <c r="I86" s="25"/>
      <c r="J86" s="25"/>
      <c r="K86" s="25"/>
      <c r="L86" s="552">
        <f>COUNTIF(L25:L34,"Fail")</f>
        <v>0</v>
      </c>
      <c r="M86" s="552"/>
      <c r="N86" s="25"/>
    </row>
    <row r="87" spans="1:14" ht="55.5" customHeight="1" x14ac:dyDescent="0.25">
      <c r="E87" s="1670" t="str">
        <f>IF(E86&gt;1,"Warning: Multiple assessment policy types have been selected across the different associated businesses." &amp; CHAR(10) &amp; "For all self-employed entities that are inter-linked (i.e. income moves from one self-employed entity to another), the income must be assessed using the same assessment policy type." &amp; CHAR(10) &amp; "It is however acceptable to use a different assessment policy type when the entities are completely independent of each other and there is no common flow / source of income.","")</f>
        <v/>
      </c>
      <c r="F87" s="1670"/>
      <c r="G87" s="1670"/>
      <c r="H87" s="1670"/>
      <c r="I87" s="1670"/>
      <c r="J87" s="1670"/>
      <c r="K87" s="1670"/>
      <c r="L87" s="1670"/>
    </row>
  </sheetData>
  <sheetProtection algorithmName="SHA-512" hashValue="ARdS0+RMRc5Tz+XNJa3fROjuCAi34TsijhxIl/sARhp4CxtIxkWXmxp9ITEsFpxkgGP4iV/nrC73NNaKxIKKPg==" saltValue="SgvCaaBtGqfVcdztLtMqhA==" spinCount="100000" sheet="1" objects="1" scenarios="1" selectLockedCells="1"/>
  <dataConsolidate link="1"/>
  <mergeCells count="3">
    <mergeCell ref="G17:J20"/>
    <mergeCell ref="E87:L87"/>
    <mergeCell ref="D8:E8"/>
  </mergeCells>
  <conditionalFormatting sqref="G10:J10">
    <cfRule type="expression" dxfId="200" priority="12">
      <formula>$G$10=""</formula>
    </cfRule>
  </conditionalFormatting>
  <conditionalFormatting sqref="D10">
    <cfRule type="containsBlanks" dxfId="199" priority="4">
      <formula>LEN(TRIM(D10))=0</formula>
    </cfRule>
    <cfRule type="expression" dxfId="198" priority="11">
      <formula>SEASpouseIncomeFlag="Yes"</formula>
    </cfRule>
  </conditionalFormatting>
  <conditionalFormatting sqref="D16:E16 D15">
    <cfRule type="containsBlanks" dxfId="197" priority="10">
      <formula>LEN(TRIM(D15))=0</formula>
    </cfRule>
  </conditionalFormatting>
  <conditionalFormatting sqref="D19">
    <cfRule type="expression" dxfId="196" priority="6">
      <formula>$L$86&gt;0</formula>
    </cfRule>
  </conditionalFormatting>
  <conditionalFormatting sqref="G17:J20">
    <cfRule type="containsBlanks" dxfId="195" priority="5">
      <formula>LEN(TRIM(G17))=0</formula>
    </cfRule>
  </conditionalFormatting>
  <conditionalFormatting sqref="G15:L15">
    <cfRule type="expression" dxfId="194" priority="3">
      <formula>$G$15=""</formula>
    </cfRule>
  </conditionalFormatting>
  <conditionalFormatting sqref="E87:L87">
    <cfRule type="expression" dxfId="193" priority="2">
      <formula>$E$87=""</formula>
    </cfRule>
  </conditionalFormatting>
  <conditionalFormatting sqref="M25:M84">
    <cfRule type="notContainsBlanks" dxfId="192" priority="1">
      <formula>LEN(TRIM(M25))&gt;0</formula>
    </cfRule>
  </conditionalFormatting>
  <dataValidations count="4">
    <dataValidation type="list" allowBlank="1" showInputMessage="1" showErrorMessage="1" sqref="D15" xr:uid="{232884D2-DF30-40CC-8112-E6E4710D622B}">
      <formula1>INDIRECT("TaxYearTable[LatestTaxYear]")</formula1>
    </dataValidation>
    <dataValidation type="list" allowBlank="1" showInputMessage="1" showErrorMessage="1" sqref="D10" xr:uid="{FBBF8655-7EFC-4564-B3B1-A010810BDCE2}">
      <formula1>INDIRECT("SEApplicantAssessmentTypeTable[AssessmentType]")</formula1>
    </dataValidation>
    <dataValidation type="decimal" operator="greaterThanOrEqual" allowBlank="1" showInputMessage="1" showErrorMessage="1" errorTitle="Invalid amount entered" error="Please enter a valid amount greater than or equal to zero." sqref="D16:E17" xr:uid="{6A5BC243-9B11-4D07-98C0-719E18E68BFD}">
      <formula1>0</formula1>
    </dataValidation>
    <dataValidation type="list" allowBlank="1" showInputMessage="1" showErrorMessage="1" sqref="D8:E8" xr:uid="{9472A023-0A14-4CEA-A565-ACF06BC75E47}">
      <formula1>APPAllApplicantNameList</formula1>
    </dataValidation>
  </dataValidations>
  <pageMargins left="0.25" right="0.25" top="0.75" bottom="0.75" header="0.3" footer="0.3"/>
  <pageSetup paperSize="9" scale="41"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033E-D15C-4AAF-A26D-B6F2D1AFBD38}">
  <sheetPr codeName="shSEBusinessSetupAssist"/>
  <dimension ref="A1:Z68"/>
  <sheetViews>
    <sheetView showGridLines="0" showRowColHeaders="0" zoomScaleNormal="100" workbookViewId="0">
      <selection activeCell="C9" sqref="C9"/>
    </sheetView>
  </sheetViews>
  <sheetFormatPr defaultRowHeight="12.75" customHeight="1" x14ac:dyDescent="0.25"/>
  <cols>
    <col min="1" max="1" width="2.81640625" customWidth="1"/>
    <col min="2" max="2" width="28.81640625" customWidth="1"/>
    <col min="3" max="3" width="19.81640625" customWidth="1"/>
    <col min="4" max="5" width="11.453125" customWidth="1"/>
    <col min="6" max="6" width="20.7265625" customWidth="1"/>
    <col min="7" max="7" width="56.453125" customWidth="1"/>
    <col min="8" max="9" width="2.81640625" customWidth="1"/>
    <col min="10" max="10" width="2.81640625" hidden="1" customWidth="1"/>
    <col min="11" max="11" width="9.1796875" hidden="1" customWidth="1"/>
    <col min="12" max="12" width="33.453125" hidden="1" customWidth="1"/>
    <col min="13" max="26" width="9.1796875" hidden="1" customWidth="1"/>
  </cols>
  <sheetData>
    <row r="1" spans="1:13" ht="12.5" x14ac:dyDescent="0.25">
      <c r="A1" s="25"/>
      <c r="B1" s="25"/>
      <c r="C1" s="25"/>
      <c r="D1" s="25"/>
      <c r="E1" s="25"/>
      <c r="F1" s="25"/>
      <c r="G1" s="25"/>
      <c r="H1" s="25"/>
      <c r="I1" s="25"/>
      <c r="J1" s="25"/>
      <c r="K1" s="25"/>
      <c r="L1" s="25"/>
      <c r="M1" s="25"/>
    </row>
    <row r="2" spans="1:13" ht="12.5" x14ac:dyDescent="0.25">
      <c r="A2" s="25"/>
      <c r="B2" s="25"/>
      <c r="C2" s="25"/>
      <c r="D2" s="25"/>
      <c r="E2" s="25"/>
      <c r="F2" s="25"/>
      <c r="G2" s="25"/>
      <c r="H2" s="25"/>
      <c r="I2" s="25"/>
      <c r="J2" s="25"/>
      <c r="K2" s="25"/>
      <c r="L2" s="25"/>
      <c r="M2" s="25"/>
    </row>
    <row r="3" spans="1:13" ht="12.5" x14ac:dyDescent="0.25">
      <c r="A3" s="25"/>
      <c r="B3" s="25"/>
      <c r="C3" s="25"/>
      <c r="D3" s="25"/>
      <c r="E3" s="25"/>
      <c r="F3" s="25"/>
      <c r="G3" s="25"/>
      <c r="H3" s="25"/>
      <c r="I3" s="25"/>
      <c r="J3" s="25"/>
      <c r="K3" s="25"/>
      <c r="L3" s="25"/>
      <c r="M3" s="25"/>
    </row>
    <row r="4" spans="1:13" ht="44.25" customHeight="1" x14ac:dyDescent="0.25">
      <c r="A4" s="25"/>
      <c r="B4" s="369" t="s">
        <v>2298</v>
      </c>
      <c r="C4" s="25"/>
      <c r="D4" s="25"/>
      <c r="E4" s="25"/>
      <c r="F4" s="25"/>
      <c r="G4" s="25"/>
      <c r="H4" s="25"/>
      <c r="I4" s="25"/>
      <c r="J4" s="25"/>
      <c r="K4" s="25"/>
      <c r="L4" s="25"/>
      <c r="M4" s="25"/>
    </row>
    <row r="5" spans="1:13" ht="12.75" customHeight="1" x14ac:dyDescent="0.25">
      <c r="A5" s="25"/>
      <c r="B5" s="25"/>
      <c r="C5" s="25"/>
      <c r="D5" s="25"/>
      <c r="E5" s="25"/>
      <c r="F5" s="25"/>
      <c r="G5" s="25"/>
      <c r="H5" s="25"/>
      <c r="I5" s="25"/>
      <c r="J5" s="25"/>
      <c r="K5" s="25"/>
      <c r="L5" s="25"/>
      <c r="M5" s="25"/>
    </row>
    <row r="6" spans="1:13" ht="22.5" customHeight="1" x14ac:dyDescent="0.25">
      <c r="A6" s="25"/>
      <c r="B6" s="338" t="s">
        <v>2240</v>
      </c>
      <c r="C6" s="332"/>
      <c r="D6" s="332"/>
      <c r="E6" s="332"/>
      <c r="F6" s="332"/>
      <c r="G6" s="332"/>
      <c r="H6" s="332"/>
      <c r="J6" s="25"/>
      <c r="K6" s="25"/>
      <c r="L6" s="619" t="s">
        <v>2242</v>
      </c>
      <c r="M6" s="1224" cm="1">
        <f t="array" ref="M6">MAX(ROW(SEBANewBusinessDataTable[#Data]))-SEBBusinessDataCount</f>
        <v>68</v>
      </c>
    </row>
    <row r="7" spans="1:13" ht="12.5" x14ac:dyDescent="0.25">
      <c r="A7" s="25"/>
      <c r="B7" s="25"/>
      <c r="C7" s="25"/>
      <c r="D7" s="25"/>
      <c r="E7" s="25"/>
      <c r="F7" s="25"/>
      <c r="G7" s="25"/>
      <c r="H7" s="25"/>
      <c r="I7" s="25"/>
      <c r="J7" s="25"/>
      <c r="K7" s="25"/>
      <c r="L7" s="619" t="s">
        <v>811</v>
      </c>
      <c r="M7" s="1224" t="b">
        <f>AND(NOT(ISBLANK(SEBANumberOfBusinesses)),NOT(ISBLANK(SEBAAssessmentType)),M9:M68)</f>
        <v>0</v>
      </c>
    </row>
    <row r="8" spans="1:13" ht="18.75" customHeight="1" x14ac:dyDescent="0.25">
      <c r="A8" s="25"/>
      <c r="B8" s="25"/>
      <c r="C8" s="25"/>
      <c r="D8" s="25"/>
      <c r="E8" s="25"/>
      <c r="F8" s="1222" t="s">
        <v>883</v>
      </c>
      <c r="G8" s="1222" t="s">
        <v>886</v>
      </c>
      <c r="H8" s="25"/>
      <c r="I8" s="25"/>
      <c r="J8" s="25"/>
      <c r="K8" s="25"/>
      <c r="L8" s="25"/>
      <c r="M8" s="25"/>
    </row>
    <row r="9" spans="1:13" ht="18.75" customHeight="1" x14ac:dyDescent="0.25">
      <c r="A9" s="25"/>
      <c r="B9" s="375" t="s">
        <v>2241</v>
      </c>
      <c r="C9" s="465">
        <v>2</v>
      </c>
      <c r="D9" s="25"/>
      <c r="E9" s="25"/>
      <c r="F9" s="1223"/>
      <c r="G9" s="1318"/>
      <c r="H9" s="25"/>
      <c r="I9" s="25"/>
      <c r="J9" s="25"/>
      <c r="K9" s="25"/>
      <c r="L9" s="1224">
        <v>1</v>
      </c>
      <c r="M9" s="1224" t="b">
        <f t="shared" ref="M9:M40" si="0">IF(L9&lt;=SEBANumberOfBusinesses,NOT(ISBLANK(F9)),TRUE)</f>
        <v>0</v>
      </c>
    </row>
    <row r="10" spans="1:13" ht="18.75" customHeight="1" x14ac:dyDescent="0.25">
      <c r="A10" s="25"/>
      <c r="B10" s="375" t="s">
        <v>889</v>
      </c>
      <c r="C10" s="465"/>
      <c r="D10" s="25"/>
      <c r="E10" s="25"/>
      <c r="F10" s="1223"/>
      <c r="G10" s="1318"/>
      <c r="H10" s="25"/>
      <c r="I10" s="25"/>
      <c r="J10" s="25"/>
      <c r="K10" s="25"/>
      <c r="L10" s="1224">
        <v>2</v>
      </c>
      <c r="M10" s="1224" t="b">
        <f t="shared" si="0"/>
        <v>0</v>
      </c>
    </row>
    <row r="11" spans="1:13" ht="18.75" customHeight="1" x14ac:dyDescent="0.25">
      <c r="A11" s="25"/>
      <c r="B11" s="375" t="s">
        <v>1625</v>
      </c>
      <c r="C11" s="113"/>
      <c r="D11" s="25"/>
      <c r="E11" s="25"/>
      <c r="F11" s="1394"/>
      <c r="G11" s="1395"/>
      <c r="H11" s="25"/>
      <c r="I11" s="25"/>
      <c r="J11" s="25"/>
      <c r="K11" s="25"/>
      <c r="L11" s="1224">
        <v>3</v>
      </c>
      <c r="M11" s="1224" t="b">
        <f t="shared" si="0"/>
        <v>1</v>
      </c>
    </row>
    <row r="12" spans="1:13" ht="18.75" customHeight="1" x14ac:dyDescent="0.25">
      <c r="A12" s="25"/>
      <c r="B12" s="25"/>
      <c r="C12" s="25"/>
      <c r="D12" s="25"/>
      <c r="E12" s="25"/>
      <c r="F12" s="1394"/>
      <c r="G12" s="1395"/>
      <c r="H12" s="25"/>
      <c r="I12" s="25"/>
      <c r="J12" s="25"/>
      <c r="K12" s="25"/>
      <c r="L12" s="1224">
        <v>4</v>
      </c>
      <c r="M12" s="1224" t="b">
        <f t="shared" si="0"/>
        <v>1</v>
      </c>
    </row>
    <row r="13" spans="1:13" ht="18.75" customHeight="1" x14ac:dyDescent="0.25">
      <c r="A13" s="25"/>
      <c r="B13" s="25"/>
      <c r="C13" s="25"/>
      <c r="D13" s="25"/>
      <c r="E13" s="25"/>
      <c r="F13" s="1394"/>
      <c r="G13" s="1395"/>
      <c r="H13" s="25"/>
      <c r="I13" s="25"/>
      <c r="J13" s="25"/>
      <c r="K13" s="25"/>
      <c r="L13" s="1224">
        <v>5</v>
      </c>
      <c r="M13" s="1224" t="b">
        <f t="shared" si="0"/>
        <v>1</v>
      </c>
    </row>
    <row r="14" spans="1:13" ht="18.75" customHeight="1" x14ac:dyDescent="0.25">
      <c r="A14" s="25"/>
      <c r="B14" s="25"/>
      <c r="C14" s="25"/>
      <c r="D14" s="25"/>
      <c r="E14" s="25"/>
      <c r="F14" s="1394"/>
      <c r="G14" s="1395"/>
      <c r="H14" s="25"/>
      <c r="I14" s="25"/>
      <c r="J14" s="25"/>
      <c r="K14" s="25"/>
      <c r="L14" s="1224">
        <v>6</v>
      </c>
      <c r="M14" s="1224" t="b">
        <f t="shared" si="0"/>
        <v>1</v>
      </c>
    </row>
    <row r="15" spans="1:13" ht="18.75" customHeight="1" x14ac:dyDescent="0.25">
      <c r="A15" s="25"/>
      <c r="B15" s="25"/>
      <c r="C15" s="25"/>
      <c r="D15" s="25"/>
      <c r="E15" s="25"/>
      <c r="F15" s="1394"/>
      <c r="G15" s="1395"/>
      <c r="H15" s="25"/>
      <c r="I15" s="25"/>
      <c r="J15" s="25"/>
      <c r="K15" s="25"/>
      <c r="L15" s="1224">
        <v>7</v>
      </c>
      <c r="M15" s="1224" t="b">
        <f t="shared" si="0"/>
        <v>1</v>
      </c>
    </row>
    <row r="16" spans="1:13" ht="18.75" customHeight="1" x14ac:dyDescent="0.25">
      <c r="A16" s="25"/>
      <c r="B16" s="25"/>
      <c r="C16" s="25"/>
      <c r="D16" s="25"/>
      <c r="E16" s="25"/>
      <c r="F16" s="1394"/>
      <c r="G16" s="1395"/>
      <c r="H16" s="25"/>
      <c r="I16" s="25"/>
      <c r="J16" s="25"/>
      <c r="K16" s="25"/>
      <c r="L16" s="1224">
        <v>8</v>
      </c>
      <c r="M16" s="1224" t="b">
        <f t="shared" si="0"/>
        <v>1</v>
      </c>
    </row>
    <row r="17" spans="1:13" ht="18.75" customHeight="1" x14ac:dyDescent="0.25">
      <c r="A17" s="25"/>
      <c r="B17" s="25"/>
      <c r="C17" s="25"/>
      <c r="D17" s="25"/>
      <c r="E17" s="25"/>
      <c r="F17" s="1394"/>
      <c r="G17" s="1395"/>
      <c r="H17" s="25"/>
      <c r="I17" s="25"/>
      <c r="J17" s="25"/>
      <c r="K17" s="25"/>
      <c r="L17" s="1224">
        <v>9</v>
      </c>
      <c r="M17" s="1224" t="b">
        <f t="shared" si="0"/>
        <v>1</v>
      </c>
    </row>
    <row r="18" spans="1:13" ht="18.75" customHeight="1" x14ac:dyDescent="0.25">
      <c r="A18" s="25"/>
      <c r="B18" s="25"/>
      <c r="C18" s="25"/>
      <c r="D18" s="25"/>
      <c r="E18" s="25"/>
      <c r="F18" s="1394"/>
      <c r="G18" s="1395"/>
      <c r="H18" s="25"/>
      <c r="I18" s="25"/>
      <c r="J18" s="25"/>
      <c r="K18" s="25"/>
      <c r="L18" s="1224">
        <v>10</v>
      </c>
      <c r="M18" s="1224" t="b">
        <f t="shared" si="0"/>
        <v>1</v>
      </c>
    </row>
    <row r="19" spans="1:13" ht="18.75" customHeight="1" x14ac:dyDescent="0.25">
      <c r="A19" s="25"/>
      <c r="B19" s="25"/>
      <c r="C19" s="25"/>
      <c r="D19" s="25"/>
      <c r="E19" s="25"/>
      <c r="F19" s="1394"/>
      <c r="G19" s="1395"/>
      <c r="H19" s="25"/>
      <c r="I19" s="25"/>
      <c r="J19" s="25"/>
      <c r="K19" s="25"/>
      <c r="L19" s="1224">
        <v>11</v>
      </c>
      <c r="M19" s="1224" t="b">
        <f t="shared" si="0"/>
        <v>1</v>
      </c>
    </row>
    <row r="20" spans="1:13" ht="18.75" customHeight="1" x14ac:dyDescent="0.25">
      <c r="A20" s="25"/>
      <c r="B20" s="25"/>
      <c r="C20" s="25"/>
      <c r="D20" s="25"/>
      <c r="E20" s="25"/>
      <c r="F20" s="1394"/>
      <c r="G20" s="1395"/>
      <c r="H20" s="25"/>
      <c r="I20" s="25"/>
      <c r="J20" s="25"/>
      <c r="K20" s="25"/>
      <c r="L20" s="1224">
        <v>12</v>
      </c>
      <c r="M20" s="1224" t="b">
        <f t="shared" si="0"/>
        <v>1</v>
      </c>
    </row>
    <row r="21" spans="1:13" ht="18.75" customHeight="1" x14ac:dyDescent="0.25">
      <c r="A21" s="25"/>
      <c r="B21" s="25"/>
      <c r="C21" s="25"/>
      <c r="D21" s="25"/>
      <c r="E21" s="25"/>
      <c r="F21" s="1394"/>
      <c r="G21" s="1395"/>
      <c r="H21" s="25"/>
      <c r="I21" s="25"/>
      <c r="J21" s="25"/>
      <c r="K21" s="25"/>
      <c r="L21" s="1224">
        <v>13</v>
      </c>
      <c r="M21" s="1224" t="b">
        <f t="shared" si="0"/>
        <v>1</v>
      </c>
    </row>
    <row r="22" spans="1:13" ht="18.75" customHeight="1" x14ac:dyDescent="0.25">
      <c r="A22" s="25"/>
      <c r="B22" s="25"/>
      <c r="C22" s="25"/>
      <c r="D22" s="25"/>
      <c r="E22" s="25"/>
      <c r="F22" s="1394"/>
      <c r="G22" s="1395"/>
      <c r="H22" s="25"/>
      <c r="I22" s="25"/>
      <c r="J22" s="25"/>
      <c r="K22" s="25"/>
      <c r="L22" s="1224">
        <v>14</v>
      </c>
      <c r="M22" s="1224" t="b">
        <f t="shared" si="0"/>
        <v>1</v>
      </c>
    </row>
    <row r="23" spans="1:13" ht="18.75" customHeight="1" x14ac:dyDescent="0.25">
      <c r="A23" s="25"/>
      <c r="B23" s="25"/>
      <c r="C23" s="25"/>
      <c r="D23" s="25"/>
      <c r="E23" s="25"/>
      <c r="F23" s="1394"/>
      <c r="G23" s="1395"/>
      <c r="H23" s="25"/>
      <c r="I23" s="25"/>
      <c r="J23" s="25"/>
      <c r="K23" s="25"/>
      <c r="L23" s="1224">
        <v>15</v>
      </c>
      <c r="M23" s="1224" t="b">
        <f t="shared" si="0"/>
        <v>1</v>
      </c>
    </row>
    <row r="24" spans="1:13" ht="18.75" customHeight="1" x14ac:dyDescent="0.25">
      <c r="A24" s="25"/>
      <c r="B24" s="25"/>
      <c r="C24" s="25"/>
      <c r="D24" s="25"/>
      <c r="E24" s="25"/>
      <c r="F24" s="1394"/>
      <c r="G24" s="1395"/>
      <c r="H24" s="25"/>
      <c r="I24" s="25"/>
      <c r="J24" s="25"/>
      <c r="K24" s="25"/>
      <c r="L24" s="1224">
        <v>16</v>
      </c>
      <c r="M24" s="1224" t="b">
        <f t="shared" si="0"/>
        <v>1</v>
      </c>
    </row>
    <row r="25" spans="1:13" ht="18.75" customHeight="1" x14ac:dyDescent="0.25">
      <c r="A25" s="25"/>
      <c r="B25" s="25"/>
      <c r="C25" s="25"/>
      <c r="D25" s="25"/>
      <c r="E25" s="25"/>
      <c r="F25" s="1394"/>
      <c r="G25" s="1395"/>
      <c r="H25" s="25"/>
      <c r="I25" s="25"/>
      <c r="J25" s="25"/>
      <c r="K25" s="25"/>
      <c r="L25" s="1224">
        <v>17</v>
      </c>
      <c r="M25" s="1224" t="b">
        <f t="shared" si="0"/>
        <v>1</v>
      </c>
    </row>
    <row r="26" spans="1:13" ht="18.75" customHeight="1" x14ac:dyDescent="0.25">
      <c r="A26" s="25"/>
      <c r="B26" s="25"/>
      <c r="C26" s="25"/>
      <c r="D26" s="25"/>
      <c r="E26" s="25"/>
      <c r="F26" s="1394"/>
      <c r="G26" s="1395"/>
      <c r="H26" s="25"/>
      <c r="I26" s="25"/>
      <c r="J26" s="25"/>
      <c r="K26" s="25"/>
      <c r="L26" s="1224">
        <v>18</v>
      </c>
      <c r="M26" s="1224" t="b">
        <f t="shared" si="0"/>
        <v>1</v>
      </c>
    </row>
    <row r="27" spans="1:13" ht="18.75" customHeight="1" x14ac:dyDescent="0.25">
      <c r="A27" s="25"/>
      <c r="B27" s="25"/>
      <c r="C27" s="25"/>
      <c r="D27" s="25"/>
      <c r="E27" s="25"/>
      <c r="F27" s="1394"/>
      <c r="G27" s="1395"/>
      <c r="H27" s="25"/>
      <c r="I27" s="25"/>
      <c r="J27" s="25"/>
      <c r="K27" s="25"/>
      <c r="L27" s="1224">
        <v>19</v>
      </c>
      <c r="M27" s="1224" t="b">
        <f t="shared" si="0"/>
        <v>1</v>
      </c>
    </row>
    <row r="28" spans="1:13" ht="18.75" customHeight="1" x14ac:dyDescent="0.25">
      <c r="A28" s="25"/>
      <c r="B28" s="25"/>
      <c r="C28" s="25"/>
      <c r="D28" s="25"/>
      <c r="E28" s="25"/>
      <c r="F28" s="1394"/>
      <c r="G28" s="1395"/>
      <c r="H28" s="25"/>
      <c r="I28" s="25"/>
      <c r="J28" s="25"/>
      <c r="K28" s="25"/>
      <c r="L28" s="1224">
        <v>20</v>
      </c>
      <c r="M28" s="1224" t="b">
        <f t="shared" si="0"/>
        <v>1</v>
      </c>
    </row>
    <row r="29" spans="1:13" ht="18.75" customHeight="1" x14ac:dyDescent="0.25">
      <c r="A29" s="25"/>
      <c r="B29" s="25"/>
      <c r="C29" s="25"/>
      <c r="D29" s="25"/>
      <c r="E29" s="25"/>
      <c r="F29" s="1394"/>
      <c r="G29" s="1395"/>
      <c r="H29" s="25"/>
      <c r="I29" s="25"/>
      <c r="J29" s="25"/>
      <c r="K29" s="25"/>
      <c r="L29" s="1224">
        <v>21</v>
      </c>
      <c r="M29" s="1224" t="b">
        <f t="shared" si="0"/>
        <v>1</v>
      </c>
    </row>
    <row r="30" spans="1:13" ht="18.75" customHeight="1" x14ac:dyDescent="0.25">
      <c r="A30" s="25"/>
      <c r="B30" s="25"/>
      <c r="C30" s="25"/>
      <c r="D30" s="25"/>
      <c r="E30" s="25"/>
      <c r="F30" s="1394"/>
      <c r="G30" s="1395"/>
      <c r="H30" s="25"/>
      <c r="I30" s="25"/>
      <c r="J30" s="25"/>
      <c r="K30" s="25"/>
      <c r="L30" s="1224">
        <v>22</v>
      </c>
      <c r="M30" s="1224" t="b">
        <f t="shared" si="0"/>
        <v>1</v>
      </c>
    </row>
    <row r="31" spans="1:13" ht="18.75" customHeight="1" x14ac:dyDescent="0.25">
      <c r="A31" s="25"/>
      <c r="B31" s="25"/>
      <c r="C31" s="25"/>
      <c r="D31" s="25"/>
      <c r="E31" s="25"/>
      <c r="F31" s="1394"/>
      <c r="G31" s="1395"/>
      <c r="H31" s="25"/>
      <c r="I31" s="25"/>
      <c r="J31" s="25"/>
      <c r="K31" s="25"/>
      <c r="L31" s="1224">
        <v>23</v>
      </c>
      <c r="M31" s="1224" t="b">
        <f t="shared" si="0"/>
        <v>1</v>
      </c>
    </row>
    <row r="32" spans="1:13" ht="18.75" customHeight="1" x14ac:dyDescent="0.25">
      <c r="A32" s="25"/>
      <c r="B32" s="25"/>
      <c r="C32" s="25"/>
      <c r="D32" s="25"/>
      <c r="E32" s="25"/>
      <c r="F32" s="1394"/>
      <c r="G32" s="1395"/>
      <c r="H32" s="25"/>
      <c r="I32" s="25"/>
      <c r="J32" s="25"/>
      <c r="K32" s="25"/>
      <c r="L32" s="1224">
        <v>24</v>
      </c>
      <c r="M32" s="1224" t="b">
        <f t="shared" si="0"/>
        <v>1</v>
      </c>
    </row>
    <row r="33" spans="1:13" ht="18.75" customHeight="1" x14ac:dyDescent="0.25">
      <c r="A33" s="25"/>
      <c r="B33" s="25"/>
      <c r="C33" s="25"/>
      <c r="D33" s="25"/>
      <c r="E33" s="25"/>
      <c r="F33" s="1394"/>
      <c r="G33" s="1395"/>
      <c r="H33" s="25"/>
      <c r="I33" s="25"/>
      <c r="J33" s="25"/>
      <c r="K33" s="25"/>
      <c r="L33" s="1224">
        <v>25</v>
      </c>
      <c r="M33" s="1224" t="b">
        <f t="shared" si="0"/>
        <v>1</v>
      </c>
    </row>
    <row r="34" spans="1:13" ht="18.75" customHeight="1" x14ac:dyDescent="0.25">
      <c r="A34" s="25"/>
      <c r="B34" s="25"/>
      <c r="C34" s="25"/>
      <c r="D34" s="25"/>
      <c r="E34" s="25"/>
      <c r="F34" s="1394"/>
      <c r="G34" s="1395"/>
      <c r="H34" s="25"/>
      <c r="I34" s="25"/>
      <c r="J34" s="25"/>
      <c r="K34" s="25"/>
      <c r="L34" s="1224">
        <v>26</v>
      </c>
      <c r="M34" s="1224" t="b">
        <f t="shared" si="0"/>
        <v>1</v>
      </c>
    </row>
    <row r="35" spans="1:13" ht="18.75" customHeight="1" x14ac:dyDescent="0.25">
      <c r="A35" s="25"/>
      <c r="B35" s="25"/>
      <c r="C35" s="25"/>
      <c r="D35" s="25"/>
      <c r="E35" s="25"/>
      <c r="F35" s="1394"/>
      <c r="G35" s="1395"/>
      <c r="H35" s="25"/>
      <c r="I35" s="25"/>
      <c r="J35" s="25"/>
      <c r="K35" s="25"/>
      <c r="L35" s="1224">
        <v>27</v>
      </c>
      <c r="M35" s="1224" t="b">
        <f t="shared" si="0"/>
        <v>1</v>
      </c>
    </row>
    <row r="36" spans="1:13" ht="18.75" customHeight="1" x14ac:dyDescent="0.25">
      <c r="A36" s="25"/>
      <c r="B36" s="25"/>
      <c r="C36" s="25"/>
      <c r="D36" s="25"/>
      <c r="E36" s="25"/>
      <c r="F36" s="1394"/>
      <c r="G36" s="1395"/>
      <c r="H36" s="25"/>
      <c r="I36" s="25"/>
      <c r="J36" s="25"/>
      <c r="K36" s="25"/>
      <c r="L36" s="1224">
        <v>28</v>
      </c>
      <c r="M36" s="1224" t="b">
        <f t="shared" si="0"/>
        <v>1</v>
      </c>
    </row>
    <row r="37" spans="1:13" ht="18.75" customHeight="1" x14ac:dyDescent="0.25">
      <c r="A37" s="25"/>
      <c r="B37" s="25"/>
      <c r="C37" s="25"/>
      <c r="D37" s="25"/>
      <c r="E37" s="25"/>
      <c r="F37" s="1394"/>
      <c r="G37" s="1395"/>
      <c r="H37" s="25"/>
      <c r="I37" s="25"/>
      <c r="J37" s="25"/>
      <c r="K37" s="25"/>
      <c r="L37" s="1224">
        <v>29</v>
      </c>
      <c r="M37" s="1224" t="b">
        <f t="shared" si="0"/>
        <v>1</v>
      </c>
    </row>
    <row r="38" spans="1:13" ht="18.75" customHeight="1" x14ac:dyDescent="0.25">
      <c r="A38" s="25"/>
      <c r="B38" s="25"/>
      <c r="C38" s="25"/>
      <c r="D38" s="25"/>
      <c r="E38" s="25"/>
      <c r="F38" s="1394"/>
      <c r="G38" s="1395"/>
      <c r="H38" s="25"/>
      <c r="I38" s="25"/>
      <c r="J38" s="25"/>
      <c r="K38" s="25"/>
      <c r="L38" s="1224">
        <v>30</v>
      </c>
      <c r="M38" s="1224" t="b">
        <f t="shared" si="0"/>
        <v>1</v>
      </c>
    </row>
    <row r="39" spans="1:13" ht="18.75" customHeight="1" x14ac:dyDescent="0.25">
      <c r="A39" s="25"/>
      <c r="B39" s="25"/>
      <c r="C39" s="25"/>
      <c r="D39" s="25"/>
      <c r="E39" s="25"/>
      <c r="F39" s="1394"/>
      <c r="G39" s="1395"/>
      <c r="H39" s="25"/>
      <c r="I39" s="25"/>
      <c r="J39" s="25"/>
      <c r="K39" s="25"/>
      <c r="L39" s="1224">
        <v>31</v>
      </c>
      <c r="M39" s="1224" t="b">
        <f t="shared" si="0"/>
        <v>1</v>
      </c>
    </row>
    <row r="40" spans="1:13" ht="18.75" customHeight="1" x14ac:dyDescent="0.25">
      <c r="A40" s="25"/>
      <c r="B40" s="25"/>
      <c r="C40" s="25"/>
      <c r="D40" s="25"/>
      <c r="E40" s="25"/>
      <c r="F40" s="1394"/>
      <c r="G40" s="1395"/>
      <c r="H40" s="25"/>
      <c r="I40" s="25"/>
      <c r="J40" s="25"/>
      <c r="K40" s="25"/>
      <c r="L40" s="1224">
        <v>32</v>
      </c>
      <c r="M40" s="1224" t="b">
        <f t="shared" si="0"/>
        <v>1</v>
      </c>
    </row>
    <row r="41" spans="1:13" ht="18.75" customHeight="1" x14ac:dyDescent="0.25">
      <c r="A41" s="25"/>
      <c r="B41" s="25"/>
      <c r="C41" s="25"/>
      <c r="D41" s="25"/>
      <c r="E41" s="25"/>
      <c r="F41" s="1394"/>
      <c r="G41" s="1395"/>
      <c r="H41" s="25"/>
      <c r="I41" s="25"/>
      <c r="J41" s="25"/>
      <c r="K41" s="25"/>
      <c r="L41" s="1224">
        <v>33</v>
      </c>
      <c r="M41" s="1224" t="b">
        <f t="shared" ref="M41:M68" si="1">IF(L41&lt;=SEBANumberOfBusinesses,NOT(ISBLANK(F41)),TRUE)</f>
        <v>1</v>
      </c>
    </row>
    <row r="42" spans="1:13" ht="18.75" customHeight="1" x14ac:dyDescent="0.25">
      <c r="A42" s="25"/>
      <c r="B42" s="25"/>
      <c r="C42" s="25"/>
      <c r="D42" s="25"/>
      <c r="E42" s="25"/>
      <c r="F42" s="1394"/>
      <c r="G42" s="1395"/>
      <c r="H42" s="25"/>
      <c r="I42" s="25"/>
      <c r="J42" s="25"/>
      <c r="K42" s="25"/>
      <c r="L42" s="1224">
        <v>34</v>
      </c>
      <c r="M42" s="1224" t="b">
        <f t="shared" si="1"/>
        <v>1</v>
      </c>
    </row>
    <row r="43" spans="1:13" ht="18.75" customHeight="1" x14ac:dyDescent="0.25">
      <c r="A43" s="25"/>
      <c r="B43" s="25"/>
      <c r="C43" s="25"/>
      <c r="D43" s="25"/>
      <c r="E43" s="25"/>
      <c r="F43" s="1394"/>
      <c r="G43" s="1395"/>
      <c r="H43" s="25"/>
      <c r="I43" s="25"/>
      <c r="J43" s="25"/>
      <c r="K43" s="25"/>
      <c r="L43" s="1224">
        <v>35</v>
      </c>
      <c r="M43" s="1224" t="b">
        <f t="shared" si="1"/>
        <v>1</v>
      </c>
    </row>
    <row r="44" spans="1:13" ht="18.75" customHeight="1" x14ac:dyDescent="0.25">
      <c r="A44" s="25"/>
      <c r="B44" s="25"/>
      <c r="C44" s="25"/>
      <c r="D44" s="25"/>
      <c r="E44" s="25"/>
      <c r="F44" s="1394"/>
      <c r="G44" s="1395"/>
      <c r="H44" s="25"/>
      <c r="I44" s="25"/>
      <c r="J44" s="25"/>
      <c r="K44" s="25"/>
      <c r="L44" s="1224">
        <v>36</v>
      </c>
      <c r="M44" s="1224" t="b">
        <f t="shared" si="1"/>
        <v>1</v>
      </c>
    </row>
    <row r="45" spans="1:13" ht="18.75" customHeight="1" x14ac:dyDescent="0.25">
      <c r="A45" s="25"/>
      <c r="B45" s="25"/>
      <c r="C45" s="25"/>
      <c r="D45" s="25"/>
      <c r="E45" s="25"/>
      <c r="F45" s="1394"/>
      <c r="G45" s="1395"/>
      <c r="H45" s="25"/>
      <c r="I45" s="25"/>
      <c r="J45" s="25"/>
      <c r="K45" s="25"/>
      <c r="L45" s="1224">
        <v>37</v>
      </c>
      <c r="M45" s="1224" t="b">
        <f t="shared" si="1"/>
        <v>1</v>
      </c>
    </row>
    <row r="46" spans="1:13" ht="18.75" customHeight="1" x14ac:dyDescent="0.25">
      <c r="A46" s="25"/>
      <c r="B46" s="25"/>
      <c r="C46" s="25"/>
      <c r="D46" s="25"/>
      <c r="E46" s="25"/>
      <c r="F46" s="1394"/>
      <c r="G46" s="1395"/>
      <c r="H46" s="25"/>
      <c r="I46" s="25"/>
      <c r="J46" s="25"/>
      <c r="K46" s="25"/>
      <c r="L46" s="1224">
        <v>38</v>
      </c>
      <c r="M46" s="1224" t="b">
        <f t="shared" si="1"/>
        <v>1</v>
      </c>
    </row>
    <row r="47" spans="1:13" ht="18.75" customHeight="1" x14ac:dyDescent="0.25">
      <c r="A47" s="25"/>
      <c r="B47" s="25"/>
      <c r="C47" s="25"/>
      <c r="D47" s="25"/>
      <c r="E47" s="25"/>
      <c r="F47" s="1394"/>
      <c r="G47" s="1395"/>
      <c r="H47" s="25"/>
      <c r="I47" s="25"/>
      <c r="J47" s="25"/>
      <c r="K47" s="25"/>
      <c r="L47" s="1224">
        <v>39</v>
      </c>
      <c r="M47" s="1224" t="b">
        <f t="shared" si="1"/>
        <v>1</v>
      </c>
    </row>
    <row r="48" spans="1:13" ht="18.75" customHeight="1" x14ac:dyDescent="0.25">
      <c r="A48" s="25"/>
      <c r="B48" s="25"/>
      <c r="C48" s="25"/>
      <c r="D48" s="25"/>
      <c r="E48" s="25"/>
      <c r="F48" s="1394"/>
      <c r="G48" s="1395"/>
      <c r="H48" s="25"/>
      <c r="I48" s="25"/>
      <c r="J48" s="25"/>
      <c r="K48" s="25"/>
      <c r="L48" s="1224">
        <v>40</v>
      </c>
      <c r="M48" s="1224" t="b">
        <f t="shared" si="1"/>
        <v>1</v>
      </c>
    </row>
    <row r="49" spans="1:13" ht="18.75" customHeight="1" x14ac:dyDescent="0.25">
      <c r="A49" s="25"/>
      <c r="B49" s="25"/>
      <c r="C49" s="25"/>
      <c r="D49" s="25"/>
      <c r="E49" s="25"/>
      <c r="F49" s="1394"/>
      <c r="G49" s="1395"/>
      <c r="H49" s="25"/>
      <c r="I49" s="25"/>
      <c r="J49" s="25"/>
      <c r="K49" s="25"/>
      <c r="L49" s="1224">
        <v>41</v>
      </c>
      <c r="M49" s="1224" t="b">
        <f t="shared" si="1"/>
        <v>1</v>
      </c>
    </row>
    <row r="50" spans="1:13" ht="18.75" customHeight="1" x14ac:dyDescent="0.25">
      <c r="A50" s="25"/>
      <c r="B50" s="25"/>
      <c r="C50" s="25"/>
      <c r="D50" s="25"/>
      <c r="E50" s="25"/>
      <c r="F50" s="1394"/>
      <c r="G50" s="1395"/>
      <c r="H50" s="25"/>
      <c r="I50" s="25"/>
      <c r="J50" s="25"/>
      <c r="K50" s="25"/>
      <c r="L50" s="1224">
        <v>42</v>
      </c>
      <c r="M50" s="1224" t="b">
        <f t="shared" si="1"/>
        <v>1</v>
      </c>
    </row>
    <row r="51" spans="1:13" ht="18.75" customHeight="1" x14ac:dyDescent="0.25">
      <c r="A51" s="25"/>
      <c r="B51" s="25"/>
      <c r="C51" s="25"/>
      <c r="D51" s="25"/>
      <c r="E51" s="25"/>
      <c r="F51" s="1394"/>
      <c r="G51" s="1395"/>
      <c r="H51" s="25"/>
      <c r="I51" s="25"/>
      <c r="J51" s="25"/>
      <c r="K51" s="25"/>
      <c r="L51" s="1224">
        <v>43</v>
      </c>
      <c r="M51" s="1224" t="b">
        <f t="shared" si="1"/>
        <v>1</v>
      </c>
    </row>
    <row r="52" spans="1:13" ht="18.75" customHeight="1" x14ac:dyDescent="0.25">
      <c r="A52" s="25"/>
      <c r="B52" s="25"/>
      <c r="C52" s="25"/>
      <c r="D52" s="25"/>
      <c r="E52" s="25"/>
      <c r="F52" s="1394"/>
      <c r="G52" s="1395"/>
      <c r="H52" s="25"/>
      <c r="I52" s="25"/>
      <c r="J52" s="25"/>
      <c r="K52" s="25"/>
      <c r="L52" s="1224">
        <v>44</v>
      </c>
      <c r="M52" s="1224" t="b">
        <f t="shared" si="1"/>
        <v>1</v>
      </c>
    </row>
    <row r="53" spans="1:13" ht="18.75" customHeight="1" x14ac:dyDescent="0.25">
      <c r="A53" s="25"/>
      <c r="B53" s="25"/>
      <c r="C53" s="25"/>
      <c r="D53" s="25"/>
      <c r="E53" s="25"/>
      <c r="F53" s="1394"/>
      <c r="G53" s="1395"/>
      <c r="H53" s="25"/>
      <c r="I53" s="25"/>
      <c r="J53" s="25"/>
      <c r="K53" s="25"/>
      <c r="L53" s="1224">
        <v>45</v>
      </c>
      <c r="M53" s="1224" t="b">
        <f t="shared" si="1"/>
        <v>1</v>
      </c>
    </row>
    <row r="54" spans="1:13" ht="18.75" customHeight="1" x14ac:dyDescent="0.25">
      <c r="A54" s="25"/>
      <c r="B54" s="25"/>
      <c r="C54" s="25"/>
      <c r="D54" s="25"/>
      <c r="E54" s="25"/>
      <c r="F54" s="1394"/>
      <c r="G54" s="1395"/>
      <c r="H54" s="25"/>
      <c r="I54" s="25"/>
      <c r="J54" s="25"/>
      <c r="K54" s="25"/>
      <c r="L54" s="1224">
        <v>46</v>
      </c>
      <c r="M54" s="1224" t="b">
        <f t="shared" si="1"/>
        <v>1</v>
      </c>
    </row>
    <row r="55" spans="1:13" ht="18.75" customHeight="1" x14ac:dyDescent="0.25">
      <c r="A55" s="25"/>
      <c r="B55" s="25"/>
      <c r="C55" s="25"/>
      <c r="D55" s="25"/>
      <c r="E55" s="25"/>
      <c r="F55" s="1394"/>
      <c r="G55" s="1395"/>
      <c r="H55" s="25"/>
      <c r="I55" s="25"/>
      <c r="J55" s="25"/>
      <c r="K55" s="25"/>
      <c r="L55" s="1224">
        <v>47</v>
      </c>
      <c r="M55" s="1224" t="b">
        <f t="shared" si="1"/>
        <v>1</v>
      </c>
    </row>
    <row r="56" spans="1:13" ht="18.75" customHeight="1" x14ac:dyDescent="0.25">
      <c r="A56" s="25"/>
      <c r="B56" s="25"/>
      <c r="C56" s="25"/>
      <c r="D56" s="25"/>
      <c r="E56" s="25"/>
      <c r="F56" s="1394"/>
      <c r="G56" s="1395"/>
      <c r="H56" s="25"/>
      <c r="I56" s="25"/>
      <c r="J56" s="25"/>
      <c r="K56" s="25"/>
      <c r="L56" s="1224">
        <v>48</v>
      </c>
      <c r="M56" s="1224" t="b">
        <f t="shared" si="1"/>
        <v>1</v>
      </c>
    </row>
    <row r="57" spans="1:13" ht="18.75" customHeight="1" x14ac:dyDescent="0.25">
      <c r="A57" s="25"/>
      <c r="B57" s="25"/>
      <c r="C57" s="25"/>
      <c r="D57" s="25"/>
      <c r="E57" s="25"/>
      <c r="F57" s="1394"/>
      <c r="G57" s="1395"/>
      <c r="H57" s="25"/>
      <c r="I57" s="25"/>
      <c r="J57" s="25"/>
      <c r="K57" s="25"/>
      <c r="L57" s="1224">
        <v>49</v>
      </c>
      <c r="M57" s="1224" t="b">
        <f t="shared" si="1"/>
        <v>1</v>
      </c>
    </row>
    <row r="58" spans="1:13" ht="18.75" customHeight="1" x14ac:dyDescent="0.25">
      <c r="A58" s="25"/>
      <c r="B58" s="25"/>
      <c r="C58" s="25"/>
      <c r="D58" s="25"/>
      <c r="E58" s="25"/>
      <c r="F58" s="1394"/>
      <c r="G58" s="1395"/>
      <c r="H58" s="25"/>
      <c r="I58" s="25"/>
      <c r="J58" s="25"/>
      <c r="K58" s="25"/>
      <c r="L58" s="1224">
        <v>50</v>
      </c>
      <c r="M58" s="1224" t="b">
        <f t="shared" si="1"/>
        <v>1</v>
      </c>
    </row>
    <row r="59" spans="1:13" ht="18.75" customHeight="1" x14ac:dyDescent="0.25">
      <c r="A59" s="25"/>
      <c r="B59" s="25"/>
      <c r="C59" s="25"/>
      <c r="D59" s="25"/>
      <c r="E59" s="25"/>
      <c r="F59" s="1394"/>
      <c r="G59" s="1395"/>
      <c r="H59" s="25"/>
      <c r="I59" s="25"/>
      <c r="J59" s="25"/>
      <c r="K59" s="25"/>
      <c r="L59" s="1224">
        <v>51</v>
      </c>
      <c r="M59" s="1224" t="b">
        <f t="shared" si="1"/>
        <v>1</v>
      </c>
    </row>
    <row r="60" spans="1:13" ht="18.75" customHeight="1" x14ac:dyDescent="0.25">
      <c r="A60" s="25"/>
      <c r="B60" s="25"/>
      <c r="C60" s="25"/>
      <c r="D60" s="25"/>
      <c r="E60" s="25"/>
      <c r="F60" s="1394"/>
      <c r="G60" s="1395"/>
      <c r="H60" s="25"/>
      <c r="I60" s="25"/>
      <c r="J60" s="25"/>
      <c r="K60" s="25"/>
      <c r="L60" s="1224">
        <v>52</v>
      </c>
      <c r="M60" s="1224" t="b">
        <f t="shared" si="1"/>
        <v>1</v>
      </c>
    </row>
    <row r="61" spans="1:13" ht="18.75" customHeight="1" x14ac:dyDescent="0.25">
      <c r="A61" s="25"/>
      <c r="B61" s="25"/>
      <c r="C61" s="25"/>
      <c r="D61" s="25"/>
      <c r="E61" s="25"/>
      <c r="F61" s="1394"/>
      <c r="G61" s="1395"/>
      <c r="H61" s="25"/>
      <c r="I61" s="25"/>
      <c r="J61" s="25"/>
      <c r="K61" s="25"/>
      <c r="L61" s="1224">
        <v>53</v>
      </c>
      <c r="M61" s="1224" t="b">
        <f t="shared" si="1"/>
        <v>1</v>
      </c>
    </row>
    <row r="62" spans="1:13" ht="18.75" customHeight="1" x14ac:dyDescent="0.25">
      <c r="A62" s="25"/>
      <c r="B62" s="25"/>
      <c r="C62" s="25"/>
      <c r="D62" s="25"/>
      <c r="E62" s="25"/>
      <c r="F62" s="1394"/>
      <c r="G62" s="1395"/>
      <c r="H62" s="25"/>
      <c r="I62" s="25"/>
      <c r="J62" s="25"/>
      <c r="K62" s="25"/>
      <c r="L62" s="1224">
        <v>54</v>
      </c>
      <c r="M62" s="1224" t="b">
        <f t="shared" si="1"/>
        <v>1</v>
      </c>
    </row>
    <row r="63" spans="1:13" ht="18.75" customHeight="1" x14ac:dyDescent="0.25">
      <c r="A63" s="25"/>
      <c r="B63" s="25"/>
      <c r="C63" s="25"/>
      <c r="D63" s="25"/>
      <c r="E63" s="25"/>
      <c r="F63" s="1394"/>
      <c r="G63" s="1395"/>
      <c r="H63" s="25"/>
      <c r="I63" s="25"/>
      <c r="J63" s="25"/>
      <c r="K63" s="25"/>
      <c r="L63" s="1224">
        <v>55</v>
      </c>
      <c r="M63" s="1224" t="b">
        <f t="shared" si="1"/>
        <v>1</v>
      </c>
    </row>
    <row r="64" spans="1:13" ht="18.75" customHeight="1" x14ac:dyDescent="0.25">
      <c r="A64" s="25"/>
      <c r="B64" s="25"/>
      <c r="C64" s="25"/>
      <c r="D64" s="25"/>
      <c r="E64" s="25"/>
      <c r="F64" s="1394"/>
      <c r="G64" s="1395"/>
      <c r="H64" s="25"/>
      <c r="I64" s="25"/>
      <c r="J64" s="25"/>
      <c r="K64" s="25"/>
      <c r="L64" s="1224">
        <v>56</v>
      </c>
      <c r="M64" s="1224" t="b">
        <f t="shared" si="1"/>
        <v>1</v>
      </c>
    </row>
    <row r="65" spans="1:13" ht="18.75" customHeight="1" x14ac:dyDescent="0.25">
      <c r="A65" s="25"/>
      <c r="B65" s="25"/>
      <c r="C65" s="25"/>
      <c r="D65" s="25"/>
      <c r="E65" s="25"/>
      <c r="F65" s="1394"/>
      <c r="G65" s="1395"/>
      <c r="H65" s="25"/>
      <c r="I65" s="25"/>
      <c r="J65" s="25"/>
      <c r="K65" s="25"/>
      <c r="L65" s="1224">
        <v>57</v>
      </c>
      <c r="M65" s="1224" t="b">
        <f t="shared" si="1"/>
        <v>1</v>
      </c>
    </row>
    <row r="66" spans="1:13" ht="18.75" customHeight="1" x14ac:dyDescent="0.25">
      <c r="A66" s="25"/>
      <c r="B66" s="25"/>
      <c r="C66" s="25"/>
      <c r="D66" s="25"/>
      <c r="E66" s="25"/>
      <c r="F66" s="1394"/>
      <c r="G66" s="1395"/>
      <c r="H66" s="25"/>
      <c r="I66" s="25"/>
      <c r="J66" s="25"/>
      <c r="K66" s="25"/>
      <c r="L66" s="1224">
        <v>58</v>
      </c>
      <c r="M66" s="1224" t="b">
        <f t="shared" si="1"/>
        <v>1</v>
      </c>
    </row>
    <row r="67" spans="1:13" ht="18.75" customHeight="1" x14ac:dyDescent="0.25">
      <c r="A67" s="25"/>
      <c r="B67" s="25"/>
      <c r="C67" s="25"/>
      <c r="D67" s="25"/>
      <c r="E67" s="25"/>
      <c r="F67" s="1396"/>
      <c r="G67" s="1397"/>
      <c r="H67" s="25"/>
      <c r="I67" s="25"/>
      <c r="J67" s="25"/>
      <c r="K67" s="25"/>
      <c r="L67" s="1224">
        <v>59</v>
      </c>
      <c r="M67" s="1224" t="b">
        <f t="shared" si="1"/>
        <v>1</v>
      </c>
    </row>
    <row r="68" spans="1:13" ht="18.75" customHeight="1" x14ac:dyDescent="0.25">
      <c r="A68" s="25"/>
      <c r="B68" s="25"/>
      <c r="C68" s="25"/>
      <c r="D68" s="25"/>
      <c r="E68" s="25"/>
      <c r="F68" s="1396"/>
      <c r="G68" s="1397"/>
      <c r="H68" s="25"/>
      <c r="I68" s="25"/>
      <c r="J68" s="25"/>
      <c r="K68" s="25"/>
      <c r="L68" s="1224">
        <v>60</v>
      </c>
      <c r="M68" s="1224" t="b">
        <f t="shared" si="1"/>
        <v>1</v>
      </c>
    </row>
  </sheetData>
  <sheetProtection algorithmName="SHA-512" hashValue="ipVw/xcfx7QfqX4TgAE40DzTLo1D4iyzxNLIv8yQi6zDCOHFgc5CcAh6ygKMtESReS7YmEtynjTeE/aHPs5mdg==" saltValue="T1M7iP9d9qbwP9JJpIm9jQ==" spinCount="100000" sheet="1" objects="1" scenarios="1" selectLockedCells="1"/>
  <conditionalFormatting sqref="C10 F9:F68">
    <cfRule type="containsBlanks" dxfId="191" priority="2941">
      <formula>LEN(TRIM(C9))=0</formula>
    </cfRule>
  </conditionalFormatting>
  <conditionalFormatting sqref="C9">
    <cfRule type="containsBlanks" dxfId="190" priority="1">
      <formula>LEN(TRIM(C9))=0</formula>
    </cfRule>
  </conditionalFormatting>
  <conditionalFormatting sqref="F9:G68">
    <cfRule type="expression" dxfId="189" priority="4" stopIfTrue="1">
      <formula>$L9&gt;$C$9</formula>
    </cfRule>
  </conditionalFormatting>
  <dataValidations count="4">
    <dataValidation type="list" allowBlank="1" showInputMessage="1" showErrorMessage="1" sqref="F9:F68" xr:uid="{239DCCAD-0D75-4D08-BF03-897B1226EF05}">
      <formula1>IF(SEBApplicantAssessmentType="Fast track",INDIRECT("SEFastTrackBusinessTypeTable[BusinessType]"),INDIRECT("SEBusinessTypeTable[BusinessType]"))</formula1>
    </dataValidation>
    <dataValidation type="list" allowBlank="1" showInputMessage="1" showErrorMessage="1" sqref="C11" xr:uid="{D685B409-5B5C-4EBE-B5E0-0B32328F2F59}">
      <formula1>INDIRECT("TaxYearTable[LatestTaxYear]")</formula1>
    </dataValidation>
    <dataValidation type="list" allowBlank="1" showInputMessage="1" showErrorMessage="1" sqref="C10" xr:uid="{36000609-87C7-44E4-9ED0-90D78752C15B}">
      <formula1>INDIRECT("SESoleTraderAssessmentTypeTable[AssessmentType]")</formula1>
    </dataValidation>
    <dataValidation type="list" allowBlank="1" showInputMessage="1" showErrorMessage="1" sqref="C9" xr:uid="{8C195995-4913-46EA-A2EA-9A9BBA98E17F}">
      <formula1>INDIRECT("$L$10:$L$"&amp;$M$6)</formula1>
    </dataValidation>
  </dataValidations>
  <pageMargins left="0.25" right="0.25" top="0.75" bottom="0.75" header="0.3" footer="0.3"/>
  <pageSetup paperSize="9" fitToWidth="0" fitToHeight="0"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B4398-C8BB-4DE1-AFCC-D4FD877DCE79}">
  <sheetPr codeName="shSEBusiness">
    <pageSetUpPr fitToPage="1"/>
  </sheetPr>
  <dimension ref="A1:AZ173"/>
  <sheetViews>
    <sheetView showGridLines="0" showRowColHeaders="0" zoomScaleNormal="100" workbookViewId="0">
      <selection activeCell="D8" sqref="D8:E8"/>
    </sheetView>
  </sheetViews>
  <sheetFormatPr defaultColWidth="9.1796875" defaultRowHeight="12.5" x14ac:dyDescent="0.25"/>
  <cols>
    <col min="1" max="1" width="2.81640625" style="25" customWidth="1"/>
    <col min="2" max="2" width="51.26953125" style="25" customWidth="1"/>
    <col min="3" max="3" width="2.81640625" style="25" customWidth="1"/>
    <col min="4" max="5" width="18.54296875" style="25" customWidth="1"/>
    <col min="6" max="6" width="2.81640625" style="25" customWidth="1"/>
    <col min="7" max="8" width="18.54296875" style="25" customWidth="1"/>
    <col min="9" max="9" width="2.81640625" style="25" customWidth="1"/>
    <col min="10" max="11" width="18.54296875" style="25" customWidth="1"/>
    <col min="12" max="12" width="2.81640625" style="25" customWidth="1"/>
    <col min="13" max="14" width="18.54296875" style="25" customWidth="1"/>
    <col min="15" max="15" width="2.81640625" style="25" customWidth="1"/>
    <col min="16" max="17" width="18.54296875" style="25" customWidth="1"/>
    <col min="18" max="18" width="2.81640625" style="25" customWidth="1"/>
    <col min="19" max="20" width="18.54296875" style="25" customWidth="1"/>
    <col min="21" max="21" width="2.81640625" style="25" customWidth="1"/>
    <col min="22" max="22" width="9.1796875" style="25" customWidth="1"/>
    <col min="23" max="23" width="47.7265625" style="25" hidden="1" customWidth="1"/>
    <col min="24" max="25" width="17.1796875" style="25" hidden="1" customWidth="1"/>
    <col min="26" max="26" width="0.7265625" style="25" hidden="1" customWidth="1"/>
    <col min="27" max="28" width="17.1796875" style="25" hidden="1" customWidth="1"/>
    <col min="29" max="29" width="0.7265625" style="25" hidden="1" customWidth="1"/>
    <col min="30" max="31" width="17.1796875" style="25" hidden="1" customWidth="1"/>
    <col min="32" max="32" width="0.7265625" style="25" hidden="1" customWidth="1"/>
    <col min="33" max="34" width="17.1796875" style="25" hidden="1" customWidth="1"/>
    <col min="35" max="35" width="0.7265625" style="25" hidden="1" customWidth="1"/>
    <col min="36" max="37" width="17.1796875" style="25" hidden="1" customWidth="1"/>
    <col min="38" max="38" width="0.7265625" style="25" hidden="1" customWidth="1"/>
    <col min="39" max="40" width="17.1796875" style="25" hidden="1" customWidth="1"/>
    <col min="41" max="42" width="9.1796875" style="25" hidden="1" customWidth="1"/>
    <col min="43" max="43" width="22.7265625" style="25" hidden="1" customWidth="1"/>
    <col min="44" max="45" width="17.1796875" style="25" hidden="1" customWidth="1"/>
    <col min="46" max="52" width="9.1796875" style="25" hidden="1" customWidth="1"/>
    <col min="53" max="16384" width="9.1796875" style="25"/>
  </cols>
  <sheetData>
    <row r="1" spans="1:21" ht="15.75" customHeight="1" x14ac:dyDescent="0.3">
      <c r="A1" s="302"/>
      <c r="B1" s="302"/>
      <c r="C1" s="302"/>
    </row>
    <row r="2" spans="1:21" ht="15.75" customHeight="1" x14ac:dyDescent="0.3">
      <c r="A2" s="302"/>
      <c r="B2" s="302"/>
      <c r="C2" s="302"/>
    </row>
    <row r="3" spans="1:21" ht="15.75" customHeight="1" x14ac:dyDescent="0.3">
      <c r="A3" s="302"/>
      <c r="B3" s="302"/>
      <c r="C3" s="302"/>
    </row>
    <row r="4" spans="1:21" ht="29.5" x14ac:dyDescent="0.55000000000000004">
      <c r="A4" s="4"/>
      <c r="B4" s="535" t="s">
        <v>887</v>
      </c>
      <c r="C4" s="535"/>
    </row>
    <row r="6" spans="1:21" ht="22.5" customHeight="1" x14ac:dyDescent="0.25">
      <c r="A6" s="332"/>
      <c r="B6" s="338" t="s">
        <v>888</v>
      </c>
      <c r="C6" s="338"/>
      <c r="D6" s="333"/>
      <c r="E6" s="333"/>
      <c r="F6" s="333"/>
      <c r="G6" s="333"/>
      <c r="H6" s="333"/>
      <c r="I6" s="333"/>
      <c r="J6" s="334"/>
      <c r="K6" s="334"/>
      <c r="L6" s="333"/>
      <c r="M6" s="335"/>
      <c r="N6" s="335"/>
      <c r="O6" s="333"/>
      <c r="P6" s="335"/>
      <c r="Q6" s="335"/>
      <c r="R6" s="333"/>
      <c r="S6" s="335"/>
      <c r="T6" s="335"/>
      <c r="U6" s="335"/>
    </row>
    <row r="7" spans="1:21" customFormat="1" ht="7.5" customHeight="1" x14ac:dyDescent="0.4">
      <c r="A7" s="9"/>
      <c r="B7" s="8"/>
      <c r="C7" s="8"/>
      <c r="D7" s="90"/>
      <c r="E7" s="90"/>
      <c r="F7" s="90"/>
      <c r="G7" s="90"/>
      <c r="H7" s="90"/>
      <c r="I7" s="90"/>
      <c r="J7" s="11"/>
      <c r="K7" s="11"/>
      <c r="L7" s="11"/>
      <c r="M7" s="11"/>
      <c r="N7" s="11"/>
      <c r="O7" s="11"/>
      <c r="P7" s="11"/>
      <c r="Q7" s="11"/>
    </row>
    <row r="8" spans="1:21" ht="18.75" customHeight="1" x14ac:dyDescent="0.25">
      <c r="B8" s="375" t="s">
        <v>883</v>
      </c>
      <c r="C8" s="375"/>
      <c r="D8" s="1688"/>
      <c r="E8" s="1689"/>
      <c r="G8" s="375" t="s">
        <v>886</v>
      </c>
      <c r="H8" s="375"/>
      <c r="J8" s="1692"/>
      <c r="K8" s="1693"/>
      <c r="L8"/>
      <c r="M8" s="1685" t="s">
        <v>1790</v>
      </c>
      <c r="N8" s="1685"/>
      <c r="O8" s="1685"/>
      <c r="P8" s="1685"/>
      <c r="R8" s="1129">
        <v>1</v>
      </c>
      <c r="S8" s="168">
        <f>SEAAssessmentType</f>
        <v>0</v>
      </c>
    </row>
    <row r="9" spans="1:21" ht="18.75" customHeight="1" x14ac:dyDescent="0.25">
      <c r="B9" s="375" t="s">
        <v>889</v>
      </c>
      <c r="C9" s="375"/>
      <c r="D9" s="1688"/>
      <c r="E9" s="1689"/>
      <c r="G9" s="375" t="s">
        <v>885</v>
      </c>
      <c r="H9" s="375"/>
      <c r="J9" s="1694"/>
      <c r="K9" s="1695"/>
      <c r="L9"/>
      <c r="M9" s="1685"/>
      <c r="N9" s="1685"/>
      <c r="O9" s="1685"/>
      <c r="P9" s="1685"/>
    </row>
    <row r="10" spans="1:21" ht="18.75" customHeight="1" x14ac:dyDescent="0.25">
      <c r="B10" s="375" t="s">
        <v>1625</v>
      </c>
      <c r="C10" s="375"/>
      <c r="D10" s="1696"/>
      <c r="E10" s="1697"/>
      <c r="G10" s="375" t="str">
        <f>IF(SEBAssessmentType="Simple solvency","",IF(SEBBusinessType="Trust","Number of trust beneficiaries",IF(SEBBusinessType="Partnership","Number of partners","")))</f>
        <v/>
      </c>
      <c r="J10" s="1690"/>
      <c r="K10" s="1691"/>
      <c r="L10" s="168" t="b">
        <f>SEBTrusteePartnerCount&lt;COUNTIF(D15:S15,"Yes")</f>
        <v>1</v>
      </c>
      <c r="P10" s="586"/>
      <c r="Q10" s="586"/>
      <c r="S10" s="586"/>
      <c r="T10" s="586"/>
      <c r="U10" s="586"/>
    </row>
    <row r="11" spans="1:21" ht="3.75" customHeight="1" x14ac:dyDescent="0.25">
      <c r="B11" s="375"/>
      <c r="C11" s="375"/>
    </row>
    <row r="12" spans="1:21" ht="18.75" customHeight="1" x14ac:dyDescent="0.25">
      <c r="A12" s="595"/>
      <c r="B12" s="1071" t="s">
        <v>890</v>
      </c>
      <c r="C12" s="576"/>
      <c r="D12" s="593"/>
      <c r="E12" s="593"/>
      <c r="F12" s="593"/>
      <c r="G12" s="593"/>
      <c r="H12" s="593"/>
      <c r="I12" s="593"/>
      <c r="J12" s="594"/>
      <c r="K12" s="594"/>
      <c r="L12" s="593"/>
      <c r="M12" s="592"/>
      <c r="N12" s="592"/>
      <c r="O12" s="593"/>
      <c r="P12" s="592"/>
      <c r="Q12" s="592"/>
      <c r="R12" s="593"/>
      <c r="S12" s="592"/>
      <c r="T12" s="592"/>
      <c r="U12" s="592"/>
    </row>
    <row r="13" spans="1:21" ht="3.75" customHeight="1" x14ac:dyDescent="0.25"/>
    <row r="14" spans="1:21" ht="18.75" customHeight="1" x14ac:dyDescent="0.25">
      <c r="D14" s="1319" t="str">
        <f>IF(SCAApp1Name="","Applicant 1",SCAApp1Name)</f>
        <v>Applicant 1</v>
      </c>
      <c r="E14" s="575"/>
      <c r="F14" s="1130"/>
      <c r="G14" s="1319" t="str">
        <f>IF(SCAApp2Name="","Applicant 2",SCAApp2Name)</f>
        <v>Applicant 2</v>
      </c>
      <c r="H14" s="575"/>
      <c r="I14" s="1130"/>
      <c r="J14" s="1319" t="str">
        <f>IF(SCAApp3Name="","Applicant 3",SCAApp3Name)</f>
        <v>Applicant 3</v>
      </c>
      <c r="K14" s="575"/>
      <c r="L14" s="1130"/>
      <c r="M14" s="1319" t="str">
        <f>IF(SCAApp4Name="","Applicant 4",SCAApp4Name)</f>
        <v>Applicant 4</v>
      </c>
      <c r="N14" s="575"/>
      <c r="O14" s="1130"/>
      <c r="P14" s="1319" t="str">
        <f>IF(SCAApp5Name="","Applicant 5",SCAApp5Name)</f>
        <v>Applicant 5</v>
      </c>
      <c r="Q14" s="575"/>
      <c r="R14" s="1130"/>
      <c r="S14" s="1319" t="str">
        <f>IF(SCAApp6Name="","Applicant 6",SCAApp6Name)</f>
        <v>Applicant 6</v>
      </c>
      <c r="T14" s="575"/>
    </row>
    <row r="15" spans="1:21" ht="18.75" customHeight="1" x14ac:dyDescent="0.35">
      <c r="B15" s="375" t="str">
        <f>IF(SEBBusinessType="Sole trader","Applicant is the sole trader",IF(SEBBusinessType="Partnership","Applicant is a partner of the partnership",IF(SEBBusinessType="Trust","Applicant is associated with the trust",IF(SEBBusinessType="Company","Applicant is associated with the company","Associated applicant"))))</f>
        <v>Associated applicant</v>
      </c>
      <c r="C15" s="621">
        <v>1</v>
      </c>
      <c r="D15" s="1443" t="s">
        <v>12</v>
      </c>
      <c r="E15" s="1120"/>
      <c r="F15" s="622">
        <v>2</v>
      </c>
      <c r="G15" s="1233" t="s">
        <v>9</v>
      </c>
      <c r="H15" s="1120"/>
      <c r="I15" s="622">
        <v>3</v>
      </c>
      <c r="J15" s="1443" t="s">
        <v>9</v>
      </c>
      <c r="K15" s="1120"/>
      <c r="L15" s="622">
        <v>4</v>
      </c>
      <c r="M15" s="1443" t="s">
        <v>9</v>
      </c>
      <c r="N15" s="1120"/>
      <c r="O15" s="622">
        <v>5</v>
      </c>
      <c r="P15" s="1443" t="s">
        <v>9</v>
      </c>
      <c r="Q15" s="1120"/>
      <c r="R15" s="622">
        <v>6</v>
      </c>
      <c r="S15" s="1443" t="s">
        <v>9</v>
      </c>
      <c r="T15" s="1120"/>
    </row>
    <row r="16" spans="1:21" ht="18.75" customHeight="1" x14ac:dyDescent="0.35">
      <c r="B16" s="375" t="s">
        <v>1638</v>
      </c>
      <c r="C16" s="375"/>
      <c r="D16" s="1317">
        <f>IFERROR(IF(SEBAssessmentType="Simple solvency",0,IF(AND($X$23=TRUE,$X$37&lt;&gt;"Error"),IF(SEBBusinessType="Sole trader",X51,IF(SEBBusinessType="Partnership",X70,IF(SEBBusinessType="Trust",X90,IF(SEBBusinessType="Company",X102,0)))),0)),0)</f>
        <v>0</v>
      </c>
      <c r="E16"/>
      <c r="F16" s="577"/>
      <c r="G16" s="1317">
        <f>IFERROR(IF(SEBAssessmentType="Simple solvency",0,IF(AND($X$23=TRUE,$X$37&lt;&gt;"Error"),IF(SEBBusinessType="Sole trader",AA51,IF(SEBBusinessType="Partnership",AA70,IF(SEBBusinessType="Trust",AA90,IF(SEBBusinessType="Company",AA102,0)))),0)),0)</f>
        <v>0</v>
      </c>
      <c r="H16"/>
      <c r="I16" s="577"/>
      <c r="J16" s="1317">
        <f>IFERROR(IF(SEBAssessmentType="Simple solvency",0,IF(AND($X$23=TRUE,$X$37&lt;&gt;"Error"),IF(SEBBusinessType="Sole trader",AD51,IF(SEBBusinessType="Partnership",AD70,IF(SEBBusinessType="Trust",AD90,IF(SEBBusinessType="Company",AD102,0)))),0)),0)</f>
        <v>0</v>
      </c>
      <c r="K16"/>
      <c r="L16" s="577"/>
      <c r="M16" s="1317">
        <f>IFERROR(IF(SEBAssessmentType="Simple solvency",0,IF(AND($X$23=TRUE,$X$37&lt;&gt;"Error"),IF(SEBBusinessType="Sole trader",AG51,IF(SEBBusinessType="Partnership",AG70,IF(SEBBusinessType="Trust",AG90,IF(SEBBusinessType="Company",AG102,0)))),0)),0)</f>
        <v>0</v>
      </c>
      <c r="N16"/>
      <c r="O16" s="577"/>
      <c r="P16" s="1317">
        <f>IFERROR(IF(SEBAssessmentType="Simple solvency",0,IF(AND($X$23=TRUE,$X$37&lt;&gt;"Error"),IF(SEBBusinessType="Sole trader",AJ51,IF(SEBBusinessType="Partnership",AJ70,IF(SEBBusinessType="Trust",AJ90,IF(SEBBusinessType="Company",AJ102,0)))),0)),0)</f>
        <v>0</v>
      </c>
      <c r="Q16"/>
      <c r="R16" s="577"/>
      <c r="S16" s="1317">
        <f>IFERROR(IF(SEBAssessmentType="Simple solvency",0,IF(AND($X$23=TRUE,$X$37&lt;&gt;"Error"),IF(SEBBusinessType="Sole trader",AM51,IF(SEBBusinessType="Partnership",AM70,IF(SEBBusinessType="Trust",AM90,IF(SEBBusinessType="Company",AM102,0)))),0)),0)</f>
        <v>0</v>
      </c>
      <c r="T16"/>
    </row>
    <row r="17" spans="1:30" ht="18.75" customHeight="1" x14ac:dyDescent="0.35">
      <c r="B17" s="375" t="s">
        <v>2002</v>
      </c>
      <c r="C17" s="375"/>
      <c r="D17" s="1317">
        <f>IFERROR(IF(SEBAssessmentType="Simple solvency",0,IF(AND($X$23=TRUE,$X$37&lt;&gt;"Error"),IF(SEBBusinessType="Company",X103,0),0)),0)</f>
        <v>0</v>
      </c>
      <c r="E17"/>
      <c r="F17" s="577"/>
      <c r="G17" s="1317">
        <f>IFERROR(IF(SEBAssessmentType="Simple solvency",0,IF(AND($X$23=TRUE,$X$37&lt;&gt;"Error"),IF(SEBBusinessType="Company",AA103,0),0)),0)</f>
        <v>0</v>
      </c>
      <c r="H17"/>
      <c r="I17" s="577"/>
      <c r="J17" s="1317">
        <f>IFERROR(IF(SEBAssessmentType="Simple solvency",0,IF(AND($X$23=TRUE,$X$37&lt;&gt;"Error"),IF(SEBBusinessType="Company",AD103,0),0)),0)</f>
        <v>0</v>
      </c>
      <c r="K17"/>
      <c r="L17" s="577"/>
      <c r="M17" s="1317">
        <f>IFERROR(IF(SEBAssessmentType="Simple solvency",0,IF(AND($X$23=TRUE,$X$37&lt;&gt;"Error"),IF(SEBBusinessType="Company",AG103,0),0)),0)</f>
        <v>0</v>
      </c>
      <c r="N17"/>
      <c r="O17" s="577"/>
      <c r="P17" s="1317">
        <f>IFERROR(IF(SEBAssessmentType="Simple solvency",0,IF(AND($X$23=TRUE,$X$37&lt;&gt;"Error"),IF(SEBBusinessType="Company",AJ103,0),0)),0)</f>
        <v>0</v>
      </c>
      <c r="Q17"/>
      <c r="R17" s="577"/>
      <c r="S17" s="1317">
        <f>IFERROR(IF(SEBAssessmentType="Simple solvency",0,IF(AND($X$23=TRUE,$X$37&lt;&gt;"Error"),IF(SEBBusinessType="Company",AM103,0),0)),0)</f>
        <v>0</v>
      </c>
      <c r="T17"/>
      <c r="Y17" s="1073"/>
      <c r="Z17" s="1073"/>
      <c r="AA17" s="1073"/>
      <c r="AB17" s="1073"/>
      <c r="AC17" s="1073"/>
      <c r="AD17" s="66"/>
    </row>
    <row r="18" spans="1:30" ht="18.75" customHeight="1" x14ac:dyDescent="0.35">
      <c r="B18" s="375" t="s">
        <v>2337</v>
      </c>
      <c r="C18" s="375"/>
      <c r="D18" s="1317">
        <f>IFERROR(IF(SEBAssessmentType="Simple solvency",0,IF(AND($X$23=TRUE,$X$37&lt;&gt;"Error"),IF(SEBBusinessType="Sole trader",X52,IF(SEBBusinessType="Partnership",X71,IF(SEBBusinessType="Trust",X91,IF(SEBBusinessType="Company",X104,0)))),0)),0)</f>
        <v>0</v>
      </c>
      <c r="E18"/>
      <c r="F18" s="577"/>
      <c r="G18" s="1317">
        <f>IFERROR(IF(SEBAssessmentType="Simple solvency",0,IF(AND($X$23=TRUE,$X$37&lt;&gt;"Error"),IF(SEBBusinessType="Sole trader",AA52,IF(SEBBusinessType="Partnership",AA71,IF(SEBBusinessType="Trust",AA91,IF(SEBBusinessType="Company",AA104,0)))),0)),0)</f>
        <v>0</v>
      </c>
      <c r="H18"/>
      <c r="I18" s="577"/>
      <c r="J18" s="1317">
        <f>IFERROR(IF(SEBAssessmentType="Simple solvency",0,IF(AND($X$23=TRUE,$X$37&lt;&gt;"Error"),IF(SEBBusinessType="Sole trader",AD52,IF(SEBBusinessType="Partnership",AD71,IF(SEBBusinessType="Trust",AD91,IF(SEBBusinessType="Company",AD104,0)))),0)),0)</f>
        <v>0</v>
      </c>
      <c r="K18"/>
      <c r="L18" s="577"/>
      <c r="M18" s="1317">
        <f>IFERROR(IF(SEBAssessmentType="Simple solvency",0,IF(AND($X$23=TRUE,$X$37&lt;&gt;"Error"),IF(SEBBusinessType="Sole trader",AG52,IF(SEBBusinessType="Partnership",AG71,IF(SEBBusinessType="Trust",AG91,IF(SEBBusinessType="Company",AG104,0)))),0)),0)</f>
        <v>0</v>
      </c>
      <c r="N18"/>
      <c r="O18" s="577"/>
      <c r="P18" s="1317">
        <f>IFERROR(IF(SEBAssessmentType="Simple solvency",0,IF(AND($X$23=TRUE,$X$37&lt;&gt;"Error"),IF(SEBBusinessType="Sole trader",AJ52,IF(SEBBusinessType="Partnership",AJ71,IF(SEBBusinessType="Trust",AJ91,IF(SEBBusinessType="Company",AJ104,0)))),0)),0)</f>
        <v>0</v>
      </c>
      <c r="Q18"/>
      <c r="R18" s="577"/>
      <c r="S18" s="1317">
        <f>IFERROR(IF(SEBAssessmentType="Simple solvency",0,IF(AND($X$23=TRUE,$X$37&lt;&gt;"Error"),IF(SEBBusinessType="Sole trader",AM52,IF(SEBBusinessType="Partnership",AM71,IF(SEBBusinessType="Trust",AM91,IF(SEBBusinessType="Company",AM104,0)))),0)),0)</f>
        <v>0</v>
      </c>
      <c r="T18"/>
      <c r="W18" s="1073"/>
      <c r="X18" s="1073"/>
      <c r="Y18" s="1073"/>
      <c r="Z18" s="1073"/>
      <c r="AA18" s="1073"/>
      <c r="AB18" s="1073"/>
      <c r="AC18" s="1073"/>
      <c r="AD18" s="66"/>
    </row>
    <row r="19" spans="1:30" ht="18.75" customHeight="1" x14ac:dyDescent="0.35">
      <c r="B19" s="375" t="s">
        <v>2124</v>
      </c>
      <c r="C19" s="375"/>
      <c r="D19" s="1317">
        <f>IFERROR(IF(SEBAssessmentType="Simple solvency",0,IF(AND($X$23=TRUE,$X$37&lt;&gt;"Error"),IF($X$29="Latest",D28,MIN(D28,SUM(D28:E28)/2)),0)),0)</f>
        <v>0</v>
      </c>
      <c r="E19"/>
      <c r="F19" s="577"/>
      <c r="G19" s="1317">
        <f>IFERROR(IF(SEBAssessmentType="Simple solvency",0,IF(AND($X$23=TRUE,$X$37&lt;&gt;"Error"),IF($X$29="Latest",G28,MIN(G28,SUM(G28:H28)/2)),0)),0)</f>
        <v>0</v>
      </c>
      <c r="H19"/>
      <c r="I19" s="577"/>
      <c r="J19" s="1317">
        <f>IFERROR(IF(SEBAssessmentType="Simple solvency",0,IF(AND($X$23=TRUE,$X$37&lt;&gt;"Error"),IF($X$29="Latest",J28,MIN(J28,SUM(J28:K28)/2)),0)),0)</f>
        <v>0</v>
      </c>
      <c r="K19"/>
      <c r="L19" s="577"/>
      <c r="M19" s="1317">
        <f>IFERROR(IF(SEBAssessmentType="Simple solvency",0,IF(AND($X$23=TRUE,$X$37&lt;&gt;"Error"),IF($X$29="Latest",M28,MIN(M28,SUM(M28:N28)/2)),0)),0)</f>
        <v>0</v>
      </c>
      <c r="N19"/>
      <c r="O19" s="577"/>
      <c r="P19" s="1317">
        <f>IFERROR(IF(SEBAssessmentType="Simple solvency",0,IF(AND($X$23=TRUE,$X$37&lt;&gt;"Error"),IF($X$29="Latest",P28,MIN(P28,SUM(P28:Q28)/2)),0)),0)</f>
        <v>0</v>
      </c>
      <c r="Q19"/>
      <c r="R19" s="577"/>
      <c r="S19" s="1317">
        <f>IFERROR(IF(SEBAssessmentType="Simple solvency",0,IF(AND($X$23=TRUE,$X$37&lt;&gt;"Error"),IF($X$29="Latest",S28,MIN(S28,SUM(S28:T28)/2)),0)),0)</f>
        <v>0</v>
      </c>
      <c r="T19"/>
      <c r="W19" s="1073"/>
      <c r="X19" s="1073"/>
      <c r="Y19" s="1073"/>
      <c r="Z19" s="1073"/>
      <c r="AA19" s="1073"/>
      <c r="AB19" s="1073"/>
      <c r="AC19" s="1073"/>
      <c r="AD19" s="66"/>
    </row>
    <row r="20" spans="1:30" ht="3.75" customHeight="1" x14ac:dyDescent="0.35">
      <c r="B20" s="375"/>
      <c r="C20" s="375"/>
      <c r="D20" s="577"/>
      <c r="E20" s="577"/>
      <c r="F20" s="577"/>
      <c r="G20" s="577"/>
      <c r="H20" s="577"/>
      <c r="I20" s="577"/>
      <c r="J20" s="577"/>
      <c r="K20" s="577"/>
      <c r="L20" s="577"/>
      <c r="M20" s="577"/>
      <c r="N20" s="577"/>
      <c r="O20" s="577"/>
      <c r="P20" s="577"/>
      <c r="Q20" s="577"/>
      <c r="R20" s="577"/>
      <c r="S20" s="577"/>
      <c r="T20" s="577"/>
      <c r="W20" s="1073"/>
      <c r="X20" s="1073"/>
      <c r="Y20" s="1073"/>
      <c r="Z20" s="1073"/>
      <c r="AA20" s="1073"/>
      <c r="AB20" s="1073"/>
      <c r="AC20" s="1073"/>
      <c r="AD20" s="66"/>
    </row>
    <row r="21" spans="1:30" ht="18.75" hidden="1" customHeight="1" x14ac:dyDescent="0.25">
      <c r="A21" s="157"/>
      <c r="B21" s="1069" t="s">
        <v>1781</v>
      </c>
      <c r="C21" s="194"/>
      <c r="D21" s="158"/>
      <c r="E21" s="158"/>
      <c r="F21" s="158"/>
      <c r="G21" s="158"/>
      <c r="H21" s="158"/>
      <c r="I21" s="158"/>
      <c r="J21" s="158"/>
      <c r="K21" s="158"/>
      <c r="L21" s="158"/>
      <c r="M21" s="158"/>
      <c r="N21" s="158"/>
      <c r="O21" s="158"/>
      <c r="P21" s="202"/>
      <c r="Q21" s="202"/>
      <c r="R21" s="203"/>
      <c r="S21" s="203"/>
      <c r="T21" s="203"/>
      <c r="U21" s="204"/>
      <c r="W21" s="1073"/>
      <c r="X21" s="1073"/>
      <c r="Y21" s="1073" t="s">
        <v>868</v>
      </c>
      <c r="Z21" s="1073"/>
      <c r="AA21" s="1073" t="s">
        <v>869</v>
      </c>
      <c r="AB21" s="1073" t="s">
        <v>871</v>
      </c>
      <c r="AC21" s="1073"/>
      <c r="AD21" s="1073" t="s">
        <v>870</v>
      </c>
    </row>
    <row r="22" spans="1:30" ht="3.75" hidden="1" customHeight="1" x14ac:dyDescent="0.25">
      <c r="W22" s="1073"/>
      <c r="X22" s="1073"/>
      <c r="Y22" s="1073"/>
      <c r="Z22" s="1073"/>
      <c r="AA22" s="1073"/>
      <c r="AB22" s="1073"/>
      <c r="AC22" s="1073"/>
      <c r="AD22" s="66"/>
    </row>
    <row r="23" spans="1:30" ht="18.75" hidden="1" customHeight="1" x14ac:dyDescent="0.25">
      <c r="B23" s="375"/>
      <c r="C23" s="375"/>
      <c r="D23" s="1275" t="str">
        <f>IF(ISBLANK(SEBFinancialYearLY),"Latest year",SEBFinancialYearLY)</f>
        <v>Latest year</v>
      </c>
      <c r="E23" s="1275" t="str">
        <f>IF(ISBLANK(SEBFinancialYearLY),"Previous year",VLOOKUP(SEBFinancialYearLY,TaxYearTable[],2,FALSE))</f>
        <v>Previous year</v>
      </c>
      <c r="F23" s="681"/>
      <c r="G23" s="575" t="str">
        <f>$D$23</f>
        <v>Latest year</v>
      </c>
      <c r="H23" s="575" t="str">
        <f>$E$23</f>
        <v>Previous year</v>
      </c>
      <c r="I23" s="575"/>
      <c r="J23" s="575" t="str">
        <f>$D$23</f>
        <v>Latest year</v>
      </c>
      <c r="K23" s="575" t="str">
        <f>$E$23</f>
        <v>Previous year</v>
      </c>
      <c r="L23" s="575"/>
      <c r="M23" s="575" t="str">
        <f>$D$23</f>
        <v>Latest year</v>
      </c>
      <c r="N23" s="575" t="str">
        <f>$E$23</f>
        <v>Previous year</v>
      </c>
      <c r="O23" s="575"/>
      <c r="P23" s="575" t="str">
        <f>$D$23</f>
        <v>Latest year</v>
      </c>
      <c r="Q23" s="575" t="str">
        <f>$E$23</f>
        <v>Previous year</v>
      </c>
      <c r="R23" s="575"/>
      <c r="S23" s="575" t="str">
        <f>$D$23</f>
        <v>Latest year</v>
      </c>
      <c r="T23" s="575" t="str">
        <f>$E$23</f>
        <v>Previous year</v>
      </c>
      <c r="W23" s="1075" t="s">
        <v>811</v>
      </c>
      <c r="X23" s="1125" t="b">
        <f>IF(SEBAssessmentType="Simple solvency",AND(NOT(ISBLANK(SEBNetProfitLossLY)),NOT(ISBLANK(SEBSolvencyAssetsLY)),NOT(ISBLANK(SEBSolvencyLiabilitiesLY))),AND(Y23,AA23,AB23,AD23,SELMandatoryFieldCheck))</f>
        <v>1</v>
      </c>
      <c r="Y23" s="1097" t="b">
        <f>IF(SEBBusinessType="Sole trader",IF(SEBAssessmentType="Medico",NOT(ISBLANK(SEBNetProfitLossLY)),AND(NOT(ISBLANK(SEBNetProfitLossLY)),NOT(ISBLANK(SEBNetProfitLossPY)))),TRUE)</f>
        <v>1</v>
      </c>
      <c r="Z23" s="1126"/>
      <c r="AA23" s="1097" t="b">
        <f>IF(SEBBusinessType="Partnership",IF(SEBAssessmentType="Medico",AND(NOT(ISBLANK(SEBTrusteePartnerCount)),NOT(ISBLANK(SEBNetProfitLossLY))),AND(NOT(ISBLANK(SEBTrusteePartnerCount)),NOT(ISBLANK(SEBNetProfitLossLY)),NOT(ISBLANK(SEBNetProfitLossPY)))),TRUE)</f>
        <v>1</v>
      </c>
      <c r="AB23" s="1097" t="b">
        <f>IF(SEBBusinessType="Trust",IF(SEBAssessmentType="Medico",AND(NOT(ISBLANK(SEBTrusteePartnerCount)),NOT(ISBLANK(SEBNetProfitLossLY))),AND(NOT(ISBLANK(SEBTrusteePartnerCount)),NOT(ISBLANK(SEBNetProfitLossLY)),NOT(ISBLANK(SEBNetProfitLossPY)))),TRUE)</f>
        <v>1</v>
      </c>
      <c r="AC23" s="1126"/>
      <c r="AD23" s="1097" t="b">
        <f>IF(SEBBusinessType="Company",IF(SEBAssessmentType="Medico",AND(NOT(ISBLANK(SEBNetProfitLossLY)),NOT(ISBLANK(SEBHistoricDividendsLY))),AND(NOT(ISBLANK(SEBNetProfitLossLY)),NOT(ISBLANK(SEBNetProfitLossPY)),NOT(ISBLANK(SEBHistoricDividendsLY)),IF(OR($X$33=TRUE,$X$33="N/A"),NOT(ISBLANK(SEBHistoricDividendsPY)),TRUE))),TRUE)</f>
        <v>1</v>
      </c>
    </row>
    <row r="24" spans="1:30" ht="18.75" hidden="1" customHeight="1" x14ac:dyDescent="0.25">
      <c r="B24" s="375" t="str">
        <f>IF(SEBBusinessType="Company","Salary / directors fee from company",IF(SEBBusinessType="Partnership","Salary / directors fee from corporate partnership",IF(SEBBusinessType="Trust","Salary / directors fee from trust","")))</f>
        <v/>
      </c>
      <c r="C24" s="375"/>
      <c r="D24" s="1320"/>
      <c r="E24" s="1320"/>
      <c r="F24" s="1321"/>
      <c r="G24" s="1320"/>
      <c r="H24" s="1320"/>
      <c r="I24" s="1321"/>
      <c r="J24" s="1424"/>
      <c r="K24" s="1320"/>
      <c r="L24" s="1321"/>
      <c r="M24" s="1424"/>
      <c r="N24" s="1320"/>
      <c r="O24" s="1321"/>
      <c r="P24" s="1424"/>
      <c r="Q24" s="1320"/>
      <c r="R24" s="1321"/>
      <c r="S24" s="1424"/>
      <c r="T24" s="1320"/>
      <c r="W24" s="1075"/>
      <c r="X24" s="1097"/>
      <c r="Y24" s="1073"/>
      <c r="Z24" s="1073"/>
      <c r="AA24" s="1073"/>
      <c r="AB24" s="1073"/>
      <c r="AC24" s="1073"/>
      <c r="AD24" s="66"/>
    </row>
    <row r="25" spans="1:30" ht="18.75" hidden="1" customHeight="1" x14ac:dyDescent="0.35">
      <c r="B25" s="375" t="s">
        <v>1640</v>
      </c>
      <c r="C25" s="375"/>
      <c r="D25" s="1322">
        <f>IFERROR(IF($X$29="Latest",D24,MIN(--D24,SUM(D24:E24)/2)),0)</f>
        <v>0</v>
      </c>
      <c r="E25" s="1323"/>
      <c r="F25" s="1323"/>
      <c r="G25" s="1322">
        <f>IFERROR(IF($X$29="Latest",G24,MIN(--G24,SUM(G24:H24)/2)),0)</f>
        <v>0</v>
      </c>
      <c r="H25" s="1323"/>
      <c r="I25" s="1323"/>
      <c r="J25" s="1322">
        <f>IFERROR(IF($X$29="Latest",J24,MIN(--J24,SUM(J24:K24)/2)),0)</f>
        <v>0</v>
      </c>
      <c r="K25" s="1323"/>
      <c r="L25" s="1323"/>
      <c r="M25" s="1322">
        <f>IFERROR(IF($X$29="Latest",M24,MIN(--M24,SUM(M24:N24)/2)),0)</f>
        <v>0</v>
      </c>
      <c r="N25" s="1323"/>
      <c r="O25" s="1323"/>
      <c r="P25" s="1322">
        <f>IFERROR(IF($X$29="Latest",P24,MIN(--P24,SUM(P24:Q24)/2)),0)</f>
        <v>0</v>
      </c>
      <c r="Q25" s="1323"/>
      <c r="R25" s="1323"/>
      <c r="S25" s="1322">
        <f>IFERROR(IF($X$29="Latest",S24,MIN(--S24,SUM(S24:T24)/2)),0)</f>
        <v>0</v>
      </c>
      <c r="T25" s="1324"/>
      <c r="W25" s="1075" t="s">
        <v>1796</v>
      </c>
      <c r="X25" s="1097" t="b">
        <f>SUM(D35,G35,J35,M35,P35,S35,G47:G106)=1</f>
        <v>0</v>
      </c>
      <c r="Y25" s="1073"/>
      <c r="Z25" s="1073"/>
      <c r="AA25" s="1073"/>
      <c r="AB25" s="1073"/>
      <c r="AC25" s="1073"/>
      <c r="AD25" s="66"/>
    </row>
    <row r="26" spans="1:30" ht="18.75" hidden="1" customHeight="1" x14ac:dyDescent="0.25">
      <c r="B26" s="375" t="s">
        <v>1613</v>
      </c>
      <c r="C26" s="375"/>
      <c r="D26" s="1320"/>
      <c r="E26" s="1320"/>
      <c r="F26" s="1321"/>
      <c r="G26" s="1320"/>
      <c r="H26" s="1320"/>
      <c r="I26" s="1321"/>
      <c r="J26" s="1424"/>
      <c r="K26" s="1320"/>
      <c r="L26" s="1321"/>
      <c r="M26" s="1424"/>
      <c r="N26" s="1320"/>
      <c r="O26" s="1321"/>
      <c r="P26" s="1424"/>
      <c r="Q26" s="1320"/>
      <c r="R26" s="1321"/>
      <c r="S26" s="1424"/>
      <c r="T26" s="1320"/>
      <c r="W26" s="1075" t="s">
        <v>1795</v>
      </c>
      <c r="X26" s="1097" t="b">
        <f>SUM(D32,G32,J32,M32,P32,S32,G47:G106)=1</f>
        <v>0</v>
      </c>
      <c r="Y26" s="1073"/>
      <c r="Z26" s="1073"/>
      <c r="AA26" s="1073"/>
      <c r="AB26" s="1073"/>
      <c r="AC26" s="1073"/>
      <c r="AD26" s="66"/>
    </row>
    <row r="27" spans="1:30" ht="18.75" hidden="1" customHeight="1" x14ac:dyDescent="0.25">
      <c r="B27" s="375" t="s">
        <v>1614</v>
      </c>
      <c r="C27" s="375"/>
      <c r="D27" s="1320"/>
      <c r="E27" s="1320"/>
      <c r="F27" s="1321"/>
      <c r="G27" s="1320"/>
      <c r="H27" s="1320"/>
      <c r="I27" s="1321"/>
      <c r="J27" s="1424"/>
      <c r="K27" s="1320"/>
      <c r="L27" s="1321"/>
      <c r="M27" s="1424"/>
      <c r="N27" s="1320"/>
      <c r="O27" s="1321"/>
      <c r="P27" s="1424"/>
      <c r="Q27" s="1320"/>
      <c r="R27" s="1321"/>
      <c r="S27" s="1424"/>
      <c r="T27" s="1320"/>
      <c r="W27" s="1080" t="s">
        <v>944</v>
      </c>
      <c r="X27" s="1098" t="str">
        <f>IF(X29="Standard",IF(X44&lt;=Y44,"Latest","Average"),X29)</f>
        <v/>
      </c>
      <c r="AB27"/>
      <c r="AC27"/>
      <c r="AD27"/>
    </row>
    <row r="28" spans="1:30" ht="18.75" hidden="1" customHeight="1" x14ac:dyDescent="0.25">
      <c r="B28" s="375" t="s">
        <v>2128</v>
      </c>
      <c r="C28" s="375"/>
      <c r="D28" s="1322">
        <f>IFERROR(IF(SEBBusinessType="Company",MIN(--D27,(D26/(1-SDCompanyTaxRate))-D26),D27),0)</f>
        <v>0</v>
      </c>
      <c r="E28" s="1322">
        <f>IFERROR(IF(SEBBusinessType="Company",MIN(--E27,(E26/(1-SDCompanyTaxRate))-E26),E27),0)</f>
        <v>0</v>
      </c>
      <c r="F28" s="1321"/>
      <c r="G28" s="1322">
        <f>IFERROR(IF(SEBBusinessType="Company",MIN(--G27,(G26/(1-SDCompanyTaxRate))-G26),G27),0)</f>
        <v>0</v>
      </c>
      <c r="H28" s="1322">
        <f>IFERROR(IF(SEBBusinessType="Company",MIN(--H27,(H26/(1-SDCompanyTaxRate))-H26),H27),0)</f>
        <v>0</v>
      </c>
      <c r="I28" s="1321"/>
      <c r="J28" s="1322">
        <f>IFERROR(IF(SEBBusinessType="Company",MIN(--J27,(J26/(1-SDCompanyTaxRate))-J26),J27),0)</f>
        <v>0</v>
      </c>
      <c r="K28" s="1322">
        <f>IFERROR(IF(SEBBusinessType="Company",MIN(--K27,(K26/(1-SDCompanyTaxRate))-K26),K27),0)</f>
        <v>0</v>
      </c>
      <c r="L28" s="1321"/>
      <c r="M28" s="1322">
        <f>IFERROR(IF(SEBBusinessType="Company",MIN(--M27,(M26/(1-SDCompanyTaxRate))-M26),M27),0)</f>
        <v>0</v>
      </c>
      <c r="N28" s="1322">
        <f>IFERROR(IF(SEBBusinessType="Company",MIN(--N27,(N26/(1-SDCompanyTaxRate))-N26),N27),0)</f>
        <v>0</v>
      </c>
      <c r="O28" s="1321"/>
      <c r="P28" s="1322">
        <f>IFERROR(IF(SEBBusinessType="Company",MIN(--P27,(P26/(1-SDCompanyTaxRate))-P26),P27),0)</f>
        <v>0</v>
      </c>
      <c r="Q28" s="1322">
        <f>IFERROR(IF(SEBBusinessType="Company",MIN(--Q27,(Q26/(1-SDCompanyTaxRate))-Q26),Q27),0)</f>
        <v>0</v>
      </c>
      <c r="R28" s="1321"/>
      <c r="S28" s="1322">
        <f>IFERROR(IF(SEBBusinessType="Company",MIN(--S27,(S26/(1-SDCompanyTaxRate))-S26),S27),0)</f>
        <v>0</v>
      </c>
      <c r="T28" s="1322">
        <f>IFERROR(IF(SEBBusinessType="Company",MIN(--T27,(T26/(1-SDCompanyTaxRate))-T26),T27),0)</f>
        <v>0</v>
      </c>
      <c r="W28" s="1080" t="s">
        <v>2332</v>
      </c>
      <c r="X28" s="1098" t="str">
        <f>IF(OR(X108,AA108,AD108,AG108,AJ108,AM108,X37&lt;&gt;""),"Review required","")</f>
        <v/>
      </c>
      <c r="AB28"/>
      <c r="AC28"/>
      <c r="AD28"/>
    </row>
    <row r="29" spans="1:30" ht="18.75" hidden="1" customHeight="1" x14ac:dyDescent="0.35">
      <c r="B29" s="375" t="str">
        <f>IF(SEBBusinessType="Company","Assessed annual dividend income","Assessed annual franking credits")</f>
        <v>Assessed annual franking credits</v>
      </c>
      <c r="C29" s="375"/>
      <c r="D29" s="1325">
        <f>IFERROR(IF($X$29="Latest",SUM(D26,D28),SUM(MIN(--D26,(D26+E26)/2),MIN(--D28,(D28+E28)/2))),0)</f>
        <v>0</v>
      </c>
      <c r="E29" s="1323"/>
      <c r="F29" s="1323"/>
      <c r="G29" s="1325">
        <f>IFERROR(IF($X$29="Latest",SUM(G26,G28),SUM(MIN(--G26,(G26+H26)/2),MIN(--G28,(G28+H28)/2))),0)</f>
        <v>0</v>
      </c>
      <c r="H29" s="1323"/>
      <c r="I29" s="1323"/>
      <c r="J29" s="1325">
        <f>IFERROR(IF($X$29="Latest",SUM(J26,J28),SUM(MIN(--J26,(J26+K26)/2),MIN(--J28,(J28+K28)/2))),0)</f>
        <v>0</v>
      </c>
      <c r="K29" s="1323"/>
      <c r="L29" s="1323"/>
      <c r="M29" s="1325">
        <f>IFERROR(IF($X$29="Latest",SUM(M26,M28),SUM(MIN(--M26,(M26+N26)/2),MIN(--M28,(M28+N28)/2))),0)</f>
        <v>0</v>
      </c>
      <c r="N29" s="1323"/>
      <c r="O29" s="1323"/>
      <c r="P29" s="1325">
        <f>IFERROR(IF($X$29="Latest",SUM(P26,P28),SUM(MIN(--P26,(P26+Q26)/2),MIN(--P28,(P28+Q28)/2))),0)</f>
        <v>0</v>
      </c>
      <c r="Q29" s="1323"/>
      <c r="R29" s="1323"/>
      <c r="S29" s="1325">
        <f>IFERROR(IF($X$29="Latest",SUM(S26,S28),SUM(MIN(--S26,(S26+T26)/2),MIN(--S28,(S28+T28)/2))),0)</f>
        <v>0</v>
      </c>
      <c r="T29" s="1324"/>
      <c r="W29" s="1080" t="s">
        <v>925</v>
      </c>
      <c r="X29" s="1098" t="str">
        <f>IFERROR(VLOOKUP(SEBAssessmentType,SEBusinessAssessmentTypeTable[],2,FALSE),"")</f>
        <v/>
      </c>
      <c r="Y29" s="1073"/>
      <c r="Z29" s="1073"/>
      <c r="AA29" s="1073"/>
      <c r="AB29" s="1073"/>
      <c r="AC29" s="1073"/>
      <c r="AD29" s="66"/>
    </row>
    <row r="30" spans="1:30" ht="7.5" hidden="1" customHeight="1" x14ac:dyDescent="0.25">
      <c r="A30"/>
      <c r="B30"/>
      <c r="C30"/>
      <c r="D30" s="1321"/>
      <c r="E30" s="1321"/>
      <c r="F30" s="1321"/>
      <c r="G30" s="1321"/>
      <c r="H30" s="1321"/>
      <c r="I30" s="1321"/>
      <c r="J30" s="1321"/>
      <c r="K30" s="1321"/>
      <c r="L30" s="1321"/>
      <c r="M30" s="1321"/>
      <c r="N30" s="1321"/>
      <c r="O30" s="1321"/>
      <c r="P30" s="1321"/>
      <c r="Q30" s="1321"/>
      <c r="R30" s="1321"/>
      <c r="S30" s="1321"/>
      <c r="T30" s="1321"/>
      <c r="U30"/>
      <c r="V30"/>
      <c r="Y30" s="1073"/>
      <c r="Z30" s="1073"/>
      <c r="AA30" s="1073"/>
      <c r="AB30" s="1073"/>
      <c r="AC30" s="1073"/>
      <c r="AD30" s="66"/>
    </row>
    <row r="31" spans="1:30" ht="18.75" hidden="1" customHeight="1" x14ac:dyDescent="0.25">
      <c r="B31" s="375" t="str">
        <f>SEBBusinessType&amp;" distribution"</f>
        <v xml:space="preserve"> distribution</v>
      </c>
      <c r="C31" s="375"/>
      <c r="D31" s="1320"/>
      <c r="E31" s="1320"/>
      <c r="F31" s="1321"/>
      <c r="G31" s="1320"/>
      <c r="H31" s="1320"/>
      <c r="I31" s="1321"/>
      <c r="J31" s="1424"/>
      <c r="K31" s="1320"/>
      <c r="L31" s="1321"/>
      <c r="M31" s="1424"/>
      <c r="N31" s="1320"/>
      <c r="O31" s="1321"/>
      <c r="P31" s="1424"/>
      <c r="Q31" s="1320"/>
      <c r="R31" s="1321"/>
      <c r="S31" s="1424"/>
      <c r="T31" s="1320"/>
      <c r="W31" s="1080" t="s">
        <v>1787</v>
      </c>
      <c r="X31" s="1095">
        <f>IF(SEBAssessmentType="Latest year",IF(AND(SEBNetProfitLossLY=0,SEBNetProfitLossPY=0),0,IF(SEBNetProfitLossPY=0,1,ABS((SEBNetProfitLossLY-SEBNetProfitLossPY))/ABS(SEBNetProfitLossPY))),0)</f>
        <v>0</v>
      </c>
      <c r="Y31" s="1073"/>
      <c r="Z31" s="1073"/>
      <c r="AA31" s="1073"/>
      <c r="AB31" s="1073"/>
      <c r="AC31" s="1073"/>
      <c r="AD31" s="66"/>
    </row>
    <row r="32" spans="1:30" ht="18.75" hidden="1" customHeight="1" x14ac:dyDescent="0.35">
      <c r="B32" s="375" t="s">
        <v>1622</v>
      </c>
      <c r="C32" s="375"/>
      <c r="D32" s="653">
        <f>IFERROR(ABS(D31/SEBNetProfitLossLY),0)</f>
        <v>0</v>
      </c>
      <c r="E32" s="653">
        <f>IFERROR(ABS(E31/SEBNetProfitLossPY),0)</f>
        <v>0</v>
      </c>
      <c r="F32" s="577"/>
      <c r="G32" s="653">
        <f>IFERROR(ABS(G31/SEBNetProfitLossLY),0)</f>
        <v>0</v>
      </c>
      <c r="H32" s="653">
        <f>IFERROR(ABS(H31/SEBNetProfitLossPY),0)</f>
        <v>0</v>
      </c>
      <c r="I32" s="577"/>
      <c r="J32" s="653">
        <f>IFERROR(ABS(J31/SEBNetProfitLossLY),0)</f>
        <v>0</v>
      </c>
      <c r="K32" s="653">
        <f>IFERROR(ABS(K31/SEBNetProfitLossPY),0)</f>
        <v>0</v>
      </c>
      <c r="L32" s="577"/>
      <c r="M32" s="653">
        <f>IFERROR(ABS(M31/SEBNetProfitLossLY),0)</f>
        <v>0</v>
      </c>
      <c r="N32" s="653">
        <f>IFERROR(ABS(N31/SEBNetProfitLossPY),0)</f>
        <v>0</v>
      </c>
      <c r="O32" s="577"/>
      <c r="P32" s="653">
        <f>IFERROR(ABS(P31/SEBNetProfitLossLY),0)</f>
        <v>0</v>
      </c>
      <c r="Q32" s="653">
        <f>IFERROR(ABS(Q31/SEBNetProfitLossPY),0)</f>
        <v>0</v>
      </c>
      <c r="R32" s="577"/>
      <c r="S32" s="653">
        <f>IFERROR(ABS(S31/SEBNetProfitLossLY),0)</f>
        <v>0</v>
      </c>
      <c r="T32" s="653">
        <f>IFERROR(ABS(T31/SEBNetProfitLossPY),0)</f>
        <v>0</v>
      </c>
      <c r="W32" s="1080" t="s">
        <v>1786</v>
      </c>
      <c r="X32" s="1095">
        <f>IF(SEBAssessmentType="Latest year",IF(AND(SEBAdjustedNetProfitAfterTaxAndRepaymentsLY=0,SEBAdjustedNetProfitAfterTaxAndRepaymentsPY=0),0,IF(SEBAdjustedNetProfitAfterTaxAndRepaymentsPY=0,1,ABS((SEBAdjustedNetProfitAfterTaxAndRepaymentsLY-SEBAdjustedNetProfitAfterTaxAndRepaymentsPY))/ABS(SEBAdjustedNetProfitAfterTaxAndRepaymentsPY))),0)</f>
        <v>0</v>
      </c>
      <c r="Y32" s="1073"/>
      <c r="Z32" s="1073"/>
      <c r="AA32" s="1073"/>
      <c r="AB32" s="1073"/>
      <c r="AC32" s="1073"/>
      <c r="AD32" s="66"/>
    </row>
    <row r="33" spans="1:25" ht="18.75" hidden="1" customHeight="1" x14ac:dyDescent="0.25">
      <c r="B33" s="375" t="s">
        <v>1639</v>
      </c>
      <c r="C33" s="375"/>
      <c r="D33" s="1326">
        <f>IFERROR(IF(SEBBusinessType="Partnership",X60,IF(SEBBusinessType="Trust",X79,0)),0)</f>
        <v>0</v>
      </c>
      <c r="E33" s="1321"/>
      <c r="F33" s="1321"/>
      <c r="G33" s="1326">
        <f>IFERROR(IF(SEBBusinessType="Partnership",AA60,IF(SEBBusinessType="Trust",AA79,0)),0)</f>
        <v>0</v>
      </c>
      <c r="H33" s="1321"/>
      <c r="I33" s="1321"/>
      <c r="J33" s="1326">
        <f>IFERROR(IF(SEBBusinessType="Partnership",AD60,IF(SEBBusinessType="Trust",AD79,0)),0)</f>
        <v>0</v>
      </c>
      <c r="K33" s="1321"/>
      <c r="L33" s="1321"/>
      <c r="M33" s="1326">
        <f>IFERROR(IF(SEBBusinessType="Partnership",AG60,IF(SEBBusinessType="Trust",AG79,0)),0)</f>
        <v>0</v>
      </c>
      <c r="N33" s="1321"/>
      <c r="O33" s="1321"/>
      <c r="P33" s="1326">
        <f>IFERROR(IF(SEBBusinessType="Partnership",AJ60,IF(SEBBusinessType="Trust",AJ79,0)),0)</f>
        <v>0</v>
      </c>
      <c r="Q33" s="1321"/>
      <c r="R33" s="1321"/>
      <c r="S33" s="1326">
        <f>IFERROR(IF(SEBBusinessType="Partnership",AM60,IF(SEBBusinessType="Trust",AM79,0)),0)</f>
        <v>0</v>
      </c>
      <c r="T33" s="1321"/>
      <c r="W33" s="1080" t="s">
        <v>1784</v>
      </c>
      <c r="X33" s="1099" t="str">
        <f>IF(AND(SEBAssessmentType="Latest year",NOT(ISBLANK(SEBNetProfitLossLY)),NOT(ISBLANK(SEBNetProfitLossPY))),IF(OR(SEBNetProfitLossLY&lt;0,SEBNetProfitLossLY&lt;SEBNetProfitLossPY,X31&gt;SDSEBIncomeGrowthThreshold),TRUE,FALSE),"N/A")</f>
        <v>N/A</v>
      </c>
      <c r="Y33" s="1073"/>
    </row>
    <row r="34" spans="1:25" ht="7.5" hidden="1" customHeight="1" x14ac:dyDescent="0.25">
      <c r="A34"/>
      <c r="B34"/>
      <c r="C34"/>
      <c r="D34"/>
      <c r="E34"/>
      <c r="F34"/>
      <c r="G34"/>
      <c r="H34"/>
      <c r="I34"/>
      <c r="J34"/>
      <c r="K34"/>
      <c r="L34"/>
      <c r="M34"/>
      <c r="N34"/>
      <c r="O34"/>
      <c r="P34"/>
      <c r="Q34"/>
      <c r="R34"/>
      <c r="S34"/>
      <c r="T34"/>
      <c r="U34"/>
      <c r="W34" s="1080"/>
      <c r="X34" s="1099"/>
      <c r="Y34" s="1073"/>
    </row>
    <row r="35" spans="1:25" ht="18.75" hidden="1" customHeight="1" x14ac:dyDescent="0.25">
      <c r="B35" s="375" t="s">
        <v>1630</v>
      </c>
      <c r="D35" s="1111"/>
      <c r="E35" s="1111"/>
      <c r="G35" s="1111"/>
      <c r="H35" s="1111"/>
      <c r="J35" s="1113"/>
      <c r="K35" s="1111"/>
      <c r="M35" s="1113"/>
      <c r="N35" s="1111"/>
      <c r="P35" s="1113"/>
      <c r="Q35" s="1111"/>
      <c r="S35" s="1113"/>
      <c r="T35" s="1111"/>
      <c r="W35" s="1080" t="s">
        <v>1785</v>
      </c>
      <c r="X35" s="1099" t="str">
        <f>IF(AND(SEBAssessmentType="Latest year",NOT(ISBLANK(SEBNetProfitLossLY)),NOT(ISBLANK(SEBNetProfitLossPY))),IF(X33="N/A","N/A",IF(X32&gt;SDSEBIncomeGrowthThreshold,TRUE,FALSE)),"N/A")</f>
        <v>N/A</v>
      </c>
      <c r="Y35" s="1073"/>
    </row>
    <row r="36" spans="1:25" ht="18.75" hidden="1" customHeight="1" x14ac:dyDescent="0.25">
      <c r="B36" s="375" t="s">
        <v>2006</v>
      </c>
      <c r="D36" s="690">
        <f>IFERROR(IF(SEBBusinessType="Partnership",X57,IF(SEBBusinessType="Trust",X76,IF(SEBBusinessType="Company",X96,0))),0)</f>
        <v>0</v>
      </c>
      <c r="E36" s="690">
        <f>IFERROR(IF(SEBBusinessType="Partnership",Y57,IF(SEBBusinessType="Trust",Y76,IF(SEBBusinessType="Company",Y96,0))),0)</f>
        <v>0</v>
      </c>
      <c r="G36" s="690">
        <f>IFERROR(IF(SEBBusinessType="Partnership",AA57,IF(SEBBusinessType="Trust",AA76,IF(SEBBusinessType="Company",AA96,0))),0)</f>
        <v>0</v>
      </c>
      <c r="H36" s="690">
        <f>IFERROR(IF(SEBBusinessType="Partnership",AB57,IF(SEBBusinessType="Trust",AB76,IF(SEBBusinessType="Company",AB96,0))),0)</f>
        <v>0</v>
      </c>
      <c r="J36" s="690">
        <f>IFERROR(IF(SEBBusinessType="Partnership",AD57,IF(SEBBusinessType="Trust",AD76,IF(SEBBusinessType="Company",AD96,0))),0)</f>
        <v>0</v>
      </c>
      <c r="K36" s="690">
        <f>IFERROR(IF(SEBBusinessType="Partnership",AE57,IF(SEBBusinessType="Trust",AE76,IF(SEBBusinessType="Company",AE96,0))),0)</f>
        <v>0</v>
      </c>
      <c r="M36" s="690">
        <f>IFERROR(IF(SEBBusinessType="Partnership",AG57,IF(SEBBusinessType="Trust",AG76,IF(SEBBusinessType="Company",AG96,0))),0)</f>
        <v>0</v>
      </c>
      <c r="N36" s="690">
        <f>IFERROR(IF(SEBBusinessType="Partnership",AH57,IF(SEBBusinessType="Trust",AH76,IF(SEBBusinessType="Company",AH96,0))),0)</f>
        <v>0</v>
      </c>
      <c r="P36" s="690">
        <f>IFERROR(IF(SEBBusinessType="Partnership",AJ57,IF(SEBBusinessType="Trust",AJ76,IF(SEBBusinessType="Company",AJ96,0))),0)</f>
        <v>0</v>
      </c>
      <c r="Q36" s="690">
        <f>IFERROR(IF(SEBBusinessType="Partnership",AK57,IF(SEBBusinessType="Trust",AK76,IF(SEBBusinessType="Company",AK96,0))),0)</f>
        <v>0</v>
      </c>
      <c r="S36" s="690">
        <f>IFERROR(IF(SEBBusinessType="Partnership",AM57,IF(SEBBusinessType="Trust",AM76,IF(SEBBusinessType="Company",AM96,0))),0)</f>
        <v>0</v>
      </c>
      <c r="T36" s="690">
        <f>IFERROR(IF(SEBBusinessType="Partnership",AN57,IF(SEBBusinessType="Trust",AN76,IF(SEBBusinessType="Company",AN96,0))),0)</f>
        <v>0</v>
      </c>
      <c r="W36" s="1081" t="s">
        <v>1789</v>
      </c>
      <c r="X36" s="1099" t="str">
        <f>IFERROR(IF(X33,X35,FALSE),"N/A")</f>
        <v>N/A</v>
      </c>
      <c r="Y36" s="1073"/>
    </row>
    <row r="37" spans="1:25" ht="18.75" hidden="1" customHeight="1" x14ac:dyDescent="0.35">
      <c r="B37" s="375" t="s">
        <v>1628</v>
      </c>
      <c r="C37" s="375"/>
      <c r="D37" s="465"/>
      <c r="E37"/>
      <c r="F37" s="577"/>
      <c r="G37" s="465"/>
      <c r="H37"/>
      <c r="I37" s="577"/>
      <c r="J37" s="1425"/>
      <c r="K37"/>
      <c r="L37" s="577"/>
      <c r="M37" s="1425"/>
      <c r="N37"/>
      <c r="O37" s="577"/>
      <c r="P37" s="1425"/>
      <c r="Q37"/>
      <c r="R37" s="577"/>
      <c r="S37" s="1425"/>
      <c r="T37"/>
      <c r="W37" s="1075" t="s">
        <v>1001</v>
      </c>
      <c r="X37" s="1100" t="str">
        <f>IFERROR(VLOOKUP(SEBMessageID,SEIncomeCheckMessages[],2,FALSE),"")</f>
        <v/>
      </c>
      <c r="Y37" s="1073"/>
    </row>
    <row r="38" spans="1:25" ht="18.75" hidden="1" customHeight="1" x14ac:dyDescent="0.35">
      <c r="B38" s="375" t="s">
        <v>1629</v>
      </c>
      <c r="C38" s="375"/>
      <c r="D38" s="465"/>
      <c r="E38"/>
      <c r="F38" s="577"/>
      <c r="G38" s="465"/>
      <c r="H38"/>
      <c r="I38" s="577"/>
      <c r="J38" s="1425"/>
      <c r="K38"/>
      <c r="L38" s="577"/>
      <c r="M38" s="1425"/>
      <c r="N38"/>
      <c r="O38" s="577"/>
      <c r="P38" s="1425"/>
      <c r="Q38"/>
      <c r="R38" s="577"/>
      <c r="S38" s="1425"/>
      <c r="T38"/>
      <c r="W38" s="1075" t="s">
        <v>861</v>
      </c>
      <c r="X38" s="1098" t="str">
        <f>IF(X23,IF(AND(SEBAssessmentType="Latest year",SEBAdjustedNetProfitAfterTaxAndRepaymentsLY&lt;0),"A",IF(AND(SEBAssessmentType="Latest year",SEBIncomeGrowthThresholdCheck=TRUE),"B",IF(OR(X108,AA108,AD108,AG108,AJ108,AM108),"E",IF(SEBBusinessType="Company",IF(SEBAssessmentType="Standard",IF(AND(X48=0,Y48=0),"",IF(OR(X48&lt;5%,Y48&lt;5%),"C",IF(AND(OR(X48&lt;50%,Y48&lt;50%),OR(SEBUndistributedProfitFlagApp1="Yes",SEBUndistributedProfitFlagApp2="Yes",SEBUndistributedProfitFlagApp3="Yes",SEBUndistributedProfitFlagApp4="Yes",SEBUndistributedProfitFlagApp5="Yes",SEBUndistributedProfitFlagApp6="Yes")),"D",""))),IF(X48=0,"",IF(X48&lt;5%,"C",IF(AND(X48&lt;50%,OR(SEBUndistributedProfitFlagApp1="Yes",SEBUndistributedProfitFlagApp2="Yes",SEBUndistributedProfitFlagApp3="Yes",SEBUndistributedProfitFlagApp4="Yes",SEBUndistributedProfitFlagApp5="Yes",SEBUndistributedProfitFlagApp6="Yes")),"D","")))),"")))),"Z")</f>
        <v/>
      </c>
      <c r="Y38" s="1073"/>
    </row>
    <row r="39" spans="1:25" ht="7.5" hidden="1" customHeight="1" x14ac:dyDescent="0.25">
      <c r="A39"/>
      <c r="B39"/>
      <c r="C39"/>
      <c r="D39"/>
      <c r="E39"/>
      <c r="F39"/>
      <c r="G39"/>
      <c r="H39"/>
      <c r="I39"/>
      <c r="J39"/>
      <c r="K39"/>
      <c r="L39"/>
      <c r="M39"/>
      <c r="N39"/>
      <c r="O39"/>
      <c r="P39"/>
      <c r="Q39"/>
      <c r="R39"/>
      <c r="S39"/>
      <c r="T39"/>
      <c r="U39"/>
      <c r="V39"/>
      <c r="Y39" s="1073"/>
    </row>
    <row r="40" spans="1:25" ht="52.5" hidden="1" customHeight="1" x14ac:dyDescent="0.25">
      <c r="C40" s="1112"/>
      <c r="D40" s="1686" t="s">
        <v>2001</v>
      </c>
      <c r="E40" s="1686"/>
      <c r="F40" s="1686"/>
      <c r="G40" s="1686"/>
      <c r="H40" s="1686"/>
      <c r="I40" s="1112"/>
      <c r="J40"/>
      <c r="K40"/>
      <c r="L40"/>
      <c r="M40"/>
      <c r="N40"/>
      <c r="O40"/>
      <c r="P40"/>
      <c r="Q40"/>
      <c r="R40"/>
      <c r="S40"/>
      <c r="T40"/>
      <c r="U40"/>
      <c r="W40" s="398"/>
      <c r="X40" s="1086" t="s">
        <v>307</v>
      </c>
      <c r="Y40" s="1086" t="s">
        <v>298</v>
      </c>
    </row>
    <row r="41" spans="1:25" ht="3.75" hidden="1" customHeight="1" x14ac:dyDescent="0.25">
      <c r="B41" s="375"/>
      <c r="C41" s="375"/>
      <c r="W41" s="398"/>
      <c r="X41" s="616"/>
      <c r="Y41" s="1073"/>
    </row>
    <row r="42" spans="1:25" ht="18.75" hidden="1" customHeight="1" x14ac:dyDescent="0.25">
      <c r="A42" s="595"/>
      <c r="B42" s="1071" t="s">
        <v>1608</v>
      </c>
      <c r="C42" s="576"/>
      <c r="D42" s="593"/>
      <c r="E42" s="593"/>
      <c r="F42" s="593"/>
      <c r="G42" s="593"/>
      <c r="H42" s="593"/>
      <c r="I42" s="593"/>
      <c r="J42" s="594"/>
      <c r="K42" s="594"/>
      <c r="L42" s="593"/>
      <c r="M42" s="592"/>
      <c r="N42" s="592"/>
      <c r="O42" s="593"/>
      <c r="P42" s="592"/>
      <c r="Q42" s="592"/>
      <c r="R42" s="593"/>
      <c r="S42" s="592"/>
      <c r="T42" s="592"/>
      <c r="U42" s="592"/>
    </row>
    <row r="43" spans="1:25" ht="3.75" hidden="1" customHeight="1" x14ac:dyDescent="0.25"/>
    <row r="44" spans="1:25" ht="18.75" hidden="1" customHeight="1" x14ac:dyDescent="0.25">
      <c r="B44" s="375" t="str">
        <f>IF(SEBBusinessType="Company",IF(ISBLANK(SEBBusinessName),"Is this company owned by other business entities?","Is " &amp; SEBBusinessName &amp; " owned by other business entities?"),IF(ISBLANK(SEBBusinessName),"Does this "&amp;LOWER(SEBBusinessType)&amp;" make distributions to other business entities?","Does "&amp;SEBBusinessName&amp;" make distributions to other business entities?"))</f>
        <v>Does this  make distributions to other business entities?</v>
      </c>
      <c r="C44" s="552"/>
      <c r="D44" s="575"/>
      <c r="E44" s="575"/>
      <c r="W44" s="1080" t="s">
        <v>1798</v>
      </c>
      <c r="X44" s="1093">
        <f>IFERROR(SUM(D111,D118:D119,D121:D125)-SUM(D127:D131)+D132-D134,0)</f>
        <v>0</v>
      </c>
      <c r="Y44" s="1093">
        <f>IFERROR(SUM(E111,E118:E119,E121:E125)-SUM(E127:E131)+E132-E134,0)</f>
        <v>0</v>
      </c>
    </row>
    <row r="45" spans="1:25" ht="18.75" hidden="1" customHeight="1" x14ac:dyDescent="0.25">
      <c r="B45" s="375"/>
      <c r="C45" s="552"/>
      <c r="D45" s="575" t="str">
        <f>IF(SEBBusinessType="Company",D23,"")</f>
        <v/>
      </c>
      <c r="E45" s="575" t="str">
        <f>IF(SEBBusinessType&lt;&gt;"Company",D23,"")</f>
        <v>Latest year</v>
      </c>
      <c r="F45" s="575"/>
      <c r="G45" s="575" t="str">
        <f>D23</f>
        <v>Latest year</v>
      </c>
      <c r="W45" s="1075" t="s">
        <v>1797</v>
      </c>
      <c r="X45" s="1093">
        <f>SUM(D118:D119,D121:D125,D132)-SUM(D127:D131,D134)</f>
        <v>0</v>
      </c>
      <c r="Y45" s="1093">
        <f>SUM(E118:E119,E121:E125,E132)-SUM(E127:E131,E134)</f>
        <v>0</v>
      </c>
    </row>
    <row r="46" spans="1:25" ht="18.75" hidden="1" customHeight="1" x14ac:dyDescent="0.25">
      <c r="B46" s="375" t="s">
        <v>886</v>
      </c>
      <c r="C46" s="552">
        <f>SUBTOTAL(103,C47:C106)</f>
        <v>0</v>
      </c>
      <c r="D46" s="575" t="str">
        <f>IF(SEBBusinessType="Company","Shareholding %","")</f>
        <v/>
      </c>
      <c r="E46" s="575" t="str">
        <f>IF(SEBBusinessType&lt;&gt;"Company","Distribution $","")</f>
        <v>Distribution $</v>
      </c>
      <c r="G46" s="575" t="s">
        <v>1622</v>
      </c>
      <c r="W46" s="1075" t="s">
        <v>1799</v>
      </c>
      <c r="X46" s="1093">
        <f>-SUM(D135:D136)</f>
        <v>0</v>
      </c>
      <c r="Y46" s="1093">
        <f>-SUM(E135:E136)</f>
        <v>0</v>
      </c>
    </row>
    <row r="47" spans="1:25" ht="18.75" hidden="1" customHeight="1" x14ac:dyDescent="0.25">
      <c r="B47" s="1327" t="str">
        <f>IF(VLOOKUP(C47,SEBBusinessDataTable[],MATCH("SEBBusinessName",SEBBusinessDataTable[#Headers],0),FALSE)="","Business "&amp;C47&amp;" - "&amp;VLOOKUP(C47,SEBBusinessDataTable[],MATCH("SEBBusinessType",SEBBusinessDataTable[#Headers],0),FALSE),VLOOKUP(C47,SEBBusinessDataTable[],MATCH("SEBBusinessName",SEBBusinessDataTable[#Headers],0),FALSE))</f>
        <v xml:space="preserve">Business 1 - </v>
      </c>
      <c r="C47" s="552">
        <v>1</v>
      </c>
      <c r="D47" s="1111"/>
      <c r="E47" s="1388"/>
      <c r="G47" s="690">
        <f t="shared" ref="G47:G78" si="0">IFERROR(IF(SEBBusinessType="Company",D47,E47/SEBNetProfitLossLY),0)</f>
        <v>0</v>
      </c>
      <c r="W47" s="1075" t="s">
        <v>2014</v>
      </c>
      <c r="X47" s="1097" t="b">
        <f>ABS(SUM(D31,G31,J31,M31,P31,S31,E47:E106))&gt;ABS(SEBNetProfitLossLY)</f>
        <v>0</v>
      </c>
      <c r="Y47" s="1097" t="b">
        <f>ABS(SUM(E31,H31,K31,N31,Q31,T31))&gt;ABS(SEBNetProfitLossPY)</f>
        <v>0</v>
      </c>
    </row>
    <row r="48" spans="1:25" ht="18.75" hidden="1" customHeight="1" x14ac:dyDescent="0.25">
      <c r="B48" s="1327" t="str">
        <f>IF(VLOOKUP(C48,SEBBusinessDataTable[],MATCH("SEBBusinessName",SEBBusinessDataTable[#Headers],0),FALSE)="","Business "&amp;C48&amp;" - "&amp;VLOOKUP(C48,SEBBusinessDataTable[],MATCH("SEBBusinessType",SEBBusinessDataTable[#Headers],0),FALSE),VLOOKUP(C48,SEBBusinessDataTable[],MATCH("SEBBusinessName",SEBBusinessDataTable[#Headers],0),FALSE))</f>
        <v xml:space="preserve">Business 2 - </v>
      </c>
      <c r="C48" s="552">
        <v>2</v>
      </c>
      <c r="D48" s="1111"/>
      <c r="E48" s="1388"/>
      <c r="G48" s="690">
        <f t="shared" si="0"/>
        <v>0</v>
      </c>
      <c r="W48" s="1075" t="s">
        <v>2015</v>
      </c>
      <c r="X48" s="1121">
        <f>SUM(D36,G36,J36,M36,P36,S36)</f>
        <v>0</v>
      </c>
      <c r="Y48" s="1121">
        <f>IF(SEBAssessmentType="Medico","N/A",SUM(E36,H36,K36,N36,Q36,T36))</f>
        <v>0</v>
      </c>
    </row>
    <row r="49" spans="2:45" ht="18.75" hidden="1" customHeight="1" x14ac:dyDescent="0.3">
      <c r="B49" s="1327" t="str">
        <f>IF(VLOOKUP(C49,SEBBusinessDataTable[],MATCH("SEBBusinessName",SEBBusinessDataTable[#Headers],0),FALSE)="","Business "&amp;C49&amp;" - "&amp;VLOOKUP(C49,SEBBusinessDataTable[],MATCH("SEBBusinessType",SEBBusinessDataTable[#Headers],0),FALSE),VLOOKUP(C49,SEBBusinessDataTable[],MATCH("SEBBusinessName",SEBBusinessDataTable[#Headers],0),FALSE))</f>
        <v xml:space="preserve">Business 3 - </v>
      </c>
      <c r="C49" s="552">
        <v>3</v>
      </c>
      <c r="D49" s="1111"/>
      <c r="E49" s="1388"/>
      <c r="G49" s="690">
        <f t="shared" si="0"/>
        <v>0</v>
      </c>
      <c r="W49" s="1083" t="s">
        <v>1794</v>
      </c>
      <c r="X49" s="1084" t="s">
        <v>33</v>
      </c>
      <c r="Y49" s="81"/>
      <c r="Z49" s="81"/>
      <c r="AA49" s="1085" t="s">
        <v>34</v>
      </c>
      <c r="AB49" s="81"/>
      <c r="AC49" s="81"/>
      <c r="AD49" s="1085" t="s">
        <v>35</v>
      </c>
      <c r="AE49" s="628"/>
      <c r="AF49" s="628"/>
      <c r="AG49" s="1085" t="s">
        <v>36</v>
      </c>
      <c r="AH49" s="628"/>
      <c r="AI49" s="628"/>
      <c r="AJ49" s="1085" t="s">
        <v>37</v>
      </c>
      <c r="AK49" s="628"/>
      <c r="AL49" s="628"/>
      <c r="AM49" s="1085" t="s">
        <v>38</v>
      </c>
    </row>
    <row r="50" spans="2:45" ht="18.75" hidden="1" customHeight="1" x14ac:dyDescent="0.25">
      <c r="B50" s="1327" t="str">
        <f>IF(VLOOKUP(C50,SEBBusinessDataTable[],MATCH("SEBBusinessName",SEBBusinessDataTable[#Headers],0),FALSE)="","Business "&amp;C50&amp;" - "&amp;VLOOKUP(C50,SEBBusinessDataTable[],MATCH("SEBBusinessType",SEBBusinessDataTable[#Headers],0),FALSE),VLOOKUP(C50,SEBBusinessDataTable[],MATCH("SEBBusinessName",SEBBusinessDataTable[#Headers],0),FALSE))</f>
        <v xml:space="preserve">Business 4 - </v>
      </c>
      <c r="C50" s="552">
        <v>4</v>
      </c>
      <c r="D50" s="1111"/>
      <c r="E50" s="1388"/>
      <c r="G50" s="690">
        <f t="shared" si="0"/>
        <v>0</v>
      </c>
      <c r="W50" s="1080" t="s">
        <v>1792</v>
      </c>
      <c r="X50" s="1093">
        <f>IF(AND(SEBBusinessType="Sole trader",D$15="Yes"),IF($X$27="Latest",SEBAdjustedNetProfitAfterTaxAndRepaymentsLY,AVERAGE(SEBAdjustedNetProfitAfterTaxAndRepaymentsLY,SEBAdjustedNetProfitAfterTaxAndRepaymentsPY)),0)</f>
        <v>0</v>
      </c>
      <c r="Y50" s="1094"/>
      <c r="Z50" s="1094"/>
      <c r="AA50" s="1093">
        <f>IF(AND(SEBBusinessType="Sole trader",G$15="Yes"),IF($X$27="Latest",SEBAdjustedNetProfitAfterTaxAndRepaymentsLY,AVERAGE(SEBAdjustedNetProfitAfterTaxAndRepaymentsLY,SEBAdjustedNetProfitAfterTaxAndRepaymentsPY)),0)</f>
        <v>0</v>
      </c>
      <c r="AB50" s="1094"/>
      <c r="AC50" s="1094"/>
      <c r="AD50" s="1093">
        <f>IF(AND(SEBBusinessType="Sole trader",J$15="Yes"),IF($X$27="Latest",SEBAdjustedNetProfitAfterTaxAndRepaymentsLY,AVERAGE(SEBAdjustedNetProfitAfterTaxAndRepaymentsLY,SEBAdjustedNetProfitAfterTaxAndRepaymentsPY)),0)</f>
        <v>0</v>
      </c>
      <c r="AE50" s="1094"/>
      <c r="AF50" s="1094"/>
      <c r="AG50" s="1093">
        <f>IF(AND(SEBBusinessType="Sole trader",M$15="Yes"),IF($X$27="Latest",SEBAdjustedNetProfitAfterTaxAndRepaymentsLY,AVERAGE(SEBAdjustedNetProfitAfterTaxAndRepaymentsLY,SEBAdjustedNetProfitAfterTaxAndRepaymentsPY)),0)</f>
        <v>0</v>
      </c>
      <c r="AH50" s="1094"/>
      <c r="AI50" s="1094"/>
      <c r="AJ50" s="1093">
        <f>IF(AND(SEBBusinessType="Sole trader",P$15="Yes"),IF($X$27="Latest",SEBAdjustedNetProfitAfterTaxAndRepaymentsLY,AVERAGE(SEBAdjustedNetProfitAfterTaxAndRepaymentsLY,SEBAdjustedNetProfitAfterTaxAndRepaymentsPY)),0)</f>
        <v>0</v>
      </c>
      <c r="AK50" s="1094"/>
      <c r="AL50" s="1094"/>
      <c r="AM50" s="1093">
        <f>IF(AND(SEBBusinessType="Sole trader",S$15="Yes"),IF($X$27="Latest",SEBAdjustedNetProfitAfterTaxAndRepaymentsLY,AVERAGE(SEBAdjustedNetProfitAfterTaxAndRepaymentsLY,SEBAdjustedNetProfitAfterTaxAndRepaymentsPY)),0)</f>
        <v>0</v>
      </c>
      <c r="AN50" s="81"/>
    </row>
    <row r="51" spans="2:45" ht="18.75" hidden="1" customHeight="1" x14ac:dyDescent="0.25">
      <c r="B51" s="1327" t="str">
        <f>IF(VLOOKUP(C51,SEBBusinessDataTable[],MATCH("SEBBusinessName",SEBBusinessDataTable[#Headers],0),FALSE)="","Business "&amp;C51&amp;" - "&amp;VLOOKUP(C51,SEBBusinessDataTable[],MATCH("SEBBusinessType",SEBBusinessDataTable[#Headers],0),FALSE),VLOOKUP(C51,SEBBusinessDataTable[],MATCH("SEBBusinessName",SEBBusinessDataTable[#Headers],0),FALSE))</f>
        <v xml:space="preserve">Business 5 - </v>
      </c>
      <c r="C51" s="552">
        <v>5</v>
      </c>
      <c r="D51" s="1111"/>
      <c r="E51" s="1388"/>
      <c r="G51" s="690">
        <f t="shared" si="0"/>
        <v>0</v>
      </c>
      <c r="W51" s="1102" t="s">
        <v>1638</v>
      </c>
      <c r="X51" s="1103">
        <f>MAX(X$50,0)</f>
        <v>0</v>
      </c>
      <c r="Y51" s="1094"/>
      <c r="Z51" s="1094"/>
      <c r="AA51" s="1103">
        <f>MAX(AA$50,0)</f>
        <v>0</v>
      </c>
      <c r="AB51" s="1094"/>
      <c r="AC51" s="1094"/>
      <c r="AD51" s="1103">
        <f>MAX(AD$50,0)</f>
        <v>0</v>
      </c>
      <c r="AE51" s="1094"/>
      <c r="AF51" s="1094"/>
      <c r="AG51" s="1103">
        <f>MAX(AG$50,0)</f>
        <v>0</v>
      </c>
      <c r="AH51" s="1094"/>
      <c r="AI51" s="1094"/>
      <c r="AJ51" s="1103">
        <f>MAX(AJ$50,0)</f>
        <v>0</v>
      </c>
      <c r="AK51" s="1094"/>
      <c r="AL51" s="1094"/>
      <c r="AM51" s="1103">
        <f>MAX(AM$50,0)</f>
        <v>0</v>
      </c>
      <c r="AN51" s="81"/>
    </row>
    <row r="52" spans="2:45" ht="18.75" hidden="1" customHeight="1" x14ac:dyDescent="0.25">
      <c r="B52" s="1327" t="str">
        <f>IF(VLOOKUP(C52,SEBBusinessDataTable[],MATCH("SEBBusinessName",SEBBusinessDataTable[#Headers],0),FALSE)="","Business "&amp;C52&amp;" - "&amp;VLOOKUP(C52,SEBBusinessDataTable[],MATCH("SEBBusinessType",SEBBusinessDataTable[#Headers],0),FALSE),VLOOKUP(C52,SEBBusinessDataTable[],MATCH("SEBBusinessName",SEBBusinessDataTable[#Headers],0),FALSE))</f>
        <v xml:space="preserve">Business 6 - </v>
      </c>
      <c r="C52" s="552">
        <v>6</v>
      </c>
      <c r="D52" s="1111"/>
      <c r="E52" s="1388"/>
      <c r="G52" s="690">
        <f t="shared" si="0"/>
        <v>0</v>
      </c>
      <c r="W52" s="1102" t="s">
        <v>1637</v>
      </c>
      <c r="X52" s="1103">
        <f>ABS(MIN(X$50,0))</f>
        <v>0</v>
      </c>
      <c r="Y52" s="1094"/>
      <c r="Z52" s="1094"/>
      <c r="AA52" s="1103">
        <f>ABS(MIN(AA$50,0))</f>
        <v>0</v>
      </c>
      <c r="AB52" s="1094"/>
      <c r="AC52" s="1094"/>
      <c r="AD52" s="1103">
        <f>ABS(MIN(AD$50,0))</f>
        <v>0</v>
      </c>
      <c r="AE52" s="1094"/>
      <c r="AF52" s="1094"/>
      <c r="AG52" s="1103">
        <f>ABS(MIN(AG$50,0))</f>
        <v>0</v>
      </c>
      <c r="AH52" s="1094"/>
      <c r="AI52" s="1094"/>
      <c r="AJ52" s="1103">
        <f>ABS(MIN(AJ$50,0))</f>
        <v>0</v>
      </c>
      <c r="AK52" s="1094"/>
      <c r="AL52" s="1094"/>
      <c r="AM52" s="1103">
        <f>ABS(MIN(AM$50,0))</f>
        <v>0</v>
      </c>
      <c r="AN52" s="81"/>
    </row>
    <row r="53" spans="2:45" ht="18.75" hidden="1" customHeight="1" x14ac:dyDescent="0.25">
      <c r="B53" s="1327" t="str">
        <f>IF(VLOOKUP(C53,SEBBusinessDataTable[],MATCH("SEBBusinessName",SEBBusinessDataTable[#Headers],0),FALSE)="","Business "&amp;C53&amp;" - "&amp;VLOOKUP(C53,SEBBusinessDataTable[],MATCH("SEBBusinessType",SEBBusinessDataTable[#Headers],0),FALSE),VLOOKUP(C53,SEBBusinessDataTable[],MATCH("SEBBusinessName",SEBBusinessDataTable[#Headers],0),FALSE))</f>
        <v xml:space="preserve">Business 7 - </v>
      </c>
      <c r="C53" s="552">
        <v>7</v>
      </c>
      <c r="D53" s="1111"/>
      <c r="E53" s="1388"/>
      <c r="G53" s="690">
        <f t="shared" si="0"/>
        <v>0</v>
      </c>
      <c r="X53" s="1084" t="s">
        <v>33</v>
      </c>
      <c r="Y53" s="81"/>
      <c r="Z53" s="81"/>
      <c r="AA53" s="1085" t="s">
        <v>34</v>
      </c>
      <c r="AB53" s="81"/>
      <c r="AC53" s="81"/>
      <c r="AD53" s="1085" t="s">
        <v>35</v>
      </c>
      <c r="AE53" s="628"/>
      <c r="AF53" s="628"/>
      <c r="AG53" s="1085" t="s">
        <v>36</v>
      </c>
      <c r="AH53" s="628"/>
      <c r="AI53" s="628"/>
      <c r="AJ53" s="1085" t="s">
        <v>37</v>
      </c>
      <c r="AK53" s="628"/>
      <c r="AL53" s="628"/>
      <c r="AM53" s="1085" t="s">
        <v>38</v>
      </c>
      <c r="AN53" s="81"/>
    </row>
    <row r="54" spans="2:45" ht="18.75" hidden="1" customHeight="1" x14ac:dyDescent="0.3">
      <c r="B54" s="1327" t="str">
        <f>IF(VLOOKUP(C54,SEBBusinessDataTable[],MATCH("SEBBusinessName",SEBBusinessDataTable[#Headers],0),FALSE)="","Business "&amp;C54&amp;" - "&amp;VLOOKUP(C54,SEBBusinessDataTable[],MATCH("SEBBusinessType",SEBBusinessDataTable[#Headers],0),FALSE),VLOOKUP(C54,SEBBusinessDataTable[],MATCH("SEBBusinessName",SEBBusinessDataTable[#Headers],0),FALSE))</f>
        <v xml:space="preserve">Business 8 - </v>
      </c>
      <c r="C54" s="552">
        <v>8</v>
      </c>
      <c r="D54" s="1111"/>
      <c r="E54" s="1388"/>
      <c r="G54" s="690">
        <f t="shared" si="0"/>
        <v>0</v>
      </c>
      <c r="W54" s="1088" t="s">
        <v>869</v>
      </c>
      <c r="X54" s="1086" t="s">
        <v>307</v>
      </c>
      <c r="Y54" s="1086" t="s">
        <v>298</v>
      </c>
      <c r="Z54" s="1087"/>
      <c r="AA54" s="1086" t="s">
        <v>307</v>
      </c>
      <c r="AB54" s="1086" t="s">
        <v>298</v>
      </c>
      <c r="AC54" s="1087"/>
      <c r="AD54" s="1086" t="s">
        <v>307</v>
      </c>
      <c r="AE54" s="1086" t="s">
        <v>298</v>
      </c>
      <c r="AF54" s="1087"/>
      <c r="AG54" s="1086" t="s">
        <v>307</v>
      </c>
      <c r="AH54" s="1086" t="s">
        <v>298</v>
      </c>
      <c r="AI54" s="1087"/>
      <c r="AJ54" s="1086" t="s">
        <v>307</v>
      </c>
      <c r="AK54" s="1086" t="s">
        <v>298</v>
      </c>
      <c r="AL54" s="1087"/>
      <c r="AM54" s="1086" t="s">
        <v>307</v>
      </c>
      <c r="AN54" s="1086" t="s">
        <v>298</v>
      </c>
      <c r="AR54" s="1086" t="s">
        <v>307</v>
      </c>
      <c r="AS54" s="1086" t="s">
        <v>298</v>
      </c>
    </row>
    <row r="55" spans="2:45" ht="18.75" hidden="1" customHeight="1" x14ac:dyDescent="0.25">
      <c r="B55" s="1327" t="str">
        <f>IF(VLOOKUP(C55,SEBBusinessDataTable[],MATCH("SEBBusinessName",SEBBusinessDataTable[#Headers],0),FALSE)="","Business "&amp;C55&amp;" - "&amp;VLOOKUP(C55,SEBBusinessDataTable[],MATCH("SEBBusinessType",SEBBusinessDataTable[#Headers],0),FALSE),VLOOKUP(C55,SEBBusinessDataTable[],MATCH("SEBBusinessName",SEBBusinessDataTable[#Headers],0),FALSE))</f>
        <v xml:space="preserve">Business 9 - </v>
      </c>
      <c r="C55" s="552">
        <v>9</v>
      </c>
      <c r="D55" s="1111"/>
      <c r="E55" s="1388"/>
      <c r="G55" s="690">
        <f t="shared" si="0"/>
        <v>0</v>
      </c>
      <c r="W55" s="1075" t="s">
        <v>1809</v>
      </c>
      <c r="X55" s="1089">
        <f>D32</f>
        <v>0</v>
      </c>
      <c r="Y55" s="1089">
        <f>E32</f>
        <v>0</v>
      </c>
      <c r="Z55" s="1091"/>
      <c r="AA55" s="1089">
        <f>G32</f>
        <v>0</v>
      </c>
      <c r="AB55" s="1089">
        <f>H32</f>
        <v>0</v>
      </c>
      <c r="AC55" s="1091"/>
      <c r="AD55" s="1089">
        <f>J32</f>
        <v>0</v>
      </c>
      <c r="AE55" s="1089">
        <f>K32</f>
        <v>0</v>
      </c>
      <c r="AF55" s="1091"/>
      <c r="AG55" s="1089">
        <f>M32</f>
        <v>0</v>
      </c>
      <c r="AH55" s="1089">
        <f>N32</f>
        <v>0</v>
      </c>
      <c r="AI55" s="1091"/>
      <c r="AJ55" s="1089">
        <f>P32</f>
        <v>0</v>
      </c>
      <c r="AK55" s="1089">
        <f>Q32</f>
        <v>0</v>
      </c>
      <c r="AL55" s="1091"/>
      <c r="AM55" s="1089">
        <f>S32</f>
        <v>0</v>
      </c>
      <c r="AN55" s="1089">
        <f>T32</f>
        <v>0</v>
      </c>
      <c r="AQ55" s="1080" t="s">
        <v>2233</v>
      </c>
      <c r="AR55" s="1221" t="b">
        <f>IF(COUNTIF($AR$57:$AR$123,"&gt;0")=COUNT($AR$57:$AR$123)-COUNTIF($AR$57:$AR$123,"=0"), TRUE, IF(COUNTIF($AR$57:$AR$123,"&lt;0")=COUNT($AR$57:$AR$123)-COUNTIF($AR$57:$AR$123,"=0"), TRUE, FALSE))</f>
        <v>1</v>
      </c>
      <c r="AS55" s="1221" t="b">
        <f>IF(COUNTIF($AS$57:$AS$63,"&gt;0")=COUNT($AS$57:$AS$63)-COUNTIF($AS$57:$AS$63,"=0"), TRUE, IF(COUNTIF($AS$57:$AS$63,"&lt;0")=COUNT($AS$57:$AS$63)-COUNTIF($AS$57:$AS$63,"=0"), TRUE, FALSE))</f>
        <v>1</v>
      </c>
    </row>
    <row r="56" spans="2:45" ht="18.75" hidden="1" customHeight="1" x14ac:dyDescent="0.25">
      <c r="B56" s="1327" t="str">
        <f>IF(VLOOKUP(C56,SEBBusinessDataTable[],MATCH("SEBBusinessName",SEBBusinessDataTable[#Headers],0),FALSE)="","Business "&amp;C56&amp;" - "&amp;VLOOKUP(C56,SEBBusinessDataTable[],MATCH("SEBBusinessType",SEBBusinessDataTable[#Headers],0),FALSE),VLOOKUP(C56,SEBBusinessDataTable[],MATCH("SEBBusinessName",SEBBusinessDataTable[#Headers],0),FALSE))</f>
        <v xml:space="preserve">Business 10 - </v>
      </c>
      <c r="C56" s="552">
        <v>10</v>
      </c>
      <c r="D56" s="1111"/>
      <c r="E56" s="1388"/>
      <c r="G56" s="690">
        <f t="shared" si="0"/>
        <v>0</v>
      </c>
      <c r="W56" s="1075" t="s">
        <v>2006</v>
      </c>
      <c r="X56" s="1089">
        <f>IF(SEBBusinessType="Partnership",MIN(SUM(X$106,X55),1),0)</f>
        <v>0</v>
      </c>
      <c r="Y56" s="1090">
        <f>IF(SEBBusinessType="Partnership",MIN(SUM(Y$106,Y55),1),0)</f>
        <v>0</v>
      </c>
      <c r="Z56" s="1091"/>
      <c r="AA56" s="1089">
        <f>IF(SEBBusinessType="Partnership",MIN(SUM(AA$106,AA55),1),0)</f>
        <v>0</v>
      </c>
      <c r="AB56" s="1090">
        <f>IF(SEBBusinessType="Partnership",MIN(SUM(AB$106,AB55),1),0)</f>
        <v>0</v>
      </c>
      <c r="AC56" s="1091"/>
      <c r="AD56" s="1089">
        <f>IF(SEBBusinessType="Partnership",MIN(SUM(AD$106,AD55),1),0)</f>
        <v>0</v>
      </c>
      <c r="AE56" s="1090">
        <f>IF(SEBBusinessType="Partnership",MIN(SUM(AE$106,AE55),1),0)</f>
        <v>0</v>
      </c>
      <c r="AF56" s="1091"/>
      <c r="AG56" s="1089">
        <f>IF(SEBBusinessType="Partnership",MIN(SUM(AG$106,AG55),1),0)</f>
        <v>0</v>
      </c>
      <c r="AH56" s="1090">
        <f>IF(SEBBusinessType="Partnership",MIN(SUM(AH$106,AH55),1),0)</f>
        <v>0</v>
      </c>
      <c r="AI56" s="1091"/>
      <c r="AJ56" s="1089">
        <f>IF(SEBBusinessType="Partnership",MIN(SUM(AJ$106,AJ55),1),0)</f>
        <v>0</v>
      </c>
      <c r="AK56" s="1090">
        <f>IF(SEBBusinessType="Partnership",MIN(SUM(AK$106,AK55),1),0)</f>
        <v>0</v>
      </c>
      <c r="AL56" s="1091"/>
      <c r="AM56" s="1089">
        <f>IF(SEBBusinessType="Partnership",MIN(SUM(AM$106,AM55),1),0)</f>
        <v>0</v>
      </c>
      <c r="AN56" s="1090">
        <f>IF(SEBBusinessType="Partnership",MIN(SUM(AN$106,AN55),1),0)</f>
        <v>0</v>
      </c>
    </row>
    <row r="57" spans="2:45" ht="18.75" hidden="1" customHeight="1" x14ac:dyDescent="0.25">
      <c r="B57" s="1327" t="str">
        <f>IF(VLOOKUP(C57,SEBBusinessDataTable[],MATCH("SEBBusinessName",SEBBusinessDataTable[#Headers],0),FALSE)="","Business "&amp;C57&amp;" - "&amp;VLOOKUP(C57,SEBBusinessDataTable[],MATCH("SEBBusinessType",SEBBusinessDataTable[#Headers],0),FALSE),VLOOKUP(C57,SEBBusinessDataTable[],MATCH("SEBBusinessName",SEBBusinessDataTable[#Headers],0),FALSE))</f>
        <v xml:space="preserve">Business 11 - </v>
      </c>
      <c r="C57" s="552">
        <v>11</v>
      </c>
      <c r="D57" s="1111"/>
      <c r="E57" s="1388"/>
      <c r="G57" s="690">
        <f t="shared" si="0"/>
        <v>0</v>
      </c>
      <c r="W57" s="1075" t="s">
        <v>2031</v>
      </c>
      <c r="X57" s="1089">
        <f>IF(SEBBusinessType="Partnership",X56,0)</f>
        <v>0</v>
      </c>
      <c r="Y57" s="1090">
        <f>IFERROR(IF(SEBBusinessType="Partnership",IF($X$26,Y56,IF($Y$45&lt;0,Y56,MIN(X56,Y56))),0),0)</f>
        <v>0</v>
      </c>
      <c r="Z57" s="1091"/>
      <c r="AA57" s="1089">
        <f>IF(SEBBusinessType="Partnership",AA56,0)</f>
        <v>0</v>
      </c>
      <c r="AB57" s="1090">
        <f>IFERROR(IF(SEBBusinessType="Partnership",IF($X$26,AB56,IF($Y$45&lt;0,AB56,MIN(AA56,AB56))),0),0)</f>
        <v>0</v>
      </c>
      <c r="AC57" s="1091"/>
      <c r="AD57" s="1089">
        <f>IF(SEBBusinessType="Partnership",AD56,0)</f>
        <v>0</v>
      </c>
      <c r="AE57" s="1090">
        <f>IFERROR(IF(SEBBusinessType="Partnership",IF($X$26,AE56,IF($Y$45&lt;0,AE56,MIN(AD56,AE56))),0),0)</f>
        <v>0</v>
      </c>
      <c r="AF57" s="1091"/>
      <c r="AG57" s="1089">
        <f>IF(SEBBusinessType="Partnership",AG56,0)</f>
        <v>0</v>
      </c>
      <c r="AH57" s="1090">
        <f>IFERROR(IF(SEBBusinessType="Partnership",IF($X$26,AH56,IF($Y$45&lt;0,AH56,MIN(AG56,AH56))),0),0)</f>
        <v>0</v>
      </c>
      <c r="AI57" s="1091"/>
      <c r="AJ57" s="1089">
        <f>IF(SEBBusinessType="Partnership",AJ56,0)</f>
        <v>0</v>
      </c>
      <c r="AK57" s="1090">
        <f>IFERROR(IF(SEBBusinessType="Partnership",IF($X$26,AK56,IF($Y$45&lt;0,AK56,MIN(AJ56,AK56))),0),0)</f>
        <v>0</v>
      </c>
      <c r="AL57" s="1091"/>
      <c r="AM57" s="1089">
        <f>IF(SEBBusinessType="Partnership",AM56,0)</f>
        <v>0</v>
      </c>
      <c r="AN57" s="1090">
        <f>IFERROR(IF(SEBBusinessType="Partnership",IF($X$26,AN56,IF($Y$45&lt;0,AN56,MIN(AM56,AN56))),0),0)</f>
        <v>0</v>
      </c>
      <c r="AR57" s="1220">
        <f>D31</f>
        <v>0</v>
      </c>
      <c r="AS57" s="1220">
        <f>E31</f>
        <v>0</v>
      </c>
    </row>
    <row r="58" spans="2:45" ht="18.75" hidden="1" customHeight="1" x14ac:dyDescent="0.25">
      <c r="B58" s="1327" t="str">
        <f>IF(VLOOKUP(C58,SEBBusinessDataTable[],MATCH("SEBBusinessName",SEBBusinessDataTable[#Headers],0),FALSE)="","Business "&amp;C58&amp;" - "&amp;VLOOKUP(C58,SEBBusinessDataTable[],MATCH("SEBBusinessType",SEBBusinessDataTable[#Headers],0),FALSE),VLOOKUP(C58,SEBBusinessDataTable[],MATCH("SEBBusinessName",SEBBusinessDataTable[#Headers],0),FALSE))</f>
        <v xml:space="preserve">Business 12 - </v>
      </c>
      <c r="C58" s="552">
        <v>12</v>
      </c>
      <c r="D58" s="1111"/>
      <c r="E58" s="1388"/>
      <c r="G58" s="690">
        <f t="shared" si="0"/>
        <v>0</v>
      </c>
      <c r="W58" s="1075" t="s">
        <v>1816</v>
      </c>
      <c r="X58" s="1109">
        <f>IF(AND(SEBBusinessType="Partnership",D$15="Yes"),D25,0)</f>
        <v>0</v>
      </c>
      <c r="Y58" s="1110"/>
      <c r="Z58" s="1091"/>
      <c r="AA58" s="1109">
        <f>IF(AND(SEBBusinessType="Partnership",G$15="Yes"),G25,0)</f>
        <v>0</v>
      </c>
      <c r="AB58" s="1110"/>
      <c r="AC58" s="1091"/>
      <c r="AD58" s="1109">
        <f>IF(AND(SEBBusinessType="Partnership",J$15="Yes"),J25,0)</f>
        <v>0</v>
      </c>
      <c r="AE58" s="1110"/>
      <c r="AF58" s="1091"/>
      <c r="AG58" s="1109">
        <f>IF(AND(SEBBusinessType="Partnership",M$15="Yes"),M25,0)</f>
        <v>0</v>
      </c>
      <c r="AH58" s="1110"/>
      <c r="AI58" s="1091"/>
      <c r="AJ58" s="1109">
        <f>IF(AND(SEBBusinessType="Partnership",P$15="Yes"),P25,0)</f>
        <v>0</v>
      </c>
      <c r="AK58" s="1110"/>
      <c r="AL58" s="1091"/>
      <c r="AM58" s="1109">
        <f>IF(AND(SEBBusinessType="Partnership",S$15="Yes"),S25,0)</f>
        <v>0</v>
      </c>
      <c r="AN58" s="1110"/>
      <c r="AR58" s="1220">
        <f>G31</f>
        <v>0</v>
      </c>
      <c r="AS58" s="1220">
        <f>H31</f>
        <v>0</v>
      </c>
    </row>
    <row r="59" spans="2:45" ht="18.75" hidden="1" customHeight="1" x14ac:dyDescent="0.25">
      <c r="B59" s="1327" t="str">
        <f>IF(VLOOKUP(C59,SEBBusinessDataTable[],MATCH("SEBBusinessName",SEBBusinessDataTable[#Headers],0),FALSE)="","Business "&amp;C59&amp;" - "&amp;VLOOKUP(C59,SEBBusinessDataTable[],MATCH("SEBBusinessType",SEBBusinessDataTable[#Headers],0),FALSE),VLOOKUP(C59,SEBBusinessDataTable[],MATCH("SEBBusinessName",SEBBusinessDataTable[#Headers],0),FALSE))</f>
        <v xml:space="preserve">Business 13 - </v>
      </c>
      <c r="C59" s="552">
        <v>13</v>
      </c>
      <c r="D59" s="1111"/>
      <c r="E59" s="1388"/>
      <c r="G59" s="690">
        <f t="shared" si="0"/>
        <v>0</v>
      </c>
      <c r="W59" s="1075" t="s">
        <v>2035</v>
      </c>
      <c r="X59" s="1092">
        <f>IF(AND(SEBBusinessType="Partnership",D$15="Yes"),D31,0)</f>
        <v>0</v>
      </c>
      <c r="Y59" s="1092">
        <f>IF(AND(SEBBusinessType="Partnership",D$15="Yes"),E31,0)</f>
        <v>0</v>
      </c>
      <c r="Z59" s="1091"/>
      <c r="AA59" s="1092">
        <f>IF(AND(SEBBusinessType="Partnership",G$15="Yes"),G31,0)</f>
        <v>0</v>
      </c>
      <c r="AB59" s="1092">
        <f>IF(AND(SEBBusinessType="Partnership",G$15="Yes"),H31,0)</f>
        <v>0</v>
      </c>
      <c r="AC59" s="1091"/>
      <c r="AD59" s="1092">
        <f>IF(AND(SEBBusinessType="Partnership",J$15="Yes"),J31,0)</f>
        <v>0</v>
      </c>
      <c r="AE59" s="1092">
        <f>IF(AND(SEBBusinessType="Partnership",J$15="Yes"),K31,0)</f>
        <v>0</v>
      </c>
      <c r="AF59" s="1091"/>
      <c r="AG59" s="1092">
        <f>IF(AND(SEBBusinessType="Partnership",M$15="Yes"),M31,0)</f>
        <v>0</v>
      </c>
      <c r="AH59" s="1092">
        <f>IF(AND(SEBBusinessType="Partnership",M$15="Yes"),N31,0)</f>
        <v>0</v>
      </c>
      <c r="AI59" s="1091"/>
      <c r="AJ59" s="1092">
        <f>IF(AND(SEBBusinessType="Partnership",P$15="Yes"),P31,0)</f>
        <v>0</v>
      </c>
      <c r="AK59" s="1092">
        <f>IF(AND(SEBBusinessType="Partnership",P$15="Yes"),Q31,0)</f>
        <v>0</v>
      </c>
      <c r="AL59" s="1091"/>
      <c r="AM59" s="1092">
        <f>IF(AND(SEBBusinessType="Partnership",S$15="Yes"),S31,0)</f>
        <v>0</v>
      </c>
      <c r="AN59" s="1092">
        <f>IF(AND(SEBBusinessType="Partnership",S$15="Yes"),T31,0)</f>
        <v>0</v>
      </c>
      <c r="AR59" s="1220">
        <f>J31</f>
        <v>0</v>
      </c>
      <c r="AS59" s="1220">
        <f>K31</f>
        <v>0</v>
      </c>
    </row>
    <row r="60" spans="2:45" ht="18.75" hidden="1" customHeight="1" x14ac:dyDescent="0.25">
      <c r="B60" s="1327" t="str">
        <f>IF(VLOOKUP(C60,SEBBusinessDataTable[],MATCH("SEBBusinessName",SEBBusinessDataTable[#Headers],0),FALSE)="","Business "&amp;C60&amp;" - "&amp;VLOOKUP(C60,SEBBusinessDataTable[],MATCH("SEBBusinessType",SEBBusinessDataTable[#Headers],0),FALSE),VLOOKUP(C60,SEBBusinessDataTable[],MATCH("SEBBusinessName",SEBBusinessDataTable[#Headers],0),FALSE))</f>
        <v xml:space="preserve">Business 14 - </v>
      </c>
      <c r="C60" s="552">
        <v>14</v>
      </c>
      <c r="D60" s="1111"/>
      <c r="E60" s="1388"/>
      <c r="G60" s="690">
        <f t="shared" si="0"/>
        <v>0</v>
      </c>
      <c r="W60" s="1075" t="s">
        <v>1639</v>
      </c>
      <c r="X60" s="1092">
        <f>IF($X$29="Latest",X59,MIN(X59,AVERAGE(X59:Y59)))</f>
        <v>0</v>
      </c>
      <c r="Y60" s="1107"/>
      <c r="Z60" s="1091"/>
      <c r="AA60" s="1092">
        <f>IF($X$29="Latest",AA59,MIN(AA59,AVERAGE(AA59:AB59)))</f>
        <v>0</v>
      </c>
      <c r="AB60" s="1107"/>
      <c r="AC60" s="1091"/>
      <c r="AD60" s="1092">
        <f>IF($X$29="Latest",AD59,MIN(AD59,AVERAGE(AD59:AE59)))</f>
        <v>0</v>
      </c>
      <c r="AE60" s="1107"/>
      <c r="AF60" s="1091"/>
      <c r="AG60" s="1092">
        <f>IF($X$29="Latest",AG59,MIN(AG59,AVERAGE(AG59:AH59)))</f>
        <v>0</v>
      </c>
      <c r="AH60" s="1107"/>
      <c r="AI60" s="1091"/>
      <c r="AJ60" s="1092">
        <f>IF($X$29="Latest",AJ59,MIN(AJ59,AVERAGE(AJ59:AK59)))</f>
        <v>0</v>
      </c>
      <c r="AK60" s="1107"/>
      <c r="AL60" s="1091"/>
      <c r="AM60" s="1092">
        <f>IF($X$29="Latest",AM59,MIN(AM59,AVERAGE(AM59:AN59)))</f>
        <v>0</v>
      </c>
      <c r="AN60" s="1107"/>
      <c r="AR60" s="1220">
        <f>M31</f>
        <v>0</v>
      </c>
      <c r="AS60" s="1220">
        <f>N31</f>
        <v>0</v>
      </c>
    </row>
    <row r="61" spans="2:45" ht="18.75" hidden="1" customHeight="1" x14ac:dyDescent="0.25">
      <c r="B61" s="1327" t="str">
        <f>IF(VLOOKUP(C61,SEBBusinessDataTable[],MATCH("SEBBusinessName",SEBBusinessDataTable[#Headers],0),FALSE)="","Business "&amp;C61&amp;" - "&amp;VLOOKUP(C61,SEBBusinessDataTable[],MATCH("SEBBusinessType",SEBBusinessDataTable[#Headers],0),FALSE),VLOOKUP(C61,SEBBusinessDataTable[],MATCH("SEBBusinessName",SEBBusinessDataTable[#Headers],0),FALSE))</f>
        <v xml:space="preserve">Business 15 - </v>
      </c>
      <c r="C61" s="552">
        <v>15</v>
      </c>
      <c r="D61" s="1111"/>
      <c r="E61" s="1388"/>
      <c r="G61" s="690">
        <f t="shared" si="0"/>
        <v>0</v>
      </c>
      <c r="W61" s="1075" t="s">
        <v>1800</v>
      </c>
      <c r="X61" s="1089">
        <f>IFERROR(IF(AND(SEBBusinessType="Partnership",D$15="Yes"),IF(OR($X$26,SEBNetProfitLossLY-SEBHistoricDistributionLY=0),X57,IF(X57=0,1/SEBTrusteePartnerCount,X57)),0),0)</f>
        <v>0</v>
      </c>
      <c r="Y61" s="1089">
        <f>IFERROR(IF(AND(SEBBusinessType="Partnership",D$15="Yes"),IF(OR($X$26,SEBNetProfitLossPY-SEBHistoricDistributionPY=0),Y57,IF(Y57=0,1/SEBTrusteePartnerCount,Y57)),0),0)</f>
        <v>0</v>
      </c>
      <c r="Z61" s="1094"/>
      <c r="AA61" s="1089">
        <f>IFERROR(IF(AND(SEBBusinessType="Partnership",G$15="Yes"),IF(OR($X$26,SEBNetProfitLossLY-SEBHistoricDistributionLY=0),AA57,IF(AA57=0,1/SEBTrusteePartnerCount,AA57)),0),0)</f>
        <v>0</v>
      </c>
      <c r="AB61" s="1089">
        <f>IFERROR(IF(AND(SEBBusinessType="Partnership",G$15="Yes"),IF(OR($X$26,SEBNetProfitLossPY-SEBHistoricDistributionPY=0),AB57,IF(AB57=0,1/SEBTrusteePartnerCount,AB57)),0),0)</f>
        <v>0</v>
      </c>
      <c r="AC61" s="1094"/>
      <c r="AD61" s="1089">
        <f>IFERROR(IF(AND(SEBBusinessType="Partnership",J$15="Yes"),IF(OR($X$26,SEBNetProfitLossLY-SEBHistoricDistributionLY=0),AD57,IF(AD57=0,1/SEBTrusteePartnerCount,AD57)),0),0)</f>
        <v>0</v>
      </c>
      <c r="AE61" s="1089">
        <f>IFERROR(IF(AND(SEBBusinessType="Partnership",J$15="Yes"),IF(OR($X$26,SEBNetProfitLossPY-SEBHistoricDistributionPY=0),AE57,IF(AE57=0,1/SEBTrusteePartnerCount,AE57)),0),0)</f>
        <v>0</v>
      </c>
      <c r="AF61" s="1094"/>
      <c r="AG61" s="1089">
        <f>IFERROR(IF(AND(SEBBusinessType="Partnership",M$15="Yes"),IF(OR($X$26,SEBNetProfitLossLY-SEBHistoricDistributionLY=0),AG57,IF(AG57=0,1/SEBTrusteePartnerCount,AG57)),0),0)</f>
        <v>0</v>
      </c>
      <c r="AH61" s="1089">
        <f>IFERROR(IF(AND(SEBBusinessType="Partnership",M$15="Yes"),IF(OR($X$26,SEBNetProfitLossPY-SEBHistoricDistributionPY=0),AH57,IF(AH57=0,1/SEBTrusteePartnerCount,AH57)),0),0)</f>
        <v>0</v>
      </c>
      <c r="AI61" s="1094"/>
      <c r="AJ61" s="1089">
        <f>IFERROR(IF(AND(SEBBusinessType="Partnership",P$15="Yes"),IF(OR($X$26,SEBNetProfitLossLY-SEBHistoricDistributionLY=0),AJ57,IF(AJ57=0,1/SEBTrusteePartnerCount,AJ57)),0),0)</f>
        <v>0</v>
      </c>
      <c r="AK61" s="1089">
        <f>IFERROR(IF(AND(SEBBusinessType="Partnership",P$15="Yes"),IF(OR($X$26,SEBNetProfitLossPY-SEBHistoricDistributionPY=0),AK57,IF(AK57=0,1/SEBTrusteePartnerCount,AK57)),0),0)</f>
        <v>0</v>
      </c>
      <c r="AL61" s="1094"/>
      <c r="AM61" s="1089">
        <f>IFERROR(IF(AND(SEBBusinessType="Partnership",S$15="Yes"),IF(OR($X$26,SEBNetProfitLossLY-SEBHistoricDistributionLY=0),AM57,IF(AM57=0,1/SEBTrusteePartnerCount,AM57)),0),0)</f>
        <v>0</v>
      </c>
      <c r="AN61" s="1089">
        <f>IFERROR(IF(AND(SEBBusinessType="Partnership",S$15="Yes"),IF(OR($X$26,SEBNetProfitLossPY-SEBHistoricDistributionPY=0),AN57,IF(AN57=0,1/SEBTrusteePartnerCount,AN57)),0),0)</f>
        <v>0</v>
      </c>
      <c r="AR61" s="1220">
        <f>P31</f>
        <v>0</v>
      </c>
      <c r="AS61" s="1220">
        <f>Q31</f>
        <v>0</v>
      </c>
    </row>
    <row r="62" spans="2:45" ht="18.75" hidden="1" customHeight="1" x14ac:dyDescent="0.25">
      <c r="B62" s="1327" t="str">
        <f>IF(VLOOKUP(C62,SEBBusinessDataTable[],MATCH("SEBBusinessName",SEBBusinessDataTable[#Headers],0),FALSE)="","Business "&amp;C62&amp;" - "&amp;VLOOKUP(C62,SEBBusinessDataTable[],MATCH("SEBBusinessType",SEBBusinessDataTable[#Headers],0),FALSE),VLOOKUP(C62,SEBBusinessDataTable[],MATCH("SEBBusinessName",SEBBusinessDataTable[#Headers],0),FALSE))</f>
        <v xml:space="preserve">Business 16 - </v>
      </c>
      <c r="C62" s="552">
        <v>16</v>
      </c>
      <c r="D62" s="1111"/>
      <c r="E62" s="1388"/>
      <c r="G62" s="690">
        <f t="shared" si="0"/>
        <v>0</v>
      </c>
      <c r="W62" s="1080" t="s">
        <v>1801</v>
      </c>
      <c r="X62" s="1093">
        <f>IF(AND(SEBBusinessType="Partnership",D$15="Yes"),X61*$X$45,0)</f>
        <v>0</v>
      </c>
      <c r="Y62" s="1093">
        <f>IF(AND(SEBBusinessType="Partnership",D$15="Yes"),Y61*$Y$45,0)</f>
        <v>0</v>
      </c>
      <c r="Z62" s="1094"/>
      <c r="AA62" s="1093">
        <f>IF(AND(SEBBusinessType="Partnership",G$15="Yes"),AA61*$X$45,0)</f>
        <v>0</v>
      </c>
      <c r="AB62" s="1093">
        <f>IF(AND(SEBBusinessType="Partnership",G$15="Yes"),AB61*$Y$45,0)</f>
        <v>0</v>
      </c>
      <c r="AC62" s="1094"/>
      <c r="AD62" s="1093">
        <f>IF(AND(SEBBusinessType="Partnership",J$15="Yes"),AD61*$X$45,0)</f>
        <v>0</v>
      </c>
      <c r="AE62" s="1093">
        <f>IF(AND(SEBBusinessType="Partnership",J$15="Yes"),AE61*$Y$45,0)</f>
        <v>0</v>
      </c>
      <c r="AF62" s="1094"/>
      <c r="AG62" s="1093">
        <f>IF(AND(SEBBusinessType="Partnership",M$15="Yes"),AG61*$X$45,0)</f>
        <v>0</v>
      </c>
      <c r="AH62" s="1093">
        <f>IF(AND(SEBBusinessType="Partnership",M$15="Yes"),AH61*$Y$45,0)</f>
        <v>0</v>
      </c>
      <c r="AI62" s="1094"/>
      <c r="AJ62" s="1093">
        <f>IF(AND(SEBBusinessType="Partnership",P$15="Yes"),AJ61*$X$45,0)</f>
        <v>0</v>
      </c>
      <c r="AK62" s="1093">
        <f>IF(AND(SEBBusinessType="Partnership",P$15="Yes"),AK61*$Y$45,0)</f>
        <v>0</v>
      </c>
      <c r="AL62" s="1094"/>
      <c r="AM62" s="1093">
        <f>IF(AND(SEBBusinessType="Partnership",S$15="Yes"),AM61*$X$45,0)</f>
        <v>0</v>
      </c>
      <c r="AN62" s="1093">
        <f>IF(AND(SEBBusinessType="Partnership",S$15="Yes"),AN61*$Y$45,0)</f>
        <v>0</v>
      </c>
      <c r="AR62" s="1220">
        <f>S31</f>
        <v>0</v>
      </c>
      <c r="AS62" s="1220">
        <f>T31</f>
        <v>0</v>
      </c>
    </row>
    <row r="63" spans="2:45" ht="18.75" hidden="1" customHeight="1" x14ac:dyDescent="0.25">
      <c r="B63" s="1327" t="str">
        <f>IF(VLOOKUP(C63,SEBBusinessDataTable[],MATCH("SEBBusinessName",SEBBusinessDataTable[#Headers],0),FALSE)="","Business "&amp;C63&amp;" - "&amp;VLOOKUP(C63,SEBBusinessDataTable[],MATCH("SEBBusinessType",SEBBusinessDataTable[#Headers],0),FALSE),VLOOKUP(C63,SEBBusinessDataTable[],MATCH("SEBBusinessName",SEBBusinessDataTable[#Headers],0),FALSE))</f>
        <v xml:space="preserve">Business 17 - </v>
      </c>
      <c r="C63" s="552">
        <v>17</v>
      </c>
      <c r="D63" s="1111"/>
      <c r="E63" s="1388"/>
      <c r="G63" s="690">
        <f t="shared" si="0"/>
        <v>0</v>
      </c>
      <c r="W63" s="1080" t="s">
        <v>1810</v>
      </c>
      <c r="X63" s="1093">
        <f>IF(AND(SEBBusinessType="Partnership",D$15="Yes"),IF($X$27="Latest",X62,AVERAGE(X62:Y62)),0)</f>
        <v>0</v>
      </c>
      <c r="Y63" s="1101"/>
      <c r="Z63" s="1094"/>
      <c r="AA63" s="1093">
        <f>IF(AND(SEBBusinessType="Partnership",G$15="Yes"),IF($X$27="Latest",AA62,AVERAGE(AA62:AB62)),0)</f>
        <v>0</v>
      </c>
      <c r="AB63" s="1101"/>
      <c r="AC63" s="1094"/>
      <c r="AD63" s="1093">
        <f>IF(AND(SEBBusinessType="Partnership",J$15="Yes"),IF($X$27="Latest",AD62,AVERAGE(AD62:AE62)),0)</f>
        <v>0</v>
      </c>
      <c r="AE63" s="1101"/>
      <c r="AF63" s="1094"/>
      <c r="AG63" s="1093">
        <f>IF(AND(SEBBusinessType="Partnership",M$15="Yes"),IF($X$27="Latest",AG62,AVERAGE(AG62:AH62)),0)</f>
        <v>0</v>
      </c>
      <c r="AH63" s="1101"/>
      <c r="AI63" s="1094"/>
      <c r="AJ63" s="1093">
        <f>IF(AND(SEBBusinessType="Partnership",P$15="Yes"),IF($X$27="Latest",AJ62,AVERAGE(AJ62:AK62)),0)</f>
        <v>0</v>
      </c>
      <c r="AK63" s="1101"/>
      <c r="AL63" s="1094"/>
      <c r="AM63" s="1093">
        <f>IF(AND(SEBBusinessType="Partnership",S$15="Yes"),IF($X$27="Latest",AM62,AVERAGE(AM62:AN62)),0)</f>
        <v>0</v>
      </c>
      <c r="AN63" s="1101"/>
      <c r="AR63" s="1220">
        <f>E47</f>
        <v>0</v>
      </c>
      <c r="AS63" s="1220">
        <f>E111</f>
        <v>0</v>
      </c>
    </row>
    <row r="64" spans="2:45" ht="18.75" hidden="1" customHeight="1" x14ac:dyDescent="0.25">
      <c r="B64" s="1327" t="str">
        <f>IF(VLOOKUP(C64,SEBBusinessDataTable[],MATCH("SEBBusinessName",SEBBusinessDataTable[#Headers],0),FALSE)="","Business "&amp;C64&amp;" - "&amp;VLOOKUP(C64,SEBBusinessDataTable[],MATCH("SEBBusinessType",SEBBusinessDataTable[#Headers],0),FALSE),VLOOKUP(C64,SEBBusinessDataTable[],MATCH("SEBBusinessName",SEBBusinessDataTable[#Headers],0),FALSE))</f>
        <v xml:space="preserve">Business 18 - </v>
      </c>
      <c r="C64" s="552">
        <v>18</v>
      </c>
      <c r="D64" s="1111"/>
      <c r="E64" s="1388"/>
      <c r="G64" s="690">
        <f t="shared" si="0"/>
        <v>0</v>
      </c>
      <c r="W64" s="1108" t="s">
        <v>780</v>
      </c>
      <c r="X64" s="1103">
        <f>SUM(X58,MAX(X60,0),MAX(X63,0))</f>
        <v>0</v>
      </c>
      <c r="Y64" s="1101"/>
      <c r="Z64" s="1094"/>
      <c r="AA64" s="1103">
        <f>SUM(AA58,MAX(AA60,0),MAX(AA63,0))</f>
        <v>0</v>
      </c>
      <c r="AB64" s="1101"/>
      <c r="AC64" s="1094"/>
      <c r="AD64" s="1103">
        <f>SUM(AD58,MAX(AD60,0),MAX(AD63,0))</f>
        <v>0</v>
      </c>
      <c r="AE64" s="1101"/>
      <c r="AF64" s="1094"/>
      <c r="AG64" s="1103">
        <f>SUM(AG58,MAX(AG60,0),MAX(AG63,0))</f>
        <v>0</v>
      </c>
      <c r="AH64" s="1101"/>
      <c r="AI64" s="1094"/>
      <c r="AJ64" s="1103">
        <f>SUM(AJ58,MAX(AJ60,0),MAX(AJ63,0))</f>
        <v>0</v>
      </c>
      <c r="AK64" s="1101"/>
      <c r="AL64" s="1094"/>
      <c r="AM64" s="1103">
        <f>SUM(AM58,MAX(AM60,0),MAX(AM63,0))</f>
        <v>0</v>
      </c>
      <c r="AN64" s="1101"/>
      <c r="AR64" s="1220">
        <f t="shared" ref="AR64:AR122" si="1">E48</f>
        <v>0</v>
      </c>
    </row>
    <row r="65" spans="2:44" ht="18.75" hidden="1" customHeight="1" x14ac:dyDescent="0.25">
      <c r="B65" s="1327" t="str">
        <f>IF(VLOOKUP(C65,SEBBusinessDataTable[],MATCH("SEBBusinessName",SEBBusinessDataTable[#Headers],0),FALSE)="","Business "&amp;C65&amp;" - "&amp;VLOOKUP(C65,SEBBusinessDataTable[],MATCH("SEBBusinessType",SEBBusinessDataTable[#Headers],0),FALSE),VLOOKUP(C65,SEBBusinessDataTable[],MATCH("SEBBusinessName",SEBBusinessDataTable[#Headers],0),FALSE))</f>
        <v xml:space="preserve">Business 19 - </v>
      </c>
      <c r="C65" s="552">
        <v>19</v>
      </c>
      <c r="D65" s="1111"/>
      <c r="E65" s="1388"/>
      <c r="G65" s="690">
        <f t="shared" si="0"/>
        <v>0</v>
      </c>
      <c r="W65" s="1080" t="s">
        <v>1802</v>
      </c>
      <c r="X65" s="1093">
        <f>IF(AND(SEBBusinessType="Partnership",D$15="Yes"),X61*$X$46,0)</f>
        <v>0</v>
      </c>
      <c r="Y65" s="1093">
        <f>IF(AND(SEBBusinessType="Partnership",D$15="Yes"),Y61*$Y$46,0)</f>
        <v>0</v>
      </c>
      <c r="Z65" s="1094"/>
      <c r="AA65" s="1093">
        <f>IF(AND(SEBBusinessType="Partnership",G$15="Yes"),AA61*$X$46,0)</f>
        <v>0</v>
      </c>
      <c r="AB65" s="1093">
        <f>IF(AND(SEBBusinessType="Partnership",G$15="Yes"),AB61*$Y$46,0)</f>
        <v>0</v>
      </c>
      <c r="AC65" s="1094"/>
      <c r="AD65" s="1093">
        <f>IF(AND(SEBBusinessType="Partnership",J$15="Yes"),AD61*$X$46,0)</f>
        <v>0</v>
      </c>
      <c r="AE65" s="1093">
        <f>IF(AND(SEBBusinessType="Partnership",J$15="Yes"),AE61*$Y$46,0)</f>
        <v>0</v>
      </c>
      <c r="AF65" s="1094"/>
      <c r="AG65" s="1093">
        <f>IF(AND(SEBBusinessType="Partnership",M$15="Yes"),AG61*$X$46,0)</f>
        <v>0</v>
      </c>
      <c r="AH65" s="1093">
        <f>IF(AND(SEBBusinessType="Partnership",M$15="Yes"),AH61*$Y$46,0)</f>
        <v>0</v>
      </c>
      <c r="AI65" s="1094"/>
      <c r="AJ65" s="1093">
        <f>IF(AND(SEBBusinessType="Partnership",P$15="Yes"),AJ61*$X$46,0)</f>
        <v>0</v>
      </c>
      <c r="AK65" s="1093">
        <f>IF(AND(SEBBusinessType="Partnership",P$15="Yes"),AK61*$Y$46,0)</f>
        <v>0</v>
      </c>
      <c r="AL65" s="1094"/>
      <c r="AM65" s="1093">
        <f>IF(AND(SEBBusinessType="Partnership",S$15="Yes"),AM61*$X$46,0)</f>
        <v>0</v>
      </c>
      <c r="AN65" s="1093">
        <f>IF(AND(SEBBusinessType="Partnership",S$15="Yes"),AN61*$Y$46,0)</f>
        <v>0</v>
      </c>
      <c r="AR65" s="1220">
        <f t="shared" si="1"/>
        <v>0</v>
      </c>
    </row>
    <row r="66" spans="2:44" ht="18.75" hidden="1" customHeight="1" x14ac:dyDescent="0.25">
      <c r="B66" s="1327" t="str">
        <f>IF(VLOOKUP(C66,SEBBusinessDataTable[],MATCH("SEBBusinessName",SEBBusinessDataTable[#Headers],0),FALSE)="","Business "&amp;C66&amp;" - "&amp;VLOOKUP(C66,SEBBusinessDataTable[],MATCH("SEBBusinessType",SEBBusinessDataTable[#Headers],0),FALSE),VLOOKUP(C66,SEBBusinessDataTable[],MATCH("SEBBusinessName",SEBBusinessDataTable[#Headers],0),FALSE))</f>
        <v xml:space="preserve">Business 20 - </v>
      </c>
      <c r="C66" s="552">
        <v>20</v>
      </c>
      <c r="D66" s="1111"/>
      <c r="E66" s="1388"/>
      <c r="G66" s="690">
        <f t="shared" si="0"/>
        <v>0</v>
      </c>
      <c r="W66" s="1080" t="s">
        <v>1811</v>
      </c>
      <c r="X66" s="1093">
        <f>IF(AND(SEBBusinessType="Partnership",D$15="Yes"),IF($X$27="Latest",X65,AVERAGE(X65:Y65)),0)</f>
        <v>0</v>
      </c>
      <c r="Y66" s="1101"/>
      <c r="AA66" s="1093">
        <f>IF(AND(SEBBusinessType="Partnership",G$15="Yes"),IF($X$27="Latest",AA65,AVERAGE(AA65:AB65)),0)</f>
        <v>0</v>
      </c>
      <c r="AB66" s="1101"/>
      <c r="AD66" s="1093">
        <f>IF(AND(SEBBusinessType="Partnership",J$15="Yes"),IF($X$27="Latest",AD65,AVERAGE(AD65:AE65)),0)</f>
        <v>0</v>
      </c>
      <c r="AE66" s="1101"/>
      <c r="AG66" s="1093">
        <f>IF(AND(SEBBusinessType="Partnership",M$15="Yes"),IF($X$27="Latest",AG65,AVERAGE(AG65:AH65)),0)</f>
        <v>0</v>
      </c>
      <c r="AH66" s="1101"/>
      <c r="AJ66" s="1093">
        <f>IF(AND(SEBBusinessType="Partnership",P$15="Yes"),IF($X$27="Latest",AJ65,AVERAGE(AJ65:AK65)),0)</f>
        <v>0</v>
      </c>
      <c r="AK66" s="1101"/>
      <c r="AM66" s="1093">
        <f>IF(AND(SEBBusinessType="Partnership",S$15="Yes"),IF($X$27="Latest",AM65,AVERAGE(AM65:AN65)),0)</f>
        <v>0</v>
      </c>
      <c r="AN66" s="1101"/>
      <c r="AR66" s="1220">
        <f t="shared" si="1"/>
        <v>0</v>
      </c>
    </row>
    <row r="67" spans="2:44" ht="18.75" hidden="1" customHeight="1" x14ac:dyDescent="0.25">
      <c r="B67" s="1327" t="str">
        <f>IF(VLOOKUP(C67,SEBBusinessDataTable[],MATCH("SEBBusinessName",SEBBusinessDataTable[#Headers],0),FALSE)="","Business "&amp;C67&amp;" - "&amp;VLOOKUP(C67,SEBBusinessDataTable[],MATCH("SEBBusinessType",SEBBusinessDataTable[#Headers],0),FALSE),VLOOKUP(C67,SEBBusinessDataTable[],MATCH("SEBBusinessName",SEBBusinessDataTable[#Headers],0),FALSE))</f>
        <v xml:space="preserve">Business 21 - </v>
      </c>
      <c r="C67" s="552">
        <v>21</v>
      </c>
      <c r="D67" s="1111"/>
      <c r="E67" s="1388"/>
      <c r="G67" s="690">
        <f t="shared" si="0"/>
        <v>0</v>
      </c>
      <c r="W67" s="1080" t="s">
        <v>1803</v>
      </c>
      <c r="X67" s="1093">
        <f>IF(AND(SEBBusinessType="Partnership",D$15="Yes"),IF(SEBNetProfitLossLY&lt;0,IF((SEBNetProfitLossLY-SEBHistoricDistributionLY)&lt;0,(SEBNetProfitLossLY-SEBHistoricDistributionLY)/SEBTrusteePartnerCount,0),0),0)</f>
        <v>0</v>
      </c>
      <c r="Y67" s="1093">
        <f>IF(AND(SEBBusinessType="Partnership",D$15="Yes"),IF(SEBNetProfitLossPY&lt;0,IF((SEBNetProfitLossPY-SEBHistoricDistributionPY)&lt;0,(SEBNetProfitLossPY-SEBHistoricDistributionPY)/SEBTrusteePartnerCount,0),0),0)</f>
        <v>0</v>
      </c>
      <c r="Z67" s="1094"/>
      <c r="AA67" s="1093">
        <f>IF(AND(SEBBusinessType="Partnership",G$15="Yes"),IF(SEBNetProfitLossLY&lt;0,IF((SEBNetProfitLossLY-SEBHistoricDistributionLY)&lt;0,(SEBNetProfitLossLY-SEBHistoricDistributionLY)/SEBTrusteePartnerCount,0),0),0)</f>
        <v>0</v>
      </c>
      <c r="AB67" s="1093">
        <f>IF(AND(SEBBusinessType="Partnership",G$15="Yes"),IF(SEBNetProfitLossPY&lt;0,IF((SEBNetProfitLossPY-SEBHistoricDistributionPY)&lt;0,(SEBNetProfitLossPY-SEBHistoricDistributionPY)/SEBTrusteePartnerCount,0),0),0)</f>
        <v>0</v>
      </c>
      <c r="AC67" s="1094"/>
      <c r="AD67" s="1093">
        <f>IF(AND(SEBBusinessType="Partnership",J$15="Yes"),IF(SEBNetProfitLossLY&lt;0,IF((SEBNetProfitLossLY-SEBHistoricDistributionLY)&lt;0,(SEBNetProfitLossLY-SEBHistoricDistributionLY)/SEBTrusteePartnerCount,0),0),0)</f>
        <v>0</v>
      </c>
      <c r="AE67" s="1093">
        <f>IF(AND(SEBBusinessType="Partnership",J$15="Yes"),IF(SEBNetProfitLossPY&lt;0,IF((SEBNetProfitLossPY-SEBHistoricDistributionPY)&lt;0,(SEBNetProfitLossPY-SEBHistoricDistributionPY)/SEBTrusteePartnerCount,0),0),0)</f>
        <v>0</v>
      </c>
      <c r="AF67" s="1094"/>
      <c r="AG67" s="1093">
        <f>IF(AND(SEBBusinessType="Partnership",M$15="Yes"),IF(SEBNetProfitLossLY&lt;0,IF((SEBNetProfitLossLY-SEBHistoricDistributionLY)&lt;0,(SEBNetProfitLossLY-SEBHistoricDistributionLY)/SEBTrusteePartnerCount,0),0),0)</f>
        <v>0</v>
      </c>
      <c r="AH67" s="1093">
        <f>IF(AND(SEBBusinessType="Partnership",M$15="Yes"),IF(SEBNetProfitLossPY&lt;0,IF((SEBNetProfitLossPY-SEBHistoricDistributionPY)&lt;0,(SEBNetProfitLossPY-SEBHistoricDistributionPY)/SEBTrusteePartnerCount,0),0),0)</f>
        <v>0</v>
      </c>
      <c r="AI67" s="1094"/>
      <c r="AJ67" s="1093">
        <f>IF(AND(SEBBusinessType="Partnership",P$15="Yes"),IF(SEBNetProfitLossLY&lt;0,IF((SEBNetProfitLossLY-SEBHistoricDistributionLY)&lt;0,(SEBNetProfitLossLY-SEBHistoricDistributionLY)/SEBTrusteePartnerCount,0),0),0)</f>
        <v>0</v>
      </c>
      <c r="AK67" s="1093">
        <f>IF(AND(SEBBusinessType="Partnership",P$15="Yes"),IF(SEBNetProfitLossPY&lt;0,IF((SEBNetProfitLossPY-SEBHistoricDistributionPY)&lt;0,(SEBNetProfitLossPY-SEBHistoricDistributionPY)/SEBTrusteePartnerCount,0),0),0)</f>
        <v>0</v>
      </c>
      <c r="AL67" s="1094"/>
      <c r="AM67" s="1093">
        <f>IF(AND(SEBBusinessType="Partnership",S$15="Yes"),IF(SEBNetProfitLossLY&lt;0,IF((SEBNetProfitLossLY-SEBHistoricDistributionLY)&lt;0,(SEBNetProfitLossLY-SEBHistoricDistributionLY)/SEBTrusteePartnerCount,0),0),0)</f>
        <v>0</v>
      </c>
      <c r="AN67" s="1093">
        <f>IF(AND(SEBBusinessType="Partnership",S$15="Yes"),IF(SEBNetProfitLossPY&lt;0,IF((SEBNetProfitLossPY-SEBHistoricDistributionPY)&lt;0,(SEBNetProfitLossPY-SEBHistoricDistributionPY)/SEBTrusteePartnerCount,0),0),0)</f>
        <v>0</v>
      </c>
      <c r="AR67" s="1220">
        <f t="shared" si="1"/>
        <v>0</v>
      </c>
    </row>
    <row r="68" spans="2:44" ht="18.75" hidden="1" customHeight="1" x14ac:dyDescent="0.25">
      <c r="B68" s="1327" t="str">
        <f>IF(VLOOKUP(C68,SEBBusinessDataTable[],MATCH("SEBBusinessName",SEBBusinessDataTable[#Headers],0),FALSE)="","Business "&amp;C68&amp;" - "&amp;VLOOKUP(C68,SEBBusinessDataTable[],MATCH("SEBBusinessType",SEBBusinessDataTable[#Headers],0),FALSE),VLOOKUP(C68,SEBBusinessDataTable[],MATCH("SEBBusinessName",SEBBusinessDataTable[#Headers],0),FALSE))</f>
        <v xml:space="preserve">Business 22 - </v>
      </c>
      <c r="C68" s="552">
        <v>22</v>
      </c>
      <c r="D68" s="1111"/>
      <c r="E68" s="1388"/>
      <c r="G68" s="690">
        <f t="shared" si="0"/>
        <v>0</v>
      </c>
      <c r="W68" s="1080" t="s">
        <v>1804</v>
      </c>
      <c r="X68" s="1093">
        <f>IF(AND(SEBBusinessType="Partnership",D$15="Yes"),IF($X$27="Latest",X67,AVERAGE(X67:Y67)),0)</f>
        <v>0</v>
      </c>
      <c r="Y68" s="1101"/>
      <c r="Z68" s="1094"/>
      <c r="AA68" s="1093">
        <f>IF(AND(SEBBusinessType="Partnership",G$15="Yes"),IF($X$27="Latest",AA67,AVERAGE(AA67:AB67)),0)</f>
        <v>0</v>
      </c>
      <c r="AB68" s="1101"/>
      <c r="AC68" s="1094"/>
      <c r="AD68" s="1093">
        <f>IF(AND(SEBBusinessType="Partnership",J$15="Yes"),IF($X$27="Latest",AD67,AVERAGE(AD67:AE67)),0)</f>
        <v>0</v>
      </c>
      <c r="AE68" s="1101"/>
      <c r="AF68" s="1094"/>
      <c r="AG68" s="1093">
        <f>IF(AND(SEBBusinessType="Partnership",M$15="Yes"),IF($X$27="Latest",AG67,AVERAGE(AG67:AH67)),0)</f>
        <v>0</v>
      </c>
      <c r="AH68" s="1101"/>
      <c r="AI68" s="1094"/>
      <c r="AJ68" s="1093">
        <f>IF(AND(SEBBusinessType="Partnership",P$15="Yes"),IF($X$27="Latest",AJ67,AVERAGE(AJ67:AK67)),0)</f>
        <v>0</v>
      </c>
      <c r="AK68" s="1101"/>
      <c r="AL68" s="1094"/>
      <c r="AM68" s="1093">
        <f>IF(AND(SEBBusinessType="Partnership",S$15="Yes"),IF($X$27="Latest",AM67,AVERAGE(AM67:AN67)),0)</f>
        <v>0</v>
      </c>
      <c r="AN68" s="1101"/>
      <c r="AR68" s="1220">
        <f t="shared" si="1"/>
        <v>0</v>
      </c>
    </row>
    <row r="69" spans="2:44" ht="18.75" hidden="1" customHeight="1" x14ac:dyDescent="0.25">
      <c r="B69" s="1327" t="str">
        <f>IF(VLOOKUP(C69,SEBBusinessDataTable[],MATCH("SEBBusinessName",SEBBusinessDataTable[#Headers],0),FALSE)="","Business "&amp;C69&amp;" - "&amp;VLOOKUP(C69,SEBBusinessDataTable[],MATCH("SEBBusinessType",SEBBusinessDataTable[#Headers],0),FALSE),VLOOKUP(C69,SEBBusinessDataTable[],MATCH("SEBBusinessName",SEBBusinessDataTable[#Headers],0),FALSE))</f>
        <v xml:space="preserve">Business 23 - </v>
      </c>
      <c r="C69" s="552">
        <v>23</v>
      </c>
      <c r="D69" s="1111"/>
      <c r="E69" s="1388"/>
      <c r="G69" s="690">
        <f t="shared" si="0"/>
        <v>0</v>
      </c>
      <c r="W69" s="1080" t="s">
        <v>1812</v>
      </c>
      <c r="X69" s="1093">
        <f>SUM(X66,X68)</f>
        <v>0</v>
      </c>
      <c r="Y69" s="1101"/>
      <c r="Z69" s="1094"/>
      <c r="AA69" s="1093">
        <f>SUM(AA66,AA68)</f>
        <v>0</v>
      </c>
      <c r="AB69" s="1101"/>
      <c r="AC69" s="1094"/>
      <c r="AD69" s="1093">
        <f>SUM(AD66,AD68)</f>
        <v>0</v>
      </c>
      <c r="AE69" s="1101"/>
      <c r="AF69" s="1094"/>
      <c r="AG69" s="1093">
        <f>SUM(AG66,AG68)</f>
        <v>0</v>
      </c>
      <c r="AH69" s="1101"/>
      <c r="AI69" s="1094"/>
      <c r="AJ69" s="1093">
        <f>SUM(AJ66,AJ68)</f>
        <v>0</v>
      </c>
      <c r="AK69" s="1101"/>
      <c r="AL69" s="1094"/>
      <c r="AM69" s="1093">
        <f>SUM(AM66,AM68)</f>
        <v>0</v>
      </c>
      <c r="AN69" s="1101"/>
      <c r="AR69" s="1220">
        <f t="shared" si="1"/>
        <v>0</v>
      </c>
    </row>
    <row r="70" spans="2:44" ht="18.75" hidden="1" customHeight="1" x14ac:dyDescent="0.25">
      <c r="B70" s="1327" t="str">
        <f>IF(VLOOKUP(C70,SEBBusinessDataTable[],MATCH("SEBBusinessName",SEBBusinessDataTable[#Headers],0),FALSE)="","Business "&amp;C70&amp;" - "&amp;VLOOKUP(C70,SEBBusinessDataTable[],MATCH("SEBBusinessType",SEBBusinessDataTable[#Headers],0),FALSE),VLOOKUP(C70,SEBBusinessDataTable[],MATCH("SEBBusinessName",SEBBusinessDataTable[#Headers],0),FALSE))</f>
        <v xml:space="preserve">Business 24 - </v>
      </c>
      <c r="C70" s="552">
        <v>24</v>
      </c>
      <c r="D70" s="1111"/>
      <c r="E70" s="1388"/>
      <c r="G70" s="690">
        <f t="shared" si="0"/>
        <v>0</v>
      </c>
      <c r="W70" s="1102" t="s">
        <v>1638</v>
      </c>
      <c r="X70" s="1103">
        <f>IF(AND(SEBBusinessType="Partnership",D$15="Yes"),MAX(X64,0),0)</f>
        <v>0</v>
      </c>
      <c r="Y70"/>
      <c r="Z70" s="1104"/>
      <c r="AA70" s="1103">
        <f>IF(AND(SEBBusinessType="Partnership",G$15="Yes"),MAX(AA64,0),0)</f>
        <v>0</v>
      </c>
      <c r="AB70"/>
      <c r="AC70" s="1104"/>
      <c r="AD70" s="1103">
        <f>IF(AND(SEBBusinessType="Partnership",J$15="Yes"),MAX(AD64,0),0)</f>
        <v>0</v>
      </c>
      <c r="AE70"/>
      <c r="AF70" s="1104"/>
      <c r="AG70" s="1103">
        <f>IF(AND(SEBBusinessType="Partnership",M$15="Yes"),MAX(AG64,0),0)</f>
        <v>0</v>
      </c>
      <c r="AH70"/>
      <c r="AI70" s="1104"/>
      <c r="AJ70" s="1103">
        <f>IF(AND(SEBBusinessType="Partnership",P$15="Yes"),MAX(AJ64,0),0)</f>
        <v>0</v>
      </c>
      <c r="AK70"/>
      <c r="AL70" s="1104"/>
      <c r="AM70" s="1103">
        <f>IF(AND(SEBBusinessType="Partnership",S$15="Yes"),MAX(AM64,0),0)</f>
        <v>0</v>
      </c>
      <c r="AN70"/>
      <c r="AR70" s="1220">
        <f t="shared" si="1"/>
        <v>0</v>
      </c>
    </row>
    <row r="71" spans="2:44" ht="18.75" hidden="1" customHeight="1" x14ac:dyDescent="0.3">
      <c r="B71" s="1327" t="str">
        <f>IF(VLOOKUP(C71,SEBBusinessDataTable[],MATCH("SEBBusinessName",SEBBusinessDataTable[#Headers],0),FALSE)="","Business "&amp;C71&amp;" - "&amp;VLOOKUP(C71,SEBBusinessDataTable[],MATCH("SEBBusinessType",SEBBusinessDataTable[#Headers],0),FALSE),VLOOKUP(C71,SEBBusinessDataTable[],MATCH("SEBBusinessName",SEBBusinessDataTable[#Headers],0),FALSE))</f>
        <v xml:space="preserve">Business 25 - </v>
      </c>
      <c r="C71" s="552">
        <v>25</v>
      </c>
      <c r="D71" s="1111"/>
      <c r="E71" s="1388"/>
      <c r="G71" s="690">
        <f t="shared" si="0"/>
        <v>0</v>
      </c>
      <c r="W71" s="1102" t="s">
        <v>1637</v>
      </c>
      <c r="X71" s="1103">
        <f>IF(AND(SEBBusinessType="Partnership",D$15="Yes"),ABS(MIN(X60,0))+ABS(MIN(X63,0))+ABS(MIN(X64,0))+ABS(X69),0)</f>
        <v>0</v>
      </c>
      <c r="Z71" s="446"/>
      <c r="AA71" s="1103">
        <f>IF(AND(SEBBusinessType="Partnership",G$15="Yes"),ABS(MIN(AA60,0))+ABS(MIN(AA63,0))+ABS(MIN(AA64,0))+ABS(AA69),0)</f>
        <v>0</v>
      </c>
      <c r="AC71" s="446"/>
      <c r="AD71" s="1103">
        <f>IF(AND(SEBBusinessType="Partnership",J$15="Yes"),ABS(MIN(AD60,0))+ABS(MIN(AD63,0))+ABS(MIN(AD64,0))+ABS(AD69),0)</f>
        <v>0</v>
      </c>
      <c r="AF71" s="446"/>
      <c r="AG71" s="1103">
        <f>IF(AND(SEBBusinessType="Partnership",M$15="Yes"),ABS(MIN(AG60,0))+ABS(MIN(AG63,0))+ABS(MIN(AG64,0))+ABS(AG69),0)</f>
        <v>0</v>
      </c>
      <c r="AI71" s="446"/>
      <c r="AJ71" s="1103">
        <f>IF(AND(SEBBusinessType="Partnership",P$15="Yes"),ABS(MIN(AJ60,0))+ABS(MIN(AJ63,0))+ABS(MIN(AJ64,0))+ABS(AJ69),0)</f>
        <v>0</v>
      </c>
      <c r="AL71" s="446"/>
      <c r="AM71" s="1103">
        <f>IF(AND(SEBBusinessType="Partnership",S$15="Yes"),ABS(MIN(AM60,0))+ABS(MIN(AM63,0))+ABS(MIN(AM64,0))+ABS(AM69),0)</f>
        <v>0</v>
      </c>
      <c r="AR71" s="1220">
        <f t="shared" si="1"/>
        <v>0</v>
      </c>
    </row>
    <row r="72" spans="2:44" ht="18.75" hidden="1" customHeight="1" x14ac:dyDescent="0.25">
      <c r="B72" s="1327" t="str">
        <f>IF(VLOOKUP(C72,SEBBusinessDataTable[],MATCH("SEBBusinessName",SEBBusinessDataTable[#Headers],0),FALSE)="","Business "&amp;C72&amp;" - "&amp;VLOOKUP(C72,SEBBusinessDataTable[],MATCH("SEBBusinessType",SEBBusinessDataTable[#Headers],0),FALSE),VLOOKUP(C72,SEBBusinessDataTable[],MATCH("SEBBusinessName",SEBBusinessDataTable[#Headers],0),FALSE))</f>
        <v xml:space="preserve">Business 26 - </v>
      </c>
      <c r="C72" s="552">
        <v>26</v>
      </c>
      <c r="D72" s="1111"/>
      <c r="E72" s="1388"/>
      <c r="G72" s="690">
        <f t="shared" si="0"/>
        <v>0</v>
      </c>
      <c r="X72" s="1084" t="s">
        <v>33</v>
      </c>
      <c r="Y72" s="81"/>
      <c r="Z72" s="81"/>
      <c r="AA72" s="1085" t="s">
        <v>34</v>
      </c>
      <c r="AB72" s="81"/>
      <c r="AC72" s="81"/>
      <c r="AD72" s="1085" t="s">
        <v>35</v>
      </c>
      <c r="AE72" s="628"/>
      <c r="AF72" s="628"/>
      <c r="AG72" s="1085" t="s">
        <v>36</v>
      </c>
      <c r="AH72" s="628"/>
      <c r="AI72" s="628"/>
      <c r="AJ72" s="1085" t="s">
        <v>37</v>
      </c>
      <c r="AK72" s="628"/>
      <c r="AL72" s="628"/>
      <c r="AM72" s="1085" t="s">
        <v>38</v>
      </c>
      <c r="AR72" s="1220">
        <f t="shared" si="1"/>
        <v>0</v>
      </c>
    </row>
    <row r="73" spans="2:44" ht="18.75" hidden="1" customHeight="1" x14ac:dyDescent="0.3">
      <c r="B73" s="1327" t="str">
        <f>IF(VLOOKUP(C73,SEBBusinessDataTable[],MATCH("SEBBusinessName",SEBBusinessDataTable[#Headers],0),FALSE)="","Business "&amp;C73&amp;" - "&amp;VLOOKUP(C73,SEBBusinessDataTable[],MATCH("SEBBusinessType",SEBBusinessDataTable[#Headers],0),FALSE),VLOOKUP(C73,SEBBusinessDataTable[],MATCH("SEBBusinessName",SEBBusinessDataTable[#Headers],0),FALSE))</f>
        <v xml:space="preserve">Business 27 - </v>
      </c>
      <c r="C73" s="552">
        <v>27</v>
      </c>
      <c r="D73" s="1111"/>
      <c r="E73" s="1388"/>
      <c r="G73" s="690">
        <f t="shared" si="0"/>
        <v>0</v>
      </c>
      <c r="W73" s="1088" t="s">
        <v>871</v>
      </c>
      <c r="X73" s="1086" t="s">
        <v>307</v>
      </c>
      <c r="Y73" s="1086" t="s">
        <v>298</v>
      </c>
      <c r="Z73" s="1087"/>
      <c r="AA73" s="1086" t="s">
        <v>307</v>
      </c>
      <c r="AB73" s="1086" t="s">
        <v>298</v>
      </c>
      <c r="AC73" s="1087"/>
      <c r="AD73" s="1086" t="s">
        <v>307</v>
      </c>
      <c r="AE73" s="1086" t="s">
        <v>298</v>
      </c>
      <c r="AF73" s="1087"/>
      <c r="AG73" s="1086" t="s">
        <v>307</v>
      </c>
      <c r="AH73" s="1086" t="s">
        <v>298</v>
      </c>
      <c r="AI73" s="1087"/>
      <c r="AJ73" s="1086" t="s">
        <v>307</v>
      </c>
      <c r="AK73" s="1086" t="s">
        <v>298</v>
      </c>
      <c r="AL73" s="1087"/>
      <c r="AM73" s="1086" t="s">
        <v>307</v>
      </c>
      <c r="AN73" s="1086" t="s">
        <v>298</v>
      </c>
      <c r="AR73" s="1220">
        <f t="shared" si="1"/>
        <v>0</v>
      </c>
    </row>
    <row r="74" spans="2:44" ht="18.75" hidden="1" customHeight="1" x14ac:dyDescent="0.25">
      <c r="B74" s="1327" t="str">
        <f>IF(VLOOKUP(C74,SEBBusinessDataTable[],MATCH("SEBBusinessName",SEBBusinessDataTable[#Headers],0),FALSE)="","Business "&amp;C74&amp;" - "&amp;VLOOKUP(C74,SEBBusinessDataTable[],MATCH("SEBBusinessType",SEBBusinessDataTable[#Headers],0),FALSE),VLOOKUP(C74,SEBBusinessDataTable[],MATCH("SEBBusinessName",SEBBusinessDataTable[#Headers],0),FALSE))</f>
        <v xml:space="preserve">Business 28 - </v>
      </c>
      <c r="C74" s="552">
        <v>28</v>
      </c>
      <c r="D74" s="1111"/>
      <c r="E74" s="1388"/>
      <c r="G74" s="690">
        <f t="shared" si="0"/>
        <v>0</v>
      </c>
      <c r="W74" s="1075" t="s">
        <v>1809</v>
      </c>
      <c r="X74" s="1089">
        <f>D32</f>
        <v>0</v>
      </c>
      <c r="Y74" s="1089">
        <f>E32</f>
        <v>0</v>
      </c>
      <c r="Z74" s="1091"/>
      <c r="AA74" s="1089">
        <f>G32</f>
        <v>0</v>
      </c>
      <c r="AB74" s="1089">
        <f>H32</f>
        <v>0</v>
      </c>
      <c r="AC74" s="1091"/>
      <c r="AD74" s="1089">
        <f>J32</f>
        <v>0</v>
      </c>
      <c r="AE74" s="1089">
        <f>K32</f>
        <v>0</v>
      </c>
      <c r="AF74" s="1091"/>
      <c r="AG74" s="1089">
        <f>M32</f>
        <v>0</v>
      </c>
      <c r="AH74" s="1089">
        <f>N32</f>
        <v>0</v>
      </c>
      <c r="AI74" s="1091"/>
      <c r="AJ74" s="1089">
        <f>P32</f>
        <v>0</v>
      </c>
      <c r="AK74" s="1089">
        <f>Q32</f>
        <v>0</v>
      </c>
      <c r="AL74" s="1091"/>
      <c r="AM74" s="1089">
        <f>S32</f>
        <v>0</v>
      </c>
      <c r="AN74" s="1089">
        <f>T32</f>
        <v>0</v>
      </c>
      <c r="AR74" s="1220">
        <f t="shared" si="1"/>
        <v>0</v>
      </c>
    </row>
    <row r="75" spans="2:44" ht="18.75" hidden="1" customHeight="1" x14ac:dyDescent="0.25">
      <c r="B75" s="1327" t="str">
        <f>IF(VLOOKUP(C75,SEBBusinessDataTable[],MATCH("SEBBusinessName",SEBBusinessDataTable[#Headers],0),FALSE)="","Business "&amp;C75&amp;" - "&amp;VLOOKUP(C75,SEBBusinessDataTable[],MATCH("SEBBusinessType",SEBBusinessDataTable[#Headers],0),FALSE),VLOOKUP(C75,SEBBusinessDataTable[],MATCH("SEBBusinessName",SEBBusinessDataTable[#Headers],0),FALSE))</f>
        <v xml:space="preserve">Business 29 - </v>
      </c>
      <c r="C75" s="552">
        <v>29</v>
      </c>
      <c r="D75" s="1111"/>
      <c r="E75" s="1388"/>
      <c r="G75" s="690">
        <f t="shared" si="0"/>
        <v>0</v>
      </c>
      <c r="W75" s="1075" t="s">
        <v>2006</v>
      </c>
      <c r="X75" s="1089">
        <f>IF(SEBBusinessType="Trust",MIN(SUM(X$106,X74),1),0)</f>
        <v>0</v>
      </c>
      <c r="Y75" s="1090">
        <f>IF(SEBBusinessType="Trust",MIN(SUM(Y$106,Y74),1),0)</f>
        <v>0</v>
      </c>
      <c r="Z75" s="1091"/>
      <c r="AA75" s="1089">
        <f>IF(SEBBusinessType="Trust",MIN(SUM(AA$106,AA74),1),0)</f>
        <v>0</v>
      </c>
      <c r="AB75" s="1090">
        <f>IF(SEBBusinessType="Trust",MIN(SUM(AB$106,AB74),1),0)</f>
        <v>0</v>
      </c>
      <c r="AC75" s="1091"/>
      <c r="AD75" s="1089">
        <f>IF(SEBBusinessType="Trust",MIN(SUM(AD$106,AD74),1),0)</f>
        <v>0</v>
      </c>
      <c r="AE75" s="1090">
        <f>IF(SEBBusinessType="Trust",MIN(SUM(AE$106,AE74),1),0)</f>
        <v>0</v>
      </c>
      <c r="AF75" s="1091"/>
      <c r="AG75" s="1089">
        <f>IF(SEBBusinessType="Trust",MIN(SUM(AG$106,AG74),1),0)</f>
        <v>0</v>
      </c>
      <c r="AH75" s="1090">
        <f>IF(SEBBusinessType="Trust",MIN(SUM(AH$106,AH74),1),0)</f>
        <v>0</v>
      </c>
      <c r="AI75" s="1091"/>
      <c r="AJ75" s="1089">
        <f>IF(SEBBusinessType="Trust",MIN(SUM(AJ$106,AJ74),1),0)</f>
        <v>0</v>
      </c>
      <c r="AK75" s="1090">
        <f>IF(SEBBusinessType="Trust",MIN(SUM(AK$106,AK74),1),0)</f>
        <v>0</v>
      </c>
      <c r="AL75" s="1091"/>
      <c r="AM75" s="1089">
        <f>IF(SEBBusinessType="Trust",MIN(SUM(AM$106,AM74),1),0)</f>
        <v>0</v>
      </c>
      <c r="AN75" s="1090">
        <f>IF(SEBBusinessType="Trust",MIN(SUM(AN$106,AN74),1),0)</f>
        <v>0</v>
      </c>
      <c r="AR75" s="1220">
        <f t="shared" si="1"/>
        <v>0</v>
      </c>
    </row>
    <row r="76" spans="2:44" ht="18.75" hidden="1" customHeight="1" x14ac:dyDescent="0.25">
      <c r="B76" s="1327" t="str">
        <f>IF(VLOOKUP(C76,SEBBusinessDataTable[],MATCH("SEBBusinessName",SEBBusinessDataTable[#Headers],0),FALSE)="","Business "&amp;C76&amp;" - "&amp;VLOOKUP(C76,SEBBusinessDataTable[],MATCH("SEBBusinessType",SEBBusinessDataTable[#Headers],0),FALSE),VLOOKUP(C76,SEBBusinessDataTable[],MATCH("SEBBusinessName",SEBBusinessDataTable[#Headers],0),FALSE))</f>
        <v xml:space="preserve">Business 30 - </v>
      </c>
      <c r="C76" s="552">
        <v>30</v>
      </c>
      <c r="D76" s="1111"/>
      <c r="E76" s="1388"/>
      <c r="G76" s="690">
        <f t="shared" si="0"/>
        <v>0</v>
      </c>
      <c r="W76" s="1075" t="s">
        <v>2031</v>
      </c>
      <c r="X76" s="1089">
        <f>IF(SEBBusinessType="Trust",X75,0)</f>
        <v>0</v>
      </c>
      <c r="Y76" s="1090">
        <f>IFERROR(IF(SEBBusinessType="Trust",IF($X$26,Y75,IF($Y$45&lt;0,Y75,MIN(X75,Y75))),0),0)</f>
        <v>0</v>
      </c>
      <c r="Z76" s="1091"/>
      <c r="AA76" s="1089">
        <f>IF(SEBBusinessType="Trust",AA75,0)</f>
        <v>0</v>
      </c>
      <c r="AB76" s="1090">
        <f>IFERROR(IF(SEBBusinessType="Trust",IF($X$26,AB75,IF($Y$45&lt;0,AB75,MIN(AA75,AB75))),0),0)</f>
        <v>0</v>
      </c>
      <c r="AC76" s="1091"/>
      <c r="AD76" s="1089">
        <f>IF(SEBBusinessType="Trust",AD75,0)</f>
        <v>0</v>
      </c>
      <c r="AE76" s="1090">
        <f>IFERROR(IF(SEBBusinessType="Trust",IF($X$26,AE75,IF($Y$45&lt;0,AE75,MIN(AD75,AE75))),0),0)</f>
        <v>0</v>
      </c>
      <c r="AF76" s="1091"/>
      <c r="AG76" s="1089">
        <f>IF(SEBBusinessType="Trust",AG75,0)</f>
        <v>0</v>
      </c>
      <c r="AH76" s="1090">
        <f>IFERROR(IF(SEBBusinessType="Trust",IF($X$26,AH75,IF($Y$45&lt;0,AH75,MIN(AG75,AH75))),0),0)</f>
        <v>0</v>
      </c>
      <c r="AI76" s="1091"/>
      <c r="AJ76" s="1089">
        <f>IF(SEBBusinessType="Trust",AJ75,0)</f>
        <v>0</v>
      </c>
      <c r="AK76" s="1090">
        <f>IFERROR(IF(SEBBusinessType="Trust",IF($X$26,AK75,IF($Y$45&lt;0,AK75,MIN(AJ75,AK75))),0),0)</f>
        <v>0</v>
      </c>
      <c r="AL76" s="1091"/>
      <c r="AM76" s="1089">
        <f>IF(SEBBusinessType="Trust",AM75,0)</f>
        <v>0</v>
      </c>
      <c r="AN76" s="1090">
        <f>IFERROR(IF(SEBBusinessType="Trust",IF($X$26,AN75,IF($Y$45&lt;0,AN75,MIN(AM75,AN75))),0),0)</f>
        <v>0</v>
      </c>
      <c r="AR76" s="1220">
        <f t="shared" si="1"/>
        <v>0</v>
      </c>
    </row>
    <row r="77" spans="2:44" ht="18.75" hidden="1" customHeight="1" x14ac:dyDescent="0.25">
      <c r="B77" s="1327" t="str">
        <f>IF(VLOOKUP(C77,SEBBusinessDataTable[],MATCH("SEBBusinessName",SEBBusinessDataTable[#Headers],0),FALSE)="","Business "&amp;C77&amp;" - "&amp;VLOOKUP(C77,SEBBusinessDataTable[],MATCH("SEBBusinessType",SEBBusinessDataTable[#Headers],0),FALSE),VLOOKUP(C77,SEBBusinessDataTable[],MATCH("SEBBusinessName",SEBBusinessDataTable[#Headers],0),FALSE))</f>
        <v xml:space="preserve">Business 31 - </v>
      </c>
      <c r="C77" s="552">
        <v>31</v>
      </c>
      <c r="D77" s="1111"/>
      <c r="E77" s="1388"/>
      <c r="G77" s="690">
        <f t="shared" si="0"/>
        <v>0</v>
      </c>
      <c r="W77" s="1075" t="s">
        <v>1817</v>
      </c>
      <c r="X77" s="1109">
        <f>IF(AND(SEBBusinessType="Trust",D$15="Yes"),D25,0)</f>
        <v>0</v>
      </c>
      <c r="Y77" s="1110"/>
      <c r="Z77" s="1091"/>
      <c r="AA77" s="1109">
        <f>IF(AND(SEBBusinessType="Trust",G$15="Yes"),G25,0)</f>
        <v>0</v>
      </c>
      <c r="AB77" s="1110"/>
      <c r="AC77" s="1091"/>
      <c r="AD77" s="1109">
        <f>IF(AND(SEBBusinessType="Trust",J$15="Yes"),J25,0)</f>
        <v>0</v>
      </c>
      <c r="AE77" s="1110"/>
      <c r="AF77" s="1091"/>
      <c r="AG77" s="1109">
        <f>IF(AND(SEBBusinessType="Trust",M$15="Yes"),M25,0)</f>
        <v>0</v>
      </c>
      <c r="AH77" s="1110"/>
      <c r="AI77" s="1091"/>
      <c r="AJ77" s="1109">
        <f>IF(AND(SEBBusinessType="Trust",P$15="Yes"),P25,0)</f>
        <v>0</v>
      </c>
      <c r="AK77" s="1110"/>
      <c r="AL77" s="1091"/>
      <c r="AM77" s="1109">
        <f>IF(AND(SEBBusinessType="Trust",S$15="Yes"),S25,0)</f>
        <v>0</v>
      </c>
      <c r="AN77" s="1110"/>
      <c r="AR77" s="1220">
        <f t="shared" si="1"/>
        <v>0</v>
      </c>
    </row>
    <row r="78" spans="2:44" ht="18.75" hidden="1" customHeight="1" x14ac:dyDescent="0.25">
      <c r="B78" s="1327" t="str">
        <f>IF(VLOOKUP(C78,SEBBusinessDataTable[],MATCH("SEBBusinessName",SEBBusinessDataTable[#Headers],0),FALSE)="","Business "&amp;C78&amp;" - "&amp;VLOOKUP(C78,SEBBusinessDataTable[],MATCH("SEBBusinessType",SEBBusinessDataTable[#Headers],0),FALSE),VLOOKUP(C78,SEBBusinessDataTable[],MATCH("SEBBusinessName",SEBBusinessDataTable[#Headers],0),FALSE))</f>
        <v xml:space="preserve">Business 32 - </v>
      </c>
      <c r="C78" s="552">
        <v>32</v>
      </c>
      <c r="D78" s="1111"/>
      <c r="E78" s="1388"/>
      <c r="G78" s="690">
        <f t="shared" si="0"/>
        <v>0</v>
      </c>
      <c r="W78" s="1075" t="s">
        <v>2035</v>
      </c>
      <c r="X78" s="1092">
        <f>IF(AND(SEBBusinessType="Trust",D$15="Yes"),D31,0)</f>
        <v>0</v>
      </c>
      <c r="Y78" s="1092">
        <f>IF(AND(SEBBusinessType="Trust",D$15="Yes"),E31,0)</f>
        <v>0</v>
      </c>
      <c r="Z78" s="1091"/>
      <c r="AA78" s="1092">
        <f>IF(AND(SEBBusinessType="Trust",G$15="Yes"),G31,0)</f>
        <v>0</v>
      </c>
      <c r="AB78" s="1092">
        <f>IF(AND(SEBBusinessType="Trust",G$15="Yes"),H31,0)</f>
        <v>0</v>
      </c>
      <c r="AC78" s="1091"/>
      <c r="AD78" s="1092">
        <f>IF(AND(SEBBusinessType="Trust",J$15="Yes"),J31,0)</f>
        <v>0</v>
      </c>
      <c r="AE78" s="1092">
        <f>IF(AND(SEBBusinessType="Trust",J$15="Yes"),K31,0)</f>
        <v>0</v>
      </c>
      <c r="AF78" s="1091"/>
      <c r="AG78" s="1092">
        <f>IF(AND(SEBBusinessType="Trust",M$15="Yes"),M31,0)</f>
        <v>0</v>
      </c>
      <c r="AH78" s="1092">
        <f>IF(AND(SEBBusinessType="Trust",M$15="Yes"),N31,0)</f>
        <v>0</v>
      </c>
      <c r="AI78" s="1091"/>
      <c r="AJ78" s="1092">
        <f>IF(AND(SEBBusinessType="Trust",P$15="Yes"),P31,0)</f>
        <v>0</v>
      </c>
      <c r="AK78" s="1092">
        <f>IF(AND(SEBBusinessType="Trust",P$15="Yes"),Q31,0)</f>
        <v>0</v>
      </c>
      <c r="AL78" s="1091"/>
      <c r="AM78" s="1092">
        <f>IF(AND(SEBBusinessType="Trust",S$15="Yes"),S31,0)</f>
        <v>0</v>
      </c>
      <c r="AN78" s="1092">
        <f>IF(AND(SEBBusinessType="Trust",S$15="Yes"),T31,0)</f>
        <v>0</v>
      </c>
      <c r="AR78" s="1220">
        <f t="shared" si="1"/>
        <v>0</v>
      </c>
    </row>
    <row r="79" spans="2:44" ht="18.75" hidden="1" customHeight="1" x14ac:dyDescent="0.25">
      <c r="B79" s="1327" t="str">
        <f>IF(VLOOKUP(C79,SEBBusinessDataTable[],MATCH("SEBBusinessName",SEBBusinessDataTable[#Headers],0),FALSE)="","Business "&amp;C79&amp;" - "&amp;VLOOKUP(C79,SEBBusinessDataTable[],MATCH("SEBBusinessType",SEBBusinessDataTable[#Headers],0),FALSE),VLOOKUP(C79,SEBBusinessDataTable[],MATCH("SEBBusinessName",SEBBusinessDataTable[#Headers],0),FALSE))</f>
        <v xml:space="preserve">Business 33 - </v>
      </c>
      <c r="C79" s="552">
        <v>33</v>
      </c>
      <c r="D79" s="1111"/>
      <c r="E79" s="1388"/>
      <c r="G79" s="690">
        <f t="shared" ref="G79:G106" si="2">IFERROR(IF(SEBBusinessType="Company",D79,E79/SEBNetProfitLossLY),0)</f>
        <v>0</v>
      </c>
      <c r="W79" s="1075" t="s">
        <v>1639</v>
      </c>
      <c r="X79" s="1092">
        <f>IFERROR(MAX(IF($X$29="Latest",X78,MIN(X78,AVERAGE(X78:Y78))),0),0)</f>
        <v>0</v>
      </c>
      <c r="Y79" s="1107"/>
      <c r="Z79" s="1091"/>
      <c r="AA79" s="1092">
        <f>IFERROR(MAX(IF($X$29="Latest",AA78,MIN(AA78,AVERAGE(AA78:AB78))),0),0)</f>
        <v>0</v>
      </c>
      <c r="AB79" s="1107"/>
      <c r="AC79" s="1091"/>
      <c r="AD79" s="1092">
        <f>IFERROR(MAX(IF($X$29="Latest",AD78,MIN(AD78,AVERAGE(AD78:AE78))),0),0)</f>
        <v>0</v>
      </c>
      <c r="AE79" s="1107"/>
      <c r="AF79" s="1091"/>
      <c r="AG79" s="1092">
        <f>IFERROR(MAX(IF($X$29="Latest",AG78,MIN(AG78,AVERAGE(AG78:AH78))),0),0)</f>
        <v>0</v>
      </c>
      <c r="AH79" s="1107"/>
      <c r="AI79" s="1091"/>
      <c r="AJ79" s="1092">
        <f>IFERROR(MAX(IF($X$29="Latest",AJ78,MIN(AJ78,AVERAGE(AJ78:AK78))),0),0)</f>
        <v>0</v>
      </c>
      <c r="AK79" s="1107"/>
      <c r="AL79" s="1091"/>
      <c r="AM79" s="1092">
        <f>IFERROR(MAX(IF($X$29="Latest",AM78,MIN(AM78,AVERAGE(AM78:AN78))),0),0)</f>
        <v>0</v>
      </c>
      <c r="AN79" s="1107"/>
      <c r="AR79" s="1220">
        <f t="shared" si="1"/>
        <v>0</v>
      </c>
    </row>
    <row r="80" spans="2:44" ht="18.75" hidden="1" customHeight="1" x14ac:dyDescent="0.25">
      <c r="B80" s="1327" t="str">
        <f>IF(VLOOKUP(C80,SEBBusinessDataTable[],MATCH("SEBBusinessName",SEBBusinessDataTable[#Headers],0),FALSE)="","Business "&amp;C80&amp;" - "&amp;VLOOKUP(C80,SEBBusinessDataTable[],MATCH("SEBBusinessType",SEBBusinessDataTable[#Headers],0),FALSE),VLOOKUP(C80,SEBBusinessDataTable[],MATCH("SEBBusinessName",SEBBusinessDataTable[#Headers],0),FALSE))</f>
        <v xml:space="preserve">Business 34 - </v>
      </c>
      <c r="C80" s="552">
        <v>34</v>
      </c>
      <c r="D80" s="1111"/>
      <c r="E80" s="1388"/>
      <c r="G80" s="690">
        <f t="shared" si="2"/>
        <v>0</v>
      </c>
      <c r="W80" s="1075" t="s">
        <v>2303</v>
      </c>
      <c r="X80" s="1089">
        <f>IFERROR(IF(AND(SEBBusinessType="Trust",D$15="Yes"),IF(SEBNetProfitLossLY&lt;0,0,IF($X$26,IF($X$45&gt;0,IF(D$38="Yes",X76,0),X76),IF(X76=0,IF($X$45&gt;0,0,1/SEBTrusteePartnerCount),IF($X$45&gt;0,IF(D$38="Yes",X76,0),X76)))),0),0)</f>
        <v>0</v>
      </c>
      <c r="Y80" s="1089">
        <f>IFERROR(IF(AND(SEBBusinessType="Trust",D$15="Yes"),IF(SEBNetProfitLossPY&lt;0,0,IF($X$26,IF($Y$45&gt;0,IF(D$38="Yes",Y76,0),Y76),IF(Y76=0,IF($Y$45&gt;0,0,1/SEBTrusteePartnerCount),IF($Y$45&gt;0,IF(D$38="Yes",Y76,0),Y76)))),0),0)</f>
        <v>0</v>
      </c>
      <c r="Z80" s="1094"/>
      <c r="AA80" s="1089">
        <f>IFERROR(IF(AND(SEBBusinessType="Trust",G$15="Yes"),IF(SEBNetProfitLossLY&lt;0,0,IF($X$26,IF($X$45&gt;0,IF(G$38="Yes",AA76,0),AA76),IF(AA76=0,IF($X$45&gt;0,0,1/SEBTrusteePartnerCount),IF($X$45&gt;0,IF(G$38="Yes",AA76,0),AA76)))),0),0)</f>
        <v>0</v>
      </c>
      <c r="AB80" s="1089">
        <f>IFERROR(IF(AND(SEBBusinessType="Trust",G$15="Yes"),IF(SEBNetProfitLossPY&lt;0,0,IF($X$26,IF($Y$45&gt;0,IF(G$38="Yes",AB76,0),AB76),IF(AB76=0,IF($Y$45&gt;0,0,1/SEBTrusteePartnerCount),IF($Y$45&gt;0,IF(G$38="Yes",AB76,0),AB76)))),0),0)</f>
        <v>0</v>
      </c>
      <c r="AC80" s="1094"/>
      <c r="AD80" s="1089">
        <f>IFERROR(IF(AND(SEBBusinessType="Trust",J$15="Yes"),IF(SEBNetProfitLossLY&lt;0,0,IF($X$26,IF($X$45&gt;0,IF(J$38="Yes",AD76,0),AD76),IF(AD76=0,IF($X$45&gt;0,0,1/SEBTrusteePartnerCount),IF($X$45&gt;0,IF(J$38="Yes",AD76,0),AD76)))),0),0)</f>
        <v>0</v>
      </c>
      <c r="AE80" s="1089">
        <f>IFERROR(IF(AND(SEBBusinessType="Trust",J$15="Yes"),IF(SEBNetProfitLossPY&lt;0,0,IF($X$26,IF($Y$45&gt;0,IF(J$38="Yes",AE76,0),AE76),IF(AE76=0,IF($Y$45&gt;0,0,1/SEBTrusteePartnerCount),IF($Y$45&gt;0,IF(J$38="Yes",AE76,0),AE76)))),0),0)</f>
        <v>0</v>
      </c>
      <c r="AF80" s="1094"/>
      <c r="AG80" s="1089">
        <f>IFERROR(IF(AND(SEBBusinessType="Trust",M$15="Yes"),IF(SEBNetProfitLossLY&lt;0,0,IF($X$26,IF($X$45&gt;0,IF(M$38="Yes",AG76,0),AG76),IF(AG76=0,IF($X$45&gt;0,0,1/SEBTrusteePartnerCount),IF($X$45&gt;0,IF(M$38="Yes",AG76,0),AG76)))),0),0)</f>
        <v>0</v>
      </c>
      <c r="AH80" s="1089">
        <f>IFERROR(IF(AND(SEBBusinessType="Trust",M$15="Yes"),IF(SEBNetProfitLossPY&lt;0,0,IF($X$26,IF($Y$45&gt;0,IF(M$38="Yes",AH76,0),AH76),IF(AH76=0,IF($Y$45&gt;0,0,1/SEBTrusteePartnerCount),IF($Y$45&gt;0,IF(M$38="Yes",AH76,0),AH76)))),0),0)</f>
        <v>0</v>
      </c>
      <c r="AI80" s="1094"/>
      <c r="AJ80" s="1089">
        <f>IFERROR(IF(AND(SEBBusinessType="Trust",P$15="Yes"),IF(SEBNetProfitLossLY&lt;0,0,IF($X$26,IF($X$45&gt;0,IF(P$38="Yes",AJ76,0),AJ76),IF(AJ76=0,IF($X$45&gt;0,0,1/SEBTrusteePartnerCount),IF($X$45&gt;0,IF(P$38="Yes",AJ76,0),AJ76)))),0),0)</f>
        <v>0</v>
      </c>
      <c r="AK80" s="1089">
        <f>IFERROR(IF(AND(SEBBusinessType="Trust",P$15="Yes"),IF(SEBNetProfitLossPY&lt;0,0,IF($X$26,IF($Y$45&gt;0,IF(P$38="Yes",AK76,0),AK76),IF(AK76=0,IF($Y$45&gt;0,0,1/SEBTrusteePartnerCount),IF($Y$45&gt;0,IF(P$38="Yes",AK76,0),AK76)))),0),0)</f>
        <v>0</v>
      </c>
      <c r="AL80" s="1094"/>
      <c r="AM80" s="1089">
        <f>IFERROR(IF(AND(SEBBusinessType="Trust",S$15="Yes"),IF(SEBNetProfitLossLY&lt;0,0,IF($X$26,IF($X$45&gt;0,IF(S$38="Yes",AM76,0),AM76),IF(AM76=0,IF($X$45&gt;0,0,1/SEBTrusteePartnerCount),IF($X$45&gt;0,IF(S$38="Yes",AM76,0),AM76)))),0),0)</f>
        <v>0</v>
      </c>
      <c r="AN80" s="1089">
        <f>IFERROR(IF(AND(SEBBusinessType="Trust",S$15="Yes"),IF(SEBNetProfitLossPY&lt;0,0,IF($X$26,IF($Y$45&gt;0,IF(S$38="Yes",AN76,0),AN76),IF(AN76=0,IF($Y$45&gt;0,0,1/SEBTrusteePartnerCount),IF($Y$45&gt;0,IF(S$38="Yes",AN76,0),AN76)))),0),0)</f>
        <v>0</v>
      </c>
      <c r="AR80" s="1220">
        <f t="shared" si="1"/>
        <v>0</v>
      </c>
    </row>
    <row r="81" spans="2:44" ht="18.75" hidden="1" customHeight="1" x14ac:dyDescent="0.25">
      <c r="B81" s="1327" t="str">
        <f>IF(VLOOKUP(C81,SEBBusinessDataTable[],MATCH("SEBBusinessName",SEBBusinessDataTable[#Headers],0),FALSE)="","Business "&amp;C81&amp;" - "&amp;VLOOKUP(C81,SEBBusinessDataTable[],MATCH("SEBBusinessType",SEBBusinessDataTable[#Headers],0),FALSE),VLOOKUP(C81,SEBBusinessDataTable[],MATCH("SEBBusinessName",SEBBusinessDataTable[#Headers],0),FALSE))</f>
        <v xml:space="preserve">Business 35 - </v>
      </c>
      <c r="C81" s="552">
        <v>35</v>
      </c>
      <c r="D81" s="1111"/>
      <c r="E81" s="1388"/>
      <c r="G81" s="690">
        <f t="shared" si="2"/>
        <v>0</v>
      </c>
      <c r="W81" s="1080" t="s">
        <v>1801</v>
      </c>
      <c r="X81" s="1093">
        <f>IF(AND(SEBBusinessType="Trust",D$15="Yes"),X80*$X$45,0)</f>
        <v>0</v>
      </c>
      <c r="Y81" s="1093">
        <f>IF(AND(SEBBusinessType="Trust",D$15="Yes"),Y80*$Y$45,0)</f>
        <v>0</v>
      </c>
      <c r="Z81" s="1094"/>
      <c r="AA81" s="1093">
        <f>IF(AND(SEBBusinessType="Trust",G$15="Yes"),AA80*$X$45,0)</f>
        <v>0</v>
      </c>
      <c r="AB81" s="1093">
        <f>IF(AND(SEBBusinessType="Trust",G$15="Yes"),AB80*$Y$45,0)</f>
        <v>0</v>
      </c>
      <c r="AC81" s="1094"/>
      <c r="AD81" s="1093">
        <f>IF(AND(SEBBusinessType="Trust",J$15="Yes"),AD80*$X$45,0)</f>
        <v>0</v>
      </c>
      <c r="AE81" s="1093">
        <f>IF(AND(SEBBusinessType="Trust",J$15="Yes"),AE80*$Y$45,0)</f>
        <v>0</v>
      </c>
      <c r="AF81" s="1094"/>
      <c r="AG81" s="1093">
        <f>IF(AND(SEBBusinessType="Trust",M$15="Yes"),AG80*$X$45,0)</f>
        <v>0</v>
      </c>
      <c r="AH81" s="1093">
        <f>IF(AND(SEBBusinessType="Trust",M$15="Yes"),AH80*$Y$45,0)</f>
        <v>0</v>
      </c>
      <c r="AI81" s="1094"/>
      <c r="AJ81" s="1093">
        <f>IF(AND(SEBBusinessType="Trust",P$15="Yes"),AJ80*$X$45,0)</f>
        <v>0</v>
      </c>
      <c r="AK81" s="1093">
        <f>IF(AND(SEBBusinessType="Trust",P$15="Yes"),AK80*$Y$45,0)</f>
        <v>0</v>
      </c>
      <c r="AL81" s="1094"/>
      <c r="AM81" s="1093">
        <f>IF(AND(SEBBusinessType="Trust",S$15="Yes"),AM80*$X$45,0)</f>
        <v>0</v>
      </c>
      <c r="AN81" s="1093">
        <f>IF(AND(SEBBusinessType="Trust",S$15="Yes"),AN80*$Y$45,0)</f>
        <v>0</v>
      </c>
      <c r="AR81" s="1220">
        <f t="shared" si="1"/>
        <v>0</v>
      </c>
    </row>
    <row r="82" spans="2:44" ht="18.75" hidden="1" customHeight="1" x14ac:dyDescent="0.25">
      <c r="B82" s="1327" t="str">
        <f>IF(VLOOKUP(C82,SEBBusinessDataTable[],MATCH("SEBBusinessName",SEBBusinessDataTable[#Headers],0),FALSE)="","Business "&amp;C82&amp;" - "&amp;VLOOKUP(C82,SEBBusinessDataTable[],MATCH("SEBBusinessType",SEBBusinessDataTable[#Headers],0),FALSE),VLOOKUP(C82,SEBBusinessDataTable[],MATCH("SEBBusinessName",SEBBusinessDataTable[#Headers],0),FALSE))</f>
        <v xml:space="preserve">Business 36 - </v>
      </c>
      <c r="C82" s="552">
        <v>36</v>
      </c>
      <c r="D82" s="1111"/>
      <c r="E82" s="1388"/>
      <c r="G82" s="690">
        <f t="shared" si="2"/>
        <v>0</v>
      </c>
      <c r="W82" s="1080" t="s">
        <v>1805</v>
      </c>
      <c r="X82" s="1093">
        <f>IF(AND(SEBBusinessType="Trust",D$15="Yes"),IF($X$27="Latest",X81,AVERAGE(X81:Y81)),0)</f>
        <v>0</v>
      </c>
      <c r="Y82" s="1101"/>
      <c r="Z82" s="1094"/>
      <c r="AA82" s="1093">
        <f>IF(AND(SEBBusinessType="Trust",G$15="Yes"),IF($X$27="Latest",AA81,AVERAGE(AA81:AB81)),0)</f>
        <v>0</v>
      </c>
      <c r="AB82" s="1101"/>
      <c r="AC82" s="1094"/>
      <c r="AD82" s="1093">
        <f>IF(AND(SEBBusinessType="Trust",J$15="Yes"),IF($X$27="Latest",AD81,AVERAGE(AD81:AE81)),0)</f>
        <v>0</v>
      </c>
      <c r="AE82" s="1101"/>
      <c r="AF82" s="1094"/>
      <c r="AG82" s="1093">
        <f>IF(AND(SEBBusinessType="Trust",M$15="Yes"),IF($X$27="Latest",AG81,AVERAGE(AG81:AH81)),0)</f>
        <v>0</v>
      </c>
      <c r="AH82" s="1101"/>
      <c r="AI82" s="1094"/>
      <c r="AJ82" s="1093">
        <f>IF(AND(SEBBusinessType="Trust",P$15="Yes"),IF($X$27="Latest",AJ81,AVERAGE(AJ81:AK81)),0)</f>
        <v>0</v>
      </c>
      <c r="AK82" s="1101"/>
      <c r="AL82" s="1094"/>
      <c r="AM82" s="1093">
        <f>IF(AND(SEBBusinessType="Trust",S$15="Yes"),IF($X$27="Latest",AM81,AVERAGE(AM81:AN81)),0)</f>
        <v>0</v>
      </c>
      <c r="AN82" s="1101"/>
      <c r="AR82" s="1220">
        <f t="shared" si="1"/>
        <v>0</v>
      </c>
    </row>
    <row r="83" spans="2:44" ht="18.75" hidden="1" customHeight="1" x14ac:dyDescent="0.25">
      <c r="B83" s="1327" t="str">
        <f>IF(VLOOKUP(C83,SEBBusinessDataTable[],MATCH("SEBBusinessName",SEBBusinessDataTable[#Headers],0),FALSE)="","Business "&amp;C83&amp;" - "&amp;VLOOKUP(C83,SEBBusinessDataTable[],MATCH("SEBBusinessType",SEBBusinessDataTable[#Headers],0),FALSE),VLOOKUP(C83,SEBBusinessDataTable[],MATCH("SEBBusinessName",SEBBusinessDataTable[#Headers],0),FALSE))</f>
        <v xml:space="preserve">Business 37 - </v>
      </c>
      <c r="C83" s="552">
        <v>37</v>
      </c>
      <c r="D83" s="1111"/>
      <c r="E83" s="1388"/>
      <c r="G83" s="690">
        <f t="shared" si="2"/>
        <v>0</v>
      </c>
      <c r="W83" s="1108" t="s">
        <v>780</v>
      </c>
      <c r="X83" s="1103">
        <f>SUM(X77,X79,MAX(X82,0))</f>
        <v>0</v>
      </c>
      <c r="Y83" s="1101"/>
      <c r="Z83" s="1094"/>
      <c r="AA83" s="1103">
        <f>SUM(AA77,AA79,MAX(AA82,0))</f>
        <v>0</v>
      </c>
      <c r="AB83" s="1101"/>
      <c r="AC83" s="1094"/>
      <c r="AD83" s="1103">
        <f>SUM(AD77,AD79,MAX(AD82,0))</f>
        <v>0</v>
      </c>
      <c r="AE83" s="1101"/>
      <c r="AF83" s="1094"/>
      <c r="AG83" s="1103">
        <f>SUM(AG77,AG79,MAX(AG82,0))</f>
        <v>0</v>
      </c>
      <c r="AH83" s="1101"/>
      <c r="AI83" s="1094"/>
      <c r="AJ83" s="1103">
        <f>SUM(AJ77,AJ79,MAX(AJ82,0))</f>
        <v>0</v>
      </c>
      <c r="AK83" s="1101"/>
      <c r="AL83" s="1094"/>
      <c r="AM83" s="1103">
        <f>SUM(AM77,AM79,MAX(AM82,0))</f>
        <v>0</v>
      </c>
      <c r="AN83" s="1101"/>
      <c r="AR83" s="1220">
        <f t="shared" si="1"/>
        <v>0</v>
      </c>
    </row>
    <row r="84" spans="2:44" ht="18.75" hidden="1" customHeight="1" x14ac:dyDescent="0.25">
      <c r="B84" s="1327" t="str">
        <f>IF(VLOOKUP(C84,SEBBusinessDataTable[],MATCH("SEBBusinessName",SEBBusinessDataTable[#Headers],0),FALSE)="","Business "&amp;C84&amp;" - "&amp;VLOOKUP(C84,SEBBusinessDataTable[],MATCH("SEBBusinessType",SEBBusinessDataTable[#Headers],0),FALSE),VLOOKUP(C84,SEBBusinessDataTable[],MATCH("SEBBusinessName",SEBBusinessDataTable[#Headers],0),FALSE))</f>
        <v xml:space="preserve">Business 38 - </v>
      </c>
      <c r="C84" s="552">
        <v>38</v>
      </c>
      <c r="D84" s="1111"/>
      <c r="E84" s="1388"/>
      <c r="G84" s="690">
        <f t="shared" si="2"/>
        <v>0</v>
      </c>
      <c r="W84" s="1075" t="s">
        <v>2304</v>
      </c>
      <c r="X84" s="1089">
        <f>IFERROR(IF(AND(SEBBusinessType="Trust",D$15="Yes"),IF(SEBNetProfitLossLY&lt;0,0,IF($X$26,IF($X$46&gt;0,IF(D$38="Yes",X76,0),X76),IF(X76=0,IF($X$46&gt;0,0,1/SEBTrusteePartnerCount),IF($X$46&gt;0,IF(D$38="Yes",X76,0),X76)))),0),0)</f>
        <v>0</v>
      </c>
      <c r="Y84" s="1089">
        <f>IFERROR(IF(AND(SEBBusinessType="Trust",D$15="Yes"),IF(SEBNetProfitLossPY&lt;0,0,IF($X$26,IF($Y$46&gt;0,IF(D$38="Yes",Y76,0),Y76),IF(Y76=0,IF($Y$46&gt;0,0,1/SEBTrusteePartnerCount),IF($Y$46&gt;0,IF(D$38="Yes",Y76,0),Y76)))),0),0)</f>
        <v>0</v>
      </c>
      <c r="Z84" s="1232"/>
      <c r="AA84" s="1089">
        <f>IFERROR(IF(AND(SEBBusinessType="Trust",G$15="Yes"),IF(SEBNetProfitLossLY&lt;0,0,IF($X$26,IF($X$46&gt;0,IF(G$38="Yes",AA76,0),AA76),IF(AA76=0,IF($X$46&gt;0,0,1/SEBTrusteePartnerCount),IF($X$46&gt;0,IF(G$38="Yes",AA76,0),AA76)))),0),0)</f>
        <v>0</v>
      </c>
      <c r="AB84" s="1089">
        <f>IFERROR(IF(AND(SEBBusinessType="Trust",G$15="Yes"),IF(SEBNetProfitLossPY&lt;0,0,IF($X$26,IF($Y$46&gt;0,IF(G$38="Yes",AB76,0),AB76),IF(AB76=0,IF($Y$46&gt;0,0,1/SEBTrusteePartnerCount),IF($Y$46&gt;0,IF(G$38="Yes",AB76,0),AB76)))),0),0)</f>
        <v>0</v>
      </c>
      <c r="AC84" s="1232"/>
      <c r="AD84" s="1089">
        <f>IFERROR(IF(AND(SEBBusinessType="Trust",J$15="Yes"),IF(SEBNetProfitLossLY&lt;0,0,IF($X$26,IF($X$46&gt;0,IF(J$38="Yes",AD76,0),AD76),IF(AD76=0,IF($X$46&gt;0,0,1/SEBTrusteePartnerCount),IF($X$46&gt;0,IF(J$38="Yes",AD76,0),AD76)))),0),0)</f>
        <v>0</v>
      </c>
      <c r="AE84" s="1089">
        <f>IFERROR(IF(AND(SEBBusinessType="Trust",J$15="Yes"),IF(SEBNetProfitLossPY&lt;0,0,IF($X$26,IF($Y$46&gt;0,IF(J$38="Yes",AE76,0),AE76),IF(AE76=0,IF($Y$46&gt;0,0,1/SEBTrusteePartnerCount),IF($Y$46&gt;0,IF(J$38="Yes",AE76,0),AE76)))),0),0)</f>
        <v>0</v>
      </c>
      <c r="AF84" s="1232"/>
      <c r="AG84" s="1089">
        <f>IFERROR(IF(AND(SEBBusinessType="Trust",M$15="Yes"),IF(SEBNetProfitLossLY&lt;0,0,IF($X$26,IF($X$46&gt;0,IF(M$38="Yes",AG76,0),AG76),IF(AG76=0,IF($X$46&gt;0,0,1/SEBTrusteePartnerCount),IF($X$46&gt;0,IF(M$38="Yes",AG76,0),AG76)))),0),0)</f>
        <v>0</v>
      </c>
      <c r="AH84" s="1089">
        <f>IFERROR(IF(AND(SEBBusinessType="Trust",M$15="Yes"),IF(SEBNetProfitLossPY&lt;0,0,IF($X$26,IF($Y$46&gt;0,IF(M$38="Yes",AH76,0),AH76),IF(AH76=0,IF($Y$46&gt;0,0,1/SEBTrusteePartnerCount),IF($Y$46&gt;0,IF(M$38="Yes",AH76,0),AH76)))),0),0)</f>
        <v>0</v>
      </c>
      <c r="AI84" s="1232"/>
      <c r="AJ84" s="1089">
        <f>IFERROR(IF(AND(SEBBusinessType="Trust",P$15="Yes"),IF(SEBNetProfitLossLY&lt;0,0,IF($X$26,IF($X$46&gt;0,IF(P$38="Yes",AJ76,0),AJ76),IF(AJ76=0,IF($X$46&gt;0,0,1/SEBTrusteePartnerCount),IF($X$46&gt;0,IF(P$38="Yes",AJ76,0),AJ76)))),0),0)</f>
        <v>0</v>
      </c>
      <c r="AK84" s="1089">
        <f>IFERROR(IF(AND(SEBBusinessType="Trust",P$15="Yes"),IF(SEBNetProfitLossPY&lt;0,0,IF($X$26,IF($Y$46&gt;0,IF(P$38="Yes",AK76,0),AK76),IF(AK76=0,IF($Y$46&gt;0,0,1/SEBTrusteePartnerCount),IF($Y$46&gt;0,IF(P$38="Yes",AK76,0),AK76)))),0),0)</f>
        <v>0</v>
      </c>
      <c r="AL84" s="1232"/>
      <c r="AM84" s="1089">
        <f>IFERROR(IF(AND(SEBBusinessType="Trust",S$15="Yes"),IF(SEBNetProfitLossLY&lt;0,0,IF($X$26,IF($X$46&gt;0,IF(S$38="Yes",AM76,0),AM76),IF(AM76=0,IF($X$46&gt;0,0,1/SEBTrusteePartnerCount),IF($X$46&gt;0,IF(S$38="Yes",AM76,0),AM76)))),0),0)</f>
        <v>0</v>
      </c>
      <c r="AN84" s="1089">
        <f>IFERROR(IF(AND(SEBBusinessType="Trust",S$15="Yes"),IF(SEBNetProfitLossPY&lt;0,0,IF($X$26,IF($Y$46&gt;0,IF(S$38="Yes",AN76,0),AN76),IF(AN76=0,IF($Y$46&gt;0,0,1/SEBTrusteePartnerCount),IF($Y$46&gt;0,IF(S$38="Yes",AN76,0),AN76)))),0),0)</f>
        <v>0</v>
      </c>
      <c r="AR84" s="1220">
        <f t="shared" si="1"/>
        <v>0</v>
      </c>
    </row>
    <row r="85" spans="2:44" ht="18.75" hidden="1" customHeight="1" x14ac:dyDescent="0.25">
      <c r="B85" s="1327" t="str">
        <f>IF(VLOOKUP(C85,SEBBusinessDataTable[],MATCH("SEBBusinessName",SEBBusinessDataTable[#Headers],0),FALSE)="","Business "&amp;C85&amp;" - "&amp;VLOOKUP(C85,SEBBusinessDataTable[],MATCH("SEBBusinessType",SEBBusinessDataTable[#Headers],0),FALSE),VLOOKUP(C85,SEBBusinessDataTable[],MATCH("SEBBusinessName",SEBBusinessDataTable[#Headers],0),FALSE))</f>
        <v xml:space="preserve">Business 39 - </v>
      </c>
      <c r="C85" s="552">
        <v>39</v>
      </c>
      <c r="D85" s="1111"/>
      <c r="E85" s="1388"/>
      <c r="G85" s="690">
        <f t="shared" si="2"/>
        <v>0</v>
      </c>
      <c r="W85" s="1080" t="s">
        <v>1802</v>
      </c>
      <c r="X85" s="1093">
        <f>IF(AND(SEBBusinessType="Trust",D$15="Yes"),X84*$X$46,0)</f>
        <v>0</v>
      </c>
      <c r="Y85" s="1093">
        <f>IF(AND(SEBBusinessType="Trust",D$15="Yes"),Y84*$Y$46,0)</f>
        <v>0</v>
      </c>
      <c r="Z85" s="1094"/>
      <c r="AA85" s="1093">
        <f>IF(AND(SEBBusinessType="Trust",G$15="Yes"),AA84*$X$46,0)</f>
        <v>0</v>
      </c>
      <c r="AB85" s="1093">
        <f>IF(AND(SEBBusinessType="Trust",G$15="Yes"),AB84*$Y$46,0)</f>
        <v>0</v>
      </c>
      <c r="AC85" s="1094"/>
      <c r="AD85" s="1093">
        <f>IF(AND(SEBBusinessType="Trust",J$15="Yes"),AD84*$X$46,0)</f>
        <v>0</v>
      </c>
      <c r="AE85" s="1093">
        <f>IF(AND(SEBBusinessType="Trust",J$15="Yes"),AE84*$Y$46,0)</f>
        <v>0</v>
      </c>
      <c r="AF85" s="1094"/>
      <c r="AG85" s="1093">
        <f>IF(AND(SEBBusinessType="Trust",M$15="Yes"),AG84*$X$46,0)</f>
        <v>0</v>
      </c>
      <c r="AH85" s="1093">
        <f>IF(AND(SEBBusinessType="Trust",M$15="Yes"),AH84*$Y$46,0)</f>
        <v>0</v>
      </c>
      <c r="AI85" s="1094"/>
      <c r="AJ85" s="1093">
        <f>IF(AND(SEBBusinessType="Trust",P$15="Yes"),AJ84*$X$46,0)</f>
        <v>0</v>
      </c>
      <c r="AK85" s="1093">
        <f>IF(AND(SEBBusinessType="Trust",P$15="Yes"),AK84*$Y$46,0)</f>
        <v>0</v>
      </c>
      <c r="AL85" s="1094"/>
      <c r="AM85" s="1093">
        <f>IF(AND(SEBBusinessType="Trust",S$15="Yes"),AM84*$X$46,0)</f>
        <v>0</v>
      </c>
      <c r="AN85" s="1093">
        <f>IF(AND(SEBBusinessType="Trust",S$15="Yes"),AN84*$Y$46,0)</f>
        <v>0</v>
      </c>
      <c r="AR85" s="1220">
        <f t="shared" si="1"/>
        <v>0</v>
      </c>
    </row>
    <row r="86" spans="2:44" ht="18.75" hidden="1" customHeight="1" x14ac:dyDescent="0.25">
      <c r="B86" s="1327" t="str">
        <f>IF(VLOOKUP(C86,SEBBusinessDataTable[],MATCH("SEBBusinessName",SEBBusinessDataTable[#Headers],0),FALSE)="","Business "&amp;C86&amp;" - "&amp;VLOOKUP(C86,SEBBusinessDataTable[],MATCH("SEBBusinessType",SEBBusinessDataTable[#Headers],0),FALSE),VLOOKUP(C86,SEBBusinessDataTable[],MATCH("SEBBusinessName",SEBBusinessDataTable[#Headers],0),FALSE))</f>
        <v xml:space="preserve">Business 40 - </v>
      </c>
      <c r="C86" s="552">
        <v>40</v>
      </c>
      <c r="D86" s="1111"/>
      <c r="E86" s="1388"/>
      <c r="G86" s="690">
        <f t="shared" si="2"/>
        <v>0</v>
      </c>
      <c r="W86" s="1080" t="s">
        <v>1806</v>
      </c>
      <c r="X86" s="1093">
        <f>IF(AND(SEBBusinessType="Trust",D$15="Yes"),IF($X$27="Latest",X85,AVERAGE(X85:Y85))+MIN(X82,0),0)</f>
        <v>0</v>
      </c>
      <c r="Y86" s="1101"/>
      <c r="AA86" s="1093">
        <f>IF(AND(SEBBusinessType="Trust",G$15="Yes"),IF($X$27="Latest",AA85,AVERAGE(AA85:AB85))+MIN(AA82,0),0)</f>
        <v>0</v>
      </c>
      <c r="AB86" s="1101"/>
      <c r="AD86" s="1093">
        <f>IF(AND(SEBBusinessType="Trust",J$15="Yes"),IF($X$27="Latest",AD85,AVERAGE(AD85:AE85))+MIN(AD82,0),0)</f>
        <v>0</v>
      </c>
      <c r="AE86" s="1101"/>
      <c r="AG86" s="1093">
        <f>IF(AND(SEBBusinessType="Trust",M$15="Yes"),IF($X$27="Latest",AG85,AVERAGE(AG85:AH85))+MIN(AG82,0),0)</f>
        <v>0</v>
      </c>
      <c r="AH86" s="1101"/>
      <c r="AJ86" s="1093">
        <f>IF(AND(SEBBusinessType="Trust",P$15="Yes"),IF($X$27="Latest",AJ85,AVERAGE(AJ85:AK85))+MIN(AJ82,0),0)</f>
        <v>0</v>
      </c>
      <c r="AK86" s="1101"/>
      <c r="AM86" s="1093">
        <f>IF(AND(SEBBusinessType="Trust",S$15="Yes"),IF($X$27="Latest",AM85,AVERAGE(AM85:AN85))+MIN(AM82,0),0)</f>
        <v>0</v>
      </c>
      <c r="AN86" s="1101"/>
      <c r="AR86" s="1220">
        <f t="shared" si="1"/>
        <v>0</v>
      </c>
    </row>
    <row r="87" spans="2:44" ht="18.75" hidden="1" customHeight="1" x14ac:dyDescent="0.25">
      <c r="B87" s="1327" t="str">
        <f>IF(VLOOKUP(C87,SEBBusinessDataTable[],MATCH("SEBBusinessName",SEBBusinessDataTable[#Headers],0),FALSE)="","Business "&amp;C87&amp;" - "&amp;VLOOKUP(C87,SEBBusinessDataTable[],MATCH("SEBBusinessType",SEBBusinessDataTable[#Headers],0),FALSE),VLOOKUP(C87,SEBBusinessDataTable[],MATCH("SEBBusinessName",SEBBusinessDataTable[#Headers],0),FALSE))</f>
        <v xml:space="preserve">Business 41 - </v>
      </c>
      <c r="C87" s="552">
        <v>41</v>
      </c>
      <c r="D87" s="1111"/>
      <c r="E87" s="1388"/>
      <c r="G87" s="690">
        <f t="shared" si="2"/>
        <v>0</v>
      </c>
      <c r="W87" s="1080" t="s">
        <v>1803</v>
      </c>
      <c r="X87" s="1093">
        <f>IF(AND(SEBBusinessType="Trust",D$15="Yes"),IF(AND(SEBNetProfitLossLY&lt;0,SEBAdjustedNetProfitAfterTaxAndRepaymentsLY&lt;0),SEBAdjustedNetProfitAfterTaxAndRepaymentsLY/SEBTrusteePartnerCount,0),0)</f>
        <v>0</v>
      </c>
      <c r="Y87" s="1093">
        <f>IF(AND(SEBBusinessType="Trust",D$15="Yes"),IF(AND(SEBNetProfitLossPY&lt;0,SEBAdjustedNetProfitAfterTaxAndRepaymentsPY&lt;0),SEBAdjustedNetProfitAfterTaxAndRepaymentsPY/SEBTrusteePartnerCount,0),0)</f>
        <v>0</v>
      </c>
      <c r="Z87" s="1094"/>
      <c r="AA87" s="1093">
        <f>IF(AND(SEBBusinessType="Trust",G$15="Yes"),IF(AND(SEBNetProfitLossLY&lt;0,SEBAdjustedNetProfitAfterTaxAndRepaymentsLY&lt;0),SEBAdjustedNetProfitAfterTaxAndRepaymentsLY/SEBTrusteePartnerCount,0),0)</f>
        <v>0</v>
      </c>
      <c r="AB87" s="1093">
        <f>IF(AND(SEBBusinessType="Trust",G$15="Yes"),IF(AND(SEBNetProfitLossPY&lt;0,SEBAdjustedNetProfitAfterTaxAndRepaymentsPY&lt;0),SEBAdjustedNetProfitAfterTaxAndRepaymentsPY/SEBTrusteePartnerCount,0),0)</f>
        <v>0</v>
      </c>
      <c r="AC87" s="1094"/>
      <c r="AD87" s="1093">
        <f>IF(AND(SEBBusinessType="Trust",J$15="Yes"),IF(AND(SEBNetProfitLossLY&lt;0,SEBAdjustedNetProfitAfterTaxAndRepaymentsLY&lt;0),SEBAdjustedNetProfitAfterTaxAndRepaymentsLY/SEBTrusteePartnerCount,0),0)</f>
        <v>0</v>
      </c>
      <c r="AE87" s="1093">
        <f>IF(AND(SEBBusinessType="Trust",J$15="Yes"),IF(AND(SEBNetProfitLossPY&lt;0,SEBAdjustedNetProfitAfterTaxAndRepaymentsPY&lt;0),SEBAdjustedNetProfitAfterTaxAndRepaymentsPY/SEBTrusteePartnerCount,0),0)</f>
        <v>0</v>
      </c>
      <c r="AF87" s="1094"/>
      <c r="AG87" s="1093">
        <f>IF(AND(SEBBusinessType="Trust",M$15="Yes"),IF(AND(SEBNetProfitLossLY&lt;0,SEBAdjustedNetProfitAfterTaxAndRepaymentsLY&lt;0),SEBAdjustedNetProfitAfterTaxAndRepaymentsLY/SEBTrusteePartnerCount,0),0)</f>
        <v>0</v>
      </c>
      <c r="AH87" s="1093">
        <f>IF(AND(SEBBusinessType="Trust",M$15="Yes"),IF(AND(SEBNetProfitLossPY&lt;0,SEBAdjustedNetProfitAfterTaxAndRepaymentsPY&lt;0),SEBAdjustedNetProfitAfterTaxAndRepaymentsPY/SEBTrusteePartnerCount,0),0)</f>
        <v>0</v>
      </c>
      <c r="AI87" s="1094"/>
      <c r="AJ87" s="1093">
        <f>IF(AND(SEBBusinessType="Trust",P$15="Yes"),IF(AND(SEBNetProfitLossLY&lt;0,SEBAdjustedNetProfitAfterTaxAndRepaymentsLY&lt;0),SEBAdjustedNetProfitAfterTaxAndRepaymentsLY/SEBTrusteePartnerCount,0),0)</f>
        <v>0</v>
      </c>
      <c r="AK87" s="1093">
        <f>IF(AND(SEBBusinessType="Trust",P$15="Yes"),IF(AND(SEBNetProfitLossPY&lt;0,SEBAdjustedNetProfitAfterTaxAndRepaymentsPY&lt;0),SEBAdjustedNetProfitAfterTaxAndRepaymentsPY/SEBTrusteePartnerCount,0),0)</f>
        <v>0</v>
      </c>
      <c r="AL87" s="1094"/>
      <c r="AM87" s="1093">
        <f>IF(AND(SEBBusinessType="Trust",S$15="Yes"),IF(AND(SEBNetProfitLossLY&lt;0,SEBAdjustedNetProfitAfterTaxAndRepaymentsLY&lt;0),SEBAdjustedNetProfitAfterTaxAndRepaymentsLY/SEBTrusteePartnerCount,0),0)</f>
        <v>0</v>
      </c>
      <c r="AN87" s="1093">
        <f>IF(AND(SEBBusinessType="Trust",S$15="Yes"),IF(AND(SEBNetProfitLossPY&lt;0,SEBAdjustedNetProfitAfterTaxAndRepaymentsPY&lt;0),SEBAdjustedNetProfitAfterTaxAndRepaymentsPY/SEBTrusteePartnerCount,0),0)</f>
        <v>0</v>
      </c>
      <c r="AR87" s="1220">
        <f t="shared" si="1"/>
        <v>0</v>
      </c>
    </row>
    <row r="88" spans="2:44" ht="18.75" hidden="1" customHeight="1" x14ac:dyDescent="0.25">
      <c r="B88" s="1327" t="str">
        <f>IF(VLOOKUP(C88,SEBBusinessDataTable[],MATCH("SEBBusinessName",SEBBusinessDataTable[#Headers],0),FALSE)="","Business "&amp;C88&amp;" - "&amp;VLOOKUP(C88,SEBBusinessDataTable[],MATCH("SEBBusinessType",SEBBusinessDataTable[#Headers],0),FALSE),VLOOKUP(C88,SEBBusinessDataTable[],MATCH("SEBBusinessName",SEBBusinessDataTable[#Headers],0),FALSE))</f>
        <v xml:space="preserve">Business 42 - </v>
      </c>
      <c r="C88" s="552">
        <v>42</v>
      </c>
      <c r="D88" s="1111"/>
      <c r="E88" s="1388"/>
      <c r="G88" s="690">
        <f t="shared" si="2"/>
        <v>0</v>
      </c>
      <c r="W88" s="1080" t="s">
        <v>1804</v>
      </c>
      <c r="X88" s="1093">
        <f>IF(AND(SEBBusinessType="Trust",D$15="Yes"),IF($X$27="Latest",X87,AVERAGE(X87:Y87)),0)</f>
        <v>0</v>
      </c>
      <c r="Y88" s="1101"/>
      <c r="Z88" s="1094"/>
      <c r="AA88" s="1093">
        <f>IF(AND(SEBBusinessType="Trust",G$15="Yes"),IF($X$27="Latest",AA87,AVERAGE(AA87:AB87)),0)</f>
        <v>0</v>
      </c>
      <c r="AB88" s="1101"/>
      <c r="AC88" s="1094"/>
      <c r="AD88" s="1093">
        <f>IF(AND(SEBBusinessType="Trust",J$15="Yes"),IF($X$27="Latest",AD87,AVERAGE(AD87:AE87)),0)</f>
        <v>0</v>
      </c>
      <c r="AE88" s="1101"/>
      <c r="AF88" s="1094"/>
      <c r="AG88" s="1093">
        <f>IF(AND(SEBBusinessType="Trust",M$15="Yes"),IF($X$27="Latest",AG87,AVERAGE(AG87:AH87)),0)</f>
        <v>0</v>
      </c>
      <c r="AH88" s="1101"/>
      <c r="AI88" s="1094"/>
      <c r="AJ88" s="1093">
        <f>IF(AND(SEBBusinessType="Trust",P$15="Yes"),IF($X$27="Latest",AJ87,AVERAGE(AJ87:AK87)),0)</f>
        <v>0</v>
      </c>
      <c r="AK88" s="1101"/>
      <c r="AL88" s="1094"/>
      <c r="AM88" s="1093">
        <f>IF(AND(SEBBusinessType="Trust",S$15="Yes"),IF($X$27="Latest",AM87,AVERAGE(AM87:AN87)),0)</f>
        <v>0</v>
      </c>
      <c r="AN88" s="1101"/>
      <c r="AR88" s="1220">
        <f t="shared" si="1"/>
        <v>0</v>
      </c>
    </row>
    <row r="89" spans="2:44" ht="18.75" hidden="1" customHeight="1" x14ac:dyDescent="0.25">
      <c r="B89" s="1327" t="str">
        <f>IF(VLOOKUP(C89,SEBBusinessDataTable[],MATCH("SEBBusinessName",SEBBusinessDataTable[#Headers],0),FALSE)="","Business "&amp;C89&amp;" - "&amp;VLOOKUP(C89,SEBBusinessDataTable[],MATCH("SEBBusinessType",SEBBusinessDataTable[#Headers],0),FALSE),VLOOKUP(C89,SEBBusinessDataTable[],MATCH("SEBBusinessName",SEBBusinessDataTable[#Headers],0),FALSE))</f>
        <v xml:space="preserve">Business 43 - </v>
      </c>
      <c r="C89" s="552">
        <v>43</v>
      </c>
      <c r="D89" s="1111"/>
      <c r="E89" s="1388"/>
      <c r="G89" s="690">
        <f t="shared" si="2"/>
        <v>0</v>
      </c>
      <c r="W89" s="1080" t="s">
        <v>1812</v>
      </c>
      <c r="X89" s="1093">
        <f>SUM(X86,X88)</f>
        <v>0</v>
      </c>
      <c r="Y89" s="1101"/>
      <c r="Z89" s="1094"/>
      <c r="AA89" s="1093">
        <f>SUM(AA86,AA88)</f>
        <v>0</v>
      </c>
      <c r="AB89" s="1101"/>
      <c r="AC89" s="1094"/>
      <c r="AD89" s="1093">
        <f>SUM(AD86,AD88)</f>
        <v>0</v>
      </c>
      <c r="AE89" s="1101"/>
      <c r="AF89" s="1094"/>
      <c r="AG89" s="1093">
        <f>SUM(AG86,AG88)</f>
        <v>0</v>
      </c>
      <c r="AH89" s="1101"/>
      <c r="AI89" s="1094"/>
      <c r="AJ89" s="1093">
        <f>SUM(AJ86,AJ88)</f>
        <v>0</v>
      </c>
      <c r="AK89" s="1101"/>
      <c r="AL89" s="1094"/>
      <c r="AM89" s="1093">
        <f>SUM(AM86,AM88)</f>
        <v>0</v>
      </c>
      <c r="AN89" s="1101"/>
      <c r="AR89" s="1220">
        <f t="shared" si="1"/>
        <v>0</v>
      </c>
    </row>
    <row r="90" spans="2:44" ht="18.75" hidden="1" customHeight="1" x14ac:dyDescent="0.25">
      <c r="B90" s="1327" t="str">
        <f>IF(VLOOKUP(C90,SEBBusinessDataTable[],MATCH("SEBBusinessName",SEBBusinessDataTable[#Headers],0),FALSE)="","Business "&amp;C90&amp;" - "&amp;VLOOKUP(C90,SEBBusinessDataTable[],MATCH("SEBBusinessType",SEBBusinessDataTable[#Headers],0),FALSE),VLOOKUP(C90,SEBBusinessDataTable[],MATCH("SEBBusinessName",SEBBusinessDataTable[#Headers],0),FALSE))</f>
        <v xml:space="preserve">Business 44 - </v>
      </c>
      <c r="C90" s="552">
        <v>44</v>
      </c>
      <c r="D90" s="1111"/>
      <c r="E90" s="1388"/>
      <c r="G90" s="690">
        <f t="shared" si="2"/>
        <v>0</v>
      </c>
      <c r="W90" s="1102" t="s">
        <v>1638</v>
      </c>
      <c r="X90" s="1103">
        <f>IF(AND(SEBBusinessType="Trust",D$15="Yes"),MAX(X83,0),0)</f>
        <v>0</v>
      </c>
      <c r="Y90"/>
      <c r="Z90" s="1104"/>
      <c r="AA90" s="1103">
        <f>IF(AND(SEBBusinessType="Trust",G$15="Yes"),MAX(AA83,0),0)</f>
        <v>0</v>
      </c>
      <c r="AB90"/>
      <c r="AC90" s="1104"/>
      <c r="AD90" s="1103">
        <f>IF(AND(SEBBusinessType="Trust",J$15="Yes"),MAX(AD83,0),0)</f>
        <v>0</v>
      </c>
      <c r="AE90"/>
      <c r="AF90" s="1104"/>
      <c r="AG90" s="1103">
        <f>IF(AND(SEBBusinessType="Trust",M$15="Yes"),MAX(AG83,0),0)</f>
        <v>0</v>
      </c>
      <c r="AH90"/>
      <c r="AI90" s="1104"/>
      <c r="AJ90" s="1103">
        <f>IF(AND(SEBBusinessType="Trust",P$15="Yes"),MAX(AJ83,0),0)</f>
        <v>0</v>
      </c>
      <c r="AK90"/>
      <c r="AL90" s="1104"/>
      <c r="AM90" s="1103">
        <f>IF(AND(SEBBusinessType="Trust",S$15="Yes"),MAX(AM83,0),0)</f>
        <v>0</v>
      </c>
      <c r="AN90"/>
      <c r="AR90" s="1220">
        <f t="shared" si="1"/>
        <v>0</v>
      </c>
    </row>
    <row r="91" spans="2:44" ht="18.75" hidden="1" customHeight="1" x14ac:dyDescent="0.3">
      <c r="B91" s="1327" t="str">
        <f>IF(VLOOKUP(C91,SEBBusinessDataTable[],MATCH("SEBBusinessName",SEBBusinessDataTable[#Headers],0),FALSE)="","Business "&amp;C91&amp;" - "&amp;VLOOKUP(C91,SEBBusinessDataTable[],MATCH("SEBBusinessType",SEBBusinessDataTable[#Headers],0),FALSE),VLOOKUP(C91,SEBBusinessDataTable[],MATCH("SEBBusinessName",SEBBusinessDataTable[#Headers],0),FALSE))</f>
        <v xml:space="preserve">Business 45 - </v>
      </c>
      <c r="C91" s="552">
        <v>45</v>
      </c>
      <c r="D91" s="1111"/>
      <c r="E91" s="1388"/>
      <c r="G91" s="690">
        <f t="shared" si="2"/>
        <v>0</v>
      </c>
      <c r="W91" s="1102" t="s">
        <v>1637</v>
      </c>
      <c r="X91" s="1103">
        <f>IF(AND(SEBBusinessType="Trust",D$15="Yes"),ABS(MIN(X83,0))+ABS(X89),0)</f>
        <v>0</v>
      </c>
      <c r="Y91"/>
      <c r="Z91" s="446"/>
      <c r="AA91" s="1103">
        <f>IF(AND(SEBBusinessType="Trust",G$15="Yes"),ABS(MIN(AA83,0))+ABS(AA89),0)</f>
        <v>0</v>
      </c>
      <c r="AB91"/>
      <c r="AC91" s="446"/>
      <c r="AD91" s="1103">
        <f>IF(AND(SEBBusinessType="Trust",J$15="Yes"),ABS(MIN(AD83,0))+ABS(AD89),0)</f>
        <v>0</v>
      </c>
      <c r="AE91"/>
      <c r="AF91" s="446"/>
      <c r="AG91" s="1103">
        <f>IF(AND(SEBBusinessType="Trust",M$15="Yes"),ABS(MIN(AG83,0))+ABS(AG89),0)</f>
        <v>0</v>
      </c>
      <c r="AH91"/>
      <c r="AI91" s="446"/>
      <c r="AJ91" s="1103">
        <f>IF(AND(SEBBusinessType="Trust",P$15="Yes"),ABS(MIN(AJ83,0))+ABS(AJ89),0)</f>
        <v>0</v>
      </c>
      <c r="AK91"/>
      <c r="AL91" s="446"/>
      <c r="AM91" s="1103">
        <f>IF(AND(SEBBusinessType="Trust",S$15="Yes"),ABS(MIN(AM83,0))+ABS(AM89),0)</f>
        <v>0</v>
      </c>
      <c r="AN91"/>
      <c r="AR91" s="1220">
        <f t="shared" si="1"/>
        <v>0</v>
      </c>
    </row>
    <row r="92" spans="2:44" ht="18.75" hidden="1" customHeight="1" x14ac:dyDescent="0.25">
      <c r="B92" s="1327" t="str">
        <f>IF(VLOOKUP(C92,SEBBusinessDataTable[],MATCH("SEBBusinessName",SEBBusinessDataTable[#Headers],0),FALSE)="","Business "&amp;C92&amp;" - "&amp;VLOOKUP(C92,SEBBusinessDataTable[],MATCH("SEBBusinessType",SEBBusinessDataTable[#Headers],0),FALSE),VLOOKUP(C92,SEBBusinessDataTable[],MATCH("SEBBusinessName",SEBBusinessDataTable[#Headers],0),FALSE))</f>
        <v xml:space="preserve">Business 46 - </v>
      </c>
      <c r="C92" s="552">
        <v>46</v>
      </c>
      <c r="D92" s="1111"/>
      <c r="E92" s="1388"/>
      <c r="G92" s="690">
        <f t="shared" si="2"/>
        <v>0</v>
      </c>
      <c r="X92" s="1084" t="s">
        <v>33</v>
      </c>
      <c r="Y92" s="81"/>
      <c r="Z92" s="81"/>
      <c r="AA92" s="1085" t="s">
        <v>34</v>
      </c>
      <c r="AB92" s="81"/>
      <c r="AC92" s="81"/>
      <c r="AD92" s="1085" t="s">
        <v>35</v>
      </c>
      <c r="AE92" s="628"/>
      <c r="AF92" s="628"/>
      <c r="AG92" s="1085" t="s">
        <v>36</v>
      </c>
      <c r="AH92" s="628"/>
      <c r="AI92" s="628"/>
      <c r="AJ92" s="1085" t="s">
        <v>37</v>
      </c>
      <c r="AK92" s="628"/>
      <c r="AL92" s="628"/>
      <c r="AM92" s="1085" t="s">
        <v>38</v>
      </c>
      <c r="AR92" s="1220">
        <f t="shared" si="1"/>
        <v>0</v>
      </c>
    </row>
    <row r="93" spans="2:44" ht="18.75" hidden="1" customHeight="1" x14ac:dyDescent="0.3">
      <c r="B93" s="1327" t="str">
        <f>IF(VLOOKUP(C93,SEBBusinessDataTable[],MATCH("SEBBusinessName",SEBBusinessDataTable[#Headers],0),FALSE)="","Business "&amp;C93&amp;" - "&amp;VLOOKUP(C93,SEBBusinessDataTable[],MATCH("SEBBusinessType",SEBBusinessDataTable[#Headers],0),FALSE),VLOOKUP(C93,SEBBusinessDataTable[],MATCH("SEBBusinessName",SEBBusinessDataTable[#Headers],0),FALSE))</f>
        <v xml:space="preserve">Business 47 - </v>
      </c>
      <c r="C93" s="552">
        <v>47</v>
      </c>
      <c r="D93" s="1111"/>
      <c r="E93" s="1388"/>
      <c r="G93" s="690">
        <f t="shared" si="2"/>
        <v>0</v>
      </c>
      <c r="W93" s="1088" t="s">
        <v>870</v>
      </c>
      <c r="X93" s="1086" t="s">
        <v>307</v>
      </c>
      <c r="Y93" s="1086" t="s">
        <v>298</v>
      </c>
      <c r="Z93" s="1087"/>
      <c r="AA93" s="1086" t="s">
        <v>307</v>
      </c>
      <c r="AB93" s="1086" t="s">
        <v>298</v>
      </c>
      <c r="AC93" s="1087"/>
      <c r="AD93" s="1086" t="s">
        <v>307</v>
      </c>
      <c r="AE93" s="1086" t="s">
        <v>298</v>
      </c>
      <c r="AF93" s="1087"/>
      <c r="AG93" s="1086" t="s">
        <v>307</v>
      </c>
      <c r="AH93" s="1086" t="s">
        <v>298</v>
      </c>
      <c r="AI93" s="1087"/>
      <c r="AJ93" s="1086" t="s">
        <v>307</v>
      </c>
      <c r="AK93" s="1086" t="s">
        <v>298</v>
      </c>
      <c r="AL93" s="1087"/>
      <c r="AM93" s="1086" t="s">
        <v>307</v>
      </c>
      <c r="AN93" s="1086" t="s">
        <v>298</v>
      </c>
      <c r="AR93" s="1220">
        <f t="shared" si="1"/>
        <v>0</v>
      </c>
    </row>
    <row r="94" spans="2:44" ht="18.75" hidden="1" customHeight="1" x14ac:dyDescent="0.25">
      <c r="B94" s="1327" t="str">
        <f>IF(VLOOKUP(C94,SEBBusinessDataTable[],MATCH("SEBBusinessName",SEBBusinessDataTable[#Headers],0),FALSE)="","Business "&amp;C94&amp;" - "&amp;VLOOKUP(C94,SEBBusinessDataTable[],MATCH("SEBBusinessType",SEBBusinessDataTable[#Headers],0),FALSE),VLOOKUP(C94,SEBBusinessDataTable[],MATCH("SEBBusinessName",SEBBusinessDataTable[#Headers],0),FALSE))</f>
        <v xml:space="preserve">Business 48 - </v>
      </c>
      <c r="C94" s="552">
        <v>48</v>
      </c>
      <c r="D94" s="1111"/>
      <c r="E94" s="1388"/>
      <c r="G94" s="690">
        <f t="shared" si="2"/>
        <v>0</v>
      </c>
      <c r="W94" s="1075" t="s">
        <v>1998</v>
      </c>
      <c r="X94" s="1095">
        <f>D35</f>
        <v>0</v>
      </c>
      <c r="Y94" s="1095">
        <f>E35</f>
        <v>0</v>
      </c>
      <c r="Z94" s="1096"/>
      <c r="AA94" s="1095">
        <f>G35</f>
        <v>0</v>
      </c>
      <c r="AB94" s="1095">
        <f>H35</f>
        <v>0</v>
      </c>
      <c r="AC94" s="1096"/>
      <c r="AD94" s="1095">
        <f>J35</f>
        <v>0</v>
      </c>
      <c r="AE94" s="1095">
        <f>K35</f>
        <v>0</v>
      </c>
      <c r="AF94" s="1096"/>
      <c r="AG94" s="1095">
        <f>M35</f>
        <v>0</v>
      </c>
      <c r="AH94" s="1095">
        <f>N35</f>
        <v>0</v>
      </c>
      <c r="AI94" s="1096"/>
      <c r="AJ94" s="1095">
        <f>P35</f>
        <v>0</v>
      </c>
      <c r="AK94" s="1095">
        <f>Q35</f>
        <v>0</v>
      </c>
      <c r="AL94" s="1096"/>
      <c r="AM94" s="1095">
        <f>S35</f>
        <v>0</v>
      </c>
      <c r="AN94" s="1095">
        <f>T35</f>
        <v>0</v>
      </c>
      <c r="AR94" s="1220">
        <f t="shared" si="1"/>
        <v>0</v>
      </c>
    </row>
    <row r="95" spans="2:44" ht="18.75" hidden="1" customHeight="1" x14ac:dyDescent="0.25">
      <c r="B95" s="1327" t="str">
        <f>IF(VLOOKUP(C95,SEBBusinessDataTable[],MATCH("SEBBusinessName",SEBBusinessDataTable[#Headers],0),FALSE)="","Business "&amp;C95&amp;" - "&amp;VLOOKUP(C95,SEBBusinessDataTable[],MATCH("SEBBusinessType",SEBBusinessDataTable[#Headers],0),FALSE),VLOOKUP(C95,SEBBusinessDataTable[],MATCH("SEBBusinessName",SEBBusinessDataTable[#Headers],0),FALSE))</f>
        <v xml:space="preserve">Business 49 - </v>
      </c>
      <c r="C95" s="552">
        <v>49</v>
      </c>
      <c r="D95" s="1111"/>
      <c r="E95" s="1388"/>
      <c r="G95" s="690">
        <f t="shared" si="2"/>
        <v>0</v>
      </c>
      <c r="W95" s="1075" t="s">
        <v>2006</v>
      </c>
      <c r="X95" s="1089">
        <f>IF(SEBBusinessType="Company",MIN(SUM(X$106,X94),1),0)</f>
        <v>0</v>
      </c>
      <c r="Y95" s="1090">
        <f>IF(SEBBusinessType="Company",MIN(SUM(Y$106,Y94),1),0)</f>
        <v>0</v>
      </c>
      <c r="Z95" s="1091"/>
      <c r="AA95" s="1089">
        <f>IF(SEBBusinessType="Company",MIN(SUM(AA$106,AA94),1),0)</f>
        <v>0</v>
      </c>
      <c r="AB95" s="1090">
        <f>IF(SEBBusinessType="Company",MIN(SUM(AB$106,AB94),1),0)</f>
        <v>0</v>
      </c>
      <c r="AC95" s="1091"/>
      <c r="AD95" s="1089">
        <f>IF(SEBBusinessType="Company",MIN(SUM(AD$106,AD94),1),0)</f>
        <v>0</v>
      </c>
      <c r="AE95" s="1090">
        <f>IF(SEBBusinessType="Company",MIN(SUM(AE$106,AE94),1),0)</f>
        <v>0</v>
      </c>
      <c r="AF95" s="1091"/>
      <c r="AG95" s="1089">
        <f>IF(SEBBusinessType="Company",MIN(SUM(AG$106,AG94),1),0)</f>
        <v>0</v>
      </c>
      <c r="AH95" s="1090">
        <f>IF(SEBBusinessType="Company",MIN(SUM(AH$106,AH94),1),0)</f>
        <v>0</v>
      </c>
      <c r="AI95" s="1091"/>
      <c r="AJ95" s="1089">
        <f>IF(SEBBusinessType="Company",MIN(SUM(AJ$106,AJ94),1),0)</f>
        <v>0</v>
      </c>
      <c r="AK95" s="1090">
        <f>IF(SEBBusinessType="Company",MIN(SUM(AK$106,AK94),1),0)</f>
        <v>0</v>
      </c>
      <c r="AL95" s="1091"/>
      <c r="AM95" s="1089">
        <f>IF(SEBBusinessType="Company",MIN(SUM(AM$106,AM94),1),0)</f>
        <v>0</v>
      </c>
      <c r="AN95" s="1090">
        <f>IF(SEBBusinessType="Company",MIN(SUM(AN$106,AN94),1),0)</f>
        <v>0</v>
      </c>
      <c r="AR95" s="1220">
        <f t="shared" si="1"/>
        <v>0</v>
      </c>
    </row>
    <row r="96" spans="2:44" ht="18.75" hidden="1" customHeight="1" x14ac:dyDescent="0.25">
      <c r="B96" s="1327" t="str">
        <f>IF(VLOOKUP(C96,SEBBusinessDataTable[],MATCH("SEBBusinessName",SEBBusinessDataTable[#Headers],0),FALSE)="","Business "&amp;C96&amp;" - "&amp;VLOOKUP(C96,SEBBusinessDataTable[],MATCH("SEBBusinessType",SEBBusinessDataTable[#Headers],0),FALSE),VLOOKUP(C96,SEBBusinessDataTable[],MATCH("SEBBusinessName",SEBBusinessDataTable[#Headers],0),FALSE))</f>
        <v xml:space="preserve">Business 50 - </v>
      </c>
      <c r="C96" s="552">
        <v>50</v>
      </c>
      <c r="D96" s="1111"/>
      <c r="E96" s="1388"/>
      <c r="G96" s="690">
        <f t="shared" si="2"/>
        <v>0</v>
      </c>
      <c r="W96" s="1075" t="s">
        <v>2031</v>
      </c>
      <c r="X96" s="1089">
        <f>IF(SEBBusinessType="Company",X95,0)</f>
        <v>0</v>
      </c>
      <c r="Y96" s="1090">
        <f>IFERROR(IF(SEBBusinessType="Company",IF($X$25,Y95,IF(SEBUndistributedCompanyProfitsPY&lt;0,Y95,MIN(X95,Y95))),0),0)</f>
        <v>0</v>
      </c>
      <c r="Z96" s="1091"/>
      <c r="AA96" s="1089">
        <f>IF(SEBBusinessType="Company",AA95,0)</f>
        <v>0</v>
      </c>
      <c r="AB96" s="1090">
        <f>IFERROR(IF(SEBBusinessType="Company",IF($X$25,AB95,IF(SEBUndistributedCompanyProfitsPY&lt;0,AB95,MIN(AA95,AB95))),0),0)</f>
        <v>0</v>
      </c>
      <c r="AC96" s="1091"/>
      <c r="AD96" s="1089">
        <f>IF(SEBBusinessType="Company",AD95,0)</f>
        <v>0</v>
      </c>
      <c r="AE96" s="1090">
        <f>IFERROR(IF(SEBBusinessType="Company",IF($X$25,AE95,IF(SEBUndistributedCompanyProfitsPY&lt;0,AE95,MIN(AD95,AE95))),0),0)</f>
        <v>0</v>
      </c>
      <c r="AF96" s="1091"/>
      <c r="AG96" s="1089">
        <f>IF(SEBBusinessType="Company",AG95,0)</f>
        <v>0</v>
      </c>
      <c r="AH96" s="1090">
        <f>IFERROR(IF(SEBBusinessType="Company",IF($X$25,AH95,IF(SEBUndistributedCompanyProfitsPY&lt;0,AH95,MIN(AG95,AH95))),0),0)</f>
        <v>0</v>
      </c>
      <c r="AI96" s="1091"/>
      <c r="AJ96" s="1089">
        <f>IF(SEBBusinessType="Company",AJ95,0)</f>
        <v>0</v>
      </c>
      <c r="AK96" s="1090">
        <f>IFERROR(IF(SEBBusinessType="Company",IF($X$25,AK95,IF(SEBUndistributedCompanyProfitsPY&lt;0,AK95,MIN(AJ95,AK95))),0),0)</f>
        <v>0</v>
      </c>
      <c r="AL96" s="1091"/>
      <c r="AM96" s="1089">
        <f>IF(SEBBusinessType="Company",AM95,0)</f>
        <v>0</v>
      </c>
      <c r="AN96" s="1090">
        <f>IFERROR(IF(SEBBusinessType="Company",IF($X$25,AN95,IF(SEBUndistributedCompanyProfitsPY&lt;0,AN95,MIN(AM95,AN95))),0),0)</f>
        <v>0</v>
      </c>
      <c r="AR96" s="1220">
        <f t="shared" si="1"/>
        <v>0</v>
      </c>
    </row>
    <row r="97" spans="1:44" ht="18.75" hidden="1" customHeight="1" x14ac:dyDescent="0.25">
      <c r="B97" s="1327" t="str">
        <f>IF(VLOOKUP(C97,SEBBusinessDataTable[],MATCH("SEBBusinessName",SEBBusinessDataTable[#Headers],0),FALSE)="","Business "&amp;C97&amp;" - "&amp;VLOOKUP(C97,SEBBusinessDataTable[],MATCH("SEBBusinessType",SEBBusinessDataTable[#Headers],0),FALSE),VLOOKUP(C97,SEBBusinessDataTable[],MATCH("SEBBusinessName",SEBBusinessDataTable[#Headers],0),FALSE))</f>
        <v xml:space="preserve">Business 51 - </v>
      </c>
      <c r="C97" s="552">
        <v>51</v>
      </c>
      <c r="D97" s="1111"/>
      <c r="E97" s="1388"/>
      <c r="G97" s="690">
        <f t="shared" si="2"/>
        <v>0</v>
      </c>
      <c r="W97" s="1075" t="s">
        <v>1817</v>
      </c>
      <c r="X97" s="1109">
        <f>IF(AND(SEBBusinessType="Company",D$15="Yes"),D25,0)</f>
        <v>0</v>
      </c>
      <c r="Y97" s="1110"/>
      <c r="Z97" s="1091"/>
      <c r="AA97" s="1109">
        <f>IF(AND(SEBBusinessType="Company",G$15="Yes"),G25,0)</f>
        <v>0</v>
      </c>
      <c r="AB97" s="1110"/>
      <c r="AC97" s="1091"/>
      <c r="AD97" s="1109">
        <f>IF(AND(SEBBusinessType="Company",J$15="Yes"),J25,0)</f>
        <v>0</v>
      </c>
      <c r="AE97" s="1110"/>
      <c r="AF97" s="1091"/>
      <c r="AG97" s="1109">
        <f>IF(AND(SEBBusinessType="Company",M$15="Yes"),M25,0)</f>
        <v>0</v>
      </c>
      <c r="AH97" s="1110"/>
      <c r="AI97" s="1091"/>
      <c r="AJ97" s="1109">
        <f>IF(AND(SEBBusinessType="Company",P$15="Yes"),P25,0)</f>
        <v>0</v>
      </c>
      <c r="AK97" s="1110"/>
      <c r="AL97" s="1091"/>
      <c r="AM97" s="1109">
        <f>IF(AND(SEBBusinessType="Company",S$15="Yes"),S25,0)</f>
        <v>0</v>
      </c>
      <c r="AN97" s="1110"/>
      <c r="AR97" s="1220">
        <f t="shared" si="1"/>
        <v>0</v>
      </c>
    </row>
    <row r="98" spans="1:44" ht="18.75" hidden="1" customHeight="1" x14ac:dyDescent="0.25">
      <c r="B98" s="1327" t="str">
        <f>IF(VLOOKUP(C98,SEBBusinessDataTable[],MATCH("SEBBusinessName",SEBBusinessDataTable[#Headers],0),FALSE)="","Business "&amp;C98&amp;" - "&amp;VLOOKUP(C98,SEBBusinessDataTable[],MATCH("SEBBusinessType",SEBBusinessDataTable[#Headers],0),FALSE),VLOOKUP(C98,SEBBusinessDataTable[],MATCH("SEBBusinessName",SEBBusinessDataTable[#Headers],0),FALSE))</f>
        <v xml:space="preserve">Business 52 - </v>
      </c>
      <c r="C98" s="552">
        <v>52</v>
      </c>
      <c r="D98" s="1111"/>
      <c r="E98" s="1388"/>
      <c r="G98" s="690">
        <f t="shared" si="2"/>
        <v>0</v>
      </c>
      <c r="W98" s="1075" t="s">
        <v>1999</v>
      </c>
      <c r="X98" s="1092">
        <f>IF(AND(SEBBusinessType="Company",D$15="Yes"),D29,0)</f>
        <v>0</v>
      </c>
      <c r="Y98" s="1101"/>
      <c r="Z98" s="1091"/>
      <c r="AA98" s="1092">
        <f>IF(AND(SEBBusinessType="Company",G$15="Yes"),G29,0)</f>
        <v>0</v>
      </c>
      <c r="AB98" s="1101"/>
      <c r="AC98" s="1091"/>
      <c r="AD98" s="1092">
        <f>IF(AND(SEBBusinessType="Company",J$15="Yes"),J29,0)</f>
        <v>0</v>
      </c>
      <c r="AE98" s="1101"/>
      <c r="AF98" s="1091"/>
      <c r="AG98" s="1092">
        <f>IF(AND(SEBBusinessType="Company",M$15="Yes"),M29,0)</f>
        <v>0</v>
      </c>
      <c r="AH98" s="1101"/>
      <c r="AI98" s="1091"/>
      <c r="AJ98" s="1092">
        <f>IF(AND(SEBBusinessType="Company",P$15="Yes"),P29,0)</f>
        <v>0</v>
      </c>
      <c r="AK98" s="1101"/>
      <c r="AL98" s="1091"/>
      <c r="AM98" s="1092">
        <f>IF(AND(SEBBusinessType="Company",S$15="Yes"),S29,0)</f>
        <v>0</v>
      </c>
      <c r="AN98" s="1101"/>
      <c r="AR98" s="1220">
        <f t="shared" si="1"/>
        <v>0</v>
      </c>
    </row>
    <row r="99" spans="1:44" ht="18.75" hidden="1" customHeight="1" x14ac:dyDescent="0.25">
      <c r="B99" s="1327" t="str">
        <f>IF(VLOOKUP(C99,SEBBusinessDataTable[],MATCH("SEBBusinessName",SEBBusinessDataTable[#Headers],0),FALSE)="","Business "&amp;C99&amp;" - "&amp;VLOOKUP(C99,SEBBusinessDataTable[],MATCH("SEBBusinessType",SEBBusinessDataTable[#Headers],0),FALSE),VLOOKUP(C99,SEBBusinessDataTable[],MATCH("SEBBusinessName",SEBBusinessDataTable[#Headers],0),FALSE))</f>
        <v xml:space="preserve">Business 53 - </v>
      </c>
      <c r="C99" s="552">
        <v>53</v>
      </c>
      <c r="D99" s="1111"/>
      <c r="E99" s="1388"/>
      <c r="G99" s="690">
        <f t="shared" si="2"/>
        <v>0</v>
      </c>
      <c r="W99" s="1108" t="s">
        <v>780</v>
      </c>
      <c r="X99" s="1103">
        <f>SUM(X97:X98)</f>
        <v>0</v>
      </c>
      <c r="Y99" s="1101"/>
      <c r="Z99" s="1094"/>
      <c r="AA99" s="1103">
        <f>SUM(AA97:AA98)</f>
        <v>0</v>
      </c>
      <c r="AB99" s="1101"/>
      <c r="AC99" s="1094"/>
      <c r="AD99" s="1103">
        <f>SUM(AD97:AD98)</f>
        <v>0</v>
      </c>
      <c r="AE99" s="1101"/>
      <c r="AF99" s="1094"/>
      <c r="AG99" s="1103">
        <f>SUM(AG97:AG98)</f>
        <v>0</v>
      </c>
      <c r="AH99" s="1101"/>
      <c r="AI99" s="1094"/>
      <c r="AJ99" s="1103">
        <f>SUM(AJ97:AJ98)</f>
        <v>0</v>
      </c>
      <c r="AK99" s="1101"/>
      <c r="AL99" s="1094"/>
      <c r="AM99" s="1103">
        <f>SUM(AM97:AM98)</f>
        <v>0</v>
      </c>
      <c r="AN99" s="1101"/>
      <c r="AR99" s="1220">
        <f t="shared" si="1"/>
        <v>0</v>
      </c>
    </row>
    <row r="100" spans="1:44" ht="18.75" hidden="1" customHeight="1" x14ac:dyDescent="0.25">
      <c r="B100" s="1327" t="str">
        <f>IF(VLOOKUP(C100,SEBBusinessDataTable[],MATCH("SEBBusinessName",SEBBusinessDataTable[#Headers],0),FALSE)="","Business "&amp;C100&amp;" - "&amp;VLOOKUP(C100,SEBBusinessDataTable[],MATCH("SEBBusinessType",SEBBusinessDataTable[#Headers],0),FALSE),VLOOKUP(C100,SEBBusinessDataTable[],MATCH("SEBBusinessName",SEBBusinessDataTable[#Headers],0),FALSE))</f>
        <v xml:space="preserve">Business 54 - </v>
      </c>
      <c r="C100" s="552">
        <v>54</v>
      </c>
      <c r="D100" s="1111"/>
      <c r="E100" s="1388"/>
      <c r="G100" s="690">
        <f t="shared" si="2"/>
        <v>0</v>
      </c>
      <c r="W100" s="1080" t="s">
        <v>1802</v>
      </c>
      <c r="X100" s="1093">
        <f>IF(AND(SEBBusinessType="Company",D$15="Yes"),IF(OR(SEBUndistributedCompanyProfitsLY&lt;0,D$37="Yes"),X96*SEBUndistributedCompanyProfitsLY,0),0)</f>
        <v>0</v>
      </c>
      <c r="Y100" s="1093">
        <f>IF(AND(SEBBusinessType="Company",D$15="Yes"),IF(OR(SEBUndistributedCompanyProfitsPY&lt;0,D$37="Yes"),Y96*SEBUndistributedCompanyProfitsPY,0),0)</f>
        <v>0</v>
      </c>
      <c r="Z100" s="1094"/>
      <c r="AA100" s="1093">
        <f>IF(AND(SEBBusinessType="Company",G$15="Yes"),IF(OR(SEBUndistributedCompanyProfitsLY&lt;0,G$37="Yes"),AA96*SEBUndistributedCompanyProfitsLY,0),0)</f>
        <v>0</v>
      </c>
      <c r="AB100" s="1093">
        <f>IF(AND(SEBBusinessType="Company",G$15="Yes"),IF(OR(SEBUndistributedCompanyProfitsPY&lt;0,G$37="Yes"),AB96*SEBUndistributedCompanyProfitsPY,0),0)</f>
        <v>0</v>
      </c>
      <c r="AC100" s="1094"/>
      <c r="AD100" s="1093">
        <f>IF(AND(SEBBusinessType="Company",J$15="Yes"),IF(OR(SEBUndistributedCompanyProfitsLY&lt;0,J$37="Yes"),AD96*SEBUndistributedCompanyProfitsLY,0),0)</f>
        <v>0</v>
      </c>
      <c r="AE100" s="1093">
        <f>IF(AND(SEBBusinessType="Company",J$15="Yes"),IF(OR(SEBUndistributedCompanyProfitsPY&lt;0,J$37="Yes"),AE96*SEBUndistributedCompanyProfitsPY,0),0)</f>
        <v>0</v>
      </c>
      <c r="AF100" s="1094"/>
      <c r="AG100" s="1093">
        <f>IF(AND(SEBBusinessType="Company",M$15="Yes"),IF(OR(SEBUndistributedCompanyProfitsLY&lt;0,M$37="Yes"),AG96*SEBUndistributedCompanyProfitsLY,0),0)</f>
        <v>0</v>
      </c>
      <c r="AH100" s="1093">
        <f>IF(AND(SEBBusinessType="Company",M$15="Yes"),IF(OR(SEBUndistributedCompanyProfitsPY&lt;0,M$37="Yes"),AH96*SEBUndistributedCompanyProfitsPY,0),0)</f>
        <v>0</v>
      </c>
      <c r="AI100" s="1094"/>
      <c r="AJ100" s="1093">
        <f>IF(AND(SEBBusinessType="Company",P$15="Yes"),IF(OR(SEBUndistributedCompanyProfitsLY&lt;0,P$37="Yes"),AJ96*SEBUndistributedCompanyProfitsLY,0),0)</f>
        <v>0</v>
      </c>
      <c r="AK100" s="1093">
        <f>IF(AND(SEBBusinessType="Company",P$15="Yes"),IF(OR(SEBUndistributedCompanyProfitsPY&lt;0,P$37="Yes"),AK96*SEBUndistributedCompanyProfitsPY,0),0)</f>
        <v>0</v>
      </c>
      <c r="AL100" s="1094"/>
      <c r="AM100" s="1093">
        <f>IF(AND(SEBBusinessType="Company",S$15="Yes"),IF(OR(SEBUndistributedCompanyProfitsLY&lt;0,S$37="Yes"),AM96*SEBUndistributedCompanyProfitsLY,0),0)</f>
        <v>0</v>
      </c>
      <c r="AN100" s="1093">
        <f>IF(AND(SEBBusinessType="Company",S$15="Yes"),IF(OR(SEBUndistributedCompanyProfitsPY&lt;0,S$37="Yes"),AN96*SEBUndistributedCompanyProfitsPY,0),0)</f>
        <v>0</v>
      </c>
      <c r="AR100" s="1220">
        <f t="shared" si="1"/>
        <v>0</v>
      </c>
    </row>
    <row r="101" spans="1:44" ht="18.75" hidden="1" customHeight="1" x14ac:dyDescent="0.25">
      <c r="B101" s="1327" t="str">
        <f>IF(VLOOKUP(C101,SEBBusinessDataTable[],MATCH("SEBBusinessName",SEBBusinessDataTable[#Headers],0),FALSE)="","Business "&amp;C101&amp;" - "&amp;VLOOKUP(C101,SEBBusinessDataTable[],MATCH("SEBBusinessType",SEBBusinessDataTable[#Headers],0),FALSE),VLOOKUP(C101,SEBBusinessDataTable[],MATCH("SEBBusinessName",SEBBusinessDataTable[#Headers],0),FALSE))</f>
        <v xml:space="preserve">Business 55 - </v>
      </c>
      <c r="C101" s="552">
        <v>55</v>
      </c>
      <c r="D101" s="1111"/>
      <c r="E101" s="1388"/>
      <c r="G101" s="690">
        <f t="shared" si="2"/>
        <v>0</v>
      </c>
      <c r="W101" s="1080" t="s">
        <v>2000</v>
      </c>
      <c r="X101" s="1093">
        <f>IF(AND(SEBBusinessType="Company",D$15="Yes"),IF($X$27="Latest",X100,AVERAGE(X100:Y100)),0)</f>
        <v>0</v>
      </c>
      <c r="Y101" s="1101"/>
      <c r="Z101" s="1094"/>
      <c r="AA101" s="1093">
        <f>IF(AND(SEBBusinessType="Company",G$15="Yes"),IF($X$27="Latest",AA100,AVERAGE(AA100:AB100)),0)</f>
        <v>0</v>
      </c>
      <c r="AB101" s="1101"/>
      <c r="AC101" s="1094"/>
      <c r="AD101" s="1093">
        <f>IF(AND(SEBBusinessType="Company",J$15="Yes"),IF($X$27="Latest",AD100,AVERAGE(AD100:AE100)),0)</f>
        <v>0</v>
      </c>
      <c r="AE101" s="1101"/>
      <c r="AF101" s="1094"/>
      <c r="AG101" s="1093">
        <f>IF(AND(SEBBusinessType="Company",M$15="Yes"),IF($X$27="Latest",AG100,AVERAGE(AG100:AH100)),0)</f>
        <v>0</v>
      </c>
      <c r="AH101" s="1101"/>
      <c r="AI101" s="1094"/>
      <c r="AJ101" s="1093">
        <f>IF(AND(SEBBusinessType="Company",P$15="Yes"),IF($X$27="Latest",AJ100,AVERAGE(AJ100:AK100)),0)</f>
        <v>0</v>
      </c>
      <c r="AK101" s="1101"/>
      <c r="AL101" s="1094"/>
      <c r="AM101" s="1093">
        <f>IF(AND(SEBBusinessType="Company",S$15="Yes"),IF($X$27="Latest",AM100,AVERAGE(AM100:AN100)),0)</f>
        <v>0</v>
      </c>
      <c r="AN101" s="1101"/>
      <c r="AR101" s="1220">
        <f t="shared" si="1"/>
        <v>0</v>
      </c>
    </row>
    <row r="102" spans="1:44" ht="18.75" hidden="1" customHeight="1" x14ac:dyDescent="0.25">
      <c r="B102" s="1327" t="str">
        <f>IF(VLOOKUP(C102,SEBBusinessDataTable[],MATCH("SEBBusinessName",SEBBusinessDataTable[#Headers],0),FALSE)="","Business "&amp;C102&amp;" - "&amp;VLOOKUP(C102,SEBBusinessDataTable[],MATCH("SEBBusinessType",SEBBusinessDataTable[#Headers],0),FALSE),VLOOKUP(C102,SEBBusinessDataTable[],MATCH("SEBBusinessName",SEBBusinessDataTable[#Headers],0),FALSE))</f>
        <v xml:space="preserve">Business 56 - </v>
      </c>
      <c r="C102" s="552">
        <v>56</v>
      </c>
      <c r="D102" s="1111"/>
      <c r="E102" s="1388"/>
      <c r="G102" s="690">
        <f t="shared" si="2"/>
        <v>0</v>
      </c>
      <c r="W102" s="1102" t="s">
        <v>1638</v>
      </c>
      <c r="X102" s="1103">
        <f>IF(AND(SEBBusinessType="Company",D$15="Yes"),X99,0)</f>
        <v>0</v>
      </c>
      <c r="Y102"/>
      <c r="Z102" s="1104"/>
      <c r="AA102" s="1103">
        <f>IF(AND(SEBBusinessType="Company",G$15="Yes"),AA99,0)</f>
        <v>0</v>
      </c>
      <c r="AB102"/>
      <c r="AC102" s="1104"/>
      <c r="AD102" s="1103">
        <f>IF(AND(SEBBusinessType="Company",J$15="Yes"),AD99,0)</f>
        <v>0</v>
      </c>
      <c r="AE102"/>
      <c r="AF102" s="1104"/>
      <c r="AG102" s="1103">
        <f>IF(AND(SEBBusinessType="Company",M$15="Yes"),AG99,0)</f>
        <v>0</v>
      </c>
      <c r="AH102"/>
      <c r="AI102" s="1104"/>
      <c r="AJ102" s="1103">
        <f>IF(AND(SEBBusinessType="Company",P$15="Yes"),AJ99,0)</f>
        <v>0</v>
      </c>
      <c r="AK102"/>
      <c r="AL102" s="1104"/>
      <c r="AM102" s="1103">
        <f>IF(AND(SEBBusinessType="Company",S$15="Yes"),AM99,0)</f>
        <v>0</v>
      </c>
      <c r="AN102"/>
      <c r="AR102" s="1220">
        <f t="shared" si="1"/>
        <v>0</v>
      </c>
    </row>
    <row r="103" spans="1:44" ht="18.75" hidden="1" customHeight="1" x14ac:dyDescent="0.25">
      <c r="B103" s="1327" t="str">
        <f>IF(VLOOKUP(C103,SEBBusinessDataTable[],MATCH("SEBBusinessName",SEBBusinessDataTable[#Headers],0),FALSE)="","Business "&amp;C103&amp;" - "&amp;VLOOKUP(C103,SEBBusinessDataTable[],MATCH("SEBBusinessType",SEBBusinessDataTable[#Headers],0),FALSE),VLOOKUP(C103,SEBBusinessDataTable[],MATCH("SEBBusinessName",SEBBusinessDataTable[#Headers],0),FALSE))</f>
        <v xml:space="preserve">Business 57 - </v>
      </c>
      <c r="C103" s="552">
        <v>57</v>
      </c>
      <c r="D103" s="1111"/>
      <c r="E103" s="1388"/>
      <c r="G103" s="690">
        <f t="shared" si="2"/>
        <v>0</v>
      </c>
      <c r="W103" s="1102" t="s">
        <v>1793</v>
      </c>
      <c r="X103" s="1103">
        <f>IF(AND(SEBBusinessType="Company",D$15="Yes",D37="Yes"),MAX(X101,0),0)</f>
        <v>0</v>
      </c>
      <c r="Y103"/>
      <c r="Z103" s="1104"/>
      <c r="AA103" s="1103">
        <f>IF(AND(SEBBusinessType="Company",G$15="Yes",G37="Yes"),MAX(AA101,0),0)</f>
        <v>0</v>
      </c>
      <c r="AB103"/>
      <c r="AC103" s="1104"/>
      <c r="AD103" s="1103">
        <f>IF(AND(SEBBusinessType="Company",J$15="Yes",J37="Yes"),MAX(AD101,0),0)</f>
        <v>0</v>
      </c>
      <c r="AE103"/>
      <c r="AF103" s="1104"/>
      <c r="AG103" s="1103">
        <f>IF(AND(SEBBusinessType="Company",M$15="Yes",M37="Yes"),MAX(AG101,0),0)</f>
        <v>0</v>
      </c>
      <c r="AH103"/>
      <c r="AI103" s="1104"/>
      <c r="AJ103" s="1103">
        <f>IF(AND(SEBBusinessType="Company",P$15="Yes",P37="Yes"),MAX(AJ101,0),0)</f>
        <v>0</v>
      </c>
      <c r="AK103"/>
      <c r="AL103" s="1104"/>
      <c r="AM103" s="1103">
        <f>IF(AND(SEBBusinessType="Company",S$15="Yes",S37="Yes"),MAX(AM101,0),0)</f>
        <v>0</v>
      </c>
      <c r="AN103"/>
      <c r="AR103" s="1220">
        <f t="shared" si="1"/>
        <v>0</v>
      </c>
    </row>
    <row r="104" spans="1:44" ht="18.75" hidden="1" customHeight="1" x14ac:dyDescent="0.3">
      <c r="B104" s="1327" t="str">
        <f>IF(VLOOKUP(C104,SEBBusinessDataTable[],MATCH("SEBBusinessName",SEBBusinessDataTable[#Headers],0),FALSE)="","Business "&amp;C104&amp;" - "&amp;VLOOKUP(C104,SEBBusinessDataTable[],MATCH("SEBBusinessType",SEBBusinessDataTable[#Headers],0),FALSE),VLOOKUP(C104,SEBBusinessDataTable[],MATCH("SEBBusinessName",SEBBusinessDataTable[#Headers],0),FALSE))</f>
        <v xml:space="preserve">Business 58 - </v>
      </c>
      <c r="C104" s="552">
        <v>58</v>
      </c>
      <c r="D104" s="1111"/>
      <c r="E104" s="1388"/>
      <c r="G104" s="690">
        <f t="shared" si="2"/>
        <v>0</v>
      </c>
      <c r="W104" s="1102" t="s">
        <v>1637</v>
      </c>
      <c r="X104" s="1103">
        <f>IF(AND(SEBBusinessType="Company",D$15="Yes"),ABS(MIN(X101,0)),0)</f>
        <v>0</v>
      </c>
      <c r="Y104"/>
      <c r="Z104" s="446"/>
      <c r="AA104" s="1103">
        <f>IF(AND(SEBBusinessType="Company",G$15="Yes"),ABS(MIN(AA101,0)),0)</f>
        <v>0</v>
      </c>
      <c r="AB104"/>
      <c r="AC104" s="446"/>
      <c r="AD104" s="1103">
        <f>IF(AND(SEBBusinessType="Company",J$15="Yes"),ABS(MIN(AD101,0)),0)</f>
        <v>0</v>
      </c>
      <c r="AE104"/>
      <c r="AF104" s="446"/>
      <c r="AG104" s="1103">
        <f>IF(AND(SEBBusinessType="Company",M$15="Yes"),ABS(MIN(AG101,0)),0)</f>
        <v>0</v>
      </c>
      <c r="AH104"/>
      <c r="AI104" s="446"/>
      <c r="AJ104" s="1103">
        <f>IF(AND(SEBBusinessType="Company",P$15="Yes"),ABS(MIN(AJ101,0)),0)</f>
        <v>0</v>
      </c>
      <c r="AK104"/>
      <c r="AL104" s="446"/>
      <c r="AM104" s="1103">
        <f>IF(AND(SEBBusinessType="Company",S$15="Yes"),ABS(MIN(AM101,0)),0)</f>
        <v>0</v>
      </c>
      <c r="AN104"/>
      <c r="AR104" s="1220">
        <f t="shared" si="1"/>
        <v>0</v>
      </c>
    </row>
    <row r="105" spans="1:44" ht="18.75" hidden="1" customHeight="1" x14ac:dyDescent="0.25">
      <c r="B105" s="1327" t="str">
        <f>IF(VLOOKUP(C105,SEBBusinessDataTable[],MATCH("SEBBusinessName",SEBBusinessDataTable[#Headers],0),FALSE)="","Business "&amp;C105&amp;" - "&amp;VLOOKUP(C105,SEBBusinessDataTable[],MATCH("SEBBusinessType",SEBBusinessDataTable[#Headers],0),FALSE),VLOOKUP(C105,SEBBusinessDataTable[],MATCH("SEBBusinessName",SEBBusinessDataTable[#Headers],0),FALSE))</f>
        <v xml:space="preserve">Business 59 - </v>
      </c>
      <c r="C105" s="552">
        <v>59</v>
      </c>
      <c r="D105" s="1111"/>
      <c r="E105" s="1388"/>
      <c r="G105" s="690">
        <f t="shared" si="2"/>
        <v>0</v>
      </c>
      <c r="AR105" s="1220">
        <f t="shared" si="1"/>
        <v>0</v>
      </c>
    </row>
    <row r="106" spans="1:44" ht="18.75" hidden="1" customHeight="1" x14ac:dyDescent="0.25">
      <c r="B106" s="1327" t="str">
        <f>IF(VLOOKUP(C106,SEBBusinessDataTable[],MATCH("SEBBusinessName",SEBBusinessDataTable[#Headers],0),FALSE)="","Business "&amp;C106&amp;" - "&amp;VLOOKUP(C106,SEBBusinessDataTable[],MATCH("SEBBusinessType",SEBBusinessDataTable[#Headers],0),FALSE),VLOOKUP(C106,SEBBusinessDataTable[],MATCH("SEBBusinessName",SEBBusinessDataTable[#Headers],0),FALSE))</f>
        <v xml:space="preserve">Business 60 - </v>
      </c>
      <c r="C106" s="552">
        <v>60</v>
      </c>
      <c r="D106" s="1111"/>
      <c r="E106" s="1388"/>
      <c r="G106" s="690">
        <f t="shared" si="2"/>
        <v>0</v>
      </c>
      <c r="W106" s="1075" t="s">
        <v>1623</v>
      </c>
      <c r="X106" s="1089" cm="1">
        <f t="array" ref="X106">IF(AND(C$15&lt;=SCAApplicantCount,$X$110),DerivedOwnership(C$15,SEBBusinessID,"LY"),0)</f>
        <v>0</v>
      </c>
      <c r="Y106" s="1090" cm="1">
        <f t="array" ref="Y106">IF(AND(C$15&lt;=SCAApplicantCount,$X$111),DerivedOwnership(C$15,SEBBusinessID,"PY"),0)</f>
        <v>0</v>
      </c>
      <c r="Z106" s="1091"/>
      <c r="AA106" s="1089" cm="1">
        <f t="array" ref="AA106">IF(AND(F$15&lt;=SCAApplicantCount,$X$110),DerivedOwnership(F$15,SEBBusinessID,"LY"),0)</f>
        <v>0</v>
      </c>
      <c r="AB106" s="1090" cm="1">
        <f t="array" ref="AB106">IF(AND(F$15&lt;=SCAApplicantCount,$X$111),DerivedOwnership(F$15,SEBBusinessID,"PY"),0)</f>
        <v>0</v>
      </c>
      <c r="AC106" s="1091"/>
      <c r="AD106" s="1089" cm="1">
        <f t="array" ref="AD106">IF(AND(I$15&lt;=SCAApplicantCount,$X$110),DerivedOwnership(I$15,SEBBusinessID,"LY"),0)</f>
        <v>0</v>
      </c>
      <c r="AE106" s="1090" cm="1">
        <f t="array" ref="AE106">IF(AND(I$15&lt;=SCAApplicantCount,$X$111),DerivedOwnership(I$15,SEBBusinessID,"PY"),0)</f>
        <v>0</v>
      </c>
      <c r="AF106" s="1091"/>
      <c r="AG106" s="1089" cm="1">
        <f t="array" ref="AG106">IF(AND(L$15&lt;=SCAApplicantCount,$X$110),DerivedOwnership(L$15,SEBBusinessID,"LY"),0)</f>
        <v>0</v>
      </c>
      <c r="AH106" s="1090" cm="1">
        <f t="array" ref="AH106">IF(AND(L$15&lt;=SCAApplicantCount,$X$111),DerivedOwnership(L$15,SEBBusinessID,"PY"),0)</f>
        <v>0</v>
      </c>
      <c r="AI106" s="1091"/>
      <c r="AJ106" s="1089" cm="1">
        <f t="array" ref="AJ106">IF(AND(O$15&lt;=SCAApplicantCount,$X$110),DerivedOwnership(O$15,SEBBusinessID,"LY"),0)</f>
        <v>0</v>
      </c>
      <c r="AK106" s="1090" cm="1">
        <f t="array" ref="AK106">IF(AND(O$15&lt;=SCAApplicantCount,$X$111),DerivedOwnership(O$15,SEBBusinessID,"PY"),0)</f>
        <v>0</v>
      </c>
      <c r="AL106" s="1091"/>
      <c r="AM106" s="1089" cm="1">
        <f t="array" ref="AM106">IF(AND(R$15&lt;=SCAApplicantCount,$X$110),DerivedOwnership(R$15,SEBBusinessID,"LY"),0)</f>
        <v>0</v>
      </c>
      <c r="AN106" s="1090" cm="1">
        <f t="array" ref="AN106">IF(AND(R$15&lt;=SCAApplicantCount,$X$111),DerivedOwnership(R$15,SEBBusinessID,"PY"),0)</f>
        <v>0</v>
      </c>
      <c r="AR106" s="1220">
        <f t="shared" si="1"/>
        <v>0</v>
      </c>
    </row>
    <row r="107" spans="1:44" ht="3.75" hidden="1" customHeight="1" x14ac:dyDescent="0.25">
      <c r="W107"/>
      <c r="X107"/>
      <c r="Y107"/>
      <c r="Z107"/>
      <c r="AA107"/>
      <c r="AB107"/>
      <c r="AC107"/>
      <c r="AD107"/>
      <c r="AE107"/>
      <c r="AF107"/>
      <c r="AG107"/>
      <c r="AH107"/>
      <c r="AI107"/>
      <c r="AJ107"/>
      <c r="AK107"/>
      <c r="AL107"/>
      <c r="AM107"/>
      <c r="AN107"/>
      <c r="AR107" s="1220">
        <f t="shared" si="1"/>
        <v>0</v>
      </c>
    </row>
    <row r="108" spans="1:44" ht="18.75" hidden="1" customHeight="1" x14ac:dyDescent="0.25">
      <c r="A108" s="629"/>
      <c r="B108" s="1070" t="s">
        <v>1624</v>
      </c>
      <c r="C108" s="630"/>
      <c r="D108" s="631"/>
      <c r="E108" s="631"/>
      <c r="F108" s="631"/>
      <c r="G108" s="631"/>
      <c r="H108" s="631"/>
      <c r="I108" s="631"/>
      <c r="J108" s="632"/>
      <c r="K108" s="632"/>
      <c r="L108" s="631"/>
      <c r="M108" s="633"/>
      <c r="N108" s="633"/>
      <c r="O108" s="631"/>
      <c r="P108" s="633"/>
      <c r="Q108" s="633"/>
      <c r="R108" s="631"/>
      <c r="S108" s="633"/>
      <c r="T108" s="633"/>
      <c r="U108" s="633"/>
      <c r="W108" s="1075" t="s">
        <v>2330</v>
      </c>
      <c r="X108" s="1276" t="b">
        <f>AND(D$15="No",SUM(X106:Y106)&gt;0,SUM($X$52,$AA$52,$AD$52,$AG$52,$AJ$52,$AM$52,$X$71,$AA$71,$AD$71,$AJ$71,$AM$71,$X$91,$AA$91,$AD$91,$AG$91,$AJ$91,$AM$91,$X$104,$AA$104,$AD$104,$AG$104,$AJ$104,$AM$104)&gt;0)</f>
        <v>0</v>
      </c>
      <c r="Y108" s="1277"/>
      <c r="Z108" s="1278"/>
      <c r="AA108" s="1276" t="b">
        <f>AND(G$15="No",SUM(AA106:AB106)&gt;0,SUM($X$52,$AA$52,$AD$52,$AG$52,$AJ$52,$AM$52,$X$71,$AA$71,$AD$71,$AJ$71,$AM$71,$X$91,$AA$91,$AD$91,$AG$91,$AJ$91,$AM$91,$X$104,$AA$104,$AD$104,$AG$104,$AJ$104,$AM$104)&gt;0)</f>
        <v>0</v>
      </c>
      <c r="AB108" s="1277"/>
      <c r="AC108" s="1278"/>
      <c r="AD108" s="1276" t="b">
        <f>AND(J$15="No",SUM(AD106:AE106)&gt;0,SUM($X$52,$AA$52,$AD$52,$AG$52,$AJ$52,$AM$52,$X$71,$AA$71,$AD$71,$AJ$71,$AM$71,$X$91,$AA$91,$AD$91,$AG$91,$AJ$91,$AM$91,$X$104,$AA$104,$AD$104,$AG$104,$AJ$104,$AM$104)&gt;0)</f>
        <v>0</v>
      </c>
      <c r="AE108" s="1277"/>
      <c r="AF108" s="1278"/>
      <c r="AG108" s="1276" t="b">
        <f>AND(M$15="No",SUM(AG106:AH106)&gt;0,SUM($X$52,$AA$52,$AD$52,$AG$52,$AJ$52,$AM$52,$X$71,$AA$71,$AD$71,$AJ$71,$AM$71,$X$91,$AA$91,$AD$91,$AG$91,$AJ$91,$AM$91,$X$104,$AA$104,$AD$104,$AG$104,$AJ$104,$AM$104)&gt;0)</f>
        <v>0</v>
      </c>
      <c r="AH108" s="1277"/>
      <c r="AI108" s="1278"/>
      <c r="AJ108" s="1276" t="b">
        <f>AND(P$15="No",SUM(AJ106:AK106)&gt;0,SUM($X$52,$AA$52,$AD$52,$AG$52,$AJ$52,$AM$52,$X$71,$AA$71,$AD$71,$AJ$71,$AM$71,$X$91,$AA$91,$AD$91,$AG$91,$AJ$91,$AM$91,$X$104,$AA$104,$AD$104,$AG$104,$AJ$104,$AM$104)&gt;0)</f>
        <v>0</v>
      </c>
      <c r="AK108" s="1277"/>
      <c r="AL108" s="1278"/>
      <c r="AM108" s="1276" t="b">
        <f>AND(S$15="No",SUM(AM106:AN106)&gt;0,SUM($X$52,$AA$52,$AD$52,$AG$52,$AJ$52,$AM$52,$X$71,$AA$71,$AD$71,$AJ$71,$AM$71,$X$91,$AA$91,$AD$91,$AG$91,$AJ$91,$AM$91,$X$104,$AA$104,$AD$104,$AG$104,$AJ$104,$AM$104)&gt;0)</f>
        <v>0</v>
      </c>
      <c r="AN108"/>
      <c r="AR108" s="1220">
        <f t="shared" si="1"/>
        <v>0</v>
      </c>
    </row>
    <row r="109" spans="1:44" ht="3.75" hidden="1" customHeight="1" x14ac:dyDescent="0.25">
      <c r="W109"/>
      <c r="X109"/>
      <c r="Y109"/>
      <c r="Z109"/>
      <c r="AA109"/>
      <c r="AB109"/>
      <c r="AC109"/>
      <c r="AD109"/>
      <c r="AE109"/>
      <c r="AF109"/>
      <c r="AG109"/>
      <c r="AH109"/>
      <c r="AI109"/>
      <c r="AJ109"/>
      <c r="AK109"/>
      <c r="AL109"/>
      <c r="AM109"/>
      <c r="AN109"/>
      <c r="AR109" s="1220">
        <f t="shared" si="1"/>
        <v>0</v>
      </c>
    </row>
    <row r="110" spans="1:44" ht="18.75" hidden="1" customHeight="1" x14ac:dyDescent="0.25">
      <c r="B110" s="375"/>
      <c r="C110" s="375"/>
      <c r="D110" s="1077" t="str">
        <f>$D$23</f>
        <v>Latest year</v>
      </c>
      <c r="E110" s="1077" t="str">
        <f>$E$23</f>
        <v>Previous year</v>
      </c>
      <c r="F110" s="579"/>
      <c r="H110" s="578"/>
      <c r="W110" s="1075" t="s">
        <v>2368</v>
      </c>
      <c r="X110" s="1276" t="b">
        <f>AND($X$23,SEBAssessmentType&lt;&gt;"Simple solvency",SEBBusinessType&lt;&gt;"Sole trader")</f>
        <v>1</v>
      </c>
      <c r="Y110"/>
      <c r="Z110"/>
      <c r="AA110"/>
      <c r="AB110"/>
      <c r="AC110"/>
      <c r="AD110"/>
      <c r="AE110"/>
      <c r="AF110"/>
      <c r="AG110"/>
      <c r="AH110"/>
      <c r="AI110"/>
      <c r="AJ110"/>
      <c r="AK110"/>
      <c r="AL110"/>
      <c r="AM110"/>
      <c r="AN110"/>
      <c r="AR110" s="1220">
        <f t="shared" si="1"/>
        <v>0</v>
      </c>
    </row>
    <row r="111" spans="1:44" ht="18.75" hidden="1" customHeight="1" x14ac:dyDescent="0.25">
      <c r="B111" s="375" t="s">
        <v>891</v>
      </c>
      <c r="C111" s="375"/>
      <c r="D111" s="1328"/>
      <c r="E111" s="1328"/>
      <c r="G111" s="1132" t="str">
        <f>IF(AND(SEBAssessmentType="Latest year",NOT(ISBLANK(SEBNetProfitLossLY)),NOT(ISBLANK(SEBNetProfitLossPY))),IF(SEBNetProfitLossLY&lt;0,"Latest year includes a loss. Please enter full financials for both years to continue.",IF(SEBNetProfitLossLY&lt;SEBNetProfitLossPY,"Latest year is lower than previous year. Please enter full financials for both years to continue.",IF(X33="N/A","",IF(X33,IF(X35,"The year on year increase in net profit is greater than " &amp; TEXT(SDSEBIncomeGrowthThreshold,"0%") &amp; ". Please enter full financials for both years to continue.",""),"The year on year increase in net profit is less than or equal to " &amp; TEXT(SDSEBIncomeGrowthThreshold,"0%") &amp; ". Please enter full financials for latest year only.")))),"")</f>
        <v/>
      </c>
      <c r="H111" s="1133"/>
      <c r="I111" s="1133"/>
      <c r="J111" s="1133"/>
      <c r="K111" s="1133"/>
      <c r="L111" s="1133"/>
      <c r="M111" s="1133"/>
      <c r="N111" s="1133"/>
      <c r="W111" s="1075" t="s">
        <v>2369</v>
      </c>
      <c r="X111" s="1276" t="b">
        <f>AND($X$23,SEBAssessmentType="Standard",SEBBusinessType&lt;&gt;"Sole trader")</f>
        <v>0</v>
      </c>
      <c r="Y111"/>
      <c r="Z111"/>
      <c r="AA111"/>
      <c r="AB111"/>
      <c r="AC111"/>
      <c r="AD111"/>
      <c r="AE111"/>
      <c r="AF111"/>
      <c r="AG111"/>
      <c r="AH111"/>
      <c r="AI111"/>
      <c r="AJ111"/>
      <c r="AK111"/>
      <c r="AL111"/>
      <c r="AM111"/>
      <c r="AN111"/>
      <c r="AR111" s="1220">
        <f t="shared" si="1"/>
        <v>0</v>
      </c>
    </row>
    <row r="112" spans="1:44" ht="3.75" hidden="1" customHeight="1" x14ac:dyDescent="0.25">
      <c r="B112" s="375"/>
      <c r="C112" s="375"/>
      <c r="D112" s="1131"/>
      <c r="E112" s="1131"/>
      <c r="H112" s="1131"/>
      <c r="AR112" s="1220">
        <f t="shared" si="1"/>
        <v>0</v>
      </c>
    </row>
    <row r="113" spans="1:44" ht="18.75" hidden="1" customHeight="1" x14ac:dyDescent="0.25">
      <c r="B113" s="375" t="s">
        <v>1633</v>
      </c>
      <c r="C113" s="375"/>
      <c r="D113" s="1328"/>
      <c r="E113" s="1131"/>
      <c r="H113" s="1131"/>
      <c r="AR113" s="1220">
        <f t="shared" si="1"/>
        <v>0</v>
      </c>
    </row>
    <row r="114" spans="1:44" ht="18.75" hidden="1" customHeight="1" x14ac:dyDescent="0.25">
      <c r="B114" s="375" t="s">
        <v>1634</v>
      </c>
      <c r="C114" s="375"/>
      <c r="D114" s="1328"/>
      <c r="E114" s="1131"/>
      <c r="H114" s="1131"/>
      <c r="AR114" s="1220">
        <f t="shared" si="1"/>
        <v>0</v>
      </c>
    </row>
    <row r="115" spans="1:44" ht="3.75" hidden="1" customHeight="1" x14ac:dyDescent="0.25">
      <c r="B115" s="375"/>
      <c r="C115" s="375"/>
      <c r="D115" s="1131"/>
      <c r="E115" s="1131"/>
      <c r="H115" s="1131"/>
      <c r="W115" s="1073"/>
      <c r="X115" s="1073"/>
      <c r="Y115" s="1073"/>
      <c r="Z115" s="1073"/>
      <c r="AA115" s="1073"/>
      <c r="AB115" s="1073"/>
      <c r="AC115" s="1073"/>
      <c r="AD115" s="66"/>
      <c r="AR115" s="1220">
        <f t="shared" si="1"/>
        <v>0</v>
      </c>
    </row>
    <row r="116" spans="1:44" ht="18.75" hidden="1" customHeight="1" x14ac:dyDescent="0.25">
      <c r="B116" s="375" t="s">
        <v>1788</v>
      </c>
      <c r="C116" s="375"/>
      <c r="D116" s="1072" t="str">
        <f>IF(AND(NOT(ISBLANK(SEBNetProfitLossLY)),NOT(ISBLANK(SEBSolvencyAssetsLY)),NOT(ISBLANK(SEBSolvencyLiabilitiesLY))),IF(AND(SEBNetProfitLossLY&gt;0,IF(ISBLANK(SEBNetProfitLossPY),TRUE,SEBNetProfitLossPY&gt;0),SEBSolvencyAssetsLY&gt;SEBSolvencyLiabilitiesLY),"Pass","Fail"),"")</f>
        <v/>
      </c>
      <c r="E116" s="1131"/>
      <c r="H116" s="1131"/>
      <c r="W116" s="1073"/>
      <c r="X116" s="1073"/>
      <c r="Y116" s="1073"/>
      <c r="Z116" s="1073"/>
      <c r="AA116" s="1073"/>
      <c r="AB116" s="1073"/>
      <c r="AC116" s="1073"/>
      <c r="AD116" s="66"/>
      <c r="AR116" s="1220">
        <f t="shared" si="1"/>
        <v>0</v>
      </c>
    </row>
    <row r="117" spans="1:44" ht="18.75" hidden="1" customHeight="1" x14ac:dyDescent="0.25">
      <c r="A117" s="19"/>
      <c r="B117" s="1139" t="s">
        <v>1620</v>
      </c>
      <c r="C117" s="300"/>
      <c r="D117" s="292"/>
      <c r="E117" s="292"/>
      <c r="F117" s="292"/>
      <c r="G117" s="292"/>
      <c r="H117" s="292"/>
      <c r="I117" s="292"/>
      <c r="J117" s="292"/>
      <c r="K117" s="292"/>
      <c r="L117" s="292"/>
      <c r="M117" s="292"/>
      <c r="N117" s="292"/>
      <c r="O117" s="292"/>
      <c r="P117" s="293"/>
      <c r="Q117" s="293"/>
      <c r="R117" s="294"/>
      <c r="S117" s="294"/>
      <c r="T117" s="294"/>
      <c r="U117" s="295"/>
      <c r="W117" s="1073"/>
      <c r="X117" s="1073"/>
      <c r="Y117" s="1073"/>
      <c r="Z117" s="1073"/>
      <c r="AA117" s="1073"/>
      <c r="AB117" s="1073"/>
      <c r="AC117" s="1073"/>
      <c r="AD117" s="66"/>
      <c r="AR117" s="1220">
        <f t="shared" si="1"/>
        <v>0</v>
      </c>
    </row>
    <row r="118" spans="1:44" ht="18.75" hidden="1" customHeight="1" x14ac:dyDescent="0.25">
      <c r="B118" s="375" t="s">
        <v>1615</v>
      </c>
      <c r="D118" s="1328"/>
      <c r="E118" s="1328"/>
      <c r="F118" s="1149" t="s">
        <v>945</v>
      </c>
      <c r="H118" s="1131"/>
      <c r="W118" s="1073"/>
      <c r="X118" s="1073"/>
      <c r="Y118" s="1073"/>
      <c r="Z118" s="1073"/>
      <c r="AA118" s="1073"/>
      <c r="AB118" s="1073"/>
      <c r="AC118" s="1073"/>
      <c r="AD118" s="66"/>
      <c r="AR118" s="1220">
        <f t="shared" si="1"/>
        <v>0</v>
      </c>
    </row>
    <row r="119" spans="1:44" ht="18.75" hidden="1" customHeight="1" x14ac:dyDescent="0.25">
      <c r="B119" s="375" t="s">
        <v>1619</v>
      </c>
      <c r="D119" s="1328"/>
      <c r="E119" s="1328"/>
      <c r="F119" s="1149" t="s">
        <v>945</v>
      </c>
      <c r="H119" s="1131"/>
      <c r="W119" s="1073"/>
      <c r="X119" s="1073"/>
      <c r="Y119" s="1073"/>
      <c r="Z119" s="1073"/>
      <c r="AA119" s="1073"/>
      <c r="AB119" s="1073"/>
      <c r="AC119" s="1073"/>
      <c r="AD119" s="66"/>
      <c r="AR119" s="1220">
        <f t="shared" si="1"/>
        <v>0</v>
      </c>
    </row>
    <row r="120" spans="1:44" ht="18.75" hidden="1" customHeight="1" x14ac:dyDescent="0.4">
      <c r="B120" s="375" t="s">
        <v>1617</v>
      </c>
      <c r="D120"/>
      <c r="E120"/>
      <c r="F120" s="1150"/>
      <c r="H120" s="1131"/>
      <c r="W120" s="1073"/>
      <c r="X120" s="1073"/>
      <c r="Y120" s="1073"/>
      <c r="Z120" s="1073"/>
      <c r="AA120" s="1073"/>
      <c r="AB120" s="1073"/>
      <c r="AC120" s="1073"/>
      <c r="AD120" s="66"/>
      <c r="AR120" s="1220">
        <f t="shared" si="1"/>
        <v>0</v>
      </c>
    </row>
    <row r="121" spans="1:44" ht="18.75" hidden="1" customHeight="1" x14ac:dyDescent="0.25">
      <c r="A121" s="168">
        <v>1</v>
      </c>
      <c r="B121" s="1329"/>
      <c r="C121" s="168">
        <f>SUBTOTAL(103,A121:A125)</f>
        <v>0</v>
      </c>
      <c r="D121" s="1328"/>
      <c r="E121" s="1328"/>
      <c r="F121" s="1149" t="s">
        <v>945</v>
      </c>
      <c r="G121" s="1148" t="s">
        <v>927</v>
      </c>
      <c r="H121" s="1682"/>
      <c r="I121" s="1683"/>
      <c r="J121" s="1683"/>
      <c r="K121" s="1683"/>
      <c r="L121" s="1683"/>
      <c r="M121" s="1683"/>
      <c r="N121" s="1683"/>
      <c r="O121" s="1683"/>
      <c r="P121" s="1683"/>
      <c r="Q121" s="1684"/>
      <c r="S121" s="552" t="b">
        <f>AND(ISBLANK(B121),ISBLANK(D121),ISBLANK(E121),ISBLANK(H121))</f>
        <v>1</v>
      </c>
      <c r="W121" s="1073"/>
      <c r="X121" s="1073"/>
      <c r="Y121" s="1073"/>
      <c r="Z121" s="1073"/>
      <c r="AA121" s="1073"/>
      <c r="AB121" s="1073"/>
      <c r="AC121" s="1073"/>
      <c r="AD121" s="66"/>
      <c r="AR121" s="1220">
        <f t="shared" si="1"/>
        <v>0</v>
      </c>
    </row>
    <row r="122" spans="1:44" ht="18.75" hidden="1" customHeight="1" x14ac:dyDescent="0.25">
      <c r="A122" s="168">
        <v>2</v>
      </c>
      <c r="B122" s="1330"/>
      <c r="C122" s="168"/>
      <c r="D122" s="1328"/>
      <c r="E122" s="1328"/>
      <c r="F122" s="1149" t="s">
        <v>945</v>
      </c>
      <c r="H122" s="1682"/>
      <c r="I122" s="1683"/>
      <c r="J122" s="1683"/>
      <c r="K122" s="1683"/>
      <c r="L122" s="1683"/>
      <c r="M122" s="1683"/>
      <c r="N122" s="1683"/>
      <c r="O122" s="1683"/>
      <c r="P122" s="1683"/>
      <c r="Q122" s="1684"/>
      <c r="S122" s="552" t="b">
        <f t="shared" ref="S122:S125" si="3">AND(ISBLANK(B122),ISBLANK(D122),ISBLANK(E122),ISBLANK(H122))</f>
        <v>1</v>
      </c>
      <c r="W122" s="1073"/>
      <c r="X122" s="1073"/>
      <c r="Y122" s="1073"/>
      <c r="Z122" s="1073"/>
      <c r="AA122" s="1073"/>
      <c r="AB122" s="1073"/>
      <c r="AC122" s="1073"/>
      <c r="AD122" s="66"/>
      <c r="AR122" s="1220">
        <f t="shared" si="1"/>
        <v>0</v>
      </c>
    </row>
    <row r="123" spans="1:44" ht="18.75" hidden="1" customHeight="1" x14ac:dyDescent="0.25">
      <c r="A123" s="168">
        <v>3</v>
      </c>
      <c r="B123" s="1330"/>
      <c r="C123" s="168"/>
      <c r="D123" s="1328"/>
      <c r="E123" s="1328"/>
      <c r="F123" s="1149" t="s">
        <v>945</v>
      </c>
      <c r="H123" s="1682"/>
      <c r="I123" s="1683"/>
      <c r="J123" s="1683"/>
      <c r="K123" s="1683"/>
      <c r="L123" s="1683"/>
      <c r="M123" s="1683"/>
      <c r="N123" s="1683"/>
      <c r="O123" s="1683"/>
      <c r="P123" s="1683"/>
      <c r="Q123" s="1684"/>
      <c r="S123" s="552" t="b">
        <f t="shared" si="3"/>
        <v>1</v>
      </c>
      <c r="W123" s="1073"/>
      <c r="X123" s="1073"/>
      <c r="Y123" s="1073"/>
      <c r="Z123" s="1073"/>
      <c r="AA123" s="1073"/>
      <c r="AB123" s="1073"/>
      <c r="AC123" s="1073"/>
      <c r="AD123" s="66"/>
      <c r="AR123" s="1220">
        <f>D111</f>
        <v>0</v>
      </c>
    </row>
    <row r="124" spans="1:44" ht="18.75" hidden="1" customHeight="1" x14ac:dyDescent="0.25">
      <c r="A124" s="168">
        <v>4</v>
      </c>
      <c r="B124" s="1330"/>
      <c r="C124" s="168"/>
      <c r="D124" s="1328"/>
      <c r="E124" s="1328"/>
      <c r="F124" s="1149" t="s">
        <v>945</v>
      </c>
      <c r="H124" s="1682"/>
      <c r="I124" s="1683"/>
      <c r="J124" s="1683"/>
      <c r="K124" s="1683"/>
      <c r="L124" s="1683"/>
      <c r="M124" s="1683"/>
      <c r="N124" s="1683"/>
      <c r="O124" s="1683"/>
      <c r="P124" s="1683"/>
      <c r="Q124" s="1684"/>
      <c r="S124" s="552" t="b">
        <f t="shared" si="3"/>
        <v>1</v>
      </c>
      <c r="W124" s="1073"/>
      <c r="X124" s="1073"/>
      <c r="Y124" s="1073"/>
      <c r="Z124" s="1073"/>
      <c r="AA124" s="1073"/>
      <c r="AB124" s="1073"/>
      <c r="AC124" s="1073"/>
      <c r="AD124" s="66"/>
      <c r="AR124" s="508"/>
    </row>
    <row r="125" spans="1:44" ht="18.75" hidden="1" customHeight="1" x14ac:dyDescent="0.25">
      <c r="A125" s="168">
        <v>5</v>
      </c>
      <c r="B125" s="1330"/>
      <c r="C125" s="168"/>
      <c r="D125" s="1328"/>
      <c r="E125" s="1328"/>
      <c r="F125" s="1149" t="s">
        <v>945</v>
      </c>
      <c r="H125" s="1682"/>
      <c r="I125" s="1683"/>
      <c r="J125" s="1683"/>
      <c r="K125" s="1683"/>
      <c r="L125" s="1683"/>
      <c r="M125" s="1683"/>
      <c r="N125" s="1683"/>
      <c r="O125" s="1683"/>
      <c r="P125" s="1683"/>
      <c r="Q125" s="1684"/>
      <c r="S125" s="552" t="b">
        <f t="shared" si="3"/>
        <v>1</v>
      </c>
      <c r="W125" s="1073"/>
      <c r="X125" s="1073"/>
      <c r="Y125" s="1073"/>
      <c r="Z125" s="1073"/>
      <c r="AA125" s="1073"/>
      <c r="AB125" s="1073"/>
      <c r="AC125" s="1073"/>
      <c r="AD125" s="66"/>
      <c r="AR125" s="508"/>
    </row>
    <row r="126" spans="1:44" ht="18.75" hidden="1" customHeight="1" x14ac:dyDescent="0.25">
      <c r="A126" s="168"/>
      <c r="B126" s="375" t="s">
        <v>1616</v>
      </c>
      <c r="C126" s="168"/>
      <c r="D126"/>
      <c r="E126"/>
      <c r="F126" s="1137"/>
      <c r="H126"/>
      <c r="I126"/>
      <c r="J126"/>
      <c r="K126"/>
      <c r="L126"/>
      <c r="M126"/>
      <c r="N126"/>
      <c r="O126"/>
      <c r="P126"/>
      <c r="Q126"/>
      <c r="S126" s="168"/>
      <c r="W126" s="1073"/>
      <c r="X126" s="1073"/>
      <c r="Y126" s="1073"/>
      <c r="Z126" s="1073"/>
      <c r="AA126" s="1073"/>
      <c r="AB126" s="1073"/>
      <c r="AC126" s="1073"/>
      <c r="AD126" s="66"/>
      <c r="AR126" s="508"/>
    </row>
    <row r="127" spans="1:44" ht="18.75" hidden="1" customHeight="1" x14ac:dyDescent="0.25">
      <c r="A127" s="168">
        <v>1</v>
      </c>
      <c r="B127" s="1329"/>
      <c r="C127" s="168">
        <f>SUBTOTAL(103,A127:A131)</f>
        <v>0</v>
      </c>
      <c r="D127" s="1328"/>
      <c r="E127" s="1328"/>
      <c r="F127" s="1147" t="s">
        <v>2012</v>
      </c>
      <c r="G127" s="1148" t="s">
        <v>927</v>
      </c>
      <c r="H127" s="1682"/>
      <c r="I127" s="1683"/>
      <c r="J127" s="1683"/>
      <c r="K127" s="1683"/>
      <c r="L127" s="1683"/>
      <c r="M127" s="1683"/>
      <c r="N127" s="1683"/>
      <c r="O127" s="1683"/>
      <c r="P127" s="1683"/>
      <c r="Q127" s="1684"/>
      <c r="S127" s="552" t="b">
        <f t="shared" ref="S127:S131" si="4">AND(ISBLANK(B127),ISBLANK(D127),ISBLANK(E127),ISBLANK(H127))</f>
        <v>1</v>
      </c>
      <c r="W127" s="1073"/>
      <c r="X127" s="1073"/>
      <c r="Y127" s="1073"/>
      <c r="Z127" s="1073"/>
      <c r="AA127" s="1073"/>
      <c r="AB127" s="1073"/>
      <c r="AC127" s="1073"/>
      <c r="AD127" s="66"/>
      <c r="AR127" s="508"/>
    </row>
    <row r="128" spans="1:44" ht="18.75" hidden="1" customHeight="1" x14ac:dyDescent="0.25">
      <c r="A128" s="168">
        <v>2</v>
      </c>
      <c r="B128" s="1330"/>
      <c r="C128" s="168"/>
      <c r="D128" s="1328"/>
      <c r="E128" s="1328"/>
      <c r="F128" s="1147" t="s">
        <v>2012</v>
      </c>
      <c r="H128" s="1682"/>
      <c r="I128" s="1683"/>
      <c r="J128" s="1683"/>
      <c r="K128" s="1683"/>
      <c r="L128" s="1683"/>
      <c r="M128" s="1683"/>
      <c r="N128" s="1683"/>
      <c r="O128" s="1683"/>
      <c r="P128" s="1683"/>
      <c r="Q128" s="1684"/>
      <c r="R128" s="1146"/>
      <c r="S128" s="552" t="b">
        <f t="shared" si="4"/>
        <v>1</v>
      </c>
      <c r="T128" s="1146"/>
      <c r="U128" s="1146"/>
      <c r="W128" s="1073"/>
      <c r="X128" s="1073"/>
      <c r="Y128" s="1073"/>
      <c r="Z128" s="1073"/>
      <c r="AA128" s="1073"/>
      <c r="AB128" s="1073"/>
      <c r="AC128" s="1073"/>
      <c r="AD128" s="66"/>
      <c r="AR128" s="508"/>
    </row>
    <row r="129" spans="1:21" ht="18.75" hidden="1" customHeight="1" x14ac:dyDescent="0.25">
      <c r="A129" s="168">
        <v>3</v>
      </c>
      <c r="B129" s="1330"/>
      <c r="D129" s="1328"/>
      <c r="E129" s="1328"/>
      <c r="F129" s="1147" t="s">
        <v>2012</v>
      </c>
      <c r="H129" s="1682"/>
      <c r="I129" s="1683"/>
      <c r="J129" s="1683"/>
      <c r="K129" s="1683"/>
      <c r="L129" s="1683"/>
      <c r="M129" s="1683"/>
      <c r="N129" s="1683"/>
      <c r="O129" s="1683"/>
      <c r="P129" s="1683"/>
      <c r="Q129" s="1684"/>
      <c r="S129" s="552" t="b">
        <f t="shared" si="4"/>
        <v>1</v>
      </c>
      <c r="T129" s="1146"/>
      <c r="U129" s="1146"/>
    </row>
    <row r="130" spans="1:21" ht="18.75" hidden="1" customHeight="1" x14ac:dyDescent="0.25">
      <c r="A130" s="168">
        <v>4</v>
      </c>
      <c r="B130" s="1330"/>
      <c r="D130" s="1328"/>
      <c r="E130" s="1328"/>
      <c r="F130" s="1147" t="s">
        <v>2012</v>
      </c>
      <c r="H130" s="1682"/>
      <c r="I130" s="1683"/>
      <c r="J130" s="1683"/>
      <c r="K130" s="1683"/>
      <c r="L130" s="1683"/>
      <c r="M130" s="1683"/>
      <c r="N130" s="1683"/>
      <c r="O130" s="1683"/>
      <c r="P130" s="1683"/>
      <c r="Q130" s="1684"/>
      <c r="R130" s="1146"/>
      <c r="S130" s="552" t="b">
        <f t="shared" si="4"/>
        <v>1</v>
      </c>
      <c r="T130" s="1146"/>
      <c r="U130" s="1146"/>
    </row>
    <row r="131" spans="1:21" ht="18.75" hidden="1" customHeight="1" x14ac:dyDescent="0.25">
      <c r="A131" s="168">
        <v>5</v>
      </c>
      <c r="B131" s="1330"/>
      <c r="D131" s="1328"/>
      <c r="E131" s="1328"/>
      <c r="F131" s="1147" t="s">
        <v>2012</v>
      </c>
      <c r="H131" s="1682"/>
      <c r="I131" s="1683"/>
      <c r="J131" s="1683"/>
      <c r="K131" s="1683"/>
      <c r="L131" s="1683"/>
      <c r="M131" s="1683"/>
      <c r="N131" s="1683"/>
      <c r="O131" s="1683"/>
      <c r="P131" s="1683"/>
      <c r="Q131" s="1684"/>
      <c r="R131" s="1146"/>
      <c r="S131" s="552" t="b">
        <f t="shared" si="4"/>
        <v>1</v>
      </c>
      <c r="T131" s="1146"/>
      <c r="U131" s="1146"/>
    </row>
    <row r="132" spans="1:21" ht="18.75" hidden="1" customHeight="1" x14ac:dyDescent="0.25">
      <c r="B132" s="375" t="s">
        <v>947</v>
      </c>
      <c r="D132" s="1331">
        <f>'Self-employed Rental Income'!Q64</f>
        <v>0</v>
      </c>
      <c r="E132" s="1331">
        <f>'Self-employed Rental Income'!V64</f>
        <v>0</v>
      </c>
      <c r="F132" s="1137"/>
      <c r="G132" s="1138"/>
      <c r="H132"/>
    </row>
    <row r="133" spans="1:21" ht="18.75" hidden="1" customHeight="1" x14ac:dyDescent="0.25">
      <c r="A133" s="19"/>
      <c r="B133" s="1139" t="s">
        <v>895</v>
      </c>
      <c r="C133" s="300"/>
      <c r="D133" s="292"/>
      <c r="E133" s="292"/>
      <c r="F133" s="292"/>
      <c r="G133" s="292"/>
      <c r="H133" s="292"/>
      <c r="I133" s="292"/>
      <c r="J133" s="292"/>
      <c r="K133" s="292"/>
      <c r="L133" s="292"/>
      <c r="M133" s="292"/>
      <c r="N133" s="292"/>
      <c r="O133" s="292"/>
      <c r="P133" s="293"/>
      <c r="Q133" s="293"/>
      <c r="R133" s="294"/>
      <c r="S133" s="294"/>
      <c r="T133" s="294"/>
      <c r="U133" s="295"/>
    </row>
    <row r="134" spans="1:21" ht="18.75" hidden="1" customHeight="1" x14ac:dyDescent="0.25">
      <c r="B134" s="375" t="s">
        <v>892</v>
      </c>
      <c r="C134" s="375"/>
      <c r="D134" s="1331">
        <f>'Self-employed Liabilities'!M63</f>
        <v>0</v>
      </c>
      <c r="E134" s="1331">
        <f>SEBInterestLeaseCostTaxDeductibleLY</f>
        <v>0</v>
      </c>
      <c r="F134" s="1137"/>
      <c r="G134" s="1138"/>
      <c r="H134" s="1219" t="str">
        <f>IF(NOT(SELMandatoryFieldCheck),"Please complete all mandatory fields in the business liabilities worksheet.","")</f>
        <v/>
      </c>
    </row>
    <row r="135" spans="1:21" ht="18.75" hidden="1" customHeight="1" x14ac:dyDescent="0.25">
      <c r="B135" s="375" t="s">
        <v>893</v>
      </c>
      <c r="C135" s="375"/>
      <c r="D135" s="1331">
        <f>'Self-employed Liabilities'!N63</f>
        <v>0</v>
      </c>
      <c r="E135" s="1331">
        <f>SEBInterestNonDeductibleLY</f>
        <v>0</v>
      </c>
      <c r="F135" s="1137"/>
      <c r="H135"/>
    </row>
    <row r="136" spans="1:21" ht="18.75" hidden="1" customHeight="1" x14ac:dyDescent="0.25">
      <c r="B136" s="375" t="s">
        <v>894</v>
      </c>
      <c r="C136" s="375"/>
      <c r="D136" s="1331">
        <f>'Self-employed Liabilities'!O63</f>
        <v>0</v>
      </c>
      <c r="E136" s="1331">
        <f>SEBPrincipalLoanRepaymentsLY</f>
        <v>0</v>
      </c>
      <c r="F136" s="1137"/>
      <c r="H136"/>
    </row>
    <row r="137" spans="1:21" ht="18.75" hidden="1" customHeight="1" x14ac:dyDescent="0.25">
      <c r="A137" s="1140"/>
      <c r="B137" s="1139" t="s">
        <v>1002</v>
      </c>
      <c r="C137" s="1141"/>
      <c r="D137" s="1142"/>
      <c r="E137" s="1142"/>
      <c r="F137" s="1142"/>
      <c r="G137" s="1143"/>
      <c r="H137" s="1142"/>
      <c r="I137" s="1142"/>
      <c r="J137" s="1142"/>
      <c r="K137" s="1142"/>
      <c r="L137" s="1142"/>
      <c r="M137" s="1142"/>
      <c r="N137" s="1142"/>
      <c r="O137" s="1142"/>
      <c r="P137" s="1144"/>
      <c r="Q137" s="1144"/>
      <c r="R137" s="1144"/>
      <c r="S137" s="1144"/>
      <c r="T137" s="1144"/>
      <c r="U137" s="1145"/>
    </row>
    <row r="138" spans="1:21" ht="18.75" hidden="1" customHeight="1" x14ac:dyDescent="0.25">
      <c r="B138" s="375" t="s">
        <v>1626</v>
      </c>
      <c r="C138" s="375"/>
      <c r="D138" s="1082">
        <f>IF(SEBBusinessType="Company",IF(ISBLANK(D139),SDCompanyTaxRate,IFERROR(MAX(SDCompanyTaxRateFloor,D139/SEBNetProfitLossLY),SDCompanyTaxRate)),0)</f>
        <v>0</v>
      </c>
      <c r="E138" s="1082">
        <f>IF(SEBBusinessType="Company",IF(ISBLANK(E139),SDCompanyTaxRate,IFERROR(MAX(SDCompanyTaxRateFloor,E139/SEBNetProfitLossPY),SDCompanyTaxRate)),0)</f>
        <v>0</v>
      </c>
      <c r="G138" s="1138" t="s">
        <v>1632</v>
      </c>
      <c r="H138" s="1136"/>
    </row>
    <row r="139" spans="1:21" ht="18.75" hidden="1" customHeight="1" x14ac:dyDescent="0.25">
      <c r="B139" s="375" t="s">
        <v>1627</v>
      </c>
      <c r="C139" s="375"/>
      <c r="D139" s="1328"/>
      <c r="E139" s="1328"/>
      <c r="G139" s="1135"/>
      <c r="H139" s="1136"/>
    </row>
    <row r="140" spans="1:21" ht="3.75" hidden="1" customHeight="1" x14ac:dyDescent="0.25"/>
    <row r="141" spans="1:21" ht="18.75" hidden="1" customHeight="1" x14ac:dyDescent="0.25">
      <c r="B141" s="375" t="str">
        <f>IF(SEBBusinessType="Company","Adjusted net profit after tax and repayments",IF(SEBBusinessType="Sole trader","Adjusted net profit","Adjusted net profit after repayments"))</f>
        <v>Adjusted net profit after repayments</v>
      </c>
      <c r="C141" s="375"/>
      <c r="D141" s="1331">
        <f>IFERROR(SEBAdjustedNetProfitLY-(MAX(0,SEBAdjustedNetProfitLY*SEBTaxRateLY))-SUM(SEBInterestNonDeductibleLY,SEBPrincipalLoanRepaymentsLY),0)</f>
        <v>0</v>
      </c>
      <c r="E141" s="1331">
        <f>IFERROR(SEBAdjustedNetProfitPY-(MAX(0,SEBAdjustedNetProfitPY*SEBTaxRatePY))-SUM(SEBInterestNonDeductiblePY,SEBPrincipalLoanRepaymentsPY),0)</f>
        <v>0</v>
      </c>
      <c r="J141"/>
      <c r="K141"/>
      <c r="L141"/>
      <c r="M141"/>
      <c r="N141"/>
      <c r="O141"/>
      <c r="P141"/>
      <c r="Q141"/>
      <c r="R141"/>
      <c r="S141"/>
      <c r="T141"/>
      <c r="U141"/>
    </row>
    <row r="142" spans="1:21" ht="18.75" hidden="1" customHeight="1" x14ac:dyDescent="0.25">
      <c r="B142" s="375" t="s">
        <v>1815</v>
      </c>
      <c r="D142" s="1328"/>
      <c r="E142" s="1328"/>
      <c r="J142"/>
      <c r="K142"/>
      <c r="L142"/>
      <c r="M142"/>
      <c r="N142"/>
      <c r="O142"/>
      <c r="P142"/>
      <c r="Q142"/>
      <c r="R142"/>
      <c r="S142"/>
      <c r="T142"/>
      <c r="U142"/>
    </row>
    <row r="143" spans="1:21" ht="18.75" hidden="1" customHeight="1" x14ac:dyDescent="0.25">
      <c r="B143" s="375" t="s">
        <v>2013</v>
      </c>
      <c r="D143" s="1328"/>
      <c r="E143" s="1328"/>
      <c r="F143" s="1134" t="s">
        <v>2012</v>
      </c>
      <c r="H143"/>
      <c r="I143"/>
      <c r="J143"/>
      <c r="K143"/>
    </row>
    <row r="144" spans="1:21" ht="18.75" hidden="1" customHeight="1" x14ac:dyDescent="0.25">
      <c r="B144" s="375" t="s">
        <v>1631</v>
      </c>
      <c r="C144" s="375"/>
      <c r="D144" s="1331">
        <f>IFERROR(SEBAdjustedNetProfitAfterTaxAndRepaymentsLY-D143,0)</f>
        <v>0</v>
      </c>
      <c r="E144" s="1331">
        <f>IFERROR(SEBAdjustedNetProfitAfterTaxAndRepaymentsPY-E143,0)</f>
        <v>0</v>
      </c>
      <c r="H144"/>
    </row>
    <row r="145" spans="2:19" ht="18.75" hidden="1" customHeight="1" x14ac:dyDescent="0.25">
      <c r="B145" s="375" t="s">
        <v>2328</v>
      </c>
      <c r="C145"/>
      <c r="E145"/>
      <c r="F145"/>
    </row>
    <row r="146" spans="2:19" ht="18.75" hidden="1" customHeight="1" x14ac:dyDescent="0.25">
      <c r="B146" s="1673"/>
      <c r="C146" s="1674"/>
      <c r="D146" s="1674"/>
      <c r="E146" s="1675"/>
      <c r="F146"/>
      <c r="G146"/>
      <c r="H146" s="1687" t="str">
        <f>IFERROR(VLOOKUP(SEBMessageID,SEIncomeCheckMessages[],3,0),"")</f>
        <v/>
      </c>
      <c r="I146" s="1687"/>
      <c r="J146" s="1687"/>
      <c r="K146" s="1687"/>
      <c r="L146" s="1687"/>
      <c r="M146" s="1687"/>
      <c r="N146" s="1687"/>
      <c r="O146" s="1687"/>
      <c r="P146" s="1687"/>
      <c r="Q146" s="1687"/>
      <c r="R146" s="1687"/>
      <c r="S146" s="1687"/>
    </row>
    <row r="147" spans="2:19" ht="18.75" hidden="1" customHeight="1" x14ac:dyDescent="0.25">
      <c r="B147" s="1676"/>
      <c r="C147" s="1677"/>
      <c r="D147" s="1677"/>
      <c r="E147" s="1678"/>
      <c r="F147"/>
      <c r="G147"/>
      <c r="H147" s="1687"/>
      <c r="I147" s="1687"/>
      <c r="J147" s="1687"/>
      <c r="K147" s="1687"/>
      <c r="L147" s="1687"/>
      <c r="M147" s="1687"/>
      <c r="N147" s="1687"/>
      <c r="O147" s="1687"/>
      <c r="P147" s="1687"/>
      <c r="Q147" s="1687"/>
      <c r="R147" s="1687"/>
      <c r="S147" s="1687"/>
    </row>
    <row r="148" spans="2:19" ht="18.75" hidden="1" customHeight="1" x14ac:dyDescent="0.25">
      <c r="B148" s="1676"/>
      <c r="C148" s="1677"/>
      <c r="D148" s="1677"/>
      <c r="E148" s="1678"/>
      <c r="F148"/>
      <c r="G148"/>
      <c r="H148" s="1687"/>
      <c r="I148" s="1687"/>
      <c r="J148" s="1687"/>
      <c r="K148" s="1687"/>
      <c r="L148" s="1687"/>
      <c r="M148" s="1687"/>
      <c r="N148" s="1687"/>
      <c r="O148" s="1687"/>
      <c r="P148" s="1687"/>
      <c r="Q148" s="1687"/>
      <c r="R148" s="1687"/>
      <c r="S148" s="1687"/>
    </row>
    <row r="149" spans="2:19" ht="18.75" hidden="1" customHeight="1" x14ac:dyDescent="0.25">
      <c r="B149" s="1676"/>
      <c r="C149" s="1677"/>
      <c r="D149" s="1677"/>
      <c r="E149" s="1678"/>
      <c r="F149"/>
      <c r="G149"/>
      <c r="H149" s="1687"/>
      <c r="I149" s="1687"/>
      <c r="J149" s="1687"/>
      <c r="K149" s="1687"/>
      <c r="L149" s="1687"/>
      <c r="M149" s="1687"/>
      <c r="N149" s="1687"/>
      <c r="O149" s="1687"/>
      <c r="P149" s="1687"/>
      <c r="Q149" s="1687"/>
      <c r="R149" s="1687"/>
      <c r="S149" s="1687"/>
    </row>
    <row r="150" spans="2:19" ht="18.75" hidden="1" customHeight="1" x14ac:dyDescent="0.25">
      <c r="B150" s="1676"/>
      <c r="C150" s="1677"/>
      <c r="D150" s="1677"/>
      <c r="E150" s="1678"/>
      <c r="F150"/>
      <c r="G150"/>
    </row>
    <row r="151" spans="2:19" ht="18.75" hidden="1" customHeight="1" x14ac:dyDescent="0.25">
      <c r="B151" s="1676"/>
      <c r="C151" s="1677"/>
      <c r="D151" s="1677"/>
      <c r="E151" s="1678"/>
      <c r="F151"/>
      <c r="G151"/>
      <c r="H151"/>
      <c r="I151"/>
    </row>
    <row r="152" spans="2:19" ht="18.75" hidden="1" customHeight="1" x14ac:dyDescent="0.25">
      <c r="B152" s="1676"/>
      <c r="C152" s="1677"/>
      <c r="D152" s="1677"/>
      <c r="E152" s="1678"/>
      <c r="F152"/>
      <c r="G152"/>
      <c r="I152"/>
    </row>
    <row r="153" spans="2:19" ht="18.75" hidden="1" customHeight="1" x14ac:dyDescent="0.25">
      <c r="B153" s="1676"/>
      <c r="C153" s="1677"/>
      <c r="D153" s="1677"/>
      <c r="E153" s="1678"/>
      <c r="F153"/>
      <c r="G153"/>
    </row>
    <row r="154" spans="2:19" ht="18.75" hidden="1" customHeight="1" x14ac:dyDescent="0.25">
      <c r="B154" s="1676"/>
      <c r="C154" s="1677"/>
      <c r="D154" s="1677"/>
      <c r="E154" s="1678"/>
      <c r="F154"/>
      <c r="G154"/>
    </row>
    <row r="155" spans="2:19" ht="18.75" hidden="1" customHeight="1" x14ac:dyDescent="0.25">
      <c r="B155" s="1676"/>
      <c r="C155" s="1677"/>
      <c r="D155" s="1677"/>
      <c r="E155" s="1678"/>
      <c r="F155"/>
      <c r="G155"/>
    </row>
    <row r="156" spans="2:19" ht="18.75" hidden="1" customHeight="1" x14ac:dyDescent="0.25">
      <c r="B156" s="1676"/>
      <c r="C156" s="1677"/>
      <c r="D156" s="1677"/>
      <c r="E156" s="1678"/>
      <c r="F156"/>
      <c r="G156"/>
    </row>
    <row r="157" spans="2:19" ht="18.75" hidden="1" customHeight="1" x14ac:dyDescent="0.25">
      <c r="B157" s="1676"/>
      <c r="C157" s="1677"/>
      <c r="D157" s="1677"/>
      <c r="E157" s="1678"/>
      <c r="F157"/>
      <c r="G157"/>
    </row>
    <row r="158" spans="2:19" ht="18.75" hidden="1" customHeight="1" x14ac:dyDescent="0.25">
      <c r="B158" s="1676"/>
      <c r="C158" s="1677"/>
      <c r="D158" s="1677"/>
      <c r="E158" s="1678"/>
      <c r="F158"/>
      <c r="G158"/>
    </row>
    <row r="159" spans="2:19" ht="18.75" hidden="1" customHeight="1" x14ac:dyDescent="0.25">
      <c r="B159" s="1676"/>
      <c r="C159" s="1677"/>
      <c r="D159" s="1677"/>
      <c r="E159" s="1678"/>
      <c r="F159"/>
      <c r="G159"/>
    </row>
    <row r="160" spans="2:19" ht="18.75" hidden="1" customHeight="1" x14ac:dyDescent="0.25">
      <c r="B160" s="1676"/>
      <c r="C160" s="1677"/>
      <c r="D160" s="1677"/>
      <c r="E160" s="1678"/>
      <c r="F160"/>
      <c r="G160"/>
    </row>
    <row r="161" spans="2:7" ht="18.75" hidden="1" customHeight="1" x14ac:dyDescent="0.25">
      <c r="B161" s="1676"/>
      <c r="C161" s="1677"/>
      <c r="D161" s="1677"/>
      <c r="E161" s="1678"/>
      <c r="F161"/>
      <c r="G161"/>
    </row>
    <row r="162" spans="2:7" ht="18.75" hidden="1" customHeight="1" x14ac:dyDescent="0.25">
      <c r="B162" s="1676"/>
      <c r="C162" s="1677"/>
      <c r="D162" s="1677"/>
      <c r="E162" s="1678"/>
      <c r="F162"/>
      <c r="G162"/>
    </row>
    <row r="163" spans="2:7" ht="18.75" hidden="1" customHeight="1" x14ac:dyDescent="0.25">
      <c r="B163" s="1676"/>
      <c r="C163" s="1677"/>
      <c r="D163" s="1677"/>
      <c r="E163" s="1678"/>
      <c r="F163"/>
      <c r="G163"/>
    </row>
    <row r="164" spans="2:7" ht="18.75" hidden="1" customHeight="1" x14ac:dyDescent="0.25">
      <c r="B164" s="1676"/>
      <c r="C164" s="1677"/>
      <c r="D164" s="1677"/>
      <c r="E164" s="1678"/>
      <c r="F164"/>
      <c r="G164"/>
    </row>
    <row r="165" spans="2:7" ht="18.75" hidden="1" customHeight="1" x14ac:dyDescent="0.25">
      <c r="B165" s="1676"/>
      <c r="C165" s="1677"/>
      <c r="D165" s="1677"/>
      <c r="E165" s="1678"/>
      <c r="F165"/>
      <c r="G165"/>
    </row>
    <row r="166" spans="2:7" ht="18.75" hidden="1" customHeight="1" x14ac:dyDescent="0.25">
      <c r="B166" s="1676"/>
      <c r="C166" s="1677"/>
      <c r="D166" s="1677"/>
      <c r="E166" s="1678"/>
      <c r="F166"/>
      <c r="G166"/>
    </row>
    <row r="167" spans="2:7" ht="18.75" hidden="1" customHeight="1" x14ac:dyDescent="0.25">
      <c r="B167" s="1676"/>
      <c r="C167" s="1677"/>
      <c r="D167" s="1677"/>
      <c r="E167" s="1678"/>
      <c r="F167"/>
      <c r="G167"/>
    </row>
    <row r="168" spans="2:7" ht="18.75" hidden="1" customHeight="1" x14ac:dyDescent="0.25">
      <c r="B168" s="1676"/>
      <c r="C168" s="1677"/>
      <c r="D168" s="1677"/>
      <c r="E168" s="1678"/>
      <c r="F168"/>
      <c r="G168"/>
    </row>
    <row r="169" spans="2:7" ht="18.75" hidden="1" customHeight="1" x14ac:dyDescent="0.25">
      <c r="B169" s="1676"/>
      <c r="C169" s="1677"/>
      <c r="D169" s="1677"/>
      <c r="E169" s="1678"/>
      <c r="F169"/>
      <c r="G169"/>
    </row>
    <row r="170" spans="2:7" ht="18.75" hidden="1" customHeight="1" x14ac:dyDescent="0.25">
      <c r="B170" s="1676"/>
      <c r="C170" s="1677"/>
      <c r="D170" s="1677"/>
      <c r="E170" s="1678"/>
      <c r="F170"/>
      <c r="G170"/>
    </row>
    <row r="171" spans="2:7" ht="18.75" hidden="1" customHeight="1" x14ac:dyDescent="0.25">
      <c r="B171" s="1676"/>
      <c r="C171" s="1677"/>
      <c r="D171" s="1677"/>
      <c r="E171" s="1678"/>
      <c r="F171"/>
      <c r="G171"/>
    </row>
    <row r="172" spans="2:7" ht="18.75" hidden="1" customHeight="1" x14ac:dyDescent="0.25">
      <c r="B172" s="1679"/>
      <c r="C172" s="1680"/>
      <c r="D172" s="1680"/>
      <c r="E172" s="1681"/>
      <c r="F172"/>
    </row>
    <row r="173" spans="2:7" ht="18.75" customHeight="1" x14ac:dyDescent="0.25">
      <c r="E173" s="1273"/>
    </row>
  </sheetData>
  <sheetProtection algorithmName="SHA-512" hashValue="wURNiqfGW5s/MjiGKXQ0yKQoODe3xsPcRAHyXI0o4uSdxPNebIhK/Ynfw6Mebp9ef/1MMIWpjdRvwn8vZdFqIA==" saltValue="2ssV0cpflJZZGjJ91J6p3A==" spinCount="100000" sheet="1" objects="1" scenarios="1" selectLockedCells="1"/>
  <mergeCells count="20">
    <mergeCell ref="M8:P9"/>
    <mergeCell ref="D40:H40"/>
    <mergeCell ref="H146:S149"/>
    <mergeCell ref="D8:E8"/>
    <mergeCell ref="D9:E9"/>
    <mergeCell ref="J10:K10"/>
    <mergeCell ref="J8:K8"/>
    <mergeCell ref="J9:K9"/>
    <mergeCell ref="D10:E10"/>
    <mergeCell ref="H121:Q121"/>
    <mergeCell ref="H122:Q122"/>
    <mergeCell ref="H123:Q123"/>
    <mergeCell ref="H124:Q124"/>
    <mergeCell ref="H125:Q125"/>
    <mergeCell ref="H129:Q129"/>
    <mergeCell ref="B146:E172"/>
    <mergeCell ref="H130:Q130"/>
    <mergeCell ref="H131:Q131"/>
    <mergeCell ref="H128:Q128"/>
    <mergeCell ref="H127:Q127"/>
  </mergeCells>
  <phoneticPr fontId="43" type="noConversion"/>
  <conditionalFormatting sqref="G14:G19 G35:H36 G23:H29 G37:G38 G31:H33">
    <cfRule type="expression" dxfId="183" priority="10" stopIfTrue="1">
      <formula>ShowApplicant2=FALSE</formula>
    </cfRule>
  </conditionalFormatting>
  <conditionalFormatting sqref="J14:J19 J35:K36 J23:K29 J37:J38 J31:K33">
    <cfRule type="expression" dxfId="182" priority="6" stopIfTrue="1">
      <formula>ShowApplicant3=FALSE</formula>
    </cfRule>
  </conditionalFormatting>
  <conditionalFormatting sqref="M14:M19 M35:N36 M23:N29 M37:M38 M31:N33">
    <cfRule type="expression" dxfId="181" priority="8" stopIfTrue="1">
      <formula>ShowApplicant4=FALSE</formula>
    </cfRule>
  </conditionalFormatting>
  <conditionalFormatting sqref="P14:P19 P35:Q36 P23:Q29 P37:P38 P31:Q33">
    <cfRule type="expression" dxfId="180" priority="7" stopIfTrue="1">
      <formula>ShowApplicant5=FALSE</formula>
    </cfRule>
  </conditionalFormatting>
  <conditionalFormatting sqref="S14:S19 S35:T36 S23:T29 S37:S38 S31:T33">
    <cfRule type="expression" dxfId="179" priority="5" stopIfTrue="1">
      <formula>ShowApplicant6=FALSE</formula>
    </cfRule>
  </conditionalFormatting>
  <conditionalFormatting sqref="D16 G16 J16 M16 P16 S16">
    <cfRule type="expression" dxfId="178" priority="530">
      <formula>D$15="No"</formula>
    </cfRule>
  </conditionalFormatting>
  <conditionalFormatting sqref="D15 G15 J15 M15 P15 S15">
    <cfRule type="cellIs" dxfId="177" priority="24" operator="equal">
      <formula>"Yes"</formula>
    </cfRule>
    <cfRule type="expression" dxfId="176" priority="513">
      <formula>X$108</formula>
    </cfRule>
  </conditionalFormatting>
  <conditionalFormatting sqref="D116">
    <cfRule type="cellIs" dxfId="175" priority="505" operator="equal">
      <formula>"Pass"</formula>
    </cfRule>
    <cfRule type="cellIs" dxfId="174" priority="506" operator="equal">
      <formula>"Fail"</formula>
    </cfRule>
  </conditionalFormatting>
  <conditionalFormatting sqref="D17:D19 D38 D31:E33 D24:E29">
    <cfRule type="expression" dxfId="173" priority="9" stopIfTrue="1">
      <formula>$D$15="No"</formula>
    </cfRule>
  </conditionalFormatting>
  <conditionalFormatting sqref="G17:G19 G24:H29 G38 G31:H33">
    <cfRule type="expression" dxfId="172" priority="502" stopIfTrue="1">
      <formula>$G$15="No"</formula>
    </cfRule>
  </conditionalFormatting>
  <conditionalFormatting sqref="J17:J19 J24:K29 J38 J31:K33">
    <cfRule type="expression" dxfId="171" priority="500" stopIfTrue="1">
      <formula>$J$15="No"</formula>
    </cfRule>
  </conditionalFormatting>
  <conditionalFormatting sqref="M17:M19 M24:N29 M38 M31:N33">
    <cfRule type="expression" dxfId="170" priority="499" stopIfTrue="1">
      <formula>$M$15="No"</formula>
    </cfRule>
  </conditionalFormatting>
  <conditionalFormatting sqref="P17:P19 P24:Q29 P38 P31:Q33">
    <cfRule type="expression" dxfId="169" priority="498" stopIfTrue="1">
      <formula>$P$15="No"</formula>
    </cfRule>
  </conditionalFormatting>
  <conditionalFormatting sqref="S17:S19 S24:T29 S38 S31:T33">
    <cfRule type="expression" dxfId="168" priority="497" stopIfTrue="1">
      <formula>$S$15="No"</formula>
    </cfRule>
  </conditionalFormatting>
  <conditionalFormatting sqref="J10:K10">
    <cfRule type="expression" dxfId="167" priority="29" stopIfTrue="1">
      <formula>OR(AND($D$8&lt;&gt;"Trust",$D$8&lt;&gt;"Partnership"),$D$9="Simple solvency")</formula>
    </cfRule>
    <cfRule type="containsBlanks" dxfId="166" priority="495" stopIfTrue="1">
      <formula>LEN(TRIM(J10))=0</formula>
    </cfRule>
    <cfRule type="expression" dxfId="165" priority="2809">
      <formula>$L$10</formula>
    </cfRule>
  </conditionalFormatting>
  <conditionalFormatting sqref="E138:E144 E127:E132 E121:E125 E118:E119 E110:E111 T35:T36 Q35:Q36 N35:N36 K35:K36 H35:H36 E35:E36 E23:E29 H23:H29 K23:K29 N23:N29 Q23:Q29 T23:T29 T31:T33 Q31:Q33 N31:N33 K31:K33 H31:H33 E31:E33">
    <cfRule type="expression" dxfId="164" priority="1" stopIfTrue="1">
      <formula>$D$9="Medico"</formula>
    </cfRule>
  </conditionalFormatting>
  <conditionalFormatting sqref="G111:N111">
    <cfRule type="expression" dxfId="163" priority="23" stopIfTrue="1">
      <formula>$G$111=""</formula>
    </cfRule>
    <cfRule type="expression" dxfId="162" priority="492">
      <formula>$X$33</formula>
    </cfRule>
  </conditionalFormatting>
  <conditionalFormatting sqref="E142">
    <cfRule type="expression" dxfId="161" priority="361" stopIfTrue="1">
      <formula>$D$9="Medico"</formula>
    </cfRule>
  </conditionalFormatting>
  <conditionalFormatting sqref="E47:E106">
    <cfRule type="expression" dxfId="160" priority="314">
      <formula>SEBBusinessType="Company"</formula>
    </cfRule>
  </conditionalFormatting>
  <conditionalFormatting sqref="D47:D106">
    <cfRule type="expression" dxfId="159" priority="315">
      <formula>SEBBusinessType&lt;&gt;"Company"</formula>
    </cfRule>
  </conditionalFormatting>
  <conditionalFormatting sqref="G45:G106">
    <cfRule type="expression" dxfId="158" priority="33">
      <formula>SEBBusinessType="Company"</formula>
    </cfRule>
  </conditionalFormatting>
  <conditionalFormatting sqref="E118:E119 E121:E125 E127:E131 E139 E142:E143">
    <cfRule type="expression" dxfId="157" priority="34" stopIfTrue="1">
      <formula>NOT($X$33)</formula>
    </cfRule>
  </conditionalFormatting>
  <conditionalFormatting sqref="H146:S149">
    <cfRule type="expression" dxfId="156" priority="2856">
      <formula>$X$37="Info"</formula>
    </cfRule>
    <cfRule type="expression" dxfId="155" priority="2857">
      <formula>$X$37="Warning"</formula>
    </cfRule>
    <cfRule type="expression" dxfId="154" priority="2858">
      <formula>$X$37="Error"</formula>
    </cfRule>
  </conditionalFormatting>
  <conditionalFormatting sqref="G35 J35 M35 P35 S35 D47:D106 D35">
    <cfRule type="expression" dxfId="153" priority="501">
      <formula>AND(NOT(ISBLANK(D35)),SUM($D$35,$G$35,$J$35,$M$35,$P$35,$S$35,$D$47:$D$106)&gt;1)</formula>
    </cfRule>
  </conditionalFormatting>
  <conditionalFormatting sqref="T35 Q35 N35 K35 H35 E35">
    <cfRule type="expression" dxfId="152" priority="526">
      <formula>AND(NOT(ISBLANK(E35)),SUM($E$35,$H$35,$K$35,$N$35,$Q$35,$T$35)&gt;1)</formula>
    </cfRule>
  </conditionalFormatting>
  <conditionalFormatting sqref="E31:E32 H31:H32 K31:K32 N31:N32 Q31:Q32 T31:T32 E35:E36 H35:H36 K35:K36 N35:N36 Q35:Q36 T35:T36 E23:E29 H23:H29 K23:K29 N23:N29 Q23:Q29 T23:T29">
    <cfRule type="expression" dxfId="151" priority="2" stopIfTrue="1">
      <formula>$D$9="Latest year"</formula>
    </cfRule>
  </conditionalFormatting>
  <conditionalFormatting sqref="G31:G32 J31:J32 M31:M32 P31:P32 S31:S32 E47:E106 G47:G106 D31:D32">
    <cfRule type="expression" dxfId="150" priority="2872">
      <formula>AND(NOT(ISBLANK($D$111)),D31&lt;&gt;0,$X$47)</formula>
    </cfRule>
  </conditionalFormatting>
  <conditionalFormatting sqref="H31:H32 K31:K32 N31:N32 Q31:Q32 T31:T32 E31:E32">
    <cfRule type="expression" dxfId="149" priority="2880">
      <formula>AND(NOT(ISBLANK($E$111)),E31&lt;&gt;0,$Y$47)</formula>
    </cfRule>
  </conditionalFormatting>
  <conditionalFormatting sqref="D8:E9">
    <cfRule type="containsBlanks" dxfId="148" priority="30">
      <formula>LEN(TRIM(D8))=0</formula>
    </cfRule>
  </conditionalFormatting>
  <conditionalFormatting sqref="D113:D114">
    <cfRule type="containsBlanks" dxfId="147" priority="28">
      <formula>LEN(TRIM(D113))=0</formula>
    </cfRule>
  </conditionalFormatting>
  <conditionalFormatting sqref="D111">
    <cfRule type="containsBlanks" dxfId="146" priority="27">
      <formula>LEN(TRIM(D111))=0</formula>
    </cfRule>
  </conditionalFormatting>
  <conditionalFormatting sqref="D143">
    <cfRule type="expression" dxfId="145" priority="26">
      <formula>AND($D$8="Company",ISBLANK($D$143))</formula>
    </cfRule>
  </conditionalFormatting>
  <conditionalFormatting sqref="E143">
    <cfRule type="expression" dxfId="144" priority="2846">
      <formula>AND($D$8="Company",ISBLANK($E$143))</formula>
    </cfRule>
  </conditionalFormatting>
  <conditionalFormatting sqref="E111">
    <cfRule type="expression" dxfId="143" priority="25">
      <formula>AND(OR($D$9="Latest year",$D$9="Standard"),ISBLANK($E$111))</formula>
    </cfRule>
  </conditionalFormatting>
  <conditionalFormatting sqref="D27:E27 G27:H27 J27:K27 M27:N27 P27:Q27 S27:T27">
    <cfRule type="expression" dxfId="142" priority="509">
      <formula>AND(OR($D$8="Partnership",$D$8="Trust"),NOT(ISBLANK(D27)),D27&gt;(D31*SDCompanyTaxRate))</formula>
    </cfRule>
  </conditionalFormatting>
  <conditionalFormatting sqref="D134:E136">
    <cfRule type="expression" dxfId="141" priority="21">
      <formula>NOT(SELMandatoryFieldCheck)</formula>
    </cfRule>
  </conditionalFormatting>
  <conditionalFormatting sqref="H134:M134">
    <cfRule type="expression" dxfId="140" priority="20">
      <formula>$H$134&lt;&gt;""</formula>
    </cfRule>
  </conditionalFormatting>
  <conditionalFormatting sqref="G35:H35">
    <cfRule type="expression" dxfId="139" priority="32" stopIfTrue="1">
      <formula>$G$15="No"</formula>
    </cfRule>
  </conditionalFormatting>
  <conditionalFormatting sqref="G37">
    <cfRule type="expression" dxfId="138" priority="31" stopIfTrue="1">
      <formula>$G$15="No"</formula>
    </cfRule>
  </conditionalFormatting>
  <conditionalFormatting sqref="J35:K35">
    <cfRule type="expression" dxfId="137" priority="70" stopIfTrue="1">
      <formula>$J$15="No"</formula>
    </cfRule>
  </conditionalFormatting>
  <conditionalFormatting sqref="J37">
    <cfRule type="expression" dxfId="136" priority="22" stopIfTrue="1">
      <formula>$J$15="No"</formula>
    </cfRule>
  </conditionalFormatting>
  <conditionalFormatting sqref="M35:N35">
    <cfRule type="expression" dxfId="135" priority="316" stopIfTrue="1">
      <formula>$M$15="No"</formula>
    </cfRule>
  </conditionalFormatting>
  <conditionalFormatting sqref="M37">
    <cfRule type="expression" dxfId="134" priority="17" stopIfTrue="1">
      <formula>$M$15="No"</formula>
    </cfRule>
  </conditionalFormatting>
  <conditionalFormatting sqref="P35:Q35">
    <cfRule type="expression" dxfId="133" priority="493" stopIfTrue="1">
      <formula>$P$15="No"</formula>
    </cfRule>
  </conditionalFormatting>
  <conditionalFormatting sqref="P37">
    <cfRule type="expression" dxfId="132" priority="16" stopIfTrue="1">
      <formula>$P$15="No"</formula>
    </cfRule>
  </conditionalFormatting>
  <conditionalFormatting sqref="S35:T35">
    <cfRule type="expression" dxfId="131" priority="496" stopIfTrue="1">
      <formula>$S$15="No"</formula>
    </cfRule>
  </conditionalFormatting>
  <conditionalFormatting sqref="S37">
    <cfRule type="expression" dxfId="130" priority="18" stopIfTrue="1">
      <formula>$S$15="No"</formula>
    </cfRule>
  </conditionalFormatting>
  <conditionalFormatting sqref="D36:E36">
    <cfRule type="expression" dxfId="129" priority="19">
      <formula>$X$108</formula>
    </cfRule>
  </conditionalFormatting>
  <conditionalFormatting sqref="G36:H36">
    <cfRule type="expression" dxfId="128" priority="15">
      <formula>$AA$108</formula>
    </cfRule>
  </conditionalFormatting>
  <conditionalFormatting sqref="J36:K36">
    <cfRule type="expression" dxfId="127" priority="12">
      <formula>$AD$108</formula>
    </cfRule>
  </conditionalFormatting>
  <conditionalFormatting sqref="M36:N36">
    <cfRule type="expression" dxfId="126" priority="13">
      <formula>$AG$108</formula>
    </cfRule>
  </conditionalFormatting>
  <conditionalFormatting sqref="P36:Q36">
    <cfRule type="expression" dxfId="125" priority="14">
      <formula>$AJ$108</formula>
    </cfRule>
  </conditionalFormatting>
  <conditionalFormatting sqref="S36:T36">
    <cfRule type="expression" dxfId="124" priority="11">
      <formula>$AM$108</formula>
    </cfRule>
  </conditionalFormatting>
  <conditionalFormatting sqref="D35:E35">
    <cfRule type="expression" dxfId="123" priority="4" stopIfTrue="1">
      <formula>$D$15="No"</formula>
    </cfRule>
  </conditionalFormatting>
  <conditionalFormatting sqref="D37">
    <cfRule type="expression" dxfId="122" priority="3" stopIfTrue="1">
      <formula>$D$15="No"</formula>
    </cfRule>
  </conditionalFormatting>
  <dataValidations count="11">
    <dataValidation type="list" allowBlank="1" showInputMessage="1" showErrorMessage="1" sqref="D8:E8" xr:uid="{6C3F29D4-C7C4-4D2A-A790-87E7E527C0C2}">
      <formula1>IF(SEBApplicantAssessmentType="Fast track",INDIRECT("SEFastTrackBusinessTypeTable[BusinessType]"),INDIRECT("SEBusinessTypeTable[BusinessType]"))</formula1>
    </dataValidation>
    <dataValidation type="list" allowBlank="1" showInputMessage="1" showErrorMessage="1" sqref="M15 P15 S15 S37:S38 G15 G37:G38 J37:J38 M37:M38 P37:P38 D37:D38 J15 D15" xr:uid="{44F54146-5DDD-4B84-956B-EE476F628F66}">
      <formula1>"Yes,No"</formula1>
    </dataValidation>
    <dataValidation type="decimal" allowBlank="1" showInputMessage="1" showErrorMessage="1" errorTitle="Invalid percentage" error="Please enter a value between 0 and 100%" sqref="S35:T35 G35:H35 J35:K35 M35:N35 D35:E35 P35:Q35" xr:uid="{E6F2F7B0-8A62-48D2-B10F-475760D0DACC}">
      <formula1>0</formula1>
      <formula2>1</formula2>
    </dataValidation>
    <dataValidation type="list" allowBlank="1" showInputMessage="1" showErrorMessage="1" sqref="D10" xr:uid="{D350FF54-DCEA-49A0-9F53-BF8BA1507B0E}">
      <formula1>INDIRECT("TaxYearTable[LatestTaxYear]")</formula1>
    </dataValidation>
    <dataValidation type="decimal" allowBlank="1" showInputMessage="1" showErrorMessage="1" errorTitle="Invalid percentage" error="Please enter a valid percentage between 0% and 100%." sqref="D47:D106" xr:uid="{B11618A8-CDA2-478B-B8D8-F24F0864C5BB}">
      <formula1>0</formula1>
      <formula2>1</formula2>
    </dataValidation>
    <dataValidation type="list" allowBlank="1" showInputMessage="1" showErrorMessage="1" sqref="D9:E9" xr:uid="{BA52B4B4-5B4D-48F0-BB27-D86833677D64}">
      <formula1>IF(SEBBusinessType="",$A$1,IF(SEBBusinessType="Sole trader",INDIRECT("SESoleTraderAssessmentTypeTable[AssessmentType]"),INDIRECT("SEBusinessAssessmentTypeTable[AssessmentType]")))</formula1>
    </dataValidation>
    <dataValidation type="whole" operator="greaterThanOrEqual" allowBlank="1" showInputMessage="1" showErrorMessage="1" errorTitle="Invalid value entered" error="Please enter a whole number greater than zero" sqref="J10:K10" xr:uid="{B7C2455F-336E-42AE-B36E-81698FBCCD74}">
      <formula1>1</formula1>
    </dataValidation>
    <dataValidation type="decimal" allowBlank="1" showInputMessage="1" showErrorMessage="1" errorTitle="Invalid amount entered" error="Please enter a valid amount. Losses should be entered as a negative number." sqref="D142:E142" xr:uid="{4A10A8D7-2451-4C99-84BE-9CA2689E697B}">
      <formula1>-999999999</formula1>
      <formula2>999999999</formula2>
    </dataValidation>
    <dataValidation type="decimal" operator="greaterThanOrEqual" allowBlank="1" showInputMessage="1" showErrorMessage="1" errorTitle="Invalid number entered" error="Please enter a valid amount greater than or equal to zero." sqref="D113:D114" xr:uid="{C8BF2C46-BC64-477C-82C5-9167E3F47E91}">
      <formula1>0</formula1>
    </dataValidation>
    <dataValidation type="decimal" operator="greaterThanOrEqual" allowBlank="1" showInputMessage="1" showErrorMessage="1" errorTitle="Invalid amount" error="Please enter a valid amount greater than zero" sqref="D24:E24 G26:H27 G24:H24 J26:K27 J24:K24 M26:N27 M24:N24 P26:Q27 P24:Q24 D26:E27 S24:T24 S26:T27" xr:uid="{8081687F-3294-4BD9-8BFA-36CD06635D74}">
      <formula1>0</formula1>
    </dataValidation>
    <dataValidation type="decimal" operator="greaterThanOrEqual" allowBlank="1" showInputMessage="1" showErrorMessage="1" errorTitle="Invalid amount entered" error="Please enter a valid amount greater than or equal to zero." sqref="D139:E139 D143:E143 D127:E131 D121:E125 D118:E119" xr:uid="{5EBEF699-DA76-436B-92D1-AE0B50780585}">
      <formula1>0</formula1>
    </dataValidation>
  </dataValidations>
  <pageMargins left="0.25" right="0.25" top="0.75" bottom="0.75" header="0.3" footer="0.3"/>
  <pageSetup paperSize="9" scale="34"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FAB45-6D0C-4EFE-BFB8-FFF7D836A348}">
  <sheetPr codeName="shSEBusinessDiagram"/>
  <dimension ref="A1:L41"/>
  <sheetViews>
    <sheetView showGridLines="0" showRowColHeaders="0" zoomScaleNormal="100" workbookViewId="0">
      <selection activeCell="D7" sqref="D7"/>
    </sheetView>
  </sheetViews>
  <sheetFormatPr defaultRowHeight="12.75" customHeight="1" x14ac:dyDescent="0.25"/>
  <cols>
    <col min="1" max="1" width="2.81640625" customWidth="1"/>
    <col min="2" max="2" width="36.1796875" customWidth="1"/>
    <col min="3" max="3" width="2.81640625" customWidth="1"/>
    <col min="4" max="4" width="11.453125" customWidth="1"/>
    <col min="5" max="5" width="5.7265625" customWidth="1"/>
    <col min="6" max="11" width="17.1796875" customWidth="1"/>
    <col min="12" max="12" width="62.7265625" customWidth="1"/>
  </cols>
  <sheetData>
    <row r="1" spans="1:12" ht="15.75" customHeight="1" x14ac:dyDescent="0.3">
      <c r="A1" s="302"/>
      <c r="B1" s="302"/>
      <c r="C1" s="302"/>
      <c r="D1" s="25"/>
      <c r="E1" s="25"/>
      <c r="F1" s="25"/>
      <c r="G1" s="25"/>
      <c r="H1" s="25"/>
      <c r="I1" s="25"/>
      <c r="J1" s="25"/>
      <c r="K1" s="25"/>
      <c r="L1" s="25"/>
    </row>
    <row r="2" spans="1:12" ht="15.75" customHeight="1" x14ac:dyDescent="0.3">
      <c r="A2" s="302"/>
      <c r="B2" s="302"/>
      <c r="C2" s="302"/>
      <c r="D2" s="25"/>
      <c r="E2" s="25"/>
      <c r="F2" s="25"/>
      <c r="G2" s="25"/>
      <c r="H2" s="25"/>
      <c r="I2" s="25"/>
      <c r="J2" s="25"/>
      <c r="K2" s="25"/>
      <c r="L2" s="25"/>
    </row>
    <row r="3" spans="1:12" ht="15.75" customHeight="1" x14ac:dyDescent="0.3">
      <c r="A3" s="302"/>
      <c r="B3" s="302"/>
      <c r="C3" s="302"/>
      <c r="D3" s="25"/>
      <c r="E3" s="25"/>
      <c r="F3" s="25"/>
      <c r="G3" s="25"/>
      <c r="H3" s="25"/>
      <c r="I3" s="25"/>
      <c r="J3" s="25"/>
      <c r="K3" s="25"/>
      <c r="L3" s="25"/>
    </row>
    <row r="4" spans="1:12" ht="10.5" customHeight="1" x14ac:dyDescent="0.25">
      <c r="A4" s="25"/>
      <c r="B4" s="25"/>
      <c r="C4" s="25"/>
      <c r="D4" s="25"/>
      <c r="E4" s="25"/>
      <c r="F4" s="25"/>
      <c r="G4" s="25"/>
      <c r="H4" s="25"/>
      <c r="I4" s="25"/>
      <c r="J4" s="25"/>
      <c r="K4" s="25"/>
      <c r="L4" s="25"/>
    </row>
    <row r="5" spans="1:12" ht="22.5" customHeight="1" x14ac:dyDescent="0.25">
      <c r="A5" s="332"/>
      <c r="B5" s="338" t="s">
        <v>2293</v>
      </c>
      <c r="C5" s="338"/>
      <c r="D5" s="333"/>
      <c r="E5" s="333"/>
      <c r="F5" s="333"/>
      <c r="G5" s="333"/>
      <c r="H5" s="333"/>
      <c r="I5" s="333"/>
      <c r="J5" s="334"/>
      <c r="K5" s="334"/>
      <c r="L5" s="335"/>
    </row>
    <row r="6" spans="1:12" ht="7.5" customHeight="1" x14ac:dyDescent="0.25">
      <c r="A6" s="25"/>
      <c r="B6" s="25"/>
      <c r="C6" s="25"/>
      <c r="D6" s="25"/>
      <c r="E6" s="25"/>
      <c r="F6" s="25"/>
      <c r="G6" s="25"/>
      <c r="H6" s="25"/>
      <c r="I6" s="25"/>
      <c r="J6" s="25"/>
      <c r="K6" s="25"/>
      <c r="L6" s="25"/>
    </row>
    <row r="7" spans="1:12" ht="18.75" customHeight="1" x14ac:dyDescent="0.25">
      <c r="A7" s="25"/>
      <c r="B7" s="375" t="s">
        <v>2294</v>
      </c>
      <c r="C7" s="25"/>
      <c r="D7" s="1006" t="s">
        <v>9</v>
      </c>
      <c r="E7" s="25"/>
      <c r="F7" s="25"/>
      <c r="G7" s="25"/>
      <c r="H7" s="25"/>
      <c r="I7" s="25"/>
      <c r="J7" s="25"/>
      <c r="K7" s="25"/>
      <c r="L7" s="25"/>
    </row>
    <row r="8" spans="1:12" ht="18.75" customHeight="1" x14ac:dyDescent="0.25">
      <c r="A8" s="25"/>
      <c r="B8" s="375" t="s">
        <v>2295</v>
      </c>
      <c r="C8" s="25"/>
      <c r="D8" s="1006" t="s">
        <v>9</v>
      </c>
      <c r="E8" s="25"/>
      <c r="F8" s="25"/>
      <c r="G8" s="25"/>
      <c r="H8" s="25"/>
      <c r="I8" s="25"/>
      <c r="J8" s="25"/>
      <c r="K8" s="25"/>
      <c r="L8" s="25"/>
    </row>
    <row r="9" spans="1:12" ht="18.75" customHeight="1" x14ac:dyDescent="0.25">
      <c r="A9" s="25"/>
      <c r="B9" s="375" t="s">
        <v>2296</v>
      </c>
      <c r="C9" s="25"/>
      <c r="D9" s="1006" t="s">
        <v>9</v>
      </c>
      <c r="E9" s="25"/>
      <c r="F9" s="25"/>
      <c r="G9" s="25"/>
      <c r="H9" s="25"/>
      <c r="I9" s="25"/>
      <c r="J9" s="25"/>
      <c r="K9" s="25"/>
      <c r="L9" s="25"/>
    </row>
    <row r="10" spans="1:12" ht="12.75" customHeight="1" x14ac:dyDescent="0.25">
      <c r="A10" s="25"/>
      <c r="B10" s="25"/>
      <c r="C10" s="25"/>
      <c r="D10" s="25"/>
      <c r="E10" s="25"/>
      <c r="F10" s="25"/>
      <c r="G10" s="25"/>
      <c r="H10" s="25"/>
      <c r="I10" s="25"/>
      <c r="J10" s="25"/>
      <c r="K10" s="25"/>
      <c r="L10" s="25"/>
    </row>
    <row r="11" spans="1:12" ht="12.75" customHeight="1" x14ac:dyDescent="0.25">
      <c r="A11" s="25"/>
      <c r="B11" s="25"/>
      <c r="C11" s="25"/>
      <c r="D11" s="168" t="s">
        <v>2297</v>
      </c>
      <c r="E11" s="25"/>
      <c r="F11" s="25"/>
      <c r="G11" s="25"/>
      <c r="H11" s="25"/>
      <c r="I11" s="25"/>
      <c r="J11" s="25"/>
      <c r="K11" s="25"/>
      <c r="L11" s="25"/>
    </row>
    <row r="12" spans="1:12" ht="12.75" customHeight="1" x14ac:dyDescent="0.25">
      <c r="A12" s="25"/>
      <c r="B12" s="1230"/>
      <c r="C12" s="25"/>
      <c r="D12" s="25"/>
      <c r="E12" s="25"/>
      <c r="F12" s="25"/>
      <c r="G12" s="25"/>
      <c r="H12" s="25"/>
      <c r="I12" s="25"/>
      <c r="J12" s="25"/>
      <c r="K12" s="25"/>
      <c r="L12" s="25"/>
    </row>
    <row r="13" spans="1:12" ht="12.75" customHeight="1" x14ac:dyDescent="0.25">
      <c r="A13" s="25"/>
      <c r="B13" s="25"/>
      <c r="C13" s="25"/>
      <c r="D13" s="25"/>
      <c r="E13" s="25"/>
      <c r="F13" s="25"/>
      <c r="G13" s="25"/>
      <c r="H13" s="25"/>
      <c r="I13" s="25"/>
      <c r="J13" s="25"/>
      <c r="K13" s="25"/>
      <c r="L13" s="25"/>
    </row>
    <row r="14" spans="1:12" ht="12.75" customHeight="1" x14ac:dyDescent="0.25">
      <c r="A14" s="25"/>
      <c r="B14" s="1229" t="s">
        <v>751</v>
      </c>
      <c r="C14" s="25"/>
      <c r="D14" s="25"/>
      <c r="E14" s="25"/>
      <c r="F14" s="25"/>
      <c r="G14" s="25"/>
      <c r="H14" s="25"/>
      <c r="I14" s="25"/>
      <c r="J14" s="25"/>
      <c r="K14" s="25"/>
      <c r="L14" s="25"/>
    </row>
    <row r="15" spans="1:12" ht="12.75" customHeight="1" x14ac:dyDescent="0.25">
      <c r="A15" s="25"/>
      <c r="B15" s="1229"/>
      <c r="C15" s="25"/>
      <c r="D15" s="25"/>
      <c r="E15" s="25"/>
      <c r="F15" s="25"/>
      <c r="G15" s="25"/>
      <c r="H15" s="25"/>
      <c r="I15" s="25"/>
      <c r="J15" s="25"/>
      <c r="K15" s="25"/>
      <c r="L15" s="25"/>
    </row>
    <row r="16" spans="1:12" ht="12.75" customHeight="1" x14ac:dyDescent="0.25">
      <c r="A16" s="25"/>
      <c r="B16" s="1229"/>
      <c r="C16" s="25"/>
      <c r="D16" s="25"/>
      <c r="E16" s="25"/>
      <c r="F16" s="25"/>
      <c r="G16" s="25"/>
      <c r="H16" s="25"/>
      <c r="I16" s="25"/>
      <c r="J16" s="25"/>
      <c r="K16" s="25"/>
      <c r="L16" s="25"/>
    </row>
    <row r="17" spans="1:12" ht="12.75" customHeight="1" x14ac:dyDescent="0.25">
      <c r="A17" s="25"/>
      <c r="B17" s="1229" t="s">
        <v>868</v>
      </c>
      <c r="C17" s="25"/>
      <c r="D17" s="25"/>
      <c r="E17" s="25"/>
      <c r="F17" s="25"/>
      <c r="G17" s="25"/>
      <c r="H17" s="25"/>
      <c r="I17" s="25"/>
      <c r="J17" s="25"/>
      <c r="K17" s="25"/>
      <c r="L17" s="25"/>
    </row>
    <row r="18" spans="1:12" ht="12.75" customHeight="1" x14ac:dyDescent="0.25">
      <c r="A18" s="25"/>
      <c r="B18" s="1229"/>
      <c r="C18" s="25"/>
      <c r="D18" s="25"/>
      <c r="E18" s="25"/>
      <c r="F18" s="25"/>
      <c r="G18" s="25"/>
      <c r="H18" s="25"/>
      <c r="I18" s="25"/>
      <c r="J18" s="25"/>
      <c r="K18" s="25"/>
      <c r="L18" s="25"/>
    </row>
    <row r="19" spans="1:12" ht="12.75" customHeight="1" x14ac:dyDescent="0.25">
      <c r="A19" s="25"/>
      <c r="B19" s="1229"/>
      <c r="C19" s="25"/>
      <c r="D19" s="25"/>
      <c r="E19" s="25"/>
      <c r="F19" s="25"/>
      <c r="G19" s="25"/>
      <c r="H19" s="25"/>
      <c r="I19" s="25"/>
      <c r="J19" s="25"/>
      <c r="K19" s="25"/>
      <c r="L19" s="25"/>
    </row>
    <row r="20" spans="1:12" ht="12.75" customHeight="1" x14ac:dyDescent="0.25">
      <c r="A20" s="25"/>
      <c r="B20" s="1229" t="s">
        <v>869</v>
      </c>
      <c r="C20" s="25"/>
      <c r="D20" s="25"/>
      <c r="E20" s="25"/>
      <c r="F20" s="25"/>
      <c r="G20" s="25"/>
      <c r="H20" s="25"/>
      <c r="I20" s="25"/>
      <c r="J20" s="25"/>
      <c r="K20" s="25"/>
      <c r="L20" s="25"/>
    </row>
    <row r="21" spans="1:12" ht="12.75" customHeight="1" x14ac:dyDescent="0.25">
      <c r="A21" s="25"/>
      <c r="B21" s="1229"/>
      <c r="C21" s="25"/>
      <c r="D21" s="25"/>
      <c r="E21" s="25"/>
      <c r="F21" s="25"/>
      <c r="G21" s="25"/>
      <c r="H21" s="25"/>
      <c r="I21" s="25"/>
      <c r="J21" s="25"/>
      <c r="K21" s="25"/>
      <c r="L21" s="25"/>
    </row>
    <row r="22" spans="1:12" ht="12.75" customHeight="1" x14ac:dyDescent="0.25">
      <c r="A22" s="25"/>
      <c r="B22" s="1229"/>
      <c r="C22" s="25"/>
      <c r="D22" s="25"/>
      <c r="E22" s="25"/>
      <c r="F22" s="25"/>
      <c r="G22" s="25"/>
      <c r="H22" s="25"/>
      <c r="I22" s="25"/>
      <c r="J22" s="25"/>
      <c r="K22" s="25"/>
      <c r="L22" s="25"/>
    </row>
    <row r="23" spans="1:12" ht="12.75" customHeight="1" x14ac:dyDescent="0.25">
      <c r="A23" s="25"/>
      <c r="B23" s="1229" t="s">
        <v>870</v>
      </c>
      <c r="C23" s="25"/>
      <c r="D23" s="25"/>
      <c r="E23" s="25"/>
      <c r="F23" s="25"/>
      <c r="G23" s="25"/>
      <c r="H23" s="25"/>
      <c r="I23" s="25"/>
      <c r="J23" s="25"/>
      <c r="K23" s="25"/>
      <c r="L23" s="25"/>
    </row>
    <row r="24" spans="1:12" ht="12.75" customHeight="1" x14ac:dyDescent="0.25">
      <c r="A24" s="25"/>
      <c r="B24" s="1229"/>
      <c r="C24" s="25"/>
      <c r="D24" s="25"/>
      <c r="E24" s="25"/>
      <c r="F24" s="25"/>
      <c r="G24" s="25"/>
      <c r="H24" s="25"/>
      <c r="I24" s="25"/>
      <c r="J24" s="25"/>
      <c r="K24" s="25"/>
      <c r="L24" s="25"/>
    </row>
    <row r="25" spans="1:12" ht="12.75" customHeight="1" x14ac:dyDescent="0.25">
      <c r="A25" s="25"/>
      <c r="B25" s="1219"/>
      <c r="C25" s="25"/>
      <c r="D25" s="25"/>
      <c r="E25" s="25"/>
      <c r="F25" s="25"/>
      <c r="G25" s="25"/>
      <c r="H25" s="25"/>
      <c r="I25" s="25"/>
      <c r="J25" s="25"/>
      <c r="K25" s="25"/>
      <c r="L25" s="25"/>
    </row>
    <row r="26" spans="1:12" ht="12.75" customHeight="1" x14ac:dyDescent="0.25">
      <c r="A26" s="25"/>
      <c r="B26" s="1229" t="s">
        <v>871</v>
      </c>
      <c r="C26" s="25"/>
      <c r="D26" s="25"/>
      <c r="E26" s="25"/>
      <c r="F26" s="25"/>
      <c r="G26" s="25"/>
      <c r="H26" s="25"/>
      <c r="I26" s="25"/>
      <c r="J26" s="25"/>
      <c r="K26" s="25"/>
      <c r="L26" s="25"/>
    </row>
    <row r="27" spans="1:12" ht="12.75" customHeight="1" x14ac:dyDescent="0.25">
      <c r="A27" s="25"/>
      <c r="B27" s="25"/>
      <c r="C27" s="25"/>
      <c r="D27" s="25"/>
      <c r="E27" s="25"/>
      <c r="F27" s="25"/>
      <c r="G27" s="25"/>
      <c r="H27" s="25"/>
      <c r="I27" s="25"/>
      <c r="J27" s="25"/>
      <c r="K27" s="25"/>
      <c r="L27" s="25"/>
    </row>
    <row r="28" spans="1:12" ht="12.75" customHeight="1" x14ac:dyDescent="0.25">
      <c r="A28" s="25"/>
      <c r="B28" s="25"/>
      <c r="C28" s="25"/>
      <c r="D28" s="25"/>
      <c r="E28" s="25"/>
      <c r="F28" s="25"/>
      <c r="G28" s="25"/>
      <c r="H28" s="25"/>
      <c r="I28" s="25"/>
      <c r="J28" s="25"/>
      <c r="K28" s="25"/>
      <c r="L28" s="25"/>
    </row>
    <row r="29" spans="1:12" ht="12.75" customHeight="1" x14ac:dyDescent="0.25">
      <c r="A29" s="25"/>
      <c r="B29" s="25"/>
      <c r="C29" s="25"/>
      <c r="D29" s="25"/>
      <c r="E29" s="25"/>
      <c r="F29" s="25"/>
      <c r="G29" s="25"/>
      <c r="H29" s="25"/>
      <c r="I29" s="25"/>
      <c r="J29" s="25"/>
      <c r="K29" s="25"/>
      <c r="L29" s="25"/>
    </row>
    <row r="30" spans="1:12" ht="12.75" customHeight="1" x14ac:dyDescent="0.25">
      <c r="A30" s="25"/>
      <c r="B30" s="1231" t="s">
        <v>2300</v>
      </c>
      <c r="C30" s="25"/>
      <c r="D30" s="25"/>
      <c r="E30" s="25"/>
      <c r="F30" s="25"/>
      <c r="G30" s="25"/>
      <c r="H30" s="25"/>
      <c r="I30" s="25"/>
      <c r="J30" s="25"/>
      <c r="K30" s="25"/>
      <c r="L30" s="25"/>
    </row>
    <row r="31" spans="1:12" ht="12.75" customHeight="1" x14ac:dyDescent="0.25">
      <c r="A31" s="25"/>
      <c r="B31" s="25"/>
      <c r="C31" s="25"/>
      <c r="D31" s="25"/>
      <c r="E31" s="25"/>
      <c r="F31" s="25"/>
      <c r="G31" s="25"/>
      <c r="H31" s="25"/>
      <c r="I31" s="25"/>
      <c r="J31" s="25"/>
      <c r="K31" s="25"/>
      <c r="L31" s="25"/>
    </row>
    <row r="32" spans="1:12" ht="12.75" customHeight="1" x14ac:dyDescent="0.25">
      <c r="A32" s="25"/>
      <c r="B32" s="1229"/>
      <c r="C32" s="25"/>
      <c r="D32" s="25"/>
      <c r="E32" s="25"/>
      <c r="F32" s="25"/>
      <c r="G32" s="25"/>
      <c r="H32" s="25"/>
      <c r="I32" s="25"/>
      <c r="J32" s="25"/>
      <c r="K32" s="25"/>
      <c r="L32" s="25"/>
    </row>
    <row r="33" spans="1:12" ht="12.75" customHeight="1" x14ac:dyDescent="0.25">
      <c r="A33" s="25"/>
      <c r="B33" s="1231" t="s">
        <v>2301</v>
      </c>
      <c r="C33" s="25"/>
      <c r="D33" s="25"/>
      <c r="E33" s="25"/>
      <c r="F33" s="25"/>
      <c r="G33" s="25"/>
      <c r="H33" s="25"/>
      <c r="I33" s="25"/>
      <c r="J33" s="25"/>
      <c r="K33" s="25"/>
      <c r="L33" s="25"/>
    </row>
    <row r="34" spans="1:12" ht="12.75" customHeight="1" x14ac:dyDescent="0.25">
      <c r="A34" s="25"/>
      <c r="B34" s="1229"/>
      <c r="C34" s="25"/>
      <c r="D34" s="25"/>
      <c r="E34" s="25"/>
      <c r="F34" s="25"/>
      <c r="G34" s="25"/>
      <c r="H34" s="25"/>
      <c r="I34" s="25"/>
      <c r="J34" s="25"/>
      <c r="K34" s="25"/>
      <c r="L34" s="25"/>
    </row>
    <row r="35" spans="1:12" ht="12.75" customHeight="1" x14ac:dyDescent="0.25">
      <c r="A35" s="25"/>
      <c r="B35" s="1229"/>
      <c r="C35" s="25"/>
      <c r="D35" s="25"/>
      <c r="E35" s="25"/>
      <c r="F35" s="25"/>
      <c r="G35" s="25"/>
      <c r="H35" s="25"/>
      <c r="I35" s="25"/>
      <c r="J35" s="25"/>
      <c r="K35" s="25"/>
      <c r="L35" s="25"/>
    </row>
    <row r="36" spans="1:12" ht="12.75" customHeight="1" x14ac:dyDescent="0.25">
      <c r="A36" s="25"/>
      <c r="B36" s="1231" t="s">
        <v>2302</v>
      </c>
      <c r="C36" s="25"/>
      <c r="D36" s="25"/>
      <c r="E36" s="25"/>
      <c r="F36" s="25"/>
      <c r="G36" s="25"/>
      <c r="H36" s="25"/>
      <c r="I36" s="25"/>
      <c r="J36" s="25"/>
      <c r="K36" s="25"/>
      <c r="L36" s="25"/>
    </row>
    <row r="37" spans="1:12" ht="12.75" customHeight="1" x14ac:dyDescent="0.25">
      <c r="A37" s="25"/>
      <c r="B37" s="1229"/>
      <c r="C37" s="25"/>
      <c r="D37" s="25"/>
      <c r="E37" s="25"/>
      <c r="F37" s="25"/>
      <c r="G37" s="25"/>
      <c r="H37" s="25"/>
      <c r="I37" s="25"/>
      <c r="J37" s="25"/>
      <c r="K37" s="25"/>
      <c r="L37" s="25"/>
    </row>
    <row r="38" spans="1:12" ht="12.75" customHeight="1" x14ac:dyDescent="0.25">
      <c r="A38" s="25"/>
      <c r="B38" s="1229"/>
      <c r="C38" s="25"/>
      <c r="D38" s="25"/>
      <c r="E38" s="25"/>
      <c r="F38" s="25"/>
      <c r="G38" s="25"/>
      <c r="H38" s="25"/>
      <c r="I38" s="25"/>
      <c r="J38" s="25"/>
      <c r="K38" s="25"/>
      <c r="L38" s="25"/>
    </row>
    <row r="39" spans="1:12" ht="12.75" customHeight="1" x14ac:dyDescent="0.25">
      <c r="A39" s="25"/>
      <c r="B39" s="1231" t="s">
        <v>2347</v>
      </c>
      <c r="C39" s="25"/>
      <c r="D39" s="25"/>
      <c r="E39" s="25"/>
      <c r="F39" s="25"/>
      <c r="G39" s="25"/>
      <c r="H39" s="25"/>
      <c r="I39" s="25"/>
      <c r="J39" s="25"/>
      <c r="K39" s="25"/>
      <c r="L39" s="25"/>
    </row>
    <row r="40" spans="1:12" ht="12.75" customHeight="1" x14ac:dyDescent="0.25">
      <c r="A40" s="25"/>
      <c r="B40" s="1231"/>
      <c r="C40" s="25"/>
      <c r="D40" s="25"/>
      <c r="E40" s="25"/>
      <c r="F40" s="25"/>
      <c r="G40" s="25"/>
      <c r="H40" s="25"/>
      <c r="I40" s="25"/>
      <c r="J40" s="25"/>
      <c r="K40" s="25"/>
      <c r="L40" s="25"/>
    </row>
    <row r="41" spans="1:12" ht="12.75" customHeight="1" x14ac:dyDescent="0.25">
      <c r="A41" s="25"/>
      <c r="B41" s="25"/>
      <c r="C41" s="25"/>
      <c r="D41" s="25"/>
      <c r="E41" s="25"/>
      <c r="F41" s="25"/>
      <c r="G41" s="25"/>
      <c r="H41" s="25"/>
      <c r="I41" s="25"/>
      <c r="J41" s="25"/>
      <c r="K41" s="25"/>
      <c r="L41" s="25"/>
    </row>
  </sheetData>
  <sheetProtection algorithmName="SHA-512" hashValue="iuIxG59HWzAxqvz84z4AKxO6TNc7Bz5gmpSA943HjBlufdDrCaO7Pit5176WFkccwJGDxBmXrdCBWPhH3wAyUA==" saltValue="PpyRJbtq5VrkDvTZpGiFSg==" spinCount="100000" sheet="1" objects="1" scenarios="1" selectLockedCells="1"/>
  <dataValidations count="1">
    <dataValidation type="list" allowBlank="1" showInputMessage="1" showErrorMessage="1" sqref="D7:D9" xr:uid="{5AEBDC6A-B807-4DA0-A72F-617B4A947E88}">
      <formula1>"Yes,No"</formula1>
    </dataValidation>
  </dataValidations>
  <pageMargins left="0.25" right="0.25" top="0.75" bottom="0.75" header="0.3" footer="0.3"/>
  <pageSetup paperSize="9" fitToWidth="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EC328-FA73-4A6E-B998-0BF33ECAA7E7}">
  <sheetPr codeName="shSEBusinessLiability">
    <pageSetUpPr fitToPage="1"/>
  </sheetPr>
  <dimension ref="A1:AZ64"/>
  <sheetViews>
    <sheetView showGridLines="0" showRowColHeaders="0" zoomScaleNormal="100" workbookViewId="0">
      <selection activeCell="B12" sqref="B12"/>
    </sheetView>
  </sheetViews>
  <sheetFormatPr defaultRowHeight="12.75" customHeight="1" x14ac:dyDescent="0.25"/>
  <cols>
    <col min="1" max="1" width="2.81640625" customWidth="1"/>
    <col min="2" max="2" width="26.81640625" customWidth="1"/>
    <col min="3" max="3" width="34.453125" customWidth="1"/>
    <col min="4" max="5" width="17.1796875" customWidth="1"/>
    <col min="6" max="8" width="11" customWidth="1"/>
    <col min="9" max="9" width="14.26953125" customWidth="1"/>
    <col min="10" max="10" width="17.1796875" customWidth="1"/>
    <col min="11" max="11" width="9.453125" customWidth="1"/>
    <col min="12" max="15" width="14.26953125" customWidth="1"/>
    <col min="16" max="16" width="2.81640625" customWidth="1"/>
    <col min="17" max="17" width="9.1796875" customWidth="1"/>
    <col min="18" max="34" width="9.1796875" hidden="1" customWidth="1"/>
    <col min="35" max="35" width="2.81640625" hidden="1" customWidth="1"/>
    <col min="36" max="36" width="9.1796875" hidden="1" customWidth="1"/>
    <col min="37" max="37" width="8.453125" hidden="1" customWidth="1"/>
    <col min="38" max="42" width="9.1796875" hidden="1" customWidth="1"/>
    <col min="43" max="43" width="41.7265625" hidden="1" customWidth="1"/>
    <col min="44" max="52" width="9.1796875" hidden="1" customWidth="1"/>
  </cols>
  <sheetData>
    <row r="1" spans="1:45" ht="16" customHeight="1" x14ac:dyDescent="0.25">
      <c r="A1" s="25"/>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row>
    <row r="2" spans="1:45" ht="16" customHeight="1"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row>
    <row r="3" spans="1:45" ht="16" customHeight="1"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row>
    <row r="4" spans="1:45" ht="30" customHeight="1" x14ac:dyDescent="0.25">
      <c r="A4" s="89"/>
      <c r="B4" s="369" t="s">
        <v>928</v>
      </c>
      <c r="C4" s="369"/>
      <c r="D4" s="369"/>
      <c r="E4" s="115"/>
      <c r="F4" s="115"/>
      <c r="G4" s="115"/>
      <c r="H4" s="115"/>
      <c r="I4" s="115"/>
      <c r="J4" s="369"/>
      <c r="K4" s="369"/>
      <c r="L4" s="115"/>
      <c r="M4" s="115"/>
      <c r="N4" s="115"/>
      <c r="O4" s="115"/>
      <c r="P4" s="115"/>
      <c r="Q4" s="25"/>
      <c r="R4" s="25"/>
      <c r="S4" s="25"/>
      <c r="T4" s="25"/>
      <c r="U4" s="25"/>
      <c r="V4" s="25"/>
      <c r="W4" s="25"/>
      <c r="X4" s="25"/>
      <c r="Y4" s="25"/>
      <c r="Z4" s="25"/>
      <c r="AA4" s="25"/>
      <c r="AB4" s="25"/>
      <c r="AC4" s="25"/>
      <c r="AD4" s="25"/>
      <c r="AE4" s="25"/>
      <c r="AF4" s="25"/>
      <c r="AG4" s="25"/>
      <c r="AH4" s="25"/>
      <c r="AI4" s="25"/>
      <c r="AJ4" s="25"/>
      <c r="AK4" s="115"/>
    </row>
    <row r="5" spans="1:45" ht="7.5" customHeight="1" x14ac:dyDescent="0.25">
      <c r="A5" s="89"/>
      <c r="B5" s="108"/>
      <c r="C5" s="108"/>
      <c r="D5" s="108"/>
      <c r="E5" s="108"/>
      <c r="F5" s="108"/>
      <c r="G5" s="108"/>
      <c r="H5" s="108"/>
      <c r="I5" s="108"/>
      <c r="J5" s="108"/>
      <c r="K5" s="108"/>
      <c r="L5" s="108"/>
      <c r="M5" s="108"/>
      <c r="N5" s="108"/>
      <c r="O5" s="108"/>
      <c r="P5" s="108"/>
      <c r="Q5" s="25"/>
      <c r="R5" s="25"/>
      <c r="S5" s="25"/>
      <c r="T5" s="25"/>
      <c r="U5" s="25"/>
      <c r="V5" s="25"/>
      <c r="W5" s="25"/>
      <c r="X5" s="25"/>
      <c r="Y5" s="25"/>
      <c r="Z5" s="25"/>
      <c r="AA5" s="25"/>
      <c r="AB5" s="25"/>
      <c r="AC5" s="25"/>
      <c r="AD5" s="25"/>
      <c r="AE5" s="25"/>
      <c r="AF5" s="25"/>
      <c r="AG5" s="25"/>
      <c r="AH5" s="25"/>
      <c r="AI5" s="25"/>
      <c r="AJ5" s="25"/>
      <c r="AK5" s="108"/>
    </row>
    <row r="6" spans="1:45" ht="15" customHeight="1" x14ac:dyDescent="0.25">
      <c r="A6" s="89"/>
      <c r="B6" s="846" t="s">
        <v>886</v>
      </c>
      <c r="C6" s="847"/>
      <c r="D6" s="25"/>
      <c r="E6" s="25"/>
      <c r="F6" s="25"/>
      <c r="G6" s="591"/>
      <c r="H6" s="591"/>
      <c r="I6" s="591"/>
      <c r="L6" s="591"/>
      <c r="M6" s="591"/>
      <c r="N6" s="591"/>
      <c r="O6" s="581"/>
      <c r="P6" s="25"/>
      <c r="Q6" s="25"/>
      <c r="R6" s="1216" t="s">
        <v>811</v>
      </c>
      <c r="S6" s="1217"/>
      <c r="T6" s="1218"/>
      <c r="U6" s="1209" t="b">
        <f>COUNTA(SELLiabilityTypeAll)=COUNTIF(R12:R61,TRUE)</f>
        <v>1</v>
      </c>
      <c r="V6" s="25"/>
      <c r="W6" s="25"/>
      <c r="X6" s="25"/>
      <c r="Y6" s="25"/>
      <c r="Z6" s="25"/>
      <c r="AA6" s="25"/>
      <c r="AB6" s="25"/>
      <c r="AC6" s="25"/>
      <c r="AD6" s="25"/>
      <c r="AE6" s="25"/>
      <c r="AF6" s="25"/>
      <c r="AG6" s="25"/>
      <c r="AH6" s="25"/>
      <c r="AI6" s="25"/>
      <c r="AJ6" s="25"/>
      <c r="AK6" s="25"/>
    </row>
    <row r="7" spans="1:45" ht="15" customHeight="1" x14ac:dyDescent="0.25">
      <c r="A7" s="89"/>
      <c r="B7" s="1698" t="str">
        <f>IF(SEBBusinessName&lt;&gt;"",SEBBusinessName,"Business " &amp; SEBBusinessID &amp; " - " &amp; SEBBusinessType)</f>
        <v xml:space="preserve">Business 1 - </v>
      </c>
      <c r="C7" s="1699"/>
      <c r="D7" s="168">
        <v>1</v>
      </c>
      <c r="E7" s="25"/>
      <c r="F7" s="25"/>
      <c r="G7" s="583"/>
      <c r="H7" s="583"/>
      <c r="I7" s="583"/>
      <c r="J7" s="25"/>
      <c r="K7" s="25"/>
      <c r="L7" s="583"/>
      <c r="M7" s="583"/>
      <c r="N7" s="583"/>
      <c r="O7" s="25"/>
      <c r="P7" s="25"/>
      <c r="Q7" s="25"/>
      <c r="R7" s="25"/>
      <c r="S7" s="25"/>
      <c r="T7" s="25"/>
      <c r="U7" s="25"/>
      <c r="V7" s="25"/>
      <c r="W7" s="25"/>
      <c r="X7" s="25"/>
      <c r="Y7" s="25"/>
      <c r="Z7" s="25"/>
      <c r="AA7" s="25"/>
      <c r="AB7" s="25"/>
      <c r="AC7" s="25"/>
      <c r="AD7" s="25"/>
      <c r="AE7" s="25"/>
      <c r="AF7" s="25"/>
      <c r="AG7" s="25"/>
      <c r="AH7" s="25"/>
      <c r="AI7" s="25"/>
      <c r="AJ7" s="25"/>
      <c r="AK7" s="25"/>
    </row>
    <row r="8" spans="1:45" ht="7.5" customHeight="1" x14ac:dyDescent="0.25">
      <c r="A8" s="89"/>
      <c r="B8" s="327"/>
      <c r="C8" s="328"/>
      <c r="D8" s="329"/>
      <c r="E8" s="327"/>
      <c r="F8" s="327"/>
      <c r="G8" s="327"/>
      <c r="H8" s="327"/>
      <c r="I8" s="327"/>
      <c r="J8" s="328"/>
      <c r="K8" s="328"/>
      <c r="L8" s="327"/>
      <c r="M8" s="327"/>
      <c r="N8" s="327"/>
      <c r="O8" s="327"/>
      <c r="P8" s="25"/>
      <c r="Q8" s="25"/>
      <c r="R8" s="25"/>
      <c r="S8" s="25"/>
      <c r="T8" s="25"/>
      <c r="U8" s="25"/>
      <c r="V8" s="25"/>
      <c r="W8" s="25"/>
      <c r="X8" s="25"/>
      <c r="Y8" s="25"/>
      <c r="Z8" s="25"/>
      <c r="AA8" s="25"/>
      <c r="AB8" s="25"/>
      <c r="AC8" s="25"/>
      <c r="AD8" s="25"/>
      <c r="AE8" s="25"/>
      <c r="AF8" s="25"/>
      <c r="AG8" s="25"/>
      <c r="AH8" s="25"/>
      <c r="AI8" s="25"/>
      <c r="AJ8" s="25"/>
      <c r="AK8" s="25"/>
    </row>
    <row r="9" spans="1:45" ht="22.5" customHeight="1" x14ac:dyDescent="0.25">
      <c r="A9" s="332"/>
      <c r="B9" s="338" t="s">
        <v>929</v>
      </c>
      <c r="C9" s="333"/>
      <c r="D9" s="334"/>
      <c r="E9" s="335"/>
      <c r="F9" s="335"/>
      <c r="G9" s="335"/>
      <c r="H9" s="335"/>
      <c r="I9" s="335"/>
      <c r="J9" s="333"/>
      <c r="K9" s="333"/>
      <c r="L9" s="335"/>
      <c r="M9" s="335"/>
      <c r="N9" s="335"/>
      <c r="O9" s="335"/>
      <c r="P9" s="335"/>
      <c r="S9" s="1016">
        <f>MATCH(S$11,SEBusinessLiabilityTable[#Headers],0)</f>
        <v>12</v>
      </c>
      <c r="T9" s="1016">
        <f>MATCH(T$11,SEBusinessLiabilityTable[#Headers],0)</f>
        <v>13</v>
      </c>
      <c r="U9" s="1016">
        <f>MATCH(U$11,SEBusinessLiabilityTable[#Headers],0)</f>
        <v>14</v>
      </c>
      <c r="V9" s="1016">
        <f>MATCH(V$11,SEBusinessLiabilityTable[#Headers],0)</f>
        <v>11</v>
      </c>
      <c r="W9" s="1016">
        <f>MATCH(W$11,SEBusinessLiabilityTable[#Headers],0)</f>
        <v>17</v>
      </c>
      <c r="X9" s="1016">
        <f>MATCH(X$11,SEBusinessLiabilityTable[#Headers],0)</f>
        <v>10</v>
      </c>
      <c r="Y9" s="1016">
        <f>MATCH(Y$11,SEBusinessLiabilityTable[#Headers],0)</f>
        <v>15</v>
      </c>
      <c r="Z9" s="1016">
        <f>MATCH(Z$11,SEBusinessLiabilityTable[#Headers],0)</f>
        <v>16</v>
      </c>
      <c r="AA9" s="1016">
        <f>MATCH(AA$11,SEBusinessLiabilityTable[#Headers],0)</f>
        <v>4</v>
      </c>
      <c r="AB9" s="1016">
        <f>MATCH(AB$11,SEBusinessLiabilityTable[#Headers],0)</f>
        <v>5</v>
      </c>
      <c r="AC9" s="1016">
        <f>MATCH(AC$11,SEBusinessLiabilityTable[#Headers],0)</f>
        <v>6</v>
      </c>
      <c r="AD9" s="1016">
        <f>MATCH(AD$11,SEBusinessLiabilityTable[#Headers],0)</f>
        <v>7</v>
      </c>
      <c r="AE9" s="1016">
        <f>MATCH(AE$11,SEBusinessLiabilityTable[#Headers],0)</f>
        <v>8</v>
      </c>
      <c r="AF9" s="1016">
        <f>MATCH(AF$11,SEBusinessLiabilityTable[#Headers],0)</f>
        <v>9</v>
      </c>
      <c r="AG9" s="1016">
        <f>MATCH(AG$11,SEBusinessLiabilityTable[#Headers],0)</f>
        <v>3</v>
      </c>
      <c r="AH9" s="1016">
        <f>MATCH(AH$11,SEBusinessLiabilityTable[#Headers],0)</f>
        <v>2</v>
      </c>
      <c r="AJ9" s="25"/>
      <c r="AK9" s="25"/>
      <c r="AR9" s="1016">
        <f>MATCH(AR$11,SEBusinessLiabilityTable[#Headers],0)</f>
        <v>18</v>
      </c>
      <c r="AS9" s="1016">
        <v>19</v>
      </c>
    </row>
    <row r="10" spans="1:45" ht="7.5" customHeight="1" x14ac:dyDescent="0.4">
      <c r="A10" s="9"/>
      <c r="B10" s="8"/>
      <c r="C10" s="8"/>
      <c r="D10" s="90"/>
      <c r="E10" s="90"/>
      <c r="F10" s="90"/>
      <c r="G10" s="90"/>
      <c r="H10" s="90"/>
      <c r="I10" s="90"/>
      <c r="J10" s="90"/>
      <c r="K10" s="90"/>
      <c r="L10" s="90"/>
      <c r="M10" s="90"/>
      <c r="N10" s="90"/>
      <c r="O10" s="11"/>
      <c r="P10" s="11"/>
      <c r="Q10" s="25"/>
      <c r="R10" s="25"/>
      <c r="S10" s="25"/>
      <c r="T10" s="25"/>
      <c r="U10" s="25"/>
      <c r="V10" s="25"/>
      <c r="W10" s="25"/>
      <c r="X10" s="25"/>
      <c r="Y10" s="25"/>
      <c r="Z10" s="25"/>
      <c r="AA10" s="25"/>
      <c r="AB10" s="25"/>
      <c r="AC10" s="25"/>
      <c r="AD10" s="25"/>
      <c r="AE10" s="25"/>
      <c r="AF10" s="25"/>
      <c r="AG10" s="25"/>
      <c r="AH10" s="25"/>
      <c r="AI10" s="25"/>
      <c r="AJ10" s="25"/>
      <c r="AK10" s="11"/>
    </row>
    <row r="11" spans="1:45" ht="57.75" customHeight="1" x14ac:dyDescent="0.25">
      <c r="A11" s="25"/>
      <c r="B11" s="620" t="s">
        <v>958</v>
      </c>
      <c r="C11" s="613" t="s">
        <v>927</v>
      </c>
      <c r="D11" s="613" t="s">
        <v>957</v>
      </c>
      <c r="E11" s="613" t="s">
        <v>986</v>
      </c>
      <c r="F11" s="613" t="s">
        <v>46</v>
      </c>
      <c r="G11" s="613" t="s">
        <v>935</v>
      </c>
      <c r="H11" s="613" t="s">
        <v>370</v>
      </c>
      <c r="I11" s="613" t="s">
        <v>933</v>
      </c>
      <c r="J11" s="613" t="s">
        <v>847</v>
      </c>
      <c r="K11" s="613" t="s">
        <v>2231</v>
      </c>
      <c r="L11" s="613" t="s">
        <v>987</v>
      </c>
      <c r="M11" s="613" t="s">
        <v>892</v>
      </c>
      <c r="N11" s="613" t="s">
        <v>893</v>
      </c>
      <c r="O11" s="613" t="s">
        <v>894</v>
      </c>
      <c r="P11" s="25"/>
      <c r="Q11" s="25"/>
      <c r="R11" s="1212" t="s">
        <v>811</v>
      </c>
      <c r="S11" s="1212" t="s">
        <v>383</v>
      </c>
      <c r="T11" s="1212" t="s">
        <v>1290</v>
      </c>
      <c r="U11" s="1212" t="s">
        <v>2224</v>
      </c>
      <c r="V11" s="1212" t="s">
        <v>385</v>
      </c>
      <c r="W11" s="1212" t="s">
        <v>2225</v>
      </c>
      <c r="X11" s="1212" t="s">
        <v>2220</v>
      </c>
      <c r="Y11" s="1212" t="s">
        <v>2227</v>
      </c>
      <c r="Z11" s="1212" t="s">
        <v>2226</v>
      </c>
      <c r="AA11" s="1212" t="s">
        <v>390</v>
      </c>
      <c r="AB11" s="1212" t="s">
        <v>980</v>
      </c>
      <c r="AC11" s="1212" t="s">
        <v>981</v>
      </c>
      <c r="AD11" s="1212" t="s">
        <v>978</v>
      </c>
      <c r="AE11" s="1212" t="s">
        <v>979</v>
      </c>
      <c r="AF11" s="1212" t="s">
        <v>389</v>
      </c>
      <c r="AG11" s="1212" t="s">
        <v>2221</v>
      </c>
      <c r="AH11" s="1212" t="s">
        <v>2222</v>
      </c>
      <c r="AJ11" s="1212" t="s">
        <v>982</v>
      </c>
      <c r="AK11" s="1212" t="s">
        <v>983</v>
      </c>
      <c r="AL11" s="1212" t="s">
        <v>985</v>
      </c>
      <c r="AM11" s="1212" t="s">
        <v>984</v>
      </c>
      <c r="AN11" s="1212" t="s">
        <v>1587</v>
      </c>
      <c r="AO11" s="1212" t="s">
        <v>2215</v>
      </c>
      <c r="AP11" s="1212" t="s">
        <v>2228</v>
      </c>
      <c r="AQ11" s="1212" t="s">
        <v>2229</v>
      </c>
      <c r="AR11" s="1212" t="s">
        <v>2230</v>
      </c>
      <c r="AS11" s="1212" t="s">
        <v>2344</v>
      </c>
    </row>
    <row r="12" spans="1:45" ht="18.75" customHeight="1" x14ac:dyDescent="0.25">
      <c r="A12" s="552">
        <v>1</v>
      </c>
      <c r="B12" s="1213"/>
      <c r="C12" s="1332"/>
      <c r="D12" s="1333"/>
      <c r="E12" s="1333"/>
      <c r="F12" s="1214"/>
      <c r="G12" s="1213"/>
      <c r="H12" s="1333"/>
      <c r="I12" s="1333"/>
      <c r="J12" s="1334"/>
      <c r="K12" s="1213"/>
      <c r="L12" s="1211" t="str">
        <f t="shared" ref="L12:L43" si="0">IFERROR(IF(R12,CHOOSE(AA12,MAX(F12+AG12,AH12,SDExistingMortgageTempFloorStandard),IF(AL12,MAX(AN12+AG12,AH12,SDExistingMortgageTempFloorStandard),""),MAX(F12,AH12),MAX(F12+AG12,AH12),F12,""),""),"")</f>
        <v/>
      </c>
      <c r="M12" s="1335" t="str">
        <f t="shared" ref="M12" si="1">IFERROR(IF(R12,CHOOSE(AD12,(IPMT(F12/12,1,IF(G12=0,AS12,G12),-AJ12)+H12)*12,IF(AL12,SUMIFS($AM$12:$AM$61,$J$12:$J$61,J12,$B$12:$B$61,"Portfolio loan - sub account"),""),(AJ12*F12)+(H12*12),(I12+H12)*12,IPMT(F12/12,1,G12,-AJ12)*12),""),"")</f>
        <v/>
      </c>
      <c r="N12" s="1335" t="str">
        <f>IFERROR(IF(R12,CHOOSE(AE12,(IPMT(L12/12,1,IF(G12=0,AS12,G12),-AK12)+H12)*12-M12,IF(AL12,(IPMT(L12/12,1,240,-AK12)+AO12)*12-M12,""),(IPMT(L12/12,1,120,-AK12)+H12)*12-M12,(L12*AK12)+(H12*12)-M12,(IPMT(L12/12,1,AP12,-AK12)+H12)*12-M12,MAX(M12,(AK12*L12))+(H12*12)-M12,0),""),"")</f>
        <v/>
      </c>
      <c r="O12" s="1335" t="str">
        <f>IFERROR(IF(R12,CHOOSE(AF12,PPMT(L12/12,1,IF(G12=0,AS12,G12),-AK12)*12,IF(AL12,PPMT(L12/12,1,240,-AK12)*12,""),PPMT(L12/12,1,AP12,-AK12)*12,0),""),"")</f>
        <v/>
      </c>
      <c r="P12" s="25"/>
      <c r="Q12" s="25"/>
      <c r="R12" s="1215" t="b">
        <f>IFERROR(AND(NOT(ISBLANK(B12)),IF(S12,NOT(ISBLANK(D12)),TRUE),IF(T12,NOT(ISBLANK(E12)),TRUE),IF(U12,NOT(ISBLANK(F12)),TRUE),IF(V12,NOT(ISBLANK(G12)),TRUE),IF(X12,NOT(ISBLANK(I12)),TRUE),IF(Y12,NOT(ISBLANK(J12)),TRUE),IF(Z12,NOT(ISBLANK(K12)),TRUE)),FALSE)</f>
        <v>0</v>
      </c>
      <c r="S12" s="1210" t="str">
        <f>IFERROR(VLOOKUP($B12,SEBusinessLiabilityTable[],S$9,FALSE),"")</f>
        <v/>
      </c>
      <c r="T12" s="1210" t="str">
        <f>IFERROR(VLOOKUP($B12,SEBusinessLiabilityTable[],T$9,FALSE),"")</f>
        <v/>
      </c>
      <c r="U12" s="1210" t="str">
        <f>IFERROR(VLOOKUP($B12,SEBusinessLiabilityTable[],U$9,FALSE),"")</f>
        <v/>
      </c>
      <c r="V12" s="1210" t="str">
        <f>IFERROR(VLOOKUP($B12,SEBusinessLiabilityTable[],V$9,FALSE),"")</f>
        <v/>
      </c>
      <c r="W12" s="1210" t="str">
        <f>IFERROR(VLOOKUP($B12,SEBusinessLiabilityTable[],W$9,FALSE),"")</f>
        <v/>
      </c>
      <c r="X12" s="1210" t="str">
        <f>IFERROR(VLOOKUP($B12,SEBusinessLiabilityTable[],X$9,FALSE),"")</f>
        <v/>
      </c>
      <c r="Y12" s="1210" t="str">
        <f>IFERROR(VLOOKUP($B12,SEBusinessLiabilityTable[],Y$9,FALSE),"")</f>
        <v/>
      </c>
      <c r="Z12" s="1210" t="str">
        <f>IFERROR(VLOOKUP($B12,SEBusinessLiabilityTable[],Z$9,FALSE),"")</f>
        <v/>
      </c>
      <c r="AA12" s="1210" t="str">
        <f>IFERROR(VLOOKUP($B12,SEBusinessLiabilityTable[],AA$9,FALSE),"")</f>
        <v/>
      </c>
      <c r="AB12" s="1210" t="str">
        <f>IFERROR(VLOOKUP($B12,SEBusinessLiabilityTable[],AB$9,FALSE),"")</f>
        <v/>
      </c>
      <c r="AC12" s="1210" t="str">
        <f>IFERROR(VLOOKUP($B12,SEBusinessLiabilityTable[],AC$9,FALSE),"")</f>
        <v/>
      </c>
      <c r="AD12" s="1210" t="str">
        <f>IFERROR(VLOOKUP($B12,SEBusinessLiabilityTable[],AD$9,FALSE),"")</f>
        <v/>
      </c>
      <c r="AE12" s="1210" t="str">
        <f>IFERROR(VLOOKUP($B12,SEBusinessLiabilityTable[],AE$9,FALSE),"")</f>
        <v/>
      </c>
      <c r="AF12" s="1210" t="str">
        <f>IFERROR(VLOOKUP($B12,SEBusinessLiabilityTable[],AF$9,FALSE),"")</f>
        <v/>
      </c>
      <c r="AG12" s="1210" t="str">
        <f>IFERROR(VLOOKUP($B12,SEBusinessLiabilityTable[],AG$9,FALSE),"")</f>
        <v/>
      </c>
      <c r="AH12" s="1210" t="str">
        <f>IFERROR(VLOOKUP($B12,SEBusinessLiabilityTable[],AH$9,FALSE),"")</f>
        <v/>
      </c>
      <c r="AJ12" s="1210">
        <f>IFERROR(CHOOSE(AB12,MIN(D12:E12),D12,0),0)</f>
        <v>0</v>
      </c>
      <c r="AK12" s="1210">
        <f>IFERROR(CHOOSE(AC12,MAX(D12:E12),IF(AL12,MAX(SUMIFS($D$12:$D$61,$J$12:$J$61,J12,$B$12:$B$61,"Portfolio loan - sub account"),SUMIFS($E$12:$E$61,$J$12:$J$61,J12,$B$12:$B$61,"Portfolio loan - sub account")),""),D12,0),0)</f>
        <v>0</v>
      </c>
      <c r="AL12" s="1209" t="b">
        <f>IF(B12="Portfolio loan - sub account",IF(NOT(ISBLANK(J12)),IF(COUNTIF($J$12:$J$61,J12)&gt;1,IF(COUNTIFS(J$12:J12,J12,B$12:B12,"Portfolio loan - sub account")=1,TRUE,FALSE),TRUE),FALSE),FALSE)</f>
        <v>0</v>
      </c>
      <c r="AM12" s="1210">
        <f>IF(NOT(ISBLANK(J12)),(IPMT(F12/12,1,240,-AJ12)+H12)*12,0)</f>
        <v>0</v>
      </c>
      <c r="AN12" s="1210" cm="1">
        <f t="array" ref="AN12">_xlfn.AGGREGATE(14,4,($B$12:$B$61="Portfolio loan - sub account")*($J$12:$J$61=J12)*$F$12:$F$61,1)</f>
        <v>0</v>
      </c>
      <c r="AO12" s="1210">
        <f>IF(AL12,SUMIFS($H$12:$H$61,$J$12:$J$61,J12,$B$12:$B$61,"Portfolio loan - sub account"),0)</f>
        <v>0</v>
      </c>
      <c r="AP12" s="1210" t="str">
        <f>IFERROR(IF(Z12,MIN(G12,K12*12),""),"")</f>
        <v/>
      </c>
      <c r="AQ12" s="1210" t="str">
        <f t="shared" ref="AQ12:AQ61" si="2">IFERROR(IF(Z12,SUBSTITUTE(PROPER(B12)," ","") &amp; "NotionalTermTable[NotionalTerm]",""),"")</f>
        <v/>
      </c>
      <c r="AR12" s="1210" t="str">
        <f>IFERROR(IF(Z12,VLOOKUP($B12,SEBusinessLiabilityTable[],AR$9,FALSE),""),"")</f>
        <v/>
      </c>
      <c r="AS12" s="1210" t="str">
        <f>IFERROR(IF(AA12,VLOOKUP($B12,SEBusinessLiabilityTable[],AS$9,FALSE),""),"")</f>
        <v/>
      </c>
    </row>
    <row r="13" spans="1:45" ht="18.75" customHeight="1" x14ac:dyDescent="0.25">
      <c r="A13" s="552">
        <v>2</v>
      </c>
      <c r="B13" s="1213"/>
      <c r="C13" s="1332"/>
      <c r="D13" s="1333"/>
      <c r="E13" s="1333"/>
      <c r="F13" s="1214"/>
      <c r="G13" s="1213"/>
      <c r="H13" s="1333"/>
      <c r="I13" s="1333"/>
      <c r="J13" s="1334"/>
      <c r="K13" s="1213"/>
      <c r="L13" s="1211" t="str">
        <f t="shared" si="0"/>
        <v/>
      </c>
      <c r="M13" s="1335" t="str">
        <f>IFERROR(IF(R13,CHOOSE(AD13,(IPMT(F13/12,1,IF(G13=0,AS13,G13),-AJ13)+H13)*12,IF(AL13,SUMIFS($AM$12:$AM$61,$J$12:$J$61,J13,$B$12:$B$61,"Portfolio loan - sub account"),""),(AJ13*F13)+(H13*12),(I13+H13)*12,IPMT(F13/12,1,G13,-AJ13)*12),""),"")</f>
        <v/>
      </c>
      <c r="N13" s="1335" t="str">
        <f>IFERROR(IF(R13,CHOOSE(AE13,(IPMT(L13/12,1,IF(G13=0,AS13,G13),-AK13)+H13)*12-M13,IF(AL13,(IPMT(L13/12,1,240,-AK13)+AO13)*12-M13,""),(IPMT(L13/12,1,120,-AK13)+H13)*12-M13,(L13*AK13)+(H13*12)-M13,(IPMT(L13/12,1,AP13,-AK13)+H13)*12-M13,MAX(M13,(AK13*L13))+(H13*12)-M13,0),""),"")</f>
        <v/>
      </c>
      <c r="O13" s="1335" t="str">
        <f>IFERROR(IF(R13,CHOOSE(AF13,PPMT(L13/12,1,IF(G13=0,AS13,G13),-AK13)*12,IF(AL13,PPMT(L13/12,1,240,-AK13)*12,""),PPMT(L13/12,1,AP13,-AK13)*12,0),""),"")</f>
        <v/>
      </c>
      <c r="P13" s="25"/>
      <c r="Q13" s="25"/>
      <c r="R13" s="1215" t="b">
        <f t="shared" ref="R13:R61" si="3">IFERROR(AND(NOT(ISBLANK(B13)),IF(S13,NOT(ISBLANK(D13)),TRUE),IF(T13,NOT(ISBLANK(E13)),TRUE),IF(U13,NOT(ISBLANK(F13)),TRUE),IF(V13,NOT(ISBLANK(G13)),TRUE),IF(X13,NOT(ISBLANK(I13)),TRUE),IF(Y13,NOT(ISBLANK(J13)),TRUE),IF(Z13,NOT(ISBLANK(K13)),TRUE)),FALSE)</f>
        <v>0</v>
      </c>
      <c r="S13" s="1210" t="str">
        <f>IFERROR(VLOOKUP($B13,SEBusinessLiabilityTable[],S$9,FALSE),"")</f>
        <v/>
      </c>
      <c r="T13" s="1210" t="str">
        <f>IFERROR(VLOOKUP($B13,SEBusinessLiabilityTable[],T$9,FALSE),"")</f>
        <v/>
      </c>
      <c r="U13" s="1210" t="str">
        <f>IFERROR(VLOOKUP($B13,SEBusinessLiabilityTable[],U$9,FALSE),"")</f>
        <v/>
      </c>
      <c r="V13" s="1210" t="str">
        <f>IFERROR(VLOOKUP($B13,SEBusinessLiabilityTable[],V$9,FALSE),"")</f>
        <v/>
      </c>
      <c r="W13" s="1210" t="str">
        <f>IFERROR(VLOOKUP($B13,SEBusinessLiabilityTable[],W$9,FALSE),"")</f>
        <v/>
      </c>
      <c r="X13" s="1210" t="str">
        <f>IFERROR(VLOOKUP($B13,SEBusinessLiabilityTable[],X$9,FALSE),"")</f>
        <v/>
      </c>
      <c r="Y13" s="1210" t="str">
        <f>IFERROR(VLOOKUP($B13,SEBusinessLiabilityTable[],Y$9,FALSE),"")</f>
        <v/>
      </c>
      <c r="Z13" s="1210" t="str">
        <f>IFERROR(VLOOKUP($B13,SEBusinessLiabilityTable[],Z$9,FALSE),"")</f>
        <v/>
      </c>
      <c r="AA13" s="1210" t="str">
        <f>IFERROR(VLOOKUP($B13,SEBusinessLiabilityTable[],AA$9,FALSE),"")</f>
        <v/>
      </c>
      <c r="AB13" s="1210" t="str">
        <f>IFERROR(VLOOKUP($B13,SEBusinessLiabilityTable[],AB$9,FALSE),"")</f>
        <v/>
      </c>
      <c r="AC13" s="1210" t="str">
        <f>IFERROR(VLOOKUP($B13,SEBusinessLiabilityTable[],AC$9,FALSE),"")</f>
        <v/>
      </c>
      <c r="AD13" s="1210" t="str">
        <f>IFERROR(VLOOKUP($B13,SEBusinessLiabilityTable[],AD$9,FALSE),"")</f>
        <v/>
      </c>
      <c r="AE13" s="1210" t="str">
        <f>IFERROR(VLOOKUP($B13,SEBusinessLiabilityTable[],AE$9,FALSE),"")</f>
        <v/>
      </c>
      <c r="AF13" s="1210" t="str">
        <f>IFERROR(VLOOKUP($B13,SEBusinessLiabilityTable[],AF$9,FALSE),"")</f>
        <v/>
      </c>
      <c r="AG13" s="1210" t="str">
        <f>IFERROR(VLOOKUP($B13,SEBusinessLiabilityTable[],AG$9,FALSE),"")</f>
        <v/>
      </c>
      <c r="AH13" s="1210" t="str">
        <f>IFERROR(VLOOKUP($B13,SEBusinessLiabilityTable[],AH$9,FALSE),"")</f>
        <v/>
      </c>
      <c r="AJ13" s="1210">
        <f t="shared" ref="AJ13:AJ61" si="4">IFERROR(CHOOSE(AB13,MIN(D13:E13),D13,0),0)</f>
        <v>0</v>
      </c>
      <c r="AK13" s="1210">
        <f t="shared" ref="AK13:AK61" si="5">IFERROR(CHOOSE(AC13,MAX(D13:E13),IF(AL13,MAX(SUMIFS($D$12:$D$61,$J$12:$J$61,J13,$B$12:$B$61,"Portfolio loan - sub account"),SUMIFS($E$12:$E$61,$J$12:$J$61,J13,$B$12:$B$61,"Portfolio loan - sub account")),""),D13,0),0)</f>
        <v>0</v>
      </c>
      <c r="AL13" s="1209" t="b">
        <f>IF(B13="Portfolio loan - sub account",IF(NOT(ISBLANK(J13)),IF(COUNTIF($J$12:$J$61,J13)&gt;1,IF(COUNTIFS(J$12:J13,J13,B$12:B13,"Portfolio loan - sub account")=1,TRUE,FALSE),TRUE),FALSE),FALSE)</f>
        <v>0</v>
      </c>
      <c r="AM13" s="1210">
        <f t="shared" ref="AM13:AM61" si="6">IF(NOT(ISBLANK(J13)),(IPMT(F13/12,1,240,-AJ13)+H13)*12,0)</f>
        <v>0</v>
      </c>
      <c r="AN13" s="1210" cm="1">
        <f t="array" ref="AN13">_xlfn.AGGREGATE(14,4,($B$12:$B$61="Portfolio loan - sub account")*($J$12:$J$61=J13)*$F$12:$F$61,1)</f>
        <v>0</v>
      </c>
      <c r="AO13" s="1210">
        <f t="shared" ref="AO13:AO61" si="7">IF(AL13,SUMIFS($H$12:$H$61,$J$12:$J$61,J13,$B$12:$B$61,"Portfolio loan - sub account"),0)</f>
        <v>0</v>
      </c>
      <c r="AP13" s="1210" t="str">
        <f>IFERROR(IF(Z13,MIN(G13,K13*12),""),"")</f>
        <v/>
      </c>
      <c r="AQ13" s="1210" t="str">
        <f t="shared" si="2"/>
        <v/>
      </c>
      <c r="AR13" s="1210" t="str">
        <f>IFERROR(IF(Z13,VLOOKUP($B13,SEBusinessLiabilityTable[],AR$9,FALSE),""),"")</f>
        <v/>
      </c>
      <c r="AS13" s="1210" t="str">
        <f>IFERROR(IF(AA13,VLOOKUP($B13,SEBusinessLiabilityTable[],AS$9,FALSE),""),"")</f>
        <v/>
      </c>
    </row>
    <row r="14" spans="1:45" ht="18.75" customHeight="1" x14ac:dyDescent="0.25">
      <c r="A14" s="552">
        <v>3</v>
      </c>
      <c r="B14" s="1213"/>
      <c r="C14" s="1332"/>
      <c r="D14" s="1333"/>
      <c r="E14" s="1333"/>
      <c r="F14" s="1214"/>
      <c r="G14" s="1213"/>
      <c r="H14" s="1333"/>
      <c r="I14" s="1333"/>
      <c r="J14" s="1334"/>
      <c r="K14" s="1213"/>
      <c r="L14" s="1211" t="str">
        <f t="shared" si="0"/>
        <v/>
      </c>
      <c r="M14" s="1335" t="str">
        <f t="shared" ref="M14:M61" si="8">IFERROR(IF(R14,CHOOSE(AD14,(IPMT(F14/12,1,IF(G14=0,AS14,G14),-AJ14)+H14)*12,IF(AL14,SUMIFS($AM$12:$AM$61,$J$12:$J$61,J14,$B$12:$B$61,"Portfolio loan - sub account"),""),(AJ14*F14)+(H14*12),(I14+H14)*12,IPMT(F14/12,1,G14,-AJ14)*12),""),"")</f>
        <v/>
      </c>
      <c r="N14" s="1335" t="str">
        <f>IFERROR(IF(R14,CHOOSE(AE14,(IPMT(L14/12,1,IF(G14=0,AS14,G14),-AK14)+H14)*12-M14,IF(AL14,(IPMT(L14/12,1,240,-AK14)+AO14)*12-M14,""),(IPMT(L14/12,1,120,-AK14)+H14)*12-M14,(L14*AK14)+(H14*12)-M14,(IPMT(L14/12,1,AP14,-AK14)+H14)*12-M14,MAX(M14,(AK14*L14))+(H14*12)-M14,0),""),"")</f>
        <v/>
      </c>
      <c r="O14" s="1335" t="str">
        <f t="shared" ref="O14:O61" si="9">IFERROR(IF(R14,CHOOSE(AF14,PPMT(L14/12,1,IF(G14=0,AS14,G14),-AK14)*12,IF(AL14,PPMT(L14/12,1,240,-AK14)*12,""),PPMT(L14/12,1,AP14,-AK14)*12,0),""),"")</f>
        <v/>
      </c>
      <c r="P14" s="25"/>
      <c r="Q14" s="25"/>
      <c r="R14" s="1215" t="b">
        <f t="shared" si="3"/>
        <v>0</v>
      </c>
      <c r="S14" s="1210" t="str">
        <f>IFERROR(VLOOKUP($B14,SEBusinessLiabilityTable[],S$9,FALSE),"")</f>
        <v/>
      </c>
      <c r="T14" s="1210" t="str">
        <f>IFERROR(VLOOKUP($B14,SEBusinessLiabilityTable[],T$9,FALSE),"")</f>
        <v/>
      </c>
      <c r="U14" s="1210" t="str">
        <f>IFERROR(VLOOKUP($B14,SEBusinessLiabilityTable[],U$9,FALSE),"")</f>
        <v/>
      </c>
      <c r="V14" s="1210" t="str">
        <f>IFERROR(VLOOKUP($B14,SEBusinessLiabilityTable[],V$9,FALSE),"")</f>
        <v/>
      </c>
      <c r="W14" s="1210" t="str">
        <f>IFERROR(VLOOKUP($B14,SEBusinessLiabilityTable[],W$9,FALSE),"")</f>
        <v/>
      </c>
      <c r="X14" s="1210" t="str">
        <f>IFERROR(VLOOKUP($B14,SEBusinessLiabilityTable[],X$9,FALSE),"")</f>
        <v/>
      </c>
      <c r="Y14" s="1210" t="str">
        <f>IFERROR(VLOOKUP($B14,SEBusinessLiabilityTable[],Y$9,FALSE),"")</f>
        <v/>
      </c>
      <c r="Z14" s="1210" t="str">
        <f>IFERROR(VLOOKUP($B14,SEBusinessLiabilityTable[],Z$9,FALSE),"")</f>
        <v/>
      </c>
      <c r="AA14" s="1210" t="str">
        <f>IFERROR(VLOOKUP($B14,SEBusinessLiabilityTable[],AA$9,FALSE),"")</f>
        <v/>
      </c>
      <c r="AB14" s="1210" t="str">
        <f>IFERROR(VLOOKUP($B14,SEBusinessLiabilityTable[],AB$9,FALSE),"")</f>
        <v/>
      </c>
      <c r="AC14" s="1210" t="str">
        <f>IFERROR(VLOOKUP($B14,SEBusinessLiabilityTable[],AC$9,FALSE),"")</f>
        <v/>
      </c>
      <c r="AD14" s="1210" t="str">
        <f>IFERROR(VLOOKUP($B14,SEBusinessLiabilityTable[],AD$9,FALSE),"")</f>
        <v/>
      </c>
      <c r="AE14" s="1210" t="str">
        <f>IFERROR(VLOOKUP($B14,SEBusinessLiabilityTable[],AE$9,FALSE),"")</f>
        <v/>
      </c>
      <c r="AF14" s="1210" t="str">
        <f>IFERROR(VLOOKUP($B14,SEBusinessLiabilityTable[],AF$9,FALSE),"")</f>
        <v/>
      </c>
      <c r="AG14" s="1210" t="str">
        <f>IFERROR(VLOOKUP($B14,SEBusinessLiabilityTable[],AG$9,FALSE),"")</f>
        <v/>
      </c>
      <c r="AH14" s="1210" t="str">
        <f>IFERROR(VLOOKUP($B14,SEBusinessLiabilityTable[],AH$9,FALSE),"")</f>
        <v/>
      </c>
      <c r="AJ14" s="1210">
        <f t="shared" si="4"/>
        <v>0</v>
      </c>
      <c r="AK14" s="1210">
        <f t="shared" si="5"/>
        <v>0</v>
      </c>
      <c r="AL14" s="1209" t="b">
        <f>IF(B14="Portfolio loan - sub account",IF(NOT(ISBLANK(J14)),IF(COUNTIF($J$12:$J$61,J14)&gt;1,IF(COUNTIFS(J$12:J14,J14,B$12:B14,"Portfolio loan - sub account")=1,TRUE,FALSE),TRUE),FALSE),FALSE)</f>
        <v>0</v>
      </c>
      <c r="AM14" s="1210">
        <f t="shared" si="6"/>
        <v>0</v>
      </c>
      <c r="AN14" s="1210" cm="1">
        <f t="array" ref="AN14">_xlfn.AGGREGATE(14,4,($B$12:$B$61="Portfolio loan - sub account")*($J$12:$J$61=J14)*$F$12:$F$61,1)</f>
        <v>0</v>
      </c>
      <c r="AO14" s="1210">
        <f t="shared" si="7"/>
        <v>0</v>
      </c>
      <c r="AP14" s="1210" t="str">
        <f t="shared" ref="AP14:AP61" si="10">IFERROR(IF(Z14,MIN(G14,K14*12),""),"")</f>
        <v/>
      </c>
      <c r="AQ14" s="1210" t="str">
        <f t="shared" si="2"/>
        <v/>
      </c>
      <c r="AR14" s="1210" t="str">
        <f>IFERROR(IF(Z14,VLOOKUP($B14,SEBusinessLiabilityTable[],AR$9,FALSE),""),"")</f>
        <v/>
      </c>
      <c r="AS14" s="1210" t="str">
        <f>IFERROR(IF(AA14,VLOOKUP($B14,SEBusinessLiabilityTable[],AS$9,FALSE),""),"")</f>
        <v/>
      </c>
    </row>
    <row r="15" spans="1:45" ht="18.75" customHeight="1" x14ac:dyDescent="0.25">
      <c r="A15" s="552">
        <v>4</v>
      </c>
      <c r="B15" s="1213"/>
      <c r="C15" s="1332"/>
      <c r="D15" s="1333"/>
      <c r="E15" s="1333"/>
      <c r="F15" s="1214"/>
      <c r="G15" s="1213"/>
      <c r="H15" s="1333"/>
      <c r="I15" s="1333"/>
      <c r="J15" s="1334"/>
      <c r="K15" s="1213"/>
      <c r="L15" s="1211" t="str">
        <f t="shared" si="0"/>
        <v/>
      </c>
      <c r="M15" s="1335" t="str">
        <f t="shared" si="8"/>
        <v/>
      </c>
      <c r="N15" s="1335" t="str">
        <f t="shared" ref="N15:N61" si="11">IFERROR(IF(R15,CHOOSE(AE15,(IPMT(L15/12,1,IF(G15=0,AS15,G15),-AK15)+H15)*12-M15,IF(AL15,(IPMT(L15/12,1,240,-AK15)+AO15)*12-M15,""),(IPMT(L15/12,1,120,-AK15)+H15)*12-M15,(L15*AK15)+(H15*12)-M15,(IPMT(L15/12,1,AP15,-AK15)+H15)*12-M15,MAX(M15,(AK15*L15))+(H15*12)-M15,0),""),"")</f>
        <v/>
      </c>
      <c r="O15" s="1335" t="str">
        <f t="shared" si="9"/>
        <v/>
      </c>
      <c r="P15" s="25"/>
      <c r="Q15" s="25"/>
      <c r="R15" s="1215" t="b">
        <f t="shared" si="3"/>
        <v>0</v>
      </c>
      <c r="S15" s="1210" t="str">
        <f>IFERROR(VLOOKUP($B15,SEBusinessLiabilityTable[],S$9,FALSE),"")</f>
        <v/>
      </c>
      <c r="T15" s="1210" t="str">
        <f>IFERROR(VLOOKUP($B15,SEBusinessLiabilityTable[],T$9,FALSE),"")</f>
        <v/>
      </c>
      <c r="U15" s="1210" t="str">
        <f>IFERROR(VLOOKUP($B15,SEBusinessLiabilityTable[],U$9,FALSE),"")</f>
        <v/>
      </c>
      <c r="V15" s="1210" t="str">
        <f>IFERROR(VLOOKUP($B15,SEBusinessLiabilityTable[],V$9,FALSE),"")</f>
        <v/>
      </c>
      <c r="W15" s="1210" t="str">
        <f>IFERROR(VLOOKUP($B15,SEBusinessLiabilityTable[],W$9,FALSE),"")</f>
        <v/>
      </c>
      <c r="X15" s="1210" t="str">
        <f>IFERROR(VLOOKUP($B15,SEBusinessLiabilityTable[],X$9,FALSE),"")</f>
        <v/>
      </c>
      <c r="Y15" s="1210" t="str">
        <f>IFERROR(VLOOKUP($B15,SEBusinessLiabilityTable[],Y$9,FALSE),"")</f>
        <v/>
      </c>
      <c r="Z15" s="1210" t="str">
        <f>IFERROR(VLOOKUP($B15,SEBusinessLiabilityTable[],Z$9,FALSE),"")</f>
        <v/>
      </c>
      <c r="AA15" s="1210" t="str">
        <f>IFERROR(VLOOKUP($B15,SEBusinessLiabilityTable[],AA$9,FALSE),"")</f>
        <v/>
      </c>
      <c r="AB15" s="1210" t="str">
        <f>IFERROR(VLOOKUP($B15,SEBusinessLiabilityTable[],AB$9,FALSE),"")</f>
        <v/>
      </c>
      <c r="AC15" s="1210" t="str">
        <f>IFERROR(VLOOKUP($B15,SEBusinessLiabilityTable[],AC$9,FALSE),"")</f>
        <v/>
      </c>
      <c r="AD15" s="1210" t="str">
        <f>IFERROR(VLOOKUP($B15,SEBusinessLiabilityTable[],AD$9,FALSE),"")</f>
        <v/>
      </c>
      <c r="AE15" s="1210" t="str">
        <f>IFERROR(VLOOKUP($B15,SEBusinessLiabilityTable[],AE$9,FALSE),"")</f>
        <v/>
      </c>
      <c r="AF15" s="1210" t="str">
        <f>IFERROR(VLOOKUP($B15,SEBusinessLiabilityTable[],AF$9,FALSE),"")</f>
        <v/>
      </c>
      <c r="AG15" s="1210" t="str">
        <f>IFERROR(VLOOKUP($B15,SEBusinessLiabilityTable[],AG$9,FALSE),"")</f>
        <v/>
      </c>
      <c r="AH15" s="1210" t="str">
        <f>IFERROR(VLOOKUP($B15,SEBusinessLiabilityTable[],AH$9,FALSE),"")</f>
        <v/>
      </c>
      <c r="AJ15" s="1210">
        <f t="shared" si="4"/>
        <v>0</v>
      </c>
      <c r="AK15" s="1210">
        <f t="shared" si="5"/>
        <v>0</v>
      </c>
      <c r="AL15" s="1209" t="b">
        <f>IF(B15="Portfolio loan - sub account",IF(NOT(ISBLANK(J15)),IF(COUNTIF($J$12:$J$61,J15)&gt;1,IF(COUNTIFS(J$12:J15,J15,B$12:B15,"Portfolio loan - sub account")=1,TRUE,FALSE),TRUE),FALSE),FALSE)</f>
        <v>0</v>
      </c>
      <c r="AM15" s="1210">
        <f t="shared" si="6"/>
        <v>0</v>
      </c>
      <c r="AN15" s="1210" cm="1">
        <f t="array" ref="AN15">_xlfn.AGGREGATE(14,4,($B$12:$B$61="Portfolio loan - sub account")*($J$12:$J$61=J15)*$F$12:$F$61,1)</f>
        <v>0</v>
      </c>
      <c r="AO15" s="1210">
        <f t="shared" si="7"/>
        <v>0</v>
      </c>
      <c r="AP15" s="1210" t="str">
        <f t="shared" si="10"/>
        <v/>
      </c>
      <c r="AQ15" s="1210" t="str">
        <f t="shared" si="2"/>
        <v/>
      </c>
      <c r="AR15" s="1210" t="str">
        <f>IFERROR(IF(Z15,VLOOKUP($B15,SEBusinessLiabilityTable[],AR$9,FALSE),""),"")</f>
        <v/>
      </c>
      <c r="AS15" s="1210" t="str">
        <f>IFERROR(IF(AA15,VLOOKUP($B15,SEBusinessLiabilityTable[],AS$9,FALSE),""),"")</f>
        <v/>
      </c>
    </row>
    <row r="16" spans="1:45" ht="18.75" customHeight="1" x14ac:dyDescent="0.25">
      <c r="A16" s="552">
        <v>5</v>
      </c>
      <c r="B16" s="1213"/>
      <c r="C16" s="1332"/>
      <c r="D16" s="1333"/>
      <c r="E16" s="1333"/>
      <c r="F16" s="1214"/>
      <c r="G16" s="1213"/>
      <c r="H16" s="1333"/>
      <c r="I16" s="1333"/>
      <c r="J16" s="1334"/>
      <c r="K16" s="1213"/>
      <c r="L16" s="1211" t="str">
        <f t="shared" si="0"/>
        <v/>
      </c>
      <c r="M16" s="1335" t="str">
        <f t="shared" si="8"/>
        <v/>
      </c>
      <c r="N16" s="1335" t="str">
        <f t="shared" si="11"/>
        <v/>
      </c>
      <c r="O16" s="1335" t="str">
        <f t="shared" si="9"/>
        <v/>
      </c>
      <c r="P16" s="25"/>
      <c r="Q16" s="25"/>
      <c r="R16" s="1215" t="b">
        <f t="shared" si="3"/>
        <v>0</v>
      </c>
      <c r="S16" s="1210" t="str">
        <f>IFERROR(VLOOKUP($B16,SEBusinessLiabilityTable[],S$9,FALSE),"")</f>
        <v/>
      </c>
      <c r="T16" s="1210" t="str">
        <f>IFERROR(VLOOKUP($B16,SEBusinessLiabilityTable[],T$9,FALSE),"")</f>
        <v/>
      </c>
      <c r="U16" s="1210" t="str">
        <f>IFERROR(VLOOKUP($B16,SEBusinessLiabilityTable[],U$9,FALSE),"")</f>
        <v/>
      </c>
      <c r="V16" s="1210" t="str">
        <f>IFERROR(VLOOKUP($B16,SEBusinessLiabilityTable[],V$9,FALSE),"")</f>
        <v/>
      </c>
      <c r="W16" s="1210" t="str">
        <f>IFERROR(VLOOKUP($B16,SEBusinessLiabilityTable[],W$9,FALSE),"")</f>
        <v/>
      </c>
      <c r="X16" s="1210" t="str">
        <f>IFERROR(VLOOKUP($B16,SEBusinessLiabilityTable[],X$9,FALSE),"")</f>
        <v/>
      </c>
      <c r="Y16" s="1210" t="str">
        <f>IFERROR(VLOOKUP($B16,SEBusinessLiabilityTable[],Y$9,FALSE),"")</f>
        <v/>
      </c>
      <c r="Z16" s="1210" t="str">
        <f>IFERROR(VLOOKUP($B16,SEBusinessLiabilityTable[],Z$9,FALSE),"")</f>
        <v/>
      </c>
      <c r="AA16" s="1210" t="str">
        <f>IFERROR(VLOOKUP($B16,SEBusinessLiabilityTable[],AA$9,FALSE),"")</f>
        <v/>
      </c>
      <c r="AB16" s="1210" t="str">
        <f>IFERROR(VLOOKUP($B16,SEBusinessLiabilityTable[],AB$9,FALSE),"")</f>
        <v/>
      </c>
      <c r="AC16" s="1210" t="str">
        <f>IFERROR(VLOOKUP($B16,SEBusinessLiabilityTable[],AC$9,FALSE),"")</f>
        <v/>
      </c>
      <c r="AD16" s="1210" t="str">
        <f>IFERROR(VLOOKUP($B16,SEBusinessLiabilityTable[],AD$9,FALSE),"")</f>
        <v/>
      </c>
      <c r="AE16" s="1210" t="str">
        <f>IFERROR(VLOOKUP($B16,SEBusinessLiabilityTable[],AE$9,FALSE),"")</f>
        <v/>
      </c>
      <c r="AF16" s="1210" t="str">
        <f>IFERROR(VLOOKUP($B16,SEBusinessLiabilityTable[],AF$9,FALSE),"")</f>
        <v/>
      </c>
      <c r="AG16" s="1210" t="str">
        <f>IFERROR(VLOOKUP($B16,SEBusinessLiabilityTable[],AG$9,FALSE),"")</f>
        <v/>
      </c>
      <c r="AH16" s="1210" t="str">
        <f>IFERROR(VLOOKUP($B16,SEBusinessLiabilityTable[],AH$9,FALSE),"")</f>
        <v/>
      </c>
      <c r="AJ16" s="1210">
        <f t="shared" si="4"/>
        <v>0</v>
      </c>
      <c r="AK16" s="1210">
        <f t="shared" si="5"/>
        <v>0</v>
      </c>
      <c r="AL16" s="1209" t="b">
        <f>IF(B16="Portfolio loan - sub account",IF(NOT(ISBLANK(J16)),IF(COUNTIF($J$12:$J$61,J16)&gt;1,IF(COUNTIFS(J$12:J16,J16,B$12:B16,"Portfolio loan - sub account")=1,TRUE,FALSE),TRUE),FALSE),FALSE)</f>
        <v>0</v>
      </c>
      <c r="AM16" s="1210">
        <f t="shared" si="6"/>
        <v>0</v>
      </c>
      <c r="AN16" s="1210" cm="1">
        <f t="array" ref="AN16">_xlfn.AGGREGATE(14,4,($B$12:$B$61="Portfolio loan - sub account")*($J$12:$J$61=J16)*$F$12:$F$61,1)</f>
        <v>0</v>
      </c>
      <c r="AO16" s="1210">
        <f t="shared" si="7"/>
        <v>0</v>
      </c>
      <c r="AP16" s="1210" t="str">
        <f t="shared" si="10"/>
        <v/>
      </c>
      <c r="AQ16" s="1210" t="str">
        <f t="shared" si="2"/>
        <v/>
      </c>
      <c r="AR16" s="1210" t="str">
        <f>IFERROR(IF(Z16,VLOOKUP($B16,SEBusinessLiabilityTable[],AR$9,FALSE),""),"")</f>
        <v/>
      </c>
      <c r="AS16" s="1210" t="str">
        <f>IFERROR(IF(AA16,VLOOKUP($B16,SEBusinessLiabilityTable[],AS$9,FALSE),""),"")</f>
        <v/>
      </c>
    </row>
    <row r="17" spans="1:45" ht="18.75" hidden="1" customHeight="1" x14ac:dyDescent="0.25">
      <c r="A17" s="552">
        <v>6</v>
      </c>
      <c r="B17" s="1213"/>
      <c r="C17" s="1332"/>
      <c r="D17" s="1333"/>
      <c r="E17" s="1333"/>
      <c r="F17" s="1214"/>
      <c r="G17" s="1213"/>
      <c r="H17" s="1333"/>
      <c r="I17" s="1333"/>
      <c r="J17" s="1334"/>
      <c r="K17" s="1213"/>
      <c r="L17" s="1211" t="str">
        <f t="shared" si="0"/>
        <v/>
      </c>
      <c r="M17" s="1335" t="str">
        <f t="shared" si="8"/>
        <v/>
      </c>
      <c r="N17" s="1335" t="str">
        <f t="shared" si="11"/>
        <v/>
      </c>
      <c r="O17" s="1335" t="str">
        <f t="shared" si="9"/>
        <v/>
      </c>
      <c r="P17" s="25"/>
      <c r="Q17" s="25"/>
      <c r="R17" s="1215" t="b">
        <f t="shared" si="3"/>
        <v>0</v>
      </c>
      <c r="S17" s="1210" t="str">
        <f>IFERROR(VLOOKUP($B17,SEBusinessLiabilityTable[],S$9,FALSE),"")</f>
        <v/>
      </c>
      <c r="T17" s="1210" t="str">
        <f>IFERROR(VLOOKUP($B17,SEBusinessLiabilityTable[],T$9,FALSE),"")</f>
        <v/>
      </c>
      <c r="U17" s="1210" t="str">
        <f>IFERROR(VLOOKUP($B17,SEBusinessLiabilityTable[],U$9,FALSE),"")</f>
        <v/>
      </c>
      <c r="V17" s="1210" t="str">
        <f>IFERROR(VLOOKUP($B17,SEBusinessLiabilityTable[],V$9,FALSE),"")</f>
        <v/>
      </c>
      <c r="W17" s="1210" t="str">
        <f>IFERROR(VLOOKUP($B17,SEBusinessLiabilityTable[],W$9,FALSE),"")</f>
        <v/>
      </c>
      <c r="X17" s="1210" t="str">
        <f>IFERROR(VLOOKUP($B17,SEBusinessLiabilityTable[],X$9,FALSE),"")</f>
        <v/>
      </c>
      <c r="Y17" s="1210" t="str">
        <f>IFERROR(VLOOKUP($B17,SEBusinessLiabilityTable[],Y$9,FALSE),"")</f>
        <v/>
      </c>
      <c r="Z17" s="1210" t="str">
        <f>IFERROR(VLOOKUP($B17,SEBusinessLiabilityTable[],Z$9,FALSE),"")</f>
        <v/>
      </c>
      <c r="AA17" s="1210" t="str">
        <f>IFERROR(VLOOKUP($B17,SEBusinessLiabilityTable[],AA$9,FALSE),"")</f>
        <v/>
      </c>
      <c r="AB17" s="1210" t="str">
        <f>IFERROR(VLOOKUP($B17,SEBusinessLiabilityTable[],AB$9,FALSE),"")</f>
        <v/>
      </c>
      <c r="AC17" s="1210" t="str">
        <f>IFERROR(VLOOKUP($B17,SEBusinessLiabilityTable[],AC$9,FALSE),"")</f>
        <v/>
      </c>
      <c r="AD17" s="1210" t="str">
        <f>IFERROR(VLOOKUP($B17,SEBusinessLiabilityTable[],AD$9,FALSE),"")</f>
        <v/>
      </c>
      <c r="AE17" s="1210" t="str">
        <f>IFERROR(VLOOKUP($B17,SEBusinessLiabilityTable[],AE$9,FALSE),"")</f>
        <v/>
      </c>
      <c r="AF17" s="1210" t="str">
        <f>IFERROR(VLOOKUP($B17,SEBusinessLiabilityTable[],AF$9,FALSE),"")</f>
        <v/>
      </c>
      <c r="AG17" s="1210" t="str">
        <f>IFERROR(VLOOKUP($B17,SEBusinessLiabilityTable[],AG$9,FALSE),"")</f>
        <v/>
      </c>
      <c r="AH17" s="1210" t="str">
        <f>IFERROR(VLOOKUP($B17,SEBusinessLiabilityTable[],AH$9,FALSE),"")</f>
        <v/>
      </c>
      <c r="AJ17" s="1210">
        <f t="shared" si="4"/>
        <v>0</v>
      </c>
      <c r="AK17" s="1210">
        <f t="shared" si="5"/>
        <v>0</v>
      </c>
      <c r="AL17" s="1209" t="b">
        <f>IF(B17="Portfolio loan - sub account",IF(NOT(ISBLANK(J17)),IF(COUNTIF($J$12:$J$61,J17)&gt;1,IF(COUNTIFS(J$12:J17,J17,B$12:B17,"Portfolio loan - sub account")=1,TRUE,FALSE),TRUE),FALSE),FALSE)</f>
        <v>0</v>
      </c>
      <c r="AM17" s="1210">
        <f t="shared" si="6"/>
        <v>0</v>
      </c>
      <c r="AN17" s="1210" cm="1">
        <f t="array" ref="AN17">_xlfn.AGGREGATE(14,4,($B$12:$B$61="Portfolio loan - sub account")*($J$12:$J$61=J17)*$F$12:$F$61,1)</f>
        <v>0</v>
      </c>
      <c r="AO17" s="1210">
        <f t="shared" si="7"/>
        <v>0</v>
      </c>
      <c r="AP17" s="1210" t="str">
        <f t="shared" si="10"/>
        <v/>
      </c>
      <c r="AQ17" s="1210" t="str">
        <f t="shared" si="2"/>
        <v/>
      </c>
      <c r="AR17" s="1210" t="str">
        <f>IFERROR(IF(Z17,VLOOKUP($B17,SEBusinessLiabilityTable[],AR$9,FALSE),""),"")</f>
        <v/>
      </c>
      <c r="AS17" s="1210" t="str">
        <f>IFERROR(IF(AA17,VLOOKUP($B17,SEBusinessLiabilityTable[],AS$9,FALSE),""),"")</f>
        <v/>
      </c>
    </row>
    <row r="18" spans="1:45" ht="18.75" hidden="1" customHeight="1" x14ac:dyDescent="0.25">
      <c r="A18" s="552">
        <v>7</v>
      </c>
      <c r="B18" s="1213"/>
      <c r="C18" s="1332"/>
      <c r="D18" s="1333"/>
      <c r="E18" s="1333"/>
      <c r="F18" s="1214"/>
      <c r="G18" s="1213"/>
      <c r="H18" s="1333"/>
      <c r="I18" s="1333"/>
      <c r="J18" s="1334"/>
      <c r="K18" s="1213"/>
      <c r="L18" s="1211" t="str">
        <f t="shared" si="0"/>
        <v/>
      </c>
      <c r="M18" s="1335" t="str">
        <f t="shared" si="8"/>
        <v/>
      </c>
      <c r="N18" s="1335" t="str">
        <f t="shared" si="11"/>
        <v/>
      </c>
      <c r="O18" s="1335" t="str">
        <f t="shared" si="9"/>
        <v/>
      </c>
      <c r="P18" s="25"/>
      <c r="Q18" s="25"/>
      <c r="R18" s="1215" t="b">
        <f t="shared" si="3"/>
        <v>0</v>
      </c>
      <c r="S18" s="1210" t="str">
        <f>IFERROR(VLOOKUP($B18,SEBusinessLiabilityTable[],S$9,FALSE),"")</f>
        <v/>
      </c>
      <c r="T18" s="1210" t="str">
        <f>IFERROR(VLOOKUP($B18,SEBusinessLiabilityTable[],T$9,FALSE),"")</f>
        <v/>
      </c>
      <c r="U18" s="1210" t="str">
        <f>IFERROR(VLOOKUP($B18,SEBusinessLiabilityTable[],U$9,FALSE),"")</f>
        <v/>
      </c>
      <c r="V18" s="1210" t="str">
        <f>IFERROR(VLOOKUP($B18,SEBusinessLiabilityTable[],V$9,FALSE),"")</f>
        <v/>
      </c>
      <c r="W18" s="1210" t="str">
        <f>IFERROR(VLOOKUP($B18,SEBusinessLiabilityTable[],W$9,FALSE),"")</f>
        <v/>
      </c>
      <c r="X18" s="1210" t="str">
        <f>IFERROR(VLOOKUP($B18,SEBusinessLiabilityTable[],X$9,FALSE),"")</f>
        <v/>
      </c>
      <c r="Y18" s="1210" t="str">
        <f>IFERROR(VLOOKUP($B18,SEBusinessLiabilityTable[],Y$9,FALSE),"")</f>
        <v/>
      </c>
      <c r="Z18" s="1210" t="str">
        <f>IFERROR(VLOOKUP($B18,SEBusinessLiabilityTable[],Z$9,FALSE),"")</f>
        <v/>
      </c>
      <c r="AA18" s="1210" t="str">
        <f>IFERROR(VLOOKUP($B18,SEBusinessLiabilityTable[],AA$9,FALSE),"")</f>
        <v/>
      </c>
      <c r="AB18" s="1210" t="str">
        <f>IFERROR(VLOOKUP($B18,SEBusinessLiabilityTable[],AB$9,FALSE),"")</f>
        <v/>
      </c>
      <c r="AC18" s="1210" t="str">
        <f>IFERROR(VLOOKUP($B18,SEBusinessLiabilityTable[],AC$9,FALSE),"")</f>
        <v/>
      </c>
      <c r="AD18" s="1210" t="str">
        <f>IFERROR(VLOOKUP($B18,SEBusinessLiabilityTable[],AD$9,FALSE),"")</f>
        <v/>
      </c>
      <c r="AE18" s="1210" t="str">
        <f>IFERROR(VLOOKUP($B18,SEBusinessLiabilityTable[],AE$9,FALSE),"")</f>
        <v/>
      </c>
      <c r="AF18" s="1210" t="str">
        <f>IFERROR(VLOOKUP($B18,SEBusinessLiabilityTable[],AF$9,FALSE),"")</f>
        <v/>
      </c>
      <c r="AG18" s="1210" t="str">
        <f>IFERROR(VLOOKUP($B18,SEBusinessLiabilityTable[],AG$9,FALSE),"")</f>
        <v/>
      </c>
      <c r="AH18" s="1210" t="str">
        <f>IFERROR(VLOOKUP($B18,SEBusinessLiabilityTable[],AH$9,FALSE),"")</f>
        <v/>
      </c>
      <c r="AJ18" s="1210">
        <f t="shared" si="4"/>
        <v>0</v>
      </c>
      <c r="AK18" s="1210">
        <f t="shared" si="5"/>
        <v>0</v>
      </c>
      <c r="AL18" s="1209" t="b">
        <f>IF(B18="Portfolio loan - sub account",IF(NOT(ISBLANK(J18)),IF(COUNTIF($J$12:$J$61,J18)&gt;1,IF(COUNTIFS(J$12:J18,J18,B$12:B18,"Portfolio loan - sub account")=1,TRUE,FALSE),TRUE),FALSE),FALSE)</f>
        <v>0</v>
      </c>
      <c r="AM18" s="1210">
        <f t="shared" si="6"/>
        <v>0</v>
      </c>
      <c r="AN18" s="1210" cm="1">
        <f t="array" ref="AN18">_xlfn.AGGREGATE(14,4,($B$12:$B$61="Portfolio loan - sub account")*($J$12:$J$61=J18)*$F$12:$F$61,1)</f>
        <v>0</v>
      </c>
      <c r="AO18" s="1210">
        <f t="shared" si="7"/>
        <v>0</v>
      </c>
      <c r="AP18" s="1210" t="str">
        <f t="shared" si="10"/>
        <v/>
      </c>
      <c r="AQ18" s="1210" t="str">
        <f t="shared" si="2"/>
        <v/>
      </c>
      <c r="AR18" s="1210" t="str">
        <f>IFERROR(IF(Z18,VLOOKUP($B18,SEBusinessLiabilityTable[],AR$9,FALSE),""),"")</f>
        <v/>
      </c>
      <c r="AS18" s="1210" t="str">
        <f>IFERROR(IF(AA18,VLOOKUP($B18,SEBusinessLiabilityTable[],AS$9,FALSE),""),"")</f>
        <v/>
      </c>
    </row>
    <row r="19" spans="1:45" ht="18.75" hidden="1" customHeight="1" x14ac:dyDescent="0.25">
      <c r="A19" s="552">
        <v>8</v>
      </c>
      <c r="B19" s="1213"/>
      <c r="C19" s="1332"/>
      <c r="D19" s="1333"/>
      <c r="E19" s="1333"/>
      <c r="F19" s="1214"/>
      <c r="G19" s="1213"/>
      <c r="H19" s="1333"/>
      <c r="I19" s="1333"/>
      <c r="J19" s="1334"/>
      <c r="K19" s="1213"/>
      <c r="L19" s="1211" t="str">
        <f t="shared" si="0"/>
        <v/>
      </c>
      <c r="M19" s="1335" t="str">
        <f t="shared" si="8"/>
        <v/>
      </c>
      <c r="N19" s="1335" t="str">
        <f t="shared" si="11"/>
        <v/>
      </c>
      <c r="O19" s="1335" t="str">
        <f t="shared" si="9"/>
        <v/>
      </c>
      <c r="P19" s="25"/>
      <c r="Q19" s="25"/>
      <c r="R19" s="1215" t="b">
        <f t="shared" si="3"/>
        <v>0</v>
      </c>
      <c r="S19" s="1210" t="str">
        <f>IFERROR(VLOOKUP($B19,SEBusinessLiabilityTable[],S$9,FALSE),"")</f>
        <v/>
      </c>
      <c r="T19" s="1210" t="str">
        <f>IFERROR(VLOOKUP($B19,SEBusinessLiabilityTable[],T$9,FALSE),"")</f>
        <v/>
      </c>
      <c r="U19" s="1210" t="str">
        <f>IFERROR(VLOOKUP($B19,SEBusinessLiabilityTable[],U$9,FALSE),"")</f>
        <v/>
      </c>
      <c r="V19" s="1210" t="str">
        <f>IFERROR(VLOOKUP($B19,SEBusinessLiabilityTable[],V$9,FALSE),"")</f>
        <v/>
      </c>
      <c r="W19" s="1210" t="str">
        <f>IFERROR(VLOOKUP($B19,SEBusinessLiabilityTable[],W$9,FALSE),"")</f>
        <v/>
      </c>
      <c r="X19" s="1210" t="str">
        <f>IFERROR(VLOOKUP($B19,SEBusinessLiabilityTable[],X$9,FALSE),"")</f>
        <v/>
      </c>
      <c r="Y19" s="1210" t="str">
        <f>IFERROR(VLOOKUP($B19,SEBusinessLiabilityTable[],Y$9,FALSE),"")</f>
        <v/>
      </c>
      <c r="Z19" s="1210" t="str">
        <f>IFERROR(VLOOKUP($B19,SEBusinessLiabilityTable[],Z$9,FALSE),"")</f>
        <v/>
      </c>
      <c r="AA19" s="1210" t="str">
        <f>IFERROR(VLOOKUP($B19,SEBusinessLiabilityTable[],AA$9,FALSE),"")</f>
        <v/>
      </c>
      <c r="AB19" s="1210" t="str">
        <f>IFERROR(VLOOKUP($B19,SEBusinessLiabilityTable[],AB$9,FALSE),"")</f>
        <v/>
      </c>
      <c r="AC19" s="1210" t="str">
        <f>IFERROR(VLOOKUP($B19,SEBusinessLiabilityTable[],AC$9,FALSE),"")</f>
        <v/>
      </c>
      <c r="AD19" s="1210" t="str">
        <f>IFERROR(VLOOKUP($B19,SEBusinessLiabilityTable[],AD$9,FALSE),"")</f>
        <v/>
      </c>
      <c r="AE19" s="1210" t="str">
        <f>IFERROR(VLOOKUP($B19,SEBusinessLiabilityTable[],AE$9,FALSE),"")</f>
        <v/>
      </c>
      <c r="AF19" s="1210" t="str">
        <f>IFERROR(VLOOKUP($B19,SEBusinessLiabilityTable[],AF$9,FALSE),"")</f>
        <v/>
      </c>
      <c r="AG19" s="1210" t="str">
        <f>IFERROR(VLOOKUP($B19,SEBusinessLiabilityTable[],AG$9,FALSE),"")</f>
        <v/>
      </c>
      <c r="AH19" s="1210" t="str">
        <f>IFERROR(VLOOKUP($B19,SEBusinessLiabilityTable[],AH$9,FALSE),"")</f>
        <v/>
      </c>
      <c r="AJ19" s="1210">
        <f t="shared" si="4"/>
        <v>0</v>
      </c>
      <c r="AK19" s="1210">
        <f t="shared" si="5"/>
        <v>0</v>
      </c>
      <c r="AL19" s="1209" t="b">
        <f>IF(B19="Portfolio loan - sub account",IF(NOT(ISBLANK(J19)),IF(COUNTIF($J$12:$J$61,J19)&gt;1,IF(COUNTIFS(J$12:J19,J19,B$12:B19,"Portfolio loan - sub account")=1,TRUE,FALSE),TRUE),FALSE),FALSE)</f>
        <v>0</v>
      </c>
      <c r="AM19" s="1210">
        <f t="shared" si="6"/>
        <v>0</v>
      </c>
      <c r="AN19" s="1210" cm="1">
        <f t="array" ref="AN19">_xlfn.AGGREGATE(14,4,($B$12:$B$61="Portfolio loan - sub account")*($J$12:$J$61=J19)*$F$12:$F$61,1)</f>
        <v>0</v>
      </c>
      <c r="AO19" s="1210">
        <f t="shared" si="7"/>
        <v>0</v>
      </c>
      <c r="AP19" s="1210" t="str">
        <f t="shared" si="10"/>
        <v/>
      </c>
      <c r="AQ19" s="1210" t="str">
        <f t="shared" si="2"/>
        <v/>
      </c>
      <c r="AR19" s="1210" t="str">
        <f>IFERROR(IF(Z19,VLOOKUP($B19,SEBusinessLiabilityTable[],AR$9,FALSE),""),"")</f>
        <v/>
      </c>
      <c r="AS19" s="1210" t="str">
        <f>IFERROR(IF(AA19,VLOOKUP($B19,SEBusinessLiabilityTable[],AS$9,FALSE),""),"")</f>
        <v/>
      </c>
    </row>
    <row r="20" spans="1:45" ht="18.75" hidden="1" customHeight="1" x14ac:dyDescent="0.25">
      <c r="A20" s="552">
        <v>9</v>
      </c>
      <c r="B20" s="1213"/>
      <c r="C20" s="1332"/>
      <c r="D20" s="1333"/>
      <c r="E20" s="1333"/>
      <c r="F20" s="1214"/>
      <c r="G20" s="1213"/>
      <c r="H20" s="1333"/>
      <c r="I20" s="1333"/>
      <c r="J20" s="1334"/>
      <c r="K20" s="1213"/>
      <c r="L20" s="1211" t="str">
        <f t="shared" si="0"/>
        <v/>
      </c>
      <c r="M20" s="1335" t="str">
        <f t="shared" si="8"/>
        <v/>
      </c>
      <c r="N20" s="1335" t="str">
        <f t="shared" si="11"/>
        <v/>
      </c>
      <c r="O20" s="1335" t="str">
        <f t="shared" si="9"/>
        <v/>
      </c>
      <c r="P20" s="25"/>
      <c r="Q20" s="25"/>
      <c r="R20" s="1215" t="b">
        <f t="shared" si="3"/>
        <v>0</v>
      </c>
      <c r="S20" s="1210" t="str">
        <f>IFERROR(VLOOKUP($B20,SEBusinessLiabilityTable[],S$9,FALSE),"")</f>
        <v/>
      </c>
      <c r="T20" s="1210" t="str">
        <f>IFERROR(VLOOKUP($B20,SEBusinessLiabilityTable[],T$9,FALSE),"")</f>
        <v/>
      </c>
      <c r="U20" s="1210" t="str">
        <f>IFERROR(VLOOKUP($B20,SEBusinessLiabilityTable[],U$9,FALSE),"")</f>
        <v/>
      </c>
      <c r="V20" s="1210" t="str">
        <f>IFERROR(VLOOKUP($B20,SEBusinessLiabilityTable[],V$9,FALSE),"")</f>
        <v/>
      </c>
      <c r="W20" s="1210" t="str">
        <f>IFERROR(VLOOKUP($B20,SEBusinessLiabilityTable[],W$9,FALSE),"")</f>
        <v/>
      </c>
      <c r="X20" s="1210" t="str">
        <f>IFERROR(VLOOKUP($B20,SEBusinessLiabilityTable[],X$9,FALSE),"")</f>
        <v/>
      </c>
      <c r="Y20" s="1210" t="str">
        <f>IFERROR(VLOOKUP($B20,SEBusinessLiabilityTable[],Y$9,FALSE),"")</f>
        <v/>
      </c>
      <c r="Z20" s="1210" t="str">
        <f>IFERROR(VLOOKUP($B20,SEBusinessLiabilityTable[],Z$9,FALSE),"")</f>
        <v/>
      </c>
      <c r="AA20" s="1210" t="str">
        <f>IFERROR(VLOOKUP($B20,SEBusinessLiabilityTable[],AA$9,FALSE),"")</f>
        <v/>
      </c>
      <c r="AB20" s="1210" t="str">
        <f>IFERROR(VLOOKUP($B20,SEBusinessLiabilityTable[],AB$9,FALSE),"")</f>
        <v/>
      </c>
      <c r="AC20" s="1210" t="str">
        <f>IFERROR(VLOOKUP($B20,SEBusinessLiabilityTable[],AC$9,FALSE),"")</f>
        <v/>
      </c>
      <c r="AD20" s="1210" t="str">
        <f>IFERROR(VLOOKUP($B20,SEBusinessLiabilityTable[],AD$9,FALSE),"")</f>
        <v/>
      </c>
      <c r="AE20" s="1210" t="str">
        <f>IFERROR(VLOOKUP($B20,SEBusinessLiabilityTable[],AE$9,FALSE),"")</f>
        <v/>
      </c>
      <c r="AF20" s="1210" t="str">
        <f>IFERROR(VLOOKUP($B20,SEBusinessLiabilityTable[],AF$9,FALSE),"")</f>
        <v/>
      </c>
      <c r="AG20" s="1210" t="str">
        <f>IFERROR(VLOOKUP($B20,SEBusinessLiabilityTable[],AG$9,FALSE),"")</f>
        <v/>
      </c>
      <c r="AH20" s="1210" t="str">
        <f>IFERROR(VLOOKUP($B20,SEBusinessLiabilityTable[],AH$9,FALSE),"")</f>
        <v/>
      </c>
      <c r="AJ20" s="1210">
        <f t="shared" si="4"/>
        <v>0</v>
      </c>
      <c r="AK20" s="1210">
        <f t="shared" si="5"/>
        <v>0</v>
      </c>
      <c r="AL20" s="1209" t="b">
        <f>IF(B20="Portfolio loan - sub account",IF(NOT(ISBLANK(J20)),IF(COUNTIF($J$12:$J$61,J20)&gt;1,IF(COUNTIFS(J$12:J20,J20,B$12:B20,"Portfolio loan - sub account")=1,TRUE,FALSE),TRUE),FALSE),FALSE)</f>
        <v>0</v>
      </c>
      <c r="AM20" s="1210">
        <f t="shared" si="6"/>
        <v>0</v>
      </c>
      <c r="AN20" s="1210" cm="1">
        <f t="array" ref="AN20">_xlfn.AGGREGATE(14,4,($B$12:$B$61="Portfolio loan - sub account")*($J$12:$J$61=J20)*$F$12:$F$61,1)</f>
        <v>0</v>
      </c>
      <c r="AO20" s="1210">
        <f t="shared" si="7"/>
        <v>0</v>
      </c>
      <c r="AP20" s="1210" t="str">
        <f t="shared" si="10"/>
        <v/>
      </c>
      <c r="AQ20" s="1210" t="str">
        <f t="shared" si="2"/>
        <v/>
      </c>
      <c r="AR20" s="1210" t="str">
        <f>IFERROR(IF(Z20,VLOOKUP($B20,SEBusinessLiabilityTable[],AR$9,FALSE),""),"")</f>
        <v/>
      </c>
      <c r="AS20" s="1210" t="str">
        <f>IFERROR(IF(AA20,VLOOKUP($B20,SEBusinessLiabilityTable[],AS$9,FALSE),""),"")</f>
        <v/>
      </c>
    </row>
    <row r="21" spans="1:45" ht="18.75" hidden="1" customHeight="1" x14ac:dyDescent="0.25">
      <c r="A21" s="552">
        <v>10</v>
      </c>
      <c r="B21" s="1213"/>
      <c r="C21" s="1332"/>
      <c r="D21" s="1333"/>
      <c r="E21" s="1333"/>
      <c r="F21" s="1214"/>
      <c r="G21" s="1213"/>
      <c r="H21" s="1333"/>
      <c r="I21" s="1333"/>
      <c r="J21" s="1334"/>
      <c r="K21" s="1213"/>
      <c r="L21" s="1211" t="str">
        <f t="shared" si="0"/>
        <v/>
      </c>
      <c r="M21" s="1335" t="str">
        <f t="shared" si="8"/>
        <v/>
      </c>
      <c r="N21" s="1335" t="str">
        <f t="shared" si="11"/>
        <v/>
      </c>
      <c r="O21" s="1335" t="str">
        <f t="shared" si="9"/>
        <v/>
      </c>
      <c r="P21" s="25"/>
      <c r="Q21" s="25"/>
      <c r="R21" s="1215" t="b">
        <f t="shared" si="3"/>
        <v>0</v>
      </c>
      <c r="S21" s="1210" t="str">
        <f>IFERROR(VLOOKUP($B21,SEBusinessLiabilityTable[],S$9,FALSE),"")</f>
        <v/>
      </c>
      <c r="T21" s="1210" t="str">
        <f>IFERROR(VLOOKUP($B21,SEBusinessLiabilityTable[],T$9,FALSE),"")</f>
        <v/>
      </c>
      <c r="U21" s="1210" t="str">
        <f>IFERROR(VLOOKUP($B21,SEBusinessLiabilityTable[],U$9,FALSE),"")</f>
        <v/>
      </c>
      <c r="V21" s="1210" t="str">
        <f>IFERROR(VLOOKUP($B21,SEBusinessLiabilityTable[],V$9,FALSE),"")</f>
        <v/>
      </c>
      <c r="W21" s="1210" t="str">
        <f>IFERROR(VLOOKUP($B21,SEBusinessLiabilityTable[],W$9,FALSE),"")</f>
        <v/>
      </c>
      <c r="X21" s="1210" t="str">
        <f>IFERROR(VLOOKUP($B21,SEBusinessLiabilityTable[],X$9,FALSE),"")</f>
        <v/>
      </c>
      <c r="Y21" s="1210" t="str">
        <f>IFERROR(VLOOKUP($B21,SEBusinessLiabilityTable[],Y$9,FALSE),"")</f>
        <v/>
      </c>
      <c r="Z21" s="1210" t="str">
        <f>IFERROR(VLOOKUP($B21,SEBusinessLiabilityTable[],Z$9,FALSE),"")</f>
        <v/>
      </c>
      <c r="AA21" s="1210" t="str">
        <f>IFERROR(VLOOKUP($B21,SEBusinessLiabilityTable[],AA$9,FALSE),"")</f>
        <v/>
      </c>
      <c r="AB21" s="1210" t="str">
        <f>IFERROR(VLOOKUP($B21,SEBusinessLiabilityTable[],AB$9,FALSE),"")</f>
        <v/>
      </c>
      <c r="AC21" s="1210" t="str">
        <f>IFERROR(VLOOKUP($B21,SEBusinessLiabilityTable[],AC$9,FALSE),"")</f>
        <v/>
      </c>
      <c r="AD21" s="1210" t="str">
        <f>IFERROR(VLOOKUP($B21,SEBusinessLiabilityTable[],AD$9,FALSE),"")</f>
        <v/>
      </c>
      <c r="AE21" s="1210" t="str">
        <f>IFERROR(VLOOKUP($B21,SEBusinessLiabilityTable[],AE$9,FALSE),"")</f>
        <v/>
      </c>
      <c r="AF21" s="1210" t="str">
        <f>IFERROR(VLOOKUP($B21,SEBusinessLiabilityTable[],AF$9,FALSE),"")</f>
        <v/>
      </c>
      <c r="AG21" s="1210" t="str">
        <f>IFERROR(VLOOKUP($B21,SEBusinessLiabilityTable[],AG$9,FALSE),"")</f>
        <v/>
      </c>
      <c r="AH21" s="1210" t="str">
        <f>IFERROR(VLOOKUP($B21,SEBusinessLiabilityTable[],AH$9,FALSE),"")</f>
        <v/>
      </c>
      <c r="AJ21" s="1210">
        <f t="shared" si="4"/>
        <v>0</v>
      </c>
      <c r="AK21" s="1210">
        <f t="shared" si="5"/>
        <v>0</v>
      </c>
      <c r="AL21" s="1209" t="b">
        <f>IF(B21="Portfolio loan - sub account",IF(NOT(ISBLANK(J21)),IF(COUNTIF($J$12:$J$61,J21)&gt;1,IF(COUNTIFS(J$12:J21,J21,B$12:B21,"Portfolio loan - sub account")=1,TRUE,FALSE),TRUE),FALSE),FALSE)</f>
        <v>0</v>
      </c>
      <c r="AM21" s="1210">
        <f t="shared" si="6"/>
        <v>0</v>
      </c>
      <c r="AN21" s="1210" cm="1">
        <f t="array" ref="AN21">_xlfn.AGGREGATE(14,4,($B$12:$B$61="Portfolio loan - sub account")*($J$12:$J$61=J21)*$F$12:$F$61,1)</f>
        <v>0</v>
      </c>
      <c r="AO21" s="1210">
        <f t="shared" si="7"/>
        <v>0</v>
      </c>
      <c r="AP21" s="1210" t="str">
        <f t="shared" si="10"/>
        <v/>
      </c>
      <c r="AQ21" s="1210" t="str">
        <f t="shared" si="2"/>
        <v/>
      </c>
      <c r="AR21" s="1210" t="str">
        <f>IFERROR(IF(Z21,VLOOKUP($B21,SEBusinessLiabilityTable[],AR$9,FALSE),""),"")</f>
        <v/>
      </c>
      <c r="AS21" s="1210" t="str">
        <f>IFERROR(IF(AA21,VLOOKUP($B21,SEBusinessLiabilityTable[],AS$9,FALSE),""),"")</f>
        <v/>
      </c>
    </row>
    <row r="22" spans="1:45" ht="18.75" hidden="1" customHeight="1" x14ac:dyDescent="0.25">
      <c r="A22" s="552">
        <v>11</v>
      </c>
      <c r="B22" s="1213"/>
      <c r="C22" s="1332"/>
      <c r="D22" s="1333"/>
      <c r="E22" s="1333"/>
      <c r="F22" s="1214"/>
      <c r="G22" s="1213"/>
      <c r="H22" s="1333"/>
      <c r="I22" s="1333"/>
      <c r="J22" s="1334"/>
      <c r="K22" s="1213"/>
      <c r="L22" s="1211" t="str">
        <f t="shared" si="0"/>
        <v/>
      </c>
      <c r="M22" s="1335" t="str">
        <f t="shared" si="8"/>
        <v/>
      </c>
      <c r="N22" s="1335" t="str">
        <f t="shared" si="11"/>
        <v/>
      </c>
      <c r="O22" s="1335" t="str">
        <f t="shared" si="9"/>
        <v/>
      </c>
      <c r="P22" s="25"/>
      <c r="Q22" s="25"/>
      <c r="R22" s="1215" t="b">
        <f t="shared" si="3"/>
        <v>0</v>
      </c>
      <c r="S22" s="1210" t="str">
        <f>IFERROR(VLOOKUP($B22,SEBusinessLiabilityTable[],S$9,FALSE),"")</f>
        <v/>
      </c>
      <c r="T22" s="1210" t="str">
        <f>IFERROR(VLOOKUP($B22,SEBusinessLiabilityTable[],T$9,FALSE),"")</f>
        <v/>
      </c>
      <c r="U22" s="1210" t="str">
        <f>IFERROR(VLOOKUP($B22,SEBusinessLiabilityTable[],U$9,FALSE),"")</f>
        <v/>
      </c>
      <c r="V22" s="1210" t="str">
        <f>IFERROR(VLOOKUP($B22,SEBusinessLiabilityTable[],V$9,FALSE),"")</f>
        <v/>
      </c>
      <c r="W22" s="1210" t="str">
        <f>IFERROR(VLOOKUP($B22,SEBusinessLiabilityTable[],W$9,FALSE),"")</f>
        <v/>
      </c>
      <c r="X22" s="1210" t="str">
        <f>IFERROR(VLOOKUP($B22,SEBusinessLiabilityTable[],X$9,FALSE),"")</f>
        <v/>
      </c>
      <c r="Y22" s="1210" t="str">
        <f>IFERROR(VLOOKUP($B22,SEBusinessLiabilityTable[],Y$9,FALSE),"")</f>
        <v/>
      </c>
      <c r="Z22" s="1210" t="str">
        <f>IFERROR(VLOOKUP($B22,SEBusinessLiabilityTable[],Z$9,FALSE),"")</f>
        <v/>
      </c>
      <c r="AA22" s="1210" t="str">
        <f>IFERROR(VLOOKUP($B22,SEBusinessLiabilityTable[],AA$9,FALSE),"")</f>
        <v/>
      </c>
      <c r="AB22" s="1210" t="str">
        <f>IFERROR(VLOOKUP($B22,SEBusinessLiabilityTable[],AB$9,FALSE),"")</f>
        <v/>
      </c>
      <c r="AC22" s="1210" t="str">
        <f>IFERROR(VLOOKUP($B22,SEBusinessLiabilityTable[],AC$9,FALSE),"")</f>
        <v/>
      </c>
      <c r="AD22" s="1210" t="str">
        <f>IFERROR(VLOOKUP($B22,SEBusinessLiabilityTable[],AD$9,FALSE),"")</f>
        <v/>
      </c>
      <c r="AE22" s="1210" t="str">
        <f>IFERROR(VLOOKUP($B22,SEBusinessLiabilityTable[],AE$9,FALSE),"")</f>
        <v/>
      </c>
      <c r="AF22" s="1210" t="str">
        <f>IFERROR(VLOOKUP($B22,SEBusinessLiabilityTable[],AF$9,FALSE),"")</f>
        <v/>
      </c>
      <c r="AG22" s="1210" t="str">
        <f>IFERROR(VLOOKUP($B22,SEBusinessLiabilityTable[],AG$9,FALSE),"")</f>
        <v/>
      </c>
      <c r="AH22" s="1210" t="str">
        <f>IFERROR(VLOOKUP($B22,SEBusinessLiabilityTable[],AH$9,FALSE),"")</f>
        <v/>
      </c>
      <c r="AJ22" s="1210">
        <f t="shared" si="4"/>
        <v>0</v>
      </c>
      <c r="AK22" s="1210">
        <f t="shared" si="5"/>
        <v>0</v>
      </c>
      <c r="AL22" s="1209" t="b">
        <f>IF(B22="Portfolio loan - sub account",IF(NOT(ISBLANK(J22)),IF(COUNTIF($J$12:$J$61,J22)&gt;1,IF(COUNTIFS(J$12:J22,J22,B$12:B22,"Portfolio loan - sub account")=1,TRUE,FALSE),TRUE),FALSE),FALSE)</f>
        <v>0</v>
      </c>
      <c r="AM22" s="1210">
        <f t="shared" si="6"/>
        <v>0</v>
      </c>
      <c r="AN22" s="1210" cm="1">
        <f t="array" ref="AN22">_xlfn.AGGREGATE(14,4,($B$12:$B$61="Portfolio loan - sub account")*($J$12:$J$61=J22)*$F$12:$F$61,1)</f>
        <v>0</v>
      </c>
      <c r="AO22" s="1210">
        <f t="shared" si="7"/>
        <v>0</v>
      </c>
      <c r="AP22" s="1210" t="str">
        <f t="shared" si="10"/>
        <v/>
      </c>
      <c r="AQ22" s="1210" t="str">
        <f t="shared" si="2"/>
        <v/>
      </c>
      <c r="AR22" s="1210" t="str">
        <f>IFERROR(IF(Z22,VLOOKUP($B22,SEBusinessLiabilityTable[],AR$9,FALSE),""),"")</f>
        <v/>
      </c>
      <c r="AS22" s="1210" t="str">
        <f>IFERROR(IF(AA22,VLOOKUP($B22,SEBusinessLiabilityTable[],AS$9,FALSE),""),"")</f>
        <v/>
      </c>
    </row>
    <row r="23" spans="1:45" ht="18.75" hidden="1" customHeight="1" x14ac:dyDescent="0.25">
      <c r="A23" s="552">
        <v>12</v>
      </c>
      <c r="B23" s="1213"/>
      <c r="C23" s="1332"/>
      <c r="D23" s="1333"/>
      <c r="E23" s="1333"/>
      <c r="F23" s="1214"/>
      <c r="G23" s="1213"/>
      <c r="H23" s="1333"/>
      <c r="I23" s="1333"/>
      <c r="J23" s="1334"/>
      <c r="K23" s="1213"/>
      <c r="L23" s="1211" t="str">
        <f t="shared" si="0"/>
        <v/>
      </c>
      <c r="M23" s="1335" t="str">
        <f t="shared" si="8"/>
        <v/>
      </c>
      <c r="N23" s="1335" t="str">
        <f t="shared" si="11"/>
        <v/>
      </c>
      <c r="O23" s="1335" t="str">
        <f t="shared" si="9"/>
        <v/>
      </c>
      <c r="P23" s="25"/>
      <c r="Q23" s="25"/>
      <c r="R23" s="1215" t="b">
        <f t="shared" si="3"/>
        <v>0</v>
      </c>
      <c r="S23" s="1210" t="str">
        <f>IFERROR(VLOOKUP($B23,SEBusinessLiabilityTable[],S$9,FALSE),"")</f>
        <v/>
      </c>
      <c r="T23" s="1210" t="str">
        <f>IFERROR(VLOOKUP($B23,SEBusinessLiabilityTable[],T$9,FALSE),"")</f>
        <v/>
      </c>
      <c r="U23" s="1210" t="str">
        <f>IFERROR(VLOOKUP($B23,SEBusinessLiabilityTable[],U$9,FALSE),"")</f>
        <v/>
      </c>
      <c r="V23" s="1210" t="str">
        <f>IFERROR(VLOOKUP($B23,SEBusinessLiabilityTable[],V$9,FALSE),"")</f>
        <v/>
      </c>
      <c r="W23" s="1210" t="str">
        <f>IFERROR(VLOOKUP($B23,SEBusinessLiabilityTable[],W$9,FALSE),"")</f>
        <v/>
      </c>
      <c r="X23" s="1210" t="str">
        <f>IFERROR(VLOOKUP($B23,SEBusinessLiabilityTable[],X$9,FALSE),"")</f>
        <v/>
      </c>
      <c r="Y23" s="1210" t="str">
        <f>IFERROR(VLOOKUP($B23,SEBusinessLiabilityTable[],Y$9,FALSE),"")</f>
        <v/>
      </c>
      <c r="Z23" s="1210" t="str">
        <f>IFERROR(VLOOKUP($B23,SEBusinessLiabilityTable[],Z$9,FALSE),"")</f>
        <v/>
      </c>
      <c r="AA23" s="1210" t="str">
        <f>IFERROR(VLOOKUP($B23,SEBusinessLiabilityTable[],AA$9,FALSE),"")</f>
        <v/>
      </c>
      <c r="AB23" s="1210" t="str">
        <f>IFERROR(VLOOKUP($B23,SEBusinessLiabilityTable[],AB$9,FALSE),"")</f>
        <v/>
      </c>
      <c r="AC23" s="1210" t="str">
        <f>IFERROR(VLOOKUP($B23,SEBusinessLiabilityTable[],AC$9,FALSE),"")</f>
        <v/>
      </c>
      <c r="AD23" s="1210" t="str">
        <f>IFERROR(VLOOKUP($B23,SEBusinessLiabilityTable[],AD$9,FALSE),"")</f>
        <v/>
      </c>
      <c r="AE23" s="1210" t="str">
        <f>IFERROR(VLOOKUP($B23,SEBusinessLiabilityTable[],AE$9,FALSE),"")</f>
        <v/>
      </c>
      <c r="AF23" s="1210" t="str">
        <f>IFERROR(VLOOKUP($B23,SEBusinessLiabilityTable[],AF$9,FALSE),"")</f>
        <v/>
      </c>
      <c r="AG23" s="1210" t="str">
        <f>IFERROR(VLOOKUP($B23,SEBusinessLiabilityTable[],AG$9,FALSE),"")</f>
        <v/>
      </c>
      <c r="AH23" s="1210" t="str">
        <f>IFERROR(VLOOKUP($B23,SEBusinessLiabilityTable[],AH$9,FALSE),"")</f>
        <v/>
      </c>
      <c r="AJ23" s="1210">
        <f t="shared" si="4"/>
        <v>0</v>
      </c>
      <c r="AK23" s="1210">
        <f t="shared" si="5"/>
        <v>0</v>
      </c>
      <c r="AL23" s="1209" t="b">
        <f>IF(B23="Portfolio loan - sub account",IF(NOT(ISBLANK(J23)),IF(COUNTIF($J$12:$J$61,J23)&gt;1,IF(COUNTIFS(J$12:J23,J23,B$12:B23,"Portfolio loan - sub account")=1,TRUE,FALSE),TRUE),FALSE),FALSE)</f>
        <v>0</v>
      </c>
      <c r="AM23" s="1210">
        <f t="shared" si="6"/>
        <v>0</v>
      </c>
      <c r="AN23" s="1210" cm="1">
        <f t="array" ref="AN23">_xlfn.AGGREGATE(14,4,($B$12:$B$61="Portfolio loan - sub account")*($J$12:$J$61=J23)*$F$12:$F$61,1)</f>
        <v>0</v>
      </c>
      <c r="AO23" s="1210">
        <f t="shared" si="7"/>
        <v>0</v>
      </c>
      <c r="AP23" s="1210" t="str">
        <f t="shared" si="10"/>
        <v/>
      </c>
      <c r="AQ23" s="1210" t="str">
        <f t="shared" si="2"/>
        <v/>
      </c>
      <c r="AR23" s="1210" t="str">
        <f>IFERROR(IF(Z23,VLOOKUP($B23,SEBusinessLiabilityTable[],AR$9,FALSE),""),"")</f>
        <v/>
      </c>
      <c r="AS23" s="1210" t="str">
        <f>IFERROR(IF(AA23,VLOOKUP($B23,SEBusinessLiabilityTable[],AS$9,FALSE),""),"")</f>
        <v/>
      </c>
    </row>
    <row r="24" spans="1:45" ht="18.75" hidden="1" customHeight="1" x14ac:dyDescent="0.25">
      <c r="A24" s="552">
        <v>13</v>
      </c>
      <c r="B24" s="1213"/>
      <c r="C24" s="1332"/>
      <c r="D24" s="1333"/>
      <c r="E24" s="1333"/>
      <c r="F24" s="1214"/>
      <c r="G24" s="1213"/>
      <c r="H24" s="1333"/>
      <c r="I24" s="1333"/>
      <c r="J24" s="1334"/>
      <c r="K24" s="1213"/>
      <c r="L24" s="1211" t="str">
        <f t="shared" si="0"/>
        <v/>
      </c>
      <c r="M24" s="1335" t="str">
        <f t="shared" si="8"/>
        <v/>
      </c>
      <c r="N24" s="1335" t="str">
        <f t="shared" si="11"/>
        <v/>
      </c>
      <c r="O24" s="1335" t="str">
        <f t="shared" si="9"/>
        <v/>
      </c>
      <c r="P24" s="25"/>
      <c r="Q24" s="25"/>
      <c r="R24" s="1215" t="b">
        <f t="shared" si="3"/>
        <v>0</v>
      </c>
      <c r="S24" s="1210" t="str">
        <f>IFERROR(VLOOKUP($B24,SEBusinessLiabilityTable[],S$9,FALSE),"")</f>
        <v/>
      </c>
      <c r="T24" s="1210" t="str">
        <f>IFERROR(VLOOKUP($B24,SEBusinessLiabilityTable[],T$9,FALSE),"")</f>
        <v/>
      </c>
      <c r="U24" s="1210" t="str">
        <f>IFERROR(VLOOKUP($B24,SEBusinessLiabilityTable[],U$9,FALSE),"")</f>
        <v/>
      </c>
      <c r="V24" s="1210" t="str">
        <f>IFERROR(VLOOKUP($B24,SEBusinessLiabilityTable[],V$9,FALSE),"")</f>
        <v/>
      </c>
      <c r="W24" s="1210" t="str">
        <f>IFERROR(VLOOKUP($B24,SEBusinessLiabilityTable[],W$9,FALSE),"")</f>
        <v/>
      </c>
      <c r="X24" s="1210" t="str">
        <f>IFERROR(VLOOKUP($B24,SEBusinessLiabilityTable[],X$9,FALSE),"")</f>
        <v/>
      </c>
      <c r="Y24" s="1210" t="str">
        <f>IFERROR(VLOOKUP($B24,SEBusinessLiabilityTable[],Y$9,FALSE),"")</f>
        <v/>
      </c>
      <c r="Z24" s="1210" t="str">
        <f>IFERROR(VLOOKUP($B24,SEBusinessLiabilityTable[],Z$9,FALSE),"")</f>
        <v/>
      </c>
      <c r="AA24" s="1210" t="str">
        <f>IFERROR(VLOOKUP($B24,SEBusinessLiabilityTable[],AA$9,FALSE),"")</f>
        <v/>
      </c>
      <c r="AB24" s="1210" t="str">
        <f>IFERROR(VLOOKUP($B24,SEBusinessLiabilityTable[],AB$9,FALSE),"")</f>
        <v/>
      </c>
      <c r="AC24" s="1210" t="str">
        <f>IFERROR(VLOOKUP($B24,SEBusinessLiabilityTable[],AC$9,FALSE),"")</f>
        <v/>
      </c>
      <c r="AD24" s="1210" t="str">
        <f>IFERROR(VLOOKUP($B24,SEBusinessLiabilityTable[],AD$9,FALSE),"")</f>
        <v/>
      </c>
      <c r="AE24" s="1210" t="str">
        <f>IFERROR(VLOOKUP($B24,SEBusinessLiabilityTable[],AE$9,FALSE),"")</f>
        <v/>
      </c>
      <c r="AF24" s="1210" t="str">
        <f>IFERROR(VLOOKUP($B24,SEBusinessLiabilityTable[],AF$9,FALSE),"")</f>
        <v/>
      </c>
      <c r="AG24" s="1210" t="str">
        <f>IFERROR(VLOOKUP($B24,SEBusinessLiabilityTable[],AG$9,FALSE),"")</f>
        <v/>
      </c>
      <c r="AH24" s="1210" t="str">
        <f>IFERROR(VLOOKUP($B24,SEBusinessLiabilityTable[],AH$9,FALSE),"")</f>
        <v/>
      </c>
      <c r="AJ24" s="1210">
        <f t="shared" si="4"/>
        <v>0</v>
      </c>
      <c r="AK24" s="1210">
        <f t="shared" si="5"/>
        <v>0</v>
      </c>
      <c r="AL24" s="1209" t="b">
        <f>IF(B24="Portfolio loan - sub account",IF(NOT(ISBLANK(J24)),IF(COUNTIF($J$12:$J$61,J24)&gt;1,IF(COUNTIFS(J$12:J24,J24,B$12:B24,"Portfolio loan - sub account")=1,TRUE,FALSE),TRUE),FALSE),FALSE)</f>
        <v>0</v>
      </c>
      <c r="AM24" s="1210">
        <f t="shared" si="6"/>
        <v>0</v>
      </c>
      <c r="AN24" s="1210" cm="1">
        <f t="array" ref="AN24">_xlfn.AGGREGATE(14,4,($B$12:$B$61="Portfolio loan - sub account")*($J$12:$J$61=J24)*$F$12:$F$61,1)</f>
        <v>0</v>
      </c>
      <c r="AO24" s="1210">
        <f t="shared" si="7"/>
        <v>0</v>
      </c>
      <c r="AP24" s="1210" t="str">
        <f t="shared" si="10"/>
        <v/>
      </c>
      <c r="AQ24" s="1210" t="str">
        <f t="shared" si="2"/>
        <v/>
      </c>
      <c r="AR24" s="1210" t="str">
        <f>IFERROR(IF(Z24,VLOOKUP($B24,SEBusinessLiabilityTable[],AR$9,FALSE),""),"")</f>
        <v/>
      </c>
      <c r="AS24" s="1210" t="str">
        <f>IFERROR(IF(AA24,VLOOKUP($B24,SEBusinessLiabilityTable[],AS$9,FALSE),""),"")</f>
        <v/>
      </c>
    </row>
    <row r="25" spans="1:45" ht="18.75" hidden="1" customHeight="1" x14ac:dyDescent="0.25">
      <c r="A25" s="552">
        <v>14</v>
      </c>
      <c r="B25" s="1213"/>
      <c r="C25" s="1332"/>
      <c r="D25" s="1333"/>
      <c r="E25" s="1333"/>
      <c r="F25" s="1214"/>
      <c r="G25" s="1213"/>
      <c r="H25" s="1333"/>
      <c r="I25" s="1333"/>
      <c r="J25" s="1334"/>
      <c r="K25" s="1213"/>
      <c r="L25" s="1211" t="str">
        <f t="shared" si="0"/>
        <v/>
      </c>
      <c r="M25" s="1335" t="str">
        <f t="shared" si="8"/>
        <v/>
      </c>
      <c r="N25" s="1335" t="str">
        <f t="shared" si="11"/>
        <v/>
      </c>
      <c r="O25" s="1335" t="str">
        <f t="shared" si="9"/>
        <v/>
      </c>
      <c r="P25" s="25"/>
      <c r="Q25" s="25"/>
      <c r="R25" s="1215" t="b">
        <f t="shared" si="3"/>
        <v>0</v>
      </c>
      <c r="S25" s="1210" t="str">
        <f>IFERROR(VLOOKUP($B25,SEBusinessLiabilityTable[],S$9,FALSE),"")</f>
        <v/>
      </c>
      <c r="T25" s="1210" t="str">
        <f>IFERROR(VLOOKUP($B25,SEBusinessLiabilityTable[],T$9,FALSE),"")</f>
        <v/>
      </c>
      <c r="U25" s="1210" t="str">
        <f>IFERROR(VLOOKUP($B25,SEBusinessLiabilityTable[],U$9,FALSE),"")</f>
        <v/>
      </c>
      <c r="V25" s="1210" t="str">
        <f>IFERROR(VLOOKUP($B25,SEBusinessLiabilityTable[],V$9,FALSE),"")</f>
        <v/>
      </c>
      <c r="W25" s="1210" t="str">
        <f>IFERROR(VLOOKUP($B25,SEBusinessLiabilityTable[],W$9,FALSE),"")</f>
        <v/>
      </c>
      <c r="X25" s="1210" t="str">
        <f>IFERROR(VLOOKUP($B25,SEBusinessLiabilityTable[],X$9,FALSE),"")</f>
        <v/>
      </c>
      <c r="Y25" s="1210" t="str">
        <f>IFERROR(VLOOKUP($B25,SEBusinessLiabilityTable[],Y$9,FALSE),"")</f>
        <v/>
      </c>
      <c r="Z25" s="1210" t="str">
        <f>IFERROR(VLOOKUP($B25,SEBusinessLiabilityTable[],Z$9,FALSE),"")</f>
        <v/>
      </c>
      <c r="AA25" s="1210" t="str">
        <f>IFERROR(VLOOKUP($B25,SEBusinessLiabilityTable[],AA$9,FALSE),"")</f>
        <v/>
      </c>
      <c r="AB25" s="1210" t="str">
        <f>IFERROR(VLOOKUP($B25,SEBusinessLiabilityTable[],AB$9,FALSE),"")</f>
        <v/>
      </c>
      <c r="AC25" s="1210" t="str">
        <f>IFERROR(VLOOKUP($B25,SEBusinessLiabilityTable[],AC$9,FALSE),"")</f>
        <v/>
      </c>
      <c r="AD25" s="1210" t="str">
        <f>IFERROR(VLOOKUP($B25,SEBusinessLiabilityTable[],AD$9,FALSE),"")</f>
        <v/>
      </c>
      <c r="AE25" s="1210" t="str">
        <f>IFERROR(VLOOKUP($B25,SEBusinessLiabilityTable[],AE$9,FALSE),"")</f>
        <v/>
      </c>
      <c r="AF25" s="1210" t="str">
        <f>IFERROR(VLOOKUP($B25,SEBusinessLiabilityTable[],AF$9,FALSE),"")</f>
        <v/>
      </c>
      <c r="AG25" s="1210" t="str">
        <f>IFERROR(VLOOKUP($B25,SEBusinessLiabilityTable[],AG$9,FALSE),"")</f>
        <v/>
      </c>
      <c r="AH25" s="1210" t="str">
        <f>IFERROR(VLOOKUP($B25,SEBusinessLiabilityTable[],AH$9,FALSE),"")</f>
        <v/>
      </c>
      <c r="AJ25" s="1210">
        <f t="shared" si="4"/>
        <v>0</v>
      </c>
      <c r="AK25" s="1210">
        <f t="shared" si="5"/>
        <v>0</v>
      </c>
      <c r="AL25" s="1209" t="b">
        <f>IF(B25="Portfolio loan - sub account",IF(NOT(ISBLANK(J25)),IF(COUNTIF($J$12:$J$61,J25)&gt;1,IF(COUNTIFS(J$12:J25,J25,B$12:B25,"Portfolio loan - sub account")=1,TRUE,FALSE),TRUE),FALSE),FALSE)</f>
        <v>0</v>
      </c>
      <c r="AM25" s="1210">
        <f t="shared" si="6"/>
        <v>0</v>
      </c>
      <c r="AN25" s="1210" cm="1">
        <f t="array" ref="AN25">_xlfn.AGGREGATE(14,4,($B$12:$B$61="Portfolio loan - sub account")*($J$12:$J$61=J25)*$F$12:$F$61,1)</f>
        <v>0</v>
      </c>
      <c r="AO25" s="1210">
        <f t="shared" si="7"/>
        <v>0</v>
      </c>
      <c r="AP25" s="1210" t="str">
        <f t="shared" si="10"/>
        <v/>
      </c>
      <c r="AQ25" s="1210" t="str">
        <f t="shared" si="2"/>
        <v/>
      </c>
      <c r="AR25" s="1210" t="str">
        <f>IFERROR(IF(Z25,VLOOKUP($B25,SEBusinessLiabilityTable[],AR$9,FALSE),""),"")</f>
        <v/>
      </c>
      <c r="AS25" s="1210" t="str">
        <f>IFERROR(IF(AA25,VLOOKUP($B25,SEBusinessLiabilityTable[],AS$9,FALSE),""),"")</f>
        <v/>
      </c>
    </row>
    <row r="26" spans="1:45" ht="18.75" hidden="1" customHeight="1" x14ac:dyDescent="0.25">
      <c r="A26" s="552">
        <v>15</v>
      </c>
      <c r="B26" s="1213"/>
      <c r="C26" s="1332"/>
      <c r="D26" s="1333"/>
      <c r="E26" s="1333"/>
      <c r="F26" s="1214"/>
      <c r="G26" s="1213"/>
      <c r="H26" s="1333"/>
      <c r="I26" s="1333"/>
      <c r="J26" s="1334"/>
      <c r="K26" s="1213"/>
      <c r="L26" s="1211" t="str">
        <f t="shared" si="0"/>
        <v/>
      </c>
      <c r="M26" s="1335" t="str">
        <f t="shared" si="8"/>
        <v/>
      </c>
      <c r="N26" s="1335" t="str">
        <f t="shared" si="11"/>
        <v/>
      </c>
      <c r="O26" s="1335" t="str">
        <f t="shared" si="9"/>
        <v/>
      </c>
      <c r="P26" s="25"/>
      <c r="Q26" s="25"/>
      <c r="R26" s="1215" t="b">
        <f t="shared" si="3"/>
        <v>0</v>
      </c>
      <c r="S26" s="1210" t="str">
        <f>IFERROR(VLOOKUP($B26,SEBusinessLiabilityTable[],S$9,FALSE),"")</f>
        <v/>
      </c>
      <c r="T26" s="1210" t="str">
        <f>IFERROR(VLOOKUP($B26,SEBusinessLiabilityTable[],T$9,FALSE),"")</f>
        <v/>
      </c>
      <c r="U26" s="1210" t="str">
        <f>IFERROR(VLOOKUP($B26,SEBusinessLiabilityTable[],U$9,FALSE),"")</f>
        <v/>
      </c>
      <c r="V26" s="1210" t="str">
        <f>IFERROR(VLOOKUP($B26,SEBusinessLiabilityTable[],V$9,FALSE),"")</f>
        <v/>
      </c>
      <c r="W26" s="1210" t="str">
        <f>IFERROR(VLOOKUP($B26,SEBusinessLiabilityTable[],W$9,FALSE),"")</f>
        <v/>
      </c>
      <c r="X26" s="1210" t="str">
        <f>IFERROR(VLOOKUP($B26,SEBusinessLiabilityTable[],X$9,FALSE),"")</f>
        <v/>
      </c>
      <c r="Y26" s="1210" t="str">
        <f>IFERROR(VLOOKUP($B26,SEBusinessLiabilityTable[],Y$9,FALSE),"")</f>
        <v/>
      </c>
      <c r="Z26" s="1210" t="str">
        <f>IFERROR(VLOOKUP($B26,SEBusinessLiabilityTable[],Z$9,FALSE),"")</f>
        <v/>
      </c>
      <c r="AA26" s="1210" t="str">
        <f>IFERROR(VLOOKUP($B26,SEBusinessLiabilityTable[],AA$9,FALSE),"")</f>
        <v/>
      </c>
      <c r="AB26" s="1210" t="str">
        <f>IFERROR(VLOOKUP($B26,SEBusinessLiabilityTable[],AB$9,FALSE),"")</f>
        <v/>
      </c>
      <c r="AC26" s="1210" t="str">
        <f>IFERROR(VLOOKUP($B26,SEBusinessLiabilityTable[],AC$9,FALSE),"")</f>
        <v/>
      </c>
      <c r="AD26" s="1210" t="str">
        <f>IFERROR(VLOOKUP($B26,SEBusinessLiabilityTable[],AD$9,FALSE),"")</f>
        <v/>
      </c>
      <c r="AE26" s="1210" t="str">
        <f>IFERROR(VLOOKUP($B26,SEBusinessLiabilityTable[],AE$9,FALSE),"")</f>
        <v/>
      </c>
      <c r="AF26" s="1210" t="str">
        <f>IFERROR(VLOOKUP($B26,SEBusinessLiabilityTable[],AF$9,FALSE),"")</f>
        <v/>
      </c>
      <c r="AG26" s="1210" t="str">
        <f>IFERROR(VLOOKUP($B26,SEBusinessLiabilityTable[],AG$9,FALSE),"")</f>
        <v/>
      </c>
      <c r="AH26" s="1210" t="str">
        <f>IFERROR(VLOOKUP($B26,SEBusinessLiabilityTable[],AH$9,FALSE),"")</f>
        <v/>
      </c>
      <c r="AJ26" s="1210">
        <f t="shared" si="4"/>
        <v>0</v>
      </c>
      <c r="AK26" s="1210">
        <f t="shared" si="5"/>
        <v>0</v>
      </c>
      <c r="AL26" s="1209" t="b">
        <f>IF(B26="Portfolio loan - sub account",IF(NOT(ISBLANK(J26)),IF(COUNTIF($J$12:$J$61,J26)&gt;1,IF(COUNTIFS(J$12:J26,J26,B$12:B26,"Portfolio loan - sub account")=1,TRUE,FALSE),TRUE),FALSE),FALSE)</f>
        <v>0</v>
      </c>
      <c r="AM26" s="1210">
        <f t="shared" si="6"/>
        <v>0</v>
      </c>
      <c r="AN26" s="1210" cm="1">
        <f t="array" ref="AN26">_xlfn.AGGREGATE(14,4,($B$12:$B$61="Portfolio loan - sub account")*($J$12:$J$61=J26)*$F$12:$F$61,1)</f>
        <v>0</v>
      </c>
      <c r="AO26" s="1210">
        <f t="shared" si="7"/>
        <v>0</v>
      </c>
      <c r="AP26" s="1210" t="str">
        <f t="shared" si="10"/>
        <v/>
      </c>
      <c r="AQ26" s="1210" t="str">
        <f t="shared" si="2"/>
        <v/>
      </c>
      <c r="AR26" s="1210" t="str">
        <f>IFERROR(IF(Z26,VLOOKUP($B26,SEBusinessLiabilityTable[],AR$9,FALSE),""),"")</f>
        <v/>
      </c>
      <c r="AS26" s="1210" t="str">
        <f>IFERROR(IF(AA26,VLOOKUP($B26,SEBusinessLiabilityTable[],AS$9,FALSE),""),"")</f>
        <v/>
      </c>
    </row>
    <row r="27" spans="1:45" ht="18.75" hidden="1" customHeight="1" x14ac:dyDescent="0.25">
      <c r="A27" s="552">
        <v>16</v>
      </c>
      <c r="B27" s="1213"/>
      <c r="C27" s="1332"/>
      <c r="D27" s="1333"/>
      <c r="E27" s="1333"/>
      <c r="F27" s="1214"/>
      <c r="G27" s="1213"/>
      <c r="H27" s="1333"/>
      <c r="I27" s="1333"/>
      <c r="J27" s="1334"/>
      <c r="K27" s="1213"/>
      <c r="L27" s="1211" t="str">
        <f t="shared" si="0"/>
        <v/>
      </c>
      <c r="M27" s="1335" t="str">
        <f t="shared" si="8"/>
        <v/>
      </c>
      <c r="N27" s="1335" t="str">
        <f t="shared" si="11"/>
        <v/>
      </c>
      <c r="O27" s="1335" t="str">
        <f t="shared" si="9"/>
        <v/>
      </c>
      <c r="P27" s="25"/>
      <c r="Q27" s="25"/>
      <c r="R27" s="1215" t="b">
        <f t="shared" si="3"/>
        <v>0</v>
      </c>
      <c r="S27" s="1210" t="str">
        <f>IFERROR(VLOOKUP($B27,SEBusinessLiabilityTable[],S$9,FALSE),"")</f>
        <v/>
      </c>
      <c r="T27" s="1210" t="str">
        <f>IFERROR(VLOOKUP($B27,SEBusinessLiabilityTable[],T$9,FALSE),"")</f>
        <v/>
      </c>
      <c r="U27" s="1210" t="str">
        <f>IFERROR(VLOOKUP($B27,SEBusinessLiabilityTable[],U$9,FALSE),"")</f>
        <v/>
      </c>
      <c r="V27" s="1210" t="str">
        <f>IFERROR(VLOOKUP($B27,SEBusinessLiabilityTable[],V$9,FALSE),"")</f>
        <v/>
      </c>
      <c r="W27" s="1210" t="str">
        <f>IFERROR(VLOOKUP($B27,SEBusinessLiabilityTable[],W$9,FALSE),"")</f>
        <v/>
      </c>
      <c r="X27" s="1210" t="str">
        <f>IFERROR(VLOOKUP($B27,SEBusinessLiabilityTable[],X$9,FALSE),"")</f>
        <v/>
      </c>
      <c r="Y27" s="1210" t="str">
        <f>IFERROR(VLOOKUP($B27,SEBusinessLiabilityTable[],Y$9,FALSE),"")</f>
        <v/>
      </c>
      <c r="Z27" s="1210" t="str">
        <f>IFERROR(VLOOKUP($B27,SEBusinessLiabilityTable[],Z$9,FALSE),"")</f>
        <v/>
      </c>
      <c r="AA27" s="1210" t="str">
        <f>IFERROR(VLOOKUP($B27,SEBusinessLiabilityTable[],AA$9,FALSE),"")</f>
        <v/>
      </c>
      <c r="AB27" s="1210" t="str">
        <f>IFERROR(VLOOKUP($B27,SEBusinessLiabilityTable[],AB$9,FALSE),"")</f>
        <v/>
      </c>
      <c r="AC27" s="1210" t="str">
        <f>IFERROR(VLOOKUP($B27,SEBusinessLiabilityTable[],AC$9,FALSE),"")</f>
        <v/>
      </c>
      <c r="AD27" s="1210" t="str">
        <f>IFERROR(VLOOKUP($B27,SEBusinessLiabilityTable[],AD$9,FALSE),"")</f>
        <v/>
      </c>
      <c r="AE27" s="1210" t="str">
        <f>IFERROR(VLOOKUP($B27,SEBusinessLiabilityTable[],AE$9,FALSE),"")</f>
        <v/>
      </c>
      <c r="AF27" s="1210" t="str">
        <f>IFERROR(VLOOKUP($B27,SEBusinessLiabilityTable[],AF$9,FALSE),"")</f>
        <v/>
      </c>
      <c r="AG27" s="1210" t="str">
        <f>IFERROR(VLOOKUP($B27,SEBusinessLiabilityTable[],AG$9,FALSE),"")</f>
        <v/>
      </c>
      <c r="AH27" s="1210" t="str">
        <f>IFERROR(VLOOKUP($B27,SEBusinessLiabilityTable[],AH$9,FALSE),"")</f>
        <v/>
      </c>
      <c r="AJ27" s="1210">
        <f t="shared" si="4"/>
        <v>0</v>
      </c>
      <c r="AK27" s="1210">
        <f t="shared" si="5"/>
        <v>0</v>
      </c>
      <c r="AL27" s="1209" t="b">
        <f>IF(B27="Portfolio loan - sub account",IF(NOT(ISBLANK(J27)),IF(COUNTIF($J$12:$J$61,J27)&gt;1,IF(COUNTIFS(J$12:J27,J27,B$12:B27,"Portfolio loan - sub account")=1,TRUE,FALSE),TRUE),FALSE),FALSE)</f>
        <v>0</v>
      </c>
      <c r="AM27" s="1210">
        <f t="shared" si="6"/>
        <v>0</v>
      </c>
      <c r="AN27" s="1210" cm="1">
        <f t="array" ref="AN27">_xlfn.AGGREGATE(14,4,($B$12:$B$61="Portfolio loan - sub account")*($J$12:$J$61=J27)*$F$12:$F$61,1)</f>
        <v>0</v>
      </c>
      <c r="AO27" s="1210">
        <f t="shared" si="7"/>
        <v>0</v>
      </c>
      <c r="AP27" s="1210" t="str">
        <f t="shared" si="10"/>
        <v/>
      </c>
      <c r="AQ27" s="1210" t="str">
        <f t="shared" si="2"/>
        <v/>
      </c>
      <c r="AR27" s="1210" t="str">
        <f>IFERROR(IF(Z27,VLOOKUP($B27,SEBusinessLiabilityTable[],AR$9,FALSE),""),"")</f>
        <v/>
      </c>
      <c r="AS27" s="1210" t="str">
        <f>IFERROR(IF(AA27,VLOOKUP($B27,SEBusinessLiabilityTable[],AS$9,FALSE),""),"")</f>
        <v/>
      </c>
    </row>
    <row r="28" spans="1:45" ht="18.75" hidden="1" customHeight="1" x14ac:dyDescent="0.25">
      <c r="A28" s="552">
        <v>17</v>
      </c>
      <c r="B28" s="1213"/>
      <c r="C28" s="1332"/>
      <c r="D28" s="1333"/>
      <c r="E28" s="1333"/>
      <c r="F28" s="1214"/>
      <c r="G28" s="1213"/>
      <c r="H28" s="1333"/>
      <c r="I28" s="1333"/>
      <c r="J28" s="1334"/>
      <c r="K28" s="1213"/>
      <c r="L28" s="1211" t="str">
        <f t="shared" si="0"/>
        <v/>
      </c>
      <c r="M28" s="1335" t="str">
        <f t="shared" si="8"/>
        <v/>
      </c>
      <c r="N28" s="1335" t="str">
        <f t="shared" si="11"/>
        <v/>
      </c>
      <c r="O28" s="1335" t="str">
        <f t="shared" si="9"/>
        <v/>
      </c>
      <c r="P28" s="25"/>
      <c r="Q28" s="25"/>
      <c r="R28" s="1215" t="b">
        <f t="shared" si="3"/>
        <v>0</v>
      </c>
      <c r="S28" s="1210" t="str">
        <f>IFERROR(VLOOKUP($B28,SEBusinessLiabilityTable[],S$9,FALSE),"")</f>
        <v/>
      </c>
      <c r="T28" s="1210" t="str">
        <f>IFERROR(VLOOKUP($B28,SEBusinessLiabilityTable[],T$9,FALSE),"")</f>
        <v/>
      </c>
      <c r="U28" s="1210" t="str">
        <f>IFERROR(VLOOKUP($B28,SEBusinessLiabilityTable[],U$9,FALSE),"")</f>
        <v/>
      </c>
      <c r="V28" s="1210" t="str">
        <f>IFERROR(VLOOKUP($B28,SEBusinessLiabilityTable[],V$9,FALSE),"")</f>
        <v/>
      </c>
      <c r="W28" s="1210" t="str">
        <f>IFERROR(VLOOKUP($B28,SEBusinessLiabilityTable[],W$9,FALSE),"")</f>
        <v/>
      </c>
      <c r="X28" s="1210" t="str">
        <f>IFERROR(VLOOKUP($B28,SEBusinessLiabilityTable[],X$9,FALSE),"")</f>
        <v/>
      </c>
      <c r="Y28" s="1210" t="str">
        <f>IFERROR(VLOOKUP($B28,SEBusinessLiabilityTable[],Y$9,FALSE),"")</f>
        <v/>
      </c>
      <c r="Z28" s="1210" t="str">
        <f>IFERROR(VLOOKUP($B28,SEBusinessLiabilityTable[],Z$9,FALSE),"")</f>
        <v/>
      </c>
      <c r="AA28" s="1210" t="str">
        <f>IFERROR(VLOOKUP($B28,SEBusinessLiabilityTable[],AA$9,FALSE),"")</f>
        <v/>
      </c>
      <c r="AB28" s="1210" t="str">
        <f>IFERROR(VLOOKUP($B28,SEBusinessLiabilityTable[],AB$9,FALSE),"")</f>
        <v/>
      </c>
      <c r="AC28" s="1210" t="str">
        <f>IFERROR(VLOOKUP($B28,SEBusinessLiabilityTable[],AC$9,FALSE),"")</f>
        <v/>
      </c>
      <c r="AD28" s="1210" t="str">
        <f>IFERROR(VLOOKUP($B28,SEBusinessLiabilityTable[],AD$9,FALSE),"")</f>
        <v/>
      </c>
      <c r="AE28" s="1210" t="str">
        <f>IFERROR(VLOOKUP($B28,SEBusinessLiabilityTable[],AE$9,FALSE),"")</f>
        <v/>
      </c>
      <c r="AF28" s="1210" t="str">
        <f>IFERROR(VLOOKUP($B28,SEBusinessLiabilityTable[],AF$9,FALSE),"")</f>
        <v/>
      </c>
      <c r="AG28" s="1210" t="str">
        <f>IFERROR(VLOOKUP($B28,SEBusinessLiabilityTable[],AG$9,FALSE),"")</f>
        <v/>
      </c>
      <c r="AH28" s="1210" t="str">
        <f>IFERROR(VLOOKUP($B28,SEBusinessLiabilityTable[],AH$9,FALSE),"")</f>
        <v/>
      </c>
      <c r="AJ28" s="1210">
        <f t="shared" si="4"/>
        <v>0</v>
      </c>
      <c r="AK28" s="1210">
        <f t="shared" si="5"/>
        <v>0</v>
      </c>
      <c r="AL28" s="1209" t="b">
        <f>IF(B28="Portfolio loan - sub account",IF(NOT(ISBLANK(J28)),IF(COUNTIF($J$12:$J$61,J28)&gt;1,IF(COUNTIFS(J$12:J28,J28,B$12:B28,"Portfolio loan - sub account")=1,TRUE,FALSE),TRUE),FALSE),FALSE)</f>
        <v>0</v>
      </c>
      <c r="AM28" s="1210">
        <f t="shared" si="6"/>
        <v>0</v>
      </c>
      <c r="AN28" s="1210" cm="1">
        <f t="array" ref="AN28">_xlfn.AGGREGATE(14,4,($B$12:$B$61="Portfolio loan - sub account")*($J$12:$J$61=J28)*$F$12:$F$61,1)</f>
        <v>0</v>
      </c>
      <c r="AO28" s="1210">
        <f t="shared" si="7"/>
        <v>0</v>
      </c>
      <c r="AP28" s="1210" t="str">
        <f t="shared" si="10"/>
        <v/>
      </c>
      <c r="AQ28" s="1210" t="str">
        <f t="shared" si="2"/>
        <v/>
      </c>
      <c r="AR28" s="1210" t="str">
        <f>IFERROR(IF(Z28,VLOOKUP($B28,SEBusinessLiabilityTable[],AR$9,FALSE),""),"")</f>
        <v/>
      </c>
      <c r="AS28" s="1210" t="str">
        <f>IFERROR(IF(AA28,VLOOKUP($B28,SEBusinessLiabilityTable[],AS$9,FALSE),""),"")</f>
        <v/>
      </c>
    </row>
    <row r="29" spans="1:45" ht="18.75" hidden="1" customHeight="1" x14ac:dyDescent="0.25">
      <c r="A29" s="552">
        <v>18</v>
      </c>
      <c r="B29" s="1213"/>
      <c r="C29" s="1332"/>
      <c r="D29" s="1333"/>
      <c r="E29" s="1333"/>
      <c r="F29" s="1214"/>
      <c r="G29" s="1213"/>
      <c r="H29" s="1333"/>
      <c r="I29" s="1333"/>
      <c r="J29" s="1334"/>
      <c r="K29" s="1213"/>
      <c r="L29" s="1211" t="str">
        <f t="shared" si="0"/>
        <v/>
      </c>
      <c r="M29" s="1335" t="str">
        <f t="shared" si="8"/>
        <v/>
      </c>
      <c r="N29" s="1335" t="str">
        <f t="shared" si="11"/>
        <v/>
      </c>
      <c r="O29" s="1335" t="str">
        <f t="shared" si="9"/>
        <v/>
      </c>
      <c r="P29" s="25"/>
      <c r="Q29" s="25"/>
      <c r="R29" s="1215" t="b">
        <f t="shared" si="3"/>
        <v>0</v>
      </c>
      <c r="S29" s="1210" t="str">
        <f>IFERROR(VLOOKUP($B29,SEBusinessLiabilityTable[],S$9,FALSE),"")</f>
        <v/>
      </c>
      <c r="T29" s="1210" t="str">
        <f>IFERROR(VLOOKUP($B29,SEBusinessLiabilityTable[],T$9,FALSE),"")</f>
        <v/>
      </c>
      <c r="U29" s="1210" t="str">
        <f>IFERROR(VLOOKUP($B29,SEBusinessLiabilityTable[],U$9,FALSE),"")</f>
        <v/>
      </c>
      <c r="V29" s="1210" t="str">
        <f>IFERROR(VLOOKUP($B29,SEBusinessLiabilityTable[],V$9,FALSE),"")</f>
        <v/>
      </c>
      <c r="W29" s="1210" t="str">
        <f>IFERROR(VLOOKUP($B29,SEBusinessLiabilityTable[],W$9,FALSE),"")</f>
        <v/>
      </c>
      <c r="X29" s="1210" t="str">
        <f>IFERROR(VLOOKUP($B29,SEBusinessLiabilityTable[],X$9,FALSE),"")</f>
        <v/>
      </c>
      <c r="Y29" s="1210" t="str">
        <f>IFERROR(VLOOKUP($B29,SEBusinessLiabilityTable[],Y$9,FALSE),"")</f>
        <v/>
      </c>
      <c r="Z29" s="1210" t="str">
        <f>IFERROR(VLOOKUP($B29,SEBusinessLiabilityTable[],Z$9,FALSE),"")</f>
        <v/>
      </c>
      <c r="AA29" s="1210" t="str">
        <f>IFERROR(VLOOKUP($B29,SEBusinessLiabilityTable[],AA$9,FALSE),"")</f>
        <v/>
      </c>
      <c r="AB29" s="1210" t="str">
        <f>IFERROR(VLOOKUP($B29,SEBusinessLiabilityTable[],AB$9,FALSE),"")</f>
        <v/>
      </c>
      <c r="AC29" s="1210" t="str">
        <f>IFERROR(VLOOKUP($B29,SEBusinessLiabilityTable[],AC$9,FALSE),"")</f>
        <v/>
      </c>
      <c r="AD29" s="1210" t="str">
        <f>IFERROR(VLOOKUP($B29,SEBusinessLiabilityTable[],AD$9,FALSE),"")</f>
        <v/>
      </c>
      <c r="AE29" s="1210" t="str">
        <f>IFERROR(VLOOKUP($B29,SEBusinessLiabilityTable[],AE$9,FALSE),"")</f>
        <v/>
      </c>
      <c r="AF29" s="1210" t="str">
        <f>IFERROR(VLOOKUP($B29,SEBusinessLiabilityTable[],AF$9,FALSE),"")</f>
        <v/>
      </c>
      <c r="AG29" s="1210" t="str">
        <f>IFERROR(VLOOKUP($B29,SEBusinessLiabilityTable[],AG$9,FALSE),"")</f>
        <v/>
      </c>
      <c r="AH29" s="1210" t="str">
        <f>IFERROR(VLOOKUP($B29,SEBusinessLiabilityTable[],AH$9,FALSE),"")</f>
        <v/>
      </c>
      <c r="AJ29" s="1210">
        <f t="shared" si="4"/>
        <v>0</v>
      </c>
      <c r="AK29" s="1210">
        <f t="shared" si="5"/>
        <v>0</v>
      </c>
      <c r="AL29" s="1209" t="b">
        <f>IF(B29="Portfolio loan - sub account",IF(NOT(ISBLANK(J29)),IF(COUNTIF($J$12:$J$61,J29)&gt;1,IF(COUNTIFS(J$12:J29,J29,B$12:B29,"Portfolio loan - sub account")=1,TRUE,FALSE),TRUE),FALSE),FALSE)</f>
        <v>0</v>
      </c>
      <c r="AM29" s="1210">
        <f t="shared" si="6"/>
        <v>0</v>
      </c>
      <c r="AN29" s="1210" cm="1">
        <f t="array" ref="AN29">_xlfn.AGGREGATE(14,4,($B$12:$B$61="Portfolio loan - sub account")*($J$12:$J$61=J29)*$F$12:$F$61,1)</f>
        <v>0</v>
      </c>
      <c r="AO29" s="1210">
        <f t="shared" si="7"/>
        <v>0</v>
      </c>
      <c r="AP29" s="1210" t="str">
        <f t="shared" si="10"/>
        <v/>
      </c>
      <c r="AQ29" s="1210" t="str">
        <f t="shared" si="2"/>
        <v/>
      </c>
      <c r="AR29" s="1210" t="str">
        <f>IFERROR(IF(Z29,VLOOKUP($B29,SEBusinessLiabilityTable[],AR$9,FALSE),""),"")</f>
        <v/>
      </c>
      <c r="AS29" s="1210" t="str">
        <f>IFERROR(IF(AA29,VLOOKUP($B29,SEBusinessLiabilityTable[],AS$9,FALSE),""),"")</f>
        <v/>
      </c>
    </row>
    <row r="30" spans="1:45" ht="18.75" hidden="1" customHeight="1" x14ac:dyDescent="0.25">
      <c r="A30" s="552">
        <v>19</v>
      </c>
      <c r="B30" s="1213"/>
      <c r="C30" s="1332"/>
      <c r="D30" s="1333"/>
      <c r="E30" s="1333"/>
      <c r="F30" s="1214"/>
      <c r="G30" s="1213"/>
      <c r="H30" s="1333"/>
      <c r="I30" s="1333"/>
      <c r="J30" s="1334"/>
      <c r="K30" s="1213"/>
      <c r="L30" s="1211" t="str">
        <f t="shared" si="0"/>
        <v/>
      </c>
      <c r="M30" s="1335" t="str">
        <f t="shared" si="8"/>
        <v/>
      </c>
      <c r="N30" s="1335" t="str">
        <f t="shared" si="11"/>
        <v/>
      </c>
      <c r="O30" s="1335" t="str">
        <f t="shared" si="9"/>
        <v/>
      </c>
      <c r="P30" s="25"/>
      <c r="Q30" s="25"/>
      <c r="R30" s="1215" t="b">
        <f t="shared" si="3"/>
        <v>0</v>
      </c>
      <c r="S30" s="1210" t="str">
        <f>IFERROR(VLOOKUP($B30,SEBusinessLiabilityTable[],S$9,FALSE),"")</f>
        <v/>
      </c>
      <c r="T30" s="1210" t="str">
        <f>IFERROR(VLOOKUP($B30,SEBusinessLiabilityTable[],T$9,FALSE),"")</f>
        <v/>
      </c>
      <c r="U30" s="1210" t="str">
        <f>IFERROR(VLOOKUP($B30,SEBusinessLiabilityTable[],U$9,FALSE),"")</f>
        <v/>
      </c>
      <c r="V30" s="1210" t="str">
        <f>IFERROR(VLOOKUP($B30,SEBusinessLiabilityTable[],V$9,FALSE),"")</f>
        <v/>
      </c>
      <c r="W30" s="1210" t="str">
        <f>IFERROR(VLOOKUP($B30,SEBusinessLiabilityTable[],W$9,FALSE),"")</f>
        <v/>
      </c>
      <c r="X30" s="1210" t="str">
        <f>IFERROR(VLOOKUP($B30,SEBusinessLiabilityTable[],X$9,FALSE),"")</f>
        <v/>
      </c>
      <c r="Y30" s="1210" t="str">
        <f>IFERROR(VLOOKUP($B30,SEBusinessLiabilityTable[],Y$9,FALSE),"")</f>
        <v/>
      </c>
      <c r="Z30" s="1210" t="str">
        <f>IFERROR(VLOOKUP($B30,SEBusinessLiabilityTable[],Z$9,FALSE),"")</f>
        <v/>
      </c>
      <c r="AA30" s="1210" t="str">
        <f>IFERROR(VLOOKUP($B30,SEBusinessLiabilityTable[],AA$9,FALSE),"")</f>
        <v/>
      </c>
      <c r="AB30" s="1210" t="str">
        <f>IFERROR(VLOOKUP($B30,SEBusinessLiabilityTable[],AB$9,FALSE),"")</f>
        <v/>
      </c>
      <c r="AC30" s="1210" t="str">
        <f>IFERROR(VLOOKUP($B30,SEBusinessLiabilityTable[],AC$9,FALSE),"")</f>
        <v/>
      </c>
      <c r="AD30" s="1210" t="str">
        <f>IFERROR(VLOOKUP($B30,SEBusinessLiabilityTable[],AD$9,FALSE),"")</f>
        <v/>
      </c>
      <c r="AE30" s="1210" t="str">
        <f>IFERROR(VLOOKUP($B30,SEBusinessLiabilityTable[],AE$9,FALSE),"")</f>
        <v/>
      </c>
      <c r="AF30" s="1210" t="str">
        <f>IFERROR(VLOOKUP($B30,SEBusinessLiabilityTable[],AF$9,FALSE),"")</f>
        <v/>
      </c>
      <c r="AG30" s="1210" t="str">
        <f>IFERROR(VLOOKUP($B30,SEBusinessLiabilityTable[],AG$9,FALSE),"")</f>
        <v/>
      </c>
      <c r="AH30" s="1210" t="str">
        <f>IFERROR(VLOOKUP($B30,SEBusinessLiabilityTable[],AH$9,FALSE),"")</f>
        <v/>
      </c>
      <c r="AJ30" s="1210">
        <f t="shared" si="4"/>
        <v>0</v>
      </c>
      <c r="AK30" s="1210">
        <f t="shared" si="5"/>
        <v>0</v>
      </c>
      <c r="AL30" s="1209" t="b">
        <f>IF(B30="Portfolio loan - sub account",IF(NOT(ISBLANK(J30)),IF(COUNTIF($J$12:$J$61,J30)&gt;1,IF(COUNTIFS(J$12:J30,J30,B$12:B30,"Portfolio loan - sub account")=1,TRUE,FALSE),TRUE),FALSE),FALSE)</f>
        <v>0</v>
      </c>
      <c r="AM30" s="1210">
        <f t="shared" si="6"/>
        <v>0</v>
      </c>
      <c r="AN30" s="1210" cm="1">
        <f t="array" ref="AN30">_xlfn.AGGREGATE(14,4,($B$12:$B$61="Portfolio loan - sub account")*($J$12:$J$61=J30)*$F$12:$F$61,1)</f>
        <v>0</v>
      </c>
      <c r="AO30" s="1210">
        <f t="shared" si="7"/>
        <v>0</v>
      </c>
      <c r="AP30" s="1210" t="str">
        <f t="shared" si="10"/>
        <v/>
      </c>
      <c r="AQ30" s="1210" t="str">
        <f t="shared" si="2"/>
        <v/>
      </c>
      <c r="AR30" s="1210" t="str">
        <f>IFERROR(IF(Z30,VLOOKUP($B30,SEBusinessLiabilityTable[],AR$9,FALSE),""),"")</f>
        <v/>
      </c>
      <c r="AS30" s="1210" t="str">
        <f>IFERROR(IF(AA30,VLOOKUP($B30,SEBusinessLiabilityTable[],AS$9,FALSE),""),"")</f>
        <v/>
      </c>
    </row>
    <row r="31" spans="1:45" ht="18.75" hidden="1" customHeight="1" x14ac:dyDescent="0.25">
      <c r="A31" s="552">
        <v>20</v>
      </c>
      <c r="B31" s="1213"/>
      <c r="C31" s="1332"/>
      <c r="D31" s="1333"/>
      <c r="E31" s="1333"/>
      <c r="F31" s="1214"/>
      <c r="G31" s="1213"/>
      <c r="H31" s="1333"/>
      <c r="I31" s="1333"/>
      <c r="J31" s="1334"/>
      <c r="K31" s="1213"/>
      <c r="L31" s="1211" t="str">
        <f t="shared" si="0"/>
        <v/>
      </c>
      <c r="M31" s="1335" t="str">
        <f t="shared" si="8"/>
        <v/>
      </c>
      <c r="N31" s="1335" t="str">
        <f t="shared" si="11"/>
        <v/>
      </c>
      <c r="O31" s="1335" t="str">
        <f t="shared" si="9"/>
        <v/>
      </c>
      <c r="P31" s="25"/>
      <c r="Q31" s="25"/>
      <c r="R31" s="1215" t="b">
        <f t="shared" si="3"/>
        <v>0</v>
      </c>
      <c r="S31" s="1210" t="str">
        <f>IFERROR(VLOOKUP($B31,SEBusinessLiabilityTable[],S$9,FALSE),"")</f>
        <v/>
      </c>
      <c r="T31" s="1210" t="str">
        <f>IFERROR(VLOOKUP($B31,SEBusinessLiabilityTable[],T$9,FALSE),"")</f>
        <v/>
      </c>
      <c r="U31" s="1210" t="str">
        <f>IFERROR(VLOOKUP($B31,SEBusinessLiabilityTable[],U$9,FALSE),"")</f>
        <v/>
      </c>
      <c r="V31" s="1210" t="str">
        <f>IFERROR(VLOOKUP($B31,SEBusinessLiabilityTable[],V$9,FALSE),"")</f>
        <v/>
      </c>
      <c r="W31" s="1210" t="str">
        <f>IFERROR(VLOOKUP($B31,SEBusinessLiabilityTable[],W$9,FALSE),"")</f>
        <v/>
      </c>
      <c r="X31" s="1210" t="str">
        <f>IFERROR(VLOOKUP($B31,SEBusinessLiabilityTable[],X$9,FALSE),"")</f>
        <v/>
      </c>
      <c r="Y31" s="1210" t="str">
        <f>IFERROR(VLOOKUP($B31,SEBusinessLiabilityTable[],Y$9,FALSE),"")</f>
        <v/>
      </c>
      <c r="Z31" s="1210" t="str">
        <f>IFERROR(VLOOKUP($B31,SEBusinessLiabilityTable[],Z$9,FALSE),"")</f>
        <v/>
      </c>
      <c r="AA31" s="1210" t="str">
        <f>IFERROR(VLOOKUP($B31,SEBusinessLiabilityTable[],AA$9,FALSE),"")</f>
        <v/>
      </c>
      <c r="AB31" s="1210" t="str">
        <f>IFERROR(VLOOKUP($B31,SEBusinessLiabilityTable[],AB$9,FALSE),"")</f>
        <v/>
      </c>
      <c r="AC31" s="1210" t="str">
        <f>IFERROR(VLOOKUP($B31,SEBusinessLiabilityTable[],AC$9,FALSE),"")</f>
        <v/>
      </c>
      <c r="AD31" s="1210" t="str">
        <f>IFERROR(VLOOKUP($B31,SEBusinessLiabilityTable[],AD$9,FALSE),"")</f>
        <v/>
      </c>
      <c r="AE31" s="1210" t="str">
        <f>IFERROR(VLOOKUP($B31,SEBusinessLiabilityTable[],AE$9,FALSE),"")</f>
        <v/>
      </c>
      <c r="AF31" s="1210" t="str">
        <f>IFERROR(VLOOKUP($B31,SEBusinessLiabilityTable[],AF$9,FALSE),"")</f>
        <v/>
      </c>
      <c r="AG31" s="1210" t="str">
        <f>IFERROR(VLOOKUP($B31,SEBusinessLiabilityTable[],AG$9,FALSE),"")</f>
        <v/>
      </c>
      <c r="AH31" s="1210" t="str">
        <f>IFERROR(VLOOKUP($B31,SEBusinessLiabilityTable[],AH$9,FALSE),"")</f>
        <v/>
      </c>
      <c r="AJ31" s="1210">
        <f t="shared" si="4"/>
        <v>0</v>
      </c>
      <c r="AK31" s="1210">
        <f t="shared" si="5"/>
        <v>0</v>
      </c>
      <c r="AL31" s="1209" t="b">
        <f>IF(B31="Portfolio loan - sub account",IF(NOT(ISBLANK(J31)),IF(COUNTIF($J$12:$J$61,J31)&gt;1,IF(COUNTIFS(J$12:J31,J31,B$12:B31,"Portfolio loan - sub account")=1,TRUE,FALSE),TRUE),FALSE),FALSE)</f>
        <v>0</v>
      </c>
      <c r="AM31" s="1210">
        <f t="shared" si="6"/>
        <v>0</v>
      </c>
      <c r="AN31" s="1210" cm="1">
        <f t="array" ref="AN31">_xlfn.AGGREGATE(14,4,($B$12:$B$61="Portfolio loan - sub account")*($J$12:$J$61=J31)*$F$12:$F$61,1)</f>
        <v>0</v>
      </c>
      <c r="AO31" s="1210">
        <f t="shared" si="7"/>
        <v>0</v>
      </c>
      <c r="AP31" s="1210" t="str">
        <f t="shared" si="10"/>
        <v/>
      </c>
      <c r="AQ31" s="1210" t="str">
        <f t="shared" si="2"/>
        <v/>
      </c>
      <c r="AR31" s="1210" t="str">
        <f>IFERROR(IF(Z31,VLOOKUP($B31,SEBusinessLiabilityTable[],AR$9,FALSE),""),"")</f>
        <v/>
      </c>
      <c r="AS31" s="1210" t="str">
        <f>IFERROR(IF(AA31,VLOOKUP($B31,SEBusinessLiabilityTable[],AS$9,FALSE),""),"")</f>
        <v/>
      </c>
    </row>
    <row r="32" spans="1:45" ht="18.75" hidden="1" customHeight="1" x14ac:dyDescent="0.25">
      <c r="A32" s="552">
        <v>21</v>
      </c>
      <c r="B32" s="1213"/>
      <c r="C32" s="1332"/>
      <c r="D32" s="1333"/>
      <c r="E32" s="1333"/>
      <c r="F32" s="1214"/>
      <c r="G32" s="1213"/>
      <c r="H32" s="1333"/>
      <c r="I32" s="1333"/>
      <c r="J32" s="1334"/>
      <c r="K32" s="1213"/>
      <c r="L32" s="1211" t="str">
        <f t="shared" si="0"/>
        <v/>
      </c>
      <c r="M32" s="1335" t="str">
        <f t="shared" si="8"/>
        <v/>
      </c>
      <c r="N32" s="1335" t="str">
        <f t="shared" si="11"/>
        <v/>
      </c>
      <c r="O32" s="1335" t="str">
        <f t="shared" si="9"/>
        <v/>
      </c>
      <c r="P32" s="25"/>
      <c r="Q32" s="25"/>
      <c r="R32" s="1215" t="b">
        <f t="shared" si="3"/>
        <v>0</v>
      </c>
      <c r="S32" s="1210" t="str">
        <f>IFERROR(VLOOKUP($B32,SEBusinessLiabilityTable[],S$9,FALSE),"")</f>
        <v/>
      </c>
      <c r="T32" s="1210" t="str">
        <f>IFERROR(VLOOKUP($B32,SEBusinessLiabilityTable[],T$9,FALSE),"")</f>
        <v/>
      </c>
      <c r="U32" s="1210" t="str">
        <f>IFERROR(VLOOKUP($B32,SEBusinessLiabilityTable[],U$9,FALSE),"")</f>
        <v/>
      </c>
      <c r="V32" s="1210" t="str">
        <f>IFERROR(VLOOKUP($B32,SEBusinessLiabilityTable[],V$9,FALSE),"")</f>
        <v/>
      </c>
      <c r="W32" s="1210" t="str">
        <f>IFERROR(VLOOKUP($B32,SEBusinessLiabilityTable[],W$9,FALSE),"")</f>
        <v/>
      </c>
      <c r="X32" s="1210" t="str">
        <f>IFERROR(VLOOKUP($B32,SEBusinessLiabilityTable[],X$9,FALSE),"")</f>
        <v/>
      </c>
      <c r="Y32" s="1210" t="str">
        <f>IFERROR(VLOOKUP($B32,SEBusinessLiabilityTable[],Y$9,FALSE),"")</f>
        <v/>
      </c>
      <c r="Z32" s="1210" t="str">
        <f>IFERROR(VLOOKUP($B32,SEBusinessLiabilityTable[],Z$9,FALSE),"")</f>
        <v/>
      </c>
      <c r="AA32" s="1210" t="str">
        <f>IFERROR(VLOOKUP($B32,SEBusinessLiabilityTable[],AA$9,FALSE),"")</f>
        <v/>
      </c>
      <c r="AB32" s="1210" t="str">
        <f>IFERROR(VLOOKUP($B32,SEBusinessLiabilityTable[],AB$9,FALSE),"")</f>
        <v/>
      </c>
      <c r="AC32" s="1210" t="str">
        <f>IFERROR(VLOOKUP($B32,SEBusinessLiabilityTable[],AC$9,FALSE),"")</f>
        <v/>
      </c>
      <c r="AD32" s="1210" t="str">
        <f>IFERROR(VLOOKUP($B32,SEBusinessLiabilityTable[],AD$9,FALSE),"")</f>
        <v/>
      </c>
      <c r="AE32" s="1210" t="str">
        <f>IFERROR(VLOOKUP($B32,SEBusinessLiabilityTable[],AE$9,FALSE),"")</f>
        <v/>
      </c>
      <c r="AF32" s="1210" t="str">
        <f>IFERROR(VLOOKUP($B32,SEBusinessLiabilityTable[],AF$9,FALSE),"")</f>
        <v/>
      </c>
      <c r="AG32" s="1210" t="str">
        <f>IFERROR(VLOOKUP($B32,SEBusinessLiabilityTable[],AG$9,FALSE),"")</f>
        <v/>
      </c>
      <c r="AH32" s="1210" t="str">
        <f>IFERROR(VLOOKUP($B32,SEBusinessLiabilityTable[],AH$9,FALSE),"")</f>
        <v/>
      </c>
      <c r="AJ32" s="1210">
        <f t="shared" si="4"/>
        <v>0</v>
      </c>
      <c r="AK32" s="1210">
        <f t="shared" si="5"/>
        <v>0</v>
      </c>
      <c r="AL32" s="1209" t="b">
        <f>IF(B32="Portfolio loan - sub account",IF(NOT(ISBLANK(J32)),IF(COUNTIF($J$12:$J$61,J32)&gt;1,IF(COUNTIFS(J$12:J32,J32,B$12:B32,"Portfolio loan - sub account")=1,TRUE,FALSE),TRUE),FALSE),FALSE)</f>
        <v>0</v>
      </c>
      <c r="AM32" s="1210">
        <f t="shared" si="6"/>
        <v>0</v>
      </c>
      <c r="AN32" s="1210" cm="1">
        <f t="array" ref="AN32">_xlfn.AGGREGATE(14,4,($B$12:$B$61="Portfolio loan - sub account")*($J$12:$J$61=J32)*$F$12:$F$61,1)</f>
        <v>0</v>
      </c>
      <c r="AO32" s="1210">
        <f t="shared" si="7"/>
        <v>0</v>
      </c>
      <c r="AP32" s="1210" t="str">
        <f t="shared" si="10"/>
        <v/>
      </c>
      <c r="AQ32" s="1210" t="str">
        <f t="shared" si="2"/>
        <v/>
      </c>
      <c r="AR32" s="1210" t="str">
        <f>IFERROR(IF(Z32,VLOOKUP($B32,SEBusinessLiabilityTable[],AR$9,FALSE),""),"")</f>
        <v/>
      </c>
      <c r="AS32" s="1210" t="str">
        <f>IFERROR(IF(AA32,VLOOKUP($B32,SEBusinessLiabilityTable[],AS$9,FALSE),""),"")</f>
        <v/>
      </c>
    </row>
    <row r="33" spans="1:45" ht="18.75" hidden="1" customHeight="1" x14ac:dyDescent="0.25">
      <c r="A33" s="552">
        <v>22</v>
      </c>
      <c r="B33" s="1213"/>
      <c r="C33" s="1332"/>
      <c r="D33" s="1333"/>
      <c r="E33" s="1333"/>
      <c r="F33" s="1214"/>
      <c r="G33" s="1213"/>
      <c r="H33" s="1333"/>
      <c r="I33" s="1333"/>
      <c r="J33" s="1334"/>
      <c r="K33" s="1213"/>
      <c r="L33" s="1211" t="str">
        <f t="shared" si="0"/>
        <v/>
      </c>
      <c r="M33" s="1335" t="str">
        <f t="shared" si="8"/>
        <v/>
      </c>
      <c r="N33" s="1335" t="str">
        <f t="shared" si="11"/>
        <v/>
      </c>
      <c r="O33" s="1335" t="str">
        <f t="shared" si="9"/>
        <v/>
      </c>
      <c r="P33" s="25"/>
      <c r="Q33" s="25"/>
      <c r="R33" s="1215" t="b">
        <f t="shared" si="3"/>
        <v>0</v>
      </c>
      <c r="S33" s="1210" t="str">
        <f>IFERROR(VLOOKUP($B33,SEBusinessLiabilityTable[],S$9,FALSE),"")</f>
        <v/>
      </c>
      <c r="T33" s="1210" t="str">
        <f>IFERROR(VLOOKUP($B33,SEBusinessLiabilityTable[],T$9,FALSE),"")</f>
        <v/>
      </c>
      <c r="U33" s="1210" t="str">
        <f>IFERROR(VLOOKUP($B33,SEBusinessLiabilityTable[],U$9,FALSE),"")</f>
        <v/>
      </c>
      <c r="V33" s="1210" t="str">
        <f>IFERROR(VLOOKUP($B33,SEBusinessLiabilityTable[],V$9,FALSE),"")</f>
        <v/>
      </c>
      <c r="W33" s="1210" t="str">
        <f>IFERROR(VLOOKUP($B33,SEBusinessLiabilityTable[],W$9,FALSE),"")</f>
        <v/>
      </c>
      <c r="X33" s="1210" t="str">
        <f>IFERROR(VLOOKUP($B33,SEBusinessLiabilityTable[],X$9,FALSE),"")</f>
        <v/>
      </c>
      <c r="Y33" s="1210" t="str">
        <f>IFERROR(VLOOKUP($B33,SEBusinessLiabilityTable[],Y$9,FALSE),"")</f>
        <v/>
      </c>
      <c r="Z33" s="1210" t="str">
        <f>IFERROR(VLOOKUP($B33,SEBusinessLiabilityTable[],Z$9,FALSE),"")</f>
        <v/>
      </c>
      <c r="AA33" s="1210" t="str">
        <f>IFERROR(VLOOKUP($B33,SEBusinessLiabilityTable[],AA$9,FALSE),"")</f>
        <v/>
      </c>
      <c r="AB33" s="1210" t="str">
        <f>IFERROR(VLOOKUP($B33,SEBusinessLiabilityTable[],AB$9,FALSE),"")</f>
        <v/>
      </c>
      <c r="AC33" s="1210" t="str">
        <f>IFERROR(VLOOKUP($B33,SEBusinessLiabilityTable[],AC$9,FALSE),"")</f>
        <v/>
      </c>
      <c r="AD33" s="1210" t="str">
        <f>IFERROR(VLOOKUP($B33,SEBusinessLiabilityTable[],AD$9,FALSE),"")</f>
        <v/>
      </c>
      <c r="AE33" s="1210" t="str">
        <f>IFERROR(VLOOKUP($B33,SEBusinessLiabilityTable[],AE$9,FALSE),"")</f>
        <v/>
      </c>
      <c r="AF33" s="1210" t="str">
        <f>IFERROR(VLOOKUP($B33,SEBusinessLiabilityTable[],AF$9,FALSE),"")</f>
        <v/>
      </c>
      <c r="AG33" s="1210" t="str">
        <f>IFERROR(VLOOKUP($B33,SEBusinessLiabilityTable[],AG$9,FALSE),"")</f>
        <v/>
      </c>
      <c r="AH33" s="1210" t="str">
        <f>IFERROR(VLOOKUP($B33,SEBusinessLiabilityTable[],AH$9,FALSE),"")</f>
        <v/>
      </c>
      <c r="AJ33" s="1210">
        <f t="shared" si="4"/>
        <v>0</v>
      </c>
      <c r="AK33" s="1210">
        <f t="shared" si="5"/>
        <v>0</v>
      </c>
      <c r="AL33" s="1209" t="b">
        <f>IF(B33="Portfolio loan - sub account",IF(NOT(ISBLANK(J33)),IF(COUNTIF($J$12:$J$61,J33)&gt;1,IF(COUNTIFS(J$12:J33,J33,B$12:B33,"Portfolio loan - sub account")=1,TRUE,FALSE),TRUE),FALSE),FALSE)</f>
        <v>0</v>
      </c>
      <c r="AM33" s="1210">
        <f t="shared" si="6"/>
        <v>0</v>
      </c>
      <c r="AN33" s="1210" cm="1">
        <f t="array" ref="AN33">_xlfn.AGGREGATE(14,4,($B$12:$B$61="Portfolio loan - sub account")*($J$12:$J$61=J33)*$F$12:$F$61,1)</f>
        <v>0</v>
      </c>
      <c r="AO33" s="1210">
        <f t="shared" si="7"/>
        <v>0</v>
      </c>
      <c r="AP33" s="1210" t="str">
        <f t="shared" si="10"/>
        <v/>
      </c>
      <c r="AQ33" s="1210" t="str">
        <f t="shared" si="2"/>
        <v/>
      </c>
      <c r="AR33" s="1210" t="str">
        <f>IFERROR(IF(Z33,VLOOKUP($B33,SEBusinessLiabilityTable[],AR$9,FALSE),""),"")</f>
        <v/>
      </c>
      <c r="AS33" s="1210" t="str">
        <f>IFERROR(IF(AA33,VLOOKUP($B33,SEBusinessLiabilityTable[],AS$9,FALSE),""),"")</f>
        <v/>
      </c>
    </row>
    <row r="34" spans="1:45" ht="18.75" hidden="1" customHeight="1" x14ac:dyDescent="0.25">
      <c r="A34" s="552">
        <v>23</v>
      </c>
      <c r="B34" s="1213"/>
      <c r="C34" s="1332"/>
      <c r="D34" s="1333"/>
      <c r="E34" s="1333"/>
      <c r="F34" s="1214"/>
      <c r="G34" s="1213"/>
      <c r="H34" s="1333"/>
      <c r="I34" s="1333"/>
      <c r="J34" s="1334"/>
      <c r="K34" s="1213"/>
      <c r="L34" s="1211" t="str">
        <f t="shared" si="0"/>
        <v/>
      </c>
      <c r="M34" s="1335" t="str">
        <f t="shared" si="8"/>
        <v/>
      </c>
      <c r="N34" s="1335" t="str">
        <f t="shared" si="11"/>
        <v/>
      </c>
      <c r="O34" s="1335" t="str">
        <f t="shared" si="9"/>
        <v/>
      </c>
      <c r="P34" s="25"/>
      <c r="Q34" s="25"/>
      <c r="R34" s="1215" t="b">
        <f t="shared" si="3"/>
        <v>0</v>
      </c>
      <c r="S34" s="1210" t="str">
        <f>IFERROR(VLOOKUP($B34,SEBusinessLiabilityTable[],S$9,FALSE),"")</f>
        <v/>
      </c>
      <c r="T34" s="1210" t="str">
        <f>IFERROR(VLOOKUP($B34,SEBusinessLiabilityTable[],T$9,FALSE),"")</f>
        <v/>
      </c>
      <c r="U34" s="1210" t="str">
        <f>IFERROR(VLOOKUP($B34,SEBusinessLiabilityTable[],U$9,FALSE),"")</f>
        <v/>
      </c>
      <c r="V34" s="1210" t="str">
        <f>IFERROR(VLOOKUP($B34,SEBusinessLiabilityTable[],V$9,FALSE),"")</f>
        <v/>
      </c>
      <c r="W34" s="1210" t="str">
        <f>IFERROR(VLOOKUP($B34,SEBusinessLiabilityTable[],W$9,FALSE),"")</f>
        <v/>
      </c>
      <c r="X34" s="1210" t="str">
        <f>IFERROR(VLOOKUP($B34,SEBusinessLiabilityTable[],X$9,FALSE),"")</f>
        <v/>
      </c>
      <c r="Y34" s="1210" t="str">
        <f>IFERROR(VLOOKUP($B34,SEBusinessLiabilityTable[],Y$9,FALSE),"")</f>
        <v/>
      </c>
      <c r="Z34" s="1210" t="str">
        <f>IFERROR(VLOOKUP($B34,SEBusinessLiabilityTable[],Z$9,FALSE),"")</f>
        <v/>
      </c>
      <c r="AA34" s="1210" t="str">
        <f>IFERROR(VLOOKUP($B34,SEBusinessLiabilityTable[],AA$9,FALSE),"")</f>
        <v/>
      </c>
      <c r="AB34" s="1210" t="str">
        <f>IFERROR(VLOOKUP($B34,SEBusinessLiabilityTable[],AB$9,FALSE),"")</f>
        <v/>
      </c>
      <c r="AC34" s="1210" t="str">
        <f>IFERROR(VLOOKUP($B34,SEBusinessLiabilityTable[],AC$9,FALSE),"")</f>
        <v/>
      </c>
      <c r="AD34" s="1210" t="str">
        <f>IFERROR(VLOOKUP($B34,SEBusinessLiabilityTable[],AD$9,FALSE),"")</f>
        <v/>
      </c>
      <c r="AE34" s="1210" t="str">
        <f>IFERROR(VLOOKUP($B34,SEBusinessLiabilityTable[],AE$9,FALSE),"")</f>
        <v/>
      </c>
      <c r="AF34" s="1210" t="str">
        <f>IFERROR(VLOOKUP($B34,SEBusinessLiabilityTable[],AF$9,FALSE),"")</f>
        <v/>
      </c>
      <c r="AG34" s="1210" t="str">
        <f>IFERROR(VLOOKUP($B34,SEBusinessLiabilityTable[],AG$9,FALSE),"")</f>
        <v/>
      </c>
      <c r="AH34" s="1210" t="str">
        <f>IFERROR(VLOOKUP($B34,SEBusinessLiabilityTable[],AH$9,FALSE),"")</f>
        <v/>
      </c>
      <c r="AJ34" s="1210">
        <f t="shared" si="4"/>
        <v>0</v>
      </c>
      <c r="AK34" s="1210">
        <f t="shared" si="5"/>
        <v>0</v>
      </c>
      <c r="AL34" s="1209" t="b">
        <f>IF(B34="Portfolio loan - sub account",IF(NOT(ISBLANK(J34)),IF(COUNTIF($J$12:$J$61,J34)&gt;1,IF(COUNTIFS(J$12:J34,J34,B$12:B34,"Portfolio loan - sub account")=1,TRUE,FALSE),TRUE),FALSE),FALSE)</f>
        <v>0</v>
      </c>
      <c r="AM34" s="1210">
        <f t="shared" si="6"/>
        <v>0</v>
      </c>
      <c r="AN34" s="1210" cm="1">
        <f t="array" ref="AN34">_xlfn.AGGREGATE(14,4,($B$12:$B$61="Portfolio loan - sub account")*($J$12:$J$61=J34)*$F$12:$F$61,1)</f>
        <v>0</v>
      </c>
      <c r="AO34" s="1210">
        <f t="shared" si="7"/>
        <v>0</v>
      </c>
      <c r="AP34" s="1210" t="str">
        <f t="shared" si="10"/>
        <v/>
      </c>
      <c r="AQ34" s="1210" t="str">
        <f t="shared" si="2"/>
        <v/>
      </c>
      <c r="AR34" s="1210" t="str">
        <f>IFERROR(IF(Z34,VLOOKUP($B34,SEBusinessLiabilityTable[],AR$9,FALSE),""),"")</f>
        <v/>
      </c>
      <c r="AS34" s="1210" t="str">
        <f>IFERROR(IF(AA34,VLOOKUP($B34,SEBusinessLiabilityTable[],AS$9,FALSE),""),"")</f>
        <v/>
      </c>
    </row>
    <row r="35" spans="1:45" ht="18.75" hidden="1" customHeight="1" x14ac:dyDescent="0.25">
      <c r="A35" s="552">
        <v>24</v>
      </c>
      <c r="B35" s="1213"/>
      <c r="C35" s="1332"/>
      <c r="D35" s="1333"/>
      <c r="E35" s="1333"/>
      <c r="F35" s="1214"/>
      <c r="G35" s="1213"/>
      <c r="H35" s="1333"/>
      <c r="I35" s="1333"/>
      <c r="J35" s="1334"/>
      <c r="K35" s="1213"/>
      <c r="L35" s="1211" t="str">
        <f t="shared" si="0"/>
        <v/>
      </c>
      <c r="M35" s="1335" t="str">
        <f t="shared" si="8"/>
        <v/>
      </c>
      <c r="N35" s="1335" t="str">
        <f t="shared" si="11"/>
        <v/>
      </c>
      <c r="O35" s="1335" t="str">
        <f t="shared" si="9"/>
        <v/>
      </c>
      <c r="P35" s="25"/>
      <c r="Q35" s="25"/>
      <c r="R35" s="1215" t="b">
        <f t="shared" si="3"/>
        <v>0</v>
      </c>
      <c r="S35" s="1210" t="str">
        <f>IFERROR(VLOOKUP($B35,SEBusinessLiabilityTable[],S$9,FALSE),"")</f>
        <v/>
      </c>
      <c r="T35" s="1210" t="str">
        <f>IFERROR(VLOOKUP($B35,SEBusinessLiabilityTable[],T$9,FALSE),"")</f>
        <v/>
      </c>
      <c r="U35" s="1210" t="str">
        <f>IFERROR(VLOOKUP($B35,SEBusinessLiabilityTable[],U$9,FALSE),"")</f>
        <v/>
      </c>
      <c r="V35" s="1210" t="str">
        <f>IFERROR(VLOOKUP($B35,SEBusinessLiabilityTable[],V$9,FALSE),"")</f>
        <v/>
      </c>
      <c r="W35" s="1210" t="str">
        <f>IFERROR(VLOOKUP($B35,SEBusinessLiabilityTable[],W$9,FALSE),"")</f>
        <v/>
      </c>
      <c r="X35" s="1210" t="str">
        <f>IFERROR(VLOOKUP($B35,SEBusinessLiabilityTable[],X$9,FALSE),"")</f>
        <v/>
      </c>
      <c r="Y35" s="1210" t="str">
        <f>IFERROR(VLOOKUP($B35,SEBusinessLiabilityTable[],Y$9,FALSE),"")</f>
        <v/>
      </c>
      <c r="Z35" s="1210" t="str">
        <f>IFERROR(VLOOKUP($B35,SEBusinessLiabilityTable[],Z$9,FALSE),"")</f>
        <v/>
      </c>
      <c r="AA35" s="1210" t="str">
        <f>IFERROR(VLOOKUP($B35,SEBusinessLiabilityTable[],AA$9,FALSE),"")</f>
        <v/>
      </c>
      <c r="AB35" s="1210" t="str">
        <f>IFERROR(VLOOKUP($B35,SEBusinessLiabilityTable[],AB$9,FALSE),"")</f>
        <v/>
      </c>
      <c r="AC35" s="1210" t="str">
        <f>IFERROR(VLOOKUP($B35,SEBusinessLiabilityTable[],AC$9,FALSE),"")</f>
        <v/>
      </c>
      <c r="AD35" s="1210" t="str">
        <f>IFERROR(VLOOKUP($B35,SEBusinessLiabilityTable[],AD$9,FALSE),"")</f>
        <v/>
      </c>
      <c r="AE35" s="1210" t="str">
        <f>IFERROR(VLOOKUP($B35,SEBusinessLiabilityTable[],AE$9,FALSE),"")</f>
        <v/>
      </c>
      <c r="AF35" s="1210" t="str">
        <f>IFERROR(VLOOKUP($B35,SEBusinessLiabilityTable[],AF$9,FALSE),"")</f>
        <v/>
      </c>
      <c r="AG35" s="1210" t="str">
        <f>IFERROR(VLOOKUP($B35,SEBusinessLiabilityTable[],AG$9,FALSE),"")</f>
        <v/>
      </c>
      <c r="AH35" s="1210" t="str">
        <f>IFERROR(VLOOKUP($B35,SEBusinessLiabilityTable[],AH$9,FALSE),"")</f>
        <v/>
      </c>
      <c r="AJ35" s="1210">
        <f t="shared" si="4"/>
        <v>0</v>
      </c>
      <c r="AK35" s="1210">
        <f t="shared" si="5"/>
        <v>0</v>
      </c>
      <c r="AL35" s="1209" t="b">
        <f>IF(B35="Portfolio loan - sub account",IF(NOT(ISBLANK(J35)),IF(COUNTIF($J$12:$J$61,J35)&gt;1,IF(COUNTIFS(J$12:J35,J35,B$12:B35,"Portfolio loan - sub account")=1,TRUE,FALSE),TRUE),FALSE),FALSE)</f>
        <v>0</v>
      </c>
      <c r="AM35" s="1210">
        <f t="shared" si="6"/>
        <v>0</v>
      </c>
      <c r="AN35" s="1210" cm="1">
        <f t="array" ref="AN35">_xlfn.AGGREGATE(14,4,($B$12:$B$61="Portfolio loan - sub account")*($J$12:$J$61=J35)*$F$12:$F$61,1)</f>
        <v>0</v>
      </c>
      <c r="AO35" s="1210">
        <f t="shared" si="7"/>
        <v>0</v>
      </c>
      <c r="AP35" s="1210" t="str">
        <f t="shared" si="10"/>
        <v/>
      </c>
      <c r="AQ35" s="1210" t="str">
        <f t="shared" si="2"/>
        <v/>
      </c>
      <c r="AR35" s="1210" t="str">
        <f>IFERROR(IF(Z35,VLOOKUP($B35,SEBusinessLiabilityTable[],AR$9,FALSE),""),"")</f>
        <v/>
      </c>
      <c r="AS35" s="1210" t="str">
        <f>IFERROR(IF(AA35,VLOOKUP($B35,SEBusinessLiabilityTable[],AS$9,FALSE),""),"")</f>
        <v/>
      </c>
    </row>
    <row r="36" spans="1:45" ht="18.75" hidden="1" customHeight="1" x14ac:dyDescent="0.25">
      <c r="A36" s="552">
        <v>25</v>
      </c>
      <c r="B36" s="1213"/>
      <c r="C36" s="1332"/>
      <c r="D36" s="1333"/>
      <c r="E36" s="1333"/>
      <c r="F36" s="1214"/>
      <c r="G36" s="1213"/>
      <c r="H36" s="1333"/>
      <c r="I36" s="1333"/>
      <c r="J36" s="1334"/>
      <c r="K36" s="1213"/>
      <c r="L36" s="1211" t="str">
        <f t="shared" si="0"/>
        <v/>
      </c>
      <c r="M36" s="1335" t="str">
        <f t="shared" si="8"/>
        <v/>
      </c>
      <c r="N36" s="1335" t="str">
        <f t="shared" si="11"/>
        <v/>
      </c>
      <c r="O36" s="1335" t="str">
        <f t="shared" si="9"/>
        <v/>
      </c>
      <c r="P36" s="25"/>
      <c r="Q36" s="25"/>
      <c r="R36" s="1215" t="b">
        <f t="shared" si="3"/>
        <v>0</v>
      </c>
      <c r="S36" s="1210" t="str">
        <f>IFERROR(VLOOKUP($B36,SEBusinessLiabilityTable[],S$9,FALSE),"")</f>
        <v/>
      </c>
      <c r="T36" s="1210" t="str">
        <f>IFERROR(VLOOKUP($B36,SEBusinessLiabilityTable[],T$9,FALSE),"")</f>
        <v/>
      </c>
      <c r="U36" s="1210" t="str">
        <f>IFERROR(VLOOKUP($B36,SEBusinessLiabilityTable[],U$9,FALSE),"")</f>
        <v/>
      </c>
      <c r="V36" s="1210" t="str">
        <f>IFERROR(VLOOKUP($B36,SEBusinessLiabilityTable[],V$9,FALSE),"")</f>
        <v/>
      </c>
      <c r="W36" s="1210" t="str">
        <f>IFERROR(VLOOKUP($B36,SEBusinessLiabilityTable[],W$9,FALSE),"")</f>
        <v/>
      </c>
      <c r="X36" s="1210" t="str">
        <f>IFERROR(VLOOKUP($B36,SEBusinessLiabilityTable[],X$9,FALSE),"")</f>
        <v/>
      </c>
      <c r="Y36" s="1210" t="str">
        <f>IFERROR(VLOOKUP($B36,SEBusinessLiabilityTable[],Y$9,FALSE),"")</f>
        <v/>
      </c>
      <c r="Z36" s="1210" t="str">
        <f>IFERROR(VLOOKUP($B36,SEBusinessLiabilityTable[],Z$9,FALSE),"")</f>
        <v/>
      </c>
      <c r="AA36" s="1210" t="str">
        <f>IFERROR(VLOOKUP($B36,SEBusinessLiabilityTable[],AA$9,FALSE),"")</f>
        <v/>
      </c>
      <c r="AB36" s="1210" t="str">
        <f>IFERROR(VLOOKUP($B36,SEBusinessLiabilityTable[],AB$9,FALSE),"")</f>
        <v/>
      </c>
      <c r="AC36" s="1210" t="str">
        <f>IFERROR(VLOOKUP($B36,SEBusinessLiabilityTable[],AC$9,FALSE),"")</f>
        <v/>
      </c>
      <c r="AD36" s="1210" t="str">
        <f>IFERROR(VLOOKUP($B36,SEBusinessLiabilityTable[],AD$9,FALSE),"")</f>
        <v/>
      </c>
      <c r="AE36" s="1210" t="str">
        <f>IFERROR(VLOOKUP($B36,SEBusinessLiabilityTable[],AE$9,FALSE),"")</f>
        <v/>
      </c>
      <c r="AF36" s="1210" t="str">
        <f>IFERROR(VLOOKUP($B36,SEBusinessLiabilityTable[],AF$9,FALSE),"")</f>
        <v/>
      </c>
      <c r="AG36" s="1210" t="str">
        <f>IFERROR(VLOOKUP($B36,SEBusinessLiabilityTable[],AG$9,FALSE),"")</f>
        <v/>
      </c>
      <c r="AH36" s="1210" t="str">
        <f>IFERROR(VLOOKUP($B36,SEBusinessLiabilityTable[],AH$9,FALSE),"")</f>
        <v/>
      </c>
      <c r="AJ36" s="1210">
        <f t="shared" si="4"/>
        <v>0</v>
      </c>
      <c r="AK36" s="1210">
        <f t="shared" si="5"/>
        <v>0</v>
      </c>
      <c r="AL36" s="1209" t="b">
        <f>IF(B36="Portfolio loan - sub account",IF(NOT(ISBLANK(J36)),IF(COUNTIF($J$12:$J$61,J36)&gt;1,IF(COUNTIFS(J$12:J36,J36,B$12:B36,"Portfolio loan - sub account")=1,TRUE,FALSE),TRUE),FALSE),FALSE)</f>
        <v>0</v>
      </c>
      <c r="AM36" s="1210">
        <f t="shared" si="6"/>
        <v>0</v>
      </c>
      <c r="AN36" s="1210" cm="1">
        <f t="array" ref="AN36">_xlfn.AGGREGATE(14,4,($B$12:$B$61="Portfolio loan - sub account")*($J$12:$J$61=J36)*$F$12:$F$61,1)</f>
        <v>0</v>
      </c>
      <c r="AO36" s="1210">
        <f t="shared" si="7"/>
        <v>0</v>
      </c>
      <c r="AP36" s="1210" t="str">
        <f t="shared" si="10"/>
        <v/>
      </c>
      <c r="AQ36" s="1210" t="str">
        <f t="shared" si="2"/>
        <v/>
      </c>
      <c r="AR36" s="1210" t="str">
        <f>IFERROR(IF(Z36,VLOOKUP($B36,SEBusinessLiabilityTable[],AR$9,FALSE),""),"")</f>
        <v/>
      </c>
      <c r="AS36" s="1210" t="str">
        <f>IFERROR(IF(AA36,VLOOKUP($B36,SEBusinessLiabilityTable[],AS$9,FALSE),""),"")</f>
        <v/>
      </c>
    </row>
    <row r="37" spans="1:45" ht="18.75" hidden="1" customHeight="1" x14ac:dyDescent="0.25">
      <c r="A37" s="552">
        <v>26</v>
      </c>
      <c r="B37" s="1213"/>
      <c r="C37" s="1332"/>
      <c r="D37" s="1333"/>
      <c r="E37" s="1333"/>
      <c r="F37" s="1214"/>
      <c r="G37" s="1213"/>
      <c r="H37" s="1333"/>
      <c r="I37" s="1333"/>
      <c r="J37" s="1334"/>
      <c r="K37" s="1213"/>
      <c r="L37" s="1211" t="str">
        <f t="shared" si="0"/>
        <v/>
      </c>
      <c r="M37" s="1335" t="str">
        <f t="shared" si="8"/>
        <v/>
      </c>
      <c r="N37" s="1335" t="str">
        <f t="shared" si="11"/>
        <v/>
      </c>
      <c r="O37" s="1335" t="str">
        <f t="shared" si="9"/>
        <v/>
      </c>
      <c r="P37" s="25"/>
      <c r="Q37" s="25"/>
      <c r="R37" s="1215" t="b">
        <f t="shared" si="3"/>
        <v>0</v>
      </c>
      <c r="S37" s="1210" t="str">
        <f>IFERROR(VLOOKUP($B37,SEBusinessLiabilityTable[],S$9,FALSE),"")</f>
        <v/>
      </c>
      <c r="T37" s="1210" t="str">
        <f>IFERROR(VLOOKUP($B37,SEBusinessLiabilityTable[],T$9,FALSE),"")</f>
        <v/>
      </c>
      <c r="U37" s="1210" t="str">
        <f>IFERROR(VLOOKUP($B37,SEBusinessLiabilityTable[],U$9,FALSE),"")</f>
        <v/>
      </c>
      <c r="V37" s="1210" t="str">
        <f>IFERROR(VLOOKUP($B37,SEBusinessLiabilityTable[],V$9,FALSE),"")</f>
        <v/>
      </c>
      <c r="W37" s="1210" t="str">
        <f>IFERROR(VLOOKUP($B37,SEBusinessLiabilityTable[],W$9,FALSE),"")</f>
        <v/>
      </c>
      <c r="X37" s="1210" t="str">
        <f>IFERROR(VLOOKUP($B37,SEBusinessLiabilityTable[],X$9,FALSE),"")</f>
        <v/>
      </c>
      <c r="Y37" s="1210" t="str">
        <f>IFERROR(VLOOKUP($B37,SEBusinessLiabilityTable[],Y$9,FALSE),"")</f>
        <v/>
      </c>
      <c r="Z37" s="1210" t="str">
        <f>IFERROR(VLOOKUP($B37,SEBusinessLiabilityTable[],Z$9,FALSE),"")</f>
        <v/>
      </c>
      <c r="AA37" s="1210" t="str">
        <f>IFERROR(VLOOKUP($B37,SEBusinessLiabilityTable[],AA$9,FALSE),"")</f>
        <v/>
      </c>
      <c r="AB37" s="1210" t="str">
        <f>IFERROR(VLOOKUP($B37,SEBusinessLiabilityTable[],AB$9,FALSE),"")</f>
        <v/>
      </c>
      <c r="AC37" s="1210" t="str">
        <f>IFERROR(VLOOKUP($B37,SEBusinessLiabilityTable[],AC$9,FALSE),"")</f>
        <v/>
      </c>
      <c r="AD37" s="1210" t="str">
        <f>IFERROR(VLOOKUP($B37,SEBusinessLiabilityTable[],AD$9,FALSE),"")</f>
        <v/>
      </c>
      <c r="AE37" s="1210" t="str">
        <f>IFERROR(VLOOKUP($B37,SEBusinessLiabilityTable[],AE$9,FALSE),"")</f>
        <v/>
      </c>
      <c r="AF37" s="1210" t="str">
        <f>IFERROR(VLOOKUP($B37,SEBusinessLiabilityTable[],AF$9,FALSE),"")</f>
        <v/>
      </c>
      <c r="AG37" s="1210" t="str">
        <f>IFERROR(VLOOKUP($B37,SEBusinessLiabilityTable[],AG$9,FALSE),"")</f>
        <v/>
      </c>
      <c r="AH37" s="1210" t="str">
        <f>IFERROR(VLOOKUP($B37,SEBusinessLiabilityTable[],AH$9,FALSE),"")</f>
        <v/>
      </c>
      <c r="AJ37" s="1210">
        <f t="shared" si="4"/>
        <v>0</v>
      </c>
      <c r="AK37" s="1210">
        <f t="shared" si="5"/>
        <v>0</v>
      </c>
      <c r="AL37" s="1209" t="b">
        <f>IF(B37="Portfolio loan - sub account",IF(NOT(ISBLANK(J37)),IF(COUNTIF($J$12:$J$61,J37)&gt;1,IF(COUNTIFS(J$12:J37,J37,B$12:B37,"Portfolio loan - sub account")=1,TRUE,FALSE),TRUE),FALSE),FALSE)</f>
        <v>0</v>
      </c>
      <c r="AM37" s="1210">
        <f t="shared" si="6"/>
        <v>0</v>
      </c>
      <c r="AN37" s="1210" cm="1">
        <f t="array" ref="AN37">_xlfn.AGGREGATE(14,4,($B$12:$B$61="Portfolio loan - sub account")*($J$12:$J$61=J37)*$F$12:$F$61,1)</f>
        <v>0</v>
      </c>
      <c r="AO37" s="1210">
        <f t="shared" si="7"/>
        <v>0</v>
      </c>
      <c r="AP37" s="1210" t="str">
        <f t="shared" si="10"/>
        <v/>
      </c>
      <c r="AQ37" s="1210" t="str">
        <f t="shared" si="2"/>
        <v/>
      </c>
      <c r="AR37" s="1210" t="str">
        <f>IFERROR(IF(Z37,VLOOKUP($B37,SEBusinessLiabilityTable[],AR$9,FALSE),""),"")</f>
        <v/>
      </c>
      <c r="AS37" s="1210" t="str">
        <f>IFERROR(IF(AA37,VLOOKUP($B37,SEBusinessLiabilityTable[],AS$9,FALSE),""),"")</f>
        <v/>
      </c>
    </row>
    <row r="38" spans="1:45" ht="18.75" hidden="1" customHeight="1" x14ac:dyDescent="0.25">
      <c r="A38" s="552">
        <v>27</v>
      </c>
      <c r="B38" s="1213"/>
      <c r="C38" s="1332"/>
      <c r="D38" s="1333"/>
      <c r="E38" s="1333"/>
      <c r="F38" s="1214"/>
      <c r="G38" s="1213"/>
      <c r="H38" s="1333"/>
      <c r="I38" s="1333"/>
      <c r="J38" s="1334"/>
      <c r="K38" s="1213"/>
      <c r="L38" s="1211" t="str">
        <f t="shared" si="0"/>
        <v/>
      </c>
      <c r="M38" s="1335" t="str">
        <f t="shared" si="8"/>
        <v/>
      </c>
      <c r="N38" s="1335" t="str">
        <f t="shared" si="11"/>
        <v/>
      </c>
      <c r="O38" s="1335" t="str">
        <f t="shared" si="9"/>
        <v/>
      </c>
      <c r="P38" s="25"/>
      <c r="Q38" s="25"/>
      <c r="R38" s="1215" t="b">
        <f t="shared" si="3"/>
        <v>0</v>
      </c>
      <c r="S38" s="1210" t="str">
        <f>IFERROR(VLOOKUP($B38,SEBusinessLiabilityTable[],S$9,FALSE),"")</f>
        <v/>
      </c>
      <c r="T38" s="1210" t="str">
        <f>IFERROR(VLOOKUP($B38,SEBusinessLiabilityTable[],T$9,FALSE),"")</f>
        <v/>
      </c>
      <c r="U38" s="1210" t="str">
        <f>IFERROR(VLOOKUP($B38,SEBusinessLiabilityTable[],U$9,FALSE),"")</f>
        <v/>
      </c>
      <c r="V38" s="1210" t="str">
        <f>IFERROR(VLOOKUP($B38,SEBusinessLiabilityTable[],V$9,FALSE),"")</f>
        <v/>
      </c>
      <c r="W38" s="1210" t="str">
        <f>IFERROR(VLOOKUP($B38,SEBusinessLiabilityTable[],W$9,FALSE),"")</f>
        <v/>
      </c>
      <c r="X38" s="1210" t="str">
        <f>IFERROR(VLOOKUP($B38,SEBusinessLiabilityTable[],X$9,FALSE),"")</f>
        <v/>
      </c>
      <c r="Y38" s="1210" t="str">
        <f>IFERROR(VLOOKUP($B38,SEBusinessLiabilityTable[],Y$9,FALSE),"")</f>
        <v/>
      </c>
      <c r="Z38" s="1210" t="str">
        <f>IFERROR(VLOOKUP($B38,SEBusinessLiabilityTable[],Z$9,FALSE),"")</f>
        <v/>
      </c>
      <c r="AA38" s="1210" t="str">
        <f>IFERROR(VLOOKUP($B38,SEBusinessLiabilityTable[],AA$9,FALSE),"")</f>
        <v/>
      </c>
      <c r="AB38" s="1210" t="str">
        <f>IFERROR(VLOOKUP($B38,SEBusinessLiabilityTable[],AB$9,FALSE),"")</f>
        <v/>
      </c>
      <c r="AC38" s="1210" t="str">
        <f>IFERROR(VLOOKUP($B38,SEBusinessLiabilityTable[],AC$9,FALSE),"")</f>
        <v/>
      </c>
      <c r="AD38" s="1210" t="str">
        <f>IFERROR(VLOOKUP($B38,SEBusinessLiabilityTable[],AD$9,FALSE),"")</f>
        <v/>
      </c>
      <c r="AE38" s="1210" t="str">
        <f>IFERROR(VLOOKUP($B38,SEBusinessLiabilityTable[],AE$9,FALSE),"")</f>
        <v/>
      </c>
      <c r="AF38" s="1210" t="str">
        <f>IFERROR(VLOOKUP($B38,SEBusinessLiabilityTable[],AF$9,FALSE),"")</f>
        <v/>
      </c>
      <c r="AG38" s="1210" t="str">
        <f>IFERROR(VLOOKUP($B38,SEBusinessLiabilityTable[],AG$9,FALSE),"")</f>
        <v/>
      </c>
      <c r="AH38" s="1210" t="str">
        <f>IFERROR(VLOOKUP($B38,SEBusinessLiabilityTable[],AH$9,FALSE),"")</f>
        <v/>
      </c>
      <c r="AJ38" s="1210">
        <f t="shared" si="4"/>
        <v>0</v>
      </c>
      <c r="AK38" s="1210">
        <f t="shared" si="5"/>
        <v>0</v>
      </c>
      <c r="AL38" s="1209" t="b">
        <f>IF(B38="Portfolio loan - sub account",IF(NOT(ISBLANK(J38)),IF(COUNTIF($J$12:$J$61,J38)&gt;1,IF(COUNTIFS(J$12:J38,J38,B$12:B38,"Portfolio loan - sub account")=1,TRUE,FALSE),TRUE),FALSE),FALSE)</f>
        <v>0</v>
      </c>
      <c r="AM38" s="1210">
        <f t="shared" si="6"/>
        <v>0</v>
      </c>
      <c r="AN38" s="1210" cm="1">
        <f t="array" ref="AN38">_xlfn.AGGREGATE(14,4,($B$12:$B$61="Portfolio loan - sub account")*($J$12:$J$61=J38)*$F$12:$F$61,1)</f>
        <v>0</v>
      </c>
      <c r="AO38" s="1210">
        <f t="shared" si="7"/>
        <v>0</v>
      </c>
      <c r="AP38" s="1210" t="str">
        <f t="shared" si="10"/>
        <v/>
      </c>
      <c r="AQ38" s="1210" t="str">
        <f t="shared" si="2"/>
        <v/>
      </c>
      <c r="AR38" s="1210" t="str">
        <f>IFERROR(IF(Z38,VLOOKUP($B38,SEBusinessLiabilityTable[],AR$9,FALSE),""),"")</f>
        <v/>
      </c>
      <c r="AS38" s="1210" t="str">
        <f>IFERROR(IF(AA38,VLOOKUP($B38,SEBusinessLiabilityTable[],AS$9,FALSE),""),"")</f>
        <v/>
      </c>
    </row>
    <row r="39" spans="1:45" ht="18.75" hidden="1" customHeight="1" x14ac:dyDescent="0.25">
      <c r="A39" s="552">
        <v>28</v>
      </c>
      <c r="B39" s="1213"/>
      <c r="C39" s="1332"/>
      <c r="D39" s="1333"/>
      <c r="E39" s="1333"/>
      <c r="F39" s="1214"/>
      <c r="G39" s="1213"/>
      <c r="H39" s="1333"/>
      <c r="I39" s="1333"/>
      <c r="J39" s="1334"/>
      <c r="K39" s="1213"/>
      <c r="L39" s="1211" t="str">
        <f t="shared" si="0"/>
        <v/>
      </c>
      <c r="M39" s="1335" t="str">
        <f t="shared" si="8"/>
        <v/>
      </c>
      <c r="N39" s="1335" t="str">
        <f t="shared" si="11"/>
        <v/>
      </c>
      <c r="O39" s="1335" t="str">
        <f t="shared" si="9"/>
        <v/>
      </c>
      <c r="P39" s="25"/>
      <c r="Q39" s="25"/>
      <c r="R39" s="1215" t="b">
        <f t="shared" si="3"/>
        <v>0</v>
      </c>
      <c r="S39" s="1210" t="str">
        <f>IFERROR(VLOOKUP($B39,SEBusinessLiabilityTable[],S$9,FALSE),"")</f>
        <v/>
      </c>
      <c r="T39" s="1210" t="str">
        <f>IFERROR(VLOOKUP($B39,SEBusinessLiabilityTable[],T$9,FALSE),"")</f>
        <v/>
      </c>
      <c r="U39" s="1210" t="str">
        <f>IFERROR(VLOOKUP($B39,SEBusinessLiabilityTable[],U$9,FALSE),"")</f>
        <v/>
      </c>
      <c r="V39" s="1210" t="str">
        <f>IFERROR(VLOOKUP($B39,SEBusinessLiabilityTable[],V$9,FALSE),"")</f>
        <v/>
      </c>
      <c r="W39" s="1210" t="str">
        <f>IFERROR(VLOOKUP($B39,SEBusinessLiabilityTable[],W$9,FALSE),"")</f>
        <v/>
      </c>
      <c r="X39" s="1210" t="str">
        <f>IFERROR(VLOOKUP($B39,SEBusinessLiabilityTable[],X$9,FALSE),"")</f>
        <v/>
      </c>
      <c r="Y39" s="1210" t="str">
        <f>IFERROR(VLOOKUP($B39,SEBusinessLiabilityTable[],Y$9,FALSE),"")</f>
        <v/>
      </c>
      <c r="Z39" s="1210" t="str">
        <f>IFERROR(VLOOKUP($B39,SEBusinessLiabilityTable[],Z$9,FALSE),"")</f>
        <v/>
      </c>
      <c r="AA39" s="1210" t="str">
        <f>IFERROR(VLOOKUP($B39,SEBusinessLiabilityTable[],AA$9,FALSE),"")</f>
        <v/>
      </c>
      <c r="AB39" s="1210" t="str">
        <f>IFERROR(VLOOKUP($B39,SEBusinessLiabilityTable[],AB$9,FALSE),"")</f>
        <v/>
      </c>
      <c r="AC39" s="1210" t="str">
        <f>IFERROR(VLOOKUP($B39,SEBusinessLiabilityTable[],AC$9,FALSE),"")</f>
        <v/>
      </c>
      <c r="AD39" s="1210" t="str">
        <f>IFERROR(VLOOKUP($B39,SEBusinessLiabilityTable[],AD$9,FALSE),"")</f>
        <v/>
      </c>
      <c r="AE39" s="1210" t="str">
        <f>IFERROR(VLOOKUP($B39,SEBusinessLiabilityTable[],AE$9,FALSE),"")</f>
        <v/>
      </c>
      <c r="AF39" s="1210" t="str">
        <f>IFERROR(VLOOKUP($B39,SEBusinessLiabilityTable[],AF$9,FALSE),"")</f>
        <v/>
      </c>
      <c r="AG39" s="1210" t="str">
        <f>IFERROR(VLOOKUP($B39,SEBusinessLiabilityTable[],AG$9,FALSE),"")</f>
        <v/>
      </c>
      <c r="AH39" s="1210" t="str">
        <f>IFERROR(VLOOKUP($B39,SEBusinessLiabilityTable[],AH$9,FALSE),"")</f>
        <v/>
      </c>
      <c r="AJ39" s="1210">
        <f t="shared" si="4"/>
        <v>0</v>
      </c>
      <c r="AK39" s="1210">
        <f t="shared" si="5"/>
        <v>0</v>
      </c>
      <c r="AL39" s="1209" t="b">
        <f>IF(B39="Portfolio loan - sub account",IF(NOT(ISBLANK(J39)),IF(COUNTIF($J$12:$J$61,J39)&gt;1,IF(COUNTIFS(J$12:J39,J39,B$12:B39,"Portfolio loan - sub account")=1,TRUE,FALSE),TRUE),FALSE),FALSE)</f>
        <v>0</v>
      </c>
      <c r="AM39" s="1210">
        <f t="shared" si="6"/>
        <v>0</v>
      </c>
      <c r="AN39" s="1210" cm="1">
        <f t="array" ref="AN39">_xlfn.AGGREGATE(14,4,($B$12:$B$61="Portfolio loan - sub account")*($J$12:$J$61=J39)*$F$12:$F$61,1)</f>
        <v>0</v>
      </c>
      <c r="AO39" s="1210">
        <f t="shared" si="7"/>
        <v>0</v>
      </c>
      <c r="AP39" s="1210" t="str">
        <f t="shared" si="10"/>
        <v/>
      </c>
      <c r="AQ39" s="1210" t="str">
        <f t="shared" si="2"/>
        <v/>
      </c>
      <c r="AR39" s="1210" t="str">
        <f>IFERROR(IF(Z39,VLOOKUP($B39,SEBusinessLiabilityTable[],AR$9,FALSE),""),"")</f>
        <v/>
      </c>
      <c r="AS39" s="1210" t="str">
        <f>IFERROR(IF(AA39,VLOOKUP($B39,SEBusinessLiabilityTable[],AS$9,FALSE),""),"")</f>
        <v/>
      </c>
    </row>
    <row r="40" spans="1:45" ht="18.75" hidden="1" customHeight="1" x14ac:dyDescent="0.25">
      <c r="A40" s="552">
        <v>29</v>
      </c>
      <c r="B40" s="1213"/>
      <c r="C40" s="1332"/>
      <c r="D40" s="1333"/>
      <c r="E40" s="1333"/>
      <c r="F40" s="1214"/>
      <c r="G40" s="1213"/>
      <c r="H40" s="1333"/>
      <c r="I40" s="1333"/>
      <c r="J40" s="1334"/>
      <c r="K40" s="1213"/>
      <c r="L40" s="1211" t="str">
        <f t="shared" si="0"/>
        <v/>
      </c>
      <c r="M40" s="1335" t="str">
        <f t="shared" si="8"/>
        <v/>
      </c>
      <c r="N40" s="1335" t="str">
        <f t="shared" si="11"/>
        <v/>
      </c>
      <c r="O40" s="1335" t="str">
        <f t="shared" si="9"/>
        <v/>
      </c>
      <c r="P40" s="25"/>
      <c r="Q40" s="25"/>
      <c r="R40" s="1215" t="b">
        <f t="shared" si="3"/>
        <v>0</v>
      </c>
      <c r="S40" s="1210" t="str">
        <f>IFERROR(VLOOKUP($B40,SEBusinessLiabilityTable[],S$9,FALSE),"")</f>
        <v/>
      </c>
      <c r="T40" s="1210" t="str">
        <f>IFERROR(VLOOKUP($B40,SEBusinessLiabilityTable[],T$9,FALSE),"")</f>
        <v/>
      </c>
      <c r="U40" s="1210" t="str">
        <f>IFERROR(VLOOKUP($B40,SEBusinessLiabilityTable[],U$9,FALSE),"")</f>
        <v/>
      </c>
      <c r="V40" s="1210" t="str">
        <f>IFERROR(VLOOKUP($B40,SEBusinessLiabilityTable[],V$9,FALSE),"")</f>
        <v/>
      </c>
      <c r="W40" s="1210" t="str">
        <f>IFERROR(VLOOKUP($B40,SEBusinessLiabilityTable[],W$9,FALSE),"")</f>
        <v/>
      </c>
      <c r="X40" s="1210" t="str">
        <f>IFERROR(VLOOKUP($B40,SEBusinessLiabilityTable[],X$9,FALSE),"")</f>
        <v/>
      </c>
      <c r="Y40" s="1210" t="str">
        <f>IFERROR(VLOOKUP($B40,SEBusinessLiabilityTable[],Y$9,FALSE),"")</f>
        <v/>
      </c>
      <c r="Z40" s="1210" t="str">
        <f>IFERROR(VLOOKUP($B40,SEBusinessLiabilityTable[],Z$9,FALSE),"")</f>
        <v/>
      </c>
      <c r="AA40" s="1210" t="str">
        <f>IFERROR(VLOOKUP($B40,SEBusinessLiabilityTable[],AA$9,FALSE),"")</f>
        <v/>
      </c>
      <c r="AB40" s="1210" t="str">
        <f>IFERROR(VLOOKUP($B40,SEBusinessLiabilityTable[],AB$9,FALSE),"")</f>
        <v/>
      </c>
      <c r="AC40" s="1210" t="str">
        <f>IFERROR(VLOOKUP($B40,SEBusinessLiabilityTable[],AC$9,FALSE),"")</f>
        <v/>
      </c>
      <c r="AD40" s="1210" t="str">
        <f>IFERROR(VLOOKUP($B40,SEBusinessLiabilityTable[],AD$9,FALSE),"")</f>
        <v/>
      </c>
      <c r="AE40" s="1210" t="str">
        <f>IFERROR(VLOOKUP($B40,SEBusinessLiabilityTable[],AE$9,FALSE),"")</f>
        <v/>
      </c>
      <c r="AF40" s="1210" t="str">
        <f>IFERROR(VLOOKUP($B40,SEBusinessLiabilityTable[],AF$9,FALSE),"")</f>
        <v/>
      </c>
      <c r="AG40" s="1210" t="str">
        <f>IFERROR(VLOOKUP($B40,SEBusinessLiabilityTable[],AG$9,FALSE),"")</f>
        <v/>
      </c>
      <c r="AH40" s="1210" t="str">
        <f>IFERROR(VLOOKUP($B40,SEBusinessLiabilityTable[],AH$9,FALSE),"")</f>
        <v/>
      </c>
      <c r="AJ40" s="1210">
        <f t="shared" si="4"/>
        <v>0</v>
      </c>
      <c r="AK40" s="1210">
        <f t="shared" si="5"/>
        <v>0</v>
      </c>
      <c r="AL40" s="1209" t="b">
        <f>IF(B40="Portfolio loan - sub account",IF(NOT(ISBLANK(J40)),IF(COUNTIF($J$12:$J$61,J40)&gt;1,IF(COUNTIFS(J$12:J40,J40,B$12:B40,"Portfolio loan - sub account")=1,TRUE,FALSE),TRUE),FALSE),FALSE)</f>
        <v>0</v>
      </c>
      <c r="AM40" s="1210">
        <f t="shared" si="6"/>
        <v>0</v>
      </c>
      <c r="AN40" s="1210" cm="1">
        <f t="array" ref="AN40">_xlfn.AGGREGATE(14,4,($B$12:$B$61="Portfolio loan - sub account")*($J$12:$J$61=J40)*$F$12:$F$61,1)</f>
        <v>0</v>
      </c>
      <c r="AO40" s="1210">
        <f t="shared" si="7"/>
        <v>0</v>
      </c>
      <c r="AP40" s="1210" t="str">
        <f t="shared" si="10"/>
        <v/>
      </c>
      <c r="AQ40" s="1210" t="str">
        <f t="shared" si="2"/>
        <v/>
      </c>
      <c r="AR40" s="1210" t="str">
        <f>IFERROR(IF(Z40,VLOOKUP($B40,SEBusinessLiabilityTable[],AR$9,FALSE),""),"")</f>
        <v/>
      </c>
      <c r="AS40" s="1210" t="str">
        <f>IFERROR(IF(AA40,VLOOKUP($B40,SEBusinessLiabilityTable[],AS$9,FALSE),""),"")</f>
        <v/>
      </c>
    </row>
    <row r="41" spans="1:45" ht="18.75" hidden="1" customHeight="1" x14ac:dyDescent="0.25">
      <c r="A41" s="552">
        <v>30</v>
      </c>
      <c r="B41" s="1213"/>
      <c r="C41" s="1332"/>
      <c r="D41" s="1333"/>
      <c r="E41" s="1333"/>
      <c r="F41" s="1214"/>
      <c r="G41" s="1213"/>
      <c r="H41" s="1333"/>
      <c r="I41" s="1333"/>
      <c r="J41" s="1334"/>
      <c r="K41" s="1213"/>
      <c r="L41" s="1211" t="str">
        <f t="shared" si="0"/>
        <v/>
      </c>
      <c r="M41" s="1335" t="str">
        <f t="shared" si="8"/>
        <v/>
      </c>
      <c r="N41" s="1335" t="str">
        <f t="shared" si="11"/>
        <v/>
      </c>
      <c r="O41" s="1335" t="str">
        <f t="shared" si="9"/>
        <v/>
      </c>
      <c r="P41" s="25"/>
      <c r="Q41" s="25"/>
      <c r="R41" s="1215" t="b">
        <f t="shared" si="3"/>
        <v>0</v>
      </c>
      <c r="S41" s="1210" t="str">
        <f>IFERROR(VLOOKUP($B41,SEBusinessLiabilityTable[],S$9,FALSE),"")</f>
        <v/>
      </c>
      <c r="T41" s="1210" t="str">
        <f>IFERROR(VLOOKUP($B41,SEBusinessLiabilityTable[],T$9,FALSE),"")</f>
        <v/>
      </c>
      <c r="U41" s="1210" t="str">
        <f>IFERROR(VLOOKUP($B41,SEBusinessLiabilityTable[],U$9,FALSE),"")</f>
        <v/>
      </c>
      <c r="V41" s="1210" t="str">
        <f>IFERROR(VLOOKUP($B41,SEBusinessLiabilityTable[],V$9,FALSE),"")</f>
        <v/>
      </c>
      <c r="W41" s="1210" t="str">
        <f>IFERROR(VLOOKUP($B41,SEBusinessLiabilityTable[],W$9,FALSE),"")</f>
        <v/>
      </c>
      <c r="X41" s="1210" t="str">
        <f>IFERROR(VLOOKUP($B41,SEBusinessLiabilityTable[],X$9,FALSE),"")</f>
        <v/>
      </c>
      <c r="Y41" s="1210" t="str">
        <f>IFERROR(VLOOKUP($B41,SEBusinessLiabilityTable[],Y$9,FALSE),"")</f>
        <v/>
      </c>
      <c r="Z41" s="1210" t="str">
        <f>IFERROR(VLOOKUP($B41,SEBusinessLiabilityTable[],Z$9,FALSE),"")</f>
        <v/>
      </c>
      <c r="AA41" s="1210" t="str">
        <f>IFERROR(VLOOKUP($B41,SEBusinessLiabilityTable[],AA$9,FALSE),"")</f>
        <v/>
      </c>
      <c r="AB41" s="1210" t="str">
        <f>IFERROR(VLOOKUP($B41,SEBusinessLiabilityTable[],AB$9,FALSE),"")</f>
        <v/>
      </c>
      <c r="AC41" s="1210" t="str">
        <f>IFERROR(VLOOKUP($B41,SEBusinessLiabilityTable[],AC$9,FALSE),"")</f>
        <v/>
      </c>
      <c r="AD41" s="1210" t="str">
        <f>IFERROR(VLOOKUP($B41,SEBusinessLiabilityTable[],AD$9,FALSE),"")</f>
        <v/>
      </c>
      <c r="AE41" s="1210" t="str">
        <f>IFERROR(VLOOKUP($B41,SEBusinessLiabilityTable[],AE$9,FALSE),"")</f>
        <v/>
      </c>
      <c r="AF41" s="1210" t="str">
        <f>IFERROR(VLOOKUP($B41,SEBusinessLiabilityTable[],AF$9,FALSE),"")</f>
        <v/>
      </c>
      <c r="AG41" s="1210" t="str">
        <f>IFERROR(VLOOKUP($B41,SEBusinessLiabilityTable[],AG$9,FALSE),"")</f>
        <v/>
      </c>
      <c r="AH41" s="1210" t="str">
        <f>IFERROR(VLOOKUP($B41,SEBusinessLiabilityTable[],AH$9,FALSE),"")</f>
        <v/>
      </c>
      <c r="AJ41" s="1210">
        <f t="shared" si="4"/>
        <v>0</v>
      </c>
      <c r="AK41" s="1210">
        <f t="shared" si="5"/>
        <v>0</v>
      </c>
      <c r="AL41" s="1209" t="b">
        <f>IF(B41="Portfolio loan - sub account",IF(NOT(ISBLANK(J41)),IF(COUNTIF($J$12:$J$61,J41)&gt;1,IF(COUNTIFS(J$12:J41,J41,B$12:B41,"Portfolio loan - sub account")=1,TRUE,FALSE),TRUE),FALSE),FALSE)</f>
        <v>0</v>
      </c>
      <c r="AM41" s="1210">
        <f t="shared" si="6"/>
        <v>0</v>
      </c>
      <c r="AN41" s="1210" cm="1">
        <f t="array" ref="AN41">_xlfn.AGGREGATE(14,4,($B$12:$B$61="Portfolio loan - sub account")*($J$12:$J$61=J41)*$F$12:$F$61,1)</f>
        <v>0</v>
      </c>
      <c r="AO41" s="1210">
        <f t="shared" si="7"/>
        <v>0</v>
      </c>
      <c r="AP41" s="1210" t="str">
        <f t="shared" si="10"/>
        <v/>
      </c>
      <c r="AQ41" s="1210" t="str">
        <f t="shared" si="2"/>
        <v/>
      </c>
      <c r="AR41" s="1210" t="str">
        <f>IFERROR(IF(Z41,VLOOKUP($B41,SEBusinessLiabilityTable[],AR$9,FALSE),""),"")</f>
        <v/>
      </c>
      <c r="AS41" s="1210" t="str">
        <f>IFERROR(IF(AA41,VLOOKUP($B41,SEBusinessLiabilityTable[],AS$9,FALSE),""),"")</f>
        <v/>
      </c>
    </row>
    <row r="42" spans="1:45" ht="18.75" hidden="1" customHeight="1" x14ac:dyDescent="0.25">
      <c r="A42" s="552">
        <v>31</v>
      </c>
      <c r="B42" s="1213"/>
      <c r="C42" s="1332"/>
      <c r="D42" s="1333"/>
      <c r="E42" s="1333"/>
      <c r="F42" s="1214"/>
      <c r="G42" s="1213"/>
      <c r="H42" s="1333"/>
      <c r="I42" s="1333"/>
      <c r="J42" s="1334"/>
      <c r="K42" s="1213"/>
      <c r="L42" s="1211" t="str">
        <f t="shared" si="0"/>
        <v/>
      </c>
      <c r="M42" s="1335" t="str">
        <f t="shared" si="8"/>
        <v/>
      </c>
      <c r="N42" s="1335" t="str">
        <f t="shared" si="11"/>
        <v/>
      </c>
      <c r="O42" s="1335" t="str">
        <f t="shared" si="9"/>
        <v/>
      </c>
      <c r="P42" s="25"/>
      <c r="Q42" s="25"/>
      <c r="R42" s="1215" t="b">
        <f t="shared" si="3"/>
        <v>0</v>
      </c>
      <c r="S42" s="1210" t="str">
        <f>IFERROR(VLOOKUP($B42,SEBusinessLiabilityTable[],S$9,FALSE),"")</f>
        <v/>
      </c>
      <c r="T42" s="1210" t="str">
        <f>IFERROR(VLOOKUP($B42,SEBusinessLiabilityTable[],T$9,FALSE),"")</f>
        <v/>
      </c>
      <c r="U42" s="1210" t="str">
        <f>IFERROR(VLOOKUP($B42,SEBusinessLiabilityTable[],U$9,FALSE),"")</f>
        <v/>
      </c>
      <c r="V42" s="1210" t="str">
        <f>IFERROR(VLOOKUP($B42,SEBusinessLiabilityTable[],V$9,FALSE),"")</f>
        <v/>
      </c>
      <c r="W42" s="1210" t="str">
        <f>IFERROR(VLOOKUP($B42,SEBusinessLiabilityTable[],W$9,FALSE),"")</f>
        <v/>
      </c>
      <c r="X42" s="1210" t="str">
        <f>IFERROR(VLOOKUP($B42,SEBusinessLiabilityTable[],X$9,FALSE),"")</f>
        <v/>
      </c>
      <c r="Y42" s="1210" t="str">
        <f>IFERROR(VLOOKUP($B42,SEBusinessLiabilityTable[],Y$9,FALSE),"")</f>
        <v/>
      </c>
      <c r="Z42" s="1210" t="str">
        <f>IFERROR(VLOOKUP($B42,SEBusinessLiabilityTable[],Z$9,FALSE),"")</f>
        <v/>
      </c>
      <c r="AA42" s="1210" t="str">
        <f>IFERROR(VLOOKUP($B42,SEBusinessLiabilityTable[],AA$9,FALSE),"")</f>
        <v/>
      </c>
      <c r="AB42" s="1210" t="str">
        <f>IFERROR(VLOOKUP($B42,SEBusinessLiabilityTable[],AB$9,FALSE),"")</f>
        <v/>
      </c>
      <c r="AC42" s="1210" t="str">
        <f>IFERROR(VLOOKUP($B42,SEBusinessLiabilityTable[],AC$9,FALSE),"")</f>
        <v/>
      </c>
      <c r="AD42" s="1210" t="str">
        <f>IFERROR(VLOOKUP($B42,SEBusinessLiabilityTable[],AD$9,FALSE),"")</f>
        <v/>
      </c>
      <c r="AE42" s="1210" t="str">
        <f>IFERROR(VLOOKUP($B42,SEBusinessLiabilityTable[],AE$9,FALSE),"")</f>
        <v/>
      </c>
      <c r="AF42" s="1210" t="str">
        <f>IFERROR(VLOOKUP($B42,SEBusinessLiabilityTable[],AF$9,FALSE),"")</f>
        <v/>
      </c>
      <c r="AG42" s="1210" t="str">
        <f>IFERROR(VLOOKUP($B42,SEBusinessLiabilityTable[],AG$9,FALSE),"")</f>
        <v/>
      </c>
      <c r="AH42" s="1210" t="str">
        <f>IFERROR(VLOOKUP($B42,SEBusinessLiabilityTable[],AH$9,FALSE),"")</f>
        <v/>
      </c>
      <c r="AJ42" s="1210">
        <f t="shared" si="4"/>
        <v>0</v>
      </c>
      <c r="AK42" s="1210">
        <f t="shared" si="5"/>
        <v>0</v>
      </c>
      <c r="AL42" s="1209" t="b">
        <f>IF(B42="Portfolio loan - sub account",IF(NOT(ISBLANK(J42)),IF(COUNTIF($J$12:$J$61,J42)&gt;1,IF(COUNTIFS(J$12:J42,J42,B$12:B42,"Portfolio loan - sub account")=1,TRUE,FALSE),TRUE),FALSE),FALSE)</f>
        <v>0</v>
      </c>
      <c r="AM42" s="1210">
        <f t="shared" si="6"/>
        <v>0</v>
      </c>
      <c r="AN42" s="1210" cm="1">
        <f t="array" ref="AN42">_xlfn.AGGREGATE(14,4,($B$12:$B$61="Portfolio loan - sub account")*($J$12:$J$61=J42)*$F$12:$F$61,1)</f>
        <v>0</v>
      </c>
      <c r="AO42" s="1210">
        <f t="shared" si="7"/>
        <v>0</v>
      </c>
      <c r="AP42" s="1210" t="str">
        <f t="shared" si="10"/>
        <v/>
      </c>
      <c r="AQ42" s="1210" t="str">
        <f t="shared" si="2"/>
        <v/>
      </c>
      <c r="AR42" s="1210" t="str">
        <f>IFERROR(IF(Z42,VLOOKUP($B42,SEBusinessLiabilityTable[],AR$9,FALSE),""),"")</f>
        <v/>
      </c>
      <c r="AS42" s="1210" t="str">
        <f>IFERROR(IF(AA42,VLOOKUP($B42,SEBusinessLiabilityTable[],AS$9,FALSE),""),"")</f>
        <v/>
      </c>
    </row>
    <row r="43" spans="1:45" ht="18.75" hidden="1" customHeight="1" x14ac:dyDescent="0.25">
      <c r="A43" s="552">
        <v>32</v>
      </c>
      <c r="B43" s="1213"/>
      <c r="C43" s="1332"/>
      <c r="D43" s="1333"/>
      <c r="E43" s="1333"/>
      <c r="F43" s="1214"/>
      <c r="G43" s="1213"/>
      <c r="H43" s="1333"/>
      <c r="I43" s="1333"/>
      <c r="J43" s="1334"/>
      <c r="K43" s="1213"/>
      <c r="L43" s="1211" t="str">
        <f t="shared" si="0"/>
        <v/>
      </c>
      <c r="M43" s="1335" t="str">
        <f t="shared" si="8"/>
        <v/>
      </c>
      <c r="N43" s="1335" t="str">
        <f t="shared" si="11"/>
        <v/>
      </c>
      <c r="O43" s="1335" t="str">
        <f t="shared" si="9"/>
        <v/>
      </c>
      <c r="P43" s="25"/>
      <c r="Q43" s="25"/>
      <c r="R43" s="1215" t="b">
        <f t="shared" si="3"/>
        <v>0</v>
      </c>
      <c r="S43" s="1210" t="str">
        <f>IFERROR(VLOOKUP($B43,SEBusinessLiabilityTable[],S$9,FALSE),"")</f>
        <v/>
      </c>
      <c r="T43" s="1210" t="str">
        <f>IFERROR(VLOOKUP($B43,SEBusinessLiabilityTable[],T$9,FALSE),"")</f>
        <v/>
      </c>
      <c r="U43" s="1210" t="str">
        <f>IFERROR(VLOOKUP($B43,SEBusinessLiabilityTable[],U$9,FALSE),"")</f>
        <v/>
      </c>
      <c r="V43" s="1210" t="str">
        <f>IFERROR(VLOOKUP($B43,SEBusinessLiabilityTable[],V$9,FALSE),"")</f>
        <v/>
      </c>
      <c r="W43" s="1210" t="str">
        <f>IFERROR(VLOOKUP($B43,SEBusinessLiabilityTable[],W$9,FALSE),"")</f>
        <v/>
      </c>
      <c r="X43" s="1210" t="str">
        <f>IFERROR(VLOOKUP($B43,SEBusinessLiabilityTable[],X$9,FALSE),"")</f>
        <v/>
      </c>
      <c r="Y43" s="1210" t="str">
        <f>IFERROR(VLOOKUP($B43,SEBusinessLiabilityTable[],Y$9,FALSE),"")</f>
        <v/>
      </c>
      <c r="Z43" s="1210" t="str">
        <f>IFERROR(VLOOKUP($B43,SEBusinessLiabilityTable[],Z$9,FALSE),"")</f>
        <v/>
      </c>
      <c r="AA43" s="1210" t="str">
        <f>IFERROR(VLOOKUP($B43,SEBusinessLiabilityTable[],AA$9,FALSE),"")</f>
        <v/>
      </c>
      <c r="AB43" s="1210" t="str">
        <f>IFERROR(VLOOKUP($B43,SEBusinessLiabilityTable[],AB$9,FALSE),"")</f>
        <v/>
      </c>
      <c r="AC43" s="1210" t="str">
        <f>IFERROR(VLOOKUP($B43,SEBusinessLiabilityTable[],AC$9,FALSE),"")</f>
        <v/>
      </c>
      <c r="AD43" s="1210" t="str">
        <f>IFERROR(VLOOKUP($B43,SEBusinessLiabilityTable[],AD$9,FALSE),"")</f>
        <v/>
      </c>
      <c r="AE43" s="1210" t="str">
        <f>IFERROR(VLOOKUP($B43,SEBusinessLiabilityTable[],AE$9,FALSE),"")</f>
        <v/>
      </c>
      <c r="AF43" s="1210" t="str">
        <f>IFERROR(VLOOKUP($B43,SEBusinessLiabilityTable[],AF$9,FALSE),"")</f>
        <v/>
      </c>
      <c r="AG43" s="1210" t="str">
        <f>IFERROR(VLOOKUP($B43,SEBusinessLiabilityTable[],AG$9,FALSE),"")</f>
        <v/>
      </c>
      <c r="AH43" s="1210" t="str">
        <f>IFERROR(VLOOKUP($B43,SEBusinessLiabilityTable[],AH$9,FALSE),"")</f>
        <v/>
      </c>
      <c r="AJ43" s="1210">
        <f t="shared" si="4"/>
        <v>0</v>
      </c>
      <c r="AK43" s="1210">
        <f t="shared" si="5"/>
        <v>0</v>
      </c>
      <c r="AL43" s="1209" t="b">
        <f>IF(B43="Portfolio loan - sub account",IF(NOT(ISBLANK(J43)),IF(COUNTIF($J$12:$J$61,J43)&gt;1,IF(COUNTIFS(J$12:J43,J43,B$12:B43,"Portfolio loan - sub account")=1,TRUE,FALSE),TRUE),FALSE),FALSE)</f>
        <v>0</v>
      </c>
      <c r="AM43" s="1210">
        <f t="shared" si="6"/>
        <v>0</v>
      </c>
      <c r="AN43" s="1210" cm="1">
        <f t="array" ref="AN43">_xlfn.AGGREGATE(14,4,($B$12:$B$61="Portfolio loan - sub account")*($J$12:$J$61=J43)*$F$12:$F$61,1)</f>
        <v>0</v>
      </c>
      <c r="AO43" s="1210">
        <f t="shared" si="7"/>
        <v>0</v>
      </c>
      <c r="AP43" s="1210" t="str">
        <f t="shared" si="10"/>
        <v/>
      </c>
      <c r="AQ43" s="1210" t="str">
        <f t="shared" si="2"/>
        <v/>
      </c>
      <c r="AR43" s="1210" t="str">
        <f>IFERROR(IF(Z43,VLOOKUP($B43,SEBusinessLiabilityTable[],AR$9,FALSE),""),"")</f>
        <v/>
      </c>
      <c r="AS43" s="1210" t="str">
        <f>IFERROR(IF(AA43,VLOOKUP($B43,SEBusinessLiabilityTable[],AS$9,FALSE),""),"")</f>
        <v/>
      </c>
    </row>
    <row r="44" spans="1:45" ht="18.75" hidden="1" customHeight="1" x14ac:dyDescent="0.25">
      <c r="A44" s="552">
        <v>33</v>
      </c>
      <c r="B44" s="1213"/>
      <c r="C44" s="1332"/>
      <c r="D44" s="1333"/>
      <c r="E44" s="1333"/>
      <c r="F44" s="1214"/>
      <c r="G44" s="1213"/>
      <c r="H44" s="1333"/>
      <c r="I44" s="1333"/>
      <c r="J44" s="1334"/>
      <c r="K44" s="1213"/>
      <c r="L44" s="1211" t="str">
        <f t="shared" ref="L44:L61" si="12">IFERROR(IF(R44,CHOOSE(AA44,MAX(F44+AG44,AH44,SDExistingMortgageTempFloorStandard),IF(AL44,MAX(AN44+AG44,AH44,SDExistingMortgageTempFloorStandard),""),MAX(F44,AH44),MAX(F44+AG44,AH44),F44,""),""),"")</f>
        <v/>
      </c>
      <c r="M44" s="1335" t="str">
        <f t="shared" si="8"/>
        <v/>
      </c>
      <c r="N44" s="1335" t="str">
        <f t="shared" si="11"/>
        <v/>
      </c>
      <c r="O44" s="1335" t="str">
        <f t="shared" si="9"/>
        <v/>
      </c>
      <c r="P44" s="25"/>
      <c r="Q44" s="25"/>
      <c r="R44" s="1215" t="b">
        <f t="shared" si="3"/>
        <v>0</v>
      </c>
      <c r="S44" s="1210" t="str">
        <f>IFERROR(VLOOKUP($B44,SEBusinessLiabilityTable[],S$9,FALSE),"")</f>
        <v/>
      </c>
      <c r="T44" s="1210" t="str">
        <f>IFERROR(VLOOKUP($B44,SEBusinessLiabilityTable[],T$9,FALSE),"")</f>
        <v/>
      </c>
      <c r="U44" s="1210" t="str">
        <f>IFERROR(VLOOKUP($B44,SEBusinessLiabilityTable[],U$9,FALSE),"")</f>
        <v/>
      </c>
      <c r="V44" s="1210" t="str">
        <f>IFERROR(VLOOKUP($B44,SEBusinessLiabilityTable[],V$9,FALSE),"")</f>
        <v/>
      </c>
      <c r="W44" s="1210" t="str">
        <f>IFERROR(VLOOKUP($B44,SEBusinessLiabilityTable[],W$9,FALSE),"")</f>
        <v/>
      </c>
      <c r="X44" s="1210" t="str">
        <f>IFERROR(VLOOKUP($B44,SEBusinessLiabilityTable[],X$9,FALSE),"")</f>
        <v/>
      </c>
      <c r="Y44" s="1210" t="str">
        <f>IFERROR(VLOOKUP($B44,SEBusinessLiabilityTable[],Y$9,FALSE),"")</f>
        <v/>
      </c>
      <c r="Z44" s="1210" t="str">
        <f>IFERROR(VLOOKUP($B44,SEBusinessLiabilityTable[],Z$9,FALSE),"")</f>
        <v/>
      </c>
      <c r="AA44" s="1210" t="str">
        <f>IFERROR(VLOOKUP($B44,SEBusinessLiabilityTable[],AA$9,FALSE),"")</f>
        <v/>
      </c>
      <c r="AB44" s="1210" t="str">
        <f>IFERROR(VLOOKUP($B44,SEBusinessLiabilityTable[],AB$9,FALSE),"")</f>
        <v/>
      </c>
      <c r="AC44" s="1210" t="str">
        <f>IFERROR(VLOOKUP($B44,SEBusinessLiabilityTable[],AC$9,FALSE),"")</f>
        <v/>
      </c>
      <c r="AD44" s="1210" t="str">
        <f>IFERROR(VLOOKUP($B44,SEBusinessLiabilityTable[],AD$9,FALSE),"")</f>
        <v/>
      </c>
      <c r="AE44" s="1210" t="str">
        <f>IFERROR(VLOOKUP($B44,SEBusinessLiabilityTable[],AE$9,FALSE),"")</f>
        <v/>
      </c>
      <c r="AF44" s="1210" t="str">
        <f>IFERROR(VLOOKUP($B44,SEBusinessLiabilityTable[],AF$9,FALSE),"")</f>
        <v/>
      </c>
      <c r="AG44" s="1210" t="str">
        <f>IFERROR(VLOOKUP($B44,SEBusinessLiabilityTable[],AG$9,FALSE),"")</f>
        <v/>
      </c>
      <c r="AH44" s="1210" t="str">
        <f>IFERROR(VLOOKUP($B44,SEBusinessLiabilityTable[],AH$9,FALSE),"")</f>
        <v/>
      </c>
      <c r="AJ44" s="1210">
        <f t="shared" si="4"/>
        <v>0</v>
      </c>
      <c r="AK44" s="1210">
        <f t="shared" si="5"/>
        <v>0</v>
      </c>
      <c r="AL44" s="1209" t="b">
        <f>IF(B44="Portfolio loan - sub account",IF(NOT(ISBLANK(J44)),IF(COUNTIF($J$12:$J$61,J44)&gt;1,IF(COUNTIFS(J$12:J44,J44,B$12:B44,"Portfolio loan - sub account")=1,TRUE,FALSE),TRUE),FALSE),FALSE)</f>
        <v>0</v>
      </c>
      <c r="AM44" s="1210">
        <f t="shared" si="6"/>
        <v>0</v>
      </c>
      <c r="AN44" s="1210" cm="1">
        <f t="array" ref="AN44">_xlfn.AGGREGATE(14,4,($B$12:$B$61="Portfolio loan - sub account")*($J$12:$J$61=J44)*$F$12:$F$61,1)</f>
        <v>0</v>
      </c>
      <c r="AO44" s="1210">
        <f t="shared" si="7"/>
        <v>0</v>
      </c>
      <c r="AP44" s="1210" t="str">
        <f t="shared" si="10"/>
        <v/>
      </c>
      <c r="AQ44" s="1210" t="str">
        <f t="shared" si="2"/>
        <v/>
      </c>
      <c r="AR44" s="1210" t="str">
        <f>IFERROR(IF(Z44,VLOOKUP($B44,SEBusinessLiabilityTable[],AR$9,FALSE),""),"")</f>
        <v/>
      </c>
      <c r="AS44" s="1210" t="str">
        <f>IFERROR(IF(AA44,VLOOKUP($B44,SEBusinessLiabilityTable[],AS$9,FALSE),""),"")</f>
        <v/>
      </c>
    </row>
    <row r="45" spans="1:45" ht="18.75" hidden="1" customHeight="1" x14ac:dyDescent="0.25">
      <c r="A45" s="552">
        <v>34</v>
      </c>
      <c r="B45" s="1213"/>
      <c r="C45" s="1332"/>
      <c r="D45" s="1333"/>
      <c r="E45" s="1333"/>
      <c r="F45" s="1214"/>
      <c r="G45" s="1213"/>
      <c r="H45" s="1333"/>
      <c r="I45" s="1333"/>
      <c r="J45" s="1334"/>
      <c r="K45" s="1213"/>
      <c r="L45" s="1211" t="str">
        <f t="shared" si="12"/>
        <v/>
      </c>
      <c r="M45" s="1335" t="str">
        <f t="shared" si="8"/>
        <v/>
      </c>
      <c r="N45" s="1335" t="str">
        <f t="shared" si="11"/>
        <v/>
      </c>
      <c r="O45" s="1335" t="str">
        <f t="shared" si="9"/>
        <v/>
      </c>
      <c r="P45" s="25"/>
      <c r="Q45" s="25"/>
      <c r="R45" s="1215" t="b">
        <f t="shared" si="3"/>
        <v>0</v>
      </c>
      <c r="S45" s="1210" t="str">
        <f>IFERROR(VLOOKUP($B45,SEBusinessLiabilityTable[],S$9,FALSE),"")</f>
        <v/>
      </c>
      <c r="T45" s="1210" t="str">
        <f>IFERROR(VLOOKUP($B45,SEBusinessLiabilityTable[],T$9,FALSE),"")</f>
        <v/>
      </c>
      <c r="U45" s="1210" t="str">
        <f>IFERROR(VLOOKUP($B45,SEBusinessLiabilityTable[],U$9,FALSE),"")</f>
        <v/>
      </c>
      <c r="V45" s="1210" t="str">
        <f>IFERROR(VLOOKUP($B45,SEBusinessLiabilityTable[],V$9,FALSE),"")</f>
        <v/>
      </c>
      <c r="W45" s="1210" t="str">
        <f>IFERROR(VLOOKUP($B45,SEBusinessLiabilityTable[],W$9,FALSE),"")</f>
        <v/>
      </c>
      <c r="X45" s="1210" t="str">
        <f>IFERROR(VLOOKUP($B45,SEBusinessLiabilityTable[],X$9,FALSE),"")</f>
        <v/>
      </c>
      <c r="Y45" s="1210" t="str">
        <f>IFERROR(VLOOKUP($B45,SEBusinessLiabilityTable[],Y$9,FALSE),"")</f>
        <v/>
      </c>
      <c r="Z45" s="1210" t="str">
        <f>IFERROR(VLOOKUP($B45,SEBusinessLiabilityTable[],Z$9,FALSE),"")</f>
        <v/>
      </c>
      <c r="AA45" s="1210" t="str">
        <f>IFERROR(VLOOKUP($B45,SEBusinessLiabilityTable[],AA$9,FALSE),"")</f>
        <v/>
      </c>
      <c r="AB45" s="1210" t="str">
        <f>IFERROR(VLOOKUP($B45,SEBusinessLiabilityTable[],AB$9,FALSE),"")</f>
        <v/>
      </c>
      <c r="AC45" s="1210" t="str">
        <f>IFERROR(VLOOKUP($B45,SEBusinessLiabilityTable[],AC$9,FALSE),"")</f>
        <v/>
      </c>
      <c r="AD45" s="1210" t="str">
        <f>IFERROR(VLOOKUP($B45,SEBusinessLiabilityTable[],AD$9,FALSE),"")</f>
        <v/>
      </c>
      <c r="AE45" s="1210" t="str">
        <f>IFERROR(VLOOKUP($B45,SEBusinessLiabilityTable[],AE$9,FALSE),"")</f>
        <v/>
      </c>
      <c r="AF45" s="1210" t="str">
        <f>IFERROR(VLOOKUP($B45,SEBusinessLiabilityTable[],AF$9,FALSE),"")</f>
        <v/>
      </c>
      <c r="AG45" s="1210" t="str">
        <f>IFERROR(VLOOKUP($B45,SEBusinessLiabilityTable[],AG$9,FALSE),"")</f>
        <v/>
      </c>
      <c r="AH45" s="1210" t="str">
        <f>IFERROR(VLOOKUP($B45,SEBusinessLiabilityTable[],AH$9,FALSE),"")</f>
        <v/>
      </c>
      <c r="AJ45" s="1210">
        <f t="shared" si="4"/>
        <v>0</v>
      </c>
      <c r="AK45" s="1210">
        <f t="shared" si="5"/>
        <v>0</v>
      </c>
      <c r="AL45" s="1209" t="b">
        <f>IF(B45="Portfolio loan - sub account",IF(NOT(ISBLANK(J45)),IF(COUNTIF($J$12:$J$61,J45)&gt;1,IF(COUNTIFS(J$12:J45,J45,B$12:B45,"Portfolio loan - sub account")=1,TRUE,FALSE),TRUE),FALSE),FALSE)</f>
        <v>0</v>
      </c>
      <c r="AM45" s="1210">
        <f t="shared" si="6"/>
        <v>0</v>
      </c>
      <c r="AN45" s="1210" cm="1">
        <f t="array" ref="AN45">_xlfn.AGGREGATE(14,4,($B$12:$B$61="Portfolio loan - sub account")*($J$12:$J$61=J45)*$F$12:$F$61,1)</f>
        <v>0</v>
      </c>
      <c r="AO45" s="1210">
        <f t="shared" si="7"/>
        <v>0</v>
      </c>
      <c r="AP45" s="1210" t="str">
        <f t="shared" si="10"/>
        <v/>
      </c>
      <c r="AQ45" s="1210" t="str">
        <f t="shared" si="2"/>
        <v/>
      </c>
      <c r="AR45" s="1210" t="str">
        <f>IFERROR(IF(Z45,VLOOKUP($B45,SEBusinessLiabilityTable[],AR$9,FALSE),""),"")</f>
        <v/>
      </c>
      <c r="AS45" s="1210" t="str">
        <f>IFERROR(IF(AA45,VLOOKUP($B45,SEBusinessLiabilityTable[],AS$9,FALSE),""),"")</f>
        <v/>
      </c>
    </row>
    <row r="46" spans="1:45" ht="18.75" hidden="1" customHeight="1" x14ac:dyDescent="0.25">
      <c r="A46" s="552">
        <v>35</v>
      </c>
      <c r="B46" s="1213"/>
      <c r="C46" s="1332"/>
      <c r="D46" s="1333"/>
      <c r="E46" s="1333"/>
      <c r="F46" s="1214"/>
      <c r="G46" s="1213"/>
      <c r="H46" s="1333"/>
      <c r="I46" s="1333"/>
      <c r="J46" s="1334"/>
      <c r="K46" s="1213"/>
      <c r="L46" s="1211" t="str">
        <f t="shared" si="12"/>
        <v/>
      </c>
      <c r="M46" s="1335" t="str">
        <f t="shared" si="8"/>
        <v/>
      </c>
      <c r="N46" s="1335" t="str">
        <f t="shared" si="11"/>
        <v/>
      </c>
      <c r="O46" s="1335" t="str">
        <f t="shared" si="9"/>
        <v/>
      </c>
      <c r="P46" s="25"/>
      <c r="Q46" s="25"/>
      <c r="R46" s="1215" t="b">
        <f t="shared" si="3"/>
        <v>0</v>
      </c>
      <c r="S46" s="1210" t="str">
        <f>IFERROR(VLOOKUP($B46,SEBusinessLiabilityTable[],S$9,FALSE),"")</f>
        <v/>
      </c>
      <c r="T46" s="1210" t="str">
        <f>IFERROR(VLOOKUP($B46,SEBusinessLiabilityTable[],T$9,FALSE),"")</f>
        <v/>
      </c>
      <c r="U46" s="1210" t="str">
        <f>IFERROR(VLOOKUP($B46,SEBusinessLiabilityTable[],U$9,FALSE),"")</f>
        <v/>
      </c>
      <c r="V46" s="1210" t="str">
        <f>IFERROR(VLOOKUP($B46,SEBusinessLiabilityTable[],V$9,FALSE),"")</f>
        <v/>
      </c>
      <c r="W46" s="1210" t="str">
        <f>IFERROR(VLOOKUP($B46,SEBusinessLiabilityTable[],W$9,FALSE),"")</f>
        <v/>
      </c>
      <c r="X46" s="1210" t="str">
        <f>IFERROR(VLOOKUP($B46,SEBusinessLiabilityTable[],X$9,FALSE),"")</f>
        <v/>
      </c>
      <c r="Y46" s="1210" t="str">
        <f>IFERROR(VLOOKUP($B46,SEBusinessLiabilityTable[],Y$9,FALSE),"")</f>
        <v/>
      </c>
      <c r="Z46" s="1210" t="str">
        <f>IFERROR(VLOOKUP($B46,SEBusinessLiabilityTable[],Z$9,FALSE),"")</f>
        <v/>
      </c>
      <c r="AA46" s="1210" t="str">
        <f>IFERROR(VLOOKUP($B46,SEBusinessLiabilityTable[],AA$9,FALSE),"")</f>
        <v/>
      </c>
      <c r="AB46" s="1210" t="str">
        <f>IFERROR(VLOOKUP($B46,SEBusinessLiabilityTable[],AB$9,FALSE),"")</f>
        <v/>
      </c>
      <c r="AC46" s="1210" t="str">
        <f>IFERROR(VLOOKUP($B46,SEBusinessLiabilityTable[],AC$9,FALSE),"")</f>
        <v/>
      </c>
      <c r="AD46" s="1210" t="str">
        <f>IFERROR(VLOOKUP($B46,SEBusinessLiabilityTable[],AD$9,FALSE),"")</f>
        <v/>
      </c>
      <c r="AE46" s="1210" t="str">
        <f>IFERROR(VLOOKUP($B46,SEBusinessLiabilityTable[],AE$9,FALSE),"")</f>
        <v/>
      </c>
      <c r="AF46" s="1210" t="str">
        <f>IFERROR(VLOOKUP($B46,SEBusinessLiabilityTable[],AF$9,FALSE),"")</f>
        <v/>
      </c>
      <c r="AG46" s="1210" t="str">
        <f>IFERROR(VLOOKUP($B46,SEBusinessLiabilityTable[],AG$9,FALSE),"")</f>
        <v/>
      </c>
      <c r="AH46" s="1210" t="str">
        <f>IFERROR(VLOOKUP($B46,SEBusinessLiabilityTable[],AH$9,FALSE),"")</f>
        <v/>
      </c>
      <c r="AJ46" s="1210">
        <f t="shared" si="4"/>
        <v>0</v>
      </c>
      <c r="AK46" s="1210">
        <f t="shared" si="5"/>
        <v>0</v>
      </c>
      <c r="AL46" s="1209" t="b">
        <f>IF(B46="Portfolio loan - sub account",IF(NOT(ISBLANK(J46)),IF(COUNTIF($J$12:$J$61,J46)&gt;1,IF(COUNTIFS(J$12:J46,J46,B$12:B46,"Portfolio loan - sub account")=1,TRUE,FALSE),TRUE),FALSE),FALSE)</f>
        <v>0</v>
      </c>
      <c r="AM46" s="1210">
        <f t="shared" si="6"/>
        <v>0</v>
      </c>
      <c r="AN46" s="1210" cm="1">
        <f t="array" ref="AN46">_xlfn.AGGREGATE(14,4,($B$12:$B$61="Portfolio loan - sub account")*($J$12:$J$61=J46)*$F$12:$F$61,1)</f>
        <v>0</v>
      </c>
      <c r="AO46" s="1210">
        <f t="shared" si="7"/>
        <v>0</v>
      </c>
      <c r="AP46" s="1210" t="str">
        <f t="shared" si="10"/>
        <v/>
      </c>
      <c r="AQ46" s="1210" t="str">
        <f t="shared" si="2"/>
        <v/>
      </c>
      <c r="AR46" s="1210" t="str">
        <f>IFERROR(IF(Z46,VLOOKUP($B46,SEBusinessLiabilityTable[],AR$9,FALSE),""),"")</f>
        <v/>
      </c>
      <c r="AS46" s="1210" t="str">
        <f>IFERROR(IF(AA46,VLOOKUP($B46,SEBusinessLiabilityTable[],AS$9,FALSE),""),"")</f>
        <v/>
      </c>
    </row>
    <row r="47" spans="1:45" ht="18.75" hidden="1" customHeight="1" x14ac:dyDescent="0.25">
      <c r="A47" s="552">
        <v>36</v>
      </c>
      <c r="B47" s="1213"/>
      <c r="C47" s="1332"/>
      <c r="D47" s="1333"/>
      <c r="E47" s="1333"/>
      <c r="F47" s="1214"/>
      <c r="G47" s="1213"/>
      <c r="H47" s="1333"/>
      <c r="I47" s="1333"/>
      <c r="J47" s="1334"/>
      <c r="K47" s="1213"/>
      <c r="L47" s="1211" t="str">
        <f t="shared" si="12"/>
        <v/>
      </c>
      <c r="M47" s="1335" t="str">
        <f t="shared" si="8"/>
        <v/>
      </c>
      <c r="N47" s="1335" t="str">
        <f t="shared" si="11"/>
        <v/>
      </c>
      <c r="O47" s="1335" t="str">
        <f t="shared" si="9"/>
        <v/>
      </c>
      <c r="P47" s="25"/>
      <c r="Q47" s="25"/>
      <c r="R47" s="1215" t="b">
        <f t="shared" si="3"/>
        <v>0</v>
      </c>
      <c r="S47" s="1210" t="str">
        <f>IFERROR(VLOOKUP($B47,SEBusinessLiabilityTable[],S$9,FALSE),"")</f>
        <v/>
      </c>
      <c r="T47" s="1210" t="str">
        <f>IFERROR(VLOOKUP($B47,SEBusinessLiabilityTable[],T$9,FALSE),"")</f>
        <v/>
      </c>
      <c r="U47" s="1210" t="str">
        <f>IFERROR(VLOOKUP($B47,SEBusinessLiabilityTable[],U$9,FALSE),"")</f>
        <v/>
      </c>
      <c r="V47" s="1210" t="str">
        <f>IFERROR(VLOOKUP($B47,SEBusinessLiabilityTable[],V$9,FALSE),"")</f>
        <v/>
      </c>
      <c r="W47" s="1210" t="str">
        <f>IFERROR(VLOOKUP($B47,SEBusinessLiabilityTable[],W$9,FALSE),"")</f>
        <v/>
      </c>
      <c r="X47" s="1210" t="str">
        <f>IFERROR(VLOOKUP($B47,SEBusinessLiabilityTable[],X$9,FALSE),"")</f>
        <v/>
      </c>
      <c r="Y47" s="1210" t="str">
        <f>IFERROR(VLOOKUP($B47,SEBusinessLiabilityTable[],Y$9,FALSE),"")</f>
        <v/>
      </c>
      <c r="Z47" s="1210" t="str">
        <f>IFERROR(VLOOKUP($B47,SEBusinessLiabilityTable[],Z$9,FALSE),"")</f>
        <v/>
      </c>
      <c r="AA47" s="1210" t="str">
        <f>IFERROR(VLOOKUP($B47,SEBusinessLiabilityTable[],AA$9,FALSE),"")</f>
        <v/>
      </c>
      <c r="AB47" s="1210" t="str">
        <f>IFERROR(VLOOKUP($B47,SEBusinessLiabilityTable[],AB$9,FALSE),"")</f>
        <v/>
      </c>
      <c r="AC47" s="1210" t="str">
        <f>IFERROR(VLOOKUP($B47,SEBusinessLiabilityTable[],AC$9,FALSE),"")</f>
        <v/>
      </c>
      <c r="AD47" s="1210" t="str">
        <f>IFERROR(VLOOKUP($B47,SEBusinessLiabilityTable[],AD$9,FALSE),"")</f>
        <v/>
      </c>
      <c r="AE47" s="1210" t="str">
        <f>IFERROR(VLOOKUP($B47,SEBusinessLiabilityTable[],AE$9,FALSE),"")</f>
        <v/>
      </c>
      <c r="AF47" s="1210" t="str">
        <f>IFERROR(VLOOKUP($B47,SEBusinessLiabilityTable[],AF$9,FALSE),"")</f>
        <v/>
      </c>
      <c r="AG47" s="1210" t="str">
        <f>IFERROR(VLOOKUP($B47,SEBusinessLiabilityTable[],AG$9,FALSE),"")</f>
        <v/>
      </c>
      <c r="AH47" s="1210" t="str">
        <f>IFERROR(VLOOKUP($B47,SEBusinessLiabilityTable[],AH$9,FALSE),"")</f>
        <v/>
      </c>
      <c r="AJ47" s="1210">
        <f t="shared" si="4"/>
        <v>0</v>
      </c>
      <c r="AK47" s="1210">
        <f t="shared" si="5"/>
        <v>0</v>
      </c>
      <c r="AL47" s="1209" t="b">
        <f>IF(B47="Portfolio loan - sub account",IF(NOT(ISBLANK(J47)),IF(COUNTIF($J$12:$J$61,J47)&gt;1,IF(COUNTIFS(J$12:J47,J47,B$12:B47,"Portfolio loan - sub account")=1,TRUE,FALSE),TRUE),FALSE),FALSE)</f>
        <v>0</v>
      </c>
      <c r="AM47" s="1210">
        <f t="shared" si="6"/>
        <v>0</v>
      </c>
      <c r="AN47" s="1210" cm="1">
        <f t="array" ref="AN47">_xlfn.AGGREGATE(14,4,($B$12:$B$61="Portfolio loan - sub account")*($J$12:$J$61=J47)*$F$12:$F$61,1)</f>
        <v>0</v>
      </c>
      <c r="AO47" s="1210">
        <f t="shared" si="7"/>
        <v>0</v>
      </c>
      <c r="AP47" s="1210" t="str">
        <f t="shared" si="10"/>
        <v/>
      </c>
      <c r="AQ47" s="1210" t="str">
        <f t="shared" si="2"/>
        <v/>
      </c>
      <c r="AR47" s="1210" t="str">
        <f>IFERROR(IF(Z47,VLOOKUP($B47,SEBusinessLiabilityTable[],AR$9,FALSE),""),"")</f>
        <v/>
      </c>
      <c r="AS47" s="1210" t="str">
        <f>IFERROR(IF(AA47,VLOOKUP($B47,SEBusinessLiabilityTable[],AS$9,FALSE),""),"")</f>
        <v/>
      </c>
    </row>
    <row r="48" spans="1:45" ht="18.75" hidden="1" customHeight="1" x14ac:dyDescent="0.25">
      <c r="A48" s="552">
        <v>37</v>
      </c>
      <c r="B48" s="1213"/>
      <c r="C48" s="1332"/>
      <c r="D48" s="1333"/>
      <c r="E48" s="1333"/>
      <c r="F48" s="1214"/>
      <c r="G48" s="1213"/>
      <c r="H48" s="1333"/>
      <c r="I48" s="1333"/>
      <c r="J48" s="1334"/>
      <c r="K48" s="1213"/>
      <c r="L48" s="1211" t="str">
        <f t="shared" si="12"/>
        <v/>
      </c>
      <c r="M48" s="1335" t="str">
        <f t="shared" si="8"/>
        <v/>
      </c>
      <c r="N48" s="1335" t="str">
        <f t="shared" si="11"/>
        <v/>
      </c>
      <c r="O48" s="1335" t="str">
        <f t="shared" si="9"/>
        <v/>
      </c>
      <c r="P48" s="25"/>
      <c r="Q48" s="25"/>
      <c r="R48" s="1215" t="b">
        <f t="shared" si="3"/>
        <v>0</v>
      </c>
      <c r="S48" s="1210" t="str">
        <f>IFERROR(VLOOKUP($B48,SEBusinessLiabilityTable[],S$9,FALSE),"")</f>
        <v/>
      </c>
      <c r="T48" s="1210" t="str">
        <f>IFERROR(VLOOKUP($B48,SEBusinessLiabilityTable[],T$9,FALSE),"")</f>
        <v/>
      </c>
      <c r="U48" s="1210" t="str">
        <f>IFERROR(VLOOKUP($B48,SEBusinessLiabilityTable[],U$9,FALSE),"")</f>
        <v/>
      </c>
      <c r="V48" s="1210" t="str">
        <f>IFERROR(VLOOKUP($B48,SEBusinessLiabilityTable[],V$9,FALSE),"")</f>
        <v/>
      </c>
      <c r="W48" s="1210" t="str">
        <f>IFERROR(VLOOKUP($B48,SEBusinessLiabilityTable[],W$9,FALSE),"")</f>
        <v/>
      </c>
      <c r="X48" s="1210" t="str">
        <f>IFERROR(VLOOKUP($B48,SEBusinessLiabilityTable[],X$9,FALSE),"")</f>
        <v/>
      </c>
      <c r="Y48" s="1210" t="str">
        <f>IFERROR(VLOOKUP($B48,SEBusinessLiabilityTable[],Y$9,FALSE),"")</f>
        <v/>
      </c>
      <c r="Z48" s="1210" t="str">
        <f>IFERROR(VLOOKUP($B48,SEBusinessLiabilityTable[],Z$9,FALSE),"")</f>
        <v/>
      </c>
      <c r="AA48" s="1210" t="str">
        <f>IFERROR(VLOOKUP($B48,SEBusinessLiabilityTable[],AA$9,FALSE),"")</f>
        <v/>
      </c>
      <c r="AB48" s="1210" t="str">
        <f>IFERROR(VLOOKUP($B48,SEBusinessLiabilityTable[],AB$9,FALSE),"")</f>
        <v/>
      </c>
      <c r="AC48" s="1210" t="str">
        <f>IFERROR(VLOOKUP($B48,SEBusinessLiabilityTable[],AC$9,FALSE),"")</f>
        <v/>
      </c>
      <c r="AD48" s="1210" t="str">
        <f>IFERROR(VLOOKUP($B48,SEBusinessLiabilityTable[],AD$9,FALSE),"")</f>
        <v/>
      </c>
      <c r="AE48" s="1210" t="str">
        <f>IFERROR(VLOOKUP($B48,SEBusinessLiabilityTable[],AE$9,FALSE),"")</f>
        <v/>
      </c>
      <c r="AF48" s="1210" t="str">
        <f>IFERROR(VLOOKUP($B48,SEBusinessLiabilityTable[],AF$9,FALSE),"")</f>
        <v/>
      </c>
      <c r="AG48" s="1210" t="str">
        <f>IFERROR(VLOOKUP($B48,SEBusinessLiabilityTable[],AG$9,FALSE),"")</f>
        <v/>
      </c>
      <c r="AH48" s="1210" t="str">
        <f>IFERROR(VLOOKUP($B48,SEBusinessLiabilityTable[],AH$9,FALSE),"")</f>
        <v/>
      </c>
      <c r="AJ48" s="1210">
        <f t="shared" si="4"/>
        <v>0</v>
      </c>
      <c r="AK48" s="1210">
        <f t="shared" si="5"/>
        <v>0</v>
      </c>
      <c r="AL48" s="1209" t="b">
        <f>IF(B48="Portfolio loan - sub account",IF(NOT(ISBLANK(J48)),IF(COUNTIF($J$12:$J$61,J48)&gt;1,IF(COUNTIFS(J$12:J48,J48,B$12:B48,"Portfolio loan - sub account")=1,TRUE,FALSE),TRUE),FALSE),FALSE)</f>
        <v>0</v>
      </c>
      <c r="AM48" s="1210">
        <f t="shared" si="6"/>
        <v>0</v>
      </c>
      <c r="AN48" s="1210" cm="1">
        <f t="array" ref="AN48">_xlfn.AGGREGATE(14,4,($B$12:$B$61="Portfolio loan - sub account")*($J$12:$J$61=J48)*$F$12:$F$61,1)</f>
        <v>0</v>
      </c>
      <c r="AO48" s="1210">
        <f t="shared" si="7"/>
        <v>0</v>
      </c>
      <c r="AP48" s="1210" t="str">
        <f t="shared" si="10"/>
        <v/>
      </c>
      <c r="AQ48" s="1210" t="str">
        <f t="shared" si="2"/>
        <v/>
      </c>
      <c r="AR48" s="1210" t="str">
        <f>IFERROR(IF(Z48,VLOOKUP($B48,SEBusinessLiabilityTable[],AR$9,FALSE),""),"")</f>
        <v/>
      </c>
      <c r="AS48" s="1210" t="str">
        <f>IFERROR(IF(AA48,VLOOKUP($B48,SEBusinessLiabilityTable[],AS$9,FALSE),""),"")</f>
        <v/>
      </c>
    </row>
    <row r="49" spans="1:45" ht="18.75" hidden="1" customHeight="1" x14ac:dyDescent="0.25">
      <c r="A49" s="552">
        <v>38</v>
      </c>
      <c r="B49" s="1213"/>
      <c r="C49" s="1332"/>
      <c r="D49" s="1333"/>
      <c r="E49" s="1333"/>
      <c r="F49" s="1214"/>
      <c r="G49" s="1213"/>
      <c r="H49" s="1333"/>
      <c r="I49" s="1333"/>
      <c r="J49" s="1334"/>
      <c r="K49" s="1213"/>
      <c r="L49" s="1211" t="str">
        <f t="shared" si="12"/>
        <v/>
      </c>
      <c r="M49" s="1335" t="str">
        <f t="shared" si="8"/>
        <v/>
      </c>
      <c r="N49" s="1335" t="str">
        <f t="shared" si="11"/>
        <v/>
      </c>
      <c r="O49" s="1335" t="str">
        <f t="shared" si="9"/>
        <v/>
      </c>
      <c r="P49" s="25"/>
      <c r="Q49" s="25"/>
      <c r="R49" s="1215" t="b">
        <f t="shared" si="3"/>
        <v>0</v>
      </c>
      <c r="S49" s="1210" t="str">
        <f>IFERROR(VLOOKUP($B49,SEBusinessLiabilityTable[],S$9,FALSE),"")</f>
        <v/>
      </c>
      <c r="T49" s="1210" t="str">
        <f>IFERROR(VLOOKUP($B49,SEBusinessLiabilityTable[],T$9,FALSE),"")</f>
        <v/>
      </c>
      <c r="U49" s="1210" t="str">
        <f>IFERROR(VLOOKUP($B49,SEBusinessLiabilityTable[],U$9,FALSE),"")</f>
        <v/>
      </c>
      <c r="V49" s="1210" t="str">
        <f>IFERROR(VLOOKUP($B49,SEBusinessLiabilityTable[],V$9,FALSE),"")</f>
        <v/>
      </c>
      <c r="W49" s="1210" t="str">
        <f>IFERROR(VLOOKUP($B49,SEBusinessLiabilityTable[],W$9,FALSE),"")</f>
        <v/>
      </c>
      <c r="X49" s="1210" t="str">
        <f>IFERROR(VLOOKUP($B49,SEBusinessLiabilityTable[],X$9,FALSE),"")</f>
        <v/>
      </c>
      <c r="Y49" s="1210" t="str">
        <f>IFERROR(VLOOKUP($B49,SEBusinessLiabilityTable[],Y$9,FALSE),"")</f>
        <v/>
      </c>
      <c r="Z49" s="1210" t="str">
        <f>IFERROR(VLOOKUP($B49,SEBusinessLiabilityTable[],Z$9,FALSE),"")</f>
        <v/>
      </c>
      <c r="AA49" s="1210" t="str">
        <f>IFERROR(VLOOKUP($B49,SEBusinessLiabilityTable[],AA$9,FALSE),"")</f>
        <v/>
      </c>
      <c r="AB49" s="1210" t="str">
        <f>IFERROR(VLOOKUP($B49,SEBusinessLiabilityTable[],AB$9,FALSE),"")</f>
        <v/>
      </c>
      <c r="AC49" s="1210" t="str">
        <f>IFERROR(VLOOKUP($B49,SEBusinessLiabilityTable[],AC$9,FALSE),"")</f>
        <v/>
      </c>
      <c r="AD49" s="1210" t="str">
        <f>IFERROR(VLOOKUP($B49,SEBusinessLiabilityTable[],AD$9,FALSE),"")</f>
        <v/>
      </c>
      <c r="AE49" s="1210" t="str">
        <f>IFERROR(VLOOKUP($B49,SEBusinessLiabilityTable[],AE$9,FALSE),"")</f>
        <v/>
      </c>
      <c r="AF49" s="1210" t="str">
        <f>IFERROR(VLOOKUP($B49,SEBusinessLiabilityTable[],AF$9,FALSE),"")</f>
        <v/>
      </c>
      <c r="AG49" s="1210" t="str">
        <f>IFERROR(VLOOKUP($B49,SEBusinessLiabilityTable[],AG$9,FALSE),"")</f>
        <v/>
      </c>
      <c r="AH49" s="1210" t="str">
        <f>IFERROR(VLOOKUP($B49,SEBusinessLiabilityTable[],AH$9,FALSE),"")</f>
        <v/>
      </c>
      <c r="AJ49" s="1210">
        <f t="shared" si="4"/>
        <v>0</v>
      </c>
      <c r="AK49" s="1210">
        <f t="shared" si="5"/>
        <v>0</v>
      </c>
      <c r="AL49" s="1209" t="b">
        <f>IF(B49="Portfolio loan - sub account",IF(NOT(ISBLANK(J49)),IF(COUNTIF($J$12:$J$61,J49)&gt;1,IF(COUNTIFS(J$12:J49,J49,B$12:B49,"Portfolio loan - sub account")=1,TRUE,FALSE),TRUE),FALSE),FALSE)</f>
        <v>0</v>
      </c>
      <c r="AM49" s="1210">
        <f t="shared" si="6"/>
        <v>0</v>
      </c>
      <c r="AN49" s="1210" cm="1">
        <f t="array" ref="AN49">_xlfn.AGGREGATE(14,4,($B$12:$B$61="Portfolio loan - sub account")*($J$12:$J$61=J49)*$F$12:$F$61,1)</f>
        <v>0</v>
      </c>
      <c r="AO49" s="1210">
        <f t="shared" si="7"/>
        <v>0</v>
      </c>
      <c r="AP49" s="1210" t="str">
        <f t="shared" si="10"/>
        <v/>
      </c>
      <c r="AQ49" s="1210" t="str">
        <f t="shared" si="2"/>
        <v/>
      </c>
      <c r="AR49" s="1210" t="str">
        <f>IFERROR(IF(Z49,VLOOKUP($B49,SEBusinessLiabilityTable[],AR$9,FALSE),""),"")</f>
        <v/>
      </c>
      <c r="AS49" s="1210" t="str">
        <f>IFERROR(IF(AA49,VLOOKUP($B49,SEBusinessLiabilityTable[],AS$9,FALSE),""),"")</f>
        <v/>
      </c>
    </row>
    <row r="50" spans="1:45" ht="18.75" hidden="1" customHeight="1" x14ac:dyDescent="0.25">
      <c r="A50" s="552">
        <v>39</v>
      </c>
      <c r="B50" s="1213"/>
      <c r="C50" s="1332"/>
      <c r="D50" s="1333"/>
      <c r="E50" s="1333"/>
      <c r="F50" s="1214"/>
      <c r="G50" s="1213"/>
      <c r="H50" s="1333"/>
      <c r="I50" s="1333"/>
      <c r="J50" s="1334"/>
      <c r="K50" s="1213"/>
      <c r="L50" s="1211" t="str">
        <f t="shared" si="12"/>
        <v/>
      </c>
      <c r="M50" s="1335" t="str">
        <f t="shared" si="8"/>
        <v/>
      </c>
      <c r="N50" s="1335" t="str">
        <f t="shared" si="11"/>
        <v/>
      </c>
      <c r="O50" s="1335" t="str">
        <f t="shared" si="9"/>
        <v/>
      </c>
      <c r="P50" s="25"/>
      <c r="Q50" s="25"/>
      <c r="R50" s="1215" t="b">
        <f t="shared" si="3"/>
        <v>0</v>
      </c>
      <c r="S50" s="1210" t="str">
        <f>IFERROR(VLOOKUP($B50,SEBusinessLiabilityTable[],S$9,FALSE),"")</f>
        <v/>
      </c>
      <c r="T50" s="1210" t="str">
        <f>IFERROR(VLOOKUP($B50,SEBusinessLiabilityTable[],T$9,FALSE),"")</f>
        <v/>
      </c>
      <c r="U50" s="1210" t="str">
        <f>IFERROR(VLOOKUP($B50,SEBusinessLiabilityTable[],U$9,FALSE),"")</f>
        <v/>
      </c>
      <c r="V50" s="1210" t="str">
        <f>IFERROR(VLOOKUP($B50,SEBusinessLiabilityTable[],V$9,FALSE),"")</f>
        <v/>
      </c>
      <c r="W50" s="1210" t="str">
        <f>IFERROR(VLOOKUP($B50,SEBusinessLiabilityTable[],W$9,FALSE),"")</f>
        <v/>
      </c>
      <c r="X50" s="1210" t="str">
        <f>IFERROR(VLOOKUP($B50,SEBusinessLiabilityTable[],X$9,FALSE),"")</f>
        <v/>
      </c>
      <c r="Y50" s="1210" t="str">
        <f>IFERROR(VLOOKUP($B50,SEBusinessLiabilityTable[],Y$9,FALSE),"")</f>
        <v/>
      </c>
      <c r="Z50" s="1210" t="str">
        <f>IFERROR(VLOOKUP($B50,SEBusinessLiabilityTable[],Z$9,FALSE),"")</f>
        <v/>
      </c>
      <c r="AA50" s="1210" t="str">
        <f>IFERROR(VLOOKUP($B50,SEBusinessLiabilityTable[],AA$9,FALSE),"")</f>
        <v/>
      </c>
      <c r="AB50" s="1210" t="str">
        <f>IFERROR(VLOOKUP($B50,SEBusinessLiabilityTable[],AB$9,FALSE),"")</f>
        <v/>
      </c>
      <c r="AC50" s="1210" t="str">
        <f>IFERROR(VLOOKUP($B50,SEBusinessLiabilityTable[],AC$9,FALSE),"")</f>
        <v/>
      </c>
      <c r="AD50" s="1210" t="str">
        <f>IFERROR(VLOOKUP($B50,SEBusinessLiabilityTable[],AD$9,FALSE),"")</f>
        <v/>
      </c>
      <c r="AE50" s="1210" t="str">
        <f>IFERROR(VLOOKUP($B50,SEBusinessLiabilityTable[],AE$9,FALSE),"")</f>
        <v/>
      </c>
      <c r="AF50" s="1210" t="str">
        <f>IFERROR(VLOOKUP($B50,SEBusinessLiabilityTable[],AF$9,FALSE),"")</f>
        <v/>
      </c>
      <c r="AG50" s="1210" t="str">
        <f>IFERROR(VLOOKUP($B50,SEBusinessLiabilityTable[],AG$9,FALSE),"")</f>
        <v/>
      </c>
      <c r="AH50" s="1210" t="str">
        <f>IFERROR(VLOOKUP($B50,SEBusinessLiabilityTable[],AH$9,FALSE),"")</f>
        <v/>
      </c>
      <c r="AJ50" s="1210">
        <f t="shared" si="4"/>
        <v>0</v>
      </c>
      <c r="AK50" s="1210">
        <f t="shared" si="5"/>
        <v>0</v>
      </c>
      <c r="AL50" s="1209" t="b">
        <f>IF(B50="Portfolio loan - sub account",IF(NOT(ISBLANK(J50)),IF(COUNTIF($J$12:$J$61,J50)&gt;1,IF(COUNTIFS(J$12:J50,J50,B$12:B50,"Portfolio loan - sub account")=1,TRUE,FALSE),TRUE),FALSE),FALSE)</f>
        <v>0</v>
      </c>
      <c r="AM50" s="1210">
        <f t="shared" si="6"/>
        <v>0</v>
      </c>
      <c r="AN50" s="1210" cm="1">
        <f t="array" ref="AN50">_xlfn.AGGREGATE(14,4,($B$12:$B$61="Portfolio loan - sub account")*($J$12:$J$61=J50)*$F$12:$F$61,1)</f>
        <v>0</v>
      </c>
      <c r="AO50" s="1210">
        <f t="shared" si="7"/>
        <v>0</v>
      </c>
      <c r="AP50" s="1210" t="str">
        <f t="shared" si="10"/>
        <v/>
      </c>
      <c r="AQ50" s="1210" t="str">
        <f t="shared" si="2"/>
        <v/>
      </c>
      <c r="AR50" s="1210" t="str">
        <f>IFERROR(IF(Z50,VLOOKUP($B50,SEBusinessLiabilityTable[],AR$9,FALSE),""),"")</f>
        <v/>
      </c>
      <c r="AS50" s="1210" t="str">
        <f>IFERROR(IF(AA50,VLOOKUP($B50,SEBusinessLiabilityTable[],AS$9,FALSE),""),"")</f>
        <v/>
      </c>
    </row>
    <row r="51" spans="1:45" ht="18.75" hidden="1" customHeight="1" x14ac:dyDescent="0.25">
      <c r="A51" s="552">
        <v>40</v>
      </c>
      <c r="B51" s="1213"/>
      <c r="C51" s="1332"/>
      <c r="D51" s="1333"/>
      <c r="E51" s="1333"/>
      <c r="F51" s="1214"/>
      <c r="G51" s="1213"/>
      <c r="H51" s="1333"/>
      <c r="I51" s="1333"/>
      <c r="J51" s="1334"/>
      <c r="K51" s="1213"/>
      <c r="L51" s="1211" t="str">
        <f t="shared" si="12"/>
        <v/>
      </c>
      <c r="M51" s="1335" t="str">
        <f t="shared" si="8"/>
        <v/>
      </c>
      <c r="N51" s="1335" t="str">
        <f t="shared" si="11"/>
        <v/>
      </c>
      <c r="O51" s="1335" t="str">
        <f t="shared" si="9"/>
        <v/>
      </c>
      <c r="P51" s="25"/>
      <c r="Q51" s="25"/>
      <c r="R51" s="1215" t="b">
        <f t="shared" si="3"/>
        <v>0</v>
      </c>
      <c r="S51" s="1210" t="str">
        <f>IFERROR(VLOOKUP($B51,SEBusinessLiabilityTable[],S$9,FALSE),"")</f>
        <v/>
      </c>
      <c r="T51" s="1210" t="str">
        <f>IFERROR(VLOOKUP($B51,SEBusinessLiabilityTable[],T$9,FALSE),"")</f>
        <v/>
      </c>
      <c r="U51" s="1210" t="str">
        <f>IFERROR(VLOOKUP($B51,SEBusinessLiabilityTable[],U$9,FALSE),"")</f>
        <v/>
      </c>
      <c r="V51" s="1210" t="str">
        <f>IFERROR(VLOOKUP($B51,SEBusinessLiabilityTable[],V$9,FALSE),"")</f>
        <v/>
      </c>
      <c r="W51" s="1210" t="str">
        <f>IFERROR(VLOOKUP($B51,SEBusinessLiabilityTable[],W$9,FALSE),"")</f>
        <v/>
      </c>
      <c r="X51" s="1210" t="str">
        <f>IFERROR(VLOOKUP($B51,SEBusinessLiabilityTable[],X$9,FALSE),"")</f>
        <v/>
      </c>
      <c r="Y51" s="1210" t="str">
        <f>IFERROR(VLOOKUP($B51,SEBusinessLiabilityTable[],Y$9,FALSE),"")</f>
        <v/>
      </c>
      <c r="Z51" s="1210" t="str">
        <f>IFERROR(VLOOKUP($B51,SEBusinessLiabilityTable[],Z$9,FALSE),"")</f>
        <v/>
      </c>
      <c r="AA51" s="1210" t="str">
        <f>IFERROR(VLOOKUP($B51,SEBusinessLiabilityTable[],AA$9,FALSE),"")</f>
        <v/>
      </c>
      <c r="AB51" s="1210" t="str">
        <f>IFERROR(VLOOKUP($B51,SEBusinessLiabilityTable[],AB$9,FALSE),"")</f>
        <v/>
      </c>
      <c r="AC51" s="1210" t="str">
        <f>IFERROR(VLOOKUP($B51,SEBusinessLiabilityTable[],AC$9,FALSE),"")</f>
        <v/>
      </c>
      <c r="AD51" s="1210" t="str">
        <f>IFERROR(VLOOKUP($B51,SEBusinessLiabilityTable[],AD$9,FALSE),"")</f>
        <v/>
      </c>
      <c r="AE51" s="1210" t="str">
        <f>IFERROR(VLOOKUP($B51,SEBusinessLiabilityTable[],AE$9,FALSE),"")</f>
        <v/>
      </c>
      <c r="AF51" s="1210" t="str">
        <f>IFERROR(VLOOKUP($B51,SEBusinessLiabilityTable[],AF$9,FALSE),"")</f>
        <v/>
      </c>
      <c r="AG51" s="1210" t="str">
        <f>IFERROR(VLOOKUP($B51,SEBusinessLiabilityTable[],AG$9,FALSE),"")</f>
        <v/>
      </c>
      <c r="AH51" s="1210" t="str">
        <f>IFERROR(VLOOKUP($B51,SEBusinessLiabilityTable[],AH$9,FALSE),"")</f>
        <v/>
      </c>
      <c r="AJ51" s="1210">
        <f t="shared" si="4"/>
        <v>0</v>
      </c>
      <c r="AK51" s="1210">
        <f t="shared" si="5"/>
        <v>0</v>
      </c>
      <c r="AL51" s="1209" t="b">
        <f>IF(B51="Portfolio loan - sub account",IF(NOT(ISBLANK(J51)),IF(COUNTIF($J$12:$J$61,J51)&gt;1,IF(COUNTIFS(J$12:J51,J51,B$12:B51,"Portfolio loan - sub account")=1,TRUE,FALSE),TRUE),FALSE),FALSE)</f>
        <v>0</v>
      </c>
      <c r="AM51" s="1210">
        <f t="shared" si="6"/>
        <v>0</v>
      </c>
      <c r="AN51" s="1210" cm="1">
        <f t="array" ref="AN51">_xlfn.AGGREGATE(14,4,($B$12:$B$61="Portfolio loan - sub account")*($J$12:$J$61=J51)*$F$12:$F$61,1)</f>
        <v>0</v>
      </c>
      <c r="AO51" s="1210">
        <f t="shared" si="7"/>
        <v>0</v>
      </c>
      <c r="AP51" s="1210" t="str">
        <f t="shared" si="10"/>
        <v/>
      </c>
      <c r="AQ51" s="1210" t="str">
        <f t="shared" si="2"/>
        <v/>
      </c>
      <c r="AR51" s="1210" t="str">
        <f>IFERROR(IF(Z51,VLOOKUP($B51,SEBusinessLiabilityTable[],AR$9,FALSE),""),"")</f>
        <v/>
      </c>
      <c r="AS51" s="1210" t="str">
        <f>IFERROR(IF(AA51,VLOOKUP($B51,SEBusinessLiabilityTable[],AS$9,FALSE),""),"")</f>
        <v/>
      </c>
    </row>
    <row r="52" spans="1:45" ht="18.75" hidden="1" customHeight="1" x14ac:dyDescent="0.25">
      <c r="A52" s="552">
        <v>41</v>
      </c>
      <c r="B52" s="1213"/>
      <c r="C52" s="1332"/>
      <c r="D52" s="1333"/>
      <c r="E52" s="1333"/>
      <c r="F52" s="1214"/>
      <c r="G52" s="1213"/>
      <c r="H52" s="1333"/>
      <c r="I52" s="1333"/>
      <c r="J52" s="1334"/>
      <c r="K52" s="1213"/>
      <c r="L52" s="1211" t="str">
        <f t="shared" si="12"/>
        <v/>
      </c>
      <c r="M52" s="1335" t="str">
        <f t="shared" si="8"/>
        <v/>
      </c>
      <c r="N52" s="1335" t="str">
        <f t="shared" si="11"/>
        <v/>
      </c>
      <c r="O52" s="1335" t="str">
        <f t="shared" si="9"/>
        <v/>
      </c>
      <c r="P52" s="25"/>
      <c r="Q52" s="25"/>
      <c r="R52" s="1215" t="b">
        <f t="shared" si="3"/>
        <v>0</v>
      </c>
      <c r="S52" s="1210" t="str">
        <f>IFERROR(VLOOKUP($B52,SEBusinessLiabilityTable[],S$9,FALSE),"")</f>
        <v/>
      </c>
      <c r="T52" s="1210" t="str">
        <f>IFERROR(VLOOKUP($B52,SEBusinessLiabilityTable[],T$9,FALSE),"")</f>
        <v/>
      </c>
      <c r="U52" s="1210" t="str">
        <f>IFERROR(VLOOKUP($B52,SEBusinessLiabilityTable[],U$9,FALSE),"")</f>
        <v/>
      </c>
      <c r="V52" s="1210" t="str">
        <f>IFERROR(VLOOKUP($B52,SEBusinessLiabilityTable[],V$9,FALSE),"")</f>
        <v/>
      </c>
      <c r="W52" s="1210" t="str">
        <f>IFERROR(VLOOKUP($B52,SEBusinessLiabilityTable[],W$9,FALSE),"")</f>
        <v/>
      </c>
      <c r="X52" s="1210" t="str">
        <f>IFERROR(VLOOKUP($B52,SEBusinessLiabilityTable[],X$9,FALSE),"")</f>
        <v/>
      </c>
      <c r="Y52" s="1210" t="str">
        <f>IFERROR(VLOOKUP($B52,SEBusinessLiabilityTable[],Y$9,FALSE),"")</f>
        <v/>
      </c>
      <c r="Z52" s="1210" t="str">
        <f>IFERROR(VLOOKUP($B52,SEBusinessLiabilityTable[],Z$9,FALSE),"")</f>
        <v/>
      </c>
      <c r="AA52" s="1210" t="str">
        <f>IFERROR(VLOOKUP($B52,SEBusinessLiabilityTable[],AA$9,FALSE),"")</f>
        <v/>
      </c>
      <c r="AB52" s="1210" t="str">
        <f>IFERROR(VLOOKUP($B52,SEBusinessLiabilityTable[],AB$9,FALSE),"")</f>
        <v/>
      </c>
      <c r="AC52" s="1210" t="str">
        <f>IFERROR(VLOOKUP($B52,SEBusinessLiabilityTable[],AC$9,FALSE),"")</f>
        <v/>
      </c>
      <c r="AD52" s="1210" t="str">
        <f>IFERROR(VLOOKUP($B52,SEBusinessLiabilityTable[],AD$9,FALSE),"")</f>
        <v/>
      </c>
      <c r="AE52" s="1210" t="str">
        <f>IFERROR(VLOOKUP($B52,SEBusinessLiabilityTable[],AE$9,FALSE),"")</f>
        <v/>
      </c>
      <c r="AF52" s="1210" t="str">
        <f>IFERROR(VLOOKUP($B52,SEBusinessLiabilityTable[],AF$9,FALSE),"")</f>
        <v/>
      </c>
      <c r="AG52" s="1210" t="str">
        <f>IFERROR(VLOOKUP($B52,SEBusinessLiabilityTable[],AG$9,FALSE),"")</f>
        <v/>
      </c>
      <c r="AH52" s="1210" t="str">
        <f>IFERROR(VLOOKUP($B52,SEBusinessLiabilityTable[],AH$9,FALSE),"")</f>
        <v/>
      </c>
      <c r="AJ52" s="1210">
        <f t="shared" si="4"/>
        <v>0</v>
      </c>
      <c r="AK52" s="1210">
        <f t="shared" si="5"/>
        <v>0</v>
      </c>
      <c r="AL52" s="1209" t="b">
        <f>IF(B52="Portfolio loan - sub account",IF(NOT(ISBLANK(J52)),IF(COUNTIF($J$12:$J$61,J52)&gt;1,IF(COUNTIFS(J$12:J52,J52,B$12:B52,"Portfolio loan - sub account")=1,TRUE,FALSE),TRUE),FALSE),FALSE)</f>
        <v>0</v>
      </c>
      <c r="AM52" s="1210">
        <f t="shared" si="6"/>
        <v>0</v>
      </c>
      <c r="AN52" s="1210" cm="1">
        <f t="array" ref="AN52">_xlfn.AGGREGATE(14,4,($B$12:$B$61="Portfolio loan - sub account")*($J$12:$J$61=J52)*$F$12:$F$61,1)</f>
        <v>0</v>
      </c>
      <c r="AO52" s="1210">
        <f t="shared" si="7"/>
        <v>0</v>
      </c>
      <c r="AP52" s="1210" t="str">
        <f t="shared" si="10"/>
        <v/>
      </c>
      <c r="AQ52" s="1210" t="str">
        <f t="shared" si="2"/>
        <v/>
      </c>
      <c r="AR52" s="1210" t="str">
        <f>IFERROR(IF(Z52,VLOOKUP($B52,SEBusinessLiabilityTable[],AR$9,FALSE),""),"")</f>
        <v/>
      </c>
      <c r="AS52" s="1210" t="str">
        <f>IFERROR(IF(AA52,VLOOKUP($B52,SEBusinessLiabilityTable[],AS$9,FALSE),""),"")</f>
        <v/>
      </c>
    </row>
    <row r="53" spans="1:45" ht="18.75" hidden="1" customHeight="1" x14ac:dyDescent="0.25">
      <c r="A53" s="552">
        <v>42</v>
      </c>
      <c r="B53" s="1213"/>
      <c r="C53" s="1332"/>
      <c r="D53" s="1333"/>
      <c r="E53" s="1333"/>
      <c r="F53" s="1214"/>
      <c r="G53" s="1213"/>
      <c r="H53" s="1333"/>
      <c r="I53" s="1333"/>
      <c r="J53" s="1334"/>
      <c r="K53" s="1213"/>
      <c r="L53" s="1211" t="str">
        <f t="shared" si="12"/>
        <v/>
      </c>
      <c r="M53" s="1335" t="str">
        <f t="shared" si="8"/>
        <v/>
      </c>
      <c r="N53" s="1335" t="str">
        <f t="shared" si="11"/>
        <v/>
      </c>
      <c r="O53" s="1335" t="str">
        <f t="shared" si="9"/>
        <v/>
      </c>
      <c r="P53" s="25"/>
      <c r="Q53" s="25"/>
      <c r="R53" s="1215" t="b">
        <f t="shared" si="3"/>
        <v>0</v>
      </c>
      <c r="S53" s="1210" t="str">
        <f>IFERROR(VLOOKUP($B53,SEBusinessLiabilityTable[],S$9,FALSE),"")</f>
        <v/>
      </c>
      <c r="T53" s="1210" t="str">
        <f>IFERROR(VLOOKUP($B53,SEBusinessLiabilityTable[],T$9,FALSE),"")</f>
        <v/>
      </c>
      <c r="U53" s="1210" t="str">
        <f>IFERROR(VLOOKUP($B53,SEBusinessLiabilityTable[],U$9,FALSE),"")</f>
        <v/>
      </c>
      <c r="V53" s="1210" t="str">
        <f>IFERROR(VLOOKUP($B53,SEBusinessLiabilityTable[],V$9,FALSE),"")</f>
        <v/>
      </c>
      <c r="W53" s="1210" t="str">
        <f>IFERROR(VLOOKUP($B53,SEBusinessLiabilityTable[],W$9,FALSE),"")</f>
        <v/>
      </c>
      <c r="X53" s="1210" t="str">
        <f>IFERROR(VLOOKUP($B53,SEBusinessLiabilityTable[],X$9,FALSE),"")</f>
        <v/>
      </c>
      <c r="Y53" s="1210" t="str">
        <f>IFERROR(VLOOKUP($B53,SEBusinessLiabilityTable[],Y$9,FALSE),"")</f>
        <v/>
      </c>
      <c r="Z53" s="1210" t="str">
        <f>IFERROR(VLOOKUP($B53,SEBusinessLiabilityTable[],Z$9,FALSE),"")</f>
        <v/>
      </c>
      <c r="AA53" s="1210" t="str">
        <f>IFERROR(VLOOKUP($B53,SEBusinessLiabilityTable[],AA$9,FALSE),"")</f>
        <v/>
      </c>
      <c r="AB53" s="1210" t="str">
        <f>IFERROR(VLOOKUP($B53,SEBusinessLiabilityTable[],AB$9,FALSE),"")</f>
        <v/>
      </c>
      <c r="AC53" s="1210" t="str">
        <f>IFERROR(VLOOKUP($B53,SEBusinessLiabilityTable[],AC$9,FALSE),"")</f>
        <v/>
      </c>
      <c r="AD53" s="1210" t="str">
        <f>IFERROR(VLOOKUP($B53,SEBusinessLiabilityTable[],AD$9,FALSE),"")</f>
        <v/>
      </c>
      <c r="AE53" s="1210" t="str">
        <f>IFERROR(VLOOKUP($B53,SEBusinessLiabilityTable[],AE$9,FALSE),"")</f>
        <v/>
      </c>
      <c r="AF53" s="1210" t="str">
        <f>IFERROR(VLOOKUP($B53,SEBusinessLiabilityTable[],AF$9,FALSE),"")</f>
        <v/>
      </c>
      <c r="AG53" s="1210" t="str">
        <f>IFERROR(VLOOKUP($B53,SEBusinessLiabilityTable[],AG$9,FALSE),"")</f>
        <v/>
      </c>
      <c r="AH53" s="1210" t="str">
        <f>IFERROR(VLOOKUP($B53,SEBusinessLiabilityTable[],AH$9,FALSE),"")</f>
        <v/>
      </c>
      <c r="AJ53" s="1210">
        <f t="shared" si="4"/>
        <v>0</v>
      </c>
      <c r="AK53" s="1210">
        <f t="shared" si="5"/>
        <v>0</v>
      </c>
      <c r="AL53" s="1209" t="b">
        <f>IF(B53="Portfolio loan - sub account",IF(NOT(ISBLANK(J53)),IF(COUNTIF($J$12:$J$61,J53)&gt;1,IF(COUNTIFS(J$12:J53,J53,B$12:B53,"Portfolio loan - sub account")=1,TRUE,FALSE),TRUE),FALSE),FALSE)</f>
        <v>0</v>
      </c>
      <c r="AM53" s="1210">
        <f t="shared" si="6"/>
        <v>0</v>
      </c>
      <c r="AN53" s="1210" cm="1">
        <f t="array" ref="AN53">_xlfn.AGGREGATE(14,4,($B$12:$B$61="Portfolio loan - sub account")*($J$12:$J$61=J53)*$F$12:$F$61,1)</f>
        <v>0</v>
      </c>
      <c r="AO53" s="1210">
        <f t="shared" si="7"/>
        <v>0</v>
      </c>
      <c r="AP53" s="1210" t="str">
        <f t="shared" si="10"/>
        <v/>
      </c>
      <c r="AQ53" s="1210" t="str">
        <f t="shared" si="2"/>
        <v/>
      </c>
      <c r="AR53" s="1210" t="str">
        <f>IFERROR(IF(Z53,VLOOKUP($B53,SEBusinessLiabilityTable[],AR$9,FALSE),""),"")</f>
        <v/>
      </c>
      <c r="AS53" s="1210" t="str">
        <f>IFERROR(IF(AA53,VLOOKUP($B53,SEBusinessLiabilityTable[],AS$9,FALSE),""),"")</f>
        <v/>
      </c>
    </row>
    <row r="54" spans="1:45" ht="18.75" hidden="1" customHeight="1" x14ac:dyDescent="0.25">
      <c r="A54" s="552">
        <v>43</v>
      </c>
      <c r="B54" s="1213"/>
      <c r="C54" s="1332"/>
      <c r="D54" s="1333"/>
      <c r="E54" s="1333"/>
      <c r="F54" s="1214"/>
      <c r="G54" s="1213"/>
      <c r="H54" s="1333"/>
      <c r="I54" s="1333"/>
      <c r="J54" s="1334"/>
      <c r="K54" s="1213"/>
      <c r="L54" s="1211" t="str">
        <f t="shared" si="12"/>
        <v/>
      </c>
      <c r="M54" s="1335" t="str">
        <f t="shared" si="8"/>
        <v/>
      </c>
      <c r="N54" s="1335" t="str">
        <f t="shared" si="11"/>
        <v/>
      </c>
      <c r="O54" s="1335" t="str">
        <f t="shared" si="9"/>
        <v/>
      </c>
      <c r="P54" s="25"/>
      <c r="Q54" s="25"/>
      <c r="R54" s="1215" t="b">
        <f t="shared" si="3"/>
        <v>0</v>
      </c>
      <c r="S54" s="1210" t="str">
        <f>IFERROR(VLOOKUP($B54,SEBusinessLiabilityTable[],S$9,FALSE),"")</f>
        <v/>
      </c>
      <c r="T54" s="1210" t="str">
        <f>IFERROR(VLOOKUP($B54,SEBusinessLiabilityTable[],T$9,FALSE),"")</f>
        <v/>
      </c>
      <c r="U54" s="1210" t="str">
        <f>IFERROR(VLOOKUP($B54,SEBusinessLiabilityTable[],U$9,FALSE),"")</f>
        <v/>
      </c>
      <c r="V54" s="1210" t="str">
        <f>IFERROR(VLOOKUP($B54,SEBusinessLiabilityTable[],V$9,FALSE),"")</f>
        <v/>
      </c>
      <c r="W54" s="1210" t="str">
        <f>IFERROR(VLOOKUP($B54,SEBusinessLiabilityTable[],W$9,FALSE),"")</f>
        <v/>
      </c>
      <c r="X54" s="1210" t="str">
        <f>IFERROR(VLOOKUP($B54,SEBusinessLiabilityTable[],X$9,FALSE),"")</f>
        <v/>
      </c>
      <c r="Y54" s="1210" t="str">
        <f>IFERROR(VLOOKUP($B54,SEBusinessLiabilityTable[],Y$9,FALSE),"")</f>
        <v/>
      </c>
      <c r="Z54" s="1210" t="str">
        <f>IFERROR(VLOOKUP($B54,SEBusinessLiabilityTable[],Z$9,FALSE),"")</f>
        <v/>
      </c>
      <c r="AA54" s="1210" t="str">
        <f>IFERROR(VLOOKUP($B54,SEBusinessLiabilityTable[],AA$9,FALSE),"")</f>
        <v/>
      </c>
      <c r="AB54" s="1210" t="str">
        <f>IFERROR(VLOOKUP($B54,SEBusinessLiabilityTable[],AB$9,FALSE),"")</f>
        <v/>
      </c>
      <c r="AC54" s="1210" t="str">
        <f>IFERROR(VLOOKUP($B54,SEBusinessLiabilityTable[],AC$9,FALSE),"")</f>
        <v/>
      </c>
      <c r="AD54" s="1210" t="str">
        <f>IFERROR(VLOOKUP($B54,SEBusinessLiabilityTable[],AD$9,FALSE),"")</f>
        <v/>
      </c>
      <c r="AE54" s="1210" t="str">
        <f>IFERROR(VLOOKUP($B54,SEBusinessLiabilityTable[],AE$9,FALSE),"")</f>
        <v/>
      </c>
      <c r="AF54" s="1210" t="str">
        <f>IFERROR(VLOOKUP($B54,SEBusinessLiabilityTable[],AF$9,FALSE),"")</f>
        <v/>
      </c>
      <c r="AG54" s="1210" t="str">
        <f>IFERROR(VLOOKUP($B54,SEBusinessLiabilityTable[],AG$9,FALSE),"")</f>
        <v/>
      </c>
      <c r="AH54" s="1210" t="str">
        <f>IFERROR(VLOOKUP($B54,SEBusinessLiabilityTable[],AH$9,FALSE),"")</f>
        <v/>
      </c>
      <c r="AJ54" s="1210">
        <f t="shared" si="4"/>
        <v>0</v>
      </c>
      <c r="AK54" s="1210">
        <f t="shared" si="5"/>
        <v>0</v>
      </c>
      <c r="AL54" s="1209" t="b">
        <f>IF(B54="Portfolio loan - sub account",IF(NOT(ISBLANK(J54)),IF(COUNTIF($J$12:$J$61,J54)&gt;1,IF(COUNTIFS(J$12:J54,J54,B$12:B54,"Portfolio loan - sub account")=1,TRUE,FALSE),TRUE),FALSE),FALSE)</f>
        <v>0</v>
      </c>
      <c r="AM54" s="1210">
        <f t="shared" si="6"/>
        <v>0</v>
      </c>
      <c r="AN54" s="1210" cm="1">
        <f t="array" ref="AN54">_xlfn.AGGREGATE(14,4,($B$12:$B$61="Portfolio loan - sub account")*($J$12:$J$61=J54)*$F$12:$F$61,1)</f>
        <v>0</v>
      </c>
      <c r="AO54" s="1210">
        <f t="shared" si="7"/>
        <v>0</v>
      </c>
      <c r="AP54" s="1210" t="str">
        <f t="shared" si="10"/>
        <v/>
      </c>
      <c r="AQ54" s="1210" t="str">
        <f t="shared" si="2"/>
        <v/>
      </c>
      <c r="AR54" s="1210" t="str">
        <f>IFERROR(IF(Z54,VLOOKUP($B54,SEBusinessLiabilityTable[],AR$9,FALSE),""),"")</f>
        <v/>
      </c>
      <c r="AS54" s="1210" t="str">
        <f>IFERROR(IF(AA54,VLOOKUP($B54,SEBusinessLiabilityTable[],AS$9,FALSE),""),"")</f>
        <v/>
      </c>
    </row>
    <row r="55" spans="1:45" ht="18.75" hidden="1" customHeight="1" x14ac:dyDescent="0.25">
      <c r="A55" s="552">
        <v>44</v>
      </c>
      <c r="B55" s="1213"/>
      <c r="C55" s="1332"/>
      <c r="D55" s="1333"/>
      <c r="E55" s="1333"/>
      <c r="F55" s="1214"/>
      <c r="G55" s="1213"/>
      <c r="H55" s="1333"/>
      <c r="I55" s="1333"/>
      <c r="J55" s="1334"/>
      <c r="K55" s="1213"/>
      <c r="L55" s="1211" t="str">
        <f t="shared" si="12"/>
        <v/>
      </c>
      <c r="M55" s="1335" t="str">
        <f t="shared" si="8"/>
        <v/>
      </c>
      <c r="N55" s="1335" t="str">
        <f t="shared" si="11"/>
        <v/>
      </c>
      <c r="O55" s="1335" t="str">
        <f t="shared" si="9"/>
        <v/>
      </c>
      <c r="P55" s="25"/>
      <c r="Q55" s="25"/>
      <c r="R55" s="1215" t="b">
        <f t="shared" si="3"/>
        <v>0</v>
      </c>
      <c r="S55" s="1210" t="str">
        <f>IFERROR(VLOOKUP($B55,SEBusinessLiabilityTable[],S$9,FALSE),"")</f>
        <v/>
      </c>
      <c r="T55" s="1210" t="str">
        <f>IFERROR(VLOOKUP($B55,SEBusinessLiabilityTable[],T$9,FALSE),"")</f>
        <v/>
      </c>
      <c r="U55" s="1210" t="str">
        <f>IFERROR(VLOOKUP($B55,SEBusinessLiabilityTable[],U$9,FALSE),"")</f>
        <v/>
      </c>
      <c r="V55" s="1210" t="str">
        <f>IFERROR(VLOOKUP($B55,SEBusinessLiabilityTable[],V$9,FALSE),"")</f>
        <v/>
      </c>
      <c r="W55" s="1210" t="str">
        <f>IFERROR(VLOOKUP($B55,SEBusinessLiabilityTable[],W$9,FALSE),"")</f>
        <v/>
      </c>
      <c r="X55" s="1210" t="str">
        <f>IFERROR(VLOOKUP($B55,SEBusinessLiabilityTable[],X$9,FALSE),"")</f>
        <v/>
      </c>
      <c r="Y55" s="1210" t="str">
        <f>IFERROR(VLOOKUP($B55,SEBusinessLiabilityTable[],Y$9,FALSE),"")</f>
        <v/>
      </c>
      <c r="Z55" s="1210" t="str">
        <f>IFERROR(VLOOKUP($B55,SEBusinessLiabilityTable[],Z$9,FALSE),"")</f>
        <v/>
      </c>
      <c r="AA55" s="1210" t="str">
        <f>IFERROR(VLOOKUP($B55,SEBusinessLiabilityTable[],AA$9,FALSE),"")</f>
        <v/>
      </c>
      <c r="AB55" s="1210" t="str">
        <f>IFERROR(VLOOKUP($B55,SEBusinessLiabilityTable[],AB$9,FALSE),"")</f>
        <v/>
      </c>
      <c r="AC55" s="1210" t="str">
        <f>IFERROR(VLOOKUP($B55,SEBusinessLiabilityTable[],AC$9,FALSE),"")</f>
        <v/>
      </c>
      <c r="AD55" s="1210" t="str">
        <f>IFERROR(VLOOKUP($B55,SEBusinessLiabilityTable[],AD$9,FALSE),"")</f>
        <v/>
      </c>
      <c r="AE55" s="1210" t="str">
        <f>IFERROR(VLOOKUP($B55,SEBusinessLiabilityTable[],AE$9,FALSE),"")</f>
        <v/>
      </c>
      <c r="AF55" s="1210" t="str">
        <f>IFERROR(VLOOKUP($B55,SEBusinessLiabilityTable[],AF$9,FALSE),"")</f>
        <v/>
      </c>
      <c r="AG55" s="1210" t="str">
        <f>IFERROR(VLOOKUP($B55,SEBusinessLiabilityTable[],AG$9,FALSE),"")</f>
        <v/>
      </c>
      <c r="AH55" s="1210" t="str">
        <f>IFERROR(VLOOKUP($B55,SEBusinessLiabilityTable[],AH$9,FALSE),"")</f>
        <v/>
      </c>
      <c r="AJ55" s="1210">
        <f t="shared" si="4"/>
        <v>0</v>
      </c>
      <c r="AK55" s="1210">
        <f t="shared" si="5"/>
        <v>0</v>
      </c>
      <c r="AL55" s="1209" t="b">
        <f>IF(B55="Portfolio loan - sub account",IF(NOT(ISBLANK(J55)),IF(COUNTIF($J$12:$J$61,J55)&gt;1,IF(COUNTIFS(J$12:J55,J55,B$12:B55,"Portfolio loan - sub account")=1,TRUE,FALSE),TRUE),FALSE),FALSE)</f>
        <v>0</v>
      </c>
      <c r="AM55" s="1210">
        <f t="shared" si="6"/>
        <v>0</v>
      </c>
      <c r="AN55" s="1210" cm="1">
        <f t="array" ref="AN55">_xlfn.AGGREGATE(14,4,($B$12:$B$61="Portfolio loan - sub account")*($J$12:$J$61=J55)*$F$12:$F$61,1)</f>
        <v>0</v>
      </c>
      <c r="AO55" s="1210">
        <f t="shared" si="7"/>
        <v>0</v>
      </c>
      <c r="AP55" s="1210" t="str">
        <f t="shared" si="10"/>
        <v/>
      </c>
      <c r="AQ55" s="1210" t="str">
        <f t="shared" si="2"/>
        <v/>
      </c>
      <c r="AR55" s="1210" t="str">
        <f>IFERROR(IF(Z55,VLOOKUP($B55,SEBusinessLiabilityTable[],AR$9,FALSE),""),"")</f>
        <v/>
      </c>
      <c r="AS55" s="1210" t="str">
        <f>IFERROR(IF(AA55,VLOOKUP($B55,SEBusinessLiabilityTable[],AS$9,FALSE),""),"")</f>
        <v/>
      </c>
    </row>
    <row r="56" spans="1:45" ht="18.75" hidden="1" customHeight="1" x14ac:dyDescent="0.25">
      <c r="A56" s="552">
        <v>45</v>
      </c>
      <c r="B56" s="1213"/>
      <c r="C56" s="1332"/>
      <c r="D56" s="1333"/>
      <c r="E56" s="1333"/>
      <c r="F56" s="1214"/>
      <c r="G56" s="1213"/>
      <c r="H56" s="1333"/>
      <c r="I56" s="1333"/>
      <c r="J56" s="1334"/>
      <c r="K56" s="1213"/>
      <c r="L56" s="1211" t="str">
        <f t="shared" si="12"/>
        <v/>
      </c>
      <c r="M56" s="1335" t="str">
        <f t="shared" si="8"/>
        <v/>
      </c>
      <c r="N56" s="1335" t="str">
        <f t="shared" si="11"/>
        <v/>
      </c>
      <c r="O56" s="1335" t="str">
        <f t="shared" si="9"/>
        <v/>
      </c>
      <c r="P56" s="25"/>
      <c r="Q56" s="25"/>
      <c r="R56" s="1215" t="b">
        <f t="shared" si="3"/>
        <v>0</v>
      </c>
      <c r="S56" s="1210" t="str">
        <f>IFERROR(VLOOKUP($B56,SEBusinessLiabilityTable[],S$9,FALSE),"")</f>
        <v/>
      </c>
      <c r="T56" s="1210" t="str">
        <f>IFERROR(VLOOKUP($B56,SEBusinessLiabilityTable[],T$9,FALSE),"")</f>
        <v/>
      </c>
      <c r="U56" s="1210" t="str">
        <f>IFERROR(VLOOKUP($B56,SEBusinessLiabilityTable[],U$9,FALSE),"")</f>
        <v/>
      </c>
      <c r="V56" s="1210" t="str">
        <f>IFERROR(VLOOKUP($B56,SEBusinessLiabilityTable[],V$9,FALSE),"")</f>
        <v/>
      </c>
      <c r="W56" s="1210" t="str">
        <f>IFERROR(VLOOKUP($B56,SEBusinessLiabilityTable[],W$9,FALSE),"")</f>
        <v/>
      </c>
      <c r="X56" s="1210" t="str">
        <f>IFERROR(VLOOKUP($B56,SEBusinessLiabilityTable[],X$9,FALSE),"")</f>
        <v/>
      </c>
      <c r="Y56" s="1210" t="str">
        <f>IFERROR(VLOOKUP($B56,SEBusinessLiabilityTable[],Y$9,FALSE),"")</f>
        <v/>
      </c>
      <c r="Z56" s="1210" t="str">
        <f>IFERROR(VLOOKUP($B56,SEBusinessLiabilityTable[],Z$9,FALSE),"")</f>
        <v/>
      </c>
      <c r="AA56" s="1210" t="str">
        <f>IFERROR(VLOOKUP($B56,SEBusinessLiabilityTable[],AA$9,FALSE),"")</f>
        <v/>
      </c>
      <c r="AB56" s="1210" t="str">
        <f>IFERROR(VLOOKUP($B56,SEBusinessLiabilityTable[],AB$9,FALSE),"")</f>
        <v/>
      </c>
      <c r="AC56" s="1210" t="str">
        <f>IFERROR(VLOOKUP($B56,SEBusinessLiabilityTable[],AC$9,FALSE),"")</f>
        <v/>
      </c>
      <c r="AD56" s="1210" t="str">
        <f>IFERROR(VLOOKUP($B56,SEBusinessLiabilityTable[],AD$9,FALSE),"")</f>
        <v/>
      </c>
      <c r="AE56" s="1210" t="str">
        <f>IFERROR(VLOOKUP($B56,SEBusinessLiabilityTable[],AE$9,FALSE),"")</f>
        <v/>
      </c>
      <c r="AF56" s="1210" t="str">
        <f>IFERROR(VLOOKUP($B56,SEBusinessLiabilityTable[],AF$9,FALSE),"")</f>
        <v/>
      </c>
      <c r="AG56" s="1210" t="str">
        <f>IFERROR(VLOOKUP($B56,SEBusinessLiabilityTable[],AG$9,FALSE),"")</f>
        <v/>
      </c>
      <c r="AH56" s="1210" t="str">
        <f>IFERROR(VLOOKUP($B56,SEBusinessLiabilityTable[],AH$9,FALSE),"")</f>
        <v/>
      </c>
      <c r="AJ56" s="1210">
        <f t="shared" si="4"/>
        <v>0</v>
      </c>
      <c r="AK56" s="1210">
        <f t="shared" si="5"/>
        <v>0</v>
      </c>
      <c r="AL56" s="1209" t="b">
        <f>IF(B56="Portfolio loan - sub account",IF(NOT(ISBLANK(J56)),IF(COUNTIF($J$12:$J$61,J56)&gt;1,IF(COUNTIFS(J$12:J56,J56,B$12:B56,"Portfolio loan - sub account")=1,TRUE,FALSE),TRUE),FALSE),FALSE)</f>
        <v>0</v>
      </c>
      <c r="AM56" s="1210">
        <f t="shared" si="6"/>
        <v>0</v>
      </c>
      <c r="AN56" s="1210" cm="1">
        <f t="array" ref="AN56">_xlfn.AGGREGATE(14,4,($B$12:$B$61="Portfolio loan - sub account")*($J$12:$J$61=J56)*$F$12:$F$61,1)</f>
        <v>0</v>
      </c>
      <c r="AO56" s="1210">
        <f t="shared" si="7"/>
        <v>0</v>
      </c>
      <c r="AP56" s="1210" t="str">
        <f t="shared" si="10"/>
        <v/>
      </c>
      <c r="AQ56" s="1210" t="str">
        <f t="shared" si="2"/>
        <v/>
      </c>
      <c r="AR56" s="1210" t="str">
        <f>IFERROR(IF(Z56,VLOOKUP($B56,SEBusinessLiabilityTable[],AR$9,FALSE),""),"")</f>
        <v/>
      </c>
      <c r="AS56" s="1210" t="str">
        <f>IFERROR(IF(AA56,VLOOKUP($B56,SEBusinessLiabilityTable[],AS$9,FALSE),""),"")</f>
        <v/>
      </c>
    </row>
    <row r="57" spans="1:45" ht="18.75" hidden="1" customHeight="1" x14ac:dyDescent="0.25">
      <c r="A57" s="552">
        <v>46</v>
      </c>
      <c r="B57" s="1213"/>
      <c r="C57" s="1332"/>
      <c r="D57" s="1333"/>
      <c r="E57" s="1333"/>
      <c r="F57" s="1214"/>
      <c r="G57" s="1213"/>
      <c r="H57" s="1333"/>
      <c r="I57" s="1333"/>
      <c r="J57" s="1334"/>
      <c r="K57" s="1213"/>
      <c r="L57" s="1211" t="str">
        <f t="shared" si="12"/>
        <v/>
      </c>
      <c r="M57" s="1335" t="str">
        <f t="shared" si="8"/>
        <v/>
      </c>
      <c r="N57" s="1335" t="str">
        <f t="shared" si="11"/>
        <v/>
      </c>
      <c r="O57" s="1335" t="str">
        <f t="shared" si="9"/>
        <v/>
      </c>
      <c r="P57" s="25"/>
      <c r="Q57" s="25"/>
      <c r="R57" s="1215" t="b">
        <f t="shared" si="3"/>
        <v>0</v>
      </c>
      <c r="S57" s="1210" t="str">
        <f>IFERROR(VLOOKUP($B57,SEBusinessLiabilityTable[],S$9,FALSE),"")</f>
        <v/>
      </c>
      <c r="T57" s="1210" t="str">
        <f>IFERROR(VLOOKUP($B57,SEBusinessLiabilityTable[],T$9,FALSE),"")</f>
        <v/>
      </c>
      <c r="U57" s="1210" t="str">
        <f>IFERROR(VLOOKUP($B57,SEBusinessLiabilityTable[],U$9,FALSE),"")</f>
        <v/>
      </c>
      <c r="V57" s="1210" t="str">
        <f>IFERROR(VLOOKUP($B57,SEBusinessLiabilityTable[],V$9,FALSE),"")</f>
        <v/>
      </c>
      <c r="W57" s="1210" t="str">
        <f>IFERROR(VLOOKUP($B57,SEBusinessLiabilityTable[],W$9,FALSE),"")</f>
        <v/>
      </c>
      <c r="X57" s="1210" t="str">
        <f>IFERROR(VLOOKUP($B57,SEBusinessLiabilityTable[],X$9,FALSE),"")</f>
        <v/>
      </c>
      <c r="Y57" s="1210" t="str">
        <f>IFERROR(VLOOKUP($B57,SEBusinessLiabilityTable[],Y$9,FALSE),"")</f>
        <v/>
      </c>
      <c r="Z57" s="1210" t="str">
        <f>IFERROR(VLOOKUP($B57,SEBusinessLiabilityTable[],Z$9,FALSE),"")</f>
        <v/>
      </c>
      <c r="AA57" s="1210" t="str">
        <f>IFERROR(VLOOKUP($B57,SEBusinessLiabilityTable[],AA$9,FALSE),"")</f>
        <v/>
      </c>
      <c r="AB57" s="1210" t="str">
        <f>IFERROR(VLOOKUP($B57,SEBusinessLiabilityTable[],AB$9,FALSE),"")</f>
        <v/>
      </c>
      <c r="AC57" s="1210" t="str">
        <f>IFERROR(VLOOKUP($B57,SEBusinessLiabilityTable[],AC$9,FALSE),"")</f>
        <v/>
      </c>
      <c r="AD57" s="1210" t="str">
        <f>IFERROR(VLOOKUP($B57,SEBusinessLiabilityTable[],AD$9,FALSE),"")</f>
        <v/>
      </c>
      <c r="AE57" s="1210" t="str">
        <f>IFERROR(VLOOKUP($B57,SEBusinessLiabilityTable[],AE$9,FALSE),"")</f>
        <v/>
      </c>
      <c r="AF57" s="1210" t="str">
        <f>IFERROR(VLOOKUP($B57,SEBusinessLiabilityTable[],AF$9,FALSE),"")</f>
        <v/>
      </c>
      <c r="AG57" s="1210" t="str">
        <f>IFERROR(VLOOKUP($B57,SEBusinessLiabilityTable[],AG$9,FALSE),"")</f>
        <v/>
      </c>
      <c r="AH57" s="1210" t="str">
        <f>IFERROR(VLOOKUP($B57,SEBusinessLiabilityTable[],AH$9,FALSE),"")</f>
        <v/>
      </c>
      <c r="AJ57" s="1210">
        <f t="shared" si="4"/>
        <v>0</v>
      </c>
      <c r="AK57" s="1210">
        <f t="shared" si="5"/>
        <v>0</v>
      </c>
      <c r="AL57" s="1209" t="b">
        <f>IF(B57="Portfolio loan - sub account",IF(NOT(ISBLANK(J57)),IF(COUNTIF($J$12:$J$61,J57)&gt;1,IF(COUNTIFS(J$12:J57,J57,B$12:B57,"Portfolio loan - sub account")=1,TRUE,FALSE),TRUE),FALSE),FALSE)</f>
        <v>0</v>
      </c>
      <c r="AM57" s="1210">
        <f t="shared" si="6"/>
        <v>0</v>
      </c>
      <c r="AN57" s="1210" cm="1">
        <f t="array" ref="AN57">_xlfn.AGGREGATE(14,4,($B$12:$B$61="Portfolio loan - sub account")*($J$12:$J$61=J57)*$F$12:$F$61,1)</f>
        <v>0</v>
      </c>
      <c r="AO57" s="1210">
        <f t="shared" si="7"/>
        <v>0</v>
      </c>
      <c r="AP57" s="1210" t="str">
        <f t="shared" si="10"/>
        <v/>
      </c>
      <c r="AQ57" s="1210" t="str">
        <f t="shared" si="2"/>
        <v/>
      </c>
      <c r="AR57" s="1210" t="str">
        <f>IFERROR(IF(Z57,VLOOKUP($B57,SEBusinessLiabilityTable[],AR$9,FALSE),""),"")</f>
        <v/>
      </c>
      <c r="AS57" s="1210" t="str">
        <f>IFERROR(IF(AA57,VLOOKUP($B57,SEBusinessLiabilityTable[],AS$9,FALSE),""),"")</f>
        <v/>
      </c>
    </row>
    <row r="58" spans="1:45" ht="18.75" hidden="1" customHeight="1" x14ac:dyDescent="0.25">
      <c r="A58" s="552">
        <v>47</v>
      </c>
      <c r="B58" s="1213"/>
      <c r="C58" s="1332"/>
      <c r="D58" s="1333"/>
      <c r="E58" s="1333"/>
      <c r="F58" s="1214"/>
      <c r="G58" s="1213"/>
      <c r="H58" s="1333"/>
      <c r="I58" s="1333"/>
      <c r="J58" s="1334"/>
      <c r="K58" s="1213"/>
      <c r="L58" s="1211" t="str">
        <f t="shared" si="12"/>
        <v/>
      </c>
      <c r="M58" s="1335" t="str">
        <f t="shared" si="8"/>
        <v/>
      </c>
      <c r="N58" s="1335" t="str">
        <f t="shared" si="11"/>
        <v/>
      </c>
      <c r="O58" s="1335" t="str">
        <f t="shared" si="9"/>
        <v/>
      </c>
      <c r="P58" s="25"/>
      <c r="Q58" s="25"/>
      <c r="R58" s="1215" t="b">
        <f t="shared" si="3"/>
        <v>0</v>
      </c>
      <c r="S58" s="1210" t="str">
        <f>IFERROR(VLOOKUP($B58,SEBusinessLiabilityTable[],S$9,FALSE),"")</f>
        <v/>
      </c>
      <c r="T58" s="1210" t="str">
        <f>IFERROR(VLOOKUP($B58,SEBusinessLiabilityTable[],T$9,FALSE),"")</f>
        <v/>
      </c>
      <c r="U58" s="1210" t="str">
        <f>IFERROR(VLOOKUP($B58,SEBusinessLiabilityTable[],U$9,FALSE),"")</f>
        <v/>
      </c>
      <c r="V58" s="1210" t="str">
        <f>IFERROR(VLOOKUP($B58,SEBusinessLiabilityTable[],V$9,FALSE),"")</f>
        <v/>
      </c>
      <c r="W58" s="1210" t="str">
        <f>IFERROR(VLOOKUP($B58,SEBusinessLiabilityTable[],W$9,FALSE),"")</f>
        <v/>
      </c>
      <c r="X58" s="1210" t="str">
        <f>IFERROR(VLOOKUP($B58,SEBusinessLiabilityTable[],X$9,FALSE),"")</f>
        <v/>
      </c>
      <c r="Y58" s="1210" t="str">
        <f>IFERROR(VLOOKUP($B58,SEBusinessLiabilityTable[],Y$9,FALSE),"")</f>
        <v/>
      </c>
      <c r="Z58" s="1210" t="str">
        <f>IFERROR(VLOOKUP($B58,SEBusinessLiabilityTable[],Z$9,FALSE),"")</f>
        <v/>
      </c>
      <c r="AA58" s="1210" t="str">
        <f>IFERROR(VLOOKUP($B58,SEBusinessLiabilityTable[],AA$9,FALSE),"")</f>
        <v/>
      </c>
      <c r="AB58" s="1210" t="str">
        <f>IFERROR(VLOOKUP($B58,SEBusinessLiabilityTable[],AB$9,FALSE),"")</f>
        <v/>
      </c>
      <c r="AC58" s="1210" t="str">
        <f>IFERROR(VLOOKUP($B58,SEBusinessLiabilityTable[],AC$9,FALSE),"")</f>
        <v/>
      </c>
      <c r="AD58" s="1210" t="str">
        <f>IFERROR(VLOOKUP($B58,SEBusinessLiabilityTable[],AD$9,FALSE),"")</f>
        <v/>
      </c>
      <c r="AE58" s="1210" t="str">
        <f>IFERROR(VLOOKUP($B58,SEBusinessLiabilityTable[],AE$9,FALSE),"")</f>
        <v/>
      </c>
      <c r="AF58" s="1210" t="str">
        <f>IFERROR(VLOOKUP($B58,SEBusinessLiabilityTable[],AF$9,FALSE),"")</f>
        <v/>
      </c>
      <c r="AG58" s="1210" t="str">
        <f>IFERROR(VLOOKUP($B58,SEBusinessLiabilityTable[],AG$9,FALSE),"")</f>
        <v/>
      </c>
      <c r="AH58" s="1210" t="str">
        <f>IFERROR(VLOOKUP($B58,SEBusinessLiabilityTable[],AH$9,FALSE),"")</f>
        <v/>
      </c>
      <c r="AJ58" s="1210">
        <f t="shared" si="4"/>
        <v>0</v>
      </c>
      <c r="AK58" s="1210">
        <f t="shared" si="5"/>
        <v>0</v>
      </c>
      <c r="AL58" s="1209" t="b">
        <f>IF(B58="Portfolio loan - sub account",IF(NOT(ISBLANK(J58)),IF(COUNTIF($J$12:$J$61,J58)&gt;1,IF(COUNTIFS(J$12:J58,J58,B$12:B58,"Portfolio loan - sub account")=1,TRUE,FALSE),TRUE),FALSE),FALSE)</f>
        <v>0</v>
      </c>
      <c r="AM58" s="1210">
        <f t="shared" si="6"/>
        <v>0</v>
      </c>
      <c r="AN58" s="1210" cm="1">
        <f t="array" ref="AN58">_xlfn.AGGREGATE(14,4,($B$12:$B$61="Portfolio loan - sub account")*($J$12:$J$61=J58)*$F$12:$F$61,1)</f>
        <v>0</v>
      </c>
      <c r="AO58" s="1210">
        <f t="shared" si="7"/>
        <v>0</v>
      </c>
      <c r="AP58" s="1210" t="str">
        <f t="shared" si="10"/>
        <v/>
      </c>
      <c r="AQ58" s="1210" t="str">
        <f t="shared" si="2"/>
        <v/>
      </c>
      <c r="AR58" s="1210" t="str">
        <f>IFERROR(IF(Z58,VLOOKUP($B58,SEBusinessLiabilityTable[],AR$9,FALSE),""),"")</f>
        <v/>
      </c>
      <c r="AS58" s="1210" t="str">
        <f>IFERROR(IF(AA58,VLOOKUP($B58,SEBusinessLiabilityTable[],AS$9,FALSE),""),"")</f>
        <v/>
      </c>
    </row>
    <row r="59" spans="1:45" ht="18.75" hidden="1" customHeight="1" x14ac:dyDescent="0.25">
      <c r="A59" s="552">
        <v>48</v>
      </c>
      <c r="B59" s="1213"/>
      <c r="C59" s="1332"/>
      <c r="D59" s="1333"/>
      <c r="E59" s="1333"/>
      <c r="F59" s="1214"/>
      <c r="G59" s="1213"/>
      <c r="H59" s="1333"/>
      <c r="I59" s="1333"/>
      <c r="J59" s="1334"/>
      <c r="K59" s="1213"/>
      <c r="L59" s="1211" t="str">
        <f t="shared" si="12"/>
        <v/>
      </c>
      <c r="M59" s="1335" t="str">
        <f t="shared" si="8"/>
        <v/>
      </c>
      <c r="N59" s="1335" t="str">
        <f t="shared" si="11"/>
        <v/>
      </c>
      <c r="O59" s="1335" t="str">
        <f t="shared" si="9"/>
        <v/>
      </c>
      <c r="P59" s="25"/>
      <c r="Q59" s="25"/>
      <c r="R59" s="1215" t="b">
        <f t="shared" si="3"/>
        <v>0</v>
      </c>
      <c r="S59" s="1210" t="str">
        <f>IFERROR(VLOOKUP($B59,SEBusinessLiabilityTable[],S$9,FALSE),"")</f>
        <v/>
      </c>
      <c r="T59" s="1210" t="str">
        <f>IFERROR(VLOOKUP($B59,SEBusinessLiabilityTable[],T$9,FALSE),"")</f>
        <v/>
      </c>
      <c r="U59" s="1210" t="str">
        <f>IFERROR(VLOOKUP($B59,SEBusinessLiabilityTable[],U$9,FALSE),"")</f>
        <v/>
      </c>
      <c r="V59" s="1210" t="str">
        <f>IFERROR(VLOOKUP($B59,SEBusinessLiabilityTable[],V$9,FALSE),"")</f>
        <v/>
      </c>
      <c r="W59" s="1210" t="str">
        <f>IFERROR(VLOOKUP($B59,SEBusinessLiabilityTable[],W$9,FALSE),"")</f>
        <v/>
      </c>
      <c r="X59" s="1210" t="str">
        <f>IFERROR(VLOOKUP($B59,SEBusinessLiabilityTable[],X$9,FALSE),"")</f>
        <v/>
      </c>
      <c r="Y59" s="1210" t="str">
        <f>IFERROR(VLOOKUP($B59,SEBusinessLiabilityTable[],Y$9,FALSE),"")</f>
        <v/>
      </c>
      <c r="Z59" s="1210" t="str">
        <f>IFERROR(VLOOKUP($B59,SEBusinessLiabilityTable[],Z$9,FALSE),"")</f>
        <v/>
      </c>
      <c r="AA59" s="1210" t="str">
        <f>IFERROR(VLOOKUP($B59,SEBusinessLiabilityTable[],AA$9,FALSE),"")</f>
        <v/>
      </c>
      <c r="AB59" s="1210" t="str">
        <f>IFERROR(VLOOKUP($B59,SEBusinessLiabilityTable[],AB$9,FALSE),"")</f>
        <v/>
      </c>
      <c r="AC59" s="1210" t="str">
        <f>IFERROR(VLOOKUP($B59,SEBusinessLiabilityTable[],AC$9,FALSE),"")</f>
        <v/>
      </c>
      <c r="AD59" s="1210" t="str">
        <f>IFERROR(VLOOKUP($B59,SEBusinessLiabilityTable[],AD$9,FALSE),"")</f>
        <v/>
      </c>
      <c r="AE59" s="1210" t="str">
        <f>IFERROR(VLOOKUP($B59,SEBusinessLiabilityTable[],AE$9,FALSE),"")</f>
        <v/>
      </c>
      <c r="AF59" s="1210" t="str">
        <f>IFERROR(VLOOKUP($B59,SEBusinessLiabilityTable[],AF$9,FALSE),"")</f>
        <v/>
      </c>
      <c r="AG59" s="1210" t="str">
        <f>IFERROR(VLOOKUP($B59,SEBusinessLiabilityTable[],AG$9,FALSE),"")</f>
        <v/>
      </c>
      <c r="AH59" s="1210" t="str">
        <f>IFERROR(VLOOKUP($B59,SEBusinessLiabilityTable[],AH$9,FALSE),"")</f>
        <v/>
      </c>
      <c r="AJ59" s="1210">
        <f t="shared" si="4"/>
        <v>0</v>
      </c>
      <c r="AK59" s="1210">
        <f t="shared" si="5"/>
        <v>0</v>
      </c>
      <c r="AL59" s="1209" t="b">
        <f>IF(B59="Portfolio loan - sub account",IF(NOT(ISBLANK(J59)),IF(COUNTIF($J$12:$J$61,J59)&gt;1,IF(COUNTIFS(J$12:J59,J59,B$12:B59,"Portfolio loan - sub account")=1,TRUE,FALSE),TRUE),FALSE),FALSE)</f>
        <v>0</v>
      </c>
      <c r="AM59" s="1210">
        <f t="shared" si="6"/>
        <v>0</v>
      </c>
      <c r="AN59" s="1210" cm="1">
        <f t="array" ref="AN59">_xlfn.AGGREGATE(14,4,($B$12:$B$61="Portfolio loan - sub account")*($J$12:$J$61=J59)*$F$12:$F$61,1)</f>
        <v>0</v>
      </c>
      <c r="AO59" s="1210">
        <f t="shared" si="7"/>
        <v>0</v>
      </c>
      <c r="AP59" s="1210" t="str">
        <f t="shared" si="10"/>
        <v/>
      </c>
      <c r="AQ59" s="1210" t="str">
        <f t="shared" si="2"/>
        <v/>
      </c>
      <c r="AR59" s="1210" t="str">
        <f>IFERROR(IF(Z59,VLOOKUP($B59,SEBusinessLiabilityTable[],AR$9,FALSE),""),"")</f>
        <v/>
      </c>
      <c r="AS59" s="1210" t="str">
        <f>IFERROR(IF(AA59,VLOOKUP($B59,SEBusinessLiabilityTable[],AS$9,FALSE),""),"")</f>
        <v/>
      </c>
    </row>
    <row r="60" spans="1:45" ht="18.75" hidden="1" customHeight="1" x14ac:dyDescent="0.25">
      <c r="A60" s="552">
        <v>49</v>
      </c>
      <c r="B60" s="1213"/>
      <c r="C60" s="1332"/>
      <c r="D60" s="1333"/>
      <c r="E60" s="1333"/>
      <c r="F60" s="1214"/>
      <c r="G60" s="1213"/>
      <c r="H60" s="1333"/>
      <c r="I60" s="1333"/>
      <c r="J60" s="1334"/>
      <c r="K60" s="1213"/>
      <c r="L60" s="1211" t="str">
        <f t="shared" si="12"/>
        <v/>
      </c>
      <c r="M60" s="1335" t="str">
        <f t="shared" si="8"/>
        <v/>
      </c>
      <c r="N60" s="1335" t="str">
        <f t="shared" si="11"/>
        <v/>
      </c>
      <c r="O60" s="1335" t="str">
        <f t="shared" si="9"/>
        <v/>
      </c>
      <c r="P60" s="25"/>
      <c r="Q60" s="25"/>
      <c r="R60" s="1215" t="b">
        <f t="shared" si="3"/>
        <v>0</v>
      </c>
      <c r="S60" s="1210" t="str">
        <f>IFERROR(VLOOKUP($B60,SEBusinessLiabilityTable[],S$9,FALSE),"")</f>
        <v/>
      </c>
      <c r="T60" s="1210" t="str">
        <f>IFERROR(VLOOKUP($B60,SEBusinessLiabilityTable[],T$9,FALSE),"")</f>
        <v/>
      </c>
      <c r="U60" s="1210" t="str">
        <f>IFERROR(VLOOKUP($B60,SEBusinessLiabilityTable[],U$9,FALSE),"")</f>
        <v/>
      </c>
      <c r="V60" s="1210" t="str">
        <f>IFERROR(VLOOKUP($B60,SEBusinessLiabilityTable[],V$9,FALSE),"")</f>
        <v/>
      </c>
      <c r="W60" s="1210" t="str">
        <f>IFERROR(VLOOKUP($B60,SEBusinessLiabilityTable[],W$9,FALSE),"")</f>
        <v/>
      </c>
      <c r="X60" s="1210" t="str">
        <f>IFERROR(VLOOKUP($B60,SEBusinessLiabilityTable[],X$9,FALSE),"")</f>
        <v/>
      </c>
      <c r="Y60" s="1210" t="str">
        <f>IFERROR(VLOOKUP($B60,SEBusinessLiabilityTable[],Y$9,FALSE),"")</f>
        <v/>
      </c>
      <c r="Z60" s="1210" t="str">
        <f>IFERROR(VLOOKUP($B60,SEBusinessLiabilityTable[],Z$9,FALSE),"")</f>
        <v/>
      </c>
      <c r="AA60" s="1210" t="str">
        <f>IFERROR(VLOOKUP($B60,SEBusinessLiabilityTable[],AA$9,FALSE),"")</f>
        <v/>
      </c>
      <c r="AB60" s="1210" t="str">
        <f>IFERROR(VLOOKUP($B60,SEBusinessLiabilityTable[],AB$9,FALSE),"")</f>
        <v/>
      </c>
      <c r="AC60" s="1210" t="str">
        <f>IFERROR(VLOOKUP($B60,SEBusinessLiabilityTable[],AC$9,FALSE),"")</f>
        <v/>
      </c>
      <c r="AD60" s="1210" t="str">
        <f>IFERROR(VLOOKUP($B60,SEBusinessLiabilityTable[],AD$9,FALSE),"")</f>
        <v/>
      </c>
      <c r="AE60" s="1210" t="str">
        <f>IFERROR(VLOOKUP($B60,SEBusinessLiabilityTable[],AE$9,FALSE),"")</f>
        <v/>
      </c>
      <c r="AF60" s="1210" t="str">
        <f>IFERROR(VLOOKUP($B60,SEBusinessLiabilityTable[],AF$9,FALSE),"")</f>
        <v/>
      </c>
      <c r="AG60" s="1210" t="str">
        <f>IFERROR(VLOOKUP($B60,SEBusinessLiabilityTable[],AG$9,FALSE),"")</f>
        <v/>
      </c>
      <c r="AH60" s="1210" t="str">
        <f>IFERROR(VLOOKUP($B60,SEBusinessLiabilityTable[],AH$9,FALSE),"")</f>
        <v/>
      </c>
      <c r="AJ60" s="1210">
        <f t="shared" si="4"/>
        <v>0</v>
      </c>
      <c r="AK60" s="1210">
        <f t="shared" si="5"/>
        <v>0</v>
      </c>
      <c r="AL60" s="1209" t="b">
        <f>IF(B60="Portfolio loan - sub account",IF(NOT(ISBLANK(J60)),IF(COUNTIF($J$12:$J$61,J60)&gt;1,IF(COUNTIFS(J$12:J60,J60,B$12:B60,"Portfolio loan - sub account")=1,TRUE,FALSE),TRUE),FALSE),FALSE)</f>
        <v>0</v>
      </c>
      <c r="AM60" s="1210">
        <f t="shared" si="6"/>
        <v>0</v>
      </c>
      <c r="AN60" s="1210" cm="1">
        <f t="array" ref="AN60">_xlfn.AGGREGATE(14,4,($B$12:$B$61="Portfolio loan - sub account")*($J$12:$J$61=J60)*$F$12:$F$61,1)</f>
        <v>0</v>
      </c>
      <c r="AO60" s="1210">
        <f t="shared" si="7"/>
        <v>0</v>
      </c>
      <c r="AP60" s="1210" t="str">
        <f t="shared" si="10"/>
        <v/>
      </c>
      <c r="AQ60" s="1210" t="str">
        <f t="shared" si="2"/>
        <v/>
      </c>
      <c r="AR60" s="1210" t="str">
        <f>IFERROR(IF(Z60,VLOOKUP($B60,SEBusinessLiabilityTable[],AR$9,FALSE),""),"")</f>
        <v/>
      </c>
      <c r="AS60" s="1210" t="str">
        <f>IFERROR(IF(AA60,VLOOKUP($B60,SEBusinessLiabilityTable[],AS$9,FALSE),""),"")</f>
        <v/>
      </c>
    </row>
    <row r="61" spans="1:45" ht="18.75" hidden="1" customHeight="1" x14ac:dyDescent="0.25">
      <c r="A61" s="552">
        <v>50</v>
      </c>
      <c r="B61" s="1213"/>
      <c r="C61" s="1332"/>
      <c r="D61" s="1333"/>
      <c r="E61" s="1333"/>
      <c r="F61" s="1214"/>
      <c r="G61" s="1213"/>
      <c r="H61" s="1333"/>
      <c r="I61" s="1333"/>
      <c r="J61" s="1334"/>
      <c r="K61" s="1213"/>
      <c r="L61" s="1211" t="str">
        <f t="shared" si="12"/>
        <v/>
      </c>
      <c r="M61" s="1335" t="str">
        <f t="shared" si="8"/>
        <v/>
      </c>
      <c r="N61" s="1335" t="str">
        <f t="shared" si="11"/>
        <v/>
      </c>
      <c r="O61" s="1335" t="str">
        <f t="shared" si="9"/>
        <v/>
      </c>
      <c r="P61" s="25"/>
      <c r="Q61" s="25"/>
      <c r="R61" s="1215" t="b">
        <f t="shared" si="3"/>
        <v>0</v>
      </c>
      <c r="S61" s="1210" t="str">
        <f>IFERROR(VLOOKUP($B61,SEBusinessLiabilityTable[],S$9,FALSE),"")</f>
        <v/>
      </c>
      <c r="T61" s="1210" t="str">
        <f>IFERROR(VLOOKUP($B61,SEBusinessLiabilityTable[],T$9,FALSE),"")</f>
        <v/>
      </c>
      <c r="U61" s="1210" t="str">
        <f>IFERROR(VLOOKUP($B61,SEBusinessLiabilityTable[],U$9,FALSE),"")</f>
        <v/>
      </c>
      <c r="V61" s="1210" t="str">
        <f>IFERROR(VLOOKUP($B61,SEBusinessLiabilityTable[],V$9,FALSE),"")</f>
        <v/>
      </c>
      <c r="W61" s="1210" t="str">
        <f>IFERROR(VLOOKUP($B61,SEBusinessLiabilityTable[],W$9,FALSE),"")</f>
        <v/>
      </c>
      <c r="X61" s="1210" t="str">
        <f>IFERROR(VLOOKUP($B61,SEBusinessLiabilityTable[],X$9,FALSE),"")</f>
        <v/>
      </c>
      <c r="Y61" s="1210" t="str">
        <f>IFERROR(VLOOKUP($B61,SEBusinessLiabilityTable[],Y$9,FALSE),"")</f>
        <v/>
      </c>
      <c r="Z61" s="1210" t="str">
        <f>IFERROR(VLOOKUP($B61,SEBusinessLiabilityTable[],Z$9,FALSE),"")</f>
        <v/>
      </c>
      <c r="AA61" s="1210" t="str">
        <f>IFERROR(VLOOKUP($B61,SEBusinessLiabilityTable[],AA$9,FALSE),"")</f>
        <v/>
      </c>
      <c r="AB61" s="1210" t="str">
        <f>IFERROR(VLOOKUP($B61,SEBusinessLiabilityTable[],AB$9,FALSE),"")</f>
        <v/>
      </c>
      <c r="AC61" s="1210" t="str">
        <f>IFERROR(VLOOKUP($B61,SEBusinessLiabilityTable[],AC$9,FALSE),"")</f>
        <v/>
      </c>
      <c r="AD61" s="1210" t="str">
        <f>IFERROR(VLOOKUP($B61,SEBusinessLiabilityTable[],AD$9,FALSE),"")</f>
        <v/>
      </c>
      <c r="AE61" s="1210" t="str">
        <f>IFERROR(VLOOKUP($B61,SEBusinessLiabilityTable[],AE$9,FALSE),"")</f>
        <v/>
      </c>
      <c r="AF61" s="1210" t="str">
        <f>IFERROR(VLOOKUP($B61,SEBusinessLiabilityTable[],AF$9,FALSE),"")</f>
        <v/>
      </c>
      <c r="AG61" s="1210" t="str">
        <f>IFERROR(VLOOKUP($B61,SEBusinessLiabilityTable[],AG$9,FALSE),"")</f>
        <v/>
      </c>
      <c r="AH61" s="1210" t="str">
        <f>IFERROR(VLOOKUP($B61,SEBusinessLiabilityTable[],AH$9,FALSE),"")</f>
        <v/>
      </c>
      <c r="AJ61" s="1210">
        <f t="shared" si="4"/>
        <v>0</v>
      </c>
      <c r="AK61" s="1210">
        <f t="shared" si="5"/>
        <v>0</v>
      </c>
      <c r="AL61" s="1209" t="b">
        <f>IF(B61="Portfolio loan - sub account",IF(NOT(ISBLANK(J61)),IF(COUNTIF($J$12:$J$61,J61)&gt;1,IF(COUNTIFS(J$12:J61,J61,B$12:B61,"Portfolio loan - sub account")=1,TRUE,FALSE),TRUE),FALSE),FALSE)</f>
        <v>0</v>
      </c>
      <c r="AM61" s="1210">
        <f t="shared" si="6"/>
        <v>0</v>
      </c>
      <c r="AN61" s="1210" cm="1">
        <f t="array" ref="AN61">_xlfn.AGGREGATE(14,4,($B$12:$B$61="Portfolio loan - sub account")*($J$12:$J$61=J61)*$F$12:$F$61,1)</f>
        <v>0</v>
      </c>
      <c r="AO61" s="1210">
        <f t="shared" si="7"/>
        <v>0</v>
      </c>
      <c r="AP61" s="1210" t="str">
        <f t="shared" si="10"/>
        <v/>
      </c>
      <c r="AQ61" s="1210" t="str">
        <f t="shared" si="2"/>
        <v/>
      </c>
      <c r="AR61" s="1210" t="str">
        <f>IFERROR(IF(Z61,VLOOKUP($B61,SEBusinessLiabilityTable[],AR$9,FALSE),""),"")</f>
        <v/>
      </c>
      <c r="AS61" s="1210" t="str">
        <f>IFERROR(IF(AA61,VLOOKUP($B61,SEBusinessLiabilityTable[],AS$9,FALSE),""),"")</f>
        <v/>
      </c>
    </row>
    <row r="62" spans="1:45" ht="7.5" customHeight="1" x14ac:dyDescent="0.25">
      <c r="A62" s="25"/>
      <c r="B62" s="25"/>
      <c r="C62" s="25"/>
      <c r="D62" s="25"/>
      <c r="E62" s="25"/>
      <c r="F62" s="25"/>
      <c r="G62" s="25"/>
      <c r="H62" s="25"/>
      <c r="I62" s="25"/>
      <c r="J62" s="25"/>
      <c r="K62" s="25"/>
      <c r="L62" s="25"/>
      <c r="M62" s="1324"/>
      <c r="N62" s="1324"/>
      <c r="O62" s="1324"/>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row>
    <row r="63" spans="1:45" ht="18.75" customHeight="1" x14ac:dyDescent="0.25">
      <c r="A63" s="25"/>
      <c r="B63" s="25"/>
      <c r="C63" s="168">
        <f>SUBTOTAL(102,A12:A61)</f>
        <v>5</v>
      </c>
      <c r="D63" s="25"/>
      <c r="E63" s="25"/>
      <c r="F63" s="25"/>
      <c r="G63" s="25"/>
      <c r="H63" s="25"/>
      <c r="I63" s="25"/>
      <c r="J63" s="25"/>
      <c r="K63" s="25"/>
      <c r="L63" s="25"/>
      <c r="M63" s="1336">
        <f>SUM(M12:M61)</f>
        <v>0</v>
      </c>
      <c r="N63" s="1336">
        <f>SUM(N12:N61)</f>
        <v>0</v>
      </c>
      <c r="O63" s="1336">
        <f>SUM(O12:O61)</f>
        <v>0</v>
      </c>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row>
    <row r="64" spans="1:45" ht="18.75" customHeight="1" x14ac:dyDescent="0.25">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row>
  </sheetData>
  <sheetProtection algorithmName="SHA-512" hashValue="rLeVmJQgDao6Fg/XClPPWbQkVqBFJu4uYcw1r5t8/Ef0DI/V6NLydRTgAPqGezuE8Lk4pkN98jg+27h//3vczQ==" saltValue="1dMWfVv14FSFqxXYqTG56A==" spinCount="100000" sheet="1" objects="1" scenarios="1" selectLockedCells="1"/>
  <mergeCells count="1">
    <mergeCell ref="B7:C7"/>
  </mergeCells>
  <conditionalFormatting sqref="D12:K61">
    <cfRule type="expression" dxfId="121" priority="5" stopIfTrue="1">
      <formula>NOT(S12)</formula>
    </cfRule>
  </conditionalFormatting>
  <conditionalFormatting sqref="C12:K61">
    <cfRule type="expression" dxfId="120" priority="1" stopIfTrue="1">
      <formula>ISBLANK($B12)</formula>
    </cfRule>
  </conditionalFormatting>
  <conditionalFormatting sqref="D12:G61 I12:K61">
    <cfRule type="expression" dxfId="119" priority="11">
      <formula>AND(NOT(ISBLANK($B12)),ISBLANK(D12))</formula>
    </cfRule>
  </conditionalFormatting>
  <dataValidations count="5">
    <dataValidation type="list" allowBlank="1" showInputMessage="1" showErrorMessage="1" errorTitle="Invalid liability type" error="Please select a valid liability type from the list." sqref="B12:B61" xr:uid="{4EB13437-BC46-4B0D-8A10-A8289F4BE06F}">
      <formula1>SEBusinessLiabilityListData</formula1>
    </dataValidation>
    <dataValidation type="list" allowBlank="1" showInputMessage="1" showErrorMessage="1" sqref="K12:K61" xr:uid="{7BCEFAAD-8440-4B87-9DCA-B0243DB76737}">
      <formula1>INDIRECT($AQ12)</formula1>
    </dataValidation>
    <dataValidation type="whole" operator="greaterThanOrEqual" allowBlank="1" showInputMessage="1" showErrorMessage="1" errorTitle="Invalid remaining term" error="Please enter a valid remaining term value." sqref="G12:G61" xr:uid="{B2D5318E-95AE-42CB-9263-1042DB43F1A1}">
      <formula1>0</formula1>
    </dataValidation>
    <dataValidation type="decimal" operator="greaterThanOrEqual" allowBlank="1" showInputMessage="1" showErrorMessage="1" errorTitle="Invalid amount" error="Please enter a valid amount greater than or equal to zero." sqref="D12:E61 H12:H61 I12:I61" xr:uid="{83205309-2814-4C47-ABDF-BFF730B7CD77}">
      <formula1>0</formula1>
    </dataValidation>
    <dataValidation type="decimal" operator="greaterThanOrEqual" allowBlank="1" showInputMessage="1" showErrorMessage="1" errorTitle="Invalid interest rate" error="Please enter a valid interest rate greater than or equal to zero." sqref="F12:F61" xr:uid="{84AAE28D-26EB-4F8C-889B-F7EC18ABA743}">
      <formula1>0</formula1>
    </dataValidation>
  </dataValidations>
  <pageMargins left="0.25" right="0.25" top="0.75" bottom="0.75" header="0.3" footer="0.3"/>
  <pageSetup paperSize="9" scale="43" fitToHeight="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8FE36-0A07-4AF5-9068-7BF2438D37CA}">
  <sheetPr codeName="shSERentalIncome">
    <pageSetUpPr fitToPage="1"/>
  </sheetPr>
  <dimension ref="A1:AK65"/>
  <sheetViews>
    <sheetView showGridLines="0" showRowColHeaders="0" zoomScaleNormal="100" workbookViewId="0">
      <selection activeCell="B13" sqref="B13"/>
    </sheetView>
  </sheetViews>
  <sheetFormatPr defaultRowHeight="12.75" customHeight="1" x14ac:dyDescent="0.25"/>
  <cols>
    <col min="1" max="1" width="2.81640625" customWidth="1"/>
    <col min="2" max="2" width="21" customWidth="1"/>
    <col min="3" max="3" width="14.81640625" customWidth="1"/>
    <col min="4" max="5" width="8.54296875" customWidth="1"/>
    <col min="6" max="6" width="9.1796875" customWidth="1"/>
    <col min="7" max="8" width="10.453125" customWidth="1"/>
    <col min="9" max="9" width="8.1796875" customWidth="1"/>
    <col min="10" max="10" width="12.453125" customWidth="1"/>
    <col min="11" max="11" width="7.7265625" customWidth="1"/>
    <col min="12" max="15" width="12.1796875" customWidth="1"/>
    <col min="16" max="16" width="26.453125" customWidth="1"/>
    <col min="17" max="17" width="12.1796875" customWidth="1"/>
    <col min="18" max="18" width="7.7265625" customWidth="1"/>
    <col min="19" max="20" width="12.1796875" customWidth="1"/>
    <col min="21" max="21" width="26.453125" customWidth="1"/>
    <col min="22" max="22" width="12.1796875" customWidth="1"/>
    <col min="23" max="23" width="2.81640625" customWidth="1"/>
    <col min="24" max="25" width="9.1796875" hidden="1" customWidth="1"/>
    <col min="26" max="26" width="28.81640625" hidden="1" customWidth="1"/>
    <col min="27" max="27" width="9.1796875" hidden="1" customWidth="1"/>
    <col min="28" max="28" width="28.81640625" hidden="1" customWidth="1"/>
    <col min="29" max="37" width="9.1796875" hidden="1" customWidth="1"/>
  </cols>
  <sheetData>
    <row r="1" spans="1:29" ht="16" customHeight="1" x14ac:dyDescent="0.25">
      <c r="A1" s="25"/>
      <c r="B1" s="25"/>
      <c r="C1" s="25"/>
      <c r="D1" s="25"/>
      <c r="E1" s="25"/>
      <c r="F1" s="25"/>
      <c r="G1" s="25"/>
      <c r="H1" s="25"/>
      <c r="I1" s="25"/>
      <c r="J1" s="25"/>
      <c r="K1" s="25"/>
      <c r="L1" s="25"/>
      <c r="M1" s="25"/>
      <c r="N1" s="25"/>
      <c r="O1" s="25"/>
      <c r="P1" s="25"/>
      <c r="Q1" s="25"/>
      <c r="R1" s="25"/>
      <c r="S1" s="25"/>
      <c r="T1" s="25"/>
      <c r="U1" s="25"/>
      <c r="V1" s="25"/>
    </row>
    <row r="2" spans="1:29" ht="16" customHeight="1" x14ac:dyDescent="0.25">
      <c r="A2" s="25"/>
      <c r="B2" s="25"/>
      <c r="C2" s="25"/>
      <c r="D2" s="25"/>
      <c r="E2" s="25"/>
      <c r="F2" s="25"/>
      <c r="G2" s="25"/>
      <c r="H2" s="25"/>
      <c r="I2" s="25"/>
      <c r="J2" s="25"/>
      <c r="K2" s="25"/>
      <c r="L2" s="25"/>
      <c r="M2" s="25"/>
      <c r="N2" s="25"/>
      <c r="O2" s="25"/>
      <c r="P2" s="25"/>
      <c r="Q2" s="25"/>
      <c r="R2" s="25"/>
      <c r="S2" s="25"/>
      <c r="T2" s="25"/>
      <c r="U2" s="25"/>
      <c r="V2" s="25"/>
    </row>
    <row r="3" spans="1:29" ht="16" customHeight="1" x14ac:dyDescent="0.25">
      <c r="A3" s="25"/>
      <c r="B3" s="25"/>
      <c r="C3" s="25"/>
      <c r="D3" s="25"/>
      <c r="E3" s="25"/>
      <c r="F3" s="25"/>
      <c r="G3" s="25"/>
      <c r="H3" s="25"/>
      <c r="I3" s="25"/>
      <c r="J3" s="25"/>
      <c r="K3" s="25"/>
      <c r="L3" s="25"/>
      <c r="M3" s="25"/>
      <c r="N3" s="25"/>
      <c r="O3" s="25"/>
      <c r="P3" s="25"/>
      <c r="Q3" s="25"/>
      <c r="R3" s="25"/>
      <c r="S3" s="25"/>
      <c r="T3" s="25"/>
      <c r="U3" s="25"/>
      <c r="V3" s="25"/>
    </row>
    <row r="4" spans="1:29" ht="30" customHeight="1" x14ac:dyDescent="0.25">
      <c r="A4" s="89"/>
      <c r="B4" s="369" t="s">
        <v>930</v>
      </c>
      <c r="C4" s="369"/>
      <c r="D4" s="369"/>
      <c r="E4" s="369"/>
      <c r="F4" s="369"/>
      <c r="G4" s="369"/>
      <c r="H4" s="369"/>
      <c r="I4" s="369"/>
      <c r="J4" s="369"/>
      <c r="K4" s="369"/>
      <c r="L4" s="115"/>
      <c r="M4" s="115"/>
      <c r="N4" s="115"/>
      <c r="O4" s="115"/>
      <c r="P4" s="115"/>
      <c r="Q4" s="115"/>
      <c r="R4" s="115"/>
      <c r="S4" s="115"/>
      <c r="T4" s="25"/>
      <c r="U4" s="25"/>
      <c r="V4" s="25"/>
    </row>
    <row r="5" spans="1:29" ht="7.5" customHeight="1" x14ac:dyDescent="0.25">
      <c r="A5" s="89"/>
      <c r="B5" s="108"/>
      <c r="C5" s="108"/>
      <c r="D5" s="108"/>
      <c r="E5" s="108"/>
      <c r="F5" s="108"/>
      <c r="G5" s="108"/>
      <c r="H5" s="108"/>
      <c r="I5" s="108"/>
      <c r="J5" s="108"/>
      <c r="K5" s="108"/>
      <c r="L5" s="108"/>
      <c r="M5" s="108"/>
      <c r="N5" s="108"/>
      <c r="O5" s="108"/>
      <c r="P5" s="108"/>
      <c r="Q5" s="108"/>
      <c r="R5" s="108"/>
      <c r="S5" s="108"/>
      <c r="T5" s="25"/>
      <c r="U5" s="25"/>
      <c r="V5" s="25"/>
    </row>
    <row r="6" spans="1:29" ht="15" customHeight="1" x14ac:dyDescent="0.25">
      <c r="A6" s="89"/>
      <c r="B6" s="846" t="s">
        <v>886</v>
      </c>
      <c r="C6" s="849"/>
      <c r="K6" s="25"/>
      <c r="L6" s="25"/>
      <c r="M6" s="25"/>
      <c r="N6" s="591"/>
      <c r="O6" s="581"/>
      <c r="P6" s="25"/>
      <c r="Q6" s="25"/>
      <c r="R6" s="25"/>
      <c r="S6" s="25"/>
      <c r="T6" s="25"/>
      <c r="U6" s="25"/>
      <c r="V6" s="25"/>
    </row>
    <row r="7" spans="1:29" ht="15" customHeight="1" x14ac:dyDescent="0.25">
      <c r="A7" s="89"/>
      <c r="B7" s="1698" t="str">
        <f>IF(SEBBusinessName&lt;&gt;"",SEBBusinessName,"Business " &amp; SEBBusinessID &amp; " - " &amp; SEBBusinessType)</f>
        <v xml:space="preserve">Business 1 - </v>
      </c>
      <c r="C7" s="1699"/>
      <c r="G7" s="936">
        <v>1</v>
      </c>
      <c r="H7" s="936"/>
      <c r="J7" s="25"/>
      <c r="K7" s="25"/>
      <c r="L7" s="25"/>
      <c r="M7" s="25"/>
      <c r="N7" s="583"/>
      <c r="O7" s="25"/>
      <c r="P7" s="25"/>
      <c r="Q7" s="25"/>
      <c r="R7" s="25"/>
      <c r="S7" s="25"/>
      <c r="T7" s="25"/>
      <c r="U7" s="25"/>
      <c r="V7" s="25"/>
    </row>
    <row r="8" spans="1:29" ht="7.5" customHeight="1" x14ac:dyDescent="0.25">
      <c r="A8" s="89"/>
      <c r="B8" s="327"/>
      <c r="C8" s="328"/>
      <c r="D8" s="328"/>
      <c r="E8" s="328"/>
      <c r="F8" s="328"/>
      <c r="G8" s="328"/>
      <c r="H8" s="328"/>
      <c r="I8" s="328"/>
      <c r="J8" s="328"/>
      <c r="K8" s="329"/>
      <c r="L8" s="327"/>
      <c r="M8" s="327"/>
      <c r="N8" s="327"/>
      <c r="O8" s="327"/>
      <c r="P8" s="327"/>
      <c r="Q8" s="327"/>
      <c r="R8" s="25"/>
      <c r="S8" s="25"/>
      <c r="T8" s="25"/>
      <c r="U8" s="25"/>
      <c r="V8" s="25"/>
    </row>
    <row r="9" spans="1:29" ht="22.5" customHeight="1" x14ac:dyDescent="0.25">
      <c r="A9" s="332"/>
      <c r="B9" s="338" t="s">
        <v>299</v>
      </c>
      <c r="C9" s="333"/>
      <c r="D9" s="333"/>
      <c r="E9" s="333"/>
      <c r="F9" s="333"/>
      <c r="G9" s="333"/>
      <c r="H9" s="333"/>
      <c r="I9" s="333"/>
      <c r="J9" s="333"/>
      <c r="K9" s="334"/>
      <c r="L9" s="335"/>
      <c r="M9" s="335"/>
      <c r="N9" s="335"/>
      <c r="O9" s="335"/>
      <c r="P9" s="335"/>
      <c r="Q9" s="335"/>
      <c r="R9" s="335"/>
      <c r="S9" s="335"/>
      <c r="T9" s="335"/>
      <c r="U9" s="335"/>
      <c r="V9" s="335"/>
      <c r="W9" s="335"/>
    </row>
    <row r="10" spans="1:29" ht="7.5" customHeight="1" x14ac:dyDescent="0.4">
      <c r="A10" s="9"/>
      <c r="B10" s="8"/>
      <c r="C10" s="90"/>
      <c r="D10" s="90"/>
      <c r="E10" s="90"/>
      <c r="F10" s="90"/>
      <c r="G10" s="90"/>
      <c r="H10" s="90"/>
      <c r="I10" s="8"/>
      <c r="J10" s="90"/>
      <c r="K10" s="90"/>
      <c r="L10" s="90"/>
      <c r="M10" s="90"/>
      <c r="N10" s="90"/>
      <c r="O10" s="11"/>
      <c r="P10" s="90"/>
      <c r="Q10" s="90"/>
      <c r="R10" s="11"/>
      <c r="S10" s="11"/>
      <c r="T10" s="25"/>
      <c r="U10" s="25"/>
      <c r="V10" s="25"/>
    </row>
    <row r="11" spans="1:29" ht="18.75" customHeight="1" x14ac:dyDescent="0.25">
      <c r="A11" s="25"/>
      <c r="B11" s="612"/>
      <c r="C11" s="613"/>
      <c r="D11" s="613"/>
      <c r="E11" s="613"/>
      <c r="F11" s="613"/>
      <c r="G11" s="613"/>
      <c r="H11" s="613"/>
      <c r="I11" s="613"/>
      <c r="J11" s="614"/>
      <c r="K11" s="1700" t="s">
        <v>307</v>
      </c>
      <c r="L11" s="1701"/>
      <c r="M11" s="1701"/>
      <c r="N11" s="1701"/>
      <c r="O11" s="1701"/>
      <c r="P11" s="1701"/>
      <c r="Q11" s="1701"/>
      <c r="R11" s="1700" t="s">
        <v>298</v>
      </c>
      <c r="S11" s="1701"/>
      <c r="T11" s="1701"/>
      <c r="U11" s="1701"/>
      <c r="V11" s="1701"/>
      <c r="W11" s="25"/>
      <c r="X11" s="25"/>
      <c r="Y11" s="25"/>
      <c r="Z11" s="25"/>
      <c r="AA11" s="25"/>
      <c r="AB11" s="25"/>
      <c r="AC11" s="25"/>
    </row>
    <row r="12" spans="1:29" ht="69.75" customHeight="1" x14ac:dyDescent="0.25">
      <c r="A12" s="611"/>
      <c r="B12" s="612" t="s">
        <v>936</v>
      </c>
      <c r="C12" s="613" t="s">
        <v>393</v>
      </c>
      <c r="D12" s="613" t="s">
        <v>392</v>
      </c>
      <c r="E12" s="613" t="s">
        <v>43</v>
      </c>
      <c r="F12" s="613" t="s">
        <v>1433</v>
      </c>
      <c r="G12" s="613" t="s">
        <v>1436</v>
      </c>
      <c r="H12" s="613" t="s">
        <v>1427</v>
      </c>
      <c r="I12" s="613" t="s">
        <v>1432</v>
      </c>
      <c r="J12" s="613" t="s">
        <v>55</v>
      </c>
      <c r="K12" s="617" t="s">
        <v>937</v>
      </c>
      <c r="L12" s="618" t="s">
        <v>44</v>
      </c>
      <c r="M12" s="618" t="s">
        <v>938</v>
      </c>
      <c r="N12" s="618" t="s">
        <v>939</v>
      </c>
      <c r="O12" s="618" t="s">
        <v>1551</v>
      </c>
      <c r="P12" s="618" t="s">
        <v>1093</v>
      </c>
      <c r="Q12" s="618" t="s">
        <v>959</v>
      </c>
      <c r="R12" s="617" t="s">
        <v>937</v>
      </c>
      <c r="S12" s="613" t="s">
        <v>44</v>
      </c>
      <c r="T12" s="613" t="s">
        <v>938</v>
      </c>
      <c r="U12" s="613" t="s">
        <v>1093</v>
      </c>
      <c r="V12" s="613" t="s">
        <v>959</v>
      </c>
      <c r="W12" s="611"/>
      <c r="X12" s="619" t="s">
        <v>1088</v>
      </c>
      <c r="Y12" s="619" t="s">
        <v>1089</v>
      </c>
      <c r="Z12" s="619" t="s">
        <v>1102</v>
      </c>
      <c r="AA12" s="619" t="s">
        <v>1100</v>
      </c>
      <c r="AB12" s="619" t="s">
        <v>1103</v>
      </c>
      <c r="AC12" s="619" t="s">
        <v>1101</v>
      </c>
    </row>
    <row r="13" spans="1:29" ht="18.75" customHeight="1" x14ac:dyDescent="0.25">
      <c r="A13" s="552">
        <v>1</v>
      </c>
      <c r="B13" s="1337"/>
      <c r="C13" s="1338"/>
      <c r="D13" s="623"/>
      <c r="E13" s="624"/>
      <c r="F13" s="990" t="s">
        <v>9</v>
      </c>
      <c r="G13" s="624"/>
      <c r="H13" s="624"/>
      <c r="I13" s="990"/>
      <c r="J13" s="990"/>
      <c r="K13" s="625"/>
      <c r="L13" s="1340"/>
      <c r="M13" s="1341">
        <f>IFERROR(IF(AND(NOT(ISBLANK(G13)),NOT(ISBLANK(I13)),NOT(ISBLANK(J13)),OR(I13="No",NOT(ISBLANK(K13))),NOT(ISBLANK(L13))),IF(G13="Short term",IF(I13="Yes",L13,0),IF(I13="Yes",L13/K13*52,L13*VLOOKUP(J13,IncomeCycleData[],3,FALSE))),0),0)</f>
        <v>0</v>
      </c>
      <c r="N13" s="1340"/>
      <c r="O13" s="1342">
        <f>IFERROR(IF(AND(NOT(ISBLANK(I13)),NOT(ISBLANK(J13))),IF(I13="Yes",0,MAX(N13*VLOOKUP(J13,IncomeCycleData[],3,FALSE),IF(G13="Standard",M13*SDInvestmentPropertyExpenseFloor,0))),0),0)</f>
        <v>0</v>
      </c>
      <c r="P13" s="1343" t="str">
        <f>IF(L13&gt;0,CONCATENATE(TEXT(AC13,"0%")," - ",AB13),"")</f>
        <v/>
      </c>
      <c r="Q13" s="1341">
        <f>IF(I13="Yes",(M13*AC13)-L13,IF(I13="No",(M13*AC13)-O13,0))</f>
        <v>0</v>
      </c>
      <c r="R13" s="625"/>
      <c r="S13" s="1338"/>
      <c r="T13" s="1342">
        <f>IFERROR(IF(AND(NOT(ISBLANK(G13)),NOT(ISBLANK(I13)),NOT(ISBLANK(R13)),NOT(ISBLANK(S13))),IF(G13="Short term",S13,IF(I13="Yes",S13/R13*52,0)),0),0)</f>
        <v>0</v>
      </c>
      <c r="U13" s="1343" t="str">
        <f>IF(S13&gt;0,CONCATENATE(TEXT(AA13,"0%")," - ",Z13),"")</f>
        <v/>
      </c>
      <c r="V13" s="1341">
        <f>IF(I13="Yes",(T13*AA13)-S13,0)</f>
        <v>0</v>
      </c>
      <c r="W13" s="25"/>
      <c r="X13" s="934" t="str">
        <f>IFERROR(IF(C13&gt;VLOOKUP(D13,StateTable[],2,FALSE),"Yes","No"),"")</f>
        <v/>
      </c>
      <c r="Y13" s="934" t="str">
        <f>IF(ISBLANK(E13),"",IF(IFERROR(VLOOKUP(1*E13,RiskPostcodeTable[],1,FALSE),0)&lt;&gt;0,"Yes","No"))</f>
        <v/>
      </c>
      <c r="Z13" s="934" t="str">
        <f t="shared" ref="Z13:Z44" si="0">IFERROR(IF(OR(ISBLANK($C13),ISBLANK($D13),ISBLANK($E13),ISBLANK($F13),ISBLANK($G13),ISBLANK($H13)),"Incomplete data",IF(AND(SCALMIFlag="Yes",$F13="Yes"),"LMI+Rural",IF($Y13="Yes","Concentration risk",IF($X13="Yes","Prestige",IF($H13="Commercial","Commercial",IF($G13="Short term","Short term","Standard")))))),"") &amp; IF(AND(AA13&gt;0,$I13="Yes",$R13&lt;52)," + part year","")</f>
        <v>Incomplete data</v>
      </c>
      <c r="AA13" s="935">
        <f t="shared" ref="AA13:AA44" si="1">IFERROR(MAX(0,IF(OR(ISBLANK($C13),ISBLANK($D13),ISBLANK($E13),ISBLANK($F13),ISBLANK($G13),ISBLANK($H13)),SDConcentrationRiskRentShade,IF(AND(SCALMIFlag="Yes",$F13="Yes"),0,IF($Y13="Yes",SDConcentrationRiskRentShade,IF($X13="Yes",SDPrestigeRentShade,IF($H13="Commercial",SDCommercialRentShade,IF($G13="Short term",SDShortTermRentShade,SDStandardRentShade))))))-IF(AND($I13="Yes",$R13&lt;52),SDBusinessAdditionalRentShade,0)),"")</f>
        <v>0.6</v>
      </c>
      <c r="AB13" s="934" t="str">
        <f t="shared" ref="AB13:AB44" si="2">IFERROR(IF(OR(ISBLANK($C13),ISBLANK($D13),ISBLANK($E13),ISBLANK($F13),ISBLANK($G13),ISBLANK($H13)),"Incomplete data",IF(AND(SCALMIFlag="Yes",$F13="Yes"),"LMI+Rural",IF($Y13="Yes","Concentration risk",IF($X13="Yes","Prestige",IF($H13="Commercial","Commercial",IF($G13="Short term","Short term","Standard")))))),"") &amp; IF(AND(AC13&gt;0,$I13="Yes",$K13&lt;52)," + part year","")</f>
        <v>Incomplete data</v>
      </c>
      <c r="AC13" s="935">
        <f t="shared" ref="AC13:AC44" si="3">IFERROR(MAX(0,IF(OR(ISBLANK($C13),ISBLANK($D13),ISBLANK($E13),ISBLANK($F13),ISBLANK($G13),ISBLANK($H13)),SDConcentrationRiskRentShade,IF(AND(SCALMIFlag="Yes",$F13="Yes"),0,IF($Y13="Yes",SDConcentrationRiskRentShade,IF($X13="Yes",SDPrestigeRentShade,IF($H13="Commercial",SDCommercialRentShade,IF($G13="Short term",SDShortTermRentShade,SDStandardRentShade))))))-IF(AND($I13="Yes",$K13&lt;52),SDBusinessAdditionalRentShade,0)),"")</f>
        <v>0.6</v>
      </c>
    </row>
    <row r="14" spans="1:29" ht="18.75" customHeight="1" x14ac:dyDescent="0.25">
      <c r="A14" s="552">
        <v>2</v>
      </c>
      <c r="B14" s="1337"/>
      <c r="C14" s="1339"/>
      <c r="D14" s="991"/>
      <c r="E14" s="626"/>
      <c r="F14" s="990" t="s">
        <v>9</v>
      </c>
      <c r="G14" s="626"/>
      <c r="H14" s="626"/>
      <c r="I14" s="990"/>
      <c r="J14" s="990"/>
      <c r="K14" s="625"/>
      <c r="L14" s="1344"/>
      <c r="M14" s="1341">
        <f>IFERROR(IF(AND(NOT(ISBLANK(G14)),NOT(ISBLANK(I14)),NOT(ISBLANK(J14)),OR(I14="No",NOT(ISBLANK(K14))),NOT(ISBLANK(L14))),IF(G14="Short term",IF(I14="Yes",L14,0),IF(I14="Yes",L14/K14*52,L14*VLOOKUP(J14,IncomeCycleData[],3,FALSE))),0),0)</f>
        <v>0</v>
      </c>
      <c r="N14" s="1345"/>
      <c r="O14" s="1342">
        <f>IFERROR(IF(AND(NOT(ISBLANK(I14)),NOT(ISBLANK(J14))),IF(I14="Yes",0,MAX(N14*VLOOKUP(J14,IncomeCycleData[],3,FALSE),IF(G14="Standard",M14*SDInvestmentPropertyExpenseFloor,0))),0),0)</f>
        <v>0</v>
      </c>
      <c r="P14" s="1343" t="str">
        <f t="shared" ref="P14:P62" si="4">IF(L14&gt;0,CONCATENATE(TEXT(AC14,"0%")," - ",AB14),"")</f>
        <v/>
      </c>
      <c r="Q14" s="1341">
        <f t="shared" ref="Q14:Q62" si="5">IF(I14="Yes",(M14*AC14)-L14,IF(I14="No",(M14*AC14)-O14,0))</f>
        <v>0</v>
      </c>
      <c r="R14" s="625"/>
      <c r="S14" s="1346"/>
      <c r="T14" s="1342">
        <f t="shared" ref="T14:T44" si="6">IFERROR(IF(AND(NOT(ISBLANK(G14)),NOT(ISBLANK(I14)),NOT(ISBLANK(R14)),NOT(ISBLANK(S14))),IF(G14="Short term",S14,IF(I14="Yes",S14/R14*52,0)),0),0)</f>
        <v>0</v>
      </c>
      <c r="U14" s="1343" t="str">
        <f t="shared" ref="U14:U44" si="7">IF(S14&gt;0,CONCATENATE(TEXT(AA14,"0%")," - ",Z14),"")</f>
        <v/>
      </c>
      <c r="V14" s="1341">
        <f t="shared" ref="V14:V44" si="8">IF(I14="Yes",(T14*AA14)-S14,0)</f>
        <v>0</v>
      </c>
      <c r="W14" s="25"/>
      <c r="X14" s="934" t="str">
        <f>IFERROR(IF(C14&gt;VLOOKUP(D14,StateTable[],2,FALSE),"Yes","No"),"")</f>
        <v/>
      </c>
      <c r="Y14" s="934" t="str">
        <f>IF(ISBLANK(E14),"",IF(IFERROR(VLOOKUP(1*E14,RiskPostcodeTable[],1,FALSE),0)&lt;&gt;0,"Yes","No"))</f>
        <v/>
      </c>
      <c r="Z14" s="934" t="str">
        <f t="shared" si="0"/>
        <v>Incomplete data</v>
      </c>
      <c r="AA14" s="935">
        <f t="shared" si="1"/>
        <v>0.6</v>
      </c>
      <c r="AB14" s="934" t="str">
        <f t="shared" si="2"/>
        <v>Incomplete data</v>
      </c>
      <c r="AC14" s="935">
        <f t="shared" si="3"/>
        <v>0.6</v>
      </c>
    </row>
    <row r="15" spans="1:29" ht="18.75" customHeight="1" x14ac:dyDescent="0.25">
      <c r="A15" s="552">
        <v>3</v>
      </c>
      <c r="B15" s="1337"/>
      <c r="C15" s="1339"/>
      <c r="D15" s="991"/>
      <c r="E15" s="626"/>
      <c r="F15" s="990" t="s">
        <v>9</v>
      </c>
      <c r="G15" s="626"/>
      <c r="H15" s="626"/>
      <c r="I15" s="990"/>
      <c r="J15" s="990"/>
      <c r="K15" s="625"/>
      <c r="L15" s="1344"/>
      <c r="M15" s="1341">
        <f>IFERROR(IF(AND(NOT(ISBLANK(G15)),NOT(ISBLANK(I15)),NOT(ISBLANK(J15)),OR(I15="No",NOT(ISBLANK(K15))),NOT(ISBLANK(L15))),IF(G15="Short term",IF(I15="Yes",L15,0),IF(I15="Yes",L15/K15*52,L15*VLOOKUP(J15,IncomeCycleData[],3,FALSE))),0),0)</f>
        <v>0</v>
      </c>
      <c r="N15" s="1344"/>
      <c r="O15" s="1342">
        <f>IFERROR(IF(AND(NOT(ISBLANK(I15)),NOT(ISBLANK(J15))),IF(I15="Yes",0,MAX(N15*VLOOKUP(J15,IncomeCycleData[],3,FALSE),IF(G15="Standard",M15*SDInvestmentPropertyExpenseFloor,0))),0),0)</f>
        <v>0</v>
      </c>
      <c r="P15" s="1343" t="str">
        <f t="shared" si="4"/>
        <v/>
      </c>
      <c r="Q15" s="1341">
        <f t="shared" si="5"/>
        <v>0</v>
      </c>
      <c r="R15" s="625"/>
      <c r="S15" s="1346"/>
      <c r="T15" s="1342">
        <f t="shared" si="6"/>
        <v>0</v>
      </c>
      <c r="U15" s="1343" t="str">
        <f t="shared" si="7"/>
        <v/>
      </c>
      <c r="V15" s="1341">
        <f t="shared" si="8"/>
        <v>0</v>
      </c>
      <c r="W15" s="25"/>
      <c r="X15" s="934" t="str">
        <f>IFERROR(IF(C15&gt;VLOOKUP(D15,StateTable[],2,FALSE),"Yes","No"),"")</f>
        <v/>
      </c>
      <c r="Y15" s="934" t="str">
        <f>IF(ISBLANK(E15),"",IF(IFERROR(VLOOKUP(1*E15,RiskPostcodeTable[],1,FALSE),0)&lt;&gt;0,"Yes","No"))</f>
        <v/>
      </c>
      <c r="Z15" s="934" t="str">
        <f t="shared" si="0"/>
        <v>Incomplete data</v>
      </c>
      <c r="AA15" s="935">
        <f t="shared" si="1"/>
        <v>0.6</v>
      </c>
      <c r="AB15" s="934" t="str">
        <f t="shared" si="2"/>
        <v>Incomplete data</v>
      </c>
      <c r="AC15" s="935">
        <f t="shared" si="3"/>
        <v>0.6</v>
      </c>
    </row>
    <row r="16" spans="1:29" ht="18.75" customHeight="1" x14ac:dyDescent="0.25">
      <c r="A16" s="552">
        <v>4</v>
      </c>
      <c r="B16" s="1337"/>
      <c r="C16" s="1339"/>
      <c r="D16" s="991"/>
      <c r="E16" s="626"/>
      <c r="F16" s="990" t="s">
        <v>9</v>
      </c>
      <c r="G16" s="626"/>
      <c r="H16" s="626"/>
      <c r="I16" s="990"/>
      <c r="J16" s="990"/>
      <c r="K16" s="625"/>
      <c r="L16" s="1344"/>
      <c r="M16" s="1341">
        <f>IFERROR(IF(AND(NOT(ISBLANK(G16)),NOT(ISBLANK(I16)),NOT(ISBLANK(J16)),OR(I16="No",NOT(ISBLANK(K16))),NOT(ISBLANK(L16))),IF(G16="Short term",IF(I16="Yes",L16,0),IF(I16="Yes",L16/K16*52,L16*VLOOKUP(J16,IncomeCycleData[],3,FALSE))),0),0)</f>
        <v>0</v>
      </c>
      <c r="N16" s="1344"/>
      <c r="O16" s="1342">
        <f>IFERROR(IF(AND(NOT(ISBLANK(I16)),NOT(ISBLANK(J16))),IF(I16="Yes",0,MAX(N16*VLOOKUP(J16,IncomeCycleData[],3,FALSE),IF(G16="Standard",M16*SDInvestmentPropertyExpenseFloor,0))),0),0)</f>
        <v>0</v>
      </c>
      <c r="P16" s="1343" t="str">
        <f t="shared" si="4"/>
        <v/>
      </c>
      <c r="Q16" s="1341">
        <f t="shared" si="5"/>
        <v>0</v>
      </c>
      <c r="R16" s="625"/>
      <c r="S16" s="1346"/>
      <c r="T16" s="1342">
        <f t="shared" si="6"/>
        <v>0</v>
      </c>
      <c r="U16" s="1343" t="str">
        <f t="shared" si="7"/>
        <v/>
      </c>
      <c r="V16" s="1341">
        <f t="shared" si="8"/>
        <v>0</v>
      </c>
      <c r="W16" s="25"/>
      <c r="X16" s="934" t="str">
        <f>IFERROR(IF(C16&gt;VLOOKUP(D16,StateTable[],2,FALSE),"Yes","No"),"")</f>
        <v/>
      </c>
      <c r="Y16" s="934" t="str">
        <f>IF(ISBLANK(E16),"",IF(IFERROR(VLOOKUP(1*E16,RiskPostcodeTable[],1,FALSE),0)&lt;&gt;0,"Yes","No"))</f>
        <v/>
      </c>
      <c r="Z16" s="934" t="str">
        <f t="shared" si="0"/>
        <v>Incomplete data</v>
      </c>
      <c r="AA16" s="935">
        <f t="shared" si="1"/>
        <v>0.6</v>
      </c>
      <c r="AB16" s="934" t="str">
        <f t="shared" si="2"/>
        <v>Incomplete data</v>
      </c>
      <c r="AC16" s="935">
        <f t="shared" si="3"/>
        <v>0.6</v>
      </c>
    </row>
    <row r="17" spans="1:29" ht="18.75" customHeight="1" x14ac:dyDescent="0.25">
      <c r="A17" s="552">
        <v>5</v>
      </c>
      <c r="B17" s="1337"/>
      <c r="C17" s="1339"/>
      <c r="D17" s="991"/>
      <c r="E17" s="626"/>
      <c r="F17" s="990" t="s">
        <v>9</v>
      </c>
      <c r="G17" s="626"/>
      <c r="H17" s="626"/>
      <c r="I17" s="990"/>
      <c r="J17" s="990"/>
      <c r="K17" s="625"/>
      <c r="L17" s="1344"/>
      <c r="M17" s="1341">
        <f>IFERROR(IF(AND(NOT(ISBLANK(G17)),NOT(ISBLANK(I17)),NOT(ISBLANK(J17)),OR(I17="No",NOT(ISBLANK(K17))),NOT(ISBLANK(L17))),IF(G17="Short term",IF(I17="Yes",L17,0),IF(I17="Yes",L17/K17*52,L17*VLOOKUP(J17,IncomeCycleData[],3,FALSE))),0),0)</f>
        <v>0</v>
      </c>
      <c r="N17" s="1344"/>
      <c r="O17" s="1342">
        <f>IFERROR(IF(AND(NOT(ISBLANK(I17)),NOT(ISBLANK(J17))),IF(I17="Yes",0,MAX(N17*VLOOKUP(J17,IncomeCycleData[],3,FALSE),IF(G17="Standard",M17*SDInvestmentPropertyExpenseFloor,0))),0),0)</f>
        <v>0</v>
      </c>
      <c r="P17" s="1343" t="str">
        <f t="shared" si="4"/>
        <v/>
      </c>
      <c r="Q17" s="1341">
        <f t="shared" si="5"/>
        <v>0</v>
      </c>
      <c r="R17" s="625"/>
      <c r="S17" s="1346"/>
      <c r="T17" s="1342">
        <f t="shared" si="6"/>
        <v>0</v>
      </c>
      <c r="U17" s="1343" t="str">
        <f t="shared" si="7"/>
        <v/>
      </c>
      <c r="V17" s="1341">
        <f t="shared" si="8"/>
        <v>0</v>
      </c>
      <c r="W17" s="25"/>
      <c r="X17" s="934" t="str">
        <f>IFERROR(IF(C17&gt;VLOOKUP(D17,StateTable[],2,FALSE),"Yes","No"),"")</f>
        <v/>
      </c>
      <c r="Y17" s="934" t="str">
        <f>IF(ISBLANK(E17),"",IF(IFERROR(VLOOKUP(1*E17,RiskPostcodeTable[],1,FALSE),0)&lt;&gt;0,"Yes","No"))</f>
        <v/>
      </c>
      <c r="Z17" s="934" t="str">
        <f t="shared" si="0"/>
        <v>Incomplete data</v>
      </c>
      <c r="AA17" s="935">
        <f t="shared" si="1"/>
        <v>0.6</v>
      </c>
      <c r="AB17" s="934" t="str">
        <f t="shared" si="2"/>
        <v>Incomplete data</v>
      </c>
      <c r="AC17" s="935">
        <f t="shared" si="3"/>
        <v>0.6</v>
      </c>
    </row>
    <row r="18" spans="1:29" ht="18.75" hidden="1" customHeight="1" x14ac:dyDescent="0.25">
      <c r="A18" s="552">
        <v>6</v>
      </c>
      <c r="B18" s="1337"/>
      <c r="C18" s="1339"/>
      <c r="D18" s="991"/>
      <c r="E18" s="626"/>
      <c r="F18" s="990" t="s">
        <v>9</v>
      </c>
      <c r="G18" s="626"/>
      <c r="H18" s="626"/>
      <c r="I18" s="990"/>
      <c r="J18" s="990"/>
      <c r="K18" s="625"/>
      <c r="L18" s="1344"/>
      <c r="M18" s="1341">
        <f>IFERROR(IF(AND(NOT(ISBLANK(G18)),NOT(ISBLANK(I18)),NOT(ISBLANK(J18)),OR(I18="No",NOT(ISBLANK(K18))),NOT(ISBLANK(L18))),IF(G18="Short term",IF(I18="Yes",L18,0),IF(I18="Yes",L18/K18*52,L18*VLOOKUP(J18,IncomeCycleData[],3,FALSE))),0),0)</f>
        <v>0</v>
      </c>
      <c r="N18" s="1344"/>
      <c r="O18" s="1342">
        <f>IFERROR(IF(AND(NOT(ISBLANK(I18)),NOT(ISBLANK(J18))),IF(I18="Yes",0,MAX(N18*VLOOKUP(J18,IncomeCycleData[],3,FALSE),IF(G18="Standard",M18*SDInvestmentPropertyExpenseFloor,0))),0),0)</f>
        <v>0</v>
      </c>
      <c r="P18" s="1343" t="str">
        <f t="shared" si="4"/>
        <v/>
      </c>
      <c r="Q18" s="1341">
        <f t="shared" si="5"/>
        <v>0</v>
      </c>
      <c r="R18" s="625"/>
      <c r="S18" s="1346"/>
      <c r="T18" s="1342">
        <f t="shared" si="6"/>
        <v>0</v>
      </c>
      <c r="U18" s="1343" t="str">
        <f t="shared" si="7"/>
        <v/>
      </c>
      <c r="V18" s="1341">
        <f t="shared" si="8"/>
        <v>0</v>
      </c>
      <c r="W18" s="25"/>
      <c r="X18" s="934" t="str">
        <f>IFERROR(IF(C18&gt;VLOOKUP(D18,StateTable[],2,FALSE),"Yes","No"),"")</f>
        <v/>
      </c>
      <c r="Y18" s="934" t="str">
        <f>IF(ISBLANK(E18),"",IF(IFERROR(VLOOKUP(1*E18,RiskPostcodeTable[],1,FALSE),0)&lt;&gt;0,"Yes","No"))</f>
        <v/>
      </c>
      <c r="Z18" s="934" t="str">
        <f t="shared" si="0"/>
        <v>Incomplete data</v>
      </c>
      <c r="AA18" s="935">
        <f t="shared" si="1"/>
        <v>0.6</v>
      </c>
      <c r="AB18" s="934" t="str">
        <f t="shared" si="2"/>
        <v>Incomplete data</v>
      </c>
      <c r="AC18" s="935">
        <f t="shared" si="3"/>
        <v>0.6</v>
      </c>
    </row>
    <row r="19" spans="1:29" ht="18.75" hidden="1" customHeight="1" x14ac:dyDescent="0.25">
      <c r="A19" s="552">
        <v>7</v>
      </c>
      <c r="B19" s="1337"/>
      <c r="C19" s="1339"/>
      <c r="D19" s="991"/>
      <c r="E19" s="626"/>
      <c r="F19" s="990" t="s">
        <v>9</v>
      </c>
      <c r="G19" s="626"/>
      <c r="H19" s="626"/>
      <c r="I19" s="990"/>
      <c r="J19" s="990"/>
      <c r="K19" s="625"/>
      <c r="L19" s="1344"/>
      <c r="M19" s="1341">
        <f>IFERROR(IF(AND(NOT(ISBLANK(G19)),NOT(ISBLANK(I19)),NOT(ISBLANK(J19)),OR(I19="No",NOT(ISBLANK(K19))),NOT(ISBLANK(L19))),IF(G19="Short term",IF(I19="Yes",L19,0),IF(I19="Yes",L19/K19*52,L19*VLOOKUP(J19,IncomeCycleData[],3,FALSE))),0),0)</f>
        <v>0</v>
      </c>
      <c r="N19" s="1344"/>
      <c r="O19" s="1342">
        <f>IFERROR(IF(AND(NOT(ISBLANK(I19)),NOT(ISBLANK(J19))),IF(I19="Yes",0,MAX(N19*VLOOKUP(J19,IncomeCycleData[],3,FALSE),IF(G19="Standard",M19*SDInvestmentPropertyExpenseFloor,0))),0),0)</f>
        <v>0</v>
      </c>
      <c r="P19" s="1343" t="str">
        <f t="shared" si="4"/>
        <v/>
      </c>
      <c r="Q19" s="1341">
        <f t="shared" si="5"/>
        <v>0</v>
      </c>
      <c r="R19" s="625"/>
      <c r="S19" s="1346"/>
      <c r="T19" s="1342">
        <f t="shared" si="6"/>
        <v>0</v>
      </c>
      <c r="U19" s="1343" t="str">
        <f t="shared" si="7"/>
        <v/>
      </c>
      <c r="V19" s="1341">
        <f t="shared" si="8"/>
        <v>0</v>
      </c>
      <c r="W19" s="25"/>
      <c r="X19" s="934" t="str">
        <f>IFERROR(IF(C19&gt;VLOOKUP(D19,StateTable[],2,FALSE),"Yes","No"),"")</f>
        <v/>
      </c>
      <c r="Y19" s="934" t="str">
        <f>IF(ISBLANK(E19),"",IF(IFERROR(VLOOKUP(1*E19,RiskPostcodeTable[],1,FALSE),0)&lt;&gt;0,"Yes","No"))</f>
        <v/>
      </c>
      <c r="Z19" s="934" t="str">
        <f t="shared" si="0"/>
        <v>Incomplete data</v>
      </c>
      <c r="AA19" s="935">
        <f t="shared" si="1"/>
        <v>0.6</v>
      </c>
      <c r="AB19" s="934" t="str">
        <f t="shared" si="2"/>
        <v>Incomplete data</v>
      </c>
      <c r="AC19" s="935">
        <f t="shared" si="3"/>
        <v>0.6</v>
      </c>
    </row>
    <row r="20" spans="1:29" ht="18.75" hidden="1" customHeight="1" x14ac:dyDescent="0.25">
      <c r="A20" s="552">
        <v>8</v>
      </c>
      <c r="B20" s="1337"/>
      <c r="C20" s="1339"/>
      <c r="D20" s="991"/>
      <c r="E20" s="626"/>
      <c r="F20" s="990" t="s">
        <v>9</v>
      </c>
      <c r="G20" s="626"/>
      <c r="H20" s="626"/>
      <c r="I20" s="990"/>
      <c r="J20" s="990"/>
      <c r="K20" s="625"/>
      <c r="L20" s="1344"/>
      <c r="M20" s="1341">
        <f>IFERROR(IF(AND(NOT(ISBLANK(G20)),NOT(ISBLANK(I20)),NOT(ISBLANK(J20)),OR(I20="No",NOT(ISBLANK(K20))),NOT(ISBLANK(L20))),IF(G20="Short term",IF(I20="Yes",L20,0),IF(I20="Yes",L20/K20*52,L20*VLOOKUP(J20,IncomeCycleData[],3,FALSE))),0),0)</f>
        <v>0</v>
      </c>
      <c r="N20" s="1344"/>
      <c r="O20" s="1342">
        <f>IFERROR(IF(AND(NOT(ISBLANK(I20)),NOT(ISBLANK(J20))),IF(I20="Yes",0,MAX(N20*VLOOKUP(J20,IncomeCycleData[],3,FALSE),IF(G20="Standard",M20*SDInvestmentPropertyExpenseFloor,0))),0),0)</f>
        <v>0</v>
      </c>
      <c r="P20" s="1343" t="str">
        <f t="shared" si="4"/>
        <v/>
      </c>
      <c r="Q20" s="1341">
        <f t="shared" si="5"/>
        <v>0</v>
      </c>
      <c r="R20" s="625"/>
      <c r="S20" s="1346"/>
      <c r="T20" s="1342">
        <f t="shared" si="6"/>
        <v>0</v>
      </c>
      <c r="U20" s="1343" t="str">
        <f t="shared" si="7"/>
        <v/>
      </c>
      <c r="V20" s="1341">
        <f t="shared" si="8"/>
        <v>0</v>
      </c>
      <c r="W20" s="25"/>
      <c r="X20" s="934" t="str">
        <f>IFERROR(IF(C20&gt;VLOOKUP(D20,StateTable[],2,FALSE),"Yes","No"),"")</f>
        <v/>
      </c>
      <c r="Y20" s="934" t="str">
        <f>IF(ISBLANK(E20),"",IF(IFERROR(VLOOKUP(1*E20,RiskPostcodeTable[],1,FALSE),0)&lt;&gt;0,"Yes","No"))</f>
        <v/>
      </c>
      <c r="Z20" s="934" t="str">
        <f t="shared" si="0"/>
        <v>Incomplete data</v>
      </c>
      <c r="AA20" s="935">
        <f t="shared" si="1"/>
        <v>0.6</v>
      </c>
      <c r="AB20" s="934" t="str">
        <f t="shared" si="2"/>
        <v>Incomplete data</v>
      </c>
      <c r="AC20" s="935">
        <f t="shared" si="3"/>
        <v>0.6</v>
      </c>
    </row>
    <row r="21" spans="1:29" ht="18.75" hidden="1" customHeight="1" x14ac:dyDescent="0.25">
      <c r="A21" s="552">
        <v>9</v>
      </c>
      <c r="B21" s="1337"/>
      <c r="C21" s="1339"/>
      <c r="D21" s="991"/>
      <c r="E21" s="626"/>
      <c r="F21" s="990" t="s">
        <v>9</v>
      </c>
      <c r="G21" s="626"/>
      <c r="H21" s="626"/>
      <c r="I21" s="990"/>
      <c r="J21" s="990"/>
      <c r="K21" s="625"/>
      <c r="L21" s="1344"/>
      <c r="M21" s="1341">
        <f>IFERROR(IF(AND(NOT(ISBLANK(G21)),NOT(ISBLANK(I21)),NOT(ISBLANK(J21)),OR(I21="No",NOT(ISBLANK(K21))),NOT(ISBLANK(L21))),IF(G21="Short term",IF(I21="Yes",L21,0),IF(I21="Yes",L21/K21*52,L21*VLOOKUP(J21,IncomeCycleData[],3,FALSE))),0),0)</f>
        <v>0</v>
      </c>
      <c r="N21" s="1344"/>
      <c r="O21" s="1342">
        <f>IFERROR(IF(AND(NOT(ISBLANK(I21)),NOT(ISBLANK(J21))),IF(I21="Yes",0,MAX(N21*VLOOKUP(J21,IncomeCycleData[],3,FALSE),IF(G21="Standard",M21*SDInvestmentPropertyExpenseFloor,0))),0),0)</f>
        <v>0</v>
      </c>
      <c r="P21" s="1343" t="str">
        <f t="shared" si="4"/>
        <v/>
      </c>
      <c r="Q21" s="1341">
        <f t="shared" si="5"/>
        <v>0</v>
      </c>
      <c r="R21" s="625"/>
      <c r="S21" s="1346"/>
      <c r="T21" s="1342">
        <f t="shared" si="6"/>
        <v>0</v>
      </c>
      <c r="U21" s="1343" t="str">
        <f t="shared" si="7"/>
        <v/>
      </c>
      <c r="V21" s="1341">
        <f t="shared" si="8"/>
        <v>0</v>
      </c>
      <c r="W21" s="25"/>
      <c r="X21" s="934" t="str">
        <f>IFERROR(IF(C21&gt;VLOOKUP(D21,StateTable[],2,FALSE),"Yes","No"),"")</f>
        <v/>
      </c>
      <c r="Y21" s="934" t="str">
        <f>IF(ISBLANK(E21),"",IF(IFERROR(VLOOKUP(1*E21,RiskPostcodeTable[],1,FALSE),0)&lt;&gt;0,"Yes","No"))</f>
        <v/>
      </c>
      <c r="Z21" s="934" t="str">
        <f t="shared" si="0"/>
        <v>Incomplete data</v>
      </c>
      <c r="AA21" s="935">
        <f t="shared" si="1"/>
        <v>0.6</v>
      </c>
      <c r="AB21" s="934" t="str">
        <f t="shared" si="2"/>
        <v>Incomplete data</v>
      </c>
      <c r="AC21" s="935">
        <f t="shared" si="3"/>
        <v>0.6</v>
      </c>
    </row>
    <row r="22" spans="1:29" ht="18.75" hidden="1" customHeight="1" x14ac:dyDescent="0.25">
      <c r="A22" s="552">
        <v>10</v>
      </c>
      <c r="B22" s="1337"/>
      <c r="C22" s="1339"/>
      <c r="D22" s="991"/>
      <c r="E22" s="626"/>
      <c r="F22" s="990" t="s">
        <v>9</v>
      </c>
      <c r="G22" s="626"/>
      <c r="H22" s="626"/>
      <c r="I22" s="990"/>
      <c r="J22" s="990"/>
      <c r="K22" s="625"/>
      <c r="L22" s="1344"/>
      <c r="M22" s="1341">
        <f>IFERROR(IF(AND(NOT(ISBLANK(G22)),NOT(ISBLANK(I22)),NOT(ISBLANK(J22)),OR(I22="No",NOT(ISBLANK(K22))),NOT(ISBLANK(L22))),IF(G22="Short term",IF(I22="Yes",L22,0),IF(I22="Yes",L22/K22*52,L22*VLOOKUP(J22,IncomeCycleData[],3,FALSE))),0),0)</f>
        <v>0</v>
      </c>
      <c r="N22" s="1344"/>
      <c r="O22" s="1342">
        <f>IFERROR(IF(AND(NOT(ISBLANK(I22)),NOT(ISBLANK(J22))),IF(I22="Yes",0,MAX(N22*VLOOKUP(J22,IncomeCycleData[],3,FALSE),IF(G22="Standard",M22*SDInvestmentPropertyExpenseFloor,0))),0),0)</f>
        <v>0</v>
      </c>
      <c r="P22" s="1343" t="str">
        <f t="shared" si="4"/>
        <v/>
      </c>
      <c r="Q22" s="1341">
        <f t="shared" si="5"/>
        <v>0</v>
      </c>
      <c r="R22" s="625"/>
      <c r="S22" s="1346"/>
      <c r="T22" s="1342">
        <f t="shared" si="6"/>
        <v>0</v>
      </c>
      <c r="U22" s="1343" t="str">
        <f t="shared" si="7"/>
        <v/>
      </c>
      <c r="V22" s="1341">
        <f t="shared" si="8"/>
        <v>0</v>
      </c>
      <c r="W22" s="25"/>
      <c r="X22" s="934" t="str">
        <f>IFERROR(IF(C22&gt;VLOOKUP(D22,StateTable[],2,FALSE),"Yes","No"),"")</f>
        <v/>
      </c>
      <c r="Y22" s="934" t="str">
        <f>IF(ISBLANK(E22),"",IF(IFERROR(VLOOKUP(1*E22,RiskPostcodeTable[],1,FALSE),0)&lt;&gt;0,"Yes","No"))</f>
        <v/>
      </c>
      <c r="Z22" s="934" t="str">
        <f t="shared" si="0"/>
        <v>Incomplete data</v>
      </c>
      <c r="AA22" s="935">
        <f t="shared" si="1"/>
        <v>0.6</v>
      </c>
      <c r="AB22" s="934" t="str">
        <f t="shared" si="2"/>
        <v>Incomplete data</v>
      </c>
      <c r="AC22" s="935">
        <f t="shared" si="3"/>
        <v>0.6</v>
      </c>
    </row>
    <row r="23" spans="1:29" ht="18.75" hidden="1" customHeight="1" x14ac:dyDescent="0.25">
      <c r="A23" s="552">
        <v>11</v>
      </c>
      <c r="B23" s="1337"/>
      <c r="C23" s="1339"/>
      <c r="D23" s="991"/>
      <c r="E23" s="626"/>
      <c r="F23" s="990" t="s">
        <v>9</v>
      </c>
      <c r="G23" s="626"/>
      <c r="H23" s="626"/>
      <c r="I23" s="990"/>
      <c r="J23" s="990"/>
      <c r="K23" s="625"/>
      <c r="L23" s="1344"/>
      <c r="M23" s="1341">
        <f>IFERROR(IF(AND(NOT(ISBLANK(G23)),NOT(ISBLANK(I23)),NOT(ISBLANK(J23)),OR(I23="No",NOT(ISBLANK(K23))),NOT(ISBLANK(L23))),IF(G23="Short term",IF(I23="Yes",L23,0),IF(I23="Yes",L23/K23*52,L23*VLOOKUP(J23,IncomeCycleData[],3,FALSE))),0),0)</f>
        <v>0</v>
      </c>
      <c r="N23" s="1344"/>
      <c r="O23" s="1342">
        <f>IFERROR(IF(AND(NOT(ISBLANK(I23)),NOT(ISBLANK(J23))),IF(I23="Yes",0,MAX(N23*VLOOKUP(J23,IncomeCycleData[],3,FALSE),IF(G23="Standard",M23*SDInvestmentPropertyExpenseFloor,0))),0),0)</f>
        <v>0</v>
      </c>
      <c r="P23" s="1343" t="str">
        <f t="shared" si="4"/>
        <v/>
      </c>
      <c r="Q23" s="1341">
        <f t="shared" si="5"/>
        <v>0</v>
      </c>
      <c r="R23" s="625"/>
      <c r="S23" s="1346"/>
      <c r="T23" s="1342">
        <f t="shared" si="6"/>
        <v>0</v>
      </c>
      <c r="U23" s="1343" t="str">
        <f t="shared" si="7"/>
        <v/>
      </c>
      <c r="V23" s="1341">
        <f t="shared" si="8"/>
        <v>0</v>
      </c>
      <c r="W23" s="25"/>
      <c r="X23" s="934" t="str">
        <f>IFERROR(IF(C23&gt;VLOOKUP(D23,StateTable[],2,FALSE),"Yes","No"),"")</f>
        <v/>
      </c>
      <c r="Y23" s="934" t="str">
        <f>IF(ISBLANK(E23),"",IF(IFERROR(VLOOKUP(1*E23,RiskPostcodeTable[],1,FALSE),0)&lt;&gt;0,"Yes","No"))</f>
        <v/>
      </c>
      <c r="Z23" s="934" t="str">
        <f t="shared" si="0"/>
        <v>Incomplete data</v>
      </c>
      <c r="AA23" s="935">
        <f t="shared" si="1"/>
        <v>0.6</v>
      </c>
      <c r="AB23" s="934" t="str">
        <f t="shared" si="2"/>
        <v>Incomplete data</v>
      </c>
      <c r="AC23" s="935">
        <f t="shared" si="3"/>
        <v>0.6</v>
      </c>
    </row>
    <row r="24" spans="1:29" ht="18.75" hidden="1" customHeight="1" x14ac:dyDescent="0.25">
      <c r="A24" s="552">
        <v>12</v>
      </c>
      <c r="B24" s="1337"/>
      <c r="C24" s="1339"/>
      <c r="D24" s="991"/>
      <c r="E24" s="626"/>
      <c r="F24" s="990" t="s">
        <v>9</v>
      </c>
      <c r="G24" s="626"/>
      <c r="H24" s="626"/>
      <c r="I24" s="990"/>
      <c r="J24" s="990"/>
      <c r="K24" s="625"/>
      <c r="L24" s="1344"/>
      <c r="M24" s="1341">
        <f>IFERROR(IF(AND(NOT(ISBLANK(G24)),NOT(ISBLANK(I24)),NOT(ISBLANK(J24)),OR(I24="No",NOT(ISBLANK(K24))),NOT(ISBLANK(L24))),IF(G24="Short term",IF(I24="Yes",L24,0),IF(I24="Yes",L24/K24*52,L24*VLOOKUP(J24,IncomeCycleData[],3,FALSE))),0),0)</f>
        <v>0</v>
      </c>
      <c r="N24" s="1344"/>
      <c r="O24" s="1342">
        <f>IFERROR(IF(AND(NOT(ISBLANK(I24)),NOT(ISBLANK(J24))),IF(I24="Yes",0,MAX(N24*VLOOKUP(J24,IncomeCycleData[],3,FALSE),IF(G24="Standard",M24*SDInvestmentPropertyExpenseFloor,0))),0),0)</f>
        <v>0</v>
      </c>
      <c r="P24" s="1343" t="str">
        <f t="shared" si="4"/>
        <v/>
      </c>
      <c r="Q24" s="1341">
        <f t="shared" si="5"/>
        <v>0</v>
      </c>
      <c r="R24" s="625"/>
      <c r="S24" s="1346"/>
      <c r="T24" s="1342">
        <f t="shared" si="6"/>
        <v>0</v>
      </c>
      <c r="U24" s="1343" t="str">
        <f t="shared" si="7"/>
        <v/>
      </c>
      <c r="V24" s="1341">
        <f t="shared" si="8"/>
        <v>0</v>
      </c>
      <c r="W24" s="25"/>
      <c r="X24" s="934" t="str">
        <f>IFERROR(IF(C24&gt;VLOOKUP(D24,StateTable[],2,FALSE),"Yes","No"),"")</f>
        <v/>
      </c>
      <c r="Y24" s="934" t="str">
        <f>IF(ISBLANK(E24),"",IF(IFERROR(VLOOKUP(1*E24,RiskPostcodeTable[],1,FALSE),0)&lt;&gt;0,"Yes","No"))</f>
        <v/>
      </c>
      <c r="Z24" s="934" t="str">
        <f t="shared" si="0"/>
        <v>Incomplete data</v>
      </c>
      <c r="AA24" s="935">
        <f t="shared" si="1"/>
        <v>0.6</v>
      </c>
      <c r="AB24" s="934" t="str">
        <f t="shared" si="2"/>
        <v>Incomplete data</v>
      </c>
      <c r="AC24" s="935">
        <f t="shared" si="3"/>
        <v>0.6</v>
      </c>
    </row>
    <row r="25" spans="1:29" ht="18.75" hidden="1" customHeight="1" x14ac:dyDescent="0.25">
      <c r="A25" s="552">
        <v>13</v>
      </c>
      <c r="B25" s="1337"/>
      <c r="C25" s="1339"/>
      <c r="D25" s="991"/>
      <c r="E25" s="626"/>
      <c r="F25" s="990" t="s">
        <v>9</v>
      </c>
      <c r="G25" s="626"/>
      <c r="H25" s="626"/>
      <c r="I25" s="990"/>
      <c r="J25" s="990"/>
      <c r="K25" s="625"/>
      <c r="L25" s="1344"/>
      <c r="M25" s="1341">
        <f>IFERROR(IF(AND(NOT(ISBLANK(G25)),NOT(ISBLANK(I25)),NOT(ISBLANK(J25)),OR(I25="No",NOT(ISBLANK(K25))),NOT(ISBLANK(L25))),IF(G25="Short term",IF(I25="Yes",L25,0),IF(I25="Yes",L25/K25*52,L25*VLOOKUP(J25,IncomeCycleData[],3,FALSE))),0),0)</f>
        <v>0</v>
      </c>
      <c r="N25" s="1344"/>
      <c r="O25" s="1342">
        <f>IFERROR(IF(AND(NOT(ISBLANK(I25)),NOT(ISBLANK(J25))),IF(I25="Yes",0,MAX(N25*VLOOKUP(J25,IncomeCycleData[],3,FALSE),IF(G25="Standard",M25*SDInvestmentPropertyExpenseFloor,0))),0),0)</f>
        <v>0</v>
      </c>
      <c r="P25" s="1343" t="str">
        <f t="shared" si="4"/>
        <v/>
      </c>
      <c r="Q25" s="1341">
        <f t="shared" si="5"/>
        <v>0</v>
      </c>
      <c r="R25" s="625"/>
      <c r="S25" s="1346"/>
      <c r="T25" s="1342">
        <f t="shared" si="6"/>
        <v>0</v>
      </c>
      <c r="U25" s="1343" t="str">
        <f t="shared" si="7"/>
        <v/>
      </c>
      <c r="V25" s="1341">
        <f t="shared" si="8"/>
        <v>0</v>
      </c>
      <c r="W25" s="25"/>
      <c r="X25" s="934" t="str">
        <f>IFERROR(IF(C25&gt;VLOOKUP(D25,StateTable[],2,FALSE),"Yes","No"),"")</f>
        <v/>
      </c>
      <c r="Y25" s="934" t="str">
        <f>IF(ISBLANK(E25),"",IF(IFERROR(VLOOKUP(1*E25,RiskPostcodeTable[],1,FALSE),0)&lt;&gt;0,"Yes","No"))</f>
        <v/>
      </c>
      <c r="Z25" s="934" t="str">
        <f t="shared" si="0"/>
        <v>Incomplete data</v>
      </c>
      <c r="AA25" s="935">
        <f t="shared" si="1"/>
        <v>0.6</v>
      </c>
      <c r="AB25" s="934" t="str">
        <f t="shared" si="2"/>
        <v>Incomplete data</v>
      </c>
      <c r="AC25" s="935">
        <f t="shared" si="3"/>
        <v>0.6</v>
      </c>
    </row>
    <row r="26" spans="1:29" ht="18.75" hidden="1" customHeight="1" x14ac:dyDescent="0.25">
      <c r="A26" s="552">
        <v>14</v>
      </c>
      <c r="B26" s="1337"/>
      <c r="C26" s="1339"/>
      <c r="D26" s="991"/>
      <c r="E26" s="626"/>
      <c r="F26" s="990" t="s">
        <v>9</v>
      </c>
      <c r="G26" s="626"/>
      <c r="H26" s="626"/>
      <c r="I26" s="990"/>
      <c r="J26" s="990"/>
      <c r="K26" s="625"/>
      <c r="L26" s="1344"/>
      <c r="M26" s="1341">
        <f>IFERROR(IF(AND(NOT(ISBLANK(G26)),NOT(ISBLANK(I26)),NOT(ISBLANK(J26)),OR(I26="No",NOT(ISBLANK(K26))),NOT(ISBLANK(L26))),IF(G26="Short term",IF(I26="Yes",L26,0),IF(I26="Yes",L26/K26*52,L26*VLOOKUP(J26,IncomeCycleData[],3,FALSE))),0),0)</f>
        <v>0</v>
      </c>
      <c r="N26" s="1344"/>
      <c r="O26" s="1342">
        <f>IFERROR(IF(AND(NOT(ISBLANK(I26)),NOT(ISBLANK(J26))),IF(I26="Yes",0,MAX(N26*VLOOKUP(J26,IncomeCycleData[],3,FALSE),IF(G26="Standard",M26*SDInvestmentPropertyExpenseFloor,0))),0),0)</f>
        <v>0</v>
      </c>
      <c r="P26" s="1343" t="str">
        <f t="shared" si="4"/>
        <v/>
      </c>
      <c r="Q26" s="1341">
        <f t="shared" si="5"/>
        <v>0</v>
      </c>
      <c r="R26" s="625"/>
      <c r="S26" s="1346"/>
      <c r="T26" s="1342">
        <f t="shared" si="6"/>
        <v>0</v>
      </c>
      <c r="U26" s="1343" t="str">
        <f t="shared" si="7"/>
        <v/>
      </c>
      <c r="V26" s="1341">
        <f t="shared" si="8"/>
        <v>0</v>
      </c>
      <c r="W26" s="25"/>
      <c r="X26" s="934" t="str">
        <f>IFERROR(IF(C26&gt;VLOOKUP(D26,StateTable[],2,FALSE),"Yes","No"),"")</f>
        <v/>
      </c>
      <c r="Y26" s="934" t="str">
        <f>IF(ISBLANK(E26),"",IF(IFERROR(VLOOKUP(1*E26,RiskPostcodeTable[],1,FALSE),0)&lt;&gt;0,"Yes","No"))</f>
        <v/>
      </c>
      <c r="Z26" s="934" t="str">
        <f t="shared" si="0"/>
        <v>Incomplete data</v>
      </c>
      <c r="AA26" s="935">
        <f t="shared" si="1"/>
        <v>0.6</v>
      </c>
      <c r="AB26" s="934" t="str">
        <f t="shared" si="2"/>
        <v>Incomplete data</v>
      </c>
      <c r="AC26" s="935">
        <f t="shared" si="3"/>
        <v>0.6</v>
      </c>
    </row>
    <row r="27" spans="1:29" ht="18.75" hidden="1" customHeight="1" x14ac:dyDescent="0.25">
      <c r="A27" s="552">
        <v>15</v>
      </c>
      <c r="B27" s="1337"/>
      <c r="C27" s="1339"/>
      <c r="D27" s="991"/>
      <c r="E27" s="626"/>
      <c r="F27" s="990" t="s">
        <v>9</v>
      </c>
      <c r="G27" s="626"/>
      <c r="H27" s="626"/>
      <c r="I27" s="990"/>
      <c r="J27" s="990"/>
      <c r="K27" s="625"/>
      <c r="L27" s="1344"/>
      <c r="M27" s="1341">
        <f>IFERROR(IF(AND(NOT(ISBLANK(G27)),NOT(ISBLANK(I27)),NOT(ISBLANK(J27)),OR(I27="No",NOT(ISBLANK(K27))),NOT(ISBLANK(L27))),IF(G27="Short term",IF(I27="Yes",L27,0),IF(I27="Yes",L27/K27*52,L27*VLOOKUP(J27,IncomeCycleData[],3,FALSE))),0),0)</f>
        <v>0</v>
      </c>
      <c r="N27" s="1344"/>
      <c r="O27" s="1342">
        <f>IFERROR(IF(AND(NOT(ISBLANK(I27)),NOT(ISBLANK(J27))),IF(I27="Yes",0,MAX(N27*VLOOKUP(J27,IncomeCycleData[],3,FALSE),IF(G27="Standard",M27*SDInvestmentPropertyExpenseFloor,0))),0),0)</f>
        <v>0</v>
      </c>
      <c r="P27" s="1343" t="str">
        <f t="shared" si="4"/>
        <v/>
      </c>
      <c r="Q27" s="1341">
        <f t="shared" si="5"/>
        <v>0</v>
      </c>
      <c r="R27" s="625"/>
      <c r="S27" s="1346"/>
      <c r="T27" s="1342">
        <f t="shared" si="6"/>
        <v>0</v>
      </c>
      <c r="U27" s="1343" t="str">
        <f t="shared" si="7"/>
        <v/>
      </c>
      <c r="V27" s="1341">
        <f t="shared" si="8"/>
        <v>0</v>
      </c>
      <c r="W27" s="25"/>
      <c r="X27" s="934" t="str">
        <f>IFERROR(IF(C27&gt;VLOOKUP(D27,StateTable[],2,FALSE),"Yes","No"),"")</f>
        <v/>
      </c>
      <c r="Y27" s="934" t="str">
        <f>IF(ISBLANK(E27),"",IF(IFERROR(VLOOKUP(1*E27,RiskPostcodeTable[],1,FALSE),0)&lt;&gt;0,"Yes","No"))</f>
        <v/>
      </c>
      <c r="Z27" s="934" t="str">
        <f t="shared" si="0"/>
        <v>Incomplete data</v>
      </c>
      <c r="AA27" s="935">
        <f t="shared" si="1"/>
        <v>0.6</v>
      </c>
      <c r="AB27" s="934" t="str">
        <f t="shared" si="2"/>
        <v>Incomplete data</v>
      </c>
      <c r="AC27" s="935">
        <f t="shared" si="3"/>
        <v>0.6</v>
      </c>
    </row>
    <row r="28" spans="1:29" ht="18.75" hidden="1" customHeight="1" x14ac:dyDescent="0.25">
      <c r="A28" s="552">
        <v>16</v>
      </c>
      <c r="B28" s="1337"/>
      <c r="C28" s="1339"/>
      <c r="D28" s="991"/>
      <c r="E28" s="626"/>
      <c r="F28" s="990" t="s">
        <v>9</v>
      </c>
      <c r="G28" s="626"/>
      <c r="H28" s="626"/>
      <c r="I28" s="990"/>
      <c r="J28" s="990"/>
      <c r="K28" s="625"/>
      <c r="L28" s="1344"/>
      <c r="M28" s="1341">
        <f>IFERROR(IF(AND(NOT(ISBLANK(G28)),NOT(ISBLANK(I28)),NOT(ISBLANK(J28)),OR(I28="No",NOT(ISBLANK(K28))),NOT(ISBLANK(L28))),IF(G28="Short term",IF(I28="Yes",L28,0),IF(I28="Yes",L28/K28*52,L28*VLOOKUP(J28,IncomeCycleData[],3,FALSE))),0),0)</f>
        <v>0</v>
      </c>
      <c r="N28" s="1344"/>
      <c r="O28" s="1342">
        <f>IFERROR(IF(AND(NOT(ISBLANK(I28)),NOT(ISBLANK(J28))),IF(I28="Yes",0,MAX(N28*VLOOKUP(J28,IncomeCycleData[],3,FALSE),IF(G28="Standard",M28*SDInvestmentPropertyExpenseFloor,0))),0),0)</f>
        <v>0</v>
      </c>
      <c r="P28" s="1343" t="str">
        <f t="shared" si="4"/>
        <v/>
      </c>
      <c r="Q28" s="1341">
        <f t="shared" si="5"/>
        <v>0</v>
      </c>
      <c r="R28" s="625"/>
      <c r="S28" s="1346"/>
      <c r="T28" s="1342">
        <f t="shared" si="6"/>
        <v>0</v>
      </c>
      <c r="U28" s="1343" t="str">
        <f t="shared" si="7"/>
        <v/>
      </c>
      <c r="V28" s="1341">
        <f t="shared" si="8"/>
        <v>0</v>
      </c>
      <c r="W28" s="25"/>
      <c r="X28" s="934" t="str">
        <f>IFERROR(IF(C28&gt;VLOOKUP(D28,StateTable[],2,FALSE),"Yes","No"),"")</f>
        <v/>
      </c>
      <c r="Y28" s="934" t="str">
        <f>IF(ISBLANK(E28),"",IF(IFERROR(VLOOKUP(1*E28,RiskPostcodeTable[],1,FALSE),0)&lt;&gt;0,"Yes","No"))</f>
        <v/>
      </c>
      <c r="Z28" s="934" t="str">
        <f t="shared" si="0"/>
        <v>Incomplete data</v>
      </c>
      <c r="AA28" s="935">
        <f t="shared" si="1"/>
        <v>0.6</v>
      </c>
      <c r="AB28" s="934" t="str">
        <f t="shared" si="2"/>
        <v>Incomplete data</v>
      </c>
      <c r="AC28" s="935">
        <f t="shared" si="3"/>
        <v>0.6</v>
      </c>
    </row>
    <row r="29" spans="1:29" ht="18.75" hidden="1" customHeight="1" x14ac:dyDescent="0.25">
      <c r="A29" s="552">
        <v>17</v>
      </c>
      <c r="B29" s="1337"/>
      <c r="C29" s="1339"/>
      <c r="D29" s="991"/>
      <c r="E29" s="626"/>
      <c r="F29" s="990" t="s">
        <v>9</v>
      </c>
      <c r="G29" s="626"/>
      <c r="H29" s="626"/>
      <c r="I29" s="990"/>
      <c r="J29" s="990"/>
      <c r="K29" s="625"/>
      <c r="L29" s="1344"/>
      <c r="M29" s="1341">
        <f>IFERROR(IF(AND(NOT(ISBLANK(G29)),NOT(ISBLANK(I29)),NOT(ISBLANK(J29)),OR(I29="No",NOT(ISBLANK(K29))),NOT(ISBLANK(L29))),IF(G29="Short term",IF(I29="Yes",L29,0),IF(I29="Yes",L29/K29*52,L29*VLOOKUP(J29,IncomeCycleData[],3,FALSE))),0),0)</f>
        <v>0</v>
      </c>
      <c r="N29" s="1344"/>
      <c r="O29" s="1342">
        <f>IFERROR(IF(AND(NOT(ISBLANK(I29)),NOT(ISBLANK(J29))),IF(I29="Yes",0,MAX(N29*VLOOKUP(J29,IncomeCycleData[],3,FALSE),IF(G29="Standard",M29*SDInvestmentPropertyExpenseFloor,0))),0),0)</f>
        <v>0</v>
      </c>
      <c r="P29" s="1343" t="str">
        <f t="shared" si="4"/>
        <v/>
      </c>
      <c r="Q29" s="1341">
        <f t="shared" si="5"/>
        <v>0</v>
      </c>
      <c r="R29" s="625"/>
      <c r="S29" s="1346"/>
      <c r="T29" s="1342">
        <f t="shared" si="6"/>
        <v>0</v>
      </c>
      <c r="U29" s="1343" t="str">
        <f t="shared" si="7"/>
        <v/>
      </c>
      <c r="V29" s="1341">
        <f t="shared" si="8"/>
        <v>0</v>
      </c>
      <c r="W29" s="25"/>
      <c r="X29" s="934" t="str">
        <f>IFERROR(IF(C29&gt;VLOOKUP(D29,StateTable[],2,FALSE),"Yes","No"),"")</f>
        <v/>
      </c>
      <c r="Y29" s="934" t="str">
        <f>IF(ISBLANK(E29),"",IF(IFERROR(VLOOKUP(1*E29,RiskPostcodeTable[],1,FALSE),0)&lt;&gt;0,"Yes","No"))</f>
        <v/>
      </c>
      <c r="Z29" s="934" t="str">
        <f t="shared" si="0"/>
        <v>Incomplete data</v>
      </c>
      <c r="AA29" s="935">
        <f t="shared" si="1"/>
        <v>0.6</v>
      </c>
      <c r="AB29" s="934" t="str">
        <f t="shared" si="2"/>
        <v>Incomplete data</v>
      </c>
      <c r="AC29" s="935">
        <f t="shared" si="3"/>
        <v>0.6</v>
      </c>
    </row>
    <row r="30" spans="1:29" ht="18.75" hidden="1" customHeight="1" x14ac:dyDescent="0.25">
      <c r="A30" s="552">
        <v>18</v>
      </c>
      <c r="B30" s="1337"/>
      <c r="C30" s="1339"/>
      <c r="D30" s="991"/>
      <c r="E30" s="626"/>
      <c r="F30" s="990" t="s">
        <v>9</v>
      </c>
      <c r="G30" s="626"/>
      <c r="H30" s="626"/>
      <c r="I30" s="990"/>
      <c r="J30" s="990"/>
      <c r="K30" s="625"/>
      <c r="L30" s="1344"/>
      <c r="M30" s="1341">
        <f>IFERROR(IF(AND(NOT(ISBLANK(G30)),NOT(ISBLANK(I30)),NOT(ISBLANK(J30)),OR(I30="No",NOT(ISBLANK(K30))),NOT(ISBLANK(L30))),IF(G30="Short term",IF(I30="Yes",L30,0),IF(I30="Yes",L30/K30*52,L30*VLOOKUP(J30,IncomeCycleData[],3,FALSE))),0),0)</f>
        <v>0</v>
      </c>
      <c r="N30" s="1344"/>
      <c r="O30" s="1342">
        <f>IFERROR(IF(AND(NOT(ISBLANK(I30)),NOT(ISBLANK(J30))),IF(I30="Yes",0,MAX(N30*VLOOKUP(J30,IncomeCycleData[],3,FALSE),IF(G30="Standard",M30*SDInvestmentPropertyExpenseFloor,0))),0),0)</f>
        <v>0</v>
      </c>
      <c r="P30" s="1343" t="str">
        <f t="shared" si="4"/>
        <v/>
      </c>
      <c r="Q30" s="1341">
        <f t="shared" si="5"/>
        <v>0</v>
      </c>
      <c r="R30" s="625"/>
      <c r="S30" s="1346"/>
      <c r="T30" s="1342">
        <f t="shared" si="6"/>
        <v>0</v>
      </c>
      <c r="U30" s="1343" t="str">
        <f t="shared" si="7"/>
        <v/>
      </c>
      <c r="V30" s="1341">
        <f t="shared" si="8"/>
        <v>0</v>
      </c>
      <c r="W30" s="25"/>
      <c r="X30" s="934" t="str">
        <f>IFERROR(IF(C30&gt;VLOOKUP(D30,StateTable[],2,FALSE),"Yes","No"),"")</f>
        <v/>
      </c>
      <c r="Y30" s="934" t="str">
        <f>IF(ISBLANK(E30),"",IF(IFERROR(VLOOKUP(1*E30,RiskPostcodeTable[],1,FALSE),0)&lt;&gt;0,"Yes","No"))</f>
        <v/>
      </c>
      <c r="Z30" s="934" t="str">
        <f t="shared" si="0"/>
        <v>Incomplete data</v>
      </c>
      <c r="AA30" s="935">
        <f t="shared" si="1"/>
        <v>0.6</v>
      </c>
      <c r="AB30" s="934" t="str">
        <f t="shared" si="2"/>
        <v>Incomplete data</v>
      </c>
      <c r="AC30" s="935">
        <f t="shared" si="3"/>
        <v>0.6</v>
      </c>
    </row>
    <row r="31" spans="1:29" ht="18.75" hidden="1" customHeight="1" x14ac:dyDescent="0.25">
      <c r="A31" s="552">
        <v>19</v>
      </c>
      <c r="B31" s="1337"/>
      <c r="C31" s="1339"/>
      <c r="D31" s="991"/>
      <c r="E31" s="626"/>
      <c r="F31" s="990" t="s">
        <v>9</v>
      </c>
      <c r="G31" s="626"/>
      <c r="H31" s="626"/>
      <c r="I31" s="990"/>
      <c r="J31" s="990"/>
      <c r="K31" s="625"/>
      <c r="L31" s="1344"/>
      <c r="M31" s="1341">
        <f>IFERROR(IF(AND(NOT(ISBLANK(G31)),NOT(ISBLANK(I31)),NOT(ISBLANK(J31)),OR(I31="No",NOT(ISBLANK(K31))),NOT(ISBLANK(L31))),IF(G31="Short term",IF(I31="Yes",L31,0),IF(I31="Yes",L31/K31*52,L31*VLOOKUP(J31,IncomeCycleData[],3,FALSE))),0),0)</f>
        <v>0</v>
      </c>
      <c r="N31" s="1344"/>
      <c r="O31" s="1342">
        <f>IFERROR(IF(AND(NOT(ISBLANK(I31)),NOT(ISBLANK(J31))),IF(I31="Yes",0,MAX(N31*VLOOKUP(J31,IncomeCycleData[],3,FALSE),IF(G31="Standard",M31*SDInvestmentPropertyExpenseFloor,0))),0),0)</f>
        <v>0</v>
      </c>
      <c r="P31" s="1343" t="str">
        <f t="shared" si="4"/>
        <v/>
      </c>
      <c r="Q31" s="1341">
        <f t="shared" si="5"/>
        <v>0</v>
      </c>
      <c r="R31" s="625"/>
      <c r="S31" s="1346"/>
      <c r="T31" s="1342">
        <f t="shared" si="6"/>
        <v>0</v>
      </c>
      <c r="U31" s="1343" t="str">
        <f t="shared" si="7"/>
        <v/>
      </c>
      <c r="V31" s="1341">
        <f t="shared" si="8"/>
        <v>0</v>
      </c>
      <c r="W31" s="25"/>
      <c r="X31" s="934" t="str">
        <f>IFERROR(IF(C31&gt;VLOOKUP(D31,StateTable[],2,FALSE),"Yes","No"),"")</f>
        <v/>
      </c>
      <c r="Y31" s="934" t="str">
        <f>IF(ISBLANK(E31),"",IF(IFERROR(VLOOKUP(1*E31,RiskPostcodeTable[],1,FALSE),0)&lt;&gt;0,"Yes","No"))</f>
        <v/>
      </c>
      <c r="Z31" s="934" t="str">
        <f t="shared" si="0"/>
        <v>Incomplete data</v>
      </c>
      <c r="AA31" s="935">
        <f t="shared" si="1"/>
        <v>0.6</v>
      </c>
      <c r="AB31" s="934" t="str">
        <f t="shared" si="2"/>
        <v>Incomplete data</v>
      </c>
      <c r="AC31" s="935">
        <f t="shared" si="3"/>
        <v>0.6</v>
      </c>
    </row>
    <row r="32" spans="1:29" ht="18.75" hidden="1" customHeight="1" x14ac:dyDescent="0.25">
      <c r="A32" s="552">
        <v>20</v>
      </c>
      <c r="B32" s="1337"/>
      <c r="C32" s="1339"/>
      <c r="D32" s="991"/>
      <c r="E32" s="626"/>
      <c r="F32" s="990" t="s">
        <v>9</v>
      </c>
      <c r="G32" s="626"/>
      <c r="H32" s="626"/>
      <c r="I32" s="990"/>
      <c r="J32" s="990"/>
      <c r="K32" s="625"/>
      <c r="L32" s="1344"/>
      <c r="M32" s="1341">
        <f>IFERROR(IF(AND(NOT(ISBLANK(G32)),NOT(ISBLANK(I32)),NOT(ISBLANK(J32)),OR(I32="No",NOT(ISBLANK(K32))),NOT(ISBLANK(L32))),IF(G32="Short term",IF(I32="Yes",L32,0),IF(I32="Yes",L32/K32*52,L32*VLOOKUP(J32,IncomeCycleData[],3,FALSE))),0),0)</f>
        <v>0</v>
      </c>
      <c r="N32" s="1344"/>
      <c r="O32" s="1342">
        <f>IFERROR(IF(AND(NOT(ISBLANK(I32)),NOT(ISBLANK(J32))),IF(I32="Yes",0,MAX(N32*VLOOKUP(J32,IncomeCycleData[],3,FALSE),IF(G32="Standard",M32*SDInvestmentPropertyExpenseFloor,0))),0),0)</f>
        <v>0</v>
      </c>
      <c r="P32" s="1343" t="str">
        <f t="shared" si="4"/>
        <v/>
      </c>
      <c r="Q32" s="1341">
        <f t="shared" si="5"/>
        <v>0</v>
      </c>
      <c r="R32" s="625"/>
      <c r="S32" s="1346"/>
      <c r="T32" s="1342">
        <f t="shared" si="6"/>
        <v>0</v>
      </c>
      <c r="U32" s="1343" t="str">
        <f t="shared" si="7"/>
        <v/>
      </c>
      <c r="V32" s="1341">
        <f t="shared" si="8"/>
        <v>0</v>
      </c>
      <c r="W32" s="25"/>
      <c r="X32" s="934" t="str">
        <f>IFERROR(IF(C32&gt;VLOOKUP(D32,StateTable[],2,FALSE),"Yes","No"),"")</f>
        <v/>
      </c>
      <c r="Y32" s="934" t="str">
        <f>IF(ISBLANK(E32),"",IF(IFERROR(VLOOKUP(1*E32,RiskPostcodeTable[],1,FALSE),0)&lt;&gt;0,"Yes","No"))</f>
        <v/>
      </c>
      <c r="Z32" s="934" t="str">
        <f t="shared" si="0"/>
        <v>Incomplete data</v>
      </c>
      <c r="AA32" s="935">
        <f t="shared" si="1"/>
        <v>0.6</v>
      </c>
      <c r="AB32" s="934" t="str">
        <f t="shared" si="2"/>
        <v>Incomplete data</v>
      </c>
      <c r="AC32" s="935">
        <f t="shared" si="3"/>
        <v>0.6</v>
      </c>
    </row>
    <row r="33" spans="1:29" ht="18.75" hidden="1" customHeight="1" x14ac:dyDescent="0.25">
      <c r="A33" s="552">
        <v>21</v>
      </c>
      <c r="B33" s="1337"/>
      <c r="C33" s="1339"/>
      <c r="D33" s="991"/>
      <c r="E33" s="626"/>
      <c r="F33" s="990" t="s">
        <v>9</v>
      </c>
      <c r="G33" s="626"/>
      <c r="H33" s="626"/>
      <c r="I33" s="990"/>
      <c r="J33" s="990"/>
      <c r="K33" s="625"/>
      <c r="L33" s="1344"/>
      <c r="M33" s="1341">
        <f>IFERROR(IF(AND(NOT(ISBLANK(G33)),NOT(ISBLANK(I33)),NOT(ISBLANK(J33)),OR(I33="No",NOT(ISBLANK(K33))),NOT(ISBLANK(L33))),IF(G33="Short term",IF(I33="Yes",L33,0),IF(I33="Yes",L33/K33*52,L33*VLOOKUP(J33,IncomeCycleData[],3,FALSE))),0),0)</f>
        <v>0</v>
      </c>
      <c r="N33" s="1344"/>
      <c r="O33" s="1342">
        <f>IFERROR(IF(AND(NOT(ISBLANK(I33)),NOT(ISBLANK(J33))),IF(I33="Yes",0,MAX(N33*VLOOKUP(J33,IncomeCycleData[],3,FALSE),IF(G33="Standard",M33*SDInvestmentPropertyExpenseFloor,0))),0),0)</f>
        <v>0</v>
      </c>
      <c r="P33" s="1343" t="str">
        <f t="shared" si="4"/>
        <v/>
      </c>
      <c r="Q33" s="1341">
        <f t="shared" si="5"/>
        <v>0</v>
      </c>
      <c r="R33" s="625"/>
      <c r="S33" s="1346"/>
      <c r="T33" s="1342">
        <f t="shared" si="6"/>
        <v>0</v>
      </c>
      <c r="U33" s="1343" t="str">
        <f t="shared" si="7"/>
        <v/>
      </c>
      <c r="V33" s="1341">
        <f t="shared" si="8"/>
        <v>0</v>
      </c>
      <c r="W33" s="25"/>
      <c r="X33" s="934" t="str">
        <f>IFERROR(IF(C33&gt;VLOOKUP(D33,StateTable[],2,FALSE),"Yes","No"),"")</f>
        <v/>
      </c>
      <c r="Y33" s="934" t="str">
        <f>IF(ISBLANK(E33),"",IF(IFERROR(VLOOKUP(1*E33,RiskPostcodeTable[],1,FALSE),0)&lt;&gt;0,"Yes","No"))</f>
        <v/>
      </c>
      <c r="Z33" s="934" t="str">
        <f t="shared" si="0"/>
        <v>Incomplete data</v>
      </c>
      <c r="AA33" s="935">
        <f t="shared" si="1"/>
        <v>0.6</v>
      </c>
      <c r="AB33" s="934" t="str">
        <f t="shared" si="2"/>
        <v>Incomplete data</v>
      </c>
      <c r="AC33" s="935">
        <f t="shared" si="3"/>
        <v>0.6</v>
      </c>
    </row>
    <row r="34" spans="1:29" ht="18.75" hidden="1" customHeight="1" x14ac:dyDescent="0.25">
      <c r="A34" s="552">
        <v>22</v>
      </c>
      <c r="B34" s="1337"/>
      <c r="C34" s="1339"/>
      <c r="D34" s="991"/>
      <c r="E34" s="626"/>
      <c r="F34" s="990" t="s">
        <v>9</v>
      </c>
      <c r="G34" s="626"/>
      <c r="H34" s="626"/>
      <c r="I34" s="990"/>
      <c r="J34" s="990"/>
      <c r="K34" s="625"/>
      <c r="L34" s="1344"/>
      <c r="M34" s="1341">
        <f>IFERROR(IF(AND(NOT(ISBLANK(G34)),NOT(ISBLANK(I34)),NOT(ISBLANK(J34)),OR(I34="No",NOT(ISBLANK(K34))),NOT(ISBLANK(L34))),IF(G34="Short term",IF(I34="Yes",L34,0),IF(I34="Yes",L34/K34*52,L34*VLOOKUP(J34,IncomeCycleData[],3,FALSE))),0),0)</f>
        <v>0</v>
      </c>
      <c r="N34" s="1344"/>
      <c r="O34" s="1342">
        <f>IFERROR(IF(AND(NOT(ISBLANK(I34)),NOT(ISBLANK(J34))),IF(I34="Yes",0,MAX(N34*VLOOKUP(J34,IncomeCycleData[],3,FALSE),IF(G34="Standard",M34*SDInvestmentPropertyExpenseFloor,0))),0),0)</f>
        <v>0</v>
      </c>
      <c r="P34" s="1343" t="str">
        <f t="shared" si="4"/>
        <v/>
      </c>
      <c r="Q34" s="1341">
        <f t="shared" si="5"/>
        <v>0</v>
      </c>
      <c r="R34" s="625"/>
      <c r="S34" s="1346"/>
      <c r="T34" s="1342">
        <f t="shared" si="6"/>
        <v>0</v>
      </c>
      <c r="U34" s="1343" t="str">
        <f t="shared" si="7"/>
        <v/>
      </c>
      <c r="V34" s="1341">
        <f t="shared" si="8"/>
        <v>0</v>
      </c>
      <c r="W34" s="25"/>
      <c r="X34" s="934" t="str">
        <f>IFERROR(IF(C34&gt;VLOOKUP(D34,StateTable[],2,FALSE),"Yes","No"),"")</f>
        <v/>
      </c>
      <c r="Y34" s="934" t="str">
        <f>IF(ISBLANK(E34),"",IF(IFERROR(VLOOKUP(1*E34,RiskPostcodeTable[],1,FALSE),0)&lt;&gt;0,"Yes","No"))</f>
        <v/>
      </c>
      <c r="Z34" s="934" t="str">
        <f t="shared" si="0"/>
        <v>Incomplete data</v>
      </c>
      <c r="AA34" s="935">
        <f t="shared" si="1"/>
        <v>0.6</v>
      </c>
      <c r="AB34" s="934" t="str">
        <f t="shared" si="2"/>
        <v>Incomplete data</v>
      </c>
      <c r="AC34" s="935">
        <f t="shared" si="3"/>
        <v>0.6</v>
      </c>
    </row>
    <row r="35" spans="1:29" ht="18.75" hidden="1" customHeight="1" x14ac:dyDescent="0.25">
      <c r="A35" s="552">
        <v>23</v>
      </c>
      <c r="B35" s="1337"/>
      <c r="C35" s="1339"/>
      <c r="D35" s="991"/>
      <c r="E35" s="626"/>
      <c r="F35" s="990" t="s">
        <v>9</v>
      </c>
      <c r="G35" s="626"/>
      <c r="H35" s="626"/>
      <c r="I35" s="990"/>
      <c r="J35" s="990"/>
      <c r="K35" s="625"/>
      <c r="L35" s="1344"/>
      <c r="M35" s="1341">
        <f>IFERROR(IF(AND(NOT(ISBLANK(G35)),NOT(ISBLANK(I35)),NOT(ISBLANK(J35)),OR(I35="No",NOT(ISBLANK(K35))),NOT(ISBLANK(L35))),IF(G35="Short term",IF(I35="Yes",L35,0),IF(I35="Yes",L35/K35*52,L35*VLOOKUP(J35,IncomeCycleData[],3,FALSE))),0),0)</f>
        <v>0</v>
      </c>
      <c r="N35" s="1344"/>
      <c r="O35" s="1342">
        <f>IFERROR(IF(AND(NOT(ISBLANK(I35)),NOT(ISBLANK(J35))),IF(I35="Yes",0,MAX(N35*VLOOKUP(J35,IncomeCycleData[],3,FALSE),IF(G35="Standard",M35*SDInvestmentPropertyExpenseFloor,0))),0),0)</f>
        <v>0</v>
      </c>
      <c r="P35" s="1343" t="str">
        <f t="shared" si="4"/>
        <v/>
      </c>
      <c r="Q35" s="1341">
        <f t="shared" si="5"/>
        <v>0</v>
      </c>
      <c r="R35" s="625"/>
      <c r="S35" s="1346"/>
      <c r="T35" s="1342">
        <f t="shared" si="6"/>
        <v>0</v>
      </c>
      <c r="U35" s="1343" t="str">
        <f t="shared" si="7"/>
        <v/>
      </c>
      <c r="V35" s="1341">
        <f t="shared" si="8"/>
        <v>0</v>
      </c>
      <c r="W35" s="25"/>
      <c r="X35" s="934" t="str">
        <f>IFERROR(IF(C35&gt;VLOOKUP(D35,StateTable[],2,FALSE),"Yes","No"),"")</f>
        <v/>
      </c>
      <c r="Y35" s="934" t="str">
        <f>IF(ISBLANK(E35),"",IF(IFERROR(VLOOKUP(1*E35,RiskPostcodeTable[],1,FALSE),0)&lt;&gt;0,"Yes","No"))</f>
        <v/>
      </c>
      <c r="Z35" s="934" t="str">
        <f t="shared" si="0"/>
        <v>Incomplete data</v>
      </c>
      <c r="AA35" s="935">
        <f t="shared" si="1"/>
        <v>0.6</v>
      </c>
      <c r="AB35" s="934" t="str">
        <f t="shared" si="2"/>
        <v>Incomplete data</v>
      </c>
      <c r="AC35" s="935">
        <f t="shared" si="3"/>
        <v>0.6</v>
      </c>
    </row>
    <row r="36" spans="1:29" ht="18.75" hidden="1" customHeight="1" x14ac:dyDescent="0.25">
      <c r="A36" s="552">
        <v>24</v>
      </c>
      <c r="B36" s="1337"/>
      <c r="C36" s="1339"/>
      <c r="D36" s="991"/>
      <c r="E36" s="626"/>
      <c r="F36" s="990" t="s">
        <v>9</v>
      </c>
      <c r="G36" s="626"/>
      <c r="H36" s="626"/>
      <c r="I36" s="990"/>
      <c r="J36" s="990"/>
      <c r="K36" s="625"/>
      <c r="L36" s="1344"/>
      <c r="M36" s="1341">
        <f>IFERROR(IF(AND(NOT(ISBLANK(G36)),NOT(ISBLANK(I36)),NOT(ISBLANK(J36)),OR(I36="No",NOT(ISBLANK(K36))),NOT(ISBLANK(L36))),IF(G36="Short term",IF(I36="Yes",L36,0),IF(I36="Yes",L36/K36*52,L36*VLOOKUP(J36,IncomeCycleData[],3,FALSE))),0),0)</f>
        <v>0</v>
      </c>
      <c r="N36" s="1344"/>
      <c r="O36" s="1342">
        <f>IFERROR(IF(AND(NOT(ISBLANK(I36)),NOT(ISBLANK(J36))),IF(I36="Yes",0,MAX(N36*VLOOKUP(J36,IncomeCycleData[],3,FALSE),IF(G36="Standard",M36*SDInvestmentPropertyExpenseFloor,0))),0),0)</f>
        <v>0</v>
      </c>
      <c r="P36" s="1343" t="str">
        <f t="shared" si="4"/>
        <v/>
      </c>
      <c r="Q36" s="1341">
        <f t="shared" si="5"/>
        <v>0</v>
      </c>
      <c r="R36" s="625"/>
      <c r="S36" s="1346"/>
      <c r="T36" s="1342">
        <f t="shared" si="6"/>
        <v>0</v>
      </c>
      <c r="U36" s="1343" t="str">
        <f t="shared" si="7"/>
        <v/>
      </c>
      <c r="V36" s="1341">
        <f t="shared" si="8"/>
        <v>0</v>
      </c>
      <c r="W36" s="25"/>
      <c r="X36" s="934" t="str">
        <f>IFERROR(IF(C36&gt;VLOOKUP(D36,StateTable[],2,FALSE),"Yes","No"),"")</f>
        <v/>
      </c>
      <c r="Y36" s="934" t="str">
        <f>IF(ISBLANK(E36),"",IF(IFERROR(VLOOKUP(1*E36,RiskPostcodeTable[],1,FALSE),0)&lt;&gt;0,"Yes","No"))</f>
        <v/>
      </c>
      <c r="Z36" s="934" t="str">
        <f t="shared" si="0"/>
        <v>Incomplete data</v>
      </c>
      <c r="AA36" s="935">
        <f t="shared" si="1"/>
        <v>0.6</v>
      </c>
      <c r="AB36" s="934" t="str">
        <f t="shared" si="2"/>
        <v>Incomplete data</v>
      </c>
      <c r="AC36" s="935">
        <f t="shared" si="3"/>
        <v>0.6</v>
      </c>
    </row>
    <row r="37" spans="1:29" ht="18.75" hidden="1" customHeight="1" x14ac:dyDescent="0.25">
      <c r="A37" s="552">
        <v>25</v>
      </c>
      <c r="B37" s="1337"/>
      <c r="C37" s="1339"/>
      <c r="D37" s="991"/>
      <c r="E37" s="626"/>
      <c r="F37" s="990" t="s">
        <v>9</v>
      </c>
      <c r="G37" s="626"/>
      <c r="H37" s="626"/>
      <c r="I37" s="990"/>
      <c r="J37" s="990"/>
      <c r="K37" s="625"/>
      <c r="L37" s="1344"/>
      <c r="M37" s="1341">
        <f>IFERROR(IF(AND(NOT(ISBLANK(G37)),NOT(ISBLANK(I37)),NOT(ISBLANK(J37)),OR(I37="No",NOT(ISBLANK(K37))),NOT(ISBLANK(L37))),IF(G37="Short term",IF(I37="Yes",L37,0),IF(I37="Yes",L37/K37*52,L37*VLOOKUP(J37,IncomeCycleData[],3,FALSE))),0),0)</f>
        <v>0</v>
      </c>
      <c r="N37" s="1344"/>
      <c r="O37" s="1342">
        <f>IFERROR(IF(AND(NOT(ISBLANK(I37)),NOT(ISBLANK(J37))),IF(I37="Yes",0,MAX(N37*VLOOKUP(J37,IncomeCycleData[],3,FALSE),IF(G37="Standard",M37*SDInvestmentPropertyExpenseFloor,0))),0),0)</f>
        <v>0</v>
      </c>
      <c r="P37" s="1343" t="str">
        <f t="shared" si="4"/>
        <v/>
      </c>
      <c r="Q37" s="1341">
        <f t="shared" si="5"/>
        <v>0</v>
      </c>
      <c r="R37" s="625"/>
      <c r="S37" s="1346"/>
      <c r="T37" s="1342">
        <f t="shared" si="6"/>
        <v>0</v>
      </c>
      <c r="U37" s="1343" t="str">
        <f t="shared" si="7"/>
        <v/>
      </c>
      <c r="V37" s="1341">
        <f t="shared" si="8"/>
        <v>0</v>
      </c>
      <c r="W37" s="25"/>
      <c r="X37" s="934" t="str">
        <f>IFERROR(IF(C37&gt;VLOOKUP(D37,StateTable[],2,FALSE),"Yes","No"),"")</f>
        <v/>
      </c>
      <c r="Y37" s="934" t="str">
        <f>IF(ISBLANK(E37),"",IF(IFERROR(VLOOKUP(1*E37,RiskPostcodeTable[],1,FALSE),0)&lt;&gt;0,"Yes","No"))</f>
        <v/>
      </c>
      <c r="Z37" s="934" t="str">
        <f t="shared" si="0"/>
        <v>Incomplete data</v>
      </c>
      <c r="AA37" s="935">
        <f t="shared" si="1"/>
        <v>0.6</v>
      </c>
      <c r="AB37" s="934" t="str">
        <f t="shared" si="2"/>
        <v>Incomplete data</v>
      </c>
      <c r="AC37" s="935">
        <f t="shared" si="3"/>
        <v>0.6</v>
      </c>
    </row>
    <row r="38" spans="1:29" ht="18.75" hidden="1" customHeight="1" x14ac:dyDescent="0.25">
      <c r="A38" s="552">
        <v>26</v>
      </c>
      <c r="B38" s="1337"/>
      <c r="C38" s="1339"/>
      <c r="D38" s="991"/>
      <c r="E38" s="626"/>
      <c r="F38" s="990" t="s">
        <v>9</v>
      </c>
      <c r="G38" s="626"/>
      <c r="H38" s="626"/>
      <c r="I38" s="990"/>
      <c r="J38" s="990"/>
      <c r="K38" s="625"/>
      <c r="L38" s="1344"/>
      <c r="M38" s="1341">
        <f>IFERROR(IF(AND(NOT(ISBLANK(G38)),NOT(ISBLANK(I38)),NOT(ISBLANK(J38)),OR(I38="No",NOT(ISBLANK(K38))),NOT(ISBLANK(L38))),IF(G38="Short term",IF(I38="Yes",L38,0),IF(I38="Yes",L38/K38*52,L38*VLOOKUP(J38,IncomeCycleData[],3,FALSE))),0),0)</f>
        <v>0</v>
      </c>
      <c r="N38" s="1344"/>
      <c r="O38" s="1342">
        <f>IFERROR(IF(AND(NOT(ISBLANK(I38)),NOT(ISBLANK(J38))),IF(I38="Yes",0,MAX(N38*VLOOKUP(J38,IncomeCycleData[],3,FALSE),IF(G38="Standard",M38*SDInvestmentPropertyExpenseFloor,0))),0),0)</f>
        <v>0</v>
      </c>
      <c r="P38" s="1343" t="str">
        <f t="shared" si="4"/>
        <v/>
      </c>
      <c r="Q38" s="1341">
        <f t="shared" si="5"/>
        <v>0</v>
      </c>
      <c r="R38" s="625"/>
      <c r="S38" s="1346"/>
      <c r="T38" s="1342">
        <f t="shared" si="6"/>
        <v>0</v>
      </c>
      <c r="U38" s="1343" t="str">
        <f t="shared" si="7"/>
        <v/>
      </c>
      <c r="V38" s="1341">
        <f t="shared" si="8"/>
        <v>0</v>
      </c>
      <c r="W38" s="25"/>
      <c r="X38" s="934" t="str">
        <f>IFERROR(IF(C38&gt;VLOOKUP(D38,StateTable[],2,FALSE),"Yes","No"),"")</f>
        <v/>
      </c>
      <c r="Y38" s="934" t="str">
        <f>IF(ISBLANK(E38),"",IF(IFERROR(VLOOKUP(1*E38,RiskPostcodeTable[],1,FALSE),0)&lt;&gt;0,"Yes","No"))</f>
        <v/>
      </c>
      <c r="Z38" s="934" t="str">
        <f t="shared" si="0"/>
        <v>Incomplete data</v>
      </c>
      <c r="AA38" s="935">
        <f t="shared" si="1"/>
        <v>0.6</v>
      </c>
      <c r="AB38" s="934" t="str">
        <f t="shared" si="2"/>
        <v>Incomplete data</v>
      </c>
      <c r="AC38" s="935">
        <f t="shared" si="3"/>
        <v>0.6</v>
      </c>
    </row>
    <row r="39" spans="1:29" ht="18.75" hidden="1" customHeight="1" x14ac:dyDescent="0.25">
      <c r="A39" s="552">
        <v>27</v>
      </c>
      <c r="B39" s="1337"/>
      <c r="C39" s="1339"/>
      <c r="D39" s="991"/>
      <c r="E39" s="626"/>
      <c r="F39" s="990" t="s">
        <v>9</v>
      </c>
      <c r="G39" s="626"/>
      <c r="H39" s="626"/>
      <c r="I39" s="990"/>
      <c r="J39" s="990"/>
      <c r="K39" s="625"/>
      <c r="L39" s="1344"/>
      <c r="M39" s="1341">
        <f>IFERROR(IF(AND(NOT(ISBLANK(G39)),NOT(ISBLANK(I39)),NOT(ISBLANK(J39)),OR(I39="No",NOT(ISBLANK(K39))),NOT(ISBLANK(L39))),IF(G39="Short term",IF(I39="Yes",L39,0),IF(I39="Yes",L39/K39*52,L39*VLOOKUP(J39,IncomeCycleData[],3,FALSE))),0),0)</f>
        <v>0</v>
      </c>
      <c r="N39" s="1344"/>
      <c r="O39" s="1342">
        <f>IFERROR(IF(AND(NOT(ISBLANK(I39)),NOT(ISBLANK(J39))),IF(I39="Yes",0,MAX(N39*VLOOKUP(J39,IncomeCycleData[],3,FALSE),IF(G39="Standard",M39*SDInvestmentPropertyExpenseFloor,0))),0),0)</f>
        <v>0</v>
      </c>
      <c r="P39" s="1343" t="str">
        <f t="shared" si="4"/>
        <v/>
      </c>
      <c r="Q39" s="1341">
        <f t="shared" si="5"/>
        <v>0</v>
      </c>
      <c r="R39" s="625"/>
      <c r="S39" s="1346"/>
      <c r="T39" s="1342">
        <f t="shared" si="6"/>
        <v>0</v>
      </c>
      <c r="U39" s="1343" t="str">
        <f t="shared" si="7"/>
        <v/>
      </c>
      <c r="V39" s="1341">
        <f t="shared" si="8"/>
        <v>0</v>
      </c>
      <c r="W39" s="25"/>
      <c r="X39" s="934" t="str">
        <f>IFERROR(IF(C39&gt;VLOOKUP(D39,StateTable[],2,FALSE),"Yes","No"),"")</f>
        <v/>
      </c>
      <c r="Y39" s="934" t="str">
        <f>IF(ISBLANK(E39),"",IF(IFERROR(VLOOKUP(1*E39,RiskPostcodeTable[],1,FALSE),0)&lt;&gt;0,"Yes","No"))</f>
        <v/>
      </c>
      <c r="Z39" s="934" t="str">
        <f t="shared" si="0"/>
        <v>Incomplete data</v>
      </c>
      <c r="AA39" s="935">
        <f t="shared" si="1"/>
        <v>0.6</v>
      </c>
      <c r="AB39" s="934" t="str">
        <f t="shared" si="2"/>
        <v>Incomplete data</v>
      </c>
      <c r="AC39" s="935">
        <f t="shared" si="3"/>
        <v>0.6</v>
      </c>
    </row>
    <row r="40" spans="1:29" ht="18.75" hidden="1" customHeight="1" x14ac:dyDescent="0.25">
      <c r="A40" s="552">
        <v>28</v>
      </c>
      <c r="B40" s="1337"/>
      <c r="C40" s="1339"/>
      <c r="D40" s="991"/>
      <c r="E40" s="626"/>
      <c r="F40" s="990" t="s">
        <v>9</v>
      </c>
      <c r="G40" s="626"/>
      <c r="H40" s="626"/>
      <c r="I40" s="990"/>
      <c r="J40" s="990"/>
      <c r="K40" s="625"/>
      <c r="L40" s="1344"/>
      <c r="M40" s="1341">
        <f>IFERROR(IF(AND(NOT(ISBLANK(G40)),NOT(ISBLANK(I40)),NOT(ISBLANK(J40)),OR(I40="No",NOT(ISBLANK(K40))),NOT(ISBLANK(L40))),IF(G40="Short term",IF(I40="Yes",L40,0),IF(I40="Yes",L40/K40*52,L40*VLOOKUP(J40,IncomeCycleData[],3,FALSE))),0),0)</f>
        <v>0</v>
      </c>
      <c r="N40" s="1344"/>
      <c r="O40" s="1342">
        <f>IFERROR(IF(AND(NOT(ISBLANK(I40)),NOT(ISBLANK(J40))),IF(I40="Yes",0,MAX(N40*VLOOKUP(J40,IncomeCycleData[],3,FALSE),IF(G40="Standard",M40*SDInvestmentPropertyExpenseFloor,0))),0),0)</f>
        <v>0</v>
      </c>
      <c r="P40" s="1343" t="str">
        <f t="shared" si="4"/>
        <v/>
      </c>
      <c r="Q40" s="1341">
        <f t="shared" si="5"/>
        <v>0</v>
      </c>
      <c r="R40" s="625"/>
      <c r="S40" s="1346"/>
      <c r="T40" s="1342">
        <f t="shared" si="6"/>
        <v>0</v>
      </c>
      <c r="U40" s="1343" t="str">
        <f t="shared" si="7"/>
        <v/>
      </c>
      <c r="V40" s="1341">
        <f t="shared" si="8"/>
        <v>0</v>
      </c>
      <c r="W40" s="25"/>
      <c r="X40" s="934" t="str">
        <f>IFERROR(IF(C40&gt;VLOOKUP(D40,StateTable[],2,FALSE),"Yes","No"),"")</f>
        <v/>
      </c>
      <c r="Y40" s="934" t="str">
        <f>IF(ISBLANK(E40),"",IF(IFERROR(VLOOKUP(1*E40,RiskPostcodeTable[],1,FALSE),0)&lt;&gt;0,"Yes","No"))</f>
        <v/>
      </c>
      <c r="Z40" s="934" t="str">
        <f t="shared" si="0"/>
        <v>Incomplete data</v>
      </c>
      <c r="AA40" s="935">
        <f t="shared" si="1"/>
        <v>0.6</v>
      </c>
      <c r="AB40" s="934" t="str">
        <f t="shared" si="2"/>
        <v>Incomplete data</v>
      </c>
      <c r="AC40" s="935">
        <f t="shared" si="3"/>
        <v>0.6</v>
      </c>
    </row>
    <row r="41" spans="1:29" ht="18.75" hidden="1" customHeight="1" x14ac:dyDescent="0.25">
      <c r="A41" s="552">
        <v>29</v>
      </c>
      <c r="B41" s="1337"/>
      <c r="C41" s="1339"/>
      <c r="D41" s="991"/>
      <c r="E41" s="626"/>
      <c r="F41" s="990" t="s">
        <v>9</v>
      </c>
      <c r="G41" s="626"/>
      <c r="H41" s="626"/>
      <c r="I41" s="990"/>
      <c r="J41" s="990"/>
      <c r="K41" s="625"/>
      <c r="L41" s="1344"/>
      <c r="M41" s="1341">
        <f>IFERROR(IF(AND(NOT(ISBLANK(G41)),NOT(ISBLANK(I41)),NOT(ISBLANK(J41)),OR(I41="No",NOT(ISBLANK(K41))),NOT(ISBLANK(L41))),IF(G41="Short term",IF(I41="Yes",L41,0),IF(I41="Yes",L41/K41*52,L41*VLOOKUP(J41,IncomeCycleData[],3,FALSE))),0),0)</f>
        <v>0</v>
      </c>
      <c r="N41" s="1344"/>
      <c r="O41" s="1342">
        <f>IFERROR(IF(AND(NOT(ISBLANK(I41)),NOT(ISBLANK(J41))),IF(I41="Yes",0,MAX(N41*VLOOKUP(J41,IncomeCycleData[],3,FALSE),IF(G41="Standard",M41*SDInvestmentPropertyExpenseFloor,0))),0),0)</f>
        <v>0</v>
      </c>
      <c r="P41" s="1343" t="str">
        <f t="shared" si="4"/>
        <v/>
      </c>
      <c r="Q41" s="1341">
        <f t="shared" si="5"/>
        <v>0</v>
      </c>
      <c r="R41" s="625"/>
      <c r="S41" s="1346"/>
      <c r="T41" s="1342">
        <f t="shared" si="6"/>
        <v>0</v>
      </c>
      <c r="U41" s="1343" t="str">
        <f t="shared" si="7"/>
        <v/>
      </c>
      <c r="V41" s="1341">
        <f t="shared" si="8"/>
        <v>0</v>
      </c>
      <c r="W41" s="25"/>
      <c r="X41" s="934" t="str">
        <f>IFERROR(IF(C41&gt;VLOOKUP(D41,StateTable[],2,FALSE),"Yes","No"),"")</f>
        <v/>
      </c>
      <c r="Y41" s="934" t="str">
        <f>IF(ISBLANK(E41),"",IF(IFERROR(VLOOKUP(1*E41,RiskPostcodeTable[],1,FALSE),0)&lt;&gt;0,"Yes","No"))</f>
        <v/>
      </c>
      <c r="Z41" s="934" t="str">
        <f t="shared" si="0"/>
        <v>Incomplete data</v>
      </c>
      <c r="AA41" s="935">
        <f t="shared" si="1"/>
        <v>0.6</v>
      </c>
      <c r="AB41" s="934" t="str">
        <f t="shared" si="2"/>
        <v>Incomplete data</v>
      </c>
      <c r="AC41" s="935">
        <f t="shared" si="3"/>
        <v>0.6</v>
      </c>
    </row>
    <row r="42" spans="1:29" ht="18.75" hidden="1" customHeight="1" x14ac:dyDescent="0.25">
      <c r="A42" s="552">
        <v>30</v>
      </c>
      <c r="B42" s="1337"/>
      <c r="C42" s="1339"/>
      <c r="D42" s="991"/>
      <c r="E42" s="626"/>
      <c r="F42" s="990" t="s">
        <v>9</v>
      </c>
      <c r="G42" s="626"/>
      <c r="H42" s="626"/>
      <c r="I42" s="990"/>
      <c r="J42" s="990"/>
      <c r="K42" s="625"/>
      <c r="L42" s="1344"/>
      <c r="M42" s="1341">
        <f>IFERROR(IF(AND(NOT(ISBLANK(G42)),NOT(ISBLANK(I42)),NOT(ISBLANK(J42)),OR(I42="No",NOT(ISBLANK(K42))),NOT(ISBLANK(L42))),IF(G42="Short term",IF(I42="Yes",L42,0),IF(I42="Yes",L42/K42*52,L42*VLOOKUP(J42,IncomeCycleData[],3,FALSE))),0),0)</f>
        <v>0</v>
      </c>
      <c r="N42" s="1344"/>
      <c r="O42" s="1342">
        <f>IFERROR(IF(AND(NOT(ISBLANK(I42)),NOT(ISBLANK(J42))),IF(I42="Yes",0,MAX(N42*VLOOKUP(J42,IncomeCycleData[],3,FALSE),IF(G42="Standard",M42*SDInvestmentPropertyExpenseFloor,0))),0),0)</f>
        <v>0</v>
      </c>
      <c r="P42" s="1343" t="str">
        <f t="shared" si="4"/>
        <v/>
      </c>
      <c r="Q42" s="1341">
        <f t="shared" si="5"/>
        <v>0</v>
      </c>
      <c r="R42" s="625"/>
      <c r="S42" s="1346"/>
      <c r="T42" s="1342">
        <f t="shared" si="6"/>
        <v>0</v>
      </c>
      <c r="U42" s="1343" t="str">
        <f t="shared" si="7"/>
        <v/>
      </c>
      <c r="V42" s="1341">
        <f t="shared" si="8"/>
        <v>0</v>
      </c>
      <c r="W42" s="25"/>
      <c r="X42" s="934" t="str">
        <f>IFERROR(IF(C42&gt;VLOOKUP(D42,StateTable[],2,FALSE),"Yes","No"),"")</f>
        <v/>
      </c>
      <c r="Y42" s="934" t="str">
        <f>IF(ISBLANK(E42),"",IF(IFERROR(VLOOKUP(1*E42,RiskPostcodeTable[],1,FALSE),0)&lt;&gt;0,"Yes","No"))</f>
        <v/>
      </c>
      <c r="Z42" s="934" t="str">
        <f t="shared" si="0"/>
        <v>Incomplete data</v>
      </c>
      <c r="AA42" s="935">
        <f t="shared" si="1"/>
        <v>0.6</v>
      </c>
      <c r="AB42" s="934" t="str">
        <f t="shared" si="2"/>
        <v>Incomplete data</v>
      </c>
      <c r="AC42" s="935">
        <f t="shared" si="3"/>
        <v>0.6</v>
      </c>
    </row>
    <row r="43" spans="1:29" ht="18.75" hidden="1" customHeight="1" x14ac:dyDescent="0.25">
      <c r="A43" s="552">
        <v>31</v>
      </c>
      <c r="B43" s="1337"/>
      <c r="C43" s="1339"/>
      <c r="D43" s="991"/>
      <c r="E43" s="626"/>
      <c r="F43" s="990" t="s">
        <v>9</v>
      </c>
      <c r="G43" s="626"/>
      <c r="H43" s="626"/>
      <c r="I43" s="990"/>
      <c r="J43" s="990"/>
      <c r="K43" s="625"/>
      <c r="L43" s="1344"/>
      <c r="M43" s="1341">
        <f>IFERROR(IF(AND(NOT(ISBLANK(G43)),NOT(ISBLANK(I43)),NOT(ISBLANK(J43)),OR(I43="No",NOT(ISBLANK(K43))),NOT(ISBLANK(L43))),IF(G43="Short term",IF(I43="Yes",L43,0),IF(I43="Yes",L43/K43*52,L43*VLOOKUP(J43,IncomeCycleData[],3,FALSE))),0),0)</f>
        <v>0</v>
      </c>
      <c r="N43" s="1344"/>
      <c r="O43" s="1342">
        <f>IFERROR(IF(AND(NOT(ISBLANK(I43)),NOT(ISBLANK(J43))),IF(I43="Yes",0,MAX(N43*VLOOKUP(J43,IncomeCycleData[],3,FALSE),IF(G43="Standard",M43*SDInvestmentPropertyExpenseFloor,0))),0),0)</f>
        <v>0</v>
      </c>
      <c r="P43" s="1343" t="str">
        <f t="shared" si="4"/>
        <v/>
      </c>
      <c r="Q43" s="1341">
        <f t="shared" si="5"/>
        <v>0</v>
      </c>
      <c r="R43" s="625"/>
      <c r="S43" s="1346"/>
      <c r="T43" s="1342">
        <f t="shared" si="6"/>
        <v>0</v>
      </c>
      <c r="U43" s="1343" t="str">
        <f t="shared" si="7"/>
        <v/>
      </c>
      <c r="V43" s="1341">
        <f t="shared" si="8"/>
        <v>0</v>
      </c>
      <c r="W43" s="25"/>
      <c r="X43" s="934" t="str">
        <f>IFERROR(IF(C43&gt;VLOOKUP(D43,StateTable[],2,FALSE),"Yes","No"),"")</f>
        <v/>
      </c>
      <c r="Y43" s="934" t="str">
        <f>IF(ISBLANK(E43),"",IF(IFERROR(VLOOKUP(1*E43,RiskPostcodeTable[],1,FALSE),0)&lt;&gt;0,"Yes","No"))</f>
        <v/>
      </c>
      <c r="Z43" s="934" t="str">
        <f t="shared" si="0"/>
        <v>Incomplete data</v>
      </c>
      <c r="AA43" s="935">
        <f t="shared" si="1"/>
        <v>0.6</v>
      </c>
      <c r="AB43" s="934" t="str">
        <f t="shared" si="2"/>
        <v>Incomplete data</v>
      </c>
      <c r="AC43" s="935">
        <f t="shared" si="3"/>
        <v>0.6</v>
      </c>
    </row>
    <row r="44" spans="1:29" ht="18.75" hidden="1" customHeight="1" x14ac:dyDescent="0.25">
      <c r="A44" s="552">
        <v>32</v>
      </c>
      <c r="B44" s="1337"/>
      <c r="C44" s="1339"/>
      <c r="D44" s="991"/>
      <c r="E44" s="626"/>
      <c r="F44" s="990" t="s">
        <v>9</v>
      </c>
      <c r="G44" s="626"/>
      <c r="H44" s="626"/>
      <c r="I44" s="990"/>
      <c r="J44" s="990"/>
      <c r="K44" s="625"/>
      <c r="L44" s="1344"/>
      <c r="M44" s="1341">
        <f>IFERROR(IF(AND(NOT(ISBLANK(G44)),NOT(ISBLANK(I44)),NOT(ISBLANK(J44)),OR(I44="No",NOT(ISBLANK(K44))),NOT(ISBLANK(L44))),IF(G44="Short term",IF(I44="Yes",L44,0),IF(I44="Yes",L44/K44*52,L44*VLOOKUP(J44,IncomeCycleData[],3,FALSE))),0),0)</f>
        <v>0</v>
      </c>
      <c r="N44" s="1344"/>
      <c r="O44" s="1342">
        <f>IFERROR(IF(AND(NOT(ISBLANK(I44)),NOT(ISBLANK(J44))),IF(I44="Yes",0,MAX(N44*VLOOKUP(J44,IncomeCycleData[],3,FALSE),IF(G44="Standard",M44*SDInvestmentPropertyExpenseFloor,0))),0),0)</f>
        <v>0</v>
      </c>
      <c r="P44" s="1343" t="str">
        <f t="shared" si="4"/>
        <v/>
      </c>
      <c r="Q44" s="1341">
        <f t="shared" si="5"/>
        <v>0</v>
      </c>
      <c r="R44" s="625"/>
      <c r="S44" s="1346"/>
      <c r="T44" s="1342">
        <f t="shared" si="6"/>
        <v>0</v>
      </c>
      <c r="U44" s="1343" t="str">
        <f t="shared" si="7"/>
        <v/>
      </c>
      <c r="V44" s="1341">
        <f t="shared" si="8"/>
        <v>0</v>
      </c>
      <c r="W44" s="25"/>
      <c r="X44" s="934" t="str">
        <f>IFERROR(IF(C44&gt;VLOOKUP(D44,StateTable[],2,FALSE),"Yes","No"),"")</f>
        <v/>
      </c>
      <c r="Y44" s="934" t="str">
        <f>IF(ISBLANK(E44),"",IF(IFERROR(VLOOKUP(1*E44,RiskPostcodeTable[],1,FALSE),0)&lt;&gt;0,"Yes","No"))</f>
        <v/>
      </c>
      <c r="Z44" s="934" t="str">
        <f t="shared" si="0"/>
        <v>Incomplete data</v>
      </c>
      <c r="AA44" s="935">
        <f t="shared" si="1"/>
        <v>0.6</v>
      </c>
      <c r="AB44" s="934" t="str">
        <f t="shared" si="2"/>
        <v>Incomplete data</v>
      </c>
      <c r="AC44" s="935">
        <f t="shared" si="3"/>
        <v>0.6</v>
      </c>
    </row>
    <row r="45" spans="1:29" ht="18.75" hidden="1" customHeight="1" x14ac:dyDescent="0.25">
      <c r="A45" s="552">
        <v>33</v>
      </c>
      <c r="B45" s="1337"/>
      <c r="C45" s="1339"/>
      <c r="D45" s="991"/>
      <c r="E45" s="626"/>
      <c r="F45" s="990" t="s">
        <v>9</v>
      </c>
      <c r="G45" s="626"/>
      <c r="H45" s="626"/>
      <c r="I45" s="990"/>
      <c r="J45" s="990"/>
      <c r="K45" s="625"/>
      <c r="L45" s="1344"/>
      <c r="M45" s="1341">
        <f>IFERROR(IF(AND(NOT(ISBLANK(G45)),NOT(ISBLANK(I45)),NOT(ISBLANK(J45)),OR(I45="No",NOT(ISBLANK(K45))),NOT(ISBLANK(L45))),IF(G45="Short term",IF(I45="Yes",L45,0),IF(I45="Yes",L45/K45*52,L45*VLOOKUP(J45,IncomeCycleData[],3,FALSE))),0),0)</f>
        <v>0</v>
      </c>
      <c r="N45" s="1344"/>
      <c r="O45" s="1342">
        <f>IFERROR(IF(AND(NOT(ISBLANK(I45)),NOT(ISBLANK(J45))),IF(I45="Yes",0,MAX(N45*VLOOKUP(J45,IncomeCycleData[],3,FALSE),IF(G45="Standard",M45*SDInvestmentPropertyExpenseFloor,0))),0),0)</f>
        <v>0</v>
      </c>
      <c r="P45" s="1343" t="str">
        <f t="shared" si="4"/>
        <v/>
      </c>
      <c r="Q45" s="1341">
        <f t="shared" si="5"/>
        <v>0</v>
      </c>
      <c r="R45" s="625"/>
      <c r="S45" s="1346"/>
      <c r="T45" s="1342">
        <f t="shared" ref="T45:T62" si="9">IFERROR(IF(AND(NOT(ISBLANK(G45)),NOT(ISBLANK(I45)),NOT(ISBLANK(R45)),NOT(ISBLANK(S45))),IF(G45="Short term",S45,IF(I45="Yes",S45/R45*52,0)),0),0)</f>
        <v>0</v>
      </c>
      <c r="U45" s="1343" t="str">
        <f t="shared" ref="U45:U62" si="10">IF(S45&gt;0,CONCATENATE(TEXT(AA45,"0%")," - ",Z45),"")</f>
        <v/>
      </c>
      <c r="V45" s="1341">
        <f t="shared" ref="V45:V62" si="11">IF(I45="Yes",(T45*AA45)-S45,0)</f>
        <v>0</v>
      </c>
      <c r="W45" s="25"/>
      <c r="X45" s="934" t="str">
        <f>IFERROR(IF(C45&gt;VLOOKUP(D45,StateTable[],2,FALSE),"Yes","No"),"")</f>
        <v/>
      </c>
      <c r="Y45" s="934" t="str">
        <f>IF(ISBLANK(E45),"",IF(IFERROR(VLOOKUP(1*E45,RiskPostcodeTable[],1,FALSE),0)&lt;&gt;0,"Yes","No"))</f>
        <v/>
      </c>
      <c r="Z45" s="934" t="str">
        <f t="shared" ref="Z45:Z62" si="12">IFERROR(IF(OR(ISBLANK($C45),ISBLANK($D45),ISBLANK($E45),ISBLANK($F45),ISBLANK($G45),ISBLANK($H45)),"Incomplete data",IF(AND(SCALMIFlag="Yes",$F45="Yes"),"LMI+Rural",IF($Y45="Yes","Concentration risk",IF($X45="Yes","Prestige",IF($H45="Commercial","Commercial",IF($G45="Short term","Short term","Standard")))))),"") &amp; IF(AND(AA45&gt;0,$I45="Yes",$R45&lt;52)," + part year","")</f>
        <v>Incomplete data</v>
      </c>
      <c r="AA45" s="935">
        <f t="shared" ref="AA45:AA62" si="13">IFERROR(MAX(0,IF(OR(ISBLANK($C45),ISBLANK($D45),ISBLANK($E45),ISBLANK($F45),ISBLANK($G45),ISBLANK($H45)),SDConcentrationRiskRentShade,IF(AND(SCALMIFlag="Yes",$F45="Yes"),0,IF($Y45="Yes",SDConcentrationRiskRentShade,IF($X45="Yes",SDPrestigeRentShade,IF($H45="Commercial",SDCommercialRentShade,IF($G45="Short term",SDShortTermRentShade,SDStandardRentShade))))))-IF(AND($I45="Yes",$R45&lt;52),SDBusinessAdditionalRentShade,0)),"")</f>
        <v>0.6</v>
      </c>
      <c r="AB45" s="934" t="str">
        <f t="shared" ref="AB45:AB62" si="14">IFERROR(IF(OR(ISBLANK($C45),ISBLANK($D45),ISBLANK($E45),ISBLANK($F45),ISBLANK($G45),ISBLANK($H45)),"Incomplete data",IF(AND(SCALMIFlag="Yes",$F45="Yes"),"LMI+Rural",IF($Y45="Yes","Concentration risk",IF($X45="Yes","Prestige",IF($H45="Commercial","Commercial",IF($G45="Short term","Short term","Standard")))))),"") &amp; IF(AND(AC45&gt;0,$I45="Yes",$K45&lt;52)," + part year","")</f>
        <v>Incomplete data</v>
      </c>
      <c r="AC45" s="935">
        <f t="shared" ref="AC45:AC62" si="15">IFERROR(MAX(0,IF(OR(ISBLANK($C45),ISBLANK($D45),ISBLANK($E45),ISBLANK($F45),ISBLANK($G45),ISBLANK($H45)),SDConcentrationRiskRentShade,IF(AND(SCALMIFlag="Yes",$F45="Yes"),0,IF($Y45="Yes",SDConcentrationRiskRentShade,IF($X45="Yes",SDPrestigeRentShade,IF($H45="Commercial",SDCommercialRentShade,IF($G45="Short term",SDShortTermRentShade,SDStandardRentShade))))))-IF(AND($I45="Yes",$K45&lt;52),SDBusinessAdditionalRentShade,0)),"")</f>
        <v>0.6</v>
      </c>
    </row>
    <row r="46" spans="1:29" ht="18.75" hidden="1" customHeight="1" x14ac:dyDescent="0.25">
      <c r="A46" s="552">
        <v>34</v>
      </c>
      <c r="B46" s="1337"/>
      <c r="C46" s="1339"/>
      <c r="D46" s="991"/>
      <c r="E46" s="626"/>
      <c r="F46" s="990" t="s">
        <v>9</v>
      </c>
      <c r="G46" s="626"/>
      <c r="H46" s="626"/>
      <c r="I46" s="990"/>
      <c r="J46" s="990"/>
      <c r="K46" s="625"/>
      <c r="L46" s="1344"/>
      <c r="M46" s="1341">
        <f>IFERROR(IF(AND(NOT(ISBLANK(G46)),NOT(ISBLANK(I46)),NOT(ISBLANK(J46)),OR(I46="No",NOT(ISBLANK(K46))),NOT(ISBLANK(L46))),IF(G46="Short term",IF(I46="Yes",L46,0),IF(I46="Yes",L46/K46*52,L46*VLOOKUP(J46,IncomeCycleData[],3,FALSE))),0),0)</f>
        <v>0</v>
      </c>
      <c r="N46" s="1344"/>
      <c r="O46" s="1342">
        <f>IFERROR(IF(AND(NOT(ISBLANK(I46)),NOT(ISBLANK(J46))),IF(I46="Yes",0,MAX(N46*VLOOKUP(J46,IncomeCycleData[],3,FALSE),IF(G46="Standard",M46*SDInvestmentPropertyExpenseFloor,0))),0),0)</f>
        <v>0</v>
      </c>
      <c r="P46" s="1343" t="str">
        <f t="shared" si="4"/>
        <v/>
      </c>
      <c r="Q46" s="1341">
        <f t="shared" si="5"/>
        <v>0</v>
      </c>
      <c r="R46" s="625"/>
      <c r="S46" s="1346"/>
      <c r="T46" s="1342">
        <f t="shared" si="9"/>
        <v>0</v>
      </c>
      <c r="U46" s="1343" t="str">
        <f t="shared" si="10"/>
        <v/>
      </c>
      <c r="V46" s="1341">
        <f t="shared" si="11"/>
        <v>0</v>
      </c>
      <c r="W46" s="25"/>
      <c r="X46" s="934" t="str">
        <f>IFERROR(IF(C46&gt;VLOOKUP(D46,StateTable[],2,FALSE),"Yes","No"),"")</f>
        <v/>
      </c>
      <c r="Y46" s="934" t="str">
        <f>IF(ISBLANK(E46),"",IF(IFERROR(VLOOKUP(1*E46,RiskPostcodeTable[],1,FALSE),0)&lt;&gt;0,"Yes","No"))</f>
        <v/>
      </c>
      <c r="Z46" s="934" t="str">
        <f t="shared" si="12"/>
        <v>Incomplete data</v>
      </c>
      <c r="AA46" s="935">
        <f t="shared" si="13"/>
        <v>0.6</v>
      </c>
      <c r="AB46" s="934" t="str">
        <f t="shared" si="14"/>
        <v>Incomplete data</v>
      </c>
      <c r="AC46" s="935">
        <f t="shared" si="15"/>
        <v>0.6</v>
      </c>
    </row>
    <row r="47" spans="1:29" ht="18.75" hidden="1" customHeight="1" x14ac:dyDescent="0.25">
      <c r="A47" s="552">
        <v>35</v>
      </c>
      <c r="B47" s="1337"/>
      <c r="C47" s="1339"/>
      <c r="D47" s="991"/>
      <c r="E47" s="626"/>
      <c r="F47" s="990" t="s">
        <v>9</v>
      </c>
      <c r="G47" s="626"/>
      <c r="H47" s="626"/>
      <c r="I47" s="990"/>
      <c r="J47" s="990"/>
      <c r="K47" s="625"/>
      <c r="L47" s="1344"/>
      <c r="M47" s="1341">
        <f>IFERROR(IF(AND(NOT(ISBLANK(G47)),NOT(ISBLANK(I47)),NOT(ISBLANK(J47)),OR(I47="No",NOT(ISBLANK(K47))),NOT(ISBLANK(L47))),IF(G47="Short term",IF(I47="Yes",L47,0),IF(I47="Yes",L47/K47*52,L47*VLOOKUP(J47,IncomeCycleData[],3,FALSE))),0),0)</f>
        <v>0</v>
      </c>
      <c r="N47" s="1344"/>
      <c r="O47" s="1342">
        <f>IFERROR(IF(AND(NOT(ISBLANK(I47)),NOT(ISBLANK(J47))),IF(I47="Yes",0,MAX(N47*VLOOKUP(J47,IncomeCycleData[],3,FALSE),IF(G47="Standard",M47*SDInvestmentPropertyExpenseFloor,0))),0),0)</f>
        <v>0</v>
      </c>
      <c r="P47" s="1343" t="str">
        <f t="shared" si="4"/>
        <v/>
      </c>
      <c r="Q47" s="1341">
        <f t="shared" si="5"/>
        <v>0</v>
      </c>
      <c r="R47" s="625"/>
      <c r="S47" s="1346"/>
      <c r="T47" s="1342">
        <f t="shared" si="9"/>
        <v>0</v>
      </c>
      <c r="U47" s="1343" t="str">
        <f t="shared" si="10"/>
        <v/>
      </c>
      <c r="V47" s="1341">
        <f t="shared" si="11"/>
        <v>0</v>
      </c>
      <c r="W47" s="25"/>
      <c r="X47" s="934" t="str">
        <f>IFERROR(IF(C47&gt;VLOOKUP(D47,StateTable[],2,FALSE),"Yes","No"),"")</f>
        <v/>
      </c>
      <c r="Y47" s="934" t="str">
        <f>IF(ISBLANK(E47),"",IF(IFERROR(VLOOKUP(1*E47,RiskPostcodeTable[],1,FALSE),0)&lt;&gt;0,"Yes","No"))</f>
        <v/>
      </c>
      <c r="Z47" s="934" t="str">
        <f t="shared" si="12"/>
        <v>Incomplete data</v>
      </c>
      <c r="AA47" s="935">
        <f t="shared" si="13"/>
        <v>0.6</v>
      </c>
      <c r="AB47" s="934" t="str">
        <f t="shared" si="14"/>
        <v>Incomplete data</v>
      </c>
      <c r="AC47" s="935">
        <f t="shared" si="15"/>
        <v>0.6</v>
      </c>
    </row>
    <row r="48" spans="1:29" ht="18.75" hidden="1" customHeight="1" x14ac:dyDescent="0.25">
      <c r="A48" s="552">
        <v>36</v>
      </c>
      <c r="B48" s="1337"/>
      <c r="C48" s="1339"/>
      <c r="D48" s="991"/>
      <c r="E48" s="626"/>
      <c r="F48" s="990" t="s">
        <v>9</v>
      </c>
      <c r="G48" s="626"/>
      <c r="H48" s="626"/>
      <c r="I48" s="990"/>
      <c r="J48" s="990"/>
      <c r="K48" s="625"/>
      <c r="L48" s="1344"/>
      <c r="M48" s="1341">
        <f>IFERROR(IF(AND(NOT(ISBLANK(G48)),NOT(ISBLANK(I48)),NOT(ISBLANK(J48)),OR(I48="No",NOT(ISBLANK(K48))),NOT(ISBLANK(L48))),IF(G48="Short term",IF(I48="Yes",L48,0),IF(I48="Yes",L48/K48*52,L48*VLOOKUP(J48,IncomeCycleData[],3,FALSE))),0),0)</f>
        <v>0</v>
      </c>
      <c r="N48" s="1344"/>
      <c r="O48" s="1342">
        <f>IFERROR(IF(AND(NOT(ISBLANK(I48)),NOT(ISBLANK(J48))),IF(I48="Yes",0,MAX(N48*VLOOKUP(J48,IncomeCycleData[],3,FALSE),IF(G48="Standard",M48*SDInvestmentPropertyExpenseFloor,0))),0),0)</f>
        <v>0</v>
      </c>
      <c r="P48" s="1343" t="str">
        <f t="shared" si="4"/>
        <v/>
      </c>
      <c r="Q48" s="1341">
        <f t="shared" si="5"/>
        <v>0</v>
      </c>
      <c r="R48" s="625"/>
      <c r="S48" s="1346"/>
      <c r="T48" s="1342">
        <f t="shared" si="9"/>
        <v>0</v>
      </c>
      <c r="U48" s="1343" t="str">
        <f t="shared" si="10"/>
        <v/>
      </c>
      <c r="V48" s="1341">
        <f t="shared" si="11"/>
        <v>0</v>
      </c>
      <c r="W48" s="25"/>
      <c r="X48" s="934" t="str">
        <f>IFERROR(IF(C48&gt;VLOOKUP(D48,StateTable[],2,FALSE),"Yes","No"),"")</f>
        <v/>
      </c>
      <c r="Y48" s="934" t="str">
        <f>IF(ISBLANK(E48),"",IF(IFERROR(VLOOKUP(1*E48,RiskPostcodeTable[],1,FALSE),0)&lt;&gt;0,"Yes","No"))</f>
        <v/>
      </c>
      <c r="Z48" s="934" t="str">
        <f t="shared" si="12"/>
        <v>Incomplete data</v>
      </c>
      <c r="AA48" s="935">
        <f t="shared" si="13"/>
        <v>0.6</v>
      </c>
      <c r="AB48" s="934" t="str">
        <f t="shared" si="14"/>
        <v>Incomplete data</v>
      </c>
      <c r="AC48" s="935">
        <f t="shared" si="15"/>
        <v>0.6</v>
      </c>
    </row>
    <row r="49" spans="1:29" ht="18.75" hidden="1" customHeight="1" x14ac:dyDescent="0.25">
      <c r="A49" s="552">
        <v>37</v>
      </c>
      <c r="B49" s="1337"/>
      <c r="C49" s="1339"/>
      <c r="D49" s="991"/>
      <c r="E49" s="626"/>
      <c r="F49" s="990" t="s">
        <v>9</v>
      </c>
      <c r="G49" s="626"/>
      <c r="H49" s="626"/>
      <c r="I49" s="990"/>
      <c r="J49" s="990"/>
      <c r="K49" s="625"/>
      <c r="L49" s="1344"/>
      <c r="M49" s="1341">
        <f>IFERROR(IF(AND(NOT(ISBLANK(G49)),NOT(ISBLANK(I49)),NOT(ISBLANK(J49)),OR(I49="No",NOT(ISBLANK(K49))),NOT(ISBLANK(L49))),IF(G49="Short term",IF(I49="Yes",L49,0),IF(I49="Yes",L49/K49*52,L49*VLOOKUP(J49,IncomeCycleData[],3,FALSE))),0),0)</f>
        <v>0</v>
      </c>
      <c r="N49" s="1344"/>
      <c r="O49" s="1342">
        <f>IFERROR(IF(AND(NOT(ISBLANK(I49)),NOT(ISBLANK(J49))),IF(I49="Yes",0,MAX(N49*VLOOKUP(J49,IncomeCycleData[],3,FALSE),IF(G49="Standard",M49*SDInvestmentPropertyExpenseFloor,0))),0),0)</f>
        <v>0</v>
      </c>
      <c r="P49" s="1343" t="str">
        <f t="shared" si="4"/>
        <v/>
      </c>
      <c r="Q49" s="1341">
        <f t="shared" si="5"/>
        <v>0</v>
      </c>
      <c r="R49" s="625"/>
      <c r="S49" s="1346"/>
      <c r="T49" s="1342">
        <f t="shared" si="9"/>
        <v>0</v>
      </c>
      <c r="U49" s="1343" t="str">
        <f t="shared" si="10"/>
        <v/>
      </c>
      <c r="V49" s="1341">
        <f t="shared" si="11"/>
        <v>0</v>
      </c>
      <c r="W49" s="25"/>
      <c r="X49" s="934" t="str">
        <f>IFERROR(IF(C49&gt;VLOOKUP(D49,StateTable[],2,FALSE),"Yes","No"),"")</f>
        <v/>
      </c>
      <c r="Y49" s="934" t="str">
        <f>IF(ISBLANK(E49),"",IF(IFERROR(VLOOKUP(1*E49,RiskPostcodeTable[],1,FALSE),0)&lt;&gt;0,"Yes","No"))</f>
        <v/>
      </c>
      <c r="Z49" s="934" t="str">
        <f t="shared" si="12"/>
        <v>Incomplete data</v>
      </c>
      <c r="AA49" s="935">
        <f t="shared" si="13"/>
        <v>0.6</v>
      </c>
      <c r="AB49" s="934" t="str">
        <f t="shared" si="14"/>
        <v>Incomplete data</v>
      </c>
      <c r="AC49" s="935">
        <f t="shared" si="15"/>
        <v>0.6</v>
      </c>
    </row>
    <row r="50" spans="1:29" ht="18.75" hidden="1" customHeight="1" x14ac:dyDescent="0.25">
      <c r="A50" s="552">
        <v>38</v>
      </c>
      <c r="B50" s="1337"/>
      <c r="C50" s="1339"/>
      <c r="D50" s="991"/>
      <c r="E50" s="626"/>
      <c r="F50" s="990" t="s">
        <v>9</v>
      </c>
      <c r="G50" s="626"/>
      <c r="H50" s="626"/>
      <c r="I50" s="990"/>
      <c r="J50" s="990"/>
      <c r="K50" s="625"/>
      <c r="L50" s="1344"/>
      <c r="M50" s="1341">
        <f>IFERROR(IF(AND(NOT(ISBLANK(G50)),NOT(ISBLANK(I50)),NOT(ISBLANK(J50)),OR(I50="No",NOT(ISBLANK(K50))),NOT(ISBLANK(L50))),IF(G50="Short term",IF(I50="Yes",L50,0),IF(I50="Yes",L50/K50*52,L50*VLOOKUP(J50,IncomeCycleData[],3,FALSE))),0),0)</f>
        <v>0</v>
      </c>
      <c r="N50" s="1344"/>
      <c r="O50" s="1342">
        <f>IFERROR(IF(AND(NOT(ISBLANK(I50)),NOT(ISBLANK(J50))),IF(I50="Yes",0,MAX(N50*VLOOKUP(J50,IncomeCycleData[],3,FALSE),IF(G50="Standard",M50*SDInvestmentPropertyExpenseFloor,0))),0),0)</f>
        <v>0</v>
      </c>
      <c r="P50" s="1343" t="str">
        <f t="shared" si="4"/>
        <v/>
      </c>
      <c r="Q50" s="1341">
        <f t="shared" si="5"/>
        <v>0</v>
      </c>
      <c r="R50" s="625"/>
      <c r="S50" s="1346"/>
      <c r="T50" s="1342">
        <f t="shared" si="9"/>
        <v>0</v>
      </c>
      <c r="U50" s="1343" t="str">
        <f t="shared" si="10"/>
        <v/>
      </c>
      <c r="V50" s="1341">
        <f t="shared" si="11"/>
        <v>0</v>
      </c>
      <c r="W50" s="25"/>
      <c r="X50" s="934" t="str">
        <f>IFERROR(IF(C50&gt;VLOOKUP(D50,StateTable[],2,FALSE),"Yes","No"),"")</f>
        <v/>
      </c>
      <c r="Y50" s="934" t="str">
        <f>IF(ISBLANK(E50),"",IF(IFERROR(VLOOKUP(1*E50,RiskPostcodeTable[],1,FALSE),0)&lt;&gt;0,"Yes","No"))</f>
        <v/>
      </c>
      <c r="Z50" s="934" t="str">
        <f t="shared" si="12"/>
        <v>Incomplete data</v>
      </c>
      <c r="AA50" s="935">
        <f t="shared" si="13"/>
        <v>0.6</v>
      </c>
      <c r="AB50" s="934" t="str">
        <f t="shared" si="14"/>
        <v>Incomplete data</v>
      </c>
      <c r="AC50" s="935">
        <f t="shared" si="15"/>
        <v>0.6</v>
      </c>
    </row>
    <row r="51" spans="1:29" ht="18.75" hidden="1" customHeight="1" x14ac:dyDescent="0.25">
      <c r="A51" s="552">
        <v>39</v>
      </c>
      <c r="B51" s="1337"/>
      <c r="C51" s="1339"/>
      <c r="D51" s="991"/>
      <c r="E51" s="626"/>
      <c r="F51" s="990" t="s">
        <v>9</v>
      </c>
      <c r="G51" s="626"/>
      <c r="H51" s="626"/>
      <c r="I51" s="990"/>
      <c r="J51" s="990"/>
      <c r="K51" s="625"/>
      <c r="L51" s="1344"/>
      <c r="M51" s="1341">
        <f>IFERROR(IF(AND(NOT(ISBLANK(G51)),NOT(ISBLANK(I51)),NOT(ISBLANK(J51)),OR(I51="No",NOT(ISBLANK(K51))),NOT(ISBLANK(L51))),IF(G51="Short term",IF(I51="Yes",L51,0),IF(I51="Yes",L51/K51*52,L51*VLOOKUP(J51,IncomeCycleData[],3,FALSE))),0),0)</f>
        <v>0</v>
      </c>
      <c r="N51" s="1344"/>
      <c r="O51" s="1342">
        <f>IFERROR(IF(AND(NOT(ISBLANK(I51)),NOT(ISBLANK(J51))),IF(I51="Yes",0,MAX(N51*VLOOKUP(J51,IncomeCycleData[],3,FALSE),IF(G51="Standard",M51*SDInvestmentPropertyExpenseFloor,0))),0),0)</f>
        <v>0</v>
      </c>
      <c r="P51" s="1343" t="str">
        <f t="shared" si="4"/>
        <v/>
      </c>
      <c r="Q51" s="1341">
        <f t="shared" si="5"/>
        <v>0</v>
      </c>
      <c r="R51" s="625"/>
      <c r="S51" s="1346"/>
      <c r="T51" s="1342">
        <f t="shared" si="9"/>
        <v>0</v>
      </c>
      <c r="U51" s="1343" t="str">
        <f t="shared" si="10"/>
        <v/>
      </c>
      <c r="V51" s="1341">
        <f t="shared" si="11"/>
        <v>0</v>
      </c>
      <c r="W51" s="25"/>
      <c r="X51" s="934" t="str">
        <f>IFERROR(IF(C51&gt;VLOOKUP(D51,StateTable[],2,FALSE),"Yes","No"),"")</f>
        <v/>
      </c>
      <c r="Y51" s="934" t="str">
        <f>IF(ISBLANK(E51),"",IF(IFERROR(VLOOKUP(1*E51,RiskPostcodeTable[],1,FALSE),0)&lt;&gt;0,"Yes","No"))</f>
        <v/>
      </c>
      <c r="Z51" s="934" t="str">
        <f t="shared" si="12"/>
        <v>Incomplete data</v>
      </c>
      <c r="AA51" s="935">
        <f t="shared" si="13"/>
        <v>0.6</v>
      </c>
      <c r="AB51" s="934" t="str">
        <f t="shared" si="14"/>
        <v>Incomplete data</v>
      </c>
      <c r="AC51" s="935">
        <f t="shared" si="15"/>
        <v>0.6</v>
      </c>
    </row>
    <row r="52" spans="1:29" ht="18.75" hidden="1" customHeight="1" x14ac:dyDescent="0.25">
      <c r="A52" s="552">
        <v>40</v>
      </c>
      <c r="B52" s="1337"/>
      <c r="C52" s="1339"/>
      <c r="D52" s="991"/>
      <c r="E52" s="626"/>
      <c r="F52" s="990" t="s">
        <v>9</v>
      </c>
      <c r="G52" s="626"/>
      <c r="H52" s="626"/>
      <c r="I52" s="990"/>
      <c r="J52" s="990"/>
      <c r="K52" s="625"/>
      <c r="L52" s="1344"/>
      <c r="M52" s="1341">
        <f>IFERROR(IF(AND(NOT(ISBLANK(G52)),NOT(ISBLANK(I52)),NOT(ISBLANK(J52)),OR(I52="No",NOT(ISBLANK(K52))),NOT(ISBLANK(L52))),IF(G52="Short term",IF(I52="Yes",L52,0),IF(I52="Yes",L52/K52*52,L52*VLOOKUP(J52,IncomeCycleData[],3,FALSE))),0),0)</f>
        <v>0</v>
      </c>
      <c r="N52" s="1344"/>
      <c r="O52" s="1342">
        <f>IFERROR(IF(AND(NOT(ISBLANK(I52)),NOT(ISBLANK(J52))),IF(I52="Yes",0,MAX(N52*VLOOKUP(J52,IncomeCycleData[],3,FALSE),IF(G52="Standard",M52*SDInvestmentPropertyExpenseFloor,0))),0),0)</f>
        <v>0</v>
      </c>
      <c r="P52" s="1343" t="str">
        <f t="shared" si="4"/>
        <v/>
      </c>
      <c r="Q52" s="1341">
        <f t="shared" si="5"/>
        <v>0</v>
      </c>
      <c r="R52" s="625"/>
      <c r="S52" s="1346"/>
      <c r="T52" s="1342">
        <f t="shared" si="9"/>
        <v>0</v>
      </c>
      <c r="U52" s="1343" t="str">
        <f t="shared" si="10"/>
        <v/>
      </c>
      <c r="V52" s="1341">
        <f t="shared" si="11"/>
        <v>0</v>
      </c>
      <c r="W52" s="25"/>
      <c r="X52" s="934" t="str">
        <f>IFERROR(IF(C52&gt;VLOOKUP(D52,StateTable[],2,FALSE),"Yes","No"),"")</f>
        <v/>
      </c>
      <c r="Y52" s="934" t="str">
        <f>IF(ISBLANK(E52),"",IF(IFERROR(VLOOKUP(1*E52,RiskPostcodeTable[],1,FALSE),0)&lt;&gt;0,"Yes","No"))</f>
        <v/>
      </c>
      <c r="Z52" s="934" t="str">
        <f t="shared" si="12"/>
        <v>Incomplete data</v>
      </c>
      <c r="AA52" s="935">
        <f t="shared" si="13"/>
        <v>0.6</v>
      </c>
      <c r="AB52" s="934" t="str">
        <f t="shared" si="14"/>
        <v>Incomplete data</v>
      </c>
      <c r="AC52" s="935">
        <f t="shared" si="15"/>
        <v>0.6</v>
      </c>
    </row>
    <row r="53" spans="1:29" ht="18.75" hidden="1" customHeight="1" x14ac:dyDescent="0.25">
      <c r="A53" s="552">
        <v>41</v>
      </c>
      <c r="B53" s="1337"/>
      <c r="C53" s="1339"/>
      <c r="D53" s="991"/>
      <c r="E53" s="626"/>
      <c r="F53" s="990" t="s">
        <v>9</v>
      </c>
      <c r="G53" s="626"/>
      <c r="H53" s="626"/>
      <c r="I53" s="990"/>
      <c r="J53" s="990"/>
      <c r="K53" s="625"/>
      <c r="L53" s="1344"/>
      <c r="M53" s="1341">
        <f>IFERROR(IF(AND(NOT(ISBLANK(G53)),NOT(ISBLANK(I53)),NOT(ISBLANK(J53)),OR(I53="No",NOT(ISBLANK(K53))),NOT(ISBLANK(L53))),IF(G53="Short term",IF(I53="Yes",L53,0),IF(I53="Yes",L53/K53*52,L53*VLOOKUP(J53,IncomeCycleData[],3,FALSE))),0),0)</f>
        <v>0</v>
      </c>
      <c r="N53" s="1344"/>
      <c r="O53" s="1342">
        <f>IFERROR(IF(AND(NOT(ISBLANK(I53)),NOT(ISBLANK(J53))),IF(I53="Yes",0,MAX(N53*VLOOKUP(J53,IncomeCycleData[],3,FALSE),IF(G53="Standard",M53*SDInvestmentPropertyExpenseFloor,0))),0),0)</f>
        <v>0</v>
      </c>
      <c r="P53" s="1343" t="str">
        <f t="shared" si="4"/>
        <v/>
      </c>
      <c r="Q53" s="1341">
        <f t="shared" si="5"/>
        <v>0</v>
      </c>
      <c r="R53" s="625"/>
      <c r="S53" s="1346"/>
      <c r="T53" s="1342">
        <f t="shared" si="9"/>
        <v>0</v>
      </c>
      <c r="U53" s="1343" t="str">
        <f t="shared" si="10"/>
        <v/>
      </c>
      <c r="V53" s="1341">
        <f t="shared" si="11"/>
        <v>0</v>
      </c>
      <c r="W53" s="25"/>
      <c r="X53" s="934" t="str">
        <f>IFERROR(IF(C53&gt;VLOOKUP(D53,StateTable[],2,FALSE),"Yes","No"),"")</f>
        <v/>
      </c>
      <c r="Y53" s="934" t="str">
        <f>IF(ISBLANK(E53),"",IF(IFERROR(VLOOKUP(1*E53,RiskPostcodeTable[],1,FALSE),0)&lt;&gt;0,"Yes","No"))</f>
        <v/>
      </c>
      <c r="Z53" s="934" t="str">
        <f t="shared" si="12"/>
        <v>Incomplete data</v>
      </c>
      <c r="AA53" s="935">
        <f t="shared" si="13"/>
        <v>0.6</v>
      </c>
      <c r="AB53" s="934" t="str">
        <f t="shared" si="14"/>
        <v>Incomplete data</v>
      </c>
      <c r="AC53" s="935">
        <f t="shared" si="15"/>
        <v>0.6</v>
      </c>
    </row>
    <row r="54" spans="1:29" ht="18.75" hidden="1" customHeight="1" x14ac:dyDescent="0.25">
      <c r="A54" s="552">
        <v>42</v>
      </c>
      <c r="B54" s="1337"/>
      <c r="C54" s="1339"/>
      <c r="D54" s="991"/>
      <c r="E54" s="626"/>
      <c r="F54" s="990" t="s">
        <v>9</v>
      </c>
      <c r="G54" s="626"/>
      <c r="H54" s="626"/>
      <c r="I54" s="990"/>
      <c r="J54" s="990"/>
      <c r="K54" s="625"/>
      <c r="L54" s="1344"/>
      <c r="M54" s="1341">
        <f>IFERROR(IF(AND(NOT(ISBLANK(G54)),NOT(ISBLANK(I54)),NOT(ISBLANK(J54)),OR(I54="No",NOT(ISBLANK(K54))),NOT(ISBLANK(L54))),IF(G54="Short term",IF(I54="Yes",L54,0),IF(I54="Yes",L54/K54*52,L54*VLOOKUP(J54,IncomeCycleData[],3,FALSE))),0),0)</f>
        <v>0</v>
      </c>
      <c r="N54" s="1344"/>
      <c r="O54" s="1342">
        <f>IFERROR(IF(AND(NOT(ISBLANK(I54)),NOT(ISBLANK(J54))),IF(I54="Yes",0,MAX(N54*VLOOKUP(J54,IncomeCycleData[],3,FALSE),IF(G54="Standard",M54*SDInvestmentPropertyExpenseFloor,0))),0),0)</f>
        <v>0</v>
      </c>
      <c r="P54" s="1343" t="str">
        <f t="shared" si="4"/>
        <v/>
      </c>
      <c r="Q54" s="1341">
        <f t="shared" si="5"/>
        <v>0</v>
      </c>
      <c r="R54" s="625"/>
      <c r="S54" s="1346"/>
      <c r="T54" s="1342">
        <f t="shared" si="9"/>
        <v>0</v>
      </c>
      <c r="U54" s="1343" t="str">
        <f t="shared" si="10"/>
        <v/>
      </c>
      <c r="V54" s="1341">
        <f t="shared" si="11"/>
        <v>0</v>
      </c>
      <c r="W54" s="25"/>
      <c r="X54" s="934" t="str">
        <f>IFERROR(IF(C54&gt;VLOOKUP(D54,StateTable[],2,FALSE),"Yes","No"),"")</f>
        <v/>
      </c>
      <c r="Y54" s="934" t="str">
        <f>IF(ISBLANK(E54),"",IF(IFERROR(VLOOKUP(1*E54,RiskPostcodeTable[],1,FALSE),0)&lt;&gt;0,"Yes","No"))</f>
        <v/>
      </c>
      <c r="Z54" s="934" t="str">
        <f t="shared" si="12"/>
        <v>Incomplete data</v>
      </c>
      <c r="AA54" s="935">
        <f t="shared" si="13"/>
        <v>0.6</v>
      </c>
      <c r="AB54" s="934" t="str">
        <f t="shared" si="14"/>
        <v>Incomplete data</v>
      </c>
      <c r="AC54" s="935">
        <f t="shared" si="15"/>
        <v>0.6</v>
      </c>
    </row>
    <row r="55" spans="1:29" ht="18.75" hidden="1" customHeight="1" x14ac:dyDescent="0.25">
      <c r="A55" s="552">
        <v>43</v>
      </c>
      <c r="B55" s="1337"/>
      <c r="C55" s="1339"/>
      <c r="D55" s="991"/>
      <c r="E55" s="626"/>
      <c r="F55" s="990" t="s">
        <v>9</v>
      </c>
      <c r="G55" s="626"/>
      <c r="H55" s="626"/>
      <c r="I55" s="990"/>
      <c r="J55" s="990"/>
      <c r="K55" s="625"/>
      <c r="L55" s="1344"/>
      <c r="M55" s="1341">
        <f>IFERROR(IF(AND(NOT(ISBLANK(G55)),NOT(ISBLANK(I55)),NOT(ISBLANK(J55)),OR(I55="No",NOT(ISBLANK(K55))),NOT(ISBLANK(L55))),IF(G55="Short term",IF(I55="Yes",L55,0),IF(I55="Yes",L55/K55*52,L55*VLOOKUP(J55,IncomeCycleData[],3,FALSE))),0),0)</f>
        <v>0</v>
      </c>
      <c r="N55" s="1344"/>
      <c r="O55" s="1342">
        <f>IFERROR(IF(AND(NOT(ISBLANK(I55)),NOT(ISBLANK(J55))),IF(I55="Yes",0,MAX(N55*VLOOKUP(J55,IncomeCycleData[],3,FALSE),IF(G55="Standard",M55*SDInvestmentPropertyExpenseFloor,0))),0),0)</f>
        <v>0</v>
      </c>
      <c r="P55" s="1343" t="str">
        <f t="shared" si="4"/>
        <v/>
      </c>
      <c r="Q55" s="1341">
        <f t="shared" si="5"/>
        <v>0</v>
      </c>
      <c r="R55" s="625"/>
      <c r="S55" s="1346"/>
      <c r="T55" s="1342">
        <f t="shared" si="9"/>
        <v>0</v>
      </c>
      <c r="U55" s="1343" t="str">
        <f t="shared" si="10"/>
        <v/>
      </c>
      <c r="V55" s="1341">
        <f t="shared" si="11"/>
        <v>0</v>
      </c>
      <c r="W55" s="25"/>
      <c r="X55" s="934" t="str">
        <f>IFERROR(IF(C55&gt;VLOOKUP(D55,StateTable[],2,FALSE),"Yes","No"),"")</f>
        <v/>
      </c>
      <c r="Y55" s="934" t="str">
        <f>IF(ISBLANK(E55),"",IF(IFERROR(VLOOKUP(1*E55,RiskPostcodeTable[],1,FALSE),0)&lt;&gt;0,"Yes","No"))</f>
        <v/>
      </c>
      <c r="Z55" s="934" t="str">
        <f t="shared" si="12"/>
        <v>Incomplete data</v>
      </c>
      <c r="AA55" s="935">
        <f t="shared" si="13"/>
        <v>0.6</v>
      </c>
      <c r="AB55" s="934" t="str">
        <f t="shared" si="14"/>
        <v>Incomplete data</v>
      </c>
      <c r="AC55" s="935">
        <f t="shared" si="15"/>
        <v>0.6</v>
      </c>
    </row>
    <row r="56" spans="1:29" ht="18.75" hidden="1" customHeight="1" x14ac:dyDescent="0.25">
      <c r="A56" s="552">
        <v>44</v>
      </c>
      <c r="B56" s="1337"/>
      <c r="C56" s="1339"/>
      <c r="D56" s="991"/>
      <c r="E56" s="626"/>
      <c r="F56" s="990" t="s">
        <v>9</v>
      </c>
      <c r="G56" s="626"/>
      <c r="H56" s="626"/>
      <c r="I56" s="990"/>
      <c r="J56" s="990"/>
      <c r="K56" s="625"/>
      <c r="L56" s="1344"/>
      <c r="M56" s="1341">
        <f>IFERROR(IF(AND(NOT(ISBLANK(G56)),NOT(ISBLANK(I56)),NOT(ISBLANK(J56)),OR(I56="No",NOT(ISBLANK(K56))),NOT(ISBLANK(L56))),IF(G56="Short term",IF(I56="Yes",L56,0),IF(I56="Yes",L56/K56*52,L56*VLOOKUP(J56,IncomeCycleData[],3,FALSE))),0),0)</f>
        <v>0</v>
      </c>
      <c r="N56" s="1344"/>
      <c r="O56" s="1342">
        <f>IFERROR(IF(AND(NOT(ISBLANK(I56)),NOT(ISBLANK(J56))),IF(I56="Yes",0,MAX(N56*VLOOKUP(J56,IncomeCycleData[],3,FALSE),IF(G56="Standard",M56*SDInvestmentPropertyExpenseFloor,0))),0),0)</f>
        <v>0</v>
      </c>
      <c r="P56" s="1343" t="str">
        <f t="shared" si="4"/>
        <v/>
      </c>
      <c r="Q56" s="1341">
        <f t="shared" si="5"/>
        <v>0</v>
      </c>
      <c r="R56" s="625"/>
      <c r="S56" s="1346"/>
      <c r="T56" s="1342">
        <f t="shared" si="9"/>
        <v>0</v>
      </c>
      <c r="U56" s="1343" t="str">
        <f t="shared" si="10"/>
        <v/>
      </c>
      <c r="V56" s="1341">
        <f t="shared" si="11"/>
        <v>0</v>
      </c>
      <c r="W56" s="25"/>
      <c r="X56" s="934" t="str">
        <f>IFERROR(IF(C56&gt;VLOOKUP(D56,StateTable[],2,FALSE),"Yes","No"),"")</f>
        <v/>
      </c>
      <c r="Y56" s="934" t="str">
        <f>IF(ISBLANK(E56),"",IF(IFERROR(VLOOKUP(1*E56,RiskPostcodeTable[],1,FALSE),0)&lt;&gt;0,"Yes","No"))</f>
        <v/>
      </c>
      <c r="Z56" s="934" t="str">
        <f t="shared" si="12"/>
        <v>Incomplete data</v>
      </c>
      <c r="AA56" s="935">
        <f t="shared" si="13"/>
        <v>0.6</v>
      </c>
      <c r="AB56" s="934" t="str">
        <f t="shared" si="14"/>
        <v>Incomplete data</v>
      </c>
      <c r="AC56" s="935">
        <f t="shared" si="15"/>
        <v>0.6</v>
      </c>
    </row>
    <row r="57" spans="1:29" ht="18.75" hidden="1" customHeight="1" x14ac:dyDescent="0.25">
      <c r="A57" s="552">
        <v>45</v>
      </c>
      <c r="B57" s="1337"/>
      <c r="C57" s="1339"/>
      <c r="D57" s="991"/>
      <c r="E57" s="626"/>
      <c r="F57" s="990" t="s">
        <v>9</v>
      </c>
      <c r="G57" s="626"/>
      <c r="H57" s="626"/>
      <c r="I57" s="990"/>
      <c r="J57" s="990"/>
      <c r="K57" s="625"/>
      <c r="L57" s="1344"/>
      <c r="M57" s="1341">
        <f>IFERROR(IF(AND(NOT(ISBLANK(G57)),NOT(ISBLANK(I57)),NOT(ISBLANK(J57)),OR(I57="No",NOT(ISBLANK(K57))),NOT(ISBLANK(L57))),IF(G57="Short term",IF(I57="Yes",L57,0),IF(I57="Yes",L57/K57*52,L57*VLOOKUP(J57,IncomeCycleData[],3,FALSE))),0),0)</f>
        <v>0</v>
      </c>
      <c r="N57" s="1344"/>
      <c r="O57" s="1342">
        <f>IFERROR(IF(AND(NOT(ISBLANK(I57)),NOT(ISBLANK(J57))),IF(I57="Yes",0,MAX(N57*VLOOKUP(J57,IncomeCycleData[],3,FALSE),IF(G57="Standard",M57*SDInvestmentPropertyExpenseFloor,0))),0),0)</f>
        <v>0</v>
      </c>
      <c r="P57" s="1343" t="str">
        <f t="shared" si="4"/>
        <v/>
      </c>
      <c r="Q57" s="1341">
        <f t="shared" si="5"/>
        <v>0</v>
      </c>
      <c r="R57" s="625"/>
      <c r="S57" s="1346"/>
      <c r="T57" s="1342">
        <f t="shared" si="9"/>
        <v>0</v>
      </c>
      <c r="U57" s="1343" t="str">
        <f t="shared" si="10"/>
        <v/>
      </c>
      <c r="V57" s="1341">
        <f t="shared" si="11"/>
        <v>0</v>
      </c>
      <c r="W57" s="25"/>
      <c r="X57" s="934" t="str">
        <f>IFERROR(IF(C57&gt;VLOOKUP(D57,StateTable[],2,FALSE),"Yes","No"),"")</f>
        <v/>
      </c>
      <c r="Y57" s="934" t="str">
        <f>IF(ISBLANK(E57),"",IF(IFERROR(VLOOKUP(1*E57,RiskPostcodeTable[],1,FALSE),0)&lt;&gt;0,"Yes","No"))</f>
        <v/>
      </c>
      <c r="Z57" s="934" t="str">
        <f t="shared" si="12"/>
        <v>Incomplete data</v>
      </c>
      <c r="AA57" s="935">
        <f t="shared" si="13"/>
        <v>0.6</v>
      </c>
      <c r="AB57" s="934" t="str">
        <f t="shared" si="14"/>
        <v>Incomplete data</v>
      </c>
      <c r="AC57" s="935">
        <f t="shared" si="15"/>
        <v>0.6</v>
      </c>
    </row>
    <row r="58" spans="1:29" ht="18.75" hidden="1" customHeight="1" x14ac:dyDescent="0.25">
      <c r="A58" s="552">
        <v>46</v>
      </c>
      <c r="B58" s="1337"/>
      <c r="C58" s="1339"/>
      <c r="D58" s="991"/>
      <c r="E58" s="626"/>
      <c r="F58" s="990" t="s">
        <v>9</v>
      </c>
      <c r="G58" s="626"/>
      <c r="H58" s="626"/>
      <c r="I58" s="990"/>
      <c r="J58" s="990"/>
      <c r="K58" s="625"/>
      <c r="L58" s="1344"/>
      <c r="M58" s="1341">
        <f>IFERROR(IF(AND(NOT(ISBLANK(G58)),NOT(ISBLANK(I58)),NOT(ISBLANK(J58)),OR(I58="No",NOT(ISBLANK(K58))),NOT(ISBLANK(L58))),IF(G58="Short term",IF(I58="Yes",L58,0),IF(I58="Yes",L58/K58*52,L58*VLOOKUP(J58,IncomeCycleData[],3,FALSE))),0),0)</f>
        <v>0</v>
      </c>
      <c r="N58" s="1344"/>
      <c r="O58" s="1342">
        <f>IFERROR(IF(AND(NOT(ISBLANK(I58)),NOT(ISBLANK(J58))),IF(I58="Yes",0,MAX(N58*VLOOKUP(J58,IncomeCycleData[],3,FALSE),IF(G58="Standard",M58*SDInvestmentPropertyExpenseFloor,0))),0),0)</f>
        <v>0</v>
      </c>
      <c r="P58" s="1343" t="str">
        <f t="shared" si="4"/>
        <v/>
      </c>
      <c r="Q58" s="1341">
        <f t="shared" si="5"/>
        <v>0</v>
      </c>
      <c r="R58" s="625"/>
      <c r="S58" s="1346"/>
      <c r="T58" s="1342">
        <f t="shared" si="9"/>
        <v>0</v>
      </c>
      <c r="U58" s="1343" t="str">
        <f t="shared" si="10"/>
        <v/>
      </c>
      <c r="V58" s="1341">
        <f t="shared" si="11"/>
        <v>0</v>
      </c>
      <c r="W58" s="25"/>
      <c r="X58" s="934" t="str">
        <f>IFERROR(IF(C58&gt;VLOOKUP(D58,StateTable[],2,FALSE),"Yes","No"),"")</f>
        <v/>
      </c>
      <c r="Y58" s="934" t="str">
        <f>IF(ISBLANK(E58),"",IF(IFERROR(VLOOKUP(1*E58,RiskPostcodeTable[],1,FALSE),0)&lt;&gt;0,"Yes","No"))</f>
        <v/>
      </c>
      <c r="Z58" s="934" t="str">
        <f t="shared" si="12"/>
        <v>Incomplete data</v>
      </c>
      <c r="AA58" s="935">
        <f t="shared" si="13"/>
        <v>0.6</v>
      </c>
      <c r="AB58" s="934" t="str">
        <f t="shared" si="14"/>
        <v>Incomplete data</v>
      </c>
      <c r="AC58" s="935">
        <f t="shared" si="15"/>
        <v>0.6</v>
      </c>
    </row>
    <row r="59" spans="1:29" ht="18.75" hidden="1" customHeight="1" x14ac:dyDescent="0.25">
      <c r="A59" s="552">
        <v>47</v>
      </c>
      <c r="B59" s="1337"/>
      <c r="C59" s="1339"/>
      <c r="D59" s="991"/>
      <c r="E59" s="626"/>
      <c r="F59" s="990" t="s">
        <v>9</v>
      </c>
      <c r="G59" s="626"/>
      <c r="H59" s="626"/>
      <c r="I59" s="990"/>
      <c r="J59" s="990"/>
      <c r="K59" s="625"/>
      <c r="L59" s="1344"/>
      <c r="M59" s="1341">
        <f>IFERROR(IF(AND(NOT(ISBLANK(G59)),NOT(ISBLANK(I59)),NOT(ISBLANK(J59)),OR(I59="No",NOT(ISBLANK(K59))),NOT(ISBLANK(L59))),IF(G59="Short term",IF(I59="Yes",L59,0),IF(I59="Yes",L59/K59*52,L59*VLOOKUP(J59,IncomeCycleData[],3,FALSE))),0),0)</f>
        <v>0</v>
      </c>
      <c r="N59" s="1344"/>
      <c r="O59" s="1342">
        <f>IFERROR(IF(AND(NOT(ISBLANK(I59)),NOT(ISBLANK(J59))),IF(I59="Yes",0,MAX(N59*VLOOKUP(J59,IncomeCycleData[],3,FALSE),IF(G59="Standard",M59*SDInvestmentPropertyExpenseFloor,0))),0),0)</f>
        <v>0</v>
      </c>
      <c r="P59" s="1343" t="str">
        <f t="shared" si="4"/>
        <v/>
      </c>
      <c r="Q59" s="1341">
        <f t="shared" si="5"/>
        <v>0</v>
      </c>
      <c r="R59" s="625"/>
      <c r="S59" s="1346"/>
      <c r="T59" s="1342">
        <f t="shared" si="9"/>
        <v>0</v>
      </c>
      <c r="U59" s="1343" t="str">
        <f t="shared" si="10"/>
        <v/>
      </c>
      <c r="V59" s="1341">
        <f t="shared" si="11"/>
        <v>0</v>
      </c>
      <c r="W59" s="25"/>
      <c r="X59" s="934" t="str">
        <f>IFERROR(IF(C59&gt;VLOOKUP(D59,StateTable[],2,FALSE),"Yes","No"),"")</f>
        <v/>
      </c>
      <c r="Y59" s="934" t="str">
        <f>IF(ISBLANK(E59),"",IF(IFERROR(VLOOKUP(1*E59,RiskPostcodeTable[],1,FALSE),0)&lt;&gt;0,"Yes","No"))</f>
        <v/>
      </c>
      <c r="Z59" s="934" t="str">
        <f t="shared" si="12"/>
        <v>Incomplete data</v>
      </c>
      <c r="AA59" s="935">
        <f t="shared" si="13"/>
        <v>0.6</v>
      </c>
      <c r="AB59" s="934" t="str">
        <f t="shared" si="14"/>
        <v>Incomplete data</v>
      </c>
      <c r="AC59" s="935">
        <f t="shared" si="15"/>
        <v>0.6</v>
      </c>
    </row>
    <row r="60" spans="1:29" ht="18.75" hidden="1" customHeight="1" x14ac:dyDescent="0.25">
      <c r="A60" s="552">
        <v>48</v>
      </c>
      <c r="B60" s="1337"/>
      <c r="C60" s="1339"/>
      <c r="D60" s="991"/>
      <c r="E60" s="626"/>
      <c r="F60" s="990" t="s">
        <v>9</v>
      </c>
      <c r="G60" s="626"/>
      <c r="H60" s="626"/>
      <c r="I60" s="990"/>
      <c r="J60" s="990"/>
      <c r="K60" s="625"/>
      <c r="L60" s="1344"/>
      <c r="M60" s="1341">
        <f>IFERROR(IF(AND(NOT(ISBLANK(G60)),NOT(ISBLANK(I60)),NOT(ISBLANK(J60)),OR(I60="No",NOT(ISBLANK(K60))),NOT(ISBLANK(L60))),IF(G60="Short term",IF(I60="Yes",L60,0),IF(I60="Yes",L60/K60*52,L60*VLOOKUP(J60,IncomeCycleData[],3,FALSE))),0),0)</f>
        <v>0</v>
      </c>
      <c r="N60" s="1344"/>
      <c r="O60" s="1342">
        <f>IFERROR(IF(AND(NOT(ISBLANK(I60)),NOT(ISBLANK(J60))),IF(I60="Yes",0,MAX(N60*VLOOKUP(J60,IncomeCycleData[],3,FALSE),IF(G60="Standard",M60*SDInvestmentPropertyExpenseFloor,0))),0),0)</f>
        <v>0</v>
      </c>
      <c r="P60" s="1343" t="str">
        <f t="shared" si="4"/>
        <v/>
      </c>
      <c r="Q60" s="1341">
        <f t="shared" si="5"/>
        <v>0</v>
      </c>
      <c r="R60" s="625"/>
      <c r="S60" s="1346"/>
      <c r="T60" s="1342">
        <f t="shared" si="9"/>
        <v>0</v>
      </c>
      <c r="U60" s="1343" t="str">
        <f t="shared" si="10"/>
        <v/>
      </c>
      <c r="V60" s="1341">
        <f t="shared" si="11"/>
        <v>0</v>
      </c>
      <c r="W60" s="25"/>
      <c r="X60" s="934" t="str">
        <f>IFERROR(IF(C60&gt;VLOOKUP(D60,StateTable[],2,FALSE),"Yes","No"),"")</f>
        <v/>
      </c>
      <c r="Y60" s="934" t="str">
        <f>IF(ISBLANK(E60),"",IF(IFERROR(VLOOKUP(1*E60,RiskPostcodeTable[],1,FALSE),0)&lt;&gt;0,"Yes","No"))</f>
        <v/>
      </c>
      <c r="Z60" s="934" t="str">
        <f t="shared" si="12"/>
        <v>Incomplete data</v>
      </c>
      <c r="AA60" s="935">
        <f t="shared" si="13"/>
        <v>0.6</v>
      </c>
      <c r="AB60" s="934" t="str">
        <f t="shared" si="14"/>
        <v>Incomplete data</v>
      </c>
      <c r="AC60" s="935">
        <f t="shared" si="15"/>
        <v>0.6</v>
      </c>
    </row>
    <row r="61" spans="1:29" ht="18.75" hidden="1" customHeight="1" x14ac:dyDescent="0.25">
      <c r="A61" s="552">
        <v>49</v>
      </c>
      <c r="B61" s="1337"/>
      <c r="C61" s="1339"/>
      <c r="D61" s="991"/>
      <c r="E61" s="626"/>
      <c r="F61" s="990" t="s">
        <v>9</v>
      </c>
      <c r="G61" s="626"/>
      <c r="H61" s="626"/>
      <c r="I61" s="990"/>
      <c r="J61" s="990"/>
      <c r="K61" s="625"/>
      <c r="L61" s="1344"/>
      <c r="M61" s="1341">
        <f>IFERROR(IF(AND(NOT(ISBLANK(G61)),NOT(ISBLANK(I61)),NOT(ISBLANK(J61)),OR(I61="No",NOT(ISBLANK(K61))),NOT(ISBLANK(L61))),IF(G61="Short term",IF(I61="Yes",L61,0),IF(I61="Yes",L61/K61*52,L61*VLOOKUP(J61,IncomeCycleData[],3,FALSE))),0),0)</f>
        <v>0</v>
      </c>
      <c r="N61" s="1344"/>
      <c r="O61" s="1342">
        <f>IFERROR(IF(AND(NOT(ISBLANK(I61)),NOT(ISBLANK(J61))),IF(I61="Yes",0,MAX(N61*VLOOKUP(J61,IncomeCycleData[],3,FALSE),IF(G61="Standard",M61*SDInvestmentPropertyExpenseFloor,0))),0),0)</f>
        <v>0</v>
      </c>
      <c r="P61" s="1343" t="str">
        <f t="shared" si="4"/>
        <v/>
      </c>
      <c r="Q61" s="1341">
        <f t="shared" si="5"/>
        <v>0</v>
      </c>
      <c r="R61" s="625"/>
      <c r="S61" s="1346"/>
      <c r="T61" s="1342">
        <f t="shared" si="9"/>
        <v>0</v>
      </c>
      <c r="U61" s="1343" t="str">
        <f t="shared" si="10"/>
        <v/>
      </c>
      <c r="V61" s="1341">
        <f t="shared" si="11"/>
        <v>0</v>
      </c>
      <c r="W61" s="25"/>
      <c r="X61" s="934" t="str">
        <f>IFERROR(IF(C61&gt;VLOOKUP(D61,StateTable[],2,FALSE),"Yes","No"),"")</f>
        <v/>
      </c>
      <c r="Y61" s="934" t="str">
        <f>IF(ISBLANK(E61),"",IF(IFERROR(VLOOKUP(1*E61,RiskPostcodeTable[],1,FALSE),0)&lt;&gt;0,"Yes","No"))</f>
        <v/>
      </c>
      <c r="Z61" s="934" t="str">
        <f t="shared" si="12"/>
        <v>Incomplete data</v>
      </c>
      <c r="AA61" s="935">
        <f t="shared" si="13"/>
        <v>0.6</v>
      </c>
      <c r="AB61" s="934" t="str">
        <f t="shared" si="14"/>
        <v>Incomplete data</v>
      </c>
      <c r="AC61" s="935">
        <f t="shared" si="15"/>
        <v>0.6</v>
      </c>
    </row>
    <row r="62" spans="1:29" ht="18.75" hidden="1" customHeight="1" x14ac:dyDescent="0.25">
      <c r="A62" s="552">
        <v>50</v>
      </c>
      <c r="B62" s="1337"/>
      <c r="C62" s="1339"/>
      <c r="D62" s="991"/>
      <c r="E62" s="626"/>
      <c r="F62" s="990" t="s">
        <v>9</v>
      </c>
      <c r="G62" s="626"/>
      <c r="H62" s="626"/>
      <c r="I62" s="990"/>
      <c r="J62" s="990"/>
      <c r="K62" s="625"/>
      <c r="L62" s="1344"/>
      <c r="M62" s="1341">
        <f>IFERROR(IF(AND(NOT(ISBLANK(G62)),NOT(ISBLANK(I62)),NOT(ISBLANK(J62)),OR(I62="No",NOT(ISBLANK(K62))),NOT(ISBLANK(L62))),IF(G62="Short term",IF(I62="Yes",L62,0),IF(I62="Yes",L62/K62*52,L62*VLOOKUP(J62,IncomeCycleData[],3,FALSE))),0),0)</f>
        <v>0</v>
      </c>
      <c r="N62" s="1344"/>
      <c r="O62" s="1342">
        <f>IFERROR(IF(AND(NOT(ISBLANK(I62)),NOT(ISBLANK(J62))),IF(I62="Yes",0,MAX(N62*VLOOKUP(J62,IncomeCycleData[],3,FALSE),IF(G62="Standard",M62*SDInvestmentPropertyExpenseFloor,0))),0),0)</f>
        <v>0</v>
      </c>
      <c r="P62" s="1343" t="str">
        <f t="shared" si="4"/>
        <v/>
      </c>
      <c r="Q62" s="1341">
        <f t="shared" si="5"/>
        <v>0</v>
      </c>
      <c r="R62" s="625"/>
      <c r="S62" s="1346"/>
      <c r="T62" s="1342">
        <f t="shared" si="9"/>
        <v>0</v>
      </c>
      <c r="U62" s="1343" t="str">
        <f t="shared" si="10"/>
        <v/>
      </c>
      <c r="V62" s="1341">
        <f t="shared" si="11"/>
        <v>0</v>
      </c>
      <c r="W62" s="25"/>
      <c r="X62" s="934" t="str">
        <f>IFERROR(IF(C62&gt;VLOOKUP(D62,StateTable[],2,FALSE),"Yes","No"),"")</f>
        <v/>
      </c>
      <c r="Y62" s="934" t="str">
        <f>IF(ISBLANK(E62),"",IF(IFERROR(VLOOKUP(1*E62,RiskPostcodeTable[],1,FALSE),0)&lt;&gt;0,"Yes","No"))</f>
        <v/>
      </c>
      <c r="Z62" s="934" t="str">
        <f t="shared" si="12"/>
        <v>Incomplete data</v>
      </c>
      <c r="AA62" s="935">
        <f t="shared" si="13"/>
        <v>0.6</v>
      </c>
      <c r="AB62" s="934" t="str">
        <f t="shared" si="14"/>
        <v>Incomplete data</v>
      </c>
      <c r="AC62" s="935">
        <f t="shared" si="15"/>
        <v>0.6</v>
      </c>
    </row>
    <row r="63" spans="1:29" ht="7.5" customHeight="1" x14ac:dyDescent="0.25">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row>
    <row r="64" spans="1:29" ht="18.75" customHeight="1" x14ac:dyDescent="0.25">
      <c r="A64" s="25"/>
      <c r="B64" s="25"/>
      <c r="C64" s="25"/>
      <c r="D64" s="168">
        <f>SUBTOTAL(102,A13:A62)</f>
        <v>5</v>
      </c>
      <c r="E64" s="25"/>
      <c r="F64" s="25"/>
      <c r="G64" s="25"/>
      <c r="H64" s="25"/>
      <c r="I64" s="25"/>
      <c r="J64" s="25"/>
      <c r="K64" s="25"/>
      <c r="L64" s="25"/>
      <c r="M64" s="25"/>
      <c r="N64" s="25"/>
      <c r="O64" s="25"/>
      <c r="P64" s="627" t="s">
        <v>962</v>
      </c>
      <c r="Q64" s="1341">
        <f>SUM(Q13:Q62)</f>
        <v>0</v>
      </c>
      <c r="R64" s="25"/>
      <c r="S64" s="25"/>
      <c r="T64" s="25"/>
      <c r="U64" s="627" t="s">
        <v>963</v>
      </c>
      <c r="V64" s="1341">
        <f>SUM(V13:V62)</f>
        <v>0</v>
      </c>
      <c r="W64" s="25"/>
      <c r="X64" s="25"/>
      <c r="Y64" s="25"/>
      <c r="Z64" s="25"/>
      <c r="AA64" s="25"/>
      <c r="AB64" s="25"/>
      <c r="AC64" s="25"/>
    </row>
    <row r="65" spans="1:29" ht="12.5" x14ac:dyDescent="0.25">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c r="AA65" s="25"/>
      <c r="AB65" s="25"/>
      <c r="AC65" s="25"/>
    </row>
  </sheetData>
  <sheetProtection algorithmName="SHA-512" hashValue="VuBpEsv/bkUIiHc4VLP8QLIHNvluddIlBrGUphgwgf4ESvm1KUjTnpeh0Q1ZH/pjlEk6uZ8G51OIqxEOgiwm4w==" saltValue="TL6KXMI8Igd6Byk7V4/qVQ==" spinCount="100000" sheet="1" objects="1" scenarios="1" selectLockedCells="1"/>
  <mergeCells count="3">
    <mergeCell ref="R11:V11"/>
    <mergeCell ref="K11:Q11"/>
    <mergeCell ref="B7:C7"/>
  </mergeCells>
  <conditionalFormatting sqref="J13:J62">
    <cfRule type="expression" dxfId="118" priority="2">
      <formula>$G13="Short term"</formula>
    </cfRule>
  </conditionalFormatting>
  <conditionalFormatting sqref="K13:K62 R13:S62">
    <cfRule type="expression" dxfId="117" priority="2026">
      <formula>$I13="No"</formula>
    </cfRule>
  </conditionalFormatting>
  <conditionalFormatting sqref="L13:L62">
    <cfRule type="expression" dxfId="116" priority="2151">
      <formula>AND($I13="No",$G13="Short term")</formula>
    </cfRule>
  </conditionalFormatting>
  <conditionalFormatting sqref="J13:J62 N13:N62">
    <cfRule type="expression" dxfId="115" priority="3">
      <formula>$I13="Yes"</formula>
    </cfRule>
  </conditionalFormatting>
  <dataValidations count="8">
    <dataValidation type="list" allowBlank="1" showInputMessage="1" showErrorMessage="1" sqref="J14:J62 J13" xr:uid="{E24A9990-EF74-4E06-9DDC-0B723912B363}">
      <formula1>INDIRECT("IncomeCycleData[IncomeCycle]")</formula1>
    </dataValidation>
    <dataValidation type="list" allowBlank="1" showInputMessage="1" showErrorMessage="1" sqref="J13" xr:uid="{A4AB6C55-CF40-45C8-BFDC-190E80B0AB83}">
      <formula1>"80%,60%,0%"</formula1>
    </dataValidation>
    <dataValidation type="list" allowBlank="1" showInputMessage="1" showErrorMessage="1" sqref="D13:D62" xr:uid="{30FCB0BB-4D7F-4E51-8D99-28DC01097ABB}">
      <formula1>INDIRECT("SEStateTable[StateCode]")</formula1>
    </dataValidation>
    <dataValidation type="whole" allowBlank="1" showInputMessage="1" showErrorMessage="1" errorTitle="Invalid number of weeks" error="Please enter the number of weeks that the property was rented. This must be a whole number between 1 and 52." sqref="R13:R62" xr:uid="{808BF0BB-DCA1-4633-B76A-D14633B33CCE}">
      <formula1>1</formula1>
      <formula2>52</formula2>
    </dataValidation>
    <dataValidation type="decimal" operator="greaterThanOrEqual" allowBlank="1" showInputMessage="1" showErrorMessage="1" sqref="C13:C62 S13:S62 M13:M62" xr:uid="{A9967327-F379-4407-B486-BBBC4B4FBE87}">
      <formula1>0</formula1>
    </dataValidation>
    <dataValidation type="list" allowBlank="1" showInputMessage="1" showErrorMessage="1" sqref="F13:F62 I13:I62" xr:uid="{CA0F4281-C388-4E87-94F2-2B5367CD872D}">
      <formula1>"Yes,No"</formula1>
    </dataValidation>
    <dataValidation type="list" allowBlank="1" showInputMessage="1" showErrorMessage="1" sqref="G13:G62" xr:uid="{FC996CB1-585E-447B-8413-E663EA1C366C}">
      <formula1>"Standard, Short term"</formula1>
    </dataValidation>
    <dataValidation type="list" allowBlank="1" showInputMessage="1" showErrorMessage="1" sqref="H13:H62" xr:uid="{B40E2737-90C3-4526-A061-A28971F4A574}">
      <formula1>"Residential, Commercial"</formula1>
    </dataValidation>
  </dataValidations>
  <pageMargins left="0.25" right="0.25" top="0.75" bottom="0.75" header="0.3" footer="0.3"/>
  <pageSetup paperSize="9" scale="36"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stopIfTrue="1" id="{2BFF4664-33FC-4011-9EC1-FEC9D55C907D}">
            <xm:f>AND(SEBAssessmentType="Latest year",'Self-employed Business'!$X$33=FALSE)</xm:f>
            <x14:dxf>
              <fill>
                <patternFill>
                  <bgColor theme="2"/>
                </patternFill>
              </fill>
            </x14:dxf>
          </x14:cfRule>
          <xm:sqref>R13:S62</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A006-487D-4F4C-90DC-210A142F46C0}">
  <sheetPr codeName="shOtherIncome">
    <pageSetUpPr fitToPage="1"/>
  </sheetPr>
  <dimension ref="A4:Z31"/>
  <sheetViews>
    <sheetView showGridLines="0" showRowColHeaders="0" zoomScaleNormal="100" workbookViewId="0">
      <selection activeCell="F14" sqref="F14"/>
    </sheetView>
  </sheetViews>
  <sheetFormatPr defaultColWidth="12.81640625" defaultRowHeight="16" customHeight="1" x14ac:dyDescent="0.25"/>
  <cols>
    <col min="1" max="1" width="2.81640625" customWidth="1"/>
    <col min="2" max="2" width="10.7265625" customWidth="1"/>
    <col min="3" max="3" width="36.54296875" customWidth="1"/>
    <col min="4" max="4" width="2.81640625" customWidth="1"/>
    <col min="5" max="9" width="18.54296875" customWidth="1"/>
    <col min="10" max="11" width="18.54296875" hidden="1" customWidth="1"/>
    <col min="12" max="12" width="18.54296875" customWidth="1"/>
    <col min="13" max="13" width="2.81640625" customWidth="1"/>
    <col min="14" max="15" width="18.54296875" hidden="1" customWidth="1"/>
    <col min="16" max="16" width="19.453125" hidden="1" customWidth="1"/>
    <col min="17" max="26" width="12.81640625" hidden="1" customWidth="1"/>
  </cols>
  <sheetData>
    <row r="4" spans="1:17" ht="30" customHeight="1" x14ac:dyDescent="0.25">
      <c r="A4" s="89"/>
      <c r="B4" s="1702" t="s">
        <v>303</v>
      </c>
      <c r="C4" s="1702"/>
      <c r="D4" s="1702"/>
      <c r="E4" s="1702"/>
      <c r="F4" s="1702"/>
      <c r="G4" s="115"/>
      <c r="H4" s="115"/>
      <c r="I4" s="115"/>
      <c r="J4" s="115"/>
      <c r="K4" s="115"/>
      <c r="L4" s="115"/>
      <c r="M4" s="115"/>
      <c r="N4" s="115"/>
      <c r="O4" s="115"/>
      <c r="P4" s="115"/>
    </row>
    <row r="5" spans="1:17" ht="7.5" customHeight="1" x14ac:dyDescent="0.25">
      <c r="A5" s="89"/>
      <c r="B5" s="108"/>
      <c r="C5" s="108"/>
      <c r="D5" s="108"/>
      <c r="E5" s="108"/>
      <c r="F5" s="108"/>
      <c r="G5" s="108"/>
      <c r="H5" s="108"/>
      <c r="I5" s="108"/>
      <c r="J5" s="108"/>
      <c r="K5" s="108"/>
      <c r="L5" s="108"/>
      <c r="M5" s="108"/>
      <c r="N5" s="108"/>
      <c r="O5" s="108"/>
      <c r="P5" s="108"/>
    </row>
    <row r="6" spans="1:17" ht="15" customHeight="1" x14ac:dyDescent="0.25">
      <c r="A6" s="89"/>
      <c r="B6" s="846" t="s">
        <v>252</v>
      </c>
      <c r="C6" s="848"/>
      <c r="D6" s="849"/>
      <c r="H6" s="168">
        <v>1</v>
      </c>
      <c r="I6" s="169"/>
    </row>
    <row r="7" spans="1:17" ht="15" customHeight="1" x14ac:dyDescent="0.25">
      <c r="A7" s="89"/>
      <c r="B7" s="1698" t="str" cm="1">
        <f t="array" aca="1" ref="B7" ca="1">IFERROR(INDIRECT("SCAApp" &amp; OICApplicantID &amp; "Name") &amp; IF(OICSpouseIncomeFlag="Yes"," - non-applicant spouse",""),"")</f>
        <v/>
      </c>
      <c r="C7" s="1703"/>
      <c r="D7" s="1699"/>
      <c r="H7" s="169" t="s">
        <v>659</v>
      </c>
      <c r="I7" s="169" t="s">
        <v>9</v>
      </c>
    </row>
    <row r="8" spans="1:17" ht="7.5" customHeight="1" x14ac:dyDescent="0.25">
      <c r="A8" s="89"/>
      <c r="B8" s="327"/>
      <c r="C8" s="328"/>
      <c r="D8" s="328"/>
      <c r="E8" s="328"/>
      <c r="F8" s="329"/>
      <c r="G8" s="327"/>
      <c r="H8" s="327"/>
      <c r="I8" s="330"/>
      <c r="J8" s="330"/>
      <c r="K8" s="330"/>
      <c r="L8" s="331"/>
    </row>
    <row r="9" spans="1:17" ht="22.5" customHeight="1" x14ac:dyDescent="0.25">
      <c r="A9" s="332"/>
      <c r="B9" s="338" t="s">
        <v>457</v>
      </c>
      <c r="C9" s="333"/>
      <c r="D9" s="333"/>
      <c r="E9" s="333"/>
      <c r="F9" s="334"/>
      <c r="G9" s="335"/>
      <c r="H9" s="335"/>
      <c r="I9" s="336"/>
      <c r="J9" s="336"/>
      <c r="K9" s="336"/>
      <c r="L9" s="337"/>
      <c r="M9" s="156"/>
    </row>
    <row r="10" spans="1:17" ht="7.5" customHeight="1" x14ac:dyDescent="0.4">
      <c r="A10" s="9"/>
      <c r="B10" s="8"/>
      <c r="C10" s="8"/>
      <c r="D10" s="90"/>
      <c r="E10" s="90"/>
      <c r="F10" s="90"/>
      <c r="G10" s="90"/>
      <c r="H10" s="90"/>
      <c r="I10" s="90"/>
      <c r="J10" s="11"/>
      <c r="K10" s="11"/>
      <c r="L10" s="11"/>
      <c r="M10" s="11"/>
      <c r="N10" s="11"/>
      <c r="O10" s="11"/>
      <c r="P10" s="11"/>
    </row>
    <row r="11" spans="1:17" ht="15" customHeight="1" x14ac:dyDescent="0.25">
      <c r="B11" s="84"/>
      <c r="C11" s="84"/>
      <c r="D11" s="84"/>
      <c r="E11" s="84"/>
      <c r="F11" s="341" t="s">
        <v>307</v>
      </c>
      <c r="G11" s="342"/>
      <c r="H11" s="341" t="s">
        <v>298</v>
      </c>
      <c r="I11" s="342"/>
      <c r="J11" s="343" t="s">
        <v>307</v>
      </c>
      <c r="K11" s="343" t="s">
        <v>298</v>
      </c>
      <c r="L11" s="343" t="s">
        <v>312</v>
      </c>
      <c r="M11" s="112"/>
      <c r="N11" s="530" t="s">
        <v>298</v>
      </c>
      <c r="O11" s="530" t="s">
        <v>307</v>
      </c>
      <c r="P11" s="398"/>
    </row>
    <row r="12" spans="1:17" ht="15" customHeight="1" x14ac:dyDescent="0.25">
      <c r="A12" s="9"/>
      <c r="B12" s="553" t="s">
        <v>304</v>
      </c>
      <c r="C12" s="97"/>
      <c r="D12" s="111"/>
      <c r="E12" s="344" t="s">
        <v>306</v>
      </c>
      <c r="F12" s="344" t="s">
        <v>55</v>
      </c>
      <c r="G12" s="344" t="s">
        <v>309</v>
      </c>
      <c r="H12" s="344" t="s">
        <v>55</v>
      </c>
      <c r="I12" s="344" t="s">
        <v>309</v>
      </c>
      <c r="J12" s="344" t="s">
        <v>310</v>
      </c>
      <c r="K12" s="345" t="s">
        <v>310</v>
      </c>
      <c r="L12" s="344"/>
      <c r="M12" s="110"/>
      <c r="N12" s="526" t="s">
        <v>312</v>
      </c>
      <c r="O12" s="527" t="s">
        <v>312</v>
      </c>
      <c r="P12" s="527" t="s">
        <v>811</v>
      </c>
      <c r="Q12" s="398" t="s">
        <v>2121</v>
      </c>
    </row>
    <row r="13" spans="1:17" ht="7.5" customHeight="1" x14ac:dyDescent="0.25">
      <c r="A13" s="50"/>
      <c r="B13" s="340"/>
      <c r="C13" s="26"/>
      <c r="D13" s="26"/>
      <c r="E13" s="26"/>
      <c r="F13" s="26"/>
      <c r="G13" s="26"/>
      <c r="H13" s="26"/>
      <c r="I13" s="26"/>
      <c r="J13" s="50"/>
      <c r="K13" s="50"/>
      <c r="M13" s="50"/>
      <c r="N13" s="531"/>
      <c r="O13" s="531"/>
      <c r="P13" s="531"/>
    </row>
    <row r="14" spans="1:17" ht="18.75" customHeight="1" x14ac:dyDescent="0.25">
      <c r="A14" s="50"/>
      <c r="B14" s="375" t="s">
        <v>1303</v>
      </c>
      <c r="C14" s="323"/>
      <c r="D14" s="323"/>
      <c r="E14" s="1353" t="s">
        <v>5</v>
      </c>
      <c r="F14" s="1347"/>
      <c r="G14" s="1328"/>
      <c r="H14" s="1348"/>
      <c r="I14" s="1349"/>
      <c r="J14" s="1350"/>
      <c r="K14" s="1351"/>
      <c r="L14" s="1352">
        <f>IF(P14,IFERROR(G14*VLOOKUP(F14,IncomeCycleData[],3,FALSE),0),0)</f>
        <v>0</v>
      </c>
      <c r="M14" s="50"/>
      <c r="N14" s="528"/>
      <c r="O14" s="528"/>
      <c r="P14" s="398" t="b">
        <f>AND(NOT(ISBLANK(F14)),NOT(ISBLANK(G14)))</f>
        <v>0</v>
      </c>
      <c r="Q14" s="619"/>
    </row>
    <row r="15" spans="1:17" ht="18.75" customHeight="1" x14ac:dyDescent="0.25">
      <c r="A15" s="50"/>
      <c r="B15" s="375" t="s">
        <v>1613</v>
      </c>
      <c r="C15" s="323"/>
      <c r="D15" s="323"/>
      <c r="E15" s="1353" t="s">
        <v>5</v>
      </c>
      <c r="F15" s="1347"/>
      <c r="G15" s="1328"/>
      <c r="H15" s="1348"/>
      <c r="I15" s="1349"/>
      <c r="J15" s="1350"/>
      <c r="K15" s="1351"/>
      <c r="L15" s="1352">
        <f>IF(P15,IFERROR(SUM(OICDividendLY,OICAssessedFrankingCredit)*VLOOKUP(OICDividendFrequencyLY,IncomeCycleData[],3,FALSE),0),0)</f>
        <v>0</v>
      </c>
      <c r="M15" s="50"/>
      <c r="N15" s="528"/>
      <c r="O15" s="528"/>
      <c r="P15" s="398" t="b">
        <f>AND(NOT(ISBLANK(OICDividendFrequencyLY)),NOT(ISBLANK(OICDividendLY)))</f>
        <v>0</v>
      </c>
      <c r="Q15" s="619">
        <f>MIN(--OICFrankingCreditLY,(OICDividendLY/(1-SDCompanyTaxRate))-OICDividendLY)</f>
        <v>0</v>
      </c>
    </row>
    <row r="16" spans="1:17" ht="18.75" customHeight="1" x14ac:dyDescent="0.25">
      <c r="A16" s="50"/>
      <c r="B16" s="1115" t="s">
        <v>1614</v>
      </c>
      <c r="C16" s="375"/>
      <c r="D16" s="323"/>
      <c r="E16" s="1353"/>
      <c r="F16" s="1353" t="str">
        <f>IF(ISBLANK(OICDividendFrequencyLY),"",OICDividendFrequencyLY)</f>
        <v/>
      </c>
      <c r="G16" s="1328"/>
      <c r="H16" s="1354" t="str">
        <f>IF(OICFrankingCreditLY&gt;OICAssessedFrankingCredit," The franking credit amount has been capped based on the dividend.","")</f>
        <v/>
      </c>
      <c r="I16" s="1355"/>
      <c r="J16" s="1356"/>
      <c r="K16" s="1356"/>
      <c r="L16" s="1357"/>
      <c r="M16" s="50"/>
      <c r="N16" s="528"/>
      <c r="O16" s="528"/>
      <c r="P16" s="398"/>
    </row>
    <row r="17" spans="1:16" ht="18.75" customHeight="1" x14ac:dyDescent="0.25">
      <c r="A17" s="50"/>
      <c r="B17" s="375" t="s">
        <v>305</v>
      </c>
      <c r="C17" s="323"/>
      <c r="D17" s="324"/>
      <c r="E17" s="1347"/>
      <c r="F17" s="1347"/>
      <c r="G17" s="1328"/>
      <c r="H17" s="1358"/>
      <c r="I17" s="1359"/>
      <c r="J17" s="1441"/>
      <c r="K17" s="1440"/>
      <c r="L17" s="1360">
        <f>IF(P17,IF(O17&gt;N17,AVERAGE(O17,N17),O17),0)</f>
        <v>0</v>
      </c>
      <c r="M17" s="1128"/>
      <c r="N17" s="528">
        <f>IFERROR(IF(E17="Concessional",K17,I17)*VLOOKUP(H17,IncomeCycleData[],3,FALSE),0)</f>
        <v>0</v>
      </c>
      <c r="O17" s="528">
        <f>IFERROR(IF(E17="Concessional",J17,G17)*VLOOKUP(F17,IncomeCycleData[],3,FALSE),0)</f>
        <v>0</v>
      </c>
      <c r="P17" s="398" t="b">
        <f>AND(NOT(ISBLANK(OICSelfManagedSuperFundTaxTreatment)),NOT(ISBLANK(OICSelfManagedSuperFundFrequencyPY)),NOT(ISBLANK(OICSelfManagedSuperFundPY)),NOT(ISBLANK(OICSelfManagedSuperFundFrequencyLY)),NOT(ISBLANK(OICSelfManagedSuperFundLY)),IF(OICSelfManagedSuperFundTaxTreatment="Concessional",AND(NOT(ISBLANK(OICSelfManagedSuperFundNetPY)),NOT(ISBLANK(OICSelfManagedSuperFundNetLY))),TRUE))</f>
        <v>0</v>
      </c>
    </row>
    <row r="18" spans="1:16" ht="18.75" customHeight="1" x14ac:dyDescent="0.25">
      <c r="A18" s="50"/>
      <c r="B18" s="375" t="s">
        <v>311</v>
      </c>
      <c r="C18" s="323"/>
      <c r="D18" s="324"/>
      <c r="E18" s="1347"/>
      <c r="F18" s="1347"/>
      <c r="G18" s="1328"/>
      <c r="H18" s="1361"/>
      <c r="I18" s="1362"/>
      <c r="J18" s="1442"/>
      <c r="K18" s="1342"/>
      <c r="L18" s="1293">
        <f>IFERROR(IF(P18,IF(E18="Concessional",J18,G18)*VLOOKUP(F18,IncomeCycleData[],3,FALSE),0),0)</f>
        <v>0</v>
      </c>
      <c r="M18" s="1128"/>
      <c r="N18" s="532"/>
      <c r="O18" s="529"/>
      <c r="P18" s="398" t="b">
        <f>AND(NOT(ISBLANK(OICInvestmentTaxTreatment)),NOT(ISBLANK(OICInvestmentFrequencyLY)),NOT(ISBLANK(OICInvestmentLY)),IF(OICInvestmentTaxTreatment="Concessional",NOT(ISBLANK(OICInvestmentNetLY)),TRUE))</f>
        <v>0</v>
      </c>
    </row>
    <row r="19" spans="1:16" ht="18.75" customHeight="1" x14ac:dyDescent="0.25">
      <c r="A19" s="50"/>
      <c r="B19" s="375" t="s">
        <v>449</v>
      </c>
      <c r="C19" s="325"/>
      <c r="D19" s="326"/>
      <c r="E19" s="1347"/>
      <c r="F19" s="1347"/>
      <c r="G19" s="1328"/>
      <c r="H19" s="1361"/>
      <c r="I19" s="1355"/>
      <c r="J19" s="1363"/>
      <c r="K19" s="1364"/>
      <c r="L19" s="1293">
        <f>IFERROR(G19*VLOOKUP(F19,IncomeCycleData[],3,FALSE),0)</f>
        <v>0</v>
      </c>
      <c r="M19" s="50"/>
      <c r="N19" s="532"/>
      <c r="O19" s="529"/>
      <c r="P19" s="398"/>
    </row>
    <row r="20" spans="1:16" ht="18.75" customHeight="1" x14ac:dyDescent="0.25">
      <c r="A20" s="50"/>
      <c r="B20" s="375" t="s">
        <v>2357</v>
      </c>
      <c r="C20" s="325"/>
      <c r="D20" s="326"/>
      <c r="E20" s="1353" t="s">
        <v>5</v>
      </c>
      <c r="F20" s="1353" t="s">
        <v>738</v>
      </c>
      <c r="G20" s="1328"/>
      <c r="H20" s="1361"/>
      <c r="I20" s="1355"/>
      <c r="J20" s="1363"/>
      <c r="K20" s="1364"/>
      <c r="L20" s="1293">
        <f>G20</f>
        <v>0</v>
      </c>
      <c r="M20" s="50"/>
      <c r="N20" s="532"/>
      <c r="O20" s="529"/>
      <c r="P20" s="398"/>
    </row>
    <row r="21" spans="1:16" ht="18.75" customHeight="1" x14ac:dyDescent="0.25">
      <c r="A21" s="50"/>
      <c r="B21" s="375" t="s">
        <v>448</v>
      </c>
      <c r="C21" s="323"/>
      <c r="D21" s="324"/>
      <c r="E21" s="1353" t="s">
        <v>308</v>
      </c>
      <c r="F21" s="1347"/>
      <c r="G21" s="1328"/>
      <c r="H21" s="1361"/>
      <c r="I21" s="1355"/>
      <c r="J21" s="1356"/>
      <c r="K21" s="1365"/>
      <c r="L21" s="1293">
        <f>IFERROR(G21*VLOOKUP(F21,IncomeCycleData[],3,FALSE),0)</f>
        <v>0</v>
      </c>
      <c r="M21" s="50"/>
      <c r="N21" s="528"/>
      <c r="O21" s="528"/>
      <c r="P21" s="398"/>
    </row>
    <row r="22" spans="1:16" ht="18.75" customHeight="1" x14ac:dyDescent="0.25">
      <c r="A22" s="50"/>
      <c r="B22" s="375" t="s">
        <v>800</v>
      </c>
      <c r="C22" s="325"/>
      <c r="D22" s="326"/>
      <c r="E22" s="1353" t="s">
        <v>308</v>
      </c>
      <c r="F22" s="1347"/>
      <c r="G22" s="1328"/>
      <c r="H22" s="1361"/>
      <c r="I22" s="1355"/>
      <c r="J22" s="1363"/>
      <c r="K22" s="1364"/>
      <c r="L22" s="1293">
        <f>IFERROR(G22*VLOOKUP(F22,IncomeCycleData[],3,FALSE),0)</f>
        <v>0</v>
      </c>
      <c r="M22" s="50"/>
      <c r="N22" s="532"/>
      <c r="O22" s="529"/>
      <c r="P22" s="398"/>
    </row>
    <row r="23" spans="1:16" ht="18.75" customHeight="1" x14ac:dyDescent="0.25">
      <c r="A23" s="50"/>
      <c r="B23" s="375" t="s">
        <v>284</v>
      </c>
      <c r="C23" s="325"/>
      <c r="D23" s="326"/>
      <c r="E23" s="1353" t="s">
        <v>308</v>
      </c>
      <c r="F23" s="1347"/>
      <c r="G23" s="1328"/>
      <c r="H23" s="1361"/>
      <c r="I23" s="1355"/>
      <c r="J23" s="1363"/>
      <c r="K23" s="1364"/>
      <c r="L23" s="1293">
        <f>IFERROR(G23*VLOOKUP(F23,IncomeCycleData[],3,FALSE),0)</f>
        <v>0</v>
      </c>
      <c r="M23" s="50"/>
      <c r="N23" s="532"/>
      <c r="O23" s="529"/>
    </row>
    <row r="24" spans="1:16" ht="18.75" customHeight="1" x14ac:dyDescent="0.25">
      <c r="A24" s="50"/>
      <c r="B24" s="375" t="s">
        <v>823</v>
      </c>
      <c r="C24" s="325"/>
      <c r="D24" s="326"/>
      <c r="E24" s="1353" t="s">
        <v>308</v>
      </c>
      <c r="F24" s="1347"/>
      <c r="G24" s="1328"/>
      <c r="H24" s="1361"/>
      <c r="I24" s="1355"/>
      <c r="J24" s="1355"/>
      <c r="K24" s="1364"/>
      <c r="L24" s="1293">
        <f>IF(P24,IFERROR(G24*VLOOKUP(F24,IncomeCycleData[],3,FALSE),0),0)</f>
        <v>0</v>
      </c>
      <c r="M24" s="50"/>
      <c r="N24" s="532"/>
      <c r="O24" s="529"/>
      <c r="P24" s="398" t="b">
        <f>AND(NOT(ISBLANK(OICFamilyTaxBenefitAFrequencyLY)),NOT(ISBLANK(OICFamilyTaxBenefitALY)),NOT(ISBLANK(OICFamilyTaxBenefitDependantsUnder8)),NOT(ISBLANK(OICFamilyTaxBenefitDependantsUnder11)),OICFamilyTaxBenefitDependantsUnder8&lt;=OICFamilyTaxBenefitDependantsUnder11)</f>
        <v>0</v>
      </c>
    </row>
    <row r="25" spans="1:16" ht="18.75" customHeight="1" x14ac:dyDescent="0.25">
      <c r="A25" s="50"/>
      <c r="B25" s="375" t="s">
        <v>824</v>
      </c>
      <c r="C25" s="325"/>
      <c r="D25" s="326"/>
      <c r="E25" s="1353" t="s">
        <v>308</v>
      </c>
      <c r="F25" s="1347"/>
      <c r="G25" s="1328"/>
      <c r="H25" s="1361"/>
      <c r="I25" s="1355"/>
      <c r="J25" s="1355"/>
      <c r="K25" s="1364"/>
      <c r="L25" s="1293">
        <f>IF(P25,IFERROR(G25*VLOOKUP(F25,IncomeCycleData[],3,FALSE),0),0)</f>
        <v>0</v>
      </c>
      <c r="M25" s="50"/>
      <c r="N25" s="532"/>
      <c r="O25" s="529"/>
      <c r="P25" s="398" t="b">
        <f>AND(NOT(ISBLANK(OICFamilyTaxBenefitBFrequencyLY)),NOT(ISBLANK(OICFamilyTaxBenefitBLY)),NOT(ISBLANK(OICFamilyTaxBenefitDependantsUnder8)),NOT(ISBLANK(OICFamilyTaxBenefitDependantsUnder11)),OICFamilyTaxBenefitDependantsUnder8&lt;=OICFamilyTaxBenefitDependantsUnder11)</f>
        <v>0</v>
      </c>
    </row>
    <row r="26" spans="1:16" ht="7.5" customHeight="1" x14ac:dyDescent="0.25">
      <c r="A26" s="8"/>
      <c r="B26" s="8"/>
      <c r="C26" s="8"/>
      <c r="D26" s="8"/>
      <c r="E26" s="8"/>
      <c r="F26" s="8"/>
      <c r="G26" s="8"/>
      <c r="H26" s="8"/>
      <c r="I26" s="8"/>
      <c r="K26" s="8"/>
      <c r="L26" s="8"/>
      <c r="M26" s="8"/>
      <c r="N26" s="8"/>
      <c r="O26" s="8"/>
      <c r="P26" s="8"/>
    </row>
    <row r="27" spans="1:16" ht="16" hidden="1" customHeight="1" x14ac:dyDescent="0.25">
      <c r="B27" s="339" t="s">
        <v>833</v>
      </c>
      <c r="E27" s="344" t="s">
        <v>24</v>
      </c>
    </row>
    <row r="28" spans="1:16" ht="7.5" hidden="1" customHeight="1" x14ac:dyDescent="0.25">
      <c r="B28" s="274"/>
      <c r="E28" s="345"/>
    </row>
    <row r="29" spans="1:16" ht="18.75" hidden="1" customHeight="1" x14ac:dyDescent="0.25">
      <c r="B29" s="375" t="s">
        <v>827</v>
      </c>
      <c r="C29" s="325"/>
      <c r="D29" s="326"/>
      <c r="E29" s="559"/>
    </row>
    <row r="30" spans="1:16" ht="18.75" hidden="1" customHeight="1" x14ac:dyDescent="0.25">
      <c r="B30" s="375" t="s">
        <v>828</v>
      </c>
      <c r="C30" s="325"/>
      <c r="D30" s="326"/>
      <c r="E30" s="559"/>
      <c r="G30" s="411" t="s">
        <v>1605</v>
      </c>
      <c r="H30" s="1066"/>
      <c r="I30" s="1066"/>
      <c r="J30" s="1066"/>
      <c r="K30" s="1066"/>
      <c r="L30" s="1066"/>
    </row>
    <row r="31" spans="1:16" ht="18.75" hidden="1" customHeight="1" x14ac:dyDescent="0.25">
      <c r="B31" s="1704"/>
      <c r="C31" s="1704"/>
    </row>
  </sheetData>
  <sheetProtection algorithmName="SHA-512" hashValue="nkCKsvi2THksrKu2iV0fqwJdfGbfXNWjGnhlW3/y0/Pve3q2gSd5XMbTetdXShg3Ex1MHudVlzG2H+T7pSnBMw==" saltValue="icZXeGH52r4M1+bVOyHmCw==" spinCount="100000" sheet="1" objects="1" scenarios="1" selectLockedCells="1"/>
  <dataConsolidate link="1"/>
  <mergeCells count="3">
    <mergeCell ref="B4:F4"/>
    <mergeCell ref="B7:D7"/>
    <mergeCell ref="B31:C31"/>
  </mergeCells>
  <conditionalFormatting sqref="J17:K17">
    <cfRule type="expression" dxfId="113" priority="9">
      <formula>$E$17="Concessional"</formula>
    </cfRule>
  </conditionalFormatting>
  <conditionalFormatting sqref="E29:E30">
    <cfRule type="containsBlanks" dxfId="112" priority="3" stopIfTrue="1">
      <formula>LEN(TRIM(E29))=0</formula>
    </cfRule>
    <cfRule type="expression" dxfId="111" priority="10">
      <formula>$E$29&gt;$E$30</formula>
    </cfRule>
  </conditionalFormatting>
  <conditionalFormatting sqref="J18">
    <cfRule type="expression" dxfId="110" priority="4">
      <formula>$E$18="Concessional"</formula>
    </cfRule>
  </conditionalFormatting>
  <conditionalFormatting sqref="H16:L16">
    <cfRule type="expression" dxfId="109" priority="2">
      <formula>$G$16&gt;$Q$15</formula>
    </cfRule>
  </conditionalFormatting>
  <conditionalFormatting sqref="G16">
    <cfRule type="expression" dxfId="108" priority="1">
      <formula>$G$16&gt;$Q$15</formula>
    </cfRule>
  </conditionalFormatting>
  <dataValidations count="6">
    <dataValidation type="list" allowBlank="1" showInputMessage="1" showErrorMessage="1" sqref="H17 F14:F15 F17:F19 F21:F25" xr:uid="{CE9430AC-F43D-4A13-B4A8-2396B27DF59B}">
      <formula1>INDIRECT("IncomeCycleData[IncomeCycle]")</formula1>
    </dataValidation>
    <dataValidation type="whole" allowBlank="1" showInputMessage="1" showErrorMessage="1" errorTitle="Invalid number of dependants" error="Please enter a valid number between 0 and the total number of dependants for this applicant." sqref="E29:E30" xr:uid="{9BE64B58-A355-429A-B4E0-2102D36CFE3D}">
      <formula1>0</formula1>
      <formula2>INDIRECT("SCAApp" &amp; OICApplicantID &amp; "Dependants")</formula2>
    </dataValidation>
    <dataValidation type="list" allowBlank="1" showInputMessage="1" showErrorMessage="1" sqref="E17:E18" xr:uid="{9C293B7C-9BE7-40FB-AB7D-39C3914A88BC}">
      <formula1>INDIRECT("TaxTreatmentTable[TaxTreatment]")</formula1>
    </dataValidation>
    <dataValidation type="list" allowBlank="1" showInputMessage="1" showErrorMessage="1" sqref="E19" xr:uid="{C2CFFEEE-B4EC-461B-AD24-62467B3124B1}">
      <formula1>"Taxable, Untaxed"</formula1>
    </dataValidation>
    <dataValidation type="decimal" allowBlank="1" showInputMessage="1" showErrorMessage="1" errorTitle="Invalid income amount" error="Please enter a valid amount between 0 and the maximum allowed by policy." sqref="G20" xr:uid="{F6803BC6-C35D-4F27-9071-7178C4827A12}">
      <formula1>0</formula1>
      <formula2>SDOICCompanyCarYearlyMaximum</formula2>
    </dataValidation>
    <dataValidation type="decimal" operator="greaterThanOrEqual" allowBlank="1" showInputMessage="1" showErrorMessage="1" errorTitle="Invalid income amount" error="Please enter a valid income amount greater than or equal to zero." sqref="J17:K18 G21:G25 I17 G15:G19 G14" xr:uid="{7ACFA212-0E52-40E9-BF54-FF0AC06D4E2C}">
      <formula1>0</formula1>
    </dataValidation>
  </dataValidations>
  <pageMargins left="0.25" right="0.25" top="0.75" bottom="0.75" header="0.3" footer="0.3"/>
  <pageSetup paperSize="9" scale="6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RentalIncome">
    <pageSetUpPr fitToPage="1"/>
  </sheetPr>
  <dimension ref="A1:BZ41"/>
  <sheetViews>
    <sheetView showGridLines="0" showRowColHeaders="0" zoomScaleNormal="100" workbookViewId="0">
      <selection activeCell="C13" sqref="C13"/>
    </sheetView>
  </sheetViews>
  <sheetFormatPr defaultColWidth="9.1796875" defaultRowHeight="16" customHeight="1" x14ac:dyDescent="0.25"/>
  <cols>
    <col min="1" max="2" width="2.81640625" customWidth="1"/>
    <col min="3" max="3" width="23.81640625" customWidth="1"/>
    <col min="4" max="4" width="20.54296875" customWidth="1"/>
    <col min="5" max="6" width="11.453125" customWidth="1"/>
    <col min="7" max="7" width="20.7265625" customWidth="1"/>
    <col min="8" max="8" width="8.54296875" customWidth="1"/>
    <col min="9" max="9" width="10" customWidth="1"/>
    <col min="10" max="10" width="10.26953125" customWidth="1"/>
    <col min="11" max="11" width="10.26953125" hidden="1" customWidth="1"/>
    <col min="12" max="12" width="10.26953125" customWidth="1"/>
    <col min="13" max="21" width="10.26953125" hidden="1" customWidth="1"/>
    <col min="22" max="24" width="14.26953125" customWidth="1"/>
    <col min="25" max="25" width="20.453125" customWidth="1"/>
    <col min="26" max="26" width="17" customWidth="1"/>
    <col min="27" max="28" width="2.81640625" customWidth="1"/>
    <col min="29" max="29" width="6.81640625" hidden="1" customWidth="1"/>
    <col min="30" max="30" width="26.26953125" hidden="1" customWidth="1"/>
    <col min="31" max="46" width="14.26953125" hidden="1" customWidth="1"/>
    <col min="47" max="47" width="4.26953125" hidden="1" customWidth="1"/>
    <col min="48" max="60" width="14.26953125" hidden="1" customWidth="1"/>
    <col min="61" max="61" width="9.1796875" hidden="1" customWidth="1"/>
    <col min="62" max="76" width="14.26953125" hidden="1" customWidth="1"/>
    <col min="77" max="78" width="9.1796875" hidden="1" customWidth="1"/>
    <col min="79" max="79" width="9.1796875" customWidth="1"/>
  </cols>
  <sheetData>
    <row r="1" spans="1:76" ht="16" customHeight="1" x14ac:dyDescent="0.25">
      <c r="A1" s="4"/>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4"/>
      <c r="AE1" s="4"/>
      <c r="AF1" s="4"/>
      <c r="AG1" s="25"/>
      <c r="AH1" s="4"/>
      <c r="AI1" s="4"/>
      <c r="AJ1" s="4"/>
      <c r="AK1" s="4"/>
      <c r="AL1" s="4"/>
      <c r="AM1" s="4"/>
      <c r="AN1" s="4"/>
      <c r="AO1" s="4"/>
      <c r="AP1" s="4"/>
      <c r="AQ1" s="4"/>
      <c r="AR1" s="4"/>
      <c r="AS1" s="25"/>
      <c r="AT1" s="25"/>
      <c r="AU1" s="25"/>
      <c r="AV1" s="25"/>
      <c r="AW1" s="25"/>
      <c r="AX1" s="25"/>
      <c r="AY1" s="25"/>
      <c r="AZ1" s="25"/>
      <c r="BA1" s="25"/>
      <c r="BB1" s="25"/>
      <c r="BC1" s="25"/>
      <c r="BD1" s="25"/>
      <c r="BE1" s="25"/>
      <c r="BF1" s="25"/>
      <c r="BG1" s="25"/>
      <c r="BH1" s="25"/>
      <c r="BI1" s="4"/>
      <c r="BJ1" s="4"/>
      <c r="BK1" s="4"/>
      <c r="BL1" s="4"/>
      <c r="BM1" s="4"/>
      <c r="BN1" s="4"/>
      <c r="BO1" s="4"/>
      <c r="BP1" s="4"/>
      <c r="BQ1" s="4"/>
      <c r="BR1" s="4"/>
      <c r="BS1" s="4"/>
      <c r="BT1" s="4"/>
      <c r="BU1" s="4"/>
      <c r="BV1" s="4"/>
      <c r="BW1" s="4"/>
      <c r="BX1" s="4"/>
    </row>
    <row r="2" spans="1:76" ht="16" customHeight="1" x14ac:dyDescent="0.25">
      <c r="A2" s="4"/>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4"/>
      <c r="AE2" s="4"/>
      <c r="AF2" s="4"/>
      <c r="AG2" s="25"/>
      <c r="AH2" s="4"/>
      <c r="AI2" s="4"/>
      <c r="AJ2" s="4"/>
      <c r="AK2" s="4"/>
      <c r="AL2" s="4"/>
      <c r="AM2" s="4"/>
      <c r="AN2" s="4"/>
      <c r="AO2" s="4"/>
      <c r="AP2" s="4"/>
      <c r="AQ2" s="4"/>
      <c r="AR2" s="4"/>
      <c r="AS2" s="25"/>
      <c r="AT2" s="25"/>
      <c r="AU2" s="25"/>
      <c r="AV2" s="25"/>
      <c r="AW2" s="25"/>
      <c r="AX2" s="25"/>
      <c r="AY2" s="25"/>
      <c r="AZ2" s="25"/>
      <c r="BA2" s="25"/>
      <c r="BB2" s="25"/>
      <c r="BC2" s="25"/>
      <c r="BD2" s="25"/>
      <c r="BE2" s="25"/>
      <c r="BF2" s="25"/>
      <c r="BG2" s="25"/>
      <c r="BH2" s="25"/>
      <c r="BI2" s="4"/>
      <c r="BJ2" s="4"/>
      <c r="BK2" s="4"/>
      <c r="BL2" s="4"/>
      <c r="BM2" s="4"/>
      <c r="BN2" s="4"/>
      <c r="BO2" s="4"/>
      <c r="BP2" s="4"/>
      <c r="BQ2" s="4"/>
      <c r="BR2" s="4"/>
      <c r="BS2" s="4"/>
      <c r="BT2" s="4"/>
      <c r="BU2" s="4"/>
      <c r="BV2" s="4"/>
      <c r="BW2" s="4"/>
      <c r="BX2" s="4"/>
    </row>
    <row r="3" spans="1:76" ht="16" customHeight="1" x14ac:dyDescent="0.25">
      <c r="A3" s="4"/>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4"/>
      <c r="AE3" s="4"/>
      <c r="AF3" s="4"/>
      <c r="AG3" s="25"/>
      <c r="AH3" s="4"/>
      <c r="AI3" s="4"/>
      <c r="AJ3" s="4"/>
      <c r="AK3" s="4"/>
      <c r="AL3" s="4"/>
      <c r="AM3" s="4"/>
      <c r="AN3" s="4"/>
      <c r="AO3" s="4"/>
      <c r="AP3" s="4"/>
      <c r="AQ3" s="4"/>
      <c r="AR3" s="4"/>
      <c r="AS3" s="25"/>
      <c r="AT3" s="25"/>
      <c r="AU3" s="25"/>
      <c r="AV3" s="25"/>
      <c r="AW3" s="25"/>
      <c r="AX3" s="25"/>
      <c r="AY3" s="25"/>
      <c r="AZ3" s="25"/>
      <c r="BA3" s="25"/>
      <c r="BB3" s="25"/>
      <c r="BC3" s="25"/>
      <c r="BD3" s="25"/>
      <c r="BE3" s="25"/>
      <c r="BF3" s="25"/>
      <c r="BG3" s="25"/>
      <c r="BH3" s="25"/>
      <c r="BI3" s="4"/>
      <c r="BJ3" s="4"/>
      <c r="BK3" s="4"/>
      <c r="BL3" s="4"/>
      <c r="BM3" s="4"/>
      <c r="BN3" s="4"/>
      <c r="BO3" s="4"/>
      <c r="BP3" s="4"/>
      <c r="BQ3" s="4"/>
      <c r="BR3" s="4"/>
      <c r="BS3" s="4"/>
      <c r="BT3" s="4"/>
      <c r="BU3" s="4"/>
      <c r="BV3" s="4"/>
      <c r="BW3" s="4"/>
      <c r="BX3" s="4"/>
    </row>
    <row r="4" spans="1:76" ht="30" customHeight="1" x14ac:dyDescent="0.25">
      <c r="A4" s="4"/>
      <c r="B4" s="675" t="s">
        <v>251</v>
      </c>
      <c r="C4" s="4"/>
      <c r="D4" s="675"/>
      <c r="E4" s="675"/>
      <c r="F4" s="675"/>
      <c r="G4" s="675"/>
      <c r="H4" s="675"/>
      <c r="I4" s="675"/>
      <c r="J4" s="675"/>
      <c r="L4" s="13"/>
      <c r="M4" s="13"/>
      <c r="N4" s="13"/>
      <c r="O4" s="13"/>
      <c r="P4" s="13"/>
      <c r="Q4" s="13"/>
      <c r="R4" s="13"/>
      <c r="S4" s="13"/>
      <c r="T4" s="13"/>
      <c r="U4" s="13"/>
      <c r="V4" s="13"/>
      <c r="W4" s="13"/>
      <c r="X4" s="675"/>
      <c r="Y4" s="13"/>
      <c r="Z4" s="13"/>
      <c r="AA4" s="13"/>
      <c r="AB4" s="13"/>
      <c r="AC4" s="13"/>
      <c r="AD4" s="13"/>
      <c r="AE4" s="13"/>
      <c r="AF4" s="13"/>
      <c r="AG4" s="25"/>
      <c r="AH4" s="13"/>
      <c r="AI4" s="13"/>
      <c r="AJ4" s="13"/>
      <c r="AK4" s="13"/>
      <c r="AL4" s="13"/>
      <c r="AM4" s="13"/>
      <c r="AN4" s="13"/>
      <c r="AO4" s="13"/>
      <c r="AP4" s="13"/>
      <c r="AQ4" s="13"/>
      <c r="AR4" s="13"/>
      <c r="AS4" s="25"/>
      <c r="AT4" s="25"/>
      <c r="AU4" s="25"/>
      <c r="AV4" s="25"/>
      <c r="AW4" s="25"/>
      <c r="AX4" s="25"/>
      <c r="AY4" s="25"/>
      <c r="AZ4" s="25"/>
      <c r="BA4" s="25"/>
      <c r="BB4" s="25"/>
      <c r="BC4" s="25"/>
      <c r="BD4" s="25"/>
      <c r="BE4" s="25"/>
      <c r="BF4" s="25"/>
      <c r="BG4" s="25"/>
      <c r="BH4" s="25"/>
      <c r="BI4" s="4"/>
      <c r="BJ4" s="4"/>
      <c r="BK4" s="4"/>
      <c r="BL4" s="4"/>
      <c r="BM4" s="4"/>
      <c r="BN4" s="4"/>
      <c r="BO4" s="4"/>
      <c r="BP4" s="4"/>
      <c r="BQ4" s="4"/>
      <c r="BR4" s="4"/>
      <c r="BS4" s="4"/>
      <c r="BT4" s="4"/>
      <c r="BU4" s="4"/>
      <c r="BV4" s="4"/>
      <c r="BW4" s="4"/>
      <c r="BX4" s="4"/>
    </row>
    <row r="5" spans="1:76" ht="7.5" customHeight="1" x14ac:dyDescent="0.25">
      <c r="A5" s="4"/>
      <c r="B5" s="4"/>
      <c r="C5" s="5"/>
      <c r="D5" s="5"/>
      <c r="E5" s="601"/>
      <c r="F5" s="601"/>
      <c r="G5" s="601"/>
      <c r="H5" s="601"/>
      <c r="I5" s="601"/>
      <c r="J5" s="601"/>
      <c r="K5" s="601"/>
      <c r="L5" s="601"/>
      <c r="M5" s="601"/>
      <c r="N5" s="601"/>
      <c r="O5" s="601"/>
      <c r="P5" s="601"/>
      <c r="Q5" s="601"/>
      <c r="R5" s="602"/>
      <c r="S5" s="602"/>
      <c r="T5" s="602"/>
      <c r="U5" s="602"/>
      <c r="V5" s="602"/>
      <c r="W5" s="602"/>
      <c r="X5" s="601"/>
      <c r="Y5" s="602"/>
      <c r="Z5" s="5"/>
      <c r="AA5" s="16"/>
      <c r="AB5" s="16"/>
      <c r="AC5" s="16"/>
      <c r="AD5" s="16"/>
      <c r="AE5" s="16"/>
      <c r="AF5" s="16"/>
      <c r="AG5" s="16"/>
      <c r="AH5" s="16"/>
      <c r="AI5" s="16"/>
      <c r="AJ5" s="16"/>
      <c r="AK5" s="16"/>
      <c r="AL5" s="16"/>
      <c r="AM5" s="16"/>
      <c r="AN5" s="16"/>
      <c r="AO5" s="16"/>
      <c r="AP5" s="16"/>
      <c r="AQ5" s="16"/>
      <c r="AR5" s="16"/>
      <c r="AS5" s="16"/>
      <c r="AT5" s="16"/>
      <c r="AU5" s="16"/>
      <c r="AV5" s="16"/>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row>
    <row r="6" spans="1:76" ht="22.5" customHeight="1" x14ac:dyDescent="0.25">
      <c r="A6" s="679"/>
      <c r="B6" s="676" t="s">
        <v>299</v>
      </c>
      <c r="C6" s="679"/>
      <c r="D6" s="676"/>
      <c r="E6" s="676"/>
      <c r="F6" s="676"/>
      <c r="G6" s="676"/>
      <c r="H6" s="676"/>
      <c r="I6" s="676"/>
      <c r="J6" s="676"/>
      <c r="K6" s="676"/>
      <c r="L6" s="676"/>
      <c r="M6" s="676"/>
      <c r="N6" s="676"/>
      <c r="O6" s="676"/>
      <c r="P6" s="676"/>
      <c r="Q6" s="676"/>
      <c r="R6" s="676"/>
      <c r="S6" s="676"/>
      <c r="T6" s="676"/>
      <c r="U6" s="676"/>
      <c r="V6" s="603"/>
      <c r="W6" s="676"/>
      <c r="X6" s="676"/>
      <c r="Y6" s="603"/>
      <c r="Z6" s="350">
        <v>2</v>
      </c>
      <c r="AA6" s="603"/>
      <c r="AB6" s="16"/>
      <c r="AC6" s="16"/>
      <c r="AD6" s="16"/>
      <c r="AE6" s="16"/>
      <c r="AF6" s="16"/>
      <c r="AG6" s="16"/>
      <c r="AH6" s="16"/>
      <c r="AI6" s="16"/>
      <c r="AJ6" s="16"/>
      <c r="AK6" s="16"/>
      <c r="AL6" s="16"/>
      <c r="AM6" s="16"/>
      <c r="AN6" s="16"/>
      <c r="AO6" s="16"/>
      <c r="AP6" s="16"/>
      <c r="AQ6" s="16"/>
      <c r="AR6" s="16"/>
      <c r="AS6" s="16"/>
      <c r="AT6" s="16"/>
      <c r="AU6" s="16"/>
      <c r="AV6" s="16"/>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row>
    <row r="7" spans="1:76" ht="7.5" customHeight="1" x14ac:dyDescent="0.25">
      <c r="A7" s="4"/>
      <c r="B7" s="16"/>
      <c r="C7" s="16"/>
      <c r="D7" s="16"/>
      <c r="E7" s="4"/>
      <c r="F7" s="16"/>
      <c r="G7" s="16"/>
      <c r="H7" s="16"/>
      <c r="I7" s="16"/>
      <c r="J7" s="16"/>
      <c r="K7" s="16"/>
      <c r="L7" s="16"/>
      <c r="M7" s="16"/>
      <c r="N7" s="16"/>
      <c r="O7" s="16"/>
      <c r="P7" s="16"/>
      <c r="Q7" s="16"/>
      <c r="R7" s="16"/>
      <c r="S7" s="16"/>
      <c r="T7" s="16"/>
      <c r="U7" s="16"/>
      <c r="V7" s="16"/>
      <c r="W7" s="16"/>
      <c r="X7" s="16"/>
      <c r="Y7" s="16"/>
      <c r="Z7" s="16"/>
      <c r="AA7" s="604"/>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4"/>
      <c r="BJ7" s="4"/>
      <c r="BK7" s="4"/>
      <c r="BL7" s="4"/>
      <c r="BM7" s="4"/>
      <c r="BN7" s="4"/>
      <c r="BO7" s="4"/>
      <c r="BP7" s="4"/>
      <c r="BQ7" s="4"/>
      <c r="BR7" s="4"/>
      <c r="BS7" s="4"/>
      <c r="BT7" s="4"/>
      <c r="BU7" s="4"/>
      <c r="BV7" s="4"/>
      <c r="BW7" s="4"/>
      <c r="BX7" s="4"/>
    </row>
    <row r="8" spans="1:76" ht="16" customHeight="1" x14ac:dyDescent="0.25">
      <c r="A8" s="4"/>
      <c r="B8" s="4"/>
      <c r="C8" s="16"/>
      <c r="D8" s="16"/>
      <c r="E8" s="4"/>
      <c r="F8" s="16"/>
      <c r="G8" s="4"/>
      <c r="H8" s="4"/>
      <c r="I8" s="4"/>
      <c r="J8" s="605" t="s">
        <v>421</v>
      </c>
      <c r="K8" s="605"/>
      <c r="L8" s="605"/>
      <c r="M8" s="605"/>
      <c r="N8" s="605"/>
      <c r="O8" s="605"/>
      <c r="P8" s="605"/>
      <c r="Q8" s="605"/>
      <c r="R8" s="605"/>
      <c r="S8" s="605"/>
      <c r="T8" s="605"/>
      <c r="U8" s="605"/>
      <c r="V8" s="16"/>
      <c r="W8" s="605"/>
      <c r="X8" s="4"/>
      <c r="Y8" s="16"/>
      <c r="Z8" s="16"/>
      <c r="AA8" s="13"/>
      <c r="AB8" s="13"/>
      <c r="AC8" s="13"/>
      <c r="AD8" s="13"/>
      <c r="AE8" s="13"/>
      <c r="AF8" s="13"/>
      <c r="AG8" s="13"/>
      <c r="AH8" s="13"/>
      <c r="AI8" s="13"/>
      <c r="AJ8" s="13"/>
      <c r="AK8" s="13"/>
      <c r="AL8" s="13"/>
      <c r="AM8" s="13"/>
      <c r="AN8" s="13"/>
      <c r="AO8" s="13"/>
      <c r="AP8" s="13"/>
      <c r="AQ8" s="13"/>
      <c r="AR8" s="13"/>
      <c r="AS8" s="13"/>
      <c r="AT8" s="13"/>
      <c r="AU8" s="13"/>
      <c r="AV8" s="13"/>
      <c r="AW8" s="13"/>
      <c r="AX8" s="13"/>
      <c r="AY8" s="4"/>
      <c r="AZ8" s="4"/>
      <c r="BA8" s="4"/>
      <c r="BB8" s="4"/>
      <c r="BC8" s="4"/>
      <c r="BD8" s="4"/>
      <c r="BE8" s="4"/>
      <c r="BF8" s="4"/>
      <c r="BG8" s="4"/>
      <c r="BH8" s="4"/>
      <c r="BI8" s="4"/>
      <c r="BJ8" s="4"/>
      <c r="BK8" s="4"/>
      <c r="BL8" s="4"/>
      <c r="BM8" s="4"/>
      <c r="BN8" s="4"/>
      <c r="BO8" s="4"/>
      <c r="BP8" s="4"/>
      <c r="BQ8" s="4"/>
      <c r="BR8" s="4"/>
      <c r="BS8" s="4"/>
      <c r="BT8" s="4"/>
      <c r="BU8" s="4"/>
      <c r="BV8" s="4"/>
      <c r="BW8" s="4"/>
      <c r="BX8" s="4"/>
    </row>
    <row r="9" spans="1:76" ht="8.15" customHeight="1" x14ac:dyDescent="0.3">
      <c r="A9" s="4"/>
      <c r="B9" s="4"/>
      <c r="C9" s="16"/>
      <c r="D9" s="16"/>
      <c r="E9" s="16"/>
      <c r="F9" s="16"/>
      <c r="G9" s="4"/>
      <c r="H9" s="4"/>
      <c r="I9" s="1711" t="s">
        <v>1435</v>
      </c>
      <c r="J9" s="605"/>
      <c r="K9" s="605"/>
      <c r="L9" s="605"/>
      <c r="M9" s="605"/>
      <c r="N9" s="605"/>
      <c r="O9" s="605"/>
      <c r="P9" s="605"/>
      <c r="Q9" s="605"/>
      <c r="R9" s="605"/>
      <c r="S9" s="605"/>
      <c r="T9" s="605"/>
      <c r="U9" s="606"/>
      <c r="V9" s="348"/>
      <c r="W9" s="608"/>
      <c r="X9" s="677"/>
      <c r="Y9" s="348"/>
      <c r="Z9" s="348"/>
      <c r="AA9" s="27"/>
      <c r="AB9" s="27"/>
      <c r="AC9" s="27"/>
      <c r="AD9" s="27"/>
      <c r="AE9" s="27"/>
      <c r="AF9" s="27"/>
      <c r="AG9" s="27"/>
      <c r="AH9" s="27"/>
      <c r="AI9" s="27"/>
      <c r="AJ9" s="27"/>
      <c r="AK9" s="27"/>
      <c r="AL9" s="27"/>
      <c r="AM9" s="27"/>
      <c r="AN9" s="27"/>
      <c r="AO9" s="27"/>
      <c r="AP9" s="27"/>
      <c r="AQ9" s="27"/>
      <c r="AR9" s="27"/>
      <c r="AS9" s="27"/>
      <c r="AT9" s="27"/>
      <c r="AU9" s="27"/>
      <c r="AV9" s="27"/>
      <c r="AW9" s="27"/>
      <c r="AX9" s="27"/>
      <c r="AY9" s="4"/>
      <c r="AZ9" s="4"/>
      <c r="BA9" s="4"/>
      <c r="BB9" s="4"/>
      <c r="BC9" s="4"/>
      <c r="BD9" s="4"/>
      <c r="BE9" s="4"/>
      <c r="BF9" s="4"/>
      <c r="BG9" s="4"/>
      <c r="BH9" s="4"/>
      <c r="BI9" s="4"/>
      <c r="BJ9" s="4"/>
      <c r="BK9" s="4"/>
      <c r="BL9" s="4"/>
      <c r="BM9" s="4"/>
      <c r="BN9" s="4"/>
      <c r="BO9" s="4"/>
      <c r="BP9" s="4"/>
      <c r="BQ9" s="4"/>
      <c r="BR9" s="4"/>
      <c r="BS9" s="4"/>
      <c r="BT9" s="4"/>
      <c r="BU9" s="4"/>
      <c r="BV9" s="4"/>
      <c r="BW9" s="4"/>
      <c r="BX9" s="4"/>
    </row>
    <row r="10" spans="1:76" ht="16" customHeight="1" x14ac:dyDescent="0.25">
      <c r="A10" s="4"/>
      <c r="B10" s="4"/>
      <c r="C10" s="1715" t="s">
        <v>936</v>
      </c>
      <c r="D10" s="1711" t="s">
        <v>393</v>
      </c>
      <c r="E10" s="1711" t="s">
        <v>392</v>
      </c>
      <c r="F10" s="1711" t="s">
        <v>43</v>
      </c>
      <c r="G10" s="677"/>
      <c r="H10" s="1711" t="s">
        <v>1431</v>
      </c>
      <c r="I10" s="1711"/>
      <c r="J10" s="1706" t="str">
        <f>IF(SCAApp1Name="","Applicant 1",SCAApp1Name)</f>
        <v>Applicant 1</v>
      </c>
      <c r="K10" s="1706" t="s">
        <v>654</v>
      </c>
      <c r="L10" s="1706" t="str">
        <f>IF(SCAApp2Name="","Applicant 2",SCAApp2Name)</f>
        <v>Applicant 2</v>
      </c>
      <c r="M10" s="1706" t="s">
        <v>654</v>
      </c>
      <c r="N10" s="1706" t="str">
        <f>IF(SCAApp3Name="","Applicant 3",SCAApp3Name)</f>
        <v>Applicant 3</v>
      </c>
      <c r="O10" s="1706" t="s">
        <v>654</v>
      </c>
      <c r="P10" s="1706" t="str">
        <f>IF(SCAApp4Name="","Applicant 4",SCAApp4Name)</f>
        <v>Applicant 4</v>
      </c>
      <c r="Q10" s="1706" t="s">
        <v>654</v>
      </c>
      <c r="R10" s="1706" t="str">
        <f>IF(SCAApp5Name="","Applicant 5",SCAApp5Name)</f>
        <v>Applicant 5</v>
      </c>
      <c r="S10" s="1706" t="s">
        <v>654</v>
      </c>
      <c r="T10" s="1706" t="str">
        <f>IF(SCAApp6Name="","Applicant 6",SCAApp6Name)</f>
        <v>Applicant 6</v>
      </c>
      <c r="U10" s="1706" t="s">
        <v>654</v>
      </c>
      <c r="V10" s="1713" t="s">
        <v>55</v>
      </c>
      <c r="W10" s="1712" t="s">
        <v>185</v>
      </c>
      <c r="X10" s="1711" t="s">
        <v>285</v>
      </c>
      <c r="Y10" s="678"/>
      <c r="Z10" s="1710" t="s">
        <v>1122</v>
      </c>
      <c r="AA10" s="27"/>
      <c r="AB10" s="4"/>
      <c r="AC10" s="4"/>
      <c r="AD10" s="1016"/>
      <c r="AE10" s="1016"/>
      <c r="AF10" s="1016"/>
      <c r="AG10" s="628"/>
      <c r="AH10" s="1714" t="s">
        <v>420</v>
      </c>
      <c r="AI10" s="1705" t="s">
        <v>414</v>
      </c>
      <c r="AJ10" s="1705" t="s">
        <v>765</v>
      </c>
      <c r="AK10" s="1705" t="s">
        <v>415</v>
      </c>
      <c r="AL10" s="1705" t="s">
        <v>766</v>
      </c>
      <c r="AM10" s="1705" t="s">
        <v>416</v>
      </c>
      <c r="AN10" s="1705" t="s">
        <v>767</v>
      </c>
      <c r="AO10" s="1705" t="s">
        <v>417</v>
      </c>
      <c r="AP10" s="1705" t="s">
        <v>768</v>
      </c>
      <c r="AQ10" s="1705" t="s">
        <v>418</v>
      </c>
      <c r="AR10" s="1705" t="s">
        <v>769</v>
      </c>
      <c r="AS10" s="1705" t="s">
        <v>419</v>
      </c>
      <c r="AT10" s="1705" t="s">
        <v>764</v>
      </c>
      <c r="AU10" s="628"/>
      <c r="AV10" s="1705" t="s">
        <v>407</v>
      </c>
      <c r="AW10" s="1705" t="s">
        <v>408</v>
      </c>
      <c r="AX10" s="1705" t="s">
        <v>770</v>
      </c>
      <c r="AY10" s="1705" t="s">
        <v>409</v>
      </c>
      <c r="AZ10" s="1705" t="s">
        <v>771</v>
      </c>
      <c r="BA10" s="1705" t="s">
        <v>410</v>
      </c>
      <c r="BB10" s="1705" t="s">
        <v>772</v>
      </c>
      <c r="BC10" s="1705" t="s">
        <v>411</v>
      </c>
      <c r="BD10" s="1705" t="s">
        <v>773</v>
      </c>
      <c r="BE10" s="1705" t="s">
        <v>412</v>
      </c>
      <c r="BF10" s="1705" t="s">
        <v>774</v>
      </c>
      <c r="BG10" s="1705" t="s">
        <v>413</v>
      </c>
      <c r="BH10" s="1705" t="s">
        <v>775</v>
      </c>
      <c r="BI10" s="1017"/>
      <c r="BJ10" s="1705" t="s">
        <v>1545</v>
      </c>
      <c r="BK10" s="1705" t="s">
        <v>1546</v>
      </c>
      <c r="BL10" s="1705" t="s">
        <v>1548</v>
      </c>
      <c r="BM10" s="1705" t="s">
        <v>1533</v>
      </c>
      <c r="BN10" s="1705" t="s">
        <v>1534</v>
      </c>
      <c r="BO10" s="1705" t="s">
        <v>1535</v>
      </c>
      <c r="BP10" s="1705" t="s">
        <v>1536</v>
      </c>
      <c r="BQ10" s="1705" t="s">
        <v>1537</v>
      </c>
      <c r="BR10" s="1705" t="s">
        <v>1538</v>
      </c>
      <c r="BS10" s="1705" t="s">
        <v>1539</v>
      </c>
      <c r="BT10" s="1705" t="s">
        <v>1540</v>
      </c>
      <c r="BU10" s="1705" t="s">
        <v>1541</v>
      </c>
      <c r="BV10" s="1705" t="s">
        <v>1542</v>
      </c>
      <c r="BW10" s="1705" t="s">
        <v>1543</v>
      </c>
      <c r="BX10" s="1705" t="s">
        <v>1544</v>
      </c>
    </row>
    <row r="11" spans="1:76" ht="16" customHeight="1" x14ac:dyDescent="0.25">
      <c r="A11" s="28"/>
      <c r="B11" s="604"/>
      <c r="C11" s="1715"/>
      <c r="D11" s="1711"/>
      <c r="E11" s="1711"/>
      <c r="F11" s="1711"/>
      <c r="G11" s="656" t="s">
        <v>1427</v>
      </c>
      <c r="H11" s="1711"/>
      <c r="I11" s="1711"/>
      <c r="J11" s="1707"/>
      <c r="K11" s="1707"/>
      <c r="L11" s="1707"/>
      <c r="M11" s="1707"/>
      <c r="N11" s="1707"/>
      <c r="O11" s="1707"/>
      <c r="P11" s="1707"/>
      <c r="Q11" s="1707"/>
      <c r="R11" s="1707"/>
      <c r="S11" s="1707"/>
      <c r="T11" s="1707"/>
      <c r="U11" s="1707"/>
      <c r="V11" s="1713"/>
      <c r="W11" s="1712"/>
      <c r="X11" s="1711"/>
      <c r="Y11" s="656" t="s">
        <v>1093</v>
      </c>
      <c r="Z11" s="1710"/>
      <c r="AA11" s="4"/>
      <c r="AB11" s="4"/>
      <c r="AC11" s="1016" t="s">
        <v>1603</v>
      </c>
      <c r="AD11" s="1016" t="s">
        <v>1094</v>
      </c>
      <c r="AE11" s="1016" t="s">
        <v>1088</v>
      </c>
      <c r="AF11" s="1016" t="s">
        <v>1089</v>
      </c>
      <c r="AG11" s="1016" t="s">
        <v>59</v>
      </c>
      <c r="AH11" s="1714"/>
      <c r="AI11" s="1705"/>
      <c r="AJ11" s="1705"/>
      <c r="AK11" s="1705"/>
      <c r="AL11" s="1705"/>
      <c r="AM11" s="1705"/>
      <c r="AN11" s="1705"/>
      <c r="AO11" s="1705"/>
      <c r="AP11" s="1705"/>
      <c r="AQ11" s="1705"/>
      <c r="AR11" s="1705"/>
      <c r="AS11" s="1705"/>
      <c r="AT11" s="1705"/>
      <c r="AU11" s="1018"/>
      <c r="AV11" s="1705"/>
      <c r="AW11" s="1705"/>
      <c r="AX11" s="1705"/>
      <c r="AY11" s="1705"/>
      <c r="AZ11" s="1705"/>
      <c r="BA11" s="1705"/>
      <c r="BB11" s="1705"/>
      <c r="BC11" s="1705"/>
      <c r="BD11" s="1705"/>
      <c r="BE11" s="1705"/>
      <c r="BF11" s="1705"/>
      <c r="BG11" s="1705"/>
      <c r="BH11" s="1705"/>
      <c r="BI11" s="1019"/>
      <c r="BJ11" s="1705"/>
      <c r="BK11" s="1705"/>
      <c r="BL11" s="1705"/>
      <c r="BM11" s="1705"/>
      <c r="BN11" s="1705"/>
      <c r="BO11" s="1705"/>
      <c r="BP11" s="1705"/>
      <c r="BQ11" s="1705"/>
      <c r="BR11" s="1705"/>
      <c r="BS11" s="1705"/>
      <c r="BT11" s="1705"/>
      <c r="BU11" s="1705"/>
      <c r="BV11" s="1705"/>
      <c r="BW11" s="1705"/>
      <c r="BX11" s="1705"/>
    </row>
    <row r="12" spans="1:76" ht="8.15" customHeight="1" x14ac:dyDescent="0.3">
      <c r="A12" s="4"/>
      <c r="B12" s="4"/>
      <c r="C12" s="24"/>
      <c r="D12" s="24"/>
      <c r="E12" s="13"/>
      <c r="F12" s="4"/>
      <c r="G12" s="4"/>
      <c r="H12" s="4"/>
      <c r="I12" s="4"/>
      <c r="J12" s="607"/>
      <c r="K12" s="1708"/>
      <c r="L12" s="607"/>
      <c r="M12" s="1708"/>
      <c r="N12" s="607"/>
      <c r="O12" s="1708"/>
      <c r="P12" s="607"/>
      <c r="Q12" s="1708"/>
      <c r="R12" s="607"/>
      <c r="S12" s="1708"/>
      <c r="T12" s="607"/>
      <c r="U12" s="1708"/>
      <c r="V12" s="609"/>
      <c r="W12" s="608"/>
      <c r="X12" s="4"/>
      <c r="Y12" s="677"/>
      <c r="Z12" s="610"/>
      <c r="AA12" s="4"/>
      <c r="AB12" s="4"/>
      <c r="AC12" s="4"/>
      <c r="AD12" s="1017"/>
      <c r="AE12" s="1017"/>
      <c r="AF12" s="1017"/>
      <c r="AG12" s="1017"/>
      <c r="AH12" s="1017"/>
      <c r="AI12" s="1017"/>
      <c r="AJ12" s="1017"/>
      <c r="AK12" s="1017"/>
      <c r="AL12" s="1017"/>
      <c r="AM12" s="1017"/>
      <c r="AN12" s="1017"/>
      <c r="AO12" s="1017"/>
      <c r="AP12" s="1017"/>
      <c r="AQ12" s="1017"/>
      <c r="AR12" s="1017"/>
      <c r="AS12" s="1017"/>
      <c r="AT12" s="1017"/>
      <c r="AU12" s="1017"/>
      <c r="AV12" s="628"/>
      <c r="AW12" s="628"/>
      <c r="AX12" s="628"/>
      <c r="AY12" s="628"/>
      <c r="AZ12" s="628"/>
      <c r="BA12" s="628"/>
      <c r="BB12" s="628"/>
      <c r="BC12" s="628"/>
      <c r="BD12" s="628"/>
      <c r="BE12" s="628"/>
      <c r="BF12" s="628"/>
      <c r="BG12" s="628"/>
      <c r="BH12" s="628"/>
      <c r="BI12" s="1017"/>
      <c r="BJ12" s="628"/>
      <c r="BK12" s="628"/>
      <c r="BL12" s="628"/>
      <c r="BM12" s="628"/>
      <c r="BN12" s="628"/>
      <c r="BO12" s="628"/>
      <c r="BP12" s="628"/>
      <c r="BQ12" s="628"/>
      <c r="BR12" s="628"/>
      <c r="BS12" s="628"/>
      <c r="BT12" s="628"/>
      <c r="BU12" s="628"/>
      <c r="BV12" s="628"/>
      <c r="BW12" s="628"/>
      <c r="BX12" s="628"/>
    </row>
    <row r="13" spans="1:76" ht="18.75" customHeight="1" x14ac:dyDescent="0.25">
      <c r="A13" s="176">
        <v>1</v>
      </c>
      <c r="B13" s="4"/>
      <c r="C13" s="1366"/>
      <c r="D13" s="1367"/>
      <c r="E13" s="682"/>
      <c r="F13" s="682"/>
      <c r="G13" s="682"/>
      <c r="H13" s="682" t="s">
        <v>9</v>
      </c>
      <c r="I13" s="682"/>
      <c r="J13" s="683"/>
      <c r="K13" s="683"/>
      <c r="L13" s="684"/>
      <c r="M13" s="684"/>
      <c r="N13" s="684"/>
      <c r="O13" s="684"/>
      <c r="P13" s="684"/>
      <c r="Q13" s="684"/>
      <c r="R13" s="684"/>
      <c r="S13" s="684"/>
      <c r="T13" s="684"/>
      <c r="U13" s="684"/>
      <c r="V13" s="685"/>
      <c r="W13" s="1368"/>
      <c r="X13" s="1368"/>
      <c r="Y13" s="1369" t="str">
        <f t="shared" ref="Y13:Y32" si="0">IF(W13&gt;0,CONCATENATE(TEXT(AG13,"0%")," - ",AD13),"")</f>
        <v/>
      </c>
      <c r="Z13" s="1370">
        <f>IFERROR(AH13/12,0)</f>
        <v>0</v>
      </c>
      <c r="AA13" s="4"/>
      <c r="AB13" s="4"/>
      <c r="AC13" s="1063" t="b" cm="1">
        <f t="array" ref="AC13">OR(NOT(ISBLANK(C13:G13)),NOT(ISBLANK(I13:X13)))</f>
        <v>0</v>
      </c>
      <c r="AD13" s="1020" t="str">
        <f t="shared" ref="AD13:AD32" si="1">IFERROR(IF(E13="Foreign","Foreign",IF(OR(ISBLANK(D13),ISBLANK(E13),ISBLANK(F13),ISBLANK(G13),ISBLANK(H13),ISBLANK(I13),ISBLANK(X13)),"Incomplete data",IF(AND(SCALMIFlag="Yes",H13="Yes"),"LMI+Rural",IF(AF13="Yes","Concentration risk",IF(AE13="Yes","Prestige",IF(G13="Commercial","Commercial",IF(I13="Short term","Short term","Standard"))))))),"")</f>
        <v>Incomplete data</v>
      </c>
      <c r="AE13" s="1021" t="str">
        <f>IFERROR(IF(D13&gt;VLOOKUP(E13,StateTable[],2,FALSE),"Yes","No"),"")</f>
        <v/>
      </c>
      <c r="AF13" s="1021" t="str">
        <f>IF(ISBLANK(F13),"",IF(IFERROR(VLOOKUP(1*F13,RiskPostcodeTable[],1,FALSE),0)&lt;&gt;0,"Yes","No"))</f>
        <v/>
      </c>
      <c r="AG13" s="1022">
        <f t="shared" ref="AG13:AG32" si="2">IFERROR(IF(E13="Foreign",SDForeignRentShade,IF(OR(ISBLANK(D13),ISBLANK(E13),ISBLANK(F13),ISBLANK(G13),ISBLANK(H13),ISBLANK(I13),ISBLANK(X13)),SDConcentrationRiskRentShade,IF(AND(SCALMIFlag="Yes",H13="Yes"),0,IF(AF13="Yes",SDConcentrationRiskRentShade,IF(AE13="Yes",SDPrestigeRentShade,IF(G13="Commercial",SDCommercialRentShade,IF(I13="Short term",SDShortTermRentShade,SDStandardRentShade))))))),"")</f>
        <v>0.6</v>
      </c>
      <c r="AH13" s="1021">
        <f>IFERROR(IF(ISBLANK(I13),0,IF(I13="Standard",W13*VLOOKUP(V13,IncomeCycleData[],3,FALSE),W13)),0)</f>
        <v>0</v>
      </c>
      <c r="AI13" s="1021">
        <f t="shared" ref="AI13:AI32" si="3">IFERROR($AH13*J13,0)</f>
        <v>0</v>
      </c>
      <c r="AJ13" s="1021">
        <f t="shared" ref="AJ13:AJ32" si="4">IFERROR($AH13*K13,0)</f>
        <v>0</v>
      </c>
      <c r="AK13" s="1021">
        <f t="shared" ref="AK13:AK32" si="5">IFERROR($AH13*L13,0)</f>
        <v>0</v>
      </c>
      <c r="AL13" s="1021">
        <f t="shared" ref="AL13:AL32" si="6">IFERROR($AH13*M13,0)</f>
        <v>0</v>
      </c>
      <c r="AM13" s="1021">
        <f t="shared" ref="AM13:AM32" si="7">IFERROR($AH13*N13,0)</f>
        <v>0</v>
      </c>
      <c r="AN13" s="1021">
        <f t="shared" ref="AN13:AN32" si="8">IFERROR($AH13*O13,0)</f>
        <v>0</v>
      </c>
      <c r="AO13" s="1021">
        <f t="shared" ref="AO13:AO32" si="9">IFERROR($AH13*P13,0)</f>
        <v>0</v>
      </c>
      <c r="AP13" s="1021">
        <f t="shared" ref="AP13:AP32" si="10">IFERROR($AH13*Q13,0)</f>
        <v>0</v>
      </c>
      <c r="AQ13" s="1021">
        <f t="shared" ref="AQ13:AQ32" si="11">IFERROR($AH13*R13,0)</f>
        <v>0</v>
      </c>
      <c r="AR13" s="1021">
        <f t="shared" ref="AR13:AR32" si="12">IFERROR($AH13*S13,0)</f>
        <v>0</v>
      </c>
      <c r="AS13" s="1021">
        <f t="shared" ref="AS13:AS32" si="13">IFERROR($AH13*T13,0)</f>
        <v>0</v>
      </c>
      <c r="AT13" s="1021">
        <f t="shared" ref="AT13:AT32" si="14">IFERROR($AH13*U13,0)</f>
        <v>0</v>
      </c>
      <c r="AU13" s="398"/>
      <c r="AV13" s="1023">
        <f t="shared" ref="AV13:AV32" si="15">IFERROR(AH13*AG13,0)</f>
        <v>0</v>
      </c>
      <c r="AW13" s="1023">
        <f t="shared" ref="AW13:AW32" si="16">IFERROR(J13*$AV13,0)</f>
        <v>0</v>
      </c>
      <c r="AX13" s="1023">
        <f t="shared" ref="AX13:AX32" si="17">IFERROR(K13*$AV13,0)</f>
        <v>0</v>
      </c>
      <c r="AY13" s="1023">
        <f t="shared" ref="AY13:AY32" si="18">IFERROR(L13*$AV13,0)</f>
        <v>0</v>
      </c>
      <c r="AZ13" s="1023">
        <f t="shared" ref="AZ13:AZ32" si="19">IFERROR(M13*$AV13,0)</f>
        <v>0</v>
      </c>
      <c r="BA13" s="1023">
        <f t="shared" ref="BA13:BA32" si="20">IFERROR(N13*$AV13,0)</f>
        <v>0</v>
      </c>
      <c r="BB13" s="1023">
        <f t="shared" ref="BB13:BB32" si="21">IFERROR(O13*$AV13,0)</f>
        <v>0</v>
      </c>
      <c r="BC13" s="1023">
        <f t="shared" ref="BC13:BC32" si="22">IFERROR(P13*$AV13,0)</f>
        <v>0</v>
      </c>
      <c r="BD13" s="1023">
        <f t="shared" ref="BD13:BD32" si="23">IFERROR(Q13*$AV13,0)</f>
        <v>0</v>
      </c>
      <c r="BE13" s="1023">
        <f t="shared" ref="BE13:BE32" si="24">IFERROR(R13*$AV13,0)</f>
        <v>0</v>
      </c>
      <c r="BF13" s="1023">
        <f t="shared" ref="BF13:BF32" si="25">IFERROR(S13*$AV13,0)</f>
        <v>0</v>
      </c>
      <c r="BG13" s="1023">
        <f t="shared" ref="BG13:BG32" si="26">IFERROR(T13*$AV13,0)</f>
        <v>0</v>
      </c>
      <c r="BH13" s="1023">
        <f t="shared" ref="BH13:BH32" si="27">IFERROR(U13*$AV13,0)</f>
        <v>0</v>
      </c>
      <c r="BI13" s="1017"/>
      <c r="BJ13" s="1023">
        <f>IFERROR(IF(ISBLANK(I13),0,IF(I13="Standard",X13*VLOOKUP(V13,IncomeCycleData[],3,FALSE),X13)),0)</f>
        <v>0</v>
      </c>
      <c r="BK13" s="1023">
        <f t="shared" ref="BK13:BK32" si="28">IFERROR(IF(ISBLANK(I13),0,IF(AND(E13&lt;&gt;"Foreign",I13="Standard"),AH13*SDInvestmentPropertyExpenseFloor,BJ13)),0)</f>
        <v>0</v>
      </c>
      <c r="BL13" s="1023">
        <f>MAX(BJ13:BK13)</f>
        <v>0</v>
      </c>
      <c r="BM13" s="1023">
        <f t="shared" ref="BM13:BM32" si="29">IFERROR(J13*$BL13,0)</f>
        <v>0</v>
      </c>
      <c r="BN13" s="1023">
        <f t="shared" ref="BN13:BN32" si="30">IFERROR(K13*$BL13,0)</f>
        <v>0</v>
      </c>
      <c r="BO13" s="1023">
        <f t="shared" ref="BO13:BO32" si="31">IFERROR(L13*$BL13,0)</f>
        <v>0</v>
      </c>
      <c r="BP13" s="1023">
        <f t="shared" ref="BP13:BP32" si="32">IFERROR(M13*$BL13,0)</f>
        <v>0</v>
      </c>
      <c r="BQ13" s="1023">
        <f t="shared" ref="BQ13:BQ32" si="33">IFERROR(N13*$BL13,0)</f>
        <v>0</v>
      </c>
      <c r="BR13" s="1023">
        <f t="shared" ref="BR13:BR32" si="34">IFERROR(O13*$BL13,0)</f>
        <v>0</v>
      </c>
      <c r="BS13" s="1023">
        <f t="shared" ref="BS13:BS32" si="35">IFERROR(P13*$BL13,0)</f>
        <v>0</v>
      </c>
      <c r="BT13" s="1023">
        <f t="shared" ref="BT13:BT32" si="36">IFERROR(Q13*$BL13,0)</f>
        <v>0</v>
      </c>
      <c r="BU13" s="1023">
        <f t="shared" ref="BU13:BU32" si="37">IFERROR(R13*$BL13,0)</f>
        <v>0</v>
      </c>
      <c r="BV13" s="1023">
        <f t="shared" ref="BV13:BV32" si="38">IFERROR(S13*$BL13,0)</f>
        <v>0</v>
      </c>
      <c r="BW13" s="1023">
        <f t="shared" ref="BW13:BW32" si="39">IFERROR(T13*$BL13,0)</f>
        <v>0</v>
      </c>
      <c r="BX13" s="1023">
        <f t="shared" ref="BX13:BX32" si="40">IFERROR(U13*$BL13,0)</f>
        <v>0</v>
      </c>
    </row>
    <row r="14" spans="1:76" ht="18.75" hidden="1" customHeight="1" x14ac:dyDescent="0.25">
      <c r="A14" s="176">
        <v>2</v>
      </c>
      <c r="B14" s="4"/>
      <c r="C14" s="1366"/>
      <c r="D14" s="1367"/>
      <c r="E14" s="682"/>
      <c r="F14" s="682"/>
      <c r="G14" s="682"/>
      <c r="H14" s="682" t="s">
        <v>9</v>
      </c>
      <c r="I14" s="682"/>
      <c r="J14" s="686"/>
      <c r="K14" s="686"/>
      <c r="L14" s="686"/>
      <c r="M14" s="686"/>
      <c r="N14" s="686"/>
      <c r="O14" s="686"/>
      <c r="P14" s="686"/>
      <c r="Q14" s="686"/>
      <c r="R14" s="686"/>
      <c r="S14" s="686"/>
      <c r="T14" s="686"/>
      <c r="U14" s="686"/>
      <c r="V14" s="685"/>
      <c r="W14" s="1368"/>
      <c r="X14" s="1368"/>
      <c r="Y14" s="1369" t="str">
        <f t="shared" si="0"/>
        <v/>
      </c>
      <c r="Z14" s="1370">
        <f t="shared" ref="Z14" si="41">IFERROR(AH14/12,0)</f>
        <v>0</v>
      </c>
      <c r="AA14" s="4"/>
      <c r="AB14" s="4"/>
      <c r="AC14" s="1063" t="b" cm="1">
        <f t="array" ref="AC14">OR(NOT(ISBLANK(C14:G14)),NOT(ISBLANK(I14:X14)))</f>
        <v>0</v>
      </c>
      <c r="AD14" s="1020" t="str">
        <f t="shared" si="1"/>
        <v>Incomplete data</v>
      </c>
      <c r="AE14" s="1021" t="str">
        <f>IFERROR(IF(D14&gt;VLOOKUP(E14,StateTable[],2,FALSE),"Yes","No"),"")</f>
        <v/>
      </c>
      <c r="AF14" s="1021" t="str">
        <f>IF(ISBLANK(F14),"",IF(IFERROR(VLOOKUP(1*F14,RiskPostcodeTable[],1,FALSE),0)&lt;&gt;0,"Yes","No"))</f>
        <v/>
      </c>
      <c r="AG14" s="1022">
        <f t="shared" si="2"/>
        <v>0.6</v>
      </c>
      <c r="AH14" s="1021">
        <f>IFERROR(IF(ISBLANK(I14),0,IF(I14="Standard",W14*VLOOKUP(V14,IncomeCycleData[],3,FALSE),W14)),0)</f>
        <v>0</v>
      </c>
      <c r="AI14" s="1021">
        <f t="shared" si="3"/>
        <v>0</v>
      </c>
      <c r="AJ14" s="1021">
        <f t="shared" si="4"/>
        <v>0</v>
      </c>
      <c r="AK14" s="1021">
        <f t="shared" si="5"/>
        <v>0</v>
      </c>
      <c r="AL14" s="1021">
        <f t="shared" si="6"/>
        <v>0</v>
      </c>
      <c r="AM14" s="1021">
        <f t="shared" si="7"/>
        <v>0</v>
      </c>
      <c r="AN14" s="1021">
        <f t="shared" si="8"/>
        <v>0</v>
      </c>
      <c r="AO14" s="1021">
        <f t="shared" si="9"/>
        <v>0</v>
      </c>
      <c r="AP14" s="1021">
        <f t="shared" si="10"/>
        <v>0</v>
      </c>
      <c r="AQ14" s="1021">
        <f t="shared" si="11"/>
        <v>0</v>
      </c>
      <c r="AR14" s="1021">
        <f t="shared" si="12"/>
        <v>0</v>
      </c>
      <c r="AS14" s="1021">
        <f t="shared" si="13"/>
        <v>0</v>
      </c>
      <c r="AT14" s="1021">
        <f t="shared" si="14"/>
        <v>0</v>
      </c>
      <c r="AU14" s="398"/>
      <c r="AV14" s="1023">
        <f t="shared" si="15"/>
        <v>0</v>
      </c>
      <c r="AW14" s="1023">
        <f t="shared" si="16"/>
        <v>0</v>
      </c>
      <c r="AX14" s="1023">
        <f t="shared" si="17"/>
        <v>0</v>
      </c>
      <c r="AY14" s="1023">
        <f t="shared" si="18"/>
        <v>0</v>
      </c>
      <c r="AZ14" s="1023">
        <f t="shared" si="19"/>
        <v>0</v>
      </c>
      <c r="BA14" s="1023">
        <f t="shared" si="20"/>
        <v>0</v>
      </c>
      <c r="BB14" s="1023">
        <f t="shared" si="21"/>
        <v>0</v>
      </c>
      <c r="BC14" s="1023">
        <f t="shared" si="22"/>
        <v>0</v>
      </c>
      <c r="BD14" s="1023">
        <f t="shared" si="23"/>
        <v>0</v>
      </c>
      <c r="BE14" s="1023">
        <f t="shared" si="24"/>
        <v>0</v>
      </c>
      <c r="BF14" s="1023">
        <f t="shared" si="25"/>
        <v>0</v>
      </c>
      <c r="BG14" s="1023">
        <f t="shared" si="26"/>
        <v>0</v>
      </c>
      <c r="BH14" s="1023">
        <f t="shared" si="27"/>
        <v>0</v>
      </c>
      <c r="BI14" s="1017"/>
      <c r="BJ14" s="1023">
        <f>IFERROR(IF(ISBLANK(I14),0,IF(I14="Standard",X14*VLOOKUP(V14,IncomeCycleData[],3,FALSE),X14)),0)</f>
        <v>0</v>
      </c>
      <c r="BK14" s="1023">
        <f t="shared" si="28"/>
        <v>0</v>
      </c>
      <c r="BL14" s="1023">
        <f t="shared" ref="BL14:BL32" si="42">MAX(BJ14:BK14)</f>
        <v>0</v>
      </c>
      <c r="BM14" s="1023">
        <f t="shared" si="29"/>
        <v>0</v>
      </c>
      <c r="BN14" s="1023">
        <f t="shared" si="30"/>
        <v>0</v>
      </c>
      <c r="BO14" s="1023">
        <f t="shared" si="31"/>
        <v>0</v>
      </c>
      <c r="BP14" s="1023">
        <f t="shared" si="32"/>
        <v>0</v>
      </c>
      <c r="BQ14" s="1023">
        <f t="shared" si="33"/>
        <v>0</v>
      </c>
      <c r="BR14" s="1023">
        <f t="shared" si="34"/>
        <v>0</v>
      </c>
      <c r="BS14" s="1023">
        <f t="shared" si="35"/>
        <v>0</v>
      </c>
      <c r="BT14" s="1023">
        <f t="shared" si="36"/>
        <v>0</v>
      </c>
      <c r="BU14" s="1023">
        <f t="shared" si="37"/>
        <v>0</v>
      </c>
      <c r="BV14" s="1023">
        <f t="shared" si="38"/>
        <v>0</v>
      </c>
      <c r="BW14" s="1023">
        <f t="shared" si="39"/>
        <v>0</v>
      </c>
      <c r="BX14" s="1023">
        <f t="shared" si="40"/>
        <v>0</v>
      </c>
    </row>
    <row r="15" spans="1:76" ht="18.75" hidden="1" customHeight="1" x14ac:dyDescent="0.25">
      <c r="A15" s="176">
        <v>3</v>
      </c>
      <c r="B15" s="4"/>
      <c r="C15" s="1366"/>
      <c r="D15" s="1367"/>
      <c r="E15" s="682"/>
      <c r="F15" s="682"/>
      <c r="G15" s="682"/>
      <c r="H15" s="682" t="s">
        <v>9</v>
      </c>
      <c r="I15" s="682"/>
      <c r="J15" s="686"/>
      <c r="K15" s="686"/>
      <c r="L15" s="686"/>
      <c r="M15" s="686"/>
      <c r="N15" s="686"/>
      <c r="O15" s="686"/>
      <c r="P15" s="686"/>
      <c r="Q15" s="686"/>
      <c r="R15" s="686"/>
      <c r="S15" s="686"/>
      <c r="T15" s="686"/>
      <c r="U15" s="686"/>
      <c r="V15" s="685"/>
      <c r="W15" s="1368"/>
      <c r="X15" s="1368"/>
      <c r="Y15" s="1369" t="str">
        <f t="shared" si="0"/>
        <v/>
      </c>
      <c r="Z15" s="1370">
        <f t="shared" ref="Z15" si="43">IFERROR(AH15/12,0)</f>
        <v>0</v>
      </c>
      <c r="AA15" s="4"/>
      <c r="AB15" s="4"/>
      <c r="AC15" s="1063" t="b" cm="1">
        <f t="array" ref="AC15">OR(NOT(ISBLANK(C15:G15)),NOT(ISBLANK(I15:X15)))</f>
        <v>0</v>
      </c>
      <c r="AD15" s="1020" t="str">
        <f t="shared" si="1"/>
        <v>Incomplete data</v>
      </c>
      <c r="AE15" s="1021" t="str">
        <f>IFERROR(IF(D15&gt;VLOOKUP(E15,StateTable[],2,FALSE),"Yes","No"),"")</f>
        <v/>
      </c>
      <c r="AF15" s="1021" t="str">
        <f>IF(ISBLANK(F15),"",IF(IFERROR(VLOOKUP(1*F15,RiskPostcodeTable[],1,FALSE),0)&lt;&gt;0,"Yes","No"))</f>
        <v/>
      </c>
      <c r="AG15" s="1022">
        <f t="shared" si="2"/>
        <v>0.6</v>
      </c>
      <c r="AH15" s="1021">
        <f>IFERROR(IF(ISBLANK(I15),0,IF(I15="Standard",W15*VLOOKUP(V15,IncomeCycleData[],3,FALSE),W15)),0)</f>
        <v>0</v>
      </c>
      <c r="AI15" s="1021">
        <f t="shared" si="3"/>
        <v>0</v>
      </c>
      <c r="AJ15" s="1021">
        <f t="shared" si="4"/>
        <v>0</v>
      </c>
      <c r="AK15" s="1021">
        <f t="shared" si="5"/>
        <v>0</v>
      </c>
      <c r="AL15" s="1021">
        <f t="shared" si="6"/>
        <v>0</v>
      </c>
      <c r="AM15" s="1021">
        <f t="shared" si="7"/>
        <v>0</v>
      </c>
      <c r="AN15" s="1021">
        <f t="shared" si="8"/>
        <v>0</v>
      </c>
      <c r="AO15" s="1021">
        <f t="shared" si="9"/>
        <v>0</v>
      </c>
      <c r="AP15" s="1021">
        <f t="shared" si="10"/>
        <v>0</v>
      </c>
      <c r="AQ15" s="1021">
        <f t="shared" si="11"/>
        <v>0</v>
      </c>
      <c r="AR15" s="1021">
        <f t="shared" si="12"/>
        <v>0</v>
      </c>
      <c r="AS15" s="1021">
        <f t="shared" si="13"/>
        <v>0</v>
      </c>
      <c r="AT15" s="1021">
        <f t="shared" si="14"/>
        <v>0</v>
      </c>
      <c r="AU15" s="398"/>
      <c r="AV15" s="1023">
        <f t="shared" si="15"/>
        <v>0</v>
      </c>
      <c r="AW15" s="1023">
        <f t="shared" si="16"/>
        <v>0</v>
      </c>
      <c r="AX15" s="1023">
        <f t="shared" si="17"/>
        <v>0</v>
      </c>
      <c r="AY15" s="1023">
        <f t="shared" si="18"/>
        <v>0</v>
      </c>
      <c r="AZ15" s="1023">
        <f t="shared" si="19"/>
        <v>0</v>
      </c>
      <c r="BA15" s="1023">
        <f t="shared" si="20"/>
        <v>0</v>
      </c>
      <c r="BB15" s="1023">
        <f t="shared" si="21"/>
        <v>0</v>
      </c>
      <c r="BC15" s="1023">
        <f t="shared" si="22"/>
        <v>0</v>
      </c>
      <c r="BD15" s="1023">
        <f t="shared" si="23"/>
        <v>0</v>
      </c>
      <c r="BE15" s="1023">
        <f t="shared" si="24"/>
        <v>0</v>
      </c>
      <c r="BF15" s="1023">
        <f t="shared" si="25"/>
        <v>0</v>
      </c>
      <c r="BG15" s="1023">
        <f t="shared" si="26"/>
        <v>0</v>
      </c>
      <c r="BH15" s="1023">
        <f t="shared" si="27"/>
        <v>0</v>
      </c>
      <c r="BI15" s="1017"/>
      <c r="BJ15" s="1023">
        <f>IFERROR(IF(ISBLANK(I15),0,IF(I15="Standard",X15*VLOOKUP(V15,IncomeCycleData[],3,FALSE),X15)),0)</f>
        <v>0</v>
      </c>
      <c r="BK15" s="1023">
        <f t="shared" si="28"/>
        <v>0</v>
      </c>
      <c r="BL15" s="1023">
        <f t="shared" si="42"/>
        <v>0</v>
      </c>
      <c r="BM15" s="1023">
        <f t="shared" si="29"/>
        <v>0</v>
      </c>
      <c r="BN15" s="1023">
        <f t="shared" si="30"/>
        <v>0</v>
      </c>
      <c r="BO15" s="1023">
        <f t="shared" si="31"/>
        <v>0</v>
      </c>
      <c r="BP15" s="1023">
        <f t="shared" si="32"/>
        <v>0</v>
      </c>
      <c r="BQ15" s="1023">
        <f t="shared" si="33"/>
        <v>0</v>
      </c>
      <c r="BR15" s="1023">
        <f t="shared" si="34"/>
        <v>0</v>
      </c>
      <c r="BS15" s="1023">
        <f t="shared" si="35"/>
        <v>0</v>
      </c>
      <c r="BT15" s="1023">
        <f t="shared" si="36"/>
        <v>0</v>
      </c>
      <c r="BU15" s="1023">
        <f t="shared" si="37"/>
        <v>0</v>
      </c>
      <c r="BV15" s="1023">
        <f t="shared" si="38"/>
        <v>0</v>
      </c>
      <c r="BW15" s="1023">
        <f t="shared" si="39"/>
        <v>0</v>
      </c>
      <c r="BX15" s="1023">
        <f t="shared" si="40"/>
        <v>0</v>
      </c>
    </row>
    <row r="16" spans="1:76" ht="18.75" hidden="1" customHeight="1" x14ac:dyDescent="0.25">
      <c r="A16" s="176">
        <v>4</v>
      </c>
      <c r="B16" s="4"/>
      <c r="C16" s="1366"/>
      <c r="D16" s="1367"/>
      <c r="E16" s="682"/>
      <c r="F16" s="682"/>
      <c r="G16" s="682"/>
      <c r="H16" s="682" t="s">
        <v>9</v>
      </c>
      <c r="I16" s="682"/>
      <c r="J16" s="686"/>
      <c r="K16" s="686"/>
      <c r="L16" s="686"/>
      <c r="M16" s="686"/>
      <c r="N16" s="686"/>
      <c r="O16" s="686"/>
      <c r="P16" s="686"/>
      <c r="Q16" s="686"/>
      <c r="R16" s="686"/>
      <c r="S16" s="686"/>
      <c r="T16" s="686"/>
      <c r="U16" s="686"/>
      <c r="V16" s="685"/>
      <c r="W16" s="1368"/>
      <c r="X16" s="1368"/>
      <c r="Y16" s="1369" t="str">
        <f t="shared" si="0"/>
        <v/>
      </c>
      <c r="Z16" s="1370">
        <f t="shared" ref="Z16" si="44">IFERROR(AH16/12,0)</f>
        <v>0</v>
      </c>
      <c r="AA16" s="4"/>
      <c r="AB16" s="4"/>
      <c r="AC16" s="1063" t="b" cm="1">
        <f t="array" ref="AC16">OR(NOT(ISBLANK(C16:G16)),NOT(ISBLANK(I16:X16)))</f>
        <v>0</v>
      </c>
      <c r="AD16" s="1020" t="str">
        <f t="shared" si="1"/>
        <v>Incomplete data</v>
      </c>
      <c r="AE16" s="1021" t="str">
        <f>IFERROR(IF(D16&gt;VLOOKUP(E16,StateTable[],2,FALSE),"Yes","No"),"")</f>
        <v/>
      </c>
      <c r="AF16" s="1021" t="str">
        <f>IF(ISBLANK(F16),"",IF(IFERROR(VLOOKUP(1*F16,RiskPostcodeTable[],1,FALSE),0)&lt;&gt;0,"Yes","No"))</f>
        <v/>
      </c>
      <c r="AG16" s="1022">
        <f t="shared" si="2"/>
        <v>0.6</v>
      </c>
      <c r="AH16" s="1021">
        <f>IFERROR(IF(ISBLANK(I16),0,IF(I16="Standard",W16*VLOOKUP(V16,IncomeCycleData[],3,FALSE),W16)),0)</f>
        <v>0</v>
      </c>
      <c r="AI16" s="1021">
        <f t="shared" si="3"/>
        <v>0</v>
      </c>
      <c r="AJ16" s="1021">
        <f t="shared" si="4"/>
        <v>0</v>
      </c>
      <c r="AK16" s="1021">
        <f t="shared" si="5"/>
        <v>0</v>
      </c>
      <c r="AL16" s="1021">
        <f t="shared" si="6"/>
        <v>0</v>
      </c>
      <c r="AM16" s="1021">
        <f t="shared" si="7"/>
        <v>0</v>
      </c>
      <c r="AN16" s="1021">
        <f t="shared" si="8"/>
        <v>0</v>
      </c>
      <c r="AO16" s="1021">
        <f t="shared" si="9"/>
        <v>0</v>
      </c>
      <c r="AP16" s="1021">
        <f t="shared" si="10"/>
        <v>0</v>
      </c>
      <c r="AQ16" s="1021">
        <f t="shared" si="11"/>
        <v>0</v>
      </c>
      <c r="AR16" s="1021">
        <f t="shared" si="12"/>
        <v>0</v>
      </c>
      <c r="AS16" s="1021">
        <f t="shared" si="13"/>
        <v>0</v>
      </c>
      <c r="AT16" s="1021">
        <f t="shared" si="14"/>
        <v>0</v>
      </c>
      <c r="AU16" s="398"/>
      <c r="AV16" s="1023">
        <f t="shared" si="15"/>
        <v>0</v>
      </c>
      <c r="AW16" s="1023">
        <f t="shared" si="16"/>
        <v>0</v>
      </c>
      <c r="AX16" s="1023">
        <f t="shared" si="17"/>
        <v>0</v>
      </c>
      <c r="AY16" s="1023">
        <f t="shared" si="18"/>
        <v>0</v>
      </c>
      <c r="AZ16" s="1023">
        <f t="shared" si="19"/>
        <v>0</v>
      </c>
      <c r="BA16" s="1023">
        <f t="shared" si="20"/>
        <v>0</v>
      </c>
      <c r="BB16" s="1023">
        <f t="shared" si="21"/>
        <v>0</v>
      </c>
      <c r="BC16" s="1023">
        <f t="shared" si="22"/>
        <v>0</v>
      </c>
      <c r="BD16" s="1023">
        <f t="shared" si="23"/>
        <v>0</v>
      </c>
      <c r="BE16" s="1023">
        <f t="shared" si="24"/>
        <v>0</v>
      </c>
      <c r="BF16" s="1023">
        <f t="shared" si="25"/>
        <v>0</v>
      </c>
      <c r="BG16" s="1023">
        <f t="shared" si="26"/>
        <v>0</v>
      </c>
      <c r="BH16" s="1023">
        <f t="shared" si="27"/>
        <v>0</v>
      </c>
      <c r="BI16" s="1017"/>
      <c r="BJ16" s="1023">
        <f>IFERROR(IF(ISBLANK(I16),0,IF(I16="Standard",X16*VLOOKUP(V16,IncomeCycleData[],3,FALSE),X16)),0)</f>
        <v>0</v>
      </c>
      <c r="BK16" s="1023">
        <f t="shared" si="28"/>
        <v>0</v>
      </c>
      <c r="BL16" s="1023">
        <f t="shared" si="42"/>
        <v>0</v>
      </c>
      <c r="BM16" s="1023">
        <f t="shared" si="29"/>
        <v>0</v>
      </c>
      <c r="BN16" s="1023">
        <f t="shared" si="30"/>
        <v>0</v>
      </c>
      <c r="BO16" s="1023">
        <f t="shared" si="31"/>
        <v>0</v>
      </c>
      <c r="BP16" s="1023">
        <f t="shared" si="32"/>
        <v>0</v>
      </c>
      <c r="BQ16" s="1023">
        <f t="shared" si="33"/>
        <v>0</v>
      </c>
      <c r="BR16" s="1023">
        <f t="shared" si="34"/>
        <v>0</v>
      </c>
      <c r="BS16" s="1023">
        <f t="shared" si="35"/>
        <v>0</v>
      </c>
      <c r="BT16" s="1023">
        <f t="shared" si="36"/>
        <v>0</v>
      </c>
      <c r="BU16" s="1023">
        <f t="shared" si="37"/>
        <v>0</v>
      </c>
      <c r="BV16" s="1023">
        <f t="shared" si="38"/>
        <v>0</v>
      </c>
      <c r="BW16" s="1023">
        <f t="shared" si="39"/>
        <v>0</v>
      </c>
      <c r="BX16" s="1023">
        <f t="shared" si="40"/>
        <v>0</v>
      </c>
    </row>
    <row r="17" spans="1:76" ht="18.75" hidden="1" customHeight="1" x14ac:dyDescent="0.25">
      <c r="A17" s="176">
        <v>5</v>
      </c>
      <c r="B17" s="4"/>
      <c r="C17" s="1366"/>
      <c r="D17" s="1367"/>
      <c r="E17" s="682"/>
      <c r="F17" s="682"/>
      <c r="G17" s="682"/>
      <c r="H17" s="682" t="s">
        <v>9</v>
      </c>
      <c r="I17" s="682"/>
      <c r="J17" s="686"/>
      <c r="K17" s="686"/>
      <c r="L17" s="686"/>
      <c r="M17" s="686"/>
      <c r="N17" s="686"/>
      <c r="O17" s="686"/>
      <c r="P17" s="686"/>
      <c r="Q17" s="686"/>
      <c r="R17" s="686"/>
      <c r="S17" s="686"/>
      <c r="T17" s="686"/>
      <c r="U17" s="686"/>
      <c r="V17" s="685"/>
      <c r="W17" s="1368"/>
      <c r="X17" s="1368"/>
      <c r="Y17" s="1369" t="str">
        <f t="shared" si="0"/>
        <v/>
      </c>
      <c r="Z17" s="1370">
        <f t="shared" ref="Z17" si="45">IFERROR(AH17/12,0)</f>
        <v>0</v>
      </c>
      <c r="AA17" s="4"/>
      <c r="AB17" s="4"/>
      <c r="AC17" s="1063" t="b" cm="1">
        <f t="array" ref="AC17">OR(NOT(ISBLANK(C17:G17)),NOT(ISBLANK(I17:X17)))</f>
        <v>0</v>
      </c>
      <c r="AD17" s="1020" t="str">
        <f t="shared" si="1"/>
        <v>Incomplete data</v>
      </c>
      <c r="AE17" s="1021" t="str">
        <f>IFERROR(IF(D17&gt;VLOOKUP(E17,StateTable[],2,FALSE),"Yes","No"),"")</f>
        <v/>
      </c>
      <c r="AF17" s="1021" t="str">
        <f>IF(ISBLANK(F17),"",IF(IFERROR(VLOOKUP(1*F17,RiskPostcodeTable[],1,FALSE),0)&lt;&gt;0,"Yes","No"))</f>
        <v/>
      </c>
      <c r="AG17" s="1022">
        <f t="shared" si="2"/>
        <v>0.6</v>
      </c>
      <c r="AH17" s="1021">
        <f>IFERROR(IF(ISBLANK(I17),0,IF(I17="Standard",W17*VLOOKUP(V17,IncomeCycleData[],3,FALSE),W17)),0)</f>
        <v>0</v>
      </c>
      <c r="AI17" s="1021">
        <f t="shared" si="3"/>
        <v>0</v>
      </c>
      <c r="AJ17" s="1021">
        <f t="shared" si="4"/>
        <v>0</v>
      </c>
      <c r="AK17" s="1021">
        <f t="shared" si="5"/>
        <v>0</v>
      </c>
      <c r="AL17" s="1021">
        <f t="shared" si="6"/>
        <v>0</v>
      </c>
      <c r="AM17" s="1021">
        <f t="shared" si="7"/>
        <v>0</v>
      </c>
      <c r="AN17" s="1021">
        <f t="shared" si="8"/>
        <v>0</v>
      </c>
      <c r="AO17" s="1021">
        <f t="shared" si="9"/>
        <v>0</v>
      </c>
      <c r="AP17" s="1021">
        <f t="shared" si="10"/>
        <v>0</v>
      </c>
      <c r="AQ17" s="1021">
        <f t="shared" si="11"/>
        <v>0</v>
      </c>
      <c r="AR17" s="1021">
        <f t="shared" si="12"/>
        <v>0</v>
      </c>
      <c r="AS17" s="1021">
        <f t="shared" si="13"/>
        <v>0</v>
      </c>
      <c r="AT17" s="1021">
        <f t="shared" si="14"/>
        <v>0</v>
      </c>
      <c r="AU17" s="398"/>
      <c r="AV17" s="1023">
        <f t="shared" si="15"/>
        <v>0</v>
      </c>
      <c r="AW17" s="1023">
        <f t="shared" si="16"/>
        <v>0</v>
      </c>
      <c r="AX17" s="1023">
        <f t="shared" si="17"/>
        <v>0</v>
      </c>
      <c r="AY17" s="1023">
        <f t="shared" si="18"/>
        <v>0</v>
      </c>
      <c r="AZ17" s="1023">
        <f t="shared" si="19"/>
        <v>0</v>
      </c>
      <c r="BA17" s="1023">
        <f t="shared" si="20"/>
        <v>0</v>
      </c>
      <c r="BB17" s="1023">
        <f t="shared" si="21"/>
        <v>0</v>
      </c>
      <c r="BC17" s="1023">
        <f t="shared" si="22"/>
        <v>0</v>
      </c>
      <c r="BD17" s="1023">
        <f t="shared" si="23"/>
        <v>0</v>
      </c>
      <c r="BE17" s="1023">
        <f t="shared" si="24"/>
        <v>0</v>
      </c>
      <c r="BF17" s="1023">
        <f t="shared" si="25"/>
        <v>0</v>
      </c>
      <c r="BG17" s="1023">
        <f t="shared" si="26"/>
        <v>0</v>
      </c>
      <c r="BH17" s="1023">
        <f t="shared" si="27"/>
        <v>0</v>
      </c>
      <c r="BI17" s="1017"/>
      <c r="BJ17" s="1023">
        <f>IFERROR(IF(ISBLANK(I17),0,IF(I17="Standard",X17*VLOOKUP(V17,IncomeCycleData[],3,FALSE),X17)),0)</f>
        <v>0</v>
      </c>
      <c r="BK17" s="1023">
        <f t="shared" si="28"/>
        <v>0</v>
      </c>
      <c r="BL17" s="1023">
        <f t="shared" si="42"/>
        <v>0</v>
      </c>
      <c r="BM17" s="1023">
        <f t="shared" si="29"/>
        <v>0</v>
      </c>
      <c r="BN17" s="1023">
        <f t="shared" si="30"/>
        <v>0</v>
      </c>
      <c r="BO17" s="1023">
        <f t="shared" si="31"/>
        <v>0</v>
      </c>
      <c r="BP17" s="1023">
        <f t="shared" si="32"/>
        <v>0</v>
      </c>
      <c r="BQ17" s="1023">
        <f t="shared" si="33"/>
        <v>0</v>
      </c>
      <c r="BR17" s="1023">
        <f t="shared" si="34"/>
        <v>0</v>
      </c>
      <c r="BS17" s="1023">
        <f t="shared" si="35"/>
        <v>0</v>
      </c>
      <c r="BT17" s="1023">
        <f t="shared" si="36"/>
        <v>0</v>
      </c>
      <c r="BU17" s="1023">
        <f t="shared" si="37"/>
        <v>0</v>
      </c>
      <c r="BV17" s="1023">
        <f t="shared" si="38"/>
        <v>0</v>
      </c>
      <c r="BW17" s="1023">
        <f t="shared" si="39"/>
        <v>0</v>
      </c>
      <c r="BX17" s="1023">
        <f t="shared" si="40"/>
        <v>0</v>
      </c>
    </row>
    <row r="18" spans="1:76" ht="18.75" hidden="1" customHeight="1" x14ac:dyDescent="0.25">
      <c r="A18" s="176">
        <v>6</v>
      </c>
      <c r="B18" s="4"/>
      <c r="C18" s="1366"/>
      <c r="D18" s="1367"/>
      <c r="E18" s="682"/>
      <c r="F18" s="682"/>
      <c r="G18" s="682"/>
      <c r="H18" s="682" t="s">
        <v>9</v>
      </c>
      <c r="I18" s="682"/>
      <c r="J18" s="686"/>
      <c r="K18" s="686"/>
      <c r="L18" s="686"/>
      <c r="M18" s="686"/>
      <c r="N18" s="686"/>
      <c r="O18" s="686"/>
      <c r="P18" s="686"/>
      <c r="Q18" s="686"/>
      <c r="R18" s="686"/>
      <c r="S18" s="686"/>
      <c r="T18" s="686"/>
      <c r="U18" s="686"/>
      <c r="V18" s="685"/>
      <c r="W18" s="1368"/>
      <c r="X18" s="1368"/>
      <c r="Y18" s="1369" t="str">
        <f t="shared" si="0"/>
        <v/>
      </c>
      <c r="Z18" s="1370">
        <f t="shared" ref="Z18" si="46">IFERROR(AH18/12,0)</f>
        <v>0</v>
      </c>
      <c r="AA18" s="4"/>
      <c r="AB18" s="4"/>
      <c r="AC18" s="1063" t="b" cm="1">
        <f t="array" ref="AC18">OR(NOT(ISBLANK(C18:G18)),NOT(ISBLANK(I18:X18)))</f>
        <v>0</v>
      </c>
      <c r="AD18" s="1020" t="str">
        <f t="shared" si="1"/>
        <v>Incomplete data</v>
      </c>
      <c r="AE18" s="1021" t="str">
        <f>IFERROR(IF(D18&gt;VLOOKUP(E18,StateTable[],2,FALSE),"Yes","No"),"")</f>
        <v/>
      </c>
      <c r="AF18" s="1021" t="str">
        <f>IF(ISBLANK(F18),"",IF(IFERROR(VLOOKUP(1*F18,RiskPostcodeTable[],1,FALSE),0)&lt;&gt;0,"Yes","No"))</f>
        <v/>
      </c>
      <c r="AG18" s="1022">
        <f t="shared" si="2"/>
        <v>0.6</v>
      </c>
      <c r="AH18" s="1021">
        <f>IFERROR(IF(ISBLANK(I18),0,IF(I18="Standard",W18*VLOOKUP(V18,IncomeCycleData[],3,FALSE),W18)),0)</f>
        <v>0</v>
      </c>
      <c r="AI18" s="1021">
        <f t="shared" si="3"/>
        <v>0</v>
      </c>
      <c r="AJ18" s="1021">
        <f t="shared" si="4"/>
        <v>0</v>
      </c>
      <c r="AK18" s="1021">
        <f t="shared" si="5"/>
        <v>0</v>
      </c>
      <c r="AL18" s="1021">
        <f t="shared" si="6"/>
        <v>0</v>
      </c>
      <c r="AM18" s="1021">
        <f t="shared" si="7"/>
        <v>0</v>
      </c>
      <c r="AN18" s="1021">
        <f t="shared" si="8"/>
        <v>0</v>
      </c>
      <c r="AO18" s="1021">
        <f t="shared" si="9"/>
        <v>0</v>
      </c>
      <c r="AP18" s="1021">
        <f t="shared" si="10"/>
        <v>0</v>
      </c>
      <c r="AQ18" s="1021">
        <f t="shared" si="11"/>
        <v>0</v>
      </c>
      <c r="AR18" s="1021">
        <f t="shared" si="12"/>
        <v>0</v>
      </c>
      <c r="AS18" s="1021">
        <f t="shared" si="13"/>
        <v>0</v>
      </c>
      <c r="AT18" s="1021">
        <f t="shared" si="14"/>
        <v>0</v>
      </c>
      <c r="AU18" s="398"/>
      <c r="AV18" s="1023">
        <f t="shared" si="15"/>
        <v>0</v>
      </c>
      <c r="AW18" s="1023">
        <f t="shared" si="16"/>
        <v>0</v>
      </c>
      <c r="AX18" s="1023">
        <f t="shared" si="17"/>
        <v>0</v>
      </c>
      <c r="AY18" s="1023">
        <f t="shared" si="18"/>
        <v>0</v>
      </c>
      <c r="AZ18" s="1023">
        <f t="shared" si="19"/>
        <v>0</v>
      </c>
      <c r="BA18" s="1023">
        <f t="shared" si="20"/>
        <v>0</v>
      </c>
      <c r="BB18" s="1023">
        <f t="shared" si="21"/>
        <v>0</v>
      </c>
      <c r="BC18" s="1023">
        <f t="shared" si="22"/>
        <v>0</v>
      </c>
      <c r="BD18" s="1023">
        <f t="shared" si="23"/>
        <v>0</v>
      </c>
      <c r="BE18" s="1023">
        <f t="shared" si="24"/>
        <v>0</v>
      </c>
      <c r="BF18" s="1023">
        <f t="shared" si="25"/>
        <v>0</v>
      </c>
      <c r="BG18" s="1023">
        <f t="shared" si="26"/>
        <v>0</v>
      </c>
      <c r="BH18" s="1023">
        <f t="shared" si="27"/>
        <v>0</v>
      </c>
      <c r="BI18" s="1017"/>
      <c r="BJ18" s="1023">
        <f>IFERROR(IF(ISBLANK(I18),0,IF(I18="Standard",X18*VLOOKUP(V18,IncomeCycleData[],3,FALSE),X18)),0)</f>
        <v>0</v>
      </c>
      <c r="BK18" s="1023">
        <f t="shared" si="28"/>
        <v>0</v>
      </c>
      <c r="BL18" s="1023">
        <f t="shared" si="42"/>
        <v>0</v>
      </c>
      <c r="BM18" s="1023">
        <f t="shared" si="29"/>
        <v>0</v>
      </c>
      <c r="BN18" s="1023">
        <f t="shared" si="30"/>
        <v>0</v>
      </c>
      <c r="BO18" s="1023">
        <f t="shared" si="31"/>
        <v>0</v>
      </c>
      <c r="BP18" s="1023">
        <f t="shared" si="32"/>
        <v>0</v>
      </c>
      <c r="BQ18" s="1023">
        <f t="shared" si="33"/>
        <v>0</v>
      </c>
      <c r="BR18" s="1023">
        <f t="shared" si="34"/>
        <v>0</v>
      </c>
      <c r="BS18" s="1023">
        <f t="shared" si="35"/>
        <v>0</v>
      </c>
      <c r="BT18" s="1023">
        <f t="shared" si="36"/>
        <v>0</v>
      </c>
      <c r="BU18" s="1023">
        <f t="shared" si="37"/>
        <v>0</v>
      </c>
      <c r="BV18" s="1023">
        <f t="shared" si="38"/>
        <v>0</v>
      </c>
      <c r="BW18" s="1023">
        <f t="shared" si="39"/>
        <v>0</v>
      </c>
      <c r="BX18" s="1023">
        <f t="shared" si="40"/>
        <v>0</v>
      </c>
    </row>
    <row r="19" spans="1:76" ht="18.75" hidden="1" customHeight="1" x14ac:dyDescent="0.25">
      <c r="A19" s="176">
        <v>7</v>
      </c>
      <c r="B19" s="4"/>
      <c r="C19" s="1366"/>
      <c r="D19" s="1367"/>
      <c r="E19" s="682"/>
      <c r="F19" s="682"/>
      <c r="G19" s="682"/>
      <c r="H19" s="682" t="s">
        <v>9</v>
      </c>
      <c r="I19" s="682"/>
      <c r="J19" s="686"/>
      <c r="K19" s="686"/>
      <c r="L19" s="686"/>
      <c r="M19" s="686"/>
      <c r="N19" s="686"/>
      <c r="O19" s="686"/>
      <c r="P19" s="686"/>
      <c r="Q19" s="686"/>
      <c r="R19" s="686"/>
      <c r="S19" s="686"/>
      <c r="T19" s="686"/>
      <c r="U19" s="686"/>
      <c r="V19" s="685"/>
      <c r="W19" s="1368"/>
      <c r="X19" s="1368"/>
      <c r="Y19" s="1369" t="str">
        <f t="shared" si="0"/>
        <v/>
      </c>
      <c r="Z19" s="1370">
        <f t="shared" ref="Z19" si="47">IFERROR(AH19/12,0)</f>
        <v>0</v>
      </c>
      <c r="AA19" s="4"/>
      <c r="AB19" s="4"/>
      <c r="AC19" s="1063" t="b" cm="1">
        <f t="array" ref="AC19">OR(NOT(ISBLANK(C19:G19)),NOT(ISBLANK(I19:X19)))</f>
        <v>0</v>
      </c>
      <c r="AD19" s="1020" t="str">
        <f t="shared" si="1"/>
        <v>Incomplete data</v>
      </c>
      <c r="AE19" s="1021" t="str">
        <f>IFERROR(IF(D19&gt;VLOOKUP(E19,StateTable[],2,FALSE),"Yes","No"),"")</f>
        <v/>
      </c>
      <c r="AF19" s="1021" t="str">
        <f>IF(ISBLANK(F19),"",IF(IFERROR(VLOOKUP(1*F19,RiskPostcodeTable[],1,FALSE),0)&lt;&gt;0,"Yes","No"))</f>
        <v/>
      </c>
      <c r="AG19" s="1022">
        <f t="shared" si="2"/>
        <v>0.6</v>
      </c>
      <c r="AH19" s="1021">
        <f>IFERROR(IF(ISBLANK(I19),0,IF(I19="Standard",W19*VLOOKUP(V19,IncomeCycleData[],3,FALSE),W19)),0)</f>
        <v>0</v>
      </c>
      <c r="AI19" s="1021">
        <f t="shared" si="3"/>
        <v>0</v>
      </c>
      <c r="AJ19" s="1021">
        <f t="shared" si="4"/>
        <v>0</v>
      </c>
      <c r="AK19" s="1021">
        <f t="shared" si="5"/>
        <v>0</v>
      </c>
      <c r="AL19" s="1021">
        <f t="shared" si="6"/>
        <v>0</v>
      </c>
      <c r="AM19" s="1021">
        <f t="shared" si="7"/>
        <v>0</v>
      </c>
      <c r="AN19" s="1021">
        <f t="shared" si="8"/>
        <v>0</v>
      </c>
      <c r="AO19" s="1021">
        <f t="shared" si="9"/>
        <v>0</v>
      </c>
      <c r="AP19" s="1021">
        <f t="shared" si="10"/>
        <v>0</v>
      </c>
      <c r="AQ19" s="1021">
        <f t="shared" si="11"/>
        <v>0</v>
      </c>
      <c r="AR19" s="1021">
        <f t="shared" si="12"/>
        <v>0</v>
      </c>
      <c r="AS19" s="1021">
        <f t="shared" si="13"/>
        <v>0</v>
      </c>
      <c r="AT19" s="1021">
        <f t="shared" si="14"/>
        <v>0</v>
      </c>
      <c r="AU19" s="398"/>
      <c r="AV19" s="1023">
        <f t="shared" si="15"/>
        <v>0</v>
      </c>
      <c r="AW19" s="1023">
        <f t="shared" si="16"/>
        <v>0</v>
      </c>
      <c r="AX19" s="1023">
        <f t="shared" si="17"/>
        <v>0</v>
      </c>
      <c r="AY19" s="1023">
        <f t="shared" si="18"/>
        <v>0</v>
      </c>
      <c r="AZ19" s="1023">
        <f t="shared" si="19"/>
        <v>0</v>
      </c>
      <c r="BA19" s="1023">
        <f t="shared" si="20"/>
        <v>0</v>
      </c>
      <c r="BB19" s="1023">
        <f t="shared" si="21"/>
        <v>0</v>
      </c>
      <c r="BC19" s="1023">
        <f t="shared" si="22"/>
        <v>0</v>
      </c>
      <c r="BD19" s="1023">
        <f t="shared" si="23"/>
        <v>0</v>
      </c>
      <c r="BE19" s="1023">
        <f t="shared" si="24"/>
        <v>0</v>
      </c>
      <c r="BF19" s="1023">
        <f t="shared" si="25"/>
        <v>0</v>
      </c>
      <c r="BG19" s="1023">
        <f t="shared" si="26"/>
        <v>0</v>
      </c>
      <c r="BH19" s="1023">
        <f t="shared" si="27"/>
        <v>0</v>
      </c>
      <c r="BI19" s="1017"/>
      <c r="BJ19" s="1023">
        <f>IFERROR(IF(ISBLANK(I19),0,IF(I19="Standard",X19*VLOOKUP(V19,IncomeCycleData[],3,FALSE),X19)),0)</f>
        <v>0</v>
      </c>
      <c r="BK19" s="1023">
        <f t="shared" si="28"/>
        <v>0</v>
      </c>
      <c r="BL19" s="1023">
        <f t="shared" si="42"/>
        <v>0</v>
      </c>
      <c r="BM19" s="1023">
        <f t="shared" si="29"/>
        <v>0</v>
      </c>
      <c r="BN19" s="1023">
        <f t="shared" si="30"/>
        <v>0</v>
      </c>
      <c r="BO19" s="1023">
        <f t="shared" si="31"/>
        <v>0</v>
      </c>
      <c r="BP19" s="1023">
        <f t="shared" si="32"/>
        <v>0</v>
      </c>
      <c r="BQ19" s="1023">
        <f t="shared" si="33"/>
        <v>0</v>
      </c>
      <c r="BR19" s="1023">
        <f t="shared" si="34"/>
        <v>0</v>
      </c>
      <c r="BS19" s="1023">
        <f t="shared" si="35"/>
        <v>0</v>
      </c>
      <c r="BT19" s="1023">
        <f t="shared" si="36"/>
        <v>0</v>
      </c>
      <c r="BU19" s="1023">
        <f t="shared" si="37"/>
        <v>0</v>
      </c>
      <c r="BV19" s="1023">
        <f t="shared" si="38"/>
        <v>0</v>
      </c>
      <c r="BW19" s="1023">
        <f t="shared" si="39"/>
        <v>0</v>
      </c>
      <c r="BX19" s="1023">
        <f t="shared" si="40"/>
        <v>0</v>
      </c>
    </row>
    <row r="20" spans="1:76" ht="18.75" hidden="1" customHeight="1" x14ac:dyDescent="0.25">
      <c r="A20" s="176">
        <v>8</v>
      </c>
      <c r="B20" s="4"/>
      <c r="C20" s="1366"/>
      <c r="D20" s="1367"/>
      <c r="E20" s="682"/>
      <c r="F20" s="682"/>
      <c r="G20" s="682"/>
      <c r="H20" s="682" t="s">
        <v>9</v>
      </c>
      <c r="I20" s="682"/>
      <c r="J20" s="686"/>
      <c r="K20" s="686"/>
      <c r="L20" s="686"/>
      <c r="M20" s="686"/>
      <c r="N20" s="686"/>
      <c r="O20" s="686"/>
      <c r="P20" s="686"/>
      <c r="Q20" s="686"/>
      <c r="R20" s="686"/>
      <c r="S20" s="686"/>
      <c r="T20" s="686"/>
      <c r="U20" s="686"/>
      <c r="V20" s="685"/>
      <c r="W20" s="1368"/>
      <c r="X20" s="1368"/>
      <c r="Y20" s="1369" t="str">
        <f t="shared" si="0"/>
        <v/>
      </c>
      <c r="Z20" s="1370">
        <f t="shared" ref="Z20" si="48">IFERROR(AH20/12,0)</f>
        <v>0</v>
      </c>
      <c r="AA20" s="4"/>
      <c r="AB20" s="4"/>
      <c r="AC20" s="1063" t="b" cm="1">
        <f t="array" ref="AC20">OR(NOT(ISBLANK(C20:G20)),NOT(ISBLANK(I20:X20)))</f>
        <v>0</v>
      </c>
      <c r="AD20" s="1020" t="str">
        <f t="shared" si="1"/>
        <v>Incomplete data</v>
      </c>
      <c r="AE20" s="1021" t="str">
        <f>IFERROR(IF(D20&gt;VLOOKUP(E20,StateTable[],2,FALSE),"Yes","No"),"")</f>
        <v/>
      </c>
      <c r="AF20" s="1021" t="str">
        <f>IF(ISBLANK(F20),"",IF(IFERROR(VLOOKUP(1*F20,RiskPostcodeTable[],1,FALSE),0)&lt;&gt;0,"Yes","No"))</f>
        <v/>
      </c>
      <c r="AG20" s="1022">
        <f t="shared" si="2"/>
        <v>0.6</v>
      </c>
      <c r="AH20" s="1021">
        <f>IFERROR(IF(ISBLANK(I20),0,IF(I20="Standard",W20*VLOOKUP(V20,IncomeCycleData[],3,FALSE),W20)),0)</f>
        <v>0</v>
      </c>
      <c r="AI20" s="1021">
        <f t="shared" si="3"/>
        <v>0</v>
      </c>
      <c r="AJ20" s="1021">
        <f t="shared" si="4"/>
        <v>0</v>
      </c>
      <c r="AK20" s="1021">
        <f t="shared" si="5"/>
        <v>0</v>
      </c>
      <c r="AL20" s="1021">
        <f t="shared" si="6"/>
        <v>0</v>
      </c>
      <c r="AM20" s="1021">
        <f t="shared" si="7"/>
        <v>0</v>
      </c>
      <c r="AN20" s="1021">
        <f t="shared" si="8"/>
        <v>0</v>
      </c>
      <c r="AO20" s="1021">
        <f t="shared" si="9"/>
        <v>0</v>
      </c>
      <c r="AP20" s="1021">
        <f t="shared" si="10"/>
        <v>0</v>
      </c>
      <c r="AQ20" s="1021">
        <f t="shared" si="11"/>
        <v>0</v>
      </c>
      <c r="AR20" s="1021">
        <f t="shared" si="12"/>
        <v>0</v>
      </c>
      <c r="AS20" s="1021">
        <f t="shared" si="13"/>
        <v>0</v>
      </c>
      <c r="AT20" s="1021">
        <f t="shared" si="14"/>
        <v>0</v>
      </c>
      <c r="AU20" s="398"/>
      <c r="AV20" s="1023">
        <f t="shared" si="15"/>
        <v>0</v>
      </c>
      <c r="AW20" s="1023">
        <f t="shared" si="16"/>
        <v>0</v>
      </c>
      <c r="AX20" s="1023">
        <f t="shared" si="17"/>
        <v>0</v>
      </c>
      <c r="AY20" s="1023">
        <f t="shared" si="18"/>
        <v>0</v>
      </c>
      <c r="AZ20" s="1023">
        <f t="shared" si="19"/>
        <v>0</v>
      </c>
      <c r="BA20" s="1023">
        <f t="shared" si="20"/>
        <v>0</v>
      </c>
      <c r="BB20" s="1023">
        <f t="shared" si="21"/>
        <v>0</v>
      </c>
      <c r="BC20" s="1023">
        <f t="shared" si="22"/>
        <v>0</v>
      </c>
      <c r="BD20" s="1023">
        <f t="shared" si="23"/>
        <v>0</v>
      </c>
      <c r="BE20" s="1023">
        <f t="shared" si="24"/>
        <v>0</v>
      </c>
      <c r="BF20" s="1023">
        <f t="shared" si="25"/>
        <v>0</v>
      </c>
      <c r="BG20" s="1023">
        <f t="shared" si="26"/>
        <v>0</v>
      </c>
      <c r="BH20" s="1023">
        <f t="shared" si="27"/>
        <v>0</v>
      </c>
      <c r="BI20" s="1017"/>
      <c r="BJ20" s="1023">
        <f>IFERROR(IF(ISBLANK(I20),0,IF(I20="Standard",X20*VLOOKUP(V20,IncomeCycleData[],3,FALSE),X20)),0)</f>
        <v>0</v>
      </c>
      <c r="BK20" s="1023">
        <f t="shared" si="28"/>
        <v>0</v>
      </c>
      <c r="BL20" s="1023">
        <f t="shared" si="42"/>
        <v>0</v>
      </c>
      <c r="BM20" s="1023">
        <f t="shared" si="29"/>
        <v>0</v>
      </c>
      <c r="BN20" s="1023">
        <f t="shared" si="30"/>
        <v>0</v>
      </c>
      <c r="BO20" s="1023">
        <f t="shared" si="31"/>
        <v>0</v>
      </c>
      <c r="BP20" s="1023">
        <f t="shared" si="32"/>
        <v>0</v>
      </c>
      <c r="BQ20" s="1023">
        <f t="shared" si="33"/>
        <v>0</v>
      </c>
      <c r="BR20" s="1023">
        <f t="shared" si="34"/>
        <v>0</v>
      </c>
      <c r="BS20" s="1023">
        <f t="shared" si="35"/>
        <v>0</v>
      </c>
      <c r="BT20" s="1023">
        <f t="shared" si="36"/>
        <v>0</v>
      </c>
      <c r="BU20" s="1023">
        <f t="shared" si="37"/>
        <v>0</v>
      </c>
      <c r="BV20" s="1023">
        <f t="shared" si="38"/>
        <v>0</v>
      </c>
      <c r="BW20" s="1023">
        <f t="shared" si="39"/>
        <v>0</v>
      </c>
      <c r="BX20" s="1023">
        <f t="shared" si="40"/>
        <v>0</v>
      </c>
    </row>
    <row r="21" spans="1:76" ht="18.75" hidden="1" customHeight="1" x14ac:dyDescent="0.25">
      <c r="A21" s="176">
        <v>9</v>
      </c>
      <c r="B21" s="4"/>
      <c r="C21" s="1366"/>
      <c r="D21" s="1367"/>
      <c r="E21" s="682"/>
      <c r="F21" s="682"/>
      <c r="G21" s="682"/>
      <c r="H21" s="682" t="s">
        <v>9</v>
      </c>
      <c r="I21" s="682"/>
      <c r="J21" s="686"/>
      <c r="K21" s="686"/>
      <c r="L21" s="686"/>
      <c r="M21" s="686"/>
      <c r="N21" s="686"/>
      <c r="O21" s="686"/>
      <c r="P21" s="686"/>
      <c r="Q21" s="686"/>
      <c r="R21" s="686"/>
      <c r="S21" s="686"/>
      <c r="T21" s="686"/>
      <c r="U21" s="686"/>
      <c r="V21" s="685"/>
      <c r="W21" s="1368"/>
      <c r="X21" s="1368"/>
      <c r="Y21" s="1369" t="str">
        <f t="shared" si="0"/>
        <v/>
      </c>
      <c r="Z21" s="1370">
        <f t="shared" ref="Z21" si="49">IFERROR(AH21/12,0)</f>
        <v>0</v>
      </c>
      <c r="AA21" s="27"/>
      <c r="AB21" s="27"/>
      <c r="AC21" s="1063" t="b" cm="1">
        <f t="array" ref="AC21">OR(NOT(ISBLANK(C21:G21)),NOT(ISBLANK(I21:X21)))</f>
        <v>0</v>
      </c>
      <c r="AD21" s="1020" t="str">
        <f t="shared" si="1"/>
        <v>Incomplete data</v>
      </c>
      <c r="AE21" s="1021" t="str">
        <f>IFERROR(IF(D21&gt;VLOOKUP(E21,StateTable[],2,FALSE),"Yes","No"),"")</f>
        <v/>
      </c>
      <c r="AF21" s="1021" t="str">
        <f>IF(ISBLANK(F21),"",IF(IFERROR(VLOOKUP(1*F21,RiskPostcodeTable[],1,FALSE),0)&lt;&gt;0,"Yes","No"))</f>
        <v/>
      </c>
      <c r="AG21" s="1022">
        <f t="shared" si="2"/>
        <v>0.6</v>
      </c>
      <c r="AH21" s="1021">
        <f>IFERROR(IF(ISBLANK(I21),0,IF(I21="Standard",W21*VLOOKUP(V21,IncomeCycleData[],3,FALSE),W21)),0)</f>
        <v>0</v>
      </c>
      <c r="AI21" s="1021">
        <f t="shared" si="3"/>
        <v>0</v>
      </c>
      <c r="AJ21" s="1021">
        <f t="shared" si="4"/>
        <v>0</v>
      </c>
      <c r="AK21" s="1021">
        <f t="shared" si="5"/>
        <v>0</v>
      </c>
      <c r="AL21" s="1021">
        <f t="shared" si="6"/>
        <v>0</v>
      </c>
      <c r="AM21" s="1021">
        <f t="shared" si="7"/>
        <v>0</v>
      </c>
      <c r="AN21" s="1021">
        <f t="shared" si="8"/>
        <v>0</v>
      </c>
      <c r="AO21" s="1021">
        <f t="shared" si="9"/>
        <v>0</v>
      </c>
      <c r="AP21" s="1021">
        <f t="shared" si="10"/>
        <v>0</v>
      </c>
      <c r="AQ21" s="1021">
        <f t="shared" si="11"/>
        <v>0</v>
      </c>
      <c r="AR21" s="1021">
        <f t="shared" si="12"/>
        <v>0</v>
      </c>
      <c r="AS21" s="1021">
        <f t="shared" si="13"/>
        <v>0</v>
      </c>
      <c r="AT21" s="1021">
        <f t="shared" si="14"/>
        <v>0</v>
      </c>
      <c r="AU21" s="398"/>
      <c r="AV21" s="1023">
        <f t="shared" si="15"/>
        <v>0</v>
      </c>
      <c r="AW21" s="1023">
        <f t="shared" si="16"/>
        <v>0</v>
      </c>
      <c r="AX21" s="1023">
        <f t="shared" si="17"/>
        <v>0</v>
      </c>
      <c r="AY21" s="1023">
        <f t="shared" si="18"/>
        <v>0</v>
      </c>
      <c r="AZ21" s="1023">
        <f t="shared" si="19"/>
        <v>0</v>
      </c>
      <c r="BA21" s="1023">
        <f t="shared" si="20"/>
        <v>0</v>
      </c>
      <c r="BB21" s="1023">
        <f t="shared" si="21"/>
        <v>0</v>
      </c>
      <c r="BC21" s="1023">
        <f t="shared" si="22"/>
        <v>0</v>
      </c>
      <c r="BD21" s="1023">
        <f t="shared" si="23"/>
        <v>0</v>
      </c>
      <c r="BE21" s="1023">
        <f t="shared" si="24"/>
        <v>0</v>
      </c>
      <c r="BF21" s="1023">
        <f t="shared" si="25"/>
        <v>0</v>
      </c>
      <c r="BG21" s="1023">
        <f t="shared" si="26"/>
        <v>0</v>
      </c>
      <c r="BH21" s="1023">
        <f t="shared" si="27"/>
        <v>0</v>
      </c>
      <c r="BI21" s="1017"/>
      <c r="BJ21" s="1023">
        <f>IFERROR(IF(ISBLANK(I21),0,IF(I21="Standard",X21*VLOOKUP(V21,IncomeCycleData[],3,FALSE),X21)),0)</f>
        <v>0</v>
      </c>
      <c r="BK21" s="1023">
        <f t="shared" si="28"/>
        <v>0</v>
      </c>
      <c r="BL21" s="1023">
        <f t="shared" si="42"/>
        <v>0</v>
      </c>
      <c r="BM21" s="1023">
        <f t="shared" si="29"/>
        <v>0</v>
      </c>
      <c r="BN21" s="1023">
        <f t="shared" si="30"/>
        <v>0</v>
      </c>
      <c r="BO21" s="1023">
        <f t="shared" si="31"/>
        <v>0</v>
      </c>
      <c r="BP21" s="1023">
        <f t="shared" si="32"/>
        <v>0</v>
      </c>
      <c r="BQ21" s="1023">
        <f t="shared" si="33"/>
        <v>0</v>
      </c>
      <c r="BR21" s="1023">
        <f t="shared" si="34"/>
        <v>0</v>
      </c>
      <c r="BS21" s="1023">
        <f t="shared" si="35"/>
        <v>0</v>
      </c>
      <c r="BT21" s="1023">
        <f t="shared" si="36"/>
        <v>0</v>
      </c>
      <c r="BU21" s="1023">
        <f t="shared" si="37"/>
        <v>0</v>
      </c>
      <c r="BV21" s="1023">
        <f t="shared" si="38"/>
        <v>0</v>
      </c>
      <c r="BW21" s="1023">
        <f t="shared" si="39"/>
        <v>0</v>
      </c>
      <c r="BX21" s="1023">
        <f t="shared" si="40"/>
        <v>0</v>
      </c>
    </row>
    <row r="22" spans="1:76" ht="18.75" hidden="1" customHeight="1" x14ac:dyDescent="0.25">
      <c r="A22" s="176">
        <v>10</v>
      </c>
      <c r="B22" s="4"/>
      <c r="C22" s="1366"/>
      <c r="D22" s="1367"/>
      <c r="E22" s="682"/>
      <c r="F22" s="682"/>
      <c r="G22" s="682"/>
      <c r="H22" s="682" t="s">
        <v>9</v>
      </c>
      <c r="I22" s="682"/>
      <c r="J22" s="686"/>
      <c r="K22" s="686"/>
      <c r="L22" s="686"/>
      <c r="M22" s="686"/>
      <c r="N22" s="686"/>
      <c r="O22" s="686"/>
      <c r="P22" s="686"/>
      <c r="Q22" s="686"/>
      <c r="R22" s="686"/>
      <c r="S22" s="686"/>
      <c r="T22" s="686"/>
      <c r="U22" s="686"/>
      <c r="V22" s="685"/>
      <c r="W22" s="1368"/>
      <c r="X22" s="1368"/>
      <c r="Y22" s="1369" t="str">
        <f t="shared" si="0"/>
        <v/>
      </c>
      <c r="Z22" s="1370">
        <f t="shared" ref="Z22" si="50">IFERROR(AH22/12,0)</f>
        <v>0</v>
      </c>
      <c r="AA22" s="4"/>
      <c r="AB22" s="4"/>
      <c r="AC22" s="1063" t="b" cm="1">
        <f t="array" ref="AC22">OR(NOT(ISBLANK(C22:G22)),NOT(ISBLANK(I22:X22)))</f>
        <v>0</v>
      </c>
      <c r="AD22" s="1020" t="str">
        <f t="shared" si="1"/>
        <v>Incomplete data</v>
      </c>
      <c r="AE22" s="1021" t="str">
        <f>IFERROR(IF(D22&gt;VLOOKUP(E22,StateTable[],2,FALSE),"Yes","No"),"")</f>
        <v/>
      </c>
      <c r="AF22" s="1021" t="str">
        <f>IF(ISBLANK(F22),"",IF(IFERROR(VLOOKUP(1*F22,RiskPostcodeTable[],1,FALSE),0)&lt;&gt;0,"Yes","No"))</f>
        <v/>
      </c>
      <c r="AG22" s="1022">
        <f t="shared" si="2"/>
        <v>0.6</v>
      </c>
      <c r="AH22" s="1021">
        <f>IFERROR(IF(ISBLANK(I22),0,IF(I22="Standard",W22*VLOOKUP(V22,IncomeCycleData[],3,FALSE),W22)),0)</f>
        <v>0</v>
      </c>
      <c r="AI22" s="1021">
        <f t="shared" si="3"/>
        <v>0</v>
      </c>
      <c r="AJ22" s="1021">
        <f t="shared" si="4"/>
        <v>0</v>
      </c>
      <c r="AK22" s="1021">
        <f t="shared" si="5"/>
        <v>0</v>
      </c>
      <c r="AL22" s="1021">
        <f t="shared" si="6"/>
        <v>0</v>
      </c>
      <c r="AM22" s="1021">
        <f t="shared" si="7"/>
        <v>0</v>
      </c>
      <c r="AN22" s="1021">
        <f t="shared" si="8"/>
        <v>0</v>
      </c>
      <c r="AO22" s="1021">
        <f t="shared" si="9"/>
        <v>0</v>
      </c>
      <c r="AP22" s="1021">
        <f t="shared" si="10"/>
        <v>0</v>
      </c>
      <c r="AQ22" s="1021">
        <f t="shared" si="11"/>
        <v>0</v>
      </c>
      <c r="AR22" s="1021">
        <f t="shared" si="12"/>
        <v>0</v>
      </c>
      <c r="AS22" s="1021">
        <f t="shared" si="13"/>
        <v>0</v>
      </c>
      <c r="AT22" s="1021">
        <f t="shared" si="14"/>
        <v>0</v>
      </c>
      <c r="AU22" s="398"/>
      <c r="AV22" s="1023">
        <f t="shared" si="15"/>
        <v>0</v>
      </c>
      <c r="AW22" s="1023">
        <f t="shared" si="16"/>
        <v>0</v>
      </c>
      <c r="AX22" s="1023">
        <f t="shared" si="17"/>
        <v>0</v>
      </c>
      <c r="AY22" s="1023">
        <f t="shared" si="18"/>
        <v>0</v>
      </c>
      <c r="AZ22" s="1023">
        <f t="shared" si="19"/>
        <v>0</v>
      </c>
      <c r="BA22" s="1023">
        <f t="shared" si="20"/>
        <v>0</v>
      </c>
      <c r="BB22" s="1023">
        <f t="shared" si="21"/>
        <v>0</v>
      </c>
      <c r="BC22" s="1023">
        <f t="shared" si="22"/>
        <v>0</v>
      </c>
      <c r="BD22" s="1023">
        <f t="shared" si="23"/>
        <v>0</v>
      </c>
      <c r="BE22" s="1023">
        <f t="shared" si="24"/>
        <v>0</v>
      </c>
      <c r="BF22" s="1023">
        <f t="shared" si="25"/>
        <v>0</v>
      </c>
      <c r="BG22" s="1023">
        <f t="shared" si="26"/>
        <v>0</v>
      </c>
      <c r="BH22" s="1023">
        <f t="shared" si="27"/>
        <v>0</v>
      </c>
      <c r="BI22" s="1017"/>
      <c r="BJ22" s="1023">
        <f>IFERROR(IF(ISBLANK(I22),0,IF(I22="Standard",X22*VLOOKUP(V22,IncomeCycleData[],3,FALSE),X22)),0)</f>
        <v>0</v>
      </c>
      <c r="BK22" s="1023">
        <f t="shared" si="28"/>
        <v>0</v>
      </c>
      <c r="BL22" s="1023">
        <f t="shared" si="42"/>
        <v>0</v>
      </c>
      <c r="BM22" s="1023">
        <f t="shared" si="29"/>
        <v>0</v>
      </c>
      <c r="BN22" s="1023">
        <f t="shared" si="30"/>
        <v>0</v>
      </c>
      <c r="BO22" s="1023">
        <f t="shared" si="31"/>
        <v>0</v>
      </c>
      <c r="BP22" s="1023">
        <f t="shared" si="32"/>
        <v>0</v>
      </c>
      <c r="BQ22" s="1023">
        <f t="shared" si="33"/>
        <v>0</v>
      </c>
      <c r="BR22" s="1023">
        <f t="shared" si="34"/>
        <v>0</v>
      </c>
      <c r="BS22" s="1023">
        <f t="shared" si="35"/>
        <v>0</v>
      </c>
      <c r="BT22" s="1023">
        <f t="shared" si="36"/>
        <v>0</v>
      </c>
      <c r="BU22" s="1023">
        <f t="shared" si="37"/>
        <v>0</v>
      </c>
      <c r="BV22" s="1023">
        <f t="shared" si="38"/>
        <v>0</v>
      </c>
      <c r="BW22" s="1023">
        <f t="shared" si="39"/>
        <v>0</v>
      </c>
      <c r="BX22" s="1023">
        <f t="shared" si="40"/>
        <v>0</v>
      </c>
    </row>
    <row r="23" spans="1:76" ht="18.75" hidden="1" customHeight="1" x14ac:dyDescent="0.25">
      <c r="A23" s="176">
        <v>11</v>
      </c>
      <c r="B23" s="4"/>
      <c r="C23" s="1366"/>
      <c r="D23" s="1367"/>
      <c r="E23" s="682"/>
      <c r="F23" s="682"/>
      <c r="G23" s="682"/>
      <c r="H23" s="682" t="s">
        <v>9</v>
      </c>
      <c r="I23" s="682"/>
      <c r="J23" s="686"/>
      <c r="K23" s="686"/>
      <c r="L23" s="686"/>
      <c r="M23" s="686"/>
      <c r="N23" s="686"/>
      <c r="O23" s="686"/>
      <c r="P23" s="686"/>
      <c r="Q23" s="686"/>
      <c r="R23" s="686"/>
      <c r="S23" s="686"/>
      <c r="T23" s="686"/>
      <c r="U23" s="686"/>
      <c r="V23" s="685"/>
      <c r="W23" s="1368"/>
      <c r="X23" s="1368"/>
      <c r="Y23" s="1369" t="str">
        <f t="shared" si="0"/>
        <v/>
      </c>
      <c r="Z23" s="1370">
        <f t="shared" ref="Z23" si="51">IFERROR(AH23/12,0)</f>
        <v>0</v>
      </c>
      <c r="AA23" s="4"/>
      <c r="AB23" s="4"/>
      <c r="AC23" s="1063" t="b" cm="1">
        <f t="array" ref="AC23">OR(NOT(ISBLANK(C23:G23)),NOT(ISBLANK(I23:X23)))</f>
        <v>0</v>
      </c>
      <c r="AD23" s="1020" t="str">
        <f t="shared" si="1"/>
        <v>Incomplete data</v>
      </c>
      <c r="AE23" s="1021" t="str">
        <f>IFERROR(IF(D23&gt;VLOOKUP(E23,StateTable[],2,FALSE),"Yes","No"),"")</f>
        <v/>
      </c>
      <c r="AF23" s="1021" t="str">
        <f>IF(ISBLANK(F23),"",IF(IFERROR(VLOOKUP(1*F23,RiskPostcodeTable[],1,FALSE),0)&lt;&gt;0,"Yes","No"))</f>
        <v/>
      </c>
      <c r="AG23" s="1022">
        <f t="shared" si="2"/>
        <v>0.6</v>
      </c>
      <c r="AH23" s="1021">
        <f>IFERROR(IF(ISBLANK(I23),0,IF(I23="Standard",W23*VLOOKUP(V23,IncomeCycleData[],3,FALSE),W23)),0)</f>
        <v>0</v>
      </c>
      <c r="AI23" s="1021">
        <f t="shared" si="3"/>
        <v>0</v>
      </c>
      <c r="AJ23" s="1021">
        <f t="shared" si="4"/>
        <v>0</v>
      </c>
      <c r="AK23" s="1021">
        <f t="shared" si="5"/>
        <v>0</v>
      </c>
      <c r="AL23" s="1021">
        <f t="shared" si="6"/>
        <v>0</v>
      </c>
      <c r="AM23" s="1021">
        <f t="shared" si="7"/>
        <v>0</v>
      </c>
      <c r="AN23" s="1021">
        <f t="shared" si="8"/>
        <v>0</v>
      </c>
      <c r="AO23" s="1021">
        <f t="shared" si="9"/>
        <v>0</v>
      </c>
      <c r="AP23" s="1021">
        <f t="shared" si="10"/>
        <v>0</v>
      </c>
      <c r="AQ23" s="1021">
        <f t="shared" si="11"/>
        <v>0</v>
      </c>
      <c r="AR23" s="1021">
        <f t="shared" si="12"/>
        <v>0</v>
      </c>
      <c r="AS23" s="1021">
        <f t="shared" si="13"/>
        <v>0</v>
      </c>
      <c r="AT23" s="1021">
        <f t="shared" si="14"/>
        <v>0</v>
      </c>
      <c r="AU23" s="398"/>
      <c r="AV23" s="1023">
        <f t="shared" si="15"/>
        <v>0</v>
      </c>
      <c r="AW23" s="1023">
        <f t="shared" si="16"/>
        <v>0</v>
      </c>
      <c r="AX23" s="1023">
        <f t="shared" si="17"/>
        <v>0</v>
      </c>
      <c r="AY23" s="1023">
        <f t="shared" si="18"/>
        <v>0</v>
      </c>
      <c r="AZ23" s="1023">
        <f t="shared" si="19"/>
        <v>0</v>
      </c>
      <c r="BA23" s="1023">
        <f t="shared" si="20"/>
        <v>0</v>
      </c>
      <c r="BB23" s="1023">
        <f t="shared" si="21"/>
        <v>0</v>
      </c>
      <c r="BC23" s="1023">
        <f t="shared" si="22"/>
        <v>0</v>
      </c>
      <c r="BD23" s="1023">
        <f t="shared" si="23"/>
        <v>0</v>
      </c>
      <c r="BE23" s="1023">
        <f t="shared" si="24"/>
        <v>0</v>
      </c>
      <c r="BF23" s="1023">
        <f t="shared" si="25"/>
        <v>0</v>
      </c>
      <c r="BG23" s="1023">
        <f t="shared" si="26"/>
        <v>0</v>
      </c>
      <c r="BH23" s="1023">
        <f t="shared" si="27"/>
        <v>0</v>
      </c>
      <c r="BI23" s="1017"/>
      <c r="BJ23" s="1023">
        <f>IFERROR(IF(ISBLANK(I23),0,IF(I23="Standard",X23*VLOOKUP(V23,IncomeCycleData[],3,FALSE),X23)),0)</f>
        <v>0</v>
      </c>
      <c r="BK23" s="1023">
        <f t="shared" si="28"/>
        <v>0</v>
      </c>
      <c r="BL23" s="1023">
        <f t="shared" si="42"/>
        <v>0</v>
      </c>
      <c r="BM23" s="1023">
        <f t="shared" si="29"/>
        <v>0</v>
      </c>
      <c r="BN23" s="1023">
        <f t="shared" si="30"/>
        <v>0</v>
      </c>
      <c r="BO23" s="1023">
        <f t="shared" si="31"/>
        <v>0</v>
      </c>
      <c r="BP23" s="1023">
        <f t="shared" si="32"/>
        <v>0</v>
      </c>
      <c r="BQ23" s="1023">
        <f t="shared" si="33"/>
        <v>0</v>
      </c>
      <c r="BR23" s="1023">
        <f t="shared" si="34"/>
        <v>0</v>
      </c>
      <c r="BS23" s="1023">
        <f t="shared" si="35"/>
        <v>0</v>
      </c>
      <c r="BT23" s="1023">
        <f t="shared" si="36"/>
        <v>0</v>
      </c>
      <c r="BU23" s="1023">
        <f t="shared" si="37"/>
        <v>0</v>
      </c>
      <c r="BV23" s="1023">
        <f t="shared" si="38"/>
        <v>0</v>
      </c>
      <c r="BW23" s="1023">
        <f t="shared" si="39"/>
        <v>0</v>
      </c>
      <c r="BX23" s="1023">
        <f t="shared" si="40"/>
        <v>0</v>
      </c>
    </row>
    <row r="24" spans="1:76" ht="18.75" hidden="1" customHeight="1" x14ac:dyDescent="0.25">
      <c r="A24" s="176">
        <v>12</v>
      </c>
      <c r="B24" s="4"/>
      <c r="C24" s="1366"/>
      <c r="D24" s="1367"/>
      <c r="E24" s="682"/>
      <c r="F24" s="682"/>
      <c r="G24" s="682"/>
      <c r="H24" s="682" t="s">
        <v>9</v>
      </c>
      <c r="I24" s="682"/>
      <c r="J24" s="686"/>
      <c r="K24" s="686"/>
      <c r="L24" s="686"/>
      <c r="M24" s="686"/>
      <c r="N24" s="686"/>
      <c r="O24" s="686"/>
      <c r="P24" s="686"/>
      <c r="Q24" s="686"/>
      <c r="R24" s="686"/>
      <c r="S24" s="686"/>
      <c r="T24" s="686"/>
      <c r="U24" s="686"/>
      <c r="V24" s="685"/>
      <c r="W24" s="1368"/>
      <c r="X24" s="1368"/>
      <c r="Y24" s="1369" t="str">
        <f t="shared" si="0"/>
        <v/>
      </c>
      <c r="Z24" s="1370">
        <f t="shared" ref="Z24" si="52">IFERROR(AH24/12,0)</f>
        <v>0</v>
      </c>
      <c r="AA24" s="4"/>
      <c r="AB24" s="4"/>
      <c r="AC24" s="1063" t="b" cm="1">
        <f t="array" ref="AC24">OR(NOT(ISBLANK(C24:G24)),NOT(ISBLANK(I24:X24)))</f>
        <v>0</v>
      </c>
      <c r="AD24" s="1020" t="str">
        <f t="shared" si="1"/>
        <v>Incomplete data</v>
      </c>
      <c r="AE24" s="1021" t="str">
        <f>IFERROR(IF(D24&gt;VLOOKUP(E24,StateTable[],2,FALSE),"Yes","No"),"")</f>
        <v/>
      </c>
      <c r="AF24" s="1021" t="str">
        <f>IF(ISBLANK(F24),"",IF(IFERROR(VLOOKUP(1*F24,RiskPostcodeTable[],1,FALSE),0)&lt;&gt;0,"Yes","No"))</f>
        <v/>
      </c>
      <c r="AG24" s="1022">
        <f t="shared" si="2"/>
        <v>0.6</v>
      </c>
      <c r="AH24" s="1021">
        <f>IFERROR(IF(ISBLANK(I24),0,IF(I24="Standard",W24*VLOOKUP(V24,IncomeCycleData[],3,FALSE),W24)),0)</f>
        <v>0</v>
      </c>
      <c r="AI24" s="1021">
        <f t="shared" si="3"/>
        <v>0</v>
      </c>
      <c r="AJ24" s="1021">
        <f t="shared" si="4"/>
        <v>0</v>
      </c>
      <c r="AK24" s="1021">
        <f t="shared" si="5"/>
        <v>0</v>
      </c>
      <c r="AL24" s="1021">
        <f t="shared" si="6"/>
        <v>0</v>
      </c>
      <c r="AM24" s="1021">
        <f t="shared" si="7"/>
        <v>0</v>
      </c>
      <c r="AN24" s="1021">
        <f t="shared" si="8"/>
        <v>0</v>
      </c>
      <c r="AO24" s="1021">
        <f t="shared" si="9"/>
        <v>0</v>
      </c>
      <c r="AP24" s="1021">
        <f t="shared" si="10"/>
        <v>0</v>
      </c>
      <c r="AQ24" s="1021">
        <f t="shared" si="11"/>
        <v>0</v>
      </c>
      <c r="AR24" s="1021">
        <f t="shared" si="12"/>
        <v>0</v>
      </c>
      <c r="AS24" s="1021">
        <f t="shared" si="13"/>
        <v>0</v>
      </c>
      <c r="AT24" s="1021">
        <f t="shared" si="14"/>
        <v>0</v>
      </c>
      <c r="AU24" s="398"/>
      <c r="AV24" s="1023">
        <f t="shared" si="15"/>
        <v>0</v>
      </c>
      <c r="AW24" s="1023">
        <f t="shared" si="16"/>
        <v>0</v>
      </c>
      <c r="AX24" s="1023">
        <f t="shared" si="17"/>
        <v>0</v>
      </c>
      <c r="AY24" s="1023">
        <f t="shared" si="18"/>
        <v>0</v>
      </c>
      <c r="AZ24" s="1023">
        <f t="shared" si="19"/>
        <v>0</v>
      </c>
      <c r="BA24" s="1023">
        <f t="shared" si="20"/>
        <v>0</v>
      </c>
      <c r="BB24" s="1023">
        <f t="shared" si="21"/>
        <v>0</v>
      </c>
      <c r="BC24" s="1023">
        <f t="shared" si="22"/>
        <v>0</v>
      </c>
      <c r="BD24" s="1023">
        <f t="shared" si="23"/>
        <v>0</v>
      </c>
      <c r="BE24" s="1023">
        <f t="shared" si="24"/>
        <v>0</v>
      </c>
      <c r="BF24" s="1023">
        <f t="shared" si="25"/>
        <v>0</v>
      </c>
      <c r="BG24" s="1023">
        <f t="shared" si="26"/>
        <v>0</v>
      </c>
      <c r="BH24" s="1023">
        <f t="shared" si="27"/>
        <v>0</v>
      </c>
      <c r="BI24" s="1017"/>
      <c r="BJ24" s="1023">
        <f>IFERROR(IF(ISBLANK(I24),0,IF(I24="Standard",X24*VLOOKUP(V24,IncomeCycleData[],3,FALSE),X24)),0)</f>
        <v>0</v>
      </c>
      <c r="BK24" s="1023">
        <f t="shared" si="28"/>
        <v>0</v>
      </c>
      <c r="BL24" s="1023">
        <f t="shared" si="42"/>
        <v>0</v>
      </c>
      <c r="BM24" s="1023">
        <f t="shared" si="29"/>
        <v>0</v>
      </c>
      <c r="BN24" s="1023">
        <f t="shared" si="30"/>
        <v>0</v>
      </c>
      <c r="BO24" s="1023">
        <f t="shared" si="31"/>
        <v>0</v>
      </c>
      <c r="BP24" s="1023">
        <f t="shared" si="32"/>
        <v>0</v>
      </c>
      <c r="BQ24" s="1023">
        <f t="shared" si="33"/>
        <v>0</v>
      </c>
      <c r="BR24" s="1023">
        <f t="shared" si="34"/>
        <v>0</v>
      </c>
      <c r="BS24" s="1023">
        <f t="shared" si="35"/>
        <v>0</v>
      </c>
      <c r="BT24" s="1023">
        <f t="shared" si="36"/>
        <v>0</v>
      </c>
      <c r="BU24" s="1023">
        <f t="shared" si="37"/>
        <v>0</v>
      </c>
      <c r="BV24" s="1023">
        <f t="shared" si="38"/>
        <v>0</v>
      </c>
      <c r="BW24" s="1023">
        <f t="shared" si="39"/>
        <v>0</v>
      </c>
      <c r="BX24" s="1023">
        <f t="shared" si="40"/>
        <v>0</v>
      </c>
    </row>
    <row r="25" spans="1:76" ht="18.75" hidden="1" customHeight="1" x14ac:dyDescent="0.25">
      <c r="A25" s="176">
        <v>13</v>
      </c>
      <c r="B25" s="4"/>
      <c r="C25" s="1366"/>
      <c r="D25" s="1367"/>
      <c r="E25" s="682"/>
      <c r="F25" s="682"/>
      <c r="G25" s="682"/>
      <c r="H25" s="682" t="s">
        <v>9</v>
      </c>
      <c r="I25" s="682"/>
      <c r="J25" s="686"/>
      <c r="K25" s="686"/>
      <c r="L25" s="686"/>
      <c r="M25" s="686"/>
      <c r="N25" s="686"/>
      <c r="O25" s="686"/>
      <c r="P25" s="686"/>
      <c r="Q25" s="686"/>
      <c r="R25" s="686"/>
      <c r="S25" s="686"/>
      <c r="T25" s="686"/>
      <c r="U25" s="686"/>
      <c r="V25" s="685"/>
      <c r="W25" s="1368"/>
      <c r="X25" s="1368"/>
      <c r="Y25" s="1369" t="str">
        <f t="shared" si="0"/>
        <v/>
      </c>
      <c r="Z25" s="1370">
        <f t="shared" ref="Z25" si="53">IFERROR(AH25/12,0)</f>
        <v>0</v>
      </c>
      <c r="AA25" s="4"/>
      <c r="AB25" s="4"/>
      <c r="AC25" s="1063" t="b" cm="1">
        <f t="array" ref="AC25">OR(NOT(ISBLANK(C25:G25)),NOT(ISBLANK(I25:X25)))</f>
        <v>0</v>
      </c>
      <c r="AD25" s="1020" t="str">
        <f t="shared" si="1"/>
        <v>Incomplete data</v>
      </c>
      <c r="AE25" s="1021" t="str">
        <f>IFERROR(IF(D25&gt;VLOOKUP(E25,StateTable[],2,FALSE),"Yes","No"),"")</f>
        <v/>
      </c>
      <c r="AF25" s="1021" t="str">
        <f>IF(ISBLANK(F25),"",IF(IFERROR(VLOOKUP(1*F25,RiskPostcodeTable[],1,FALSE),0)&lt;&gt;0,"Yes","No"))</f>
        <v/>
      </c>
      <c r="AG25" s="1022">
        <f t="shared" si="2"/>
        <v>0.6</v>
      </c>
      <c r="AH25" s="1021">
        <f>IFERROR(IF(ISBLANK(I25),0,IF(I25="Standard",W25*VLOOKUP(V25,IncomeCycleData[],3,FALSE),W25)),0)</f>
        <v>0</v>
      </c>
      <c r="AI25" s="1021">
        <f t="shared" si="3"/>
        <v>0</v>
      </c>
      <c r="AJ25" s="1021">
        <f t="shared" si="4"/>
        <v>0</v>
      </c>
      <c r="AK25" s="1021">
        <f t="shared" si="5"/>
        <v>0</v>
      </c>
      <c r="AL25" s="1021">
        <f t="shared" si="6"/>
        <v>0</v>
      </c>
      <c r="AM25" s="1021">
        <f t="shared" si="7"/>
        <v>0</v>
      </c>
      <c r="AN25" s="1021">
        <f t="shared" si="8"/>
        <v>0</v>
      </c>
      <c r="AO25" s="1021">
        <f t="shared" si="9"/>
        <v>0</v>
      </c>
      <c r="AP25" s="1021">
        <f t="shared" si="10"/>
        <v>0</v>
      </c>
      <c r="AQ25" s="1021">
        <f t="shared" si="11"/>
        <v>0</v>
      </c>
      <c r="AR25" s="1021">
        <f t="shared" si="12"/>
        <v>0</v>
      </c>
      <c r="AS25" s="1021">
        <f t="shared" si="13"/>
        <v>0</v>
      </c>
      <c r="AT25" s="1021">
        <f t="shared" si="14"/>
        <v>0</v>
      </c>
      <c r="AU25" s="398"/>
      <c r="AV25" s="1023">
        <f t="shared" si="15"/>
        <v>0</v>
      </c>
      <c r="AW25" s="1023">
        <f t="shared" si="16"/>
        <v>0</v>
      </c>
      <c r="AX25" s="1023">
        <f t="shared" si="17"/>
        <v>0</v>
      </c>
      <c r="AY25" s="1023">
        <f t="shared" si="18"/>
        <v>0</v>
      </c>
      <c r="AZ25" s="1023">
        <f t="shared" si="19"/>
        <v>0</v>
      </c>
      <c r="BA25" s="1023">
        <f t="shared" si="20"/>
        <v>0</v>
      </c>
      <c r="BB25" s="1023">
        <f t="shared" si="21"/>
        <v>0</v>
      </c>
      <c r="BC25" s="1023">
        <f t="shared" si="22"/>
        <v>0</v>
      </c>
      <c r="BD25" s="1023">
        <f t="shared" si="23"/>
        <v>0</v>
      </c>
      <c r="BE25" s="1023">
        <f t="shared" si="24"/>
        <v>0</v>
      </c>
      <c r="BF25" s="1023">
        <f t="shared" si="25"/>
        <v>0</v>
      </c>
      <c r="BG25" s="1023">
        <f t="shared" si="26"/>
        <v>0</v>
      </c>
      <c r="BH25" s="1023">
        <f t="shared" si="27"/>
        <v>0</v>
      </c>
      <c r="BI25" s="1017"/>
      <c r="BJ25" s="1023">
        <f>IFERROR(IF(ISBLANK(I25),0,IF(I25="Standard",X25*VLOOKUP(V25,IncomeCycleData[],3,FALSE),X25)),0)</f>
        <v>0</v>
      </c>
      <c r="BK25" s="1023">
        <f t="shared" si="28"/>
        <v>0</v>
      </c>
      <c r="BL25" s="1023">
        <f t="shared" si="42"/>
        <v>0</v>
      </c>
      <c r="BM25" s="1023">
        <f t="shared" si="29"/>
        <v>0</v>
      </c>
      <c r="BN25" s="1023">
        <f t="shared" si="30"/>
        <v>0</v>
      </c>
      <c r="BO25" s="1023">
        <f t="shared" si="31"/>
        <v>0</v>
      </c>
      <c r="BP25" s="1023">
        <f t="shared" si="32"/>
        <v>0</v>
      </c>
      <c r="BQ25" s="1023">
        <f t="shared" si="33"/>
        <v>0</v>
      </c>
      <c r="BR25" s="1023">
        <f t="shared" si="34"/>
        <v>0</v>
      </c>
      <c r="BS25" s="1023">
        <f t="shared" si="35"/>
        <v>0</v>
      </c>
      <c r="BT25" s="1023">
        <f t="shared" si="36"/>
        <v>0</v>
      </c>
      <c r="BU25" s="1023">
        <f t="shared" si="37"/>
        <v>0</v>
      </c>
      <c r="BV25" s="1023">
        <f t="shared" si="38"/>
        <v>0</v>
      </c>
      <c r="BW25" s="1023">
        <f t="shared" si="39"/>
        <v>0</v>
      </c>
      <c r="BX25" s="1023">
        <f t="shared" si="40"/>
        <v>0</v>
      </c>
    </row>
    <row r="26" spans="1:76" ht="18.75" hidden="1" customHeight="1" x14ac:dyDescent="0.25">
      <c r="A26" s="176">
        <v>14</v>
      </c>
      <c r="B26" s="4"/>
      <c r="C26" s="1366"/>
      <c r="D26" s="1367"/>
      <c r="E26" s="682"/>
      <c r="F26" s="682"/>
      <c r="G26" s="682"/>
      <c r="H26" s="682" t="s">
        <v>9</v>
      </c>
      <c r="I26" s="682"/>
      <c r="J26" s="686"/>
      <c r="K26" s="686"/>
      <c r="L26" s="686"/>
      <c r="M26" s="686"/>
      <c r="N26" s="686"/>
      <c r="O26" s="686"/>
      <c r="P26" s="686"/>
      <c r="Q26" s="686"/>
      <c r="R26" s="686"/>
      <c r="S26" s="686"/>
      <c r="T26" s="686"/>
      <c r="U26" s="686"/>
      <c r="V26" s="685"/>
      <c r="W26" s="1368"/>
      <c r="X26" s="1368"/>
      <c r="Y26" s="1369" t="str">
        <f t="shared" si="0"/>
        <v/>
      </c>
      <c r="Z26" s="1370">
        <f t="shared" ref="Z26" si="54">IFERROR(AH26/12,0)</f>
        <v>0</v>
      </c>
      <c r="AA26" s="4"/>
      <c r="AB26" s="4"/>
      <c r="AC26" s="1063" t="b" cm="1">
        <f t="array" ref="AC26">OR(NOT(ISBLANK(C26:G26)),NOT(ISBLANK(I26:X26)))</f>
        <v>0</v>
      </c>
      <c r="AD26" s="1020" t="str">
        <f t="shared" si="1"/>
        <v>Incomplete data</v>
      </c>
      <c r="AE26" s="1021" t="str">
        <f>IFERROR(IF(D26&gt;VLOOKUP(E26,StateTable[],2,FALSE),"Yes","No"),"")</f>
        <v/>
      </c>
      <c r="AF26" s="1021" t="str">
        <f>IF(ISBLANK(F26),"",IF(IFERROR(VLOOKUP(1*F26,RiskPostcodeTable[],1,FALSE),0)&lt;&gt;0,"Yes","No"))</f>
        <v/>
      </c>
      <c r="AG26" s="1022">
        <f t="shared" si="2"/>
        <v>0.6</v>
      </c>
      <c r="AH26" s="1021">
        <f>IFERROR(IF(ISBLANK(I26),0,IF(I26="Standard",W26*VLOOKUP(V26,IncomeCycleData[],3,FALSE),W26)),0)</f>
        <v>0</v>
      </c>
      <c r="AI26" s="1021">
        <f t="shared" si="3"/>
        <v>0</v>
      </c>
      <c r="AJ26" s="1021">
        <f t="shared" si="4"/>
        <v>0</v>
      </c>
      <c r="AK26" s="1021">
        <f t="shared" si="5"/>
        <v>0</v>
      </c>
      <c r="AL26" s="1021">
        <f t="shared" si="6"/>
        <v>0</v>
      </c>
      <c r="AM26" s="1021">
        <f t="shared" si="7"/>
        <v>0</v>
      </c>
      <c r="AN26" s="1021">
        <f t="shared" si="8"/>
        <v>0</v>
      </c>
      <c r="AO26" s="1021">
        <f t="shared" si="9"/>
        <v>0</v>
      </c>
      <c r="AP26" s="1021">
        <f t="shared" si="10"/>
        <v>0</v>
      </c>
      <c r="AQ26" s="1021">
        <f t="shared" si="11"/>
        <v>0</v>
      </c>
      <c r="AR26" s="1021">
        <f t="shared" si="12"/>
        <v>0</v>
      </c>
      <c r="AS26" s="1021">
        <f t="shared" si="13"/>
        <v>0</v>
      </c>
      <c r="AT26" s="1021">
        <f t="shared" si="14"/>
        <v>0</v>
      </c>
      <c r="AU26" s="398"/>
      <c r="AV26" s="1023">
        <f t="shared" si="15"/>
        <v>0</v>
      </c>
      <c r="AW26" s="1023">
        <f t="shared" si="16"/>
        <v>0</v>
      </c>
      <c r="AX26" s="1023">
        <f t="shared" si="17"/>
        <v>0</v>
      </c>
      <c r="AY26" s="1023">
        <f t="shared" si="18"/>
        <v>0</v>
      </c>
      <c r="AZ26" s="1023">
        <f t="shared" si="19"/>
        <v>0</v>
      </c>
      <c r="BA26" s="1023">
        <f t="shared" si="20"/>
        <v>0</v>
      </c>
      <c r="BB26" s="1023">
        <f t="shared" si="21"/>
        <v>0</v>
      </c>
      <c r="BC26" s="1023">
        <f t="shared" si="22"/>
        <v>0</v>
      </c>
      <c r="BD26" s="1023">
        <f t="shared" si="23"/>
        <v>0</v>
      </c>
      <c r="BE26" s="1023">
        <f t="shared" si="24"/>
        <v>0</v>
      </c>
      <c r="BF26" s="1023">
        <f t="shared" si="25"/>
        <v>0</v>
      </c>
      <c r="BG26" s="1023">
        <f t="shared" si="26"/>
        <v>0</v>
      </c>
      <c r="BH26" s="1023">
        <f t="shared" si="27"/>
        <v>0</v>
      </c>
      <c r="BI26" s="1017"/>
      <c r="BJ26" s="1023">
        <f>IFERROR(IF(ISBLANK(I26),0,IF(I26="Standard",X26*VLOOKUP(V26,IncomeCycleData[],3,FALSE),X26)),0)</f>
        <v>0</v>
      </c>
      <c r="BK26" s="1023">
        <f t="shared" si="28"/>
        <v>0</v>
      </c>
      <c r="BL26" s="1023">
        <f t="shared" si="42"/>
        <v>0</v>
      </c>
      <c r="BM26" s="1023">
        <f t="shared" si="29"/>
        <v>0</v>
      </c>
      <c r="BN26" s="1023">
        <f t="shared" si="30"/>
        <v>0</v>
      </c>
      <c r="BO26" s="1023">
        <f t="shared" si="31"/>
        <v>0</v>
      </c>
      <c r="BP26" s="1023">
        <f t="shared" si="32"/>
        <v>0</v>
      </c>
      <c r="BQ26" s="1023">
        <f t="shared" si="33"/>
        <v>0</v>
      </c>
      <c r="BR26" s="1023">
        <f t="shared" si="34"/>
        <v>0</v>
      </c>
      <c r="BS26" s="1023">
        <f t="shared" si="35"/>
        <v>0</v>
      </c>
      <c r="BT26" s="1023">
        <f t="shared" si="36"/>
        <v>0</v>
      </c>
      <c r="BU26" s="1023">
        <f t="shared" si="37"/>
        <v>0</v>
      </c>
      <c r="BV26" s="1023">
        <f t="shared" si="38"/>
        <v>0</v>
      </c>
      <c r="BW26" s="1023">
        <f t="shared" si="39"/>
        <v>0</v>
      </c>
      <c r="BX26" s="1023">
        <f t="shared" si="40"/>
        <v>0</v>
      </c>
    </row>
    <row r="27" spans="1:76" ht="18.75" hidden="1" customHeight="1" x14ac:dyDescent="0.25">
      <c r="A27" s="176">
        <v>15</v>
      </c>
      <c r="B27" s="4"/>
      <c r="C27" s="1366"/>
      <c r="D27" s="1367"/>
      <c r="E27" s="682"/>
      <c r="F27" s="682"/>
      <c r="G27" s="682"/>
      <c r="H27" s="682" t="s">
        <v>9</v>
      </c>
      <c r="I27" s="682"/>
      <c r="J27" s="686"/>
      <c r="K27" s="686"/>
      <c r="L27" s="686"/>
      <c r="M27" s="686"/>
      <c r="N27" s="686"/>
      <c r="O27" s="686"/>
      <c r="P27" s="686"/>
      <c r="Q27" s="686"/>
      <c r="R27" s="686"/>
      <c r="S27" s="686"/>
      <c r="T27" s="686"/>
      <c r="U27" s="686"/>
      <c r="V27" s="685"/>
      <c r="W27" s="1368"/>
      <c r="X27" s="1368"/>
      <c r="Y27" s="1369" t="str">
        <f t="shared" si="0"/>
        <v/>
      </c>
      <c r="Z27" s="1370">
        <f t="shared" ref="Z27" si="55">IFERROR(AH27/12,0)</f>
        <v>0</v>
      </c>
      <c r="AA27" s="4"/>
      <c r="AB27" s="4"/>
      <c r="AC27" s="1063" t="b" cm="1">
        <f t="array" ref="AC27">OR(NOT(ISBLANK(C27:G27)),NOT(ISBLANK(I27:X27)))</f>
        <v>0</v>
      </c>
      <c r="AD27" s="1020" t="str">
        <f t="shared" si="1"/>
        <v>Incomplete data</v>
      </c>
      <c r="AE27" s="1021" t="str">
        <f>IFERROR(IF(D27&gt;VLOOKUP(E27,StateTable[],2,FALSE),"Yes","No"),"")</f>
        <v/>
      </c>
      <c r="AF27" s="1021" t="str">
        <f>IF(ISBLANK(F27),"",IF(IFERROR(VLOOKUP(1*F27,RiskPostcodeTable[],1,FALSE),0)&lt;&gt;0,"Yes","No"))</f>
        <v/>
      </c>
      <c r="AG27" s="1022">
        <f t="shared" si="2"/>
        <v>0.6</v>
      </c>
      <c r="AH27" s="1021">
        <f>IFERROR(IF(ISBLANK(I27),0,IF(I27="Standard",W27*VLOOKUP(V27,IncomeCycleData[],3,FALSE),W27)),0)</f>
        <v>0</v>
      </c>
      <c r="AI27" s="1021">
        <f t="shared" si="3"/>
        <v>0</v>
      </c>
      <c r="AJ27" s="1021">
        <f t="shared" si="4"/>
        <v>0</v>
      </c>
      <c r="AK27" s="1021">
        <f t="shared" si="5"/>
        <v>0</v>
      </c>
      <c r="AL27" s="1021">
        <f t="shared" si="6"/>
        <v>0</v>
      </c>
      <c r="AM27" s="1021">
        <f t="shared" si="7"/>
        <v>0</v>
      </c>
      <c r="AN27" s="1021">
        <f t="shared" si="8"/>
        <v>0</v>
      </c>
      <c r="AO27" s="1021">
        <f t="shared" si="9"/>
        <v>0</v>
      </c>
      <c r="AP27" s="1021">
        <f t="shared" si="10"/>
        <v>0</v>
      </c>
      <c r="AQ27" s="1021">
        <f t="shared" si="11"/>
        <v>0</v>
      </c>
      <c r="AR27" s="1021">
        <f t="shared" si="12"/>
        <v>0</v>
      </c>
      <c r="AS27" s="1021">
        <f t="shared" si="13"/>
        <v>0</v>
      </c>
      <c r="AT27" s="1021">
        <f t="shared" si="14"/>
        <v>0</v>
      </c>
      <c r="AU27" s="398"/>
      <c r="AV27" s="1023">
        <f t="shared" si="15"/>
        <v>0</v>
      </c>
      <c r="AW27" s="1023">
        <f t="shared" si="16"/>
        <v>0</v>
      </c>
      <c r="AX27" s="1023">
        <f t="shared" si="17"/>
        <v>0</v>
      </c>
      <c r="AY27" s="1023">
        <f t="shared" si="18"/>
        <v>0</v>
      </c>
      <c r="AZ27" s="1023">
        <f t="shared" si="19"/>
        <v>0</v>
      </c>
      <c r="BA27" s="1023">
        <f t="shared" si="20"/>
        <v>0</v>
      </c>
      <c r="BB27" s="1023">
        <f t="shared" si="21"/>
        <v>0</v>
      </c>
      <c r="BC27" s="1023">
        <f t="shared" si="22"/>
        <v>0</v>
      </c>
      <c r="BD27" s="1023">
        <f t="shared" si="23"/>
        <v>0</v>
      </c>
      <c r="BE27" s="1023">
        <f t="shared" si="24"/>
        <v>0</v>
      </c>
      <c r="BF27" s="1023">
        <f t="shared" si="25"/>
        <v>0</v>
      </c>
      <c r="BG27" s="1023">
        <f t="shared" si="26"/>
        <v>0</v>
      </c>
      <c r="BH27" s="1023">
        <f t="shared" si="27"/>
        <v>0</v>
      </c>
      <c r="BI27" s="1017"/>
      <c r="BJ27" s="1023">
        <f>IFERROR(IF(ISBLANK(I27),0,IF(I27="Standard",X27*VLOOKUP(V27,IncomeCycleData[],3,FALSE),X27)),0)</f>
        <v>0</v>
      </c>
      <c r="BK27" s="1023">
        <f t="shared" si="28"/>
        <v>0</v>
      </c>
      <c r="BL27" s="1023">
        <f t="shared" si="42"/>
        <v>0</v>
      </c>
      <c r="BM27" s="1023">
        <f t="shared" si="29"/>
        <v>0</v>
      </c>
      <c r="BN27" s="1023">
        <f t="shared" si="30"/>
        <v>0</v>
      </c>
      <c r="BO27" s="1023">
        <f t="shared" si="31"/>
        <v>0</v>
      </c>
      <c r="BP27" s="1023">
        <f t="shared" si="32"/>
        <v>0</v>
      </c>
      <c r="BQ27" s="1023">
        <f t="shared" si="33"/>
        <v>0</v>
      </c>
      <c r="BR27" s="1023">
        <f t="shared" si="34"/>
        <v>0</v>
      </c>
      <c r="BS27" s="1023">
        <f t="shared" si="35"/>
        <v>0</v>
      </c>
      <c r="BT27" s="1023">
        <f t="shared" si="36"/>
        <v>0</v>
      </c>
      <c r="BU27" s="1023">
        <f t="shared" si="37"/>
        <v>0</v>
      </c>
      <c r="BV27" s="1023">
        <f t="shared" si="38"/>
        <v>0</v>
      </c>
      <c r="BW27" s="1023">
        <f t="shared" si="39"/>
        <v>0</v>
      </c>
      <c r="BX27" s="1023">
        <f t="shared" si="40"/>
        <v>0</v>
      </c>
    </row>
    <row r="28" spans="1:76" ht="18.75" hidden="1" customHeight="1" x14ac:dyDescent="0.25">
      <c r="A28" s="176">
        <v>16</v>
      </c>
      <c r="B28" s="4"/>
      <c r="C28" s="1366"/>
      <c r="D28" s="1367"/>
      <c r="E28" s="682"/>
      <c r="F28" s="682"/>
      <c r="G28" s="682"/>
      <c r="H28" s="682" t="s">
        <v>9</v>
      </c>
      <c r="I28" s="682"/>
      <c r="J28" s="686"/>
      <c r="K28" s="686"/>
      <c r="L28" s="686"/>
      <c r="M28" s="686"/>
      <c r="N28" s="686"/>
      <c r="O28" s="686"/>
      <c r="P28" s="686"/>
      <c r="Q28" s="686"/>
      <c r="R28" s="686"/>
      <c r="S28" s="686"/>
      <c r="T28" s="686"/>
      <c r="U28" s="686"/>
      <c r="V28" s="685"/>
      <c r="W28" s="1368"/>
      <c r="X28" s="1368"/>
      <c r="Y28" s="1369" t="str">
        <f t="shared" si="0"/>
        <v/>
      </c>
      <c r="Z28" s="1370">
        <f t="shared" ref="Z28" si="56">IFERROR(AH28/12,0)</f>
        <v>0</v>
      </c>
      <c r="AA28" s="4"/>
      <c r="AB28" s="4"/>
      <c r="AC28" s="1063" t="b" cm="1">
        <f t="array" ref="AC28">OR(NOT(ISBLANK(C28:G28)),NOT(ISBLANK(I28:X28)))</f>
        <v>0</v>
      </c>
      <c r="AD28" s="1020" t="str">
        <f t="shared" si="1"/>
        <v>Incomplete data</v>
      </c>
      <c r="AE28" s="1021" t="str">
        <f>IFERROR(IF(D28&gt;VLOOKUP(E28,StateTable[],2,FALSE),"Yes","No"),"")</f>
        <v/>
      </c>
      <c r="AF28" s="1021" t="str">
        <f>IF(ISBLANK(F28),"",IF(IFERROR(VLOOKUP(1*F28,RiskPostcodeTable[],1,FALSE),0)&lt;&gt;0,"Yes","No"))</f>
        <v/>
      </c>
      <c r="AG28" s="1022">
        <f t="shared" si="2"/>
        <v>0.6</v>
      </c>
      <c r="AH28" s="1021">
        <f>IFERROR(IF(ISBLANK(I28),0,IF(I28="Standard",W28*VLOOKUP(V28,IncomeCycleData[],3,FALSE),W28)),0)</f>
        <v>0</v>
      </c>
      <c r="AI28" s="1021">
        <f t="shared" si="3"/>
        <v>0</v>
      </c>
      <c r="AJ28" s="1021">
        <f t="shared" si="4"/>
        <v>0</v>
      </c>
      <c r="AK28" s="1021">
        <f t="shared" si="5"/>
        <v>0</v>
      </c>
      <c r="AL28" s="1021">
        <f t="shared" si="6"/>
        <v>0</v>
      </c>
      <c r="AM28" s="1021">
        <f t="shared" si="7"/>
        <v>0</v>
      </c>
      <c r="AN28" s="1021">
        <f t="shared" si="8"/>
        <v>0</v>
      </c>
      <c r="AO28" s="1021">
        <f t="shared" si="9"/>
        <v>0</v>
      </c>
      <c r="AP28" s="1021">
        <f t="shared" si="10"/>
        <v>0</v>
      </c>
      <c r="AQ28" s="1021">
        <f t="shared" si="11"/>
        <v>0</v>
      </c>
      <c r="AR28" s="1021">
        <f t="shared" si="12"/>
        <v>0</v>
      </c>
      <c r="AS28" s="1021">
        <f t="shared" si="13"/>
        <v>0</v>
      </c>
      <c r="AT28" s="1021">
        <f t="shared" si="14"/>
        <v>0</v>
      </c>
      <c r="AU28" s="398"/>
      <c r="AV28" s="1023">
        <f t="shared" si="15"/>
        <v>0</v>
      </c>
      <c r="AW28" s="1023">
        <f t="shared" si="16"/>
        <v>0</v>
      </c>
      <c r="AX28" s="1023">
        <f t="shared" si="17"/>
        <v>0</v>
      </c>
      <c r="AY28" s="1023">
        <f t="shared" si="18"/>
        <v>0</v>
      </c>
      <c r="AZ28" s="1023">
        <f t="shared" si="19"/>
        <v>0</v>
      </c>
      <c r="BA28" s="1023">
        <f t="shared" si="20"/>
        <v>0</v>
      </c>
      <c r="BB28" s="1023">
        <f t="shared" si="21"/>
        <v>0</v>
      </c>
      <c r="BC28" s="1023">
        <f t="shared" si="22"/>
        <v>0</v>
      </c>
      <c r="BD28" s="1023">
        <f t="shared" si="23"/>
        <v>0</v>
      </c>
      <c r="BE28" s="1023">
        <f t="shared" si="24"/>
        <v>0</v>
      </c>
      <c r="BF28" s="1023">
        <f t="shared" si="25"/>
        <v>0</v>
      </c>
      <c r="BG28" s="1023">
        <f t="shared" si="26"/>
        <v>0</v>
      </c>
      <c r="BH28" s="1023">
        <f t="shared" si="27"/>
        <v>0</v>
      </c>
      <c r="BI28" s="1017"/>
      <c r="BJ28" s="1023">
        <f>IFERROR(IF(ISBLANK(I28),0,IF(I28="Standard",X28*VLOOKUP(V28,IncomeCycleData[],3,FALSE),X28)),0)</f>
        <v>0</v>
      </c>
      <c r="BK28" s="1023">
        <f t="shared" si="28"/>
        <v>0</v>
      </c>
      <c r="BL28" s="1023">
        <f t="shared" si="42"/>
        <v>0</v>
      </c>
      <c r="BM28" s="1023">
        <f t="shared" si="29"/>
        <v>0</v>
      </c>
      <c r="BN28" s="1023">
        <f t="shared" si="30"/>
        <v>0</v>
      </c>
      <c r="BO28" s="1023">
        <f t="shared" si="31"/>
        <v>0</v>
      </c>
      <c r="BP28" s="1023">
        <f t="shared" si="32"/>
        <v>0</v>
      </c>
      <c r="BQ28" s="1023">
        <f t="shared" si="33"/>
        <v>0</v>
      </c>
      <c r="BR28" s="1023">
        <f t="shared" si="34"/>
        <v>0</v>
      </c>
      <c r="BS28" s="1023">
        <f t="shared" si="35"/>
        <v>0</v>
      </c>
      <c r="BT28" s="1023">
        <f t="shared" si="36"/>
        <v>0</v>
      </c>
      <c r="BU28" s="1023">
        <f t="shared" si="37"/>
        <v>0</v>
      </c>
      <c r="BV28" s="1023">
        <f t="shared" si="38"/>
        <v>0</v>
      </c>
      <c r="BW28" s="1023">
        <f t="shared" si="39"/>
        <v>0</v>
      </c>
      <c r="BX28" s="1023">
        <f t="shared" si="40"/>
        <v>0</v>
      </c>
    </row>
    <row r="29" spans="1:76" ht="18.75" hidden="1" customHeight="1" x14ac:dyDescent="0.25">
      <c r="A29" s="176">
        <v>17</v>
      </c>
      <c r="B29" s="4"/>
      <c r="C29" s="1366"/>
      <c r="D29" s="1367"/>
      <c r="E29" s="682"/>
      <c r="F29" s="682"/>
      <c r="G29" s="682"/>
      <c r="H29" s="682" t="s">
        <v>9</v>
      </c>
      <c r="I29" s="682"/>
      <c r="J29" s="686"/>
      <c r="K29" s="686"/>
      <c r="L29" s="686"/>
      <c r="M29" s="686"/>
      <c r="N29" s="686"/>
      <c r="O29" s="686"/>
      <c r="P29" s="686"/>
      <c r="Q29" s="686"/>
      <c r="R29" s="686"/>
      <c r="S29" s="686"/>
      <c r="T29" s="686"/>
      <c r="U29" s="686"/>
      <c r="V29" s="685"/>
      <c r="W29" s="1368"/>
      <c r="X29" s="1368"/>
      <c r="Y29" s="1369" t="str">
        <f t="shared" si="0"/>
        <v/>
      </c>
      <c r="Z29" s="1370">
        <f t="shared" ref="Z29" si="57">IFERROR(AH29/12,0)</f>
        <v>0</v>
      </c>
      <c r="AA29" s="4"/>
      <c r="AB29" s="4"/>
      <c r="AC29" s="1063" t="b" cm="1">
        <f t="array" ref="AC29">OR(NOT(ISBLANK(C29:G29)),NOT(ISBLANK(I29:X29)))</f>
        <v>0</v>
      </c>
      <c r="AD29" s="1020" t="str">
        <f t="shared" si="1"/>
        <v>Incomplete data</v>
      </c>
      <c r="AE29" s="1021" t="str">
        <f>IFERROR(IF(D29&gt;VLOOKUP(E29,StateTable[],2,FALSE),"Yes","No"),"")</f>
        <v/>
      </c>
      <c r="AF29" s="1021" t="str">
        <f>IF(ISBLANK(F29),"",IF(IFERROR(VLOOKUP(1*F29,RiskPostcodeTable[],1,FALSE),0)&lt;&gt;0,"Yes","No"))</f>
        <v/>
      </c>
      <c r="AG29" s="1022">
        <f t="shared" si="2"/>
        <v>0.6</v>
      </c>
      <c r="AH29" s="1021">
        <f>IFERROR(IF(ISBLANK(I29),0,IF(I29="Standard",W29*VLOOKUP(V29,IncomeCycleData[],3,FALSE),W29)),0)</f>
        <v>0</v>
      </c>
      <c r="AI29" s="1021">
        <f t="shared" si="3"/>
        <v>0</v>
      </c>
      <c r="AJ29" s="1021">
        <f t="shared" si="4"/>
        <v>0</v>
      </c>
      <c r="AK29" s="1021">
        <f t="shared" si="5"/>
        <v>0</v>
      </c>
      <c r="AL29" s="1021">
        <f t="shared" si="6"/>
        <v>0</v>
      </c>
      <c r="AM29" s="1021">
        <f t="shared" si="7"/>
        <v>0</v>
      </c>
      <c r="AN29" s="1021">
        <f t="shared" si="8"/>
        <v>0</v>
      </c>
      <c r="AO29" s="1021">
        <f t="shared" si="9"/>
        <v>0</v>
      </c>
      <c r="AP29" s="1021">
        <f t="shared" si="10"/>
        <v>0</v>
      </c>
      <c r="AQ29" s="1021">
        <f t="shared" si="11"/>
        <v>0</v>
      </c>
      <c r="AR29" s="1021">
        <f t="shared" si="12"/>
        <v>0</v>
      </c>
      <c r="AS29" s="1021">
        <f t="shared" si="13"/>
        <v>0</v>
      </c>
      <c r="AT29" s="1021">
        <f t="shared" si="14"/>
        <v>0</v>
      </c>
      <c r="AU29" s="398"/>
      <c r="AV29" s="1023">
        <f t="shared" si="15"/>
        <v>0</v>
      </c>
      <c r="AW29" s="1023">
        <f t="shared" si="16"/>
        <v>0</v>
      </c>
      <c r="AX29" s="1023">
        <f t="shared" si="17"/>
        <v>0</v>
      </c>
      <c r="AY29" s="1023">
        <f t="shared" si="18"/>
        <v>0</v>
      </c>
      <c r="AZ29" s="1023">
        <f t="shared" si="19"/>
        <v>0</v>
      </c>
      <c r="BA29" s="1023">
        <f t="shared" si="20"/>
        <v>0</v>
      </c>
      <c r="BB29" s="1023">
        <f t="shared" si="21"/>
        <v>0</v>
      </c>
      <c r="BC29" s="1023">
        <f t="shared" si="22"/>
        <v>0</v>
      </c>
      <c r="BD29" s="1023">
        <f t="shared" si="23"/>
        <v>0</v>
      </c>
      <c r="BE29" s="1023">
        <f t="shared" si="24"/>
        <v>0</v>
      </c>
      <c r="BF29" s="1023">
        <f t="shared" si="25"/>
        <v>0</v>
      </c>
      <c r="BG29" s="1023">
        <f t="shared" si="26"/>
        <v>0</v>
      </c>
      <c r="BH29" s="1023">
        <f t="shared" si="27"/>
        <v>0</v>
      </c>
      <c r="BI29" s="1017"/>
      <c r="BJ29" s="1023">
        <f>IFERROR(IF(ISBLANK(I29),0,IF(I29="Standard",X29*VLOOKUP(V29,IncomeCycleData[],3,FALSE),X29)),0)</f>
        <v>0</v>
      </c>
      <c r="BK29" s="1023">
        <f t="shared" si="28"/>
        <v>0</v>
      </c>
      <c r="BL29" s="1023">
        <f t="shared" si="42"/>
        <v>0</v>
      </c>
      <c r="BM29" s="1023">
        <f t="shared" si="29"/>
        <v>0</v>
      </c>
      <c r="BN29" s="1023">
        <f t="shared" si="30"/>
        <v>0</v>
      </c>
      <c r="BO29" s="1023">
        <f t="shared" si="31"/>
        <v>0</v>
      </c>
      <c r="BP29" s="1023">
        <f t="shared" si="32"/>
        <v>0</v>
      </c>
      <c r="BQ29" s="1023">
        <f t="shared" si="33"/>
        <v>0</v>
      </c>
      <c r="BR29" s="1023">
        <f t="shared" si="34"/>
        <v>0</v>
      </c>
      <c r="BS29" s="1023">
        <f t="shared" si="35"/>
        <v>0</v>
      </c>
      <c r="BT29" s="1023">
        <f t="shared" si="36"/>
        <v>0</v>
      </c>
      <c r="BU29" s="1023">
        <f t="shared" si="37"/>
        <v>0</v>
      </c>
      <c r="BV29" s="1023">
        <f t="shared" si="38"/>
        <v>0</v>
      </c>
      <c r="BW29" s="1023">
        <f t="shared" si="39"/>
        <v>0</v>
      </c>
      <c r="BX29" s="1023">
        <f t="shared" si="40"/>
        <v>0</v>
      </c>
    </row>
    <row r="30" spans="1:76" ht="18.75" hidden="1" customHeight="1" x14ac:dyDescent="0.25">
      <c r="A30" s="176">
        <v>18</v>
      </c>
      <c r="B30" s="4"/>
      <c r="C30" s="1366"/>
      <c r="D30" s="1367"/>
      <c r="E30" s="682"/>
      <c r="F30" s="682"/>
      <c r="G30" s="682"/>
      <c r="H30" s="682" t="s">
        <v>9</v>
      </c>
      <c r="I30" s="682"/>
      <c r="J30" s="686"/>
      <c r="K30" s="686"/>
      <c r="L30" s="686"/>
      <c r="M30" s="686"/>
      <c r="N30" s="686"/>
      <c r="O30" s="686"/>
      <c r="P30" s="686"/>
      <c r="Q30" s="686"/>
      <c r="R30" s="686"/>
      <c r="S30" s="686"/>
      <c r="T30" s="686"/>
      <c r="U30" s="686"/>
      <c r="V30" s="685"/>
      <c r="W30" s="1368"/>
      <c r="X30" s="1368"/>
      <c r="Y30" s="1369" t="str">
        <f t="shared" si="0"/>
        <v/>
      </c>
      <c r="Z30" s="1370">
        <f t="shared" ref="Z30" si="58">IFERROR(AH30/12,0)</f>
        <v>0</v>
      </c>
      <c r="AA30" s="4"/>
      <c r="AB30" s="4"/>
      <c r="AC30" s="1063" t="b" cm="1">
        <f t="array" ref="AC30">OR(NOT(ISBLANK(C30:G30)),NOT(ISBLANK(I30:X30)))</f>
        <v>0</v>
      </c>
      <c r="AD30" s="1020" t="str">
        <f t="shared" si="1"/>
        <v>Incomplete data</v>
      </c>
      <c r="AE30" s="1021" t="str">
        <f>IFERROR(IF(D30&gt;VLOOKUP(E30,StateTable[],2,FALSE),"Yes","No"),"")</f>
        <v/>
      </c>
      <c r="AF30" s="1021" t="str">
        <f>IF(ISBLANK(F30),"",IF(IFERROR(VLOOKUP(1*F30,RiskPostcodeTable[],1,FALSE),0)&lt;&gt;0,"Yes","No"))</f>
        <v/>
      </c>
      <c r="AG30" s="1022">
        <f t="shared" si="2"/>
        <v>0.6</v>
      </c>
      <c r="AH30" s="1021">
        <f>IFERROR(IF(ISBLANK(I30),0,IF(I30="Standard",W30*VLOOKUP(V30,IncomeCycleData[],3,FALSE),W30)),0)</f>
        <v>0</v>
      </c>
      <c r="AI30" s="1021">
        <f t="shared" si="3"/>
        <v>0</v>
      </c>
      <c r="AJ30" s="1021">
        <f t="shared" si="4"/>
        <v>0</v>
      </c>
      <c r="AK30" s="1021">
        <f t="shared" si="5"/>
        <v>0</v>
      </c>
      <c r="AL30" s="1021">
        <f t="shared" si="6"/>
        <v>0</v>
      </c>
      <c r="AM30" s="1021">
        <f t="shared" si="7"/>
        <v>0</v>
      </c>
      <c r="AN30" s="1021">
        <f t="shared" si="8"/>
        <v>0</v>
      </c>
      <c r="AO30" s="1021">
        <f t="shared" si="9"/>
        <v>0</v>
      </c>
      <c r="AP30" s="1021">
        <f t="shared" si="10"/>
        <v>0</v>
      </c>
      <c r="AQ30" s="1021">
        <f t="shared" si="11"/>
        <v>0</v>
      </c>
      <c r="AR30" s="1021">
        <f t="shared" si="12"/>
        <v>0</v>
      </c>
      <c r="AS30" s="1021">
        <f t="shared" si="13"/>
        <v>0</v>
      </c>
      <c r="AT30" s="1021">
        <f t="shared" si="14"/>
        <v>0</v>
      </c>
      <c r="AU30" s="398"/>
      <c r="AV30" s="1023">
        <f t="shared" si="15"/>
        <v>0</v>
      </c>
      <c r="AW30" s="1023">
        <f t="shared" si="16"/>
        <v>0</v>
      </c>
      <c r="AX30" s="1023">
        <f t="shared" si="17"/>
        <v>0</v>
      </c>
      <c r="AY30" s="1023">
        <f t="shared" si="18"/>
        <v>0</v>
      </c>
      <c r="AZ30" s="1023">
        <f t="shared" si="19"/>
        <v>0</v>
      </c>
      <c r="BA30" s="1023">
        <f t="shared" si="20"/>
        <v>0</v>
      </c>
      <c r="BB30" s="1023">
        <f t="shared" si="21"/>
        <v>0</v>
      </c>
      <c r="BC30" s="1023">
        <f t="shared" si="22"/>
        <v>0</v>
      </c>
      <c r="BD30" s="1023">
        <f t="shared" si="23"/>
        <v>0</v>
      </c>
      <c r="BE30" s="1023">
        <f t="shared" si="24"/>
        <v>0</v>
      </c>
      <c r="BF30" s="1023">
        <f t="shared" si="25"/>
        <v>0</v>
      </c>
      <c r="BG30" s="1023">
        <f t="shared" si="26"/>
        <v>0</v>
      </c>
      <c r="BH30" s="1023">
        <f t="shared" si="27"/>
        <v>0</v>
      </c>
      <c r="BI30" s="1017"/>
      <c r="BJ30" s="1023">
        <f>IFERROR(IF(ISBLANK(I30),0,IF(I30="Standard",X30*VLOOKUP(V30,IncomeCycleData[],3,FALSE),X30)),0)</f>
        <v>0</v>
      </c>
      <c r="BK30" s="1023">
        <f t="shared" si="28"/>
        <v>0</v>
      </c>
      <c r="BL30" s="1023">
        <f t="shared" si="42"/>
        <v>0</v>
      </c>
      <c r="BM30" s="1023">
        <f t="shared" si="29"/>
        <v>0</v>
      </c>
      <c r="BN30" s="1023">
        <f t="shared" si="30"/>
        <v>0</v>
      </c>
      <c r="BO30" s="1023">
        <f t="shared" si="31"/>
        <v>0</v>
      </c>
      <c r="BP30" s="1023">
        <f t="shared" si="32"/>
        <v>0</v>
      </c>
      <c r="BQ30" s="1023">
        <f t="shared" si="33"/>
        <v>0</v>
      </c>
      <c r="BR30" s="1023">
        <f t="shared" si="34"/>
        <v>0</v>
      </c>
      <c r="BS30" s="1023">
        <f t="shared" si="35"/>
        <v>0</v>
      </c>
      <c r="BT30" s="1023">
        <f t="shared" si="36"/>
        <v>0</v>
      </c>
      <c r="BU30" s="1023">
        <f t="shared" si="37"/>
        <v>0</v>
      </c>
      <c r="BV30" s="1023">
        <f t="shared" si="38"/>
        <v>0</v>
      </c>
      <c r="BW30" s="1023">
        <f t="shared" si="39"/>
        <v>0</v>
      </c>
      <c r="BX30" s="1023">
        <f t="shared" si="40"/>
        <v>0</v>
      </c>
    </row>
    <row r="31" spans="1:76" ht="18.75" hidden="1" customHeight="1" x14ac:dyDescent="0.25">
      <c r="A31" s="176">
        <v>19</v>
      </c>
      <c r="B31" s="4"/>
      <c r="C31" s="1366"/>
      <c r="D31" s="1367"/>
      <c r="E31" s="682"/>
      <c r="F31" s="682"/>
      <c r="G31" s="682"/>
      <c r="H31" s="682" t="s">
        <v>9</v>
      </c>
      <c r="I31" s="682"/>
      <c r="J31" s="686"/>
      <c r="K31" s="686"/>
      <c r="L31" s="686"/>
      <c r="M31" s="686"/>
      <c r="N31" s="686"/>
      <c r="O31" s="686"/>
      <c r="P31" s="686"/>
      <c r="Q31" s="686"/>
      <c r="R31" s="686"/>
      <c r="S31" s="686"/>
      <c r="T31" s="686"/>
      <c r="U31" s="686"/>
      <c r="V31" s="685"/>
      <c r="W31" s="1368"/>
      <c r="X31" s="1368"/>
      <c r="Y31" s="1369" t="str">
        <f t="shared" si="0"/>
        <v/>
      </c>
      <c r="Z31" s="1370">
        <f t="shared" ref="Z31" si="59">IFERROR(AH31/12,0)</f>
        <v>0</v>
      </c>
      <c r="AA31" s="4"/>
      <c r="AB31" s="4"/>
      <c r="AC31" s="1063" t="b" cm="1">
        <f t="array" ref="AC31">OR(NOT(ISBLANK(C31:G31)),NOT(ISBLANK(I31:X31)))</f>
        <v>0</v>
      </c>
      <c r="AD31" s="1020" t="str">
        <f t="shared" si="1"/>
        <v>Incomplete data</v>
      </c>
      <c r="AE31" s="1021" t="str">
        <f>IFERROR(IF(D31&gt;VLOOKUP(E31,StateTable[],2,FALSE),"Yes","No"),"")</f>
        <v/>
      </c>
      <c r="AF31" s="1021" t="str">
        <f>IF(ISBLANK(F31),"",IF(IFERROR(VLOOKUP(1*F31,RiskPostcodeTable[],1,FALSE),0)&lt;&gt;0,"Yes","No"))</f>
        <v/>
      </c>
      <c r="AG31" s="1022">
        <f t="shared" si="2"/>
        <v>0.6</v>
      </c>
      <c r="AH31" s="1021">
        <f>IFERROR(IF(ISBLANK(I31),0,IF(I31="Standard",W31*VLOOKUP(V31,IncomeCycleData[],3,FALSE),W31)),0)</f>
        <v>0</v>
      </c>
      <c r="AI31" s="1021">
        <f t="shared" si="3"/>
        <v>0</v>
      </c>
      <c r="AJ31" s="1021">
        <f t="shared" si="4"/>
        <v>0</v>
      </c>
      <c r="AK31" s="1021">
        <f t="shared" si="5"/>
        <v>0</v>
      </c>
      <c r="AL31" s="1021">
        <f t="shared" si="6"/>
        <v>0</v>
      </c>
      <c r="AM31" s="1021">
        <f t="shared" si="7"/>
        <v>0</v>
      </c>
      <c r="AN31" s="1021">
        <f t="shared" si="8"/>
        <v>0</v>
      </c>
      <c r="AO31" s="1021">
        <f t="shared" si="9"/>
        <v>0</v>
      </c>
      <c r="AP31" s="1021">
        <f t="shared" si="10"/>
        <v>0</v>
      </c>
      <c r="AQ31" s="1021">
        <f t="shared" si="11"/>
        <v>0</v>
      </c>
      <c r="AR31" s="1021">
        <f t="shared" si="12"/>
        <v>0</v>
      </c>
      <c r="AS31" s="1021">
        <f t="shared" si="13"/>
        <v>0</v>
      </c>
      <c r="AT31" s="1021">
        <f t="shared" si="14"/>
        <v>0</v>
      </c>
      <c r="AU31" s="398"/>
      <c r="AV31" s="1023">
        <f t="shared" si="15"/>
        <v>0</v>
      </c>
      <c r="AW31" s="1023">
        <f t="shared" si="16"/>
        <v>0</v>
      </c>
      <c r="AX31" s="1023">
        <f t="shared" si="17"/>
        <v>0</v>
      </c>
      <c r="AY31" s="1023">
        <f t="shared" si="18"/>
        <v>0</v>
      </c>
      <c r="AZ31" s="1023">
        <f t="shared" si="19"/>
        <v>0</v>
      </c>
      <c r="BA31" s="1023">
        <f t="shared" si="20"/>
        <v>0</v>
      </c>
      <c r="BB31" s="1023">
        <f t="shared" si="21"/>
        <v>0</v>
      </c>
      <c r="BC31" s="1023">
        <f t="shared" si="22"/>
        <v>0</v>
      </c>
      <c r="BD31" s="1023">
        <f t="shared" si="23"/>
        <v>0</v>
      </c>
      <c r="BE31" s="1023">
        <f t="shared" si="24"/>
        <v>0</v>
      </c>
      <c r="BF31" s="1023">
        <f t="shared" si="25"/>
        <v>0</v>
      </c>
      <c r="BG31" s="1023">
        <f t="shared" si="26"/>
        <v>0</v>
      </c>
      <c r="BH31" s="1023">
        <f t="shared" si="27"/>
        <v>0</v>
      </c>
      <c r="BI31" s="1017"/>
      <c r="BJ31" s="1023">
        <f>IFERROR(IF(ISBLANK(I31),0,IF(I31="Standard",X31*VLOOKUP(V31,IncomeCycleData[],3,FALSE),X31)),0)</f>
        <v>0</v>
      </c>
      <c r="BK31" s="1023">
        <f t="shared" si="28"/>
        <v>0</v>
      </c>
      <c r="BL31" s="1023">
        <f t="shared" si="42"/>
        <v>0</v>
      </c>
      <c r="BM31" s="1023">
        <f t="shared" si="29"/>
        <v>0</v>
      </c>
      <c r="BN31" s="1023">
        <f t="shared" si="30"/>
        <v>0</v>
      </c>
      <c r="BO31" s="1023">
        <f t="shared" si="31"/>
        <v>0</v>
      </c>
      <c r="BP31" s="1023">
        <f t="shared" si="32"/>
        <v>0</v>
      </c>
      <c r="BQ31" s="1023">
        <f t="shared" si="33"/>
        <v>0</v>
      </c>
      <c r="BR31" s="1023">
        <f t="shared" si="34"/>
        <v>0</v>
      </c>
      <c r="BS31" s="1023">
        <f t="shared" si="35"/>
        <v>0</v>
      </c>
      <c r="BT31" s="1023">
        <f t="shared" si="36"/>
        <v>0</v>
      </c>
      <c r="BU31" s="1023">
        <f t="shared" si="37"/>
        <v>0</v>
      </c>
      <c r="BV31" s="1023">
        <f t="shared" si="38"/>
        <v>0</v>
      </c>
      <c r="BW31" s="1023">
        <f t="shared" si="39"/>
        <v>0</v>
      </c>
      <c r="BX31" s="1023">
        <f t="shared" si="40"/>
        <v>0</v>
      </c>
    </row>
    <row r="32" spans="1:76" ht="18.75" hidden="1" customHeight="1" x14ac:dyDescent="0.25">
      <c r="A32" s="176">
        <v>20</v>
      </c>
      <c r="B32" s="4"/>
      <c r="C32" s="1366"/>
      <c r="D32" s="1367"/>
      <c r="E32" s="682"/>
      <c r="F32" s="682"/>
      <c r="G32" s="682"/>
      <c r="H32" s="682" t="s">
        <v>9</v>
      </c>
      <c r="I32" s="682"/>
      <c r="J32" s="686"/>
      <c r="K32" s="686"/>
      <c r="L32" s="686"/>
      <c r="M32" s="686"/>
      <c r="N32" s="686"/>
      <c r="O32" s="686"/>
      <c r="P32" s="686"/>
      <c r="Q32" s="686"/>
      <c r="R32" s="686"/>
      <c r="S32" s="686"/>
      <c r="T32" s="686"/>
      <c r="U32" s="686"/>
      <c r="V32" s="685"/>
      <c r="W32" s="1368"/>
      <c r="X32" s="1368"/>
      <c r="Y32" s="1369" t="str">
        <f t="shared" si="0"/>
        <v/>
      </c>
      <c r="Z32" s="1370">
        <f t="shared" ref="Z32" si="60">IFERROR(AH32/12,0)</f>
        <v>0</v>
      </c>
      <c r="AA32" s="4"/>
      <c r="AB32" s="4"/>
      <c r="AC32" s="1063" t="b" cm="1">
        <f t="array" ref="AC32">OR(NOT(ISBLANK(C32:G32)),NOT(ISBLANK(I32:X32)))</f>
        <v>0</v>
      </c>
      <c r="AD32" s="1020" t="str">
        <f t="shared" si="1"/>
        <v>Incomplete data</v>
      </c>
      <c r="AE32" s="1021" t="str">
        <f>IFERROR(IF(D32&gt;VLOOKUP(E32,StateTable[],2,FALSE),"Yes","No"),"")</f>
        <v/>
      </c>
      <c r="AF32" s="1021" t="str">
        <f>IF(ISBLANK(F32),"",IF(IFERROR(VLOOKUP(1*F32,RiskPostcodeTable[],1,FALSE),0)&lt;&gt;0,"Yes","No"))</f>
        <v/>
      </c>
      <c r="AG32" s="1022">
        <f t="shared" si="2"/>
        <v>0.6</v>
      </c>
      <c r="AH32" s="1021">
        <f>IFERROR(IF(ISBLANK(I32),0,IF(I32="Standard",W32*VLOOKUP(V32,IncomeCycleData[],3,FALSE),W32)),0)</f>
        <v>0</v>
      </c>
      <c r="AI32" s="1021">
        <f t="shared" si="3"/>
        <v>0</v>
      </c>
      <c r="AJ32" s="1021">
        <f t="shared" si="4"/>
        <v>0</v>
      </c>
      <c r="AK32" s="1021">
        <f t="shared" si="5"/>
        <v>0</v>
      </c>
      <c r="AL32" s="1021">
        <f t="shared" si="6"/>
        <v>0</v>
      </c>
      <c r="AM32" s="1021">
        <f t="shared" si="7"/>
        <v>0</v>
      </c>
      <c r="AN32" s="1021">
        <f t="shared" si="8"/>
        <v>0</v>
      </c>
      <c r="AO32" s="1021">
        <f t="shared" si="9"/>
        <v>0</v>
      </c>
      <c r="AP32" s="1021">
        <f t="shared" si="10"/>
        <v>0</v>
      </c>
      <c r="AQ32" s="1021">
        <f t="shared" si="11"/>
        <v>0</v>
      </c>
      <c r="AR32" s="1021">
        <f t="shared" si="12"/>
        <v>0</v>
      </c>
      <c r="AS32" s="1021">
        <f t="shared" si="13"/>
        <v>0</v>
      </c>
      <c r="AT32" s="1021">
        <f t="shared" si="14"/>
        <v>0</v>
      </c>
      <c r="AU32" s="398"/>
      <c r="AV32" s="1023">
        <f t="shared" si="15"/>
        <v>0</v>
      </c>
      <c r="AW32" s="1023">
        <f t="shared" si="16"/>
        <v>0</v>
      </c>
      <c r="AX32" s="1023">
        <f t="shared" si="17"/>
        <v>0</v>
      </c>
      <c r="AY32" s="1023">
        <f t="shared" si="18"/>
        <v>0</v>
      </c>
      <c r="AZ32" s="1023">
        <f t="shared" si="19"/>
        <v>0</v>
      </c>
      <c r="BA32" s="1023">
        <f t="shared" si="20"/>
        <v>0</v>
      </c>
      <c r="BB32" s="1023">
        <f t="shared" si="21"/>
        <v>0</v>
      </c>
      <c r="BC32" s="1023">
        <f t="shared" si="22"/>
        <v>0</v>
      </c>
      <c r="BD32" s="1023">
        <f t="shared" si="23"/>
        <v>0</v>
      </c>
      <c r="BE32" s="1023">
        <f t="shared" si="24"/>
        <v>0</v>
      </c>
      <c r="BF32" s="1023">
        <f t="shared" si="25"/>
        <v>0</v>
      </c>
      <c r="BG32" s="1023">
        <f t="shared" si="26"/>
        <v>0</v>
      </c>
      <c r="BH32" s="1023">
        <f t="shared" si="27"/>
        <v>0</v>
      </c>
      <c r="BI32" s="1017"/>
      <c r="BJ32" s="1023">
        <f>IFERROR(IF(ISBLANK(I32),0,IF(I32="Standard",X32*VLOOKUP(V32,IncomeCycleData[],3,FALSE),X32)),0)</f>
        <v>0</v>
      </c>
      <c r="BK32" s="1023">
        <f t="shared" si="28"/>
        <v>0</v>
      </c>
      <c r="BL32" s="1023">
        <f t="shared" si="42"/>
        <v>0</v>
      </c>
      <c r="BM32" s="1023">
        <f t="shared" si="29"/>
        <v>0</v>
      </c>
      <c r="BN32" s="1023">
        <f t="shared" si="30"/>
        <v>0</v>
      </c>
      <c r="BO32" s="1023">
        <f t="shared" si="31"/>
        <v>0</v>
      </c>
      <c r="BP32" s="1023">
        <f t="shared" si="32"/>
        <v>0</v>
      </c>
      <c r="BQ32" s="1023">
        <f t="shared" si="33"/>
        <v>0</v>
      </c>
      <c r="BR32" s="1023">
        <f t="shared" si="34"/>
        <v>0</v>
      </c>
      <c r="BS32" s="1023">
        <f t="shared" si="35"/>
        <v>0</v>
      </c>
      <c r="BT32" s="1023">
        <f t="shared" si="36"/>
        <v>0</v>
      </c>
      <c r="BU32" s="1023">
        <f t="shared" si="37"/>
        <v>0</v>
      </c>
      <c r="BV32" s="1023">
        <f t="shared" si="38"/>
        <v>0</v>
      </c>
      <c r="BW32" s="1023">
        <f t="shared" si="39"/>
        <v>0</v>
      </c>
      <c r="BX32" s="1023">
        <f t="shared" si="40"/>
        <v>0</v>
      </c>
    </row>
    <row r="33" spans="1:76" ht="18.75" customHeight="1" x14ac:dyDescent="0.25">
      <c r="A33" s="4"/>
      <c r="B33" s="4"/>
      <c r="C33" s="23"/>
      <c r="D33" s="23"/>
      <c r="E33" s="12"/>
      <c r="F33" s="12"/>
      <c r="G33" s="12"/>
      <c r="H33" s="12"/>
      <c r="I33" s="12"/>
      <c r="J33" s="12"/>
      <c r="K33" s="12"/>
      <c r="L33" s="12"/>
      <c r="M33" s="12"/>
      <c r="N33" s="4"/>
      <c r="O33" s="4"/>
      <c r="P33" s="4"/>
      <c r="Q33" s="4"/>
      <c r="R33" s="4"/>
      <c r="S33" s="4"/>
      <c r="T33" s="4"/>
      <c r="U33" s="4"/>
      <c r="V33" s="4"/>
      <c r="W33" s="4"/>
      <c r="X33" s="12"/>
      <c r="Y33" s="4"/>
      <c r="Z33" s="4"/>
      <c r="AA33" s="4"/>
      <c r="AB33" s="4"/>
      <c r="AC33" s="4"/>
      <c r="AD33" s="1017"/>
      <c r="AE33" s="1017"/>
      <c r="AF33" s="1017"/>
      <c r="AG33" s="628"/>
      <c r="AH33" s="1017"/>
      <c r="AI33" s="1017"/>
      <c r="AJ33" s="1017"/>
      <c r="AK33" s="1017"/>
      <c r="AL33" s="1017"/>
      <c r="AM33" s="1017"/>
      <c r="AN33" s="1017"/>
      <c r="AO33" s="1017"/>
      <c r="AP33" s="1017"/>
      <c r="AQ33" s="1017"/>
      <c r="AR33" s="1017"/>
      <c r="AS33" s="1017"/>
      <c r="AT33" s="1017"/>
      <c r="AU33" s="628"/>
      <c r="AV33" s="1024"/>
      <c r="AW33" s="1024"/>
      <c r="AX33" s="1024"/>
      <c r="AY33" s="1024"/>
      <c r="AZ33" s="1024"/>
      <c r="BA33" s="1024"/>
      <c r="BB33" s="1024"/>
      <c r="BC33" s="1024"/>
      <c r="BD33" s="1024"/>
      <c r="BE33" s="1024"/>
      <c r="BF33" s="1024"/>
      <c r="BG33" s="1024"/>
      <c r="BH33" s="1024"/>
      <c r="BI33" s="1017"/>
      <c r="BJ33" s="1024"/>
      <c r="BK33" s="1024"/>
      <c r="BL33" s="1024"/>
      <c r="BM33" s="1024"/>
      <c r="BN33" s="1024"/>
      <c r="BO33" s="1024"/>
      <c r="BP33" s="1024"/>
      <c r="BQ33" s="1024"/>
      <c r="BR33" s="1024"/>
      <c r="BS33" s="1024"/>
      <c r="BT33" s="1024"/>
      <c r="BU33" s="1024"/>
      <c r="BV33" s="1024"/>
      <c r="BW33" s="1024"/>
      <c r="BX33" s="1024"/>
    </row>
    <row r="34" spans="1:76" ht="18.75" customHeight="1" x14ac:dyDescent="0.25">
      <c r="A34" s="349">
        <f>SUBTOTAL(102,A13:A32)</f>
        <v>1</v>
      </c>
      <c r="B34" s="4"/>
      <c r="C34" s="4"/>
      <c r="D34" s="4"/>
      <c r="E34" s="349"/>
      <c r="F34" s="349"/>
      <c r="G34" s="349"/>
      <c r="H34" s="349"/>
      <c r="I34" s="349"/>
      <c r="J34" s="349"/>
      <c r="K34" s="349"/>
      <c r="L34" s="12"/>
      <c r="M34" s="12"/>
      <c r="N34" s="4"/>
      <c r="O34" s="4"/>
      <c r="P34" s="4"/>
      <c r="Q34" s="4"/>
      <c r="R34" s="4"/>
      <c r="S34" s="4"/>
      <c r="T34" s="4"/>
      <c r="U34" s="4"/>
      <c r="V34" s="4"/>
      <c r="W34" s="4"/>
      <c r="X34" s="349"/>
      <c r="Y34" s="4"/>
      <c r="Z34" s="4"/>
      <c r="AA34" s="4"/>
      <c r="AB34" s="4"/>
      <c r="AC34" s="1063" t="b">
        <f>OR(AC13:AC32)</f>
        <v>0</v>
      </c>
      <c r="AD34" s="1025"/>
      <c r="AE34" s="1025"/>
      <c r="AF34" s="1025"/>
      <c r="AG34" s="619"/>
      <c r="AH34" s="1026">
        <f t="shared" ref="AH34:AS34" si="61">SUM(AH13:AH32)</f>
        <v>0</v>
      </c>
      <c r="AI34" s="1026">
        <f>SUM(AI13:AI32)</f>
        <v>0</v>
      </c>
      <c r="AJ34" s="1026">
        <f>SUM(AJ13:AJ32)</f>
        <v>0</v>
      </c>
      <c r="AK34" s="1026">
        <f t="shared" si="61"/>
        <v>0</v>
      </c>
      <c r="AL34" s="1026">
        <f t="shared" ref="AL34" si="62">SUM(AL13:AL32)</f>
        <v>0</v>
      </c>
      <c r="AM34" s="1026">
        <f t="shared" si="61"/>
        <v>0</v>
      </c>
      <c r="AN34" s="1026">
        <f t="shared" ref="AN34" si="63">SUM(AN13:AN32)</f>
        <v>0</v>
      </c>
      <c r="AO34" s="1026">
        <f t="shared" si="61"/>
        <v>0</v>
      </c>
      <c r="AP34" s="1026">
        <f t="shared" ref="AP34" si="64">SUM(AP13:AP32)</f>
        <v>0</v>
      </c>
      <c r="AQ34" s="1026">
        <f t="shared" si="61"/>
        <v>0</v>
      </c>
      <c r="AR34" s="1026">
        <f t="shared" ref="AR34" si="65">SUM(AR13:AR32)</f>
        <v>0</v>
      </c>
      <c r="AS34" s="1026">
        <f t="shared" si="61"/>
        <v>0</v>
      </c>
      <c r="AT34" s="1026">
        <f t="shared" ref="AT34" si="66">SUM(AT13:AT32)</f>
        <v>0</v>
      </c>
      <c r="AU34" s="619"/>
      <c r="AV34" s="1026">
        <f t="shared" ref="AV34:BG34" si="67">SUM(AV13:AV32)</f>
        <v>0</v>
      </c>
      <c r="AW34" s="1026">
        <f t="shared" si="67"/>
        <v>0</v>
      </c>
      <c r="AX34" s="1026">
        <f t="shared" ref="AX34" si="68">SUM(AX13:AX32)</f>
        <v>0</v>
      </c>
      <c r="AY34" s="1026">
        <f t="shared" si="67"/>
        <v>0</v>
      </c>
      <c r="AZ34" s="1026">
        <f t="shared" ref="AZ34" si="69">SUM(AZ13:AZ32)</f>
        <v>0</v>
      </c>
      <c r="BA34" s="1026">
        <f t="shared" si="67"/>
        <v>0</v>
      </c>
      <c r="BB34" s="1026">
        <f t="shared" ref="BB34" si="70">SUM(BB13:BB32)</f>
        <v>0</v>
      </c>
      <c r="BC34" s="1026">
        <f t="shared" si="67"/>
        <v>0</v>
      </c>
      <c r="BD34" s="1026">
        <f t="shared" ref="BD34" si="71">SUM(BD13:BD32)</f>
        <v>0</v>
      </c>
      <c r="BE34" s="1026">
        <f t="shared" si="67"/>
        <v>0</v>
      </c>
      <c r="BF34" s="1026">
        <f t="shared" ref="BF34" si="72">SUM(BF13:BF32)</f>
        <v>0</v>
      </c>
      <c r="BG34" s="1026">
        <f t="shared" si="67"/>
        <v>0</v>
      </c>
      <c r="BH34" s="1026">
        <f t="shared" ref="BH34" si="73">SUM(BH13:BH32)</f>
        <v>0</v>
      </c>
      <c r="BI34" s="1017"/>
      <c r="BJ34" s="1026">
        <f t="shared" ref="BJ34:BK34" si="74">SUM(BJ13:BJ32)</f>
        <v>0</v>
      </c>
      <c r="BK34" s="1026">
        <f t="shared" si="74"/>
        <v>0</v>
      </c>
      <c r="BL34" s="1026">
        <f t="shared" ref="BL34:BX34" si="75">SUM(BL13:BL32)</f>
        <v>0</v>
      </c>
      <c r="BM34" s="1026">
        <f t="shared" si="75"/>
        <v>0</v>
      </c>
      <c r="BN34" s="1026">
        <f t="shared" si="75"/>
        <v>0</v>
      </c>
      <c r="BO34" s="1026">
        <f t="shared" si="75"/>
        <v>0</v>
      </c>
      <c r="BP34" s="1026">
        <f t="shared" si="75"/>
        <v>0</v>
      </c>
      <c r="BQ34" s="1026">
        <f t="shared" si="75"/>
        <v>0</v>
      </c>
      <c r="BR34" s="1026">
        <f t="shared" si="75"/>
        <v>0</v>
      </c>
      <c r="BS34" s="1026">
        <f t="shared" si="75"/>
        <v>0</v>
      </c>
      <c r="BT34" s="1026">
        <f t="shared" si="75"/>
        <v>0</v>
      </c>
      <c r="BU34" s="1026">
        <f t="shared" si="75"/>
        <v>0</v>
      </c>
      <c r="BV34" s="1026">
        <f t="shared" si="75"/>
        <v>0</v>
      </c>
      <c r="BW34" s="1026">
        <f t="shared" si="75"/>
        <v>0</v>
      </c>
      <c r="BX34" s="1026">
        <f t="shared" si="75"/>
        <v>0</v>
      </c>
    </row>
    <row r="35" spans="1:76" ht="16" customHeight="1" x14ac:dyDescent="0.25">
      <c r="A35" s="4"/>
      <c r="B35" s="4"/>
      <c r="C35" s="349"/>
      <c r="D35" s="349"/>
      <c r="E35" s="349"/>
      <c r="F35" s="349"/>
      <c r="G35" s="349"/>
      <c r="H35" s="349"/>
      <c r="I35" s="349"/>
      <c r="J35" s="349"/>
      <c r="K35" s="349"/>
      <c r="L35" s="12"/>
      <c r="M35" s="12"/>
      <c r="N35" s="4"/>
      <c r="O35" s="4"/>
      <c r="P35" s="4"/>
      <c r="Q35" s="4"/>
      <c r="R35" s="4"/>
      <c r="S35" s="4"/>
      <c r="T35" s="4"/>
      <c r="U35" s="4"/>
      <c r="V35" s="4"/>
      <c r="W35" s="4"/>
      <c r="X35" s="349"/>
      <c r="Y35" s="4"/>
      <c r="Z35" s="4"/>
      <c r="AA35" s="4"/>
      <c r="AB35" s="4"/>
      <c r="AC35" s="4"/>
      <c r="AD35" s="628"/>
      <c r="AE35" s="628"/>
      <c r="AF35" s="628"/>
      <c r="AG35" s="628"/>
      <c r="AH35" s="628"/>
      <c r="AI35" s="556" t="b">
        <f>IF(COUNTIFS($E$13:$E$32,"Foreign",RICApp1OwnershipSection,"&gt;0")+COUNTIFS($E$13:$E$32,"Foreign",RICApp1SpouseOwnershipSection,"&gt;0")&gt;0,TRUE,FALSE)</f>
        <v>0</v>
      </c>
      <c r="AJ35" s="1027"/>
      <c r="AK35" s="556" t="b">
        <f>IF(COUNTIFS($E$13:$E$32,"Foreign",RICApp2OwnershipSection,"&gt;0")+COUNTIFS($E$13:$E$32,"Foreign",RICApp2SpouseOwnershipSection,"&gt;0")&gt;0,TRUE,FALSE)</f>
        <v>0</v>
      </c>
      <c r="AL35" s="1027"/>
      <c r="AM35" s="556" t="b">
        <f>IF(COUNTIFS($E$13:$E$32,"Foreign",RICApp3OwnershipSection,"&gt;0")+COUNTIFS($E$13:$E$32,"Foreign",RICApp3SpouseOwnershipSection,"&gt;0")&gt;0,TRUE,FALSE)</f>
        <v>0</v>
      </c>
      <c r="AN35" s="1027"/>
      <c r="AO35" s="556" t="b">
        <f>IF(COUNTIFS($E$13:$E$32,"Foreign",RICApp4OwnershipSection,"&gt;0")+COUNTIFS($E$13:$E$32,"Foreign",RICApp4SpouseOwnershipSection,"&gt;0")&gt;0,TRUE,FALSE)</f>
        <v>0</v>
      </c>
      <c r="AP35" s="1027"/>
      <c r="AQ35" s="556" t="b">
        <f>IF(COUNTIFS($E$13:$E$32,"Foreign",RICApp5OwnershipSection,"&gt;0")+COUNTIFS($E$13:$E$32,"Foreign",RICApp5SpouseOwnershipSection,"&gt;0")&gt;0,TRUE,FALSE)</f>
        <v>0</v>
      </c>
      <c r="AR35" s="1027"/>
      <c r="AS35" s="556" t="b">
        <f>IF(COUNTIFS($E$13:$E$32,"Foreign",RICApp6OwnershipSection,"&gt;0")+COUNTIFS($E$13:$E$32,"Foreign",RICApp6SpouseOwnershipSection,"&gt;0")&gt;0,TRUE,FALSE)</f>
        <v>0</v>
      </c>
      <c r="AT35" s="1027"/>
      <c r="AU35" s="628"/>
      <c r="AV35" s="628"/>
      <c r="AW35" s="628"/>
      <c r="AX35" s="628"/>
      <c r="AY35" s="628"/>
      <c r="AZ35" s="628"/>
      <c r="BA35" s="628"/>
      <c r="BB35" s="628"/>
      <c r="BC35" s="628"/>
      <c r="BD35" s="628"/>
      <c r="BE35" s="628"/>
      <c r="BF35" s="628"/>
      <c r="BG35" s="628"/>
      <c r="BH35" s="628"/>
      <c r="BI35" s="1017"/>
      <c r="BJ35" s="1017"/>
      <c r="BK35" s="1017"/>
      <c r="BL35" s="1017"/>
      <c r="BM35" s="1017"/>
      <c r="BN35" s="1017"/>
      <c r="BO35" s="1017"/>
      <c r="BP35" s="1017"/>
      <c r="BQ35" s="1017"/>
      <c r="BR35" s="1017"/>
      <c r="BS35" s="1017"/>
      <c r="BT35" s="1017"/>
      <c r="BU35" s="1017"/>
      <c r="BV35" s="1017"/>
      <c r="BW35" s="1017"/>
      <c r="BX35" s="1017"/>
    </row>
    <row r="36" spans="1:76" ht="16.5" customHeight="1" x14ac:dyDescent="0.25">
      <c r="A36" s="30"/>
      <c r="B36" s="30"/>
      <c r="C36" s="30"/>
      <c r="D36" s="30"/>
      <c r="E36" s="30"/>
      <c r="F36" s="30"/>
      <c r="G36" s="30"/>
      <c r="H36" s="30"/>
      <c r="I36" s="30"/>
      <c r="J36" s="30"/>
      <c r="K36" s="30"/>
      <c r="L36" s="30"/>
      <c r="M36" s="30"/>
      <c r="N36" s="30"/>
      <c r="O36" s="30"/>
      <c r="P36" s="30"/>
      <c r="Q36" s="30"/>
      <c r="R36" s="30"/>
      <c r="S36" s="30"/>
      <c r="T36" s="30"/>
      <c r="U36" s="30"/>
      <c r="V36" s="30"/>
      <c r="W36" s="30"/>
      <c r="X36" s="30"/>
      <c r="Y36" s="674"/>
      <c r="Z36" s="674"/>
      <c r="AA36" s="30"/>
      <c r="AB36" s="30"/>
      <c r="AC36" s="30"/>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30"/>
      <c r="BJ36" s="30"/>
      <c r="BK36" s="30"/>
      <c r="BL36" s="30"/>
      <c r="BM36" s="30"/>
      <c r="BN36" s="30"/>
      <c r="BO36" s="30"/>
      <c r="BP36" s="30"/>
      <c r="BQ36" s="30"/>
      <c r="BR36" s="30"/>
      <c r="BS36" s="30"/>
      <c r="BT36" s="30"/>
      <c r="BU36" s="30"/>
      <c r="BV36" s="30"/>
      <c r="BW36" s="30"/>
      <c r="BX36" s="30"/>
    </row>
    <row r="37" spans="1:76" ht="16" customHeight="1" x14ac:dyDescent="0.25">
      <c r="B37" s="25"/>
      <c r="Y37" s="674"/>
      <c r="Z37" s="674"/>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row>
    <row r="40" spans="1:76" ht="16" customHeight="1" x14ac:dyDescent="0.25">
      <c r="AA40" s="1709" t="s">
        <v>852</v>
      </c>
      <c r="AB40" s="1709"/>
      <c r="AC40" s="1709"/>
      <c r="AD40" s="1709"/>
      <c r="AE40" s="1709"/>
      <c r="AF40" s="1709"/>
      <c r="AG40" s="1709"/>
      <c r="AH40" s="1709"/>
      <c r="AI40" s="1709"/>
      <c r="AJ40" s="1709"/>
      <c r="AK40" s="1709"/>
      <c r="AL40" s="1709"/>
      <c r="AM40" s="1709"/>
      <c r="AN40" s="1709"/>
      <c r="AO40" s="1709"/>
      <c r="AP40" s="1709"/>
      <c r="AQ40" s="1709"/>
      <c r="AR40" s="1709"/>
      <c r="AS40" s="1709"/>
      <c r="AT40" s="1709"/>
      <c r="AU40" s="1709"/>
      <c r="AV40" s="1709"/>
      <c r="AW40" s="1709"/>
    </row>
    <row r="41" spans="1:76" ht="16" customHeight="1" x14ac:dyDescent="0.25">
      <c r="AA41" s="1709"/>
      <c r="AB41" s="1709"/>
      <c r="AC41" s="1709"/>
      <c r="AD41" s="1709"/>
      <c r="AE41" s="1709"/>
      <c r="AF41" s="1709"/>
      <c r="AG41" s="1709"/>
      <c r="AH41" s="1709"/>
      <c r="AI41" s="1709"/>
      <c r="AJ41" s="1709"/>
      <c r="AK41" s="1709"/>
      <c r="AL41" s="1709"/>
      <c r="AM41" s="1709"/>
      <c r="AN41" s="1709"/>
      <c r="AO41" s="1709"/>
      <c r="AP41" s="1709"/>
      <c r="AQ41" s="1709"/>
      <c r="AR41" s="1709"/>
      <c r="AS41" s="1709"/>
      <c r="AT41" s="1709"/>
      <c r="AU41" s="1709"/>
      <c r="AV41" s="1709"/>
      <c r="AW41" s="1709"/>
    </row>
  </sheetData>
  <sheetProtection algorithmName="SHA-512" hashValue="+nz0tDO3F0BTbhAXu1XmQpbkGWbLGKvicTetq95xlgh9+qll+aCq+6JjRSDaE5HItHBQeCZOlIaOmSX5+78KTg==" saltValue="qir3MN8E/wxAS17Tga6aEg==" spinCount="100000" sheet="1" objects="1" scenarios="1" selectLockedCells="1"/>
  <dataConsolidate link="1"/>
  <mergeCells count="64">
    <mergeCell ref="D10:D11"/>
    <mergeCell ref="C10:C11"/>
    <mergeCell ref="N10:N11"/>
    <mergeCell ref="J10:J11"/>
    <mergeCell ref="T10:T11"/>
    <mergeCell ref="H10:H11"/>
    <mergeCell ref="O10:O12"/>
    <mergeCell ref="Q10:Q12"/>
    <mergeCell ref="AA40:AW41"/>
    <mergeCell ref="Z10:Z11"/>
    <mergeCell ref="E10:E11"/>
    <mergeCell ref="F10:F11"/>
    <mergeCell ref="W10:W11"/>
    <mergeCell ref="R10:R11"/>
    <mergeCell ref="P10:P11"/>
    <mergeCell ref="V10:V11"/>
    <mergeCell ref="AI10:AI11"/>
    <mergeCell ref="AM10:AM11"/>
    <mergeCell ref="X10:X11"/>
    <mergeCell ref="I9:I11"/>
    <mergeCell ref="AH10:AH11"/>
    <mergeCell ref="L10:L11"/>
    <mergeCell ref="K10:K12"/>
    <mergeCell ref="M10:M12"/>
    <mergeCell ref="U10:U12"/>
    <mergeCell ref="S10:S12"/>
    <mergeCell ref="BH10:BH11"/>
    <mergeCell ref="BF10:BF11"/>
    <mergeCell ref="BD10:BD11"/>
    <mergeCell ref="BB10:BB11"/>
    <mergeCell ref="AZ10:AZ11"/>
    <mergeCell ref="BE10:BE11"/>
    <mergeCell ref="BG10:BG11"/>
    <mergeCell ref="BC10:BC11"/>
    <mergeCell ref="BA10:BA11"/>
    <mergeCell ref="AV10:AV11"/>
    <mergeCell ref="AW10:AW11"/>
    <mergeCell ref="AY10:AY11"/>
    <mergeCell ref="AJ10:AJ11"/>
    <mergeCell ref="AL10:AL11"/>
    <mergeCell ref="AK10:AK11"/>
    <mergeCell ref="AP10:AP11"/>
    <mergeCell ref="AR10:AR11"/>
    <mergeCell ref="BV10:BV11"/>
    <mergeCell ref="BW10:BW11"/>
    <mergeCell ref="AN10:AN11"/>
    <mergeCell ref="AT10:AT11"/>
    <mergeCell ref="AX10:AX11"/>
    <mergeCell ref="AS10:AS11"/>
    <mergeCell ref="AO10:AO11"/>
    <mergeCell ref="AQ10:AQ11"/>
    <mergeCell ref="BX10:BX11"/>
    <mergeCell ref="BJ10:BJ11"/>
    <mergeCell ref="BK10:BK11"/>
    <mergeCell ref="BQ10:BQ11"/>
    <mergeCell ref="BR10:BR11"/>
    <mergeCell ref="BS10:BS11"/>
    <mergeCell ref="BT10:BT11"/>
    <mergeCell ref="BU10:BU11"/>
    <mergeCell ref="BL10:BL11"/>
    <mergeCell ref="BM10:BM11"/>
    <mergeCell ref="BN10:BN11"/>
    <mergeCell ref="BO10:BO11"/>
    <mergeCell ref="BP10:BP11"/>
  </mergeCells>
  <conditionalFormatting sqref="J13:U32">
    <cfRule type="expression" dxfId="107" priority="858">
      <formula>SUM($J13:$U13)&gt;1</formula>
    </cfRule>
  </conditionalFormatting>
  <conditionalFormatting sqref="AA40 Y36:Z37">
    <cfRule type="expression" dxfId="106" priority="2058">
      <formula>OR(SUM($J$13:$U$13)&gt;1,SUM($J$14:$U$14)&gt;1,SUM($J$15:$U$15)&gt;1,SUM($J$16:$U$16)&gt;1,SUM($J$17:$U$17)&gt;1,SUM($J$18:$U$18)&gt;1,SUM($J$19:$U$19)&gt;1,SUM($J$20:$U$20)&gt;1,SUM($J$21:$U$21)&gt;1,SUM($J$22:$U$22)&gt;1,SUM($J$23:$U$23)&gt;1,SUM($J$24:$U$24)&gt;1,SUM($J$25:$U$25)&gt;1,SUM($J$26:$U$26)&gt;1,SUM($J$27:$U$27)&gt;1,SUM($J$28:$U$28)&gt;1,SUM($J$29:$U$29)&gt;1,SUM($J$30:$U$30)&gt;1,SUM($J$31:$U$31)&gt;1,SUM($J$32:$U$32)&gt;1)</formula>
    </cfRule>
  </conditionalFormatting>
  <conditionalFormatting sqref="D13:I32 V13:V32 X13:X32 AG13:AG32">
    <cfRule type="expression" dxfId="105" priority="2146">
      <formula>AND(NOT(ISBLANK($W13)),ISBLANK(D13))</formula>
    </cfRule>
  </conditionalFormatting>
  <dataValidations count="7">
    <dataValidation type="list" allowBlank="1" showInputMessage="1" showErrorMessage="1" sqref="V13:V32" xr:uid="{00000000-0002-0000-5C00-000000000000}">
      <formula1>INDIRECT("IncomeCycleData[IncomeCycle]")</formula1>
    </dataValidation>
    <dataValidation type="list" allowBlank="1" showInputMessage="1" showErrorMessage="1" sqref="H13:H32" xr:uid="{00000000-0002-0000-5C00-000001000000}">
      <formula1>INDIRECT("ValidationYesNo[DisplayValue]")</formula1>
    </dataValidation>
    <dataValidation type="list" allowBlank="1" showInputMessage="1" showErrorMessage="1" sqref="E13:E32" xr:uid="{D91D19F1-9BC7-4A1A-9F49-473A7369459C}">
      <formula1>INDIRECT("StateTable[StateCode]")</formula1>
    </dataValidation>
    <dataValidation type="decimal" allowBlank="1" showInputMessage="1" showErrorMessage="1" errorTitle="Invalid ownership percentage" error="Please enter a percentage value between 0 and 100%" sqref="J13:U32" xr:uid="{29E0EE11-F1B9-4508-B231-0FFB64A020F6}">
      <formula1>0</formula1>
      <formula2>1</formula2>
    </dataValidation>
    <dataValidation type="list" allowBlank="1" showInputMessage="1" showErrorMessage="1" sqref="G13:G32" xr:uid="{1D83DEBB-0833-4A57-B0EB-2750A3B60CAD}">
      <formula1>INDIRECT("RentalIncomePropertyTypeTable[PropertyType]")</formula1>
    </dataValidation>
    <dataValidation type="list" allowBlank="1" showInputMessage="1" showErrorMessage="1" sqref="I13:I32" xr:uid="{E8C7F03B-0C8E-4C1D-8D2C-502BCE87DDAA}">
      <formula1>"Standard, Short term"</formula1>
    </dataValidation>
    <dataValidation type="decimal" operator="greaterThanOrEqual" allowBlank="1" showInputMessage="1" showErrorMessage="1" errorTitle="Invalid entry" error="Please enter a valid number" sqref="W13:W32 D13:D32" xr:uid="{F6D62D42-3EAF-482C-8B00-D35E1B85D9D8}">
      <formula1>0</formula1>
    </dataValidation>
  </dataValidations>
  <pageMargins left="0.25" right="0.25" top="0.75" bottom="0.75" header="0.3" footer="0.3"/>
  <pageSetup paperSize="9" scale="46"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RentalIncomeTaxDeduction">
    <pageSetUpPr fitToPage="1"/>
  </sheetPr>
  <dimension ref="A1:Z35"/>
  <sheetViews>
    <sheetView showGridLines="0" showRowColHeaders="0" zoomScaleNormal="100" workbookViewId="0">
      <selection activeCell="B12" sqref="B12"/>
    </sheetView>
  </sheetViews>
  <sheetFormatPr defaultColWidth="2.81640625" defaultRowHeight="15" customHeight="1" x14ac:dyDescent="0.25"/>
  <cols>
    <col min="1" max="1" width="2.81640625" customWidth="1"/>
    <col min="2" max="3" width="11.453125" customWidth="1"/>
    <col min="4" max="7" width="11.453125" hidden="1" customWidth="1"/>
    <col min="8" max="8" width="32.1796875" customWidth="1"/>
    <col min="9" max="11" width="21.453125" customWidth="1"/>
    <col min="12" max="12" width="25.7265625" customWidth="1"/>
    <col min="13" max="15" width="2.81640625" customWidth="1"/>
    <col min="16" max="16" width="8.7265625" hidden="1" customWidth="1"/>
    <col min="17" max="22" width="11.26953125" hidden="1" customWidth="1"/>
    <col min="23" max="26" width="2.81640625" hidden="1" customWidth="1"/>
  </cols>
  <sheetData>
    <row r="1" spans="1:22" ht="16" customHeight="1" x14ac:dyDescent="0.25">
      <c r="N1" s="4"/>
      <c r="O1" s="4"/>
      <c r="P1" s="4"/>
      <c r="Q1" s="4"/>
      <c r="R1" s="4"/>
      <c r="S1" s="4"/>
      <c r="T1" s="4"/>
      <c r="U1" s="4"/>
      <c r="V1" s="4"/>
    </row>
    <row r="2" spans="1:22" ht="16" customHeight="1" x14ac:dyDescent="0.25">
      <c r="N2" s="4"/>
      <c r="O2" s="4"/>
      <c r="P2" s="4"/>
      <c r="Q2" s="4"/>
      <c r="R2" s="4"/>
      <c r="S2" s="4"/>
      <c r="T2" s="4"/>
      <c r="U2" s="4"/>
      <c r="V2" s="8"/>
    </row>
    <row r="3" spans="1:22" ht="16" customHeight="1" x14ac:dyDescent="0.25">
      <c r="N3" s="4"/>
      <c r="O3" s="4"/>
      <c r="P3" s="4"/>
      <c r="Q3" s="4"/>
      <c r="R3" s="4"/>
      <c r="S3" s="4"/>
      <c r="T3" s="4"/>
      <c r="U3" s="4"/>
      <c r="V3" s="31"/>
    </row>
    <row r="4" spans="1:22" ht="30" customHeight="1" x14ac:dyDescent="0.25">
      <c r="A4" s="4"/>
      <c r="B4" s="675" t="s">
        <v>58</v>
      </c>
      <c r="C4" s="675"/>
      <c r="D4" s="675"/>
      <c r="E4" s="675"/>
      <c r="F4" s="675"/>
      <c r="G4" s="13"/>
      <c r="H4" s="13"/>
      <c r="I4" s="13"/>
      <c r="J4" s="13"/>
      <c r="K4" s="13"/>
      <c r="L4" s="13"/>
      <c r="M4" s="13"/>
      <c r="N4" s="13"/>
      <c r="O4" s="13"/>
      <c r="P4" s="13"/>
      <c r="Q4" s="13"/>
      <c r="R4" s="13"/>
      <c r="S4" s="13"/>
      <c r="T4" s="13"/>
      <c r="U4" s="13"/>
      <c r="V4" s="13"/>
    </row>
    <row r="5" spans="1:22" ht="7.5" customHeight="1" x14ac:dyDescent="0.25">
      <c r="A5" s="4"/>
      <c r="B5" s="5"/>
      <c r="C5" s="6"/>
      <c r="D5" s="6"/>
      <c r="E5" s="6"/>
      <c r="F5" s="6"/>
      <c r="G5" s="7"/>
      <c r="H5" s="7"/>
      <c r="I5" s="7"/>
      <c r="J5" s="7"/>
      <c r="K5" s="7"/>
      <c r="L5" s="5"/>
      <c r="M5" s="5"/>
      <c r="N5" s="5"/>
      <c r="O5" s="5"/>
      <c r="P5" s="5"/>
      <c r="Q5" s="5"/>
      <c r="R5" s="5"/>
      <c r="S5" s="5"/>
      <c r="T5" s="5"/>
      <c r="U5" s="5"/>
      <c r="V5" s="5"/>
    </row>
    <row r="6" spans="1:22" ht="22.5" customHeight="1" x14ac:dyDescent="0.25">
      <c r="A6" s="199"/>
      <c r="B6" s="1048" t="s">
        <v>1586</v>
      </c>
      <c r="C6" s="1048"/>
      <c r="D6" s="1048"/>
      <c r="E6" s="1048"/>
      <c r="F6" s="1048"/>
      <c r="G6" s="1048"/>
      <c r="H6" s="1048"/>
      <c r="I6" s="1048"/>
      <c r="J6" s="1048"/>
      <c r="K6" s="350">
        <v>1</v>
      </c>
      <c r="L6" s="350"/>
      <c r="M6" s="350"/>
    </row>
    <row r="7" spans="1:22" ht="8.15" customHeight="1" x14ac:dyDescent="0.25">
      <c r="A7" s="4"/>
      <c r="B7" s="16"/>
      <c r="C7" s="16"/>
      <c r="D7" s="16"/>
      <c r="E7" s="16"/>
      <c r="F7" s="16"/>
      <c r="G7" s="16"/>
      <c r="H7" s="16"/>
      <c r="I7" s="16"/>
      <c r="J7" s="16"/>
      <c r="K7" s="16"/>
      <c r="L7" s="16"/>
      <c r="M7" s="16"/>
      <c r="N7" s="16"/>
      <c r="O7" s="16"/>
      <c r="P7" s="16"/>
      <c r="Q7" s="16"/>
      <c r="R7" s="16"/>
      <c r="S7" s="16"/>
      <c r="T7" s="16"/>
      <c r="U7" s="16"/>
      <c r="V7" s="16"/>
    </row>
    <row r="8" spans="1:22" ht="18.75" customHeight="1" x14ac:dyDescent="0.25">
      <c r="A8" s="4"/>
      <c r="B8" s="1049" t="s">
        <v>1607</v>
      </c>
      <c r="C8" s="1049"/>
      <c r="D8" s="1049"/>
      <c r="E8" s="1049"/>
      <c r="F8" s="1049"/>
      <c r="G8" s="1049"/>
      <c r="N8" s="16"/>
      <c r="O8" s="16"/>
      <c r="P8" s="16"/>
      <c r="Q8" s="4"/>
      <c r="R8" s="4"/>
      <c r="S8" s="4"/>
      <c r="T8" s="4"/>
      <c r="U8" s="4"/>
      <c r="V8" s="4"/>
    </row>
    <row r="9" spans="1:22" ht="15" customHeight="1" x14ac:dyDescent="0.25">
      <c r="A9" s="4"/>
      <c r="B9" s="1706" t="str">
        <f>IF(SCAApp1Name="","Applicant 1",SCAApp1Name)</f>
        <v>Applicant 1</v>
      </c>
      <c r="C9" s="1706" t="str">
        <f>IF(SCAApp2Name="","Applicant 2",SCAApp2Name)</f>
        <v>Applicant 2</v>
      </c>
      <c r="D9" s="1706" t="str">
        <f>IF(SCAApp3Name="","Applicant 3",SCAApp3Name)</f>
        <v>Applicant 3</v>
      </c>
      <c r="E9" s="1706" t="str">
        <f>IF(SCAApp4Name="","Applicant 4",SCAApp4Name)</f>
        <v>Applicant 4</v>
      </c>
      <c r="F9" s="1706" t="str">
        <f>IF(SCAApp5Name="","Applicant 5",SCAApp5Name)</f>
        <v>Applicant 5</v>
      </c>
      <c r="G9" s="1706" t="str">
        <f>IF(SCAApp6Name="","Applicant 6",SCAApp6Name)</f>
        <v>Applicant 6</v>
      </c>
      <c r="J9" s="1047"/>
      <c r="K9" s="1047"/>
      <c r="L9" s="13"/>
      <c r="M9" s="13"/>
      <c r="N9" s="13"/>
      <c r="O9" s="13"/>
      <c r="P9" s="13"/>
      <c r="Q9" s="1716" t="s">
        <v>428</v>
      </c>
      <c r="R9" s="1716" t="s">
        <v>429</v>
      </c>
      <c r="S9" s="1716" t="s">
        <v>430</v>
      </c>
      <c r="T9" s="1716" t="s">
        <v>431</v>
      </c>
      <c r="U9" s="1716" t="s">
        <v>432</v>
      </c>
      <c r="V9" s="1716" t="s">
        <v>433</v>
      </c>
    </row>
    <row r="10" spans="1:22" ht="15" customHeight="1" x14ac:dyDescent="0.25">
      <c r="A10" s="4"/>
      <c r="B10" s="1707"/>
      <c r="C10" s="1707"/>
      <c r="D10" s="1707"/>
      <c r="E10" s="1707"/>
      <c r="F10" s="1707"/>
      <c r="G10" s="1707"/>
      <c r="H10" s="449" t="s">
        <v>56</v>
      </c>
      <c r="I10" s="449" t="s">
        <v>1588</v>
      </c>
      <c r="J10" s="450" t="s">
        <v>427</v>
      </c>
      <c r="K10" s="450" t="s">
        <v>57</v>
      </c>
      <c r="L10" s="27"/>
      <c r="M10" s="27"/>
      <c r="N10" s="27"/>
      <c r="O10" s="27"/>
      <c r="P10" s="526" t="s">
        <v>1604</v>
      </c>
      <c r="Q10" s="1716"/>
      <c r="R10" s="1716"/>
      <c r="S10" s="1716"/>
      <c r="T10" s="1716"/>
      <c r="U10" s="1716"/>
      <c r="V10" s="1716"/>
    </row>
    <row r="11" spans="1:22" ht="7.5" customHeight="1" x14ac:dyDescent="0.25">
      <c r="A11" s="4"/>
      <c r="B11" s="370"/>
      <c r="C11" s="370"/>
      <c r="D11" s="370"/>
      <c r="E11" s="370"/>
      <c r="F11" s="370"/>
      <c r="G11" s="370"/>
      <c r="H11" s="24"/>
      <c r="I11" s="11"/>
      <c r="J11" s="29"/>
      <c r="K11" s="14"/>
      <c r="L11" s="27"/>
      <c r="M11" s="4"/>
      <c r="N11" s="4"/>
      <c r="O11" s="4"/>
      <c r="P11" s="4"/>
    </row>
    <row r="12" spans="1:22" ht="18.75" customHeight="1" x14ac:dyDescent="0.25">
      <c r="A12" s="176">
        <v>1</v>
      </c>
      <c r="B12" s="680"/>
      <c r="C12" s="680"/>
      <c r="D12" s="680"/>
      <c r="E12" s="680"/>
      <c r="F12" s="680"/>
      <c r="G12" s="680"/>
      <c r="H12" s="1371"/>
      <c r="I12" s="1373"/>
      <c r="J12" s="1372"/>
      <c r="K12" s="1374">
        <f t="shared" ref="K12:K31" si="0">I12*J12</f>
        <v>0</v>
      </c>
      <c r="L12" s="4"/>
      <c r="M12" s="4"/>
      <c r="N12" s="4"/>
      <c r="O12" s="4"/>
      <c r="P12" s="1051" t="b" cm="1">
        <f t="array" ref="P12">OR(NOT(ISBLANK(B12:J12)))</f>
        <v>0</v>
      </c>
      <c r="Q12" s="1051">
        <f t="shared" ref="Q12:Q31" si="1">$K12*B12</f>
        <v>0</v>
      </c>
      <c r="R12" s="1051">
        <f t="shared" ref="R12:R31" si="2">$K12*C12</f>
        <v>0</v>
      </c>
      <c r="S12" s="1051">
        <f t="shared" ref="S12:S31" si="3">$K12*D12</f>
        <v>0</v>
      </c>
      <c r="T12" s="1051">
        <f t="shared" ref="T12:T31" si="4">$K12*E12</f>
        <v>0</v>
      </c>
      <c r="U12" s="1051">
        <f t="shared" ref="U12:U31" si="5">$K12*F12</f>
        <v>0</v>
      </c>
      <c r="V12" s="1051">
        <f t="shared" ref="V12:V31" si="6">$K12*G12</f>
        <v>0</v>
      </c>
    </row>
    <row r="13" spans="1:22" ht="18.75" hidden="1" customHeight="1" x14ac:dyDescent="0.25">
      <c r="A13" s="176">
        <v>2</v>
      </c>
      <c r="B13" s="680"/>
      <c r="C13" s="680"/>
      <c r="D13" s="680"/>
      <c r="E13" s="680"/>
      <c r="F13" s="680"/>
      <c r="G13" s="680"/>
      <c r="H13" s="1371"/>
      <c r="I13" s="1373"/>
      <c r="J13" s="1372"/>
      <c r="K13" s="1374">
        <f t="shared" si="0"/>
        <v>0</v>
      </c>
      <c r="L13" s="4"/>
      <c r="M13" s="4"/>
      <c r="N13" s="4"/>
      <c r="O13" s="4"/>
      <c r="P13" s="1051" t="b" cm="1">
        <f t="array" ref="P13">OR(NOT(ISBLANK(B13:J13)))</f>
        <v>0</v>
      </c>
      <c r="Q13" s="1051">
        <f t="shared" si="1"/>
        <v>0</v>
      </c>
      <c r="R13" s="1051">
        <f t="shared" si="2"/>
        <v>0</v>
      </c>
      <c r="S13" s="1051">
        <f t="shared" si="3"/>
        <v>0</v>
      </c>
      <c r="T13" s="1051">
        <f t="shared" si="4"/>
        <v>0</v>
      </c>
      <c r="U13" s="1051">
        <f t="shared" si="5"/>
        <v>0</v>
      </c>
      <c r="V13" s="1051">
        <f t="shared" si="6"/>
        <v>0</v>
      </c>
    </row>
    <row r="14" spans="1:22" ht="18.75" hidden="1" customHeight="1" x14ac:dyDescent="0.25">
      <c r="A14" s="176">
        <v>3</v>
      </c>
      <c r="B14" s="680"/>
      <c r="C14" s="680"/>
      <c r="D14" s="680"/>
      <c r="E14" s="680"/>
      <c r="F14" s="680"/>
      <c r="G14" s="680"/>
      <c r="H14" s="1371"/>
      <c r="I14" s="1373"/>
      <c r="J14" s="1372"/>
      <c r="K14" s="1374">
        <f t="shared" si="0"/>
        <v>0</v>
      </c>
      <c r="L14" s="4"/>
      <c r="M14" s="4"/>
      <c r="N14" s="4"/>
      <c r="O14" s="4"/>
      <c r="P14" s="1051" t="b" cm="1">
        <f t="array" ref="P14">OR(NOT(ISBLANK(B14:J14)))</f>
        <v>0</v>
      </c>
      <c r="Q14" s="1051">
        <f t="shared" si="1"/>
        <v>0</v>
      </c>
      <c r="R14" s="1051">
        <f t="shared" si="2"/>
        <v>0</v>
      </c>
      <c r="S14" s="1051">
        <f t="shared" si="3"/>
        <v>0</v>
      </c>
      <c r="T14" s="1051">
        <f t="shared" si="4"/>
        <v>0</v>
      </c>
      <c r="U14" s="1051">
        <f t="shared" si="5"/>
        <v>0</v>
      </c>
      <c r="V14" s="1051">
        <f t="shared" si="6"/>
        <v>0</v>
      </c>
    </row>
    <row r="15" spans="1:22" ht="18.75" hidden="1" customHeight="1" x14ac:dyDescent="0.25">
      <c r="A15" s="176">
        <v>4</v>
      </c>
      <c r="B15" s="680"/>
      <c r="C15" s="680"/>
      <c r="D15" s="680"/>
      <c r="E15" s="680"/>
      <c r="F15" s="680"/>
      <c r="G15" s="680"/>
      <c r="H15" s="1371"/>
      <c r="I15" s="1373"/>
      <c r="J15" s="1372"/>
      <c r="K15" s="1374">
        <f t="shared" si="0"/>
        <v>0</v>
      </c>
      <c r="L15" s="4"/>
      <c r="M15" s="4"/>
      <c r="N15" s="4"/>
      <c r="O15" s="4"/>
      <c r="P15" s="1051" t="b" cm="1">
        <f t="array" ref="P15">OR(NOT(ISBLANK(B15:J15)))</f>
        <v>0</v>
      </c>
      <c r="Q15" s="1051">
        <f t="shared" si="1"/>
        <v>0</v>
      </c>
      <c r="R15" s="1051">
        <f t="shared" si="2"/>
        <v>0</v>
      </c>
      <c r="S15" s="1051">
        <f t="shared" si="3"/>
        <v>0</v>
      </c>
      <c r="T15" s="1051">
        <f t="shared" si="4"/>
        <v>0</v>
      </c>
      <c r="U15" s="1051">
        <f t="shared" si="5"/>
        <v>0</v>
      </c>
      <c r="V15" s="1051">
        <f t="shared" si="6"/>
        <v>0</v>
      </c>
    </row>
    <row r="16" spans="1:22" ht="18.75" hidden="1" customHeight="1" x14ac:dyDescent="0.25">
      <c r="A16" s="176">
        <v>5</v>
      </c>
      <c r="B16" s="680"/>
      <c r="C16" s="680"/>
      <c r="D16" s="680"/>
      <c r="E16" s="680"/>
      <c r="F16" s="680"/>
      <c r="G16" s="680"/>
      <c r="H16" s="1371"/>
      <c r="I16" s="1373"/>
      <c r="J16" s="1372"/>
      <c r="K16" s="1374">
        <f t="shared" si="0"/>
        <v>0</v>
      </c>
      <c r="L16" s="4"/>
      <c r="M16" s="4"/>
      <c r="N16" s="4"/>
      <c r="O16" s="4"/>
      <c r="P16" s="1051" t="b" cm="1">
        <f t="array" ref="P16">OR(NOT(ISBLANK(B16:J16)))</f>
        <v>0</v>
      </c>
      <c r="Q16" s="1051">
        <f t="shared" si="1"/>
        <v>0</v>
      </c>
      <c r="R16" s="1051">
        <f t="shared" si="2"/>
        <v>0</v>
      </c>
      <c r="S16" s="1051">
        <f t="shared" si="3"/>
        <v>0</v>
      </c>
      <c r="T16" s="1051">
        <f t="shared" si="4"/>
        <v>0</v>
      </c>
      <c r="U16" s="1051">
        <f t="shared" si="5"/>
        <v>0</v>
      </c>
      <c r="V16" s="1051">
        <f t="shared" si="6"/>
        <v>0</v>
      </c>
    </row>
    <row r="17" spans="1:22" ht="18.75" hidden="1" customHeight="1" x14ac:dyDescent="0.25">
      <c r="A17" s="176">
        <v>6</v>
      </c>
      <c r="B17" s="680"/>
      <c r="C17" s="680"/>
      <c r="D17" s="680"/>
      <c r="E17" s="680"/>
      <c r="F17" s="680"/>
      <c r="G17" s="680"/>
      <c r="H17" s="1371"/>
      <c r="I17" s="1373"/>
      <c r="J17" s="1372"/>
      <c r="K17" s="1374">
        <f t="shared" si="0"/>
        <v>0</v>
      </c>
      <c r="L17" s="4"/>
      <c r="M17" s="4"/>
      <c r="N17" s="4"/>
      <c r="O17" s="4"/>
      <c r="P17" s="1051" t="b" cm="1">
        <f t="array" ref="P17">OR(NOT(ISBLANK(B17:J17)))</f>
        <v>0</v>
      </c>
      <c r="Q17" s="1051">
        <f t="shared" si="1"/>
        <v>0</v>
      </c>
      <c r="R17" s="1051">
        <f t="shared" si="2"/>
        <v>0</v>
      </c>
      <c r="S17" s="1051">
        <f t="shared" si="3"/>
        <v>0</v>
      </c>
      <c r="T17" s="1051">
        <f t="shared" si="4"/>
        <v>0</v>
      </c>
      <c r="U17" s="1051">
        <f t="shared" si="5"/>
        <v>0</v>
      </c>
      <c r="V17" s="1051">
        <f t="shared" si="6"/>
        <v>0</v>
      </c>
    </row>
    <row r="18" spans="1:22" ht="18.75" hidden="1" customHeight="1" x14ac:dyDescent="0.25">
      <c r="A18" s="176">
        <v>7</v>
      </c>
      <c r="B18" s="680"/>
      <c r="C18" s="680"/>
      <c r="D18" s="680"/>
      <c r="E18" s="680"/>
      <c r="F18" s="680"/>
      <c r="G18" s="680"/>
      <c r="H18" s="1371"/>
      <c r="I18" s="1373"/>
      <c r="J18" s="1372"/>
      <c r="K18" s="1374">
        <f t="shared" si="0"/>
        <v>0</v>
      </c>
      <c r="L18" s="4"/>
      <c r="M18" s="4"/>
      <c r="N18" s="4"/>
      <c r="O18" s="4"/>
      <c r="P18" s="1051" t="b" cm="1">
        <f t="array" ref="P18">OR(NOT(ISBLANK(B18:J18)))</f>
        <v>0</v>
      </c>
      <c r="Q18" s="1051">
        <f t="shared" si="1"/>
        <v>0</v>
      </c>
      <c r="R18" s="1051">
        <f t="shared" si="2"/>
        <v>0</v>
      </c>
      <c r="S18" s="1051">
        <f t="shared" si="3"/>
        <v>0</v>
      </c>
      <c r="T18" s="1051">
        <f t="shared" si="4"/>
        <v>0</v>
      </c>
      <c r="U18" s="1051">
        <f t="shared" si="5"/>
        <v>0</v>
      </c>
      <c r="V18" s="1051">
        <f t="shared" si="6"/>
        <v>0</v>
      </c>
    </row>
    <row r="19" spans="1:22" ht="18.75" hidden="1" customHeight="1" x14ac:dyDescent="0.25">
      <c r="A19" s="176">
        <v>8</v>
      </c>
      <c r="B19" s="680"/>
      <c r="C19" s="680"/>
      <c r="D19" s="680"/>
      <c r="E19" s="680"/>
      <c r="F19" s="680"/>
      <c r="G19" s="680"/>
      <c r="H19" s="1371"/>
      <c r="I19" s="1373"/>
      <c r="J19" s="1372"/>
      <c r="K19" s="1374">
        <f t="shared" si="0"/>
        <v>0</v>
      </c>
      <c r="L19" s="4"/>
      <c r="M19" s="4"/>
      <c r="N19" s="4"/>
      <c r="O19" s="4"/>
      <c r="P19" s="1051" t="b" cm="1">
        <f t="array" ref="P19">OR(NOT(ISBLANK(B19:J19)))</f>
        <v>0</v>
      </c>
      <c r="Q19" s="1051">
        <f t="shared" si="1"/>
        <v>0</v>
      </c>
      <c r="R19" s="1051">
        <f t="shared" si="2"/>
        <v>0</v>
      </c>
      <c r="S19" s="1051">
        <f t="shared" si="3"/>
        <v>0</v>
      </c>
      <c r="T19" s="1051">
        <f t="shared" si="4"/>
        <v>0</v>
      </c>
      <c r="U19" s="1051">
        <f t="shared" si="5"/>
        <v>0</v>
      </c>
      <c r="V19" s="1051">
        <f t="shared" si="6"/>
        <v>0</v>
      </c>
    </row>
    <row r="20" spans="1:22" ht="18.75" hidden="1" customHeight="1" x14ac:dyDescent="0.25">
      <c r="A20" s="176">
        <v>9</v>
      </c>
      <c r="B20" s="680"/>
      <c r="C20" s="680"/>
      <c r="D20" s="680"/>
      <c r="E20" s="680"/>
      <c r="F20" s="680"/>
      <c r="G20" s="680"/>
      <c r="H20" s="1371"/>
      <c r="I20" s="1373"/>
      <c r="J20" s="1372"/>
      <c r="K20" s="1374">
        <f t="shared" si="0"/>
        <v>0</v>
      </c>
      <c r="L20" s="4"/>
      <c r="M20" s="4"/>
      <c r="N20" s="4"/>
      <c r="O20" s="4"/>
      <c r="P20" s="1051" t="b" cm="1">
        <f t="array" ref="P20">OR(NOT(ISBLANK(B20:J20)))</f>
        <v>0</v>
      </c>
      <c r="Q20" s="1051">
        <f t="shared" si="1"/>
        <v>0</v>
      </c>
      <c r="R20" s="1051">
        <f t="shared" si="2"/>
        <v>0</v>
      </c>
      <c r="S20" s="1051">
        <f t="shared" si="3"/>
        <v>0</v>
      </c>
      <c r="T20" s="1051">
        <f t="shared" si="4"/>
        <v>0</v>
      </c>
      <c r="U20" s="1051">
        <f t="shared" si="5"/>
        <v>0</v>
      </c>
      <c r="V20" s="1051">
        <f t="shared" si="6"/>
        <v>0</v>
      </c>
    </row>
    <row r="21" spans="1:22" ht="18.75" hidden="1" customHeight="1" x14ac:dyDescent="0.25">
      <c r="A21" s="176">
        <v>10</v>
      </c>
      <c r="B21" s="680"/>
      <c r="C21" s="680"/>
      <c r="D21" s="680"/>
      <c r="E21" s="680"/>
      <c r="F21" s="680"/>
      <c r="G21" s="680"/>
      <c r="H21" s="1371"/>
      <c r="I21" s="1373"/>
      <c r="J21" s="1372"/>
      <c r="K21" s="1374">
        <f t="shared" si="0"/>
        <v>0</v>
      </c>
      <c r="L21" s="4"/>
      <c r="M21" s="4"/>
      <c r="N21" s="4"/>
      <c r="O21" s="4"/>
      <c r="P21" s="1051" t="b" cm="1">
        <f t="array" ref="P21">OR(NOT(ISBLANK(B21:J21)))</f>
        <v>0</v>
      </c>
      <c r="Q21" s="1051">
        <f t="shared" si="1"/>
        <v>0</v>
      </c>
      <c r="R21" s="1051">
        <f t="shared" si="2"/>
        <v>0</v>
      </c>
      <c r="S21" s="1051">
        <f t="shared" si="3"/>
        <v>0</v>
      </c>
      <c r="T21" s="1051">
        <f t="shared" si="4"/>
        <v>0</v>
      </c>
      <c r="U21" s="1051">
        <f t="shared" si="5"/>
        <v>0</v>
      </c>
      <c r="V21" s="1051">
        <f t="shared" si="6"/>
        <v>0</v>
      </c>
    </row>
    <row r="22" spans="1:22" ht="18.75" hidden="1" customHeight="1" x14ac:dyDescent="0.25">
      <c r="A22" s="176">
        <v>11</v>
      </c>
      <c r="B22" s="680"/>
      <c r="C22" s="680"/>
      <c r="D22" s="680"/>
      <c r="E22" s="680"/>
      <c r="F22" s="680"/>
      <c r="G22" s="680"/>
      <c r="H22" s="1371"/>
      <c r="I22" s="1373"/>
      <c r="J22" s="1372"/>
      <c r="K22" s="1374">
        <f t="shared" si="0"/>
        <v>0</v>
      </c>
      <c r="L22" s="4"/>
      <c r="M22" s="4"/>
      <c r="N22" s="4"/>
      <c r="O22" s="4"/>
      <c r="P22" s="1051" t="b" cm="1">
        <f t="array" ref="P22">OR(NOT(ISBLANK(B22:J22)))</f>
        <v>0</v>
      </c>
      <c r="Q22" s="1051">
        <f t="shared" si="1"/>
        <v>0</v>
      </c>
      <c r="R22" s="1051">
        <f t="shared" si="2"/>
        <v>0</v>
      </c>
      <c r="S22" s="1051">
        <f t="shared" si="3"/>
        <v>0</v>
      </c>
      <c r="T22" s="1051">
        <f t="shared" si="4"/>
        <v>0</v>
      </c>
      <c r="U22" s="1051">
        <f t="shared" si="5"/>
        <v>0</v>
      </c>
      <c r="V22" s="1051">
        <f t="shared" si="6"/>
        <v>0</v>
      </c>
    </row>
    <row r="23" spans="1:22" ht="18.75" hidden="1" customHeight="1" x14ac:dyDescent="0.25">
      <c r="A23" s="176">
        <v>12</v>
      </c>
      <c r="B23" s="680"/>
      <c r="C23" s="680"/>
      <c r="D23" s="680"/>
      <c r="E23" s="680"/>
      <c r="F23" s="680"/>
      <c r="G23" s="680"/>
      <c r="H23" s="1371"/>
      <c r="I23" s="1373"/>
      <c r="J23" s="1372"/>
      <c r="K23" s="1374">
        <f t="shared" si="0"/>
        <v>0</v>
      </c>
      <c r="L23" s="4"/>
      <c r="M23" s="4"/>
      <c r="N23" s="4"/>
      <c r="O23" s="4"/>
      <c r="P23" s="1051" t="b" cm="1">
        <f t="array" ref="P23">OR(NOT(ISBLANK(B23:J23)))</f>
        <v>0</v>
      </c>
      <c r="Q23" s="1051">
        <f t="shared" si="1"/>
        <v>0</v>
      </c>
      <c r="R23" s="1051">
        <f t="shared" si="2"/>
        <v>0</v>
      </c>
      <c r="S23" s="1051">
        <f t="shared" si="3"/>
        <v>0</v>
      </c>
      <c r="T23" s="1051">
        <f t="shared" si="4"/>
        <v>0</v>
      </c>
      <c r="U23" s="1051">
        <f t="shared" si="5"/>
        <v>0</v>
      </c>
      <c r="V23" s="1051">
        <f t="shared" si="6"/>
        <v>0</v>
      </c>
    </row>
    <row r="24" spans="1:22" ht="18.75" hidden="1" customHeight="1" x14ac:dyDescent="0.25">
      <c r="A24" s="176">
        <v>13</v>
      </c>
      <c r="B24" s="680"/>
      <c r="C24" s="680"/>
      <c r="D24" s="680"/>
      <c r="E24" s="680"/>
      <c r="F24" s="680"/>
      <c r="G24" s="680"/>
      <c r="H24" s="1371"/>
      <c r="I24" s="1373"/>
      <c r="J24" s="1372"/>
      <c r="K24" s="1374">
        <f t="shared" si="0"/>
        <v>0</v>
      </c>
      <c r="L24" s="4"/>
      <c r="M24" s="4"/>
      <c r="N24" s="4"/>
      <c r="O24" s="4"/>
      <c r="P24" s="1051" t="b" cm="1">
        <f t="array" ref="P24">OR(NOT(ISBLANK(B24:J24)))</f>
        <v>0</v>
      </c>
      <c r="Q24" s="1051">
        <f t="shared" si="1"/>
        <v>0</v>
      </c>
      <c r="R24" s="1051">
        <f t="shared" si="2"/>
        <v>0</v>
      </c>
      <c r="S24" s="1051">
        <f t="shared" si="3"/>
        <v>0</v>
      </c>
      <c r="T24" s="1051">
        <f t="shared" si="4"/>
        <v>0</v>
      </c>
      <c r="U24" s="1051">
        <f t="shared" si="5"/>
        <v>0</v>
      </c>
      <c r="V24" s="1051">
        <f t="shared" si="6"/>
        <v>0</v>
      </c>
    </row>
    <row r="25" spans="1:22" ht="18.75" hidden="1" customHeight="1" x14ac:dyDescent="0.25">
      <c r="A25" s="176">
        <v>14</v>
      </c>
      <c r="B25" s="680"/>
      <c r="C25" s="680"/>
      <c r="D25" s="680"/>
      <c r="E25" s="680"/>
      <c r="F25" s="680"/>
      <c r="G25" s="680"/>
      <c r="H25" s="1371"/>
      <c r="I25" s="1373"/>
      <c r="J25" s="1372"/>
      <c r="K25" s="1374">
        <f t="shared" si="0"/>
        <v>0</v>
      </c>
      <c r="L25" s="4"/>
      <c r="M25" s="4"/>
      <c r="N25" s="4"/>
      <c r="O25" s="4"/>
      <c r="P25" s="1051" t="b" cm="1">
        <f t="array" ref="P25">OR(NOT(ISBLANK(B25:J25)))</f>
        <v>0</v>
      </c>
      <c r="Q25" s="1051">
        <f t="shared" si="1"/>
        <v>0</v>
      </c>
      <c r="R25" s="1051">
        <f t="shared" si="2"/>
        <v>0</v>
      </c>
      <c r="S25" s="1051">
        <f t="shared" si="3"/>
        <v>0</v>
      </c>
      <c r="T25" s="1051">
        <f t="shared" si="4"/>
        <v>0</v>
      </c>
      <c r="U25" s="1051">
        <f t="shared" si="5"/>
        <v>0</v>
      </c>
      <c r="V25" s="1051">
        <f t="shared" si="6"/>
        <v>0</v>
      </c>
    </row>
    <row r="26" spans="1:22" ht="18.75" hidden="1" customHeight="1" x14ac:dyDescent="0.25">
      <c r="A26" s="176">
        <v>15</v>
      </c>
      <c r="B26" s="680"/>
      <c r="C26" s="680"/>
      <c r="D26" s="680"/>
      <c r="E26" s="680"/>
      <c r="F26" s="680"/>
      <c r="G26" s="680"/>
      <c r="H26" s="1371"/>
      <c r="I26" s="1373"/>
      <c r="J26" s="1372"/>
      <c r="K26" s="1374">
        <f t="shared" si="0"/>
        <v>0</v>
      </c>
      <c r="L26" s="4"/>
      <c r="M26" s="4"/>
      <c r="N26" s="4"/>
      <c r="O26" s="4"/>
      <c r="P26" s="1051" t="b" cm="1">
        <f t="array" ref="P26">OR(NOT(ISBLANK(B26:J26)))</f>
        <v>0</v>
      </c>
      <c r="Q26" s="1051">
        <f t="shared" si="1"/>
        <v>0</v>
      </c>
      <c r="R26" s="1051">
        <f t="shared" si="2"/>
        <v>0</v>
      </c>
      <c r="S26" s="1051">
        <f t="shared" si="3"/>
        <v>0</v>
      </c>
      <c r="T26" s="1051">
        <f t="shared" si="4"/>
        <v>0</v>
      </c>
      <c r="U26" s="1051">
        <f t="shared" si="5"/>
        <v>0</v>
      </c>
      <c r="V26" s="1051">
        <f t="shared" si="6"/>
        <v>0</v>
      </c>
    </row>
    <row r="27" spans="1:22" ht="18.75" hidden="1" customHeight="1" x14ac:dyDescent="0.25">
      <c r="A27" s="176">
        <v>16</v>
      </c>
      <c r="B27" s="680"/>
      <c r="C27" s="680"/>
      <c r="D27" s="680"/>
      <c r="E27" s="680"/>
      <c r="F27" s="680"/>
      <c r="G27" s="680"/>
      <c r="H27" s="1371"/>
      <c r="I27" s="1373"/>
      <c r="J27" s="1372"/>
      <c r="K27" s="1374">
        <f t="shared" si="0"/>
        <v>0</v>
      </c>
      <c r="L27" s="4"/>
      <c r="M27" s="4"/>
      <c r="N27" s="4"/>
      <c r="O27" s="4"/>
      <c r="P27" s="1051" t="b" cm="1">
        <f t="array" ref="P27">OR(NOT(ISBLANK(B27:J27)))</f>
        <v>0</v>
      </c>
      <c r="Q27" s="1051">
        <f t="shared" si="1"/>
        <v>0</v>
      </c>
      <c r="R27" s="1051">
        <f t="shared" si="2"/>
        <v>0</v>
      </c>
      <c r="S27" s="1051">
        <f t="shared" si="3"/>
        <v>0</v>
      </c>
      <c r="T27" s="1051">
        <f t="shared" si="4"/>
        <v>0</v>
      </c>
      <c r="U27" s="1051">
        <f t="shared" si="5"/>
        <v>0</v>
      </c>
      <c r="V27" s="1051">
        <f t="shared" si="6"/>
        <v>0</v>
      </c>
    </row>
    <row r="28" spans="1:22" ht="18.75" hidden="1" customHeight="1" x14ac:dyDescent="0.25">
      <c r="A28" s="176">
        <v>17</v>
      </c>
      <c r="B28" s="680"/>
      <c r="C28" s="680"/>
      <c r="D28" s="680"/>
      <c r="E28" s="680"/>
      <c r="F28" s="680"/>
      <c r="G28" s="680"/>
      <c r="H28" s="1371"/>
      <c r="I28" s="1373"/>
      <c r="J28" s="1372"/>
      <c r="K28" s="1374">
        <f t="shared" si="0"/>
        <v>0</v>
      </c>
      <c r="L28" s="4"/>
      <c r="M28" s="4"/>
      <c r="N28" s="4"/>
      <c r="O28" s="4"/>
      <c r="P28" s="1051" t="b" cm="1">
        <f t="array" ref="P28">OR(NOT(ISBLANK(B28:J28)))</f>
        <v>0</v>
      </c>
      <c r="Q28" s="1051">
        <f t="shared" si="1"/>
        <v>0</v>
      </c>
      <c r="R28" s="1051">
        <f t="shared" si="2"/>
        <v>0</v>
      </c>
      <c r="S28" s="1051">
        <f t="shared" si="3"/>
        <v>0</v>
      </c>
      <c r="T28" s="1051">
        <f t="shared" si="4"/>
        <v>0</v>
      </c>
      <c r="U28" s="1051">
        <f t="shared" si="5"/>
        <v>0</v>
      </c>
      <c r="V28" s="1051">
        <f t="shared" si="6"/>
        <v>0</v>
      </c>
    </row>
    <row r="29" spans="1:22" ht="18.75" hidden="1" customHeight="1" x14ac:dyDescent="0.25">
      <c r="A29" s="176">
        <v>18</v>
      </c>
      <c r="B29" s="680"/>
      <c r="C29" s="680"/>
      <c r="D29" s="680"/>
      <c r="E29" s="680"/>
      <c r="F29" s="680"/>
      <c r="G29" s="680"/>
      <c r="H29" s="1371"/>
      <c r="I29" s="1373"/>
      <c r="J29" s="1372"/>
      <c r="K29" s="1374">
        <f t="shared" si="0"/>
        <v>0</v>
      </c>
      <c r="L29" s="4"/>
      <c r="M29" s="4"/>
      <c r="N29" s="4"/>
      <c r="O29" s="4"/>
      <c r="P29" s="1051" t="b" cm="1">
        <f t="array" ref="P29">OR(NOT(ISBLANK(B29:J29)))</f>
        <v>0</v>
      </c>
      <c r="Q29" s="1051">
        <f t="shared" si="1"/>
        <v>0</v>
      </c>
      <c r="R29" s="1051">
        <f t="shared" si="2"/>
        <v>0</v>
      </c>
      <c r="S29" s="1051">
        <f t="shared" si="3"/>
        <v>0</v>
      </c>
      <c r="T29" s="1051">
        <f t="shared" si="4"/>
        <v>0</v>
      </c>
      <c r="U29" s="1051">
        <f t="shared" si="5"/>
        <v>0</v>
      </c>
      <c r="V29" s="1051">
        <f t="shared" si="6"/>
        <v>0</v>
      </c>
    </row>
    <row r="30" spans="1:22" ht="18.75" hidden="1" customHeight="1" x14ac:dyDescent="0.25">
      <c r="A30" s="176">
        <v>19</v>
      </c>
      <c r="B30" s="680"/>
      <c r="C30" s="680"/>
      <c r="D30" s="680"/>
      <c r="E30" s="680"/>
      <c r="F30" s="680"/>
      <c r="G30" s="680"/>
      <c r="H30" s="1371"/>
      <c r="I30" s="1373"/>
      <c r="J30" s="1372"/>
      <c r="K30" s="1374">
        <f t="shared" si="0"/>
        <v>0</v>
      </c>
      <c r="L30" s="4"/>
      <c r="M30" s="4"/>
      <c r="N30" s="4"/>
      <c r="O30" s="4"/>
      <c r="P30" s="1051" t="b" cm="1">
        <f t="array" ref="P30">OR(NOT(ISBLANK(B30:J30)))</f>
        <v>0</v>
      </c>
      <c r="Q30" s="1051">
        <f t="shared" si="1"/>
        <v>0</v>
      </c>
      <c r="R30" s="1051">
        <f t="shared" si="2"/>
        <v>0</v>
      </c>
      <c r="S30" s="1051">
        <f t="shared" si="3"/>
        <v>0</v>
      </c>
      <c r="T30" s="1051">
        <f t="shared" si="4"/>
        <v>0</v>
      </c>
      <c r="U30" s="1051">
        <f t="shared" si="5"/>
        <v>0</v>
      </c>
      <c r="V30" s="1051">
        <f t="shared" si="6"/>
        <v>0</v>
      </c>
    </row>
    <row r="31" spans="1:22" ht="18.75" hidden="1" customHeight="1" x14ac:dyDescent="0.25">
      <c r="A31" s="176">
        <v>20</v>
      </c>
      <c r="B31" s="680"/>
      <c r="C31" s="680"/>
      <c r="D31" s="680"/>
      <c r="E31" s="680"/>
      <c r="F31" s="680"/>
      <c r="G31" s="680"/>
      <c r="H31" s="1371"/>
      <c r="I31" s="1373"/>
      <c r="J31" s="1372"/>
      <c r="K31" s="1374">
        <f t="shared" si="0"/>
        <v>0</v>
      </c>
      <c r="L31" s="4"/>
      <c r="M31" s="4"/>
      <c r="N31" s="4"/>
      <c r="O31" s="4"/>
      <c r="P31" s="1051" t="b" cm="1">
        <f t="array" ref="P31">OR(NOT(ISBLANK(B31:J31)))</f>
        <v>0</v>
      </c>
      <c r="Q31" s="1051">
        <f t="shared" si="1"/>
        <v>0</v>
      </c>
      <c r="R31" s="1051">
        <f t="shared" si="2"/>
        <v>0</v>
      </c>
      <c r="S31" s="1051">
        <f t="shared" si="3"/>
        <v>0</v>
      </c>
      <c r="T31" s="1051">
        <f t="shared" si="4"/>
        <v>0</v>
      </c>
      <c r="U31" s="1051">
        <f t="shared" si="5"/>
        <v>0</v>
      </c>
      <c r="V31" s="1051">
        <f t="shared" si="6"/>
        <v>0</v>
      </c>
    </row>
    <row r="32" spans="1:22" ht="7.5" customHeight="1" x14ac:dyDescent="0.25">
      <c r="A32" s="4"/>
      <c r="B32" s="23"/>
      <c r="C32" s="12"/>
      <c r="D32" s="12"/>
      <c r="E32" s="4"/>
      <c r="F32" s="4"/>
      <c r="G32" s="4"/>
      <c r="H32" s="4"/>
      <c r="I32" s="4"/>
      <c r="J32" s="4"/>
      <c r="K32" s="4"/>
      <c r="L32" s="4"/>
      <c r="M32" s="4"/>
      <c r="N32" s="4"/>
      <c r="O32" s="4"/>
      <c r="P32" s="4"/>
      <c r="Q32" s="4"/>
      <c r="R32" s="4"/>
      <c r="S32" s="4"/>
      <c r="T32" s="4"/>
      <c r="U32" s="4"/>
      <c r="V32" s="4"/>
    </row>
    <row r="33" spans="1:22" ht="27" customHeight="1" x14ac:dyDescent="0.25">
      <c r="A33" s="126">
        <f>SUBTOTAL(102,A12:A31)</f>
        <v>1</v>
      </c>
      <c r="B33" s="349"/>
      <c r="C33" s="12"/>
      <c r="D33" s="12"/>
      <c r="E33" s="4"/>
      <c r="F33" s="4"/>
      <c r="G33" s="4"/>
      <c r="H33" s="1050"/>
      <c r="I33" s="1718" t="s">
        <v>1590</v>
      </c>
      <c r="J33" s="1718"/>
      <c r="K33" s="1718"/>
      <c r="N33" s="4"/>
      <c r="O33" s="4"/>
      <c r="P33" s="1052" t="b">
        <f>OR(P12:P31)</f>
        <v>0</v>
      </c>
      <c r="Q33" s="1052">
        <f>SUM(Q12:Q32)</f>
        <v>0</v>
      </c>
      <c r="R33" s="1052">
        <f t="shared" ref="R33:V33" si="7">SUM(R12:R32)</f>
        <v>0</v>
      </c>
      <c r="S33" s="1052">
        <f t="shared" si="7"/>
        <v>0</v>
      </c>
      <c r="T33" s="1052">
        <f t="shared" si="7"/>
        <v>0</v>
      </c>
      <c r="U33" s="1052">
        <f t="shared" si="7"/>
        <v>0</v>
      </c>
      <c r="V33" s="1052">
        <f t="shared" si="7"/>
        <v>0</v>
      </c>
    </row>
    <row r="34" spans="1:22" ht="16" customHeight="1" x14ac:dyDescent="0.25"/>
    <row r="35" spans="1:22" ht="95.25" customHeight="1" x14ac:dyDescent="0.25">
      <c r="A35" s="4"/>
      <c r="B35" s="349"/>
      <c r="C35" s="12"/>
      <c r="D35" s="12"/>
      <c r="E35" s="4"/>
      <c r="F35" s="4"/>
      <c r="G35" s="4"/>
      <c r="H35" s="1717" t="s">
        <v>1589</v>
      </c>
      <c r="I35" s="1717"/>
      <c r="J35" s="1717"/>
      <c r="K35" s="1717"/>
      <c r="L35" s="4"/>
      <c r="M35" s="4"/>
      <c r="N35" s="4"/>
      <c r="O35" s="4"/>
      <c r="P35" s="4"/>
      <c r="Q35" s="4"/>
      <c r="R35" s="4"/>
      <c r="S35" s="4"/>
      <c r="T35" s="4"/>
      <c r="U35" s="4"/>
      <c r="V35" s="4"/>
    </row>
  </sheetData>
  <sheetProtection algorithmName="SHA-512" hashValue="Nj5KUA7ePuEM+NA6OwtcWrHwHshdaQQG7zkKKxVFGm6QBjKBxROoWE9e2yAYj/x7oshc1M9OBTUTCIU7Py7Eog==" saltValue="SE7DjM1XaL16YubAdiV42Q==" spinCount="100000" sheet="1" objects="1" scenarios="1" selectLockedCells="1"/>
  <dataConsolidate link="1"/>
  <mergeCells count="14">
    <mergeCell ref="H35:K35"/>
    <mergeCell ref="I33:K33"/>
    <mergeCell ref="D9:D10"/>
    <mergeCell ref="Q9:Q10"/>
    <mergeCell ref="E9:E10"/>
    <mergeCell ref="U9:U10"/>
    <mergeCell ref="V9:V10"/>
    <mergeCell ref="C9:C10"/>
    <mergeCell ref="B9:B10"/>
    <mergeCell ref="R9:R10"/>
    <mergeCell ref="S9:S10"/>
    <mergeCell ref="T9:T10"/>
    <mergeCell ref="G9:G10"/>
    <mergeCell ref="F9:F10"/>
  </mergeCells>
  <conditionalFormatting sqref="B12:J31">
    <cfRule type="expression" dxfId="104" priority="2213">
      <formula>SUM($B12:$G12)&gt;1</formula>
    </cfRule>
  </conditionalFormatting>
  <conditionalFormatting sqref="I33:K33">
    <cfRule type="expression" dxfId="103" priority="2223">
      <formula>OR(SUM($B$12:$G$12)&gt;1,SUM($B$13:$G$13)&gt;1,SUM($B$14:$G$14)&gt;1,SUM($B$15:$G$15)&gt;1,SUM($B$16:$G$16)&gt;1,SUM($B$17:$G$17)&gt;1,SUM($B$18:$G$18)&gt;1,SUM($B$19:$G$19)&gt;1,SUM($B$20:$G$20)&gt;1,SUM($B$21:$G$21)&gt;1,SUM($B$22:$G$22)&gt;1,SUM($B$23:$G$23)&gt;1,SUM($B$24:$G$24)&gt;1,SUM($B$25:$G$25)&gt;1,SUM($B$26:$G$26)&gt;1,SUM($B$27:$G$27)&gt;1,SUM($B$28:$G$28)&gt;1,SUM($B$29:$G$29)&gt;1,SUM($B$30:$G$30)&gt;1,SUM($B$31:$G$31)&gt;1)</formula>
    </cfRule>
  </conditionalFormatting>
  <dataValidations count="3">
    <dataValidation type="decimal" operator="greaterThan" allowBlank="1" showInputMessage="1" showErrorMessage="1" errorTitle="Invalid amount entered" error="Please enter a valid deductible loan amount greater than zero." sqref="I12:I31" xr:uid="{B81D88AB-9D25-4705-827C-AF3A16BE33DD}">
      <formula1>0</formula1>
    </dataValidation>
    <dataValidation type="decimal" allowBlank="1" showInputMessage="1" showErrorMessage="1" errorTitle="Invalid ownership percentage" error="Please enter a valid percentage between 0 and 100%" sqref="B12:G31" xr:uid="{59451F33-E5F5-4ABD-B8E2-5DAB1D0C74FC}">
      <formula1>0</formula1>
      <formula2>1</formula2>
    </dataValidation>
    <dataValidation type="decimal" operator="greaterThan" allowBlank="1" showInputMessage="1" showErrorMessage="1" errorTitle="Invalid interest rate" error="Please enter a valid interest rate greater than zero" sqref="J12:J31" xr:uid="{4AD71FEC-3361-4104-ACEA-805641F18D88}">
      <formula1>0</formula1>
    </dataValidation>
  </dataValidations>
  <pageMargins left="0.25" right="0.25" top="0.75" bottom="0.75" header="0.3" footer="0.3"/>
  <pageSetup paperSize="9" scale="67"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58DD-59E5-4EFA-B1CD-5FF2F886B4F8}">
  <sheetPr codeName="shCustomerDeclaredExpenses">
    <pageSetUpPr fitToPage="1"/>
  </sheetPr>
  <dimension ref="A1:O53"/>
  <sheetViews>
    <sheetView showGridLines="0" showRowColHeaders="0" zoomScaleNormal="100" workbookViewId="0">
      <pane ySplit="11" topLeftCell="A12" activePane="bottomLeft" state="frozen"/>
      <selection activeCell="K24" sqref="K24:R24"/>
      <selection pane="bottomLeft" activeCell="D14" sqref="D14"/>
    </sheetView>
  </sheetViews>
  <sheetFormatPr defaultColWidth="9.1796875" defaultRowHeight="12.75" customHeight="1" x14ac:dyDescent="0.25"/>
  <cols>
    <col min="1" max="1" width="2.81640625" customWidth="1"/>
    <col min="2" max="2" width="61.1796875" customWidth="1"/>
    <col min="3" max="3" width="6" customWidth="1"/>
    <col min="4" max="4" width="18.54296875" customWidth="1"/>
    <col min="5" max="5" width="4.26953125" customWidth="1"/>
    <col min="6" max="6" width="18.54296875" customWidth="1"/>
    <col min="7" max="7" width="4.26953125" customWidth="1"/>
    <col min="8" max="8" width="18.54296875" customWidth="1"/>
    <col min="9" max="9" width="4.26953125" customWidth="1"/>
    <col min="10" max="10" width="18.54296875" customWidth="1"/>
    <col min="11" max="11" width="4.26953125" customWidth="1"/>
    <col min="12" max="12" width="18.54296875" customWidth="1"/>
    <col min="13" max="13" width="4.26953125" customWidth="1"/>
    <col min="14" max="14" width="18.54296875" customWidth="1"/>
    <col min="15" max="15" width="2.81640625" customWidth="1"/>
  </cols>
  <sheetData>
    <row r="1" spans="1:15" ht="16" customHeight="1" x14ac:dyDescent="0.25">
      <c r="A1" s="9"/>
      <c r="B1" s="9"/>
      <c r="C1" s="9"/>
      <c r="D1" s="9"/>
      <c r="E1" s="9"/>
      <c r="F1" s="49"/>
      <c r="G1" s="49"/>
      <c r="H1" s="49"/>
      <c r="I1" s="49"/>
      <c r="J1" s="49"/>
      <c r="K1" s="49"/>
      <c r="L1" s="49"/>
      <c r="M1" s="49"/>
      <c r="N1" s="49"/>
    </row>
    <row r="2" spans="1:15" ht="16" customHeight="1" x14ac:dyDescent="0.25">
      <c r="A2" s="9"/>
      <c r="B2" s="9"/>
      <c r="C2" s="9"/>
      <c r="D2" s="9"/>
      <c r="E2" s="9"/>
      <c r="F2" s="49"/>
      <c r="G2" s="49"/>
      <c r="H2" s="49"/>
      <c r="I2" s="49"/>
      <c r="J2" s="49"/>
      <c r="K2" s="49"/>
      <c r="L2" s="49"/>
      <c r="M2" s="49"/>
      <c r="N2" s="49"/>
    </row>
    <row r="3" spans="1:15" ht="16" customHeight="1" x14ac:dyDescent="0.25">
      <c r="A3" s="9"/>
      <c r="B3" s="9"/>
      <c r="C3" s="9"/>
      <c r="D3" s="9"/>
      <c r="E3" s="9"/>
      <c r="F3" s="49"/>
      <c r="G3" s="49"/>
      <c r="H3" s="49"/>
      <c r="I3" s="49"/>
      <c r="J3" s="49"/>
      <c r="K3" s="49"/>
      <c r="L3" s="49"/>
      <c r="M3" s="49"/>
      <c r="N3" s="49"/>
    </row>
    <row r="4" spans="1:15" ht="29.5" x14ac:dyDescent="0.25">
      <c r="A4" s="9"/>
      <c r="B4" s="369" t="s">
        <v>253</v>
      </c>
      <c r="C4" s="115"/>
      <c r="D4" s="115"/>
      <c r="E4" s="115"/>
      <c r="F4" s="115"/>
      <c r="G4" s="115"/>
      <c r="H4" s="115"/>
      <c r="I4" s="115"/>
      <c r="J4" s="115"/>
      <c r="K4" s="115"/>
      <c r="L4" s="115"/>
      <c r="M4" s="115"/>
      <c r="N4" s="115"/>
    </row>
    <row r="5" spans="1:15" ht="7.5" customHeight="1" x14ac:dyDescent="0.25">
      <c r="A5" s="9"/>
      <c r="B5" s="9"/>
      <c r="C5" s="9"/>
      <c r="D5" s="9"/>
      <c r="E5" s="9"/>
      <c r="F5" s="21"/>
      <c r="G5" s="21"/>
      <c r="H5" s="21"/>
      <c r="I5" s="21"/>
      <c r="J5" s="21"/>
      <c r="K5" s="21"/>
      <c r="L5" s="21"/>
      <c r="M5" s="21"/>
      <c r="N5" s="21"/>
    </row>
    <row r="6" spans="1:15" ht="22.5" customHeight="1" x14ac:dyDescent="0.4">
      <c r="A6" s="351"/>
      <c r="B6" s="352" t="s">
        <v>458</v>
      </c>
      <c r="C6" s="351"/>
      <c r="D6" s="353"/>
      <c r="E6" s="353"/>
      <c r="F6" s="353"/>
      <c r="G6" s="353"/>
      <c r="H6" s="353"/>
      <c r="I6" s="353"/>
      <c r="J6" s="353"/>
      <c r="K6" s="353"/>
      <c r="L6" s="353"/>
      <c r="M6" s="353"/>
      <c r="N6" s="353"/>
      <c r="O6" s="351"/>
    </row>
    <row r="7" spans="1:15" ht="7.5" customHeight="1" x14ac:dyDescent="0.25">
      <c r="A7" s="8"/>
      <c r="B7" s="8"/>
      <c r="C7" s="91"/>
      <c r="D7" s="91"/>
      <c r="E7" s="91"/>
      <c r="F7" s="91"/>
      <c r="G7" s="91"/>
      <c r="H7" s="91"/>
      <c r="I7" s="91"/>
      <c r="J7" s="91"/>
      <c r="K7" s="91"/>
      <c r="L7" s="91"/>
      <c r="M7" s="91"/>
      <c r="N7" s="91"/>
    </row>
    <row r="8" spans="1:15" ht="18.75" customHeight="1" x14ac:dyDescent="0.35">
      <c r="A8" s="211"/>
      <c r="B8" s="214"/>
      <c r="C8" s="225"/>
      <c r="D8" s="1375" t="str">
        <f>IF(SCAApp1Name="","Applicant 1",SCAApp1Name)</f>
        <v>Applicant 1</v>
      </c>
      <c r="E8" s="464"/>
      <c r="F8" s="1375" t="str">
        <f>IF(SCAApp2Name="","Applicant 2",SCAApp2Name)</f>
        <v>Applicant 2</v>
      </c>
      <c r="G8" s="464"/>
      <c r="H8" s="1375" t="str">
        <f>IF(SCAApp3Name="","Applicant 3",SCAApp3Name)</f>
        <v>Applicant 3</v>
      </c>
      <c r="I8" s="464"/>
      <c r="J8" s="1375" t="str">
        <f>IF(SCAApp4Name="","Applicant 4",SCAApp4Name)</f>
        <v>Applicant 4</v>
      </c>
      <c r="K8" s="464"/>
      <c r="L8" s="1375" t="str">
        <f>IF(SCAApp5Name="","Applicant 5",SCAApp5Name)</f>
        <v>Applicant 5</v>
      </c>
      <c r="M8" s="464"/>
      <c r="N8" s="1375" t="str">
        <f>IF(SCAApp6Name="","Applicant 6",SCAApp6Name)</f>
        <v>Applicant 6</v>
      </c>
      <c r="O8" s="211"/>
    </row>
    <row r="9" spans="1:15" ht="18.75" customHeight="1" x14ac:dyDescent="0.35">
      <c r="A9" s="211"/>
      <c r="B9" s="214" t="s">
        <v>470</v>
      </c>
      <c r="C9" s="213"/>
      <c r="D9" s="634" t="str">
        <f>IF(SCAApp1Spouse="","",SCAApp1Spouse)</f>
        <v/>
      </c>
      <c r="E9" s="222"/>
      <c r="F9" s="634" t="str">
        <f>IF(SCAApp2Spouse="","",SCAApp2Spouse)</f>
        <v/>
      </c>
      <c r="G9" s="222"/>
      <c r="H9" s="634" t="str">
        <f>IF(SCAApp3Spouse="","",SCAApp3Spouse)</f>
        <v/>
      </c>
      <c r="I9" s="222"/>
      <c r="J9" s="634" t="str">
        <f>IF(SCAApp4Spouse="","",SCAApp4Spouse)</f>
        <v/>
      </c>
      <c r="K9" s="222"/>
      <c r="L9" s="634" t="str">
        <f>IF(SCAApp5Spouse="","",SCAApp5Spouse)</f>
        <v/>
      </c>
      <c r="M9" s="222"/>
      <c r="N9" s="634" t="str">
        <f>IF(SCAApp6Spouse="","",SCAApp6Spouse)</f>
        <v/>
      </c>
      <c r="O9" s="211"/>
    </row>
    <row r="10" spans="1:15" ht="18.75" customHeight="1" x14ac:dyDescent="0.35">
      <c r="A10" s="211"/>
      <c r="B10" s="214" t="s">
        <v>786</v>
      </c>
      <c r="C10" s="225"/>
      <c r="D10" s="742">
        <f>ICApp1HouseholdIncomeApportioningRatio</f>
        <v>1</v>
      </c>
      <c r="E10" s="464"/>
      <c r="F10" s="742">
        <f>ICApp2HouseholdIncomeApportioningRatio</f>
        <v>1</v>
      </c>
      <c r="G10" s="464"/>
      <c r="H10" s="742">
        <f>ICApp3HouseholdIncomeApportioningRatio</f>
        <v>1</v>
      </c>
      <c r="I10" s="464"/>
      <c r="J10" s="742">
        <f>ICApp4HouseholdIncomeApportioningRatio</f>
        <v>1</v>
      </c>
      <c r="K10" s="464"/>
      <c r="L10" s="742">
        <f>ICApp5HouseholdIncomeApportioningRatio</f>
        <v>1</v>
      </c>
      <c r="M10" s="464"/>
      <c r="N10" s="742">
        <f>ICApp6HouseholdIncomeApportioningRatio</f>
        <v>1</v>
      </c>
      <c r="O10" s="211"/>
    </row>
    <row r="11" spans="1:15" ht="7.5" customHeight="1" x14ac:dyDescent="0.35">
      <c r="A11" s="211"/>
      <c r="B11" s="219"/>
      <c r="C11" s="211"/>
      <c r="D11" s="220"/>
      <c r="E11" s="220"/>
      <c r="F11" s="220"/>
      <c r="G11" s="220"/>
      <c r="H11" s="220"/>
      <c r="I11" s="220"/>
      <c r="J11" s="220"/>
      <c r="K11" s="220"/>
      <c r="L11" s="220"/>
      <c r="M11" s="220"/>
      <c r="N11" s="220"/>
      <c r="O11" s="211"/>
    </row>
    <row r="12" spans="1:15" ht="18.75" customHeight="1" x14ac:dyDescent="0.35">
      <c r="A12" s="217"/>
      <c r="B12" s="1158" t="s">
        <v>354</v>
      </c>
      <c r="C12" s="217"/>
      <c r="D12" s="221"/>
      <c r="E12" s="221"/>
      <c r="F12" s="221"/>
      <c r="G12" s="221"/>
      <c r="H12" s="221"/>
      <c r="I12" s="221"/>
      <c r="J12" s="221"/>
      <c r="K12" s="221"/>
      <c r="L12" s="221"/>
      <c r="M12" s="221"/>
      <c r="N12" s="221"/>
      <c r="O12" s="217"/>
    </row>
    <row r="13" spans="1:15" ht="7.5" customHeight="1" x14ac:dyDescent="0.35">
      <c r="A13" s="211"/>
      <c r="B13" s="216"/>
      <c r="C13" s="211"/>
      <c r="D13" s="220"/>
      <c r="E13" s="220"/>
      <c r="F13" s="220"/>
      <c r="G13" s="220"/>
      <c r="H13" s="220"/>
      <c r="I13" s="220"/>
      <c r="J13" s="220"/>
      <c r="K13" s="220"/>
      <c r="L13" s="220"/>
      <c r="M13" s="220"/>
      <c r="N13" s="220"/>
      <c r="O13" s="211"/>
    </row>
    <row r="14" spans="1:15" ht="18.75" customHeight="1" x14ac:dyDescent="0.3">
      <c r="A14" s="211"/>
      <c r="B14" s="214" t="s">
        <v>295</v>
      </c>
      <c r="C14" s="213"/>
      <c r="D14" s="1376"/>
      <c r="E14" s="506"/>
      <c r="F14" s="1376"/>
      <c r="G14" s="506"/>
      <c r="H14" s="1438"/>
      <c r="I14" s="506"/>
      <c r="J14" s="1438"/>
      <c r="K14" s="506"/>
      <c r="L14" s="1438"/>
      <c r="M14" s="506"/>
      <c r="N14" s="1438"/>
      <c r="O14" s="211"/>
    </row>
    <row r="15" spans="1:15" ht="18.75" customHeight="1" x14ac:dyDescent="0.3">
      <c r="A15" s="211"/>
      <c r="B15" s="214" t="s">
        <v>49</v>
      </c>
      <c r="C15" s="213"/>
      <c r="D15" s="1376"/>
      <c r="E15" s="506"/>
      <c r="F15" s="1376"/>
      <c r="G15" s="506"/>
      <c r="H15" s="1438"/>
      <c r="I15" s="506"/>
      <c r="J15" s="1438"/>
      <c r="K15" s="506"/>
      <c r="L15" s="1438"/>
      <c r="M15" s="506"/>
      <c r="N15" s="1438"/>
      <c r="O15" s="211"/>
    </row>
    <row r="16" spans="1:15" ht="18.75" customHeight="1" x14ac:dyDescent="0.3">
      <c r="A16" s="211"/>
      <c r="B16" s="214" t="s">
        <v>469</v>
      </c>
      <c r="C16" s="213"/>
      <c r="D16" s="1376"/>
      <c r="E16" s="506"/>
      <c r="F16" s="1376"/>
      <c r="G16" s="506"/>
      <c r="H16" s="1438"/>
      <c r="I16" s="506"/>
      <c r="J16" s="1438"/>
      <c r="K16" s="506"/>
      <c r="L16" s="1438"/>
      <c r="M16" s="506"/>
      <c r="N16" s="1438"/>
      <c r="O16" s="211"/>
    </row>
    <row r="17" spans="1:15" ht="18.75" customHeight="1" x14ac:dyDescent="0.3">
      <c r="A17" s="211"/>
      <c r="B17" s="214" t="s">
        <v>291</v>
      </c>
      <c r="C17" s="213"/>
      <c r="D17" s="1376"/>
      <c r="E17" s="506"/>
      <c r="F17" s="1376"/>
      <c r="G17" s="506"/>
      <c r="H17" s="1438"/>
      <c r="I17" s="506"/>
      <c r="J17" s="1438"/>
      <c r="K17" s="506"/>
      <c r="L17" s="1438"/>
      <c r="M17" s="506"/>
      <c r="N17" s="1438"/>
      <c r="O17" s="211"/>
    </row>
    <row r="18" spans="1:15" ht="18.75" customHeight="1" x14ac:dyDescent="0.3">
      <c r="A18" s="211"/>
      <c r="B18" s="214" t="s">
        <v>289</v>
      </c>
      <c r="C18" s="213"/>
      <c r="D18" s="1376"/>
      <c r="E18" s="506"/>
      <c r="F18" s="1376"/>
      <c r="G18" s="506"/>
      <c r="H18" s="1438"/>
      <c r="I18" s="506"/>
      <c r="J18" s="1438"/>
      <c r="K18" s="506"/>
      <c r="L18" s="1438"/>
      <c r="M18" s="506"/>
      <c r="N18" s="1438"/>
      <c r="O18" s="211"/>
    </row>
    <row r="19" spans="1:15" ht="18.75" customHeight="1" x14ac:dyDescent="0.3">
      <c r="A19" s="211"/>
      <c r="B19" s="214" t="s">
        <v>292</v>
      </c>
      <c r="C19" s="213"/>
      <c r="D19" s="1376"/>
      <c r="E19" s="506"/>
      <c r="F19" s="1376"/>
      <c r="G19" s="506"/>
      <c r="H19" s="1438"/>
      <c r="I19" s="506"/>
      <c r="J19" s="1438"/>
      <c r="K19" s="506"/>
      <c r="L19" s="1438"/>
      <c r="M19" s="506"/>
      <c r="N19" s="1438"/>
      <c r="O19" s="211"/>
    </row>
    <row r="20" spans="1:15" ht="18.75" customHeight="1" x14ac:dyDescent="0.3">
      <c r="A20" s="211"/>
      <c r="B20" s="214" t="s">
        <v>468</v>
      </c>
      <c r="C20" s="213"/>
      <c r="D20" s="1376"/>
      <c r="E20" s="506"/>
      <c r="F20" s="1376"/>
      <c r="G20" s="506"/>
      <c r="H20" s="1438"/>
      <c r="I20" s="506"/>
      <c r="J20" s="1438"/>
      <c r="K20" s="506"/>
      <c r="L20" s="1438"/>
      <c r="M20" s="506"/>
      <c r="N20" s="1438"/>
      <c r="O20" s="211"/>
    </row>
    <row r="21" spans="1:15" ht="18.75" customHeight="1" x14ac:dyDescent="0.3">
      <c r="A21" s="211"/>
      <c r="B21" s="214" t="s">
        <v>294</v>
      </c>
      <c r="C21" s="213"/>
      <c r="D21" s="1376"/>
      <c r="E21" s="506"/>
      <c r="F21" s="1376"/>
      <c r="G21" s="506"/>
      <c r="H21" s="1438"/>
      <c r="I21" s="506"/>
      <c r="J21" s="1438"/>
      <c r="K21" s="506"/>
      <c r="L21" s="1438"/>
      <c r="M21" s="506"/>
      <c r="N21" s="1438"/>
      <c r="O21" s="211"/>
    </row>
    <row r="22" spans="1:15" ht="18.75" customHeight="1" x14ac:dyDescent="0.3">
      <c r="A22" s="211"/>
      <c r="B22" s="214" t="s">
        <v>50</v>
      </c>
      <c r="C22" s="213"/>
      <c r="D22" s="1376"/>
      <c r="E22" s="506"/>
      <c r="F22" s="1376"/>
      <c r="G22" s="506"/>
      <c r="H22" s="1438"/>
      <c r="I22" s="506"/>
      <c r="J22" s="1438"/>
      <c r="K22" s="506"/>
      <c r="L22" s="1438"/>
      <c r="M22" s="506"/>
      <c r="N22" s="1438"/>
      <c r="O22" s="211"/>
    </row>
    <row r="23" spans="1:15" ht="18.75" customHeight="1" x14ac:dyDescent="0.3">
      <c r="A23" s="211"/>
      <c r="B23" s="214" t="s">
        <v>293</v>
      </c>
      <c r="C23" s="213"/>
      <c r="D23" s="1376"/>
      <c r="E23" s="506"/>
      <c r="F23" s="1376"/>
      <c r="G23" s="506"/>
      <c r="H23" s="1438"/>
      <c r="I23" s="506"/>
      <c r="J23" s="1438"/>
      <c r="K23" s="506"/>
      <c r="L23" s="1438"/>
      <c r="M23" s="506"/>
      <c r="N23" s="1438"/>
      <c r="O23" s="211"/>
    </row>
    <row r="24" spans="1:15" ht="18.75" customHeight="1" x14ac:dyDescent="0.3">
      <c r="A24" s="211"/>
      <c r="B24" s="214" t="s">
        <v>290</v>
      </c>
      <c r="C24" s="213"/>
      <c r="D24" s="1376"/>
      <c r="E24" s="506"/>
      <c r="F24" s="1376"/>
      <c r="G24" s="506"/>
      <c r="H24" s="1438"/>
      <c r="I24" s="506"/>
      <c r="J24" s="1438"/>
      <c r="K24" s="506"/>
      <c r="L24" s="1438"/>
      <c r="M24" s="506"/>
      <c r="N24" s="1438"/>
      <c r="O24" s="211"/>
    </row>
    <row r="25" spans="1:15" ht="18.75" customHeight="1" x14ac:dyDescent="0.3">
      <c r="A25" s="211"/>
      <c r="B25" s="214" t="s">
        <v>467</v>
      </c>
      <c r="C25" s="213"/>
      <c r="D25" s="1377">
        <f>SUM(D14:D24)</f>
        <v>0</v>
      </c>
      <c r="E25" s="506"/>
      <c r="F25" s="1377">
        <f>SUM(F14:F24)</f>
        <v>0</v>
      </c>
      <c r="G25" s="506"/>
      <c r="H25" s="1377">
        <f>SUM(H14:H24)</f>
        <v>0</v>
      </c>
      <c r="I25" s="506"/>
      <c r="J25" s="1377">
        <f>SUM(J14:J24)</f>
        <v>0</v>
      </c>
      <c r="K25" s="506"/>
      <c r="L25" s="1377">
        <f>SUM(L14:L24)</f>
        <v>0</v>
      </c>
      <c r="M25" s="506"/>
      <c r="N25" s="1377">
        <f>SUM(N14:N24)</f>
        <v>0</v>
      </c>
      <c r="O25" s="211"/>
    </row>
    <row r="26" spans="1:15" ht="18.75" customHeight="1" x14ac:dyDescent="0.3">
      <c r="A26" s="211"/>
      <c r="B26" s="214" t="s">
        <v>787</v>
      </c>
      <c r="C26" s="225"/>
      <c r="D26" s="1377">
        <f>SUM(ROUNDUP(D14*D10,2),ROUNDUP(D15*D10,2),ROUNDUP(D16*D10,2),ROUNDUP(D17*D10,2),ROUNDUP(D18*D10,2),ROUNDUP(D19*D10,2),ROUNDUP(D20*D10,2),ROUNDUP(D21*D10,2),ROUNDUP(D22*D10,2),ROUNDUP(D23*D10,2),ROUNDUP(D24*D10,2))</f>
        <v>0</v>
      </c>
      <c r="E26" s="507"/>
      <c r="F26" s="1377">
        <f>SUM(ROUNDUP(F14*F10,2),ROUNDUP(F15*F10,2),ROUNDUP(F16*F10,2),ROUNDUP(F17*F10,2),ROUNDUP(F18*F10,2),ROUNDUP(F19*F10,2),ROUNDUP(F20*F10,2),ROUNDUP(F21*F10,2),ROUNDUP(F22*F10,2),ROUNDUP(F23*F10,2),ROUNDUP(F24*F10,2))</f>
        <v>0</v>
      </c>
      <c r="G26" s="507"/>
      <c r="H26" s="1377">
        <f>SUM(ROUNDUP(H14*H10,2),ROUNDUP(H15*H10,2),ROUNDUP(H16*H10,2),ROUNDUP(H17*H10,2),ROUNDUP(H18*H10,2),ROUNDUP(H19*H10,2),ROUNDUP(H20*H10,2),ROUNDUP(H21*H10,2),ROUNDUP(H22*H10,2),ROUNDUP(H23*H10,2),ROUNDUP(H24*H10,2))</f>
        <v>0</v>
      </c>
      <c r="I26" s="507"/>
      <c r="J26" s="1377">
        <f>SUM(ROUNDUP(J14*J10,2),ROUNDUP(J15*J10,2),ROUNDUP(J16*J10,2),ROUNDUP(J17*J10,2),ROUNDUP(J18*J10,2),ROUNDUP(J19*J10,2),ROUNDUP(J20*J10,2),ROUNDUP(J21*J10,2),ROUNDUP(J22*J10,2),ROUNDUP(J23*J10,2),ROUNDUP(J24*J10,2))</f>
        <v>0</v>
      </c>
      <c r="K26" s="507"/>
      <c r="L26" s="1377">
        <f>SUM(ROUNDUP(L14*L10,2),ROUNDUP(L15*L10,2),ROUNDUP(L16*L10,2),ROUNDUP(L17*L10,2),ROUNDUP(L18*L10,2),ROUNDUP(L19*L10,2),ROUNDUP(L20*L10,2),ROUNDUP(L21*L10,2),ROUNDUP(L22*L10,2),ROUNDUP(L23*L10,2),ROUNDUP(L24*L10,2))</f>
        <v>0</v>
      </c>
      <c r="M26" s="507"/>
      <c r="N26" s="1377">
        <f>SUM(ROUNDUP(N14*N10,2),ROUNDUP(N15*N10,2),ROUNDUP(N16*N10,2),ROUNDUP(N17*N10,2),ROUNDUP(N18*N10,2),ROUNDUP(N19*N10,2),ROUNDUP(N20*N10,2),ROUNDUP(N21*N10,2),ROUNDUP(N22*N10,2),ROUNDUP(N23*N10,2),ROUNDUP(N24*N10,2))</f>
        <v>0</v>
      </c>
      <c r="O26" s="211"/>
    </row>
    <row r="27" spans="1:15" ht="7.5" customHeight="1" x14ac:dyDescent="0.3">
      <c r="A27" s="211"/>
      <c r="B27" s="216"/>
      <c r="C27" s="211"/>
      <c r="D27" s="215"/>
      <c r="E27" s="215"/>
      <c r="F27" s="215"/>
      <c r="G27" s="215"/>
      <c r="H27" s="215"/>
      <c r="I27" s="215"/>
      <c r="J27" s="215"/>
      <c r="K27" s="215"/>
      <c r="L27" s="215"/>
      <c r="M27" s="215"/>
      <c r="N27" s="215"/>
      <c r="O27" s="211"/>
    </row>
    <row r="28" spans="1:15" ht="18.75" customHeight="1" x14ac:dyDescent="0.3">
      <c r="A28" s="217"/>
      <c r="B28" s="1158" t="s">
        <v>355</v>
      </c>
      <c r="C28" s="217"/>
      <c r="D28" s="218"/>
      <c r="E28" s="218"/>
      <c r="F28" s="218"/>
      <c r="G28" s="218"/>
      <c r="H28" s="218"/>
      <c r="I28" s="218"/>
      <c r="J28" s="218"/>
      <c r="K28" s="218"/>
      <c r="L28" s="218"/>
      <c r="M28" s="218"/>
      <c r="N28" s="218"/>
      <c r="O28" s="217"/>
    </row>
    <row r="29" spans="1:15" ht="7.5" customHeight="1" x14ac:dyDescent="0.3">
      <c r="A29" s="211"/>
      <c r="B29" s="216"/>
      <c r="C29" s="211"/>
      <c r="D29" s="215"/>
      <c r="E29" s="215"/>
      <c r="F29" s="215"/>
      <c r="G29" s="215"/>
      <c r="H29" s="215"/>
      <c r="I29" s="215"/>
      <c r="J29" s="215"/>
      <c r="K29" s="215"/>
      <c r="L29" s="215"/>
      <c r="M29" s="215"/>
      <c r="N29" s="215"/>
      <c r="O29" s="211"/>
    </row>
    <row r="30" spans="1:15" ht="18.75" customHeight="1" x14ac:dyDescent="0.3">
      <c r="A30" s="211"/>
      <c r="B30" s="214" t="s">
        <v>2349</v>
      </c>
      <c r="C30" s="213"/>
      <c r="D30" s="1376"/>
      <c r="E30" s="212"/>
      <c r="F30" s="1376"/>
      <c r="G30" s="212"/>
      <c r="H30" s="1438"/>
      <c r="I30" s="212"/>
      <c r="J30" s="1438"/>
      <c r="K30" s="212"/>
      <c r="L30" s="1438"/>
      <c r="M30" s="212"/>
      <c r="N30" s="1438"/>
      <c r="O30" s="211"/>
    </row>
    <row r="31" spans="1:15" ht="18.75" customHeight="1" x14ac:dyDescent="0.3">
      <c r="A31" s="211"/>
      <c r="B31" s="214" t="s">
        <v>296</v>
      </c>
      <c r="C31" s="213"/>
      <c r="D31" s="1376"/>
      <c r="E31" s="212"/>
      <c r="F31" s="1376"/>
      <c r="G31" s="212"/>
      <c r="H31" s="1438"/>
      <c r="I31" s="212"/>
      <c r="J31" s="1438"/>
      <c r="K31" s="212"/>
      <c r="L31" s="1438"/>
      <c r="M31" s="212"/>
      <c r="N31" s="1438"/>
      <c r="O31" s="211"/>
    </row>
    <row r="32" spans="1:15" ht="18.75" customHeight="1" x14ac:dyDescent="0.3">
      <c r="A32" s="211"/>
      <c r="B32" s="214" t="s">
        <v>297</v>
      </c>
      <c r="C32" s="213"/>
      <c r="D32" s="1376"/>
      <c r="E32" s="212"/>
      <c r="F32" s="1376"/>
      <c r="G32" s="212"/>
      <c r="H32" s="1438"/>
      <c r="I32" s="212"/>
      <c r="J32" s="1438"/>
      <c r="K32" s="212"/>
      <c r="L32" s="1438"/>
      <c r="M32" s="212"/>
      <c r="N32" s="1438"/>
      <c r="O32" s="211"/>
    </row>
    <row r="33" spans="1:15" ht="18.75" customHeight="1" x14ac:dyDescent="0.3">
      <c r="A33" s="211"/>
      <c r="B33" s="214" t="s">
        <v>62</v>
      </c>
      <c r="C33" s="213"/>
      <c r="D33" s="1376"/>
      <c r="E33" s="212"/>
      <c r="F33" s="1376"/>
      <c r="G33" s="212"/>
      <c r="H33" s="1438"/>
      <c r="I33" s="212"/>
      <c r="J33" s="1438"/>
      <c r="K33" s="212"/>
      <c r="L33" s="1438"/>
      <c r="M33" s="212"/>
      <c r="N33" s="1438"/>
      <c r="O33" s="211"/>
    </row>
    <row r="34" spans="1:15" ht="18.75" customHeight="1" x14ac:dyDescent="0.3">
      <c r="A34" s="211"/>
      <c r="B34" s="214" t="s">
        <v>754</v>
      </c>
      <c r="C34" s="213"/>
      <c r="D34" s="1376"/>
      <c r="E34" s="212"/>
      <c r="F34" s="1376"/>
      <c r="G34" s="212"/>
      <c r="H34" s="1438"/>
      <c r="I34" s="212"/>
      <c r="J34" s="1438"/>
      <c r="K34" s="212"/>
      <c r="L34" s="1438"/>
      <c r="M34" s="212"/>
      <c r="N34" s="1438"/>
      <c r="O34" s="211"/>
    </row>
    <row r="35" spans="1:15" ht="18.75" customHeight="1" x14ac:dyDescent="0.3">
      <c r="A35" s="211"/>
      <c r="B35" s="214" t="s">
        <v>63</v>
      </c>
      <c r="C35" s="213"/>
      <c r="D35" s="1376"/>
      <c r="E35" s="212"/>
      <c r="F35" s="1376"/>
      <c r="G35" s="212"/>
      <c r="H35" s="1438"/>
      <c r="I35" s="212"/>
      <c r="J35" s="1438"/>
      <c r="K35" s="212"/>
      <c r="L35" s="1438"/>
      <c r="M35" s="212"/>
      <c r="N35" s="1438"/>
      <c r="O35" s="211"/>
    </row>
    <row r="36" spans="1:15" ht="18.75" customHeight="1" x14ac:dyDescent="0.3">
      <c r="A36" s="211"/>
      <c r="B36" s="214" t="s">
        <v>466</v>
      </c>
      <c r="C36" s="213"/>
      <c r="D36" s="1377">
        <f>SUM(D30:D35)</f>
        <v>0</v>
      </c>
      <c r="E36" s="212"/>
      <c r="F36" s="1377">
        <f>SUM(F30:F35)</f>
        <v>0</v>
      </c>
      <c r="G36" s="212"/>
      <c r="H36" s="1377">
        <f>SUM(H30:H35)</f>
        <v>0</v>
      </c>
      <c r="I36" s="212"/>
      <c r="J36" s="1377">
        <f>SUM(J30:J35)</f>
        <v>0</v>
      </c>
      <c r="K36" s="212"/>
      <c r="L36" s="1377">
        <f>SUM(L30:L35)</f>
        <v>0</v>
      </c>
      <c r="M36" s="212"/>
      <c r="N36" s="1377">
        <f>SUM(N30:N35)</f>
        <v>0</v>
      </c>
      <c r="O36" s="211"/>
    </row>
    <row r="37" spans="1:15" ht="18.75" customHeight="1" x14ac:dyDescent="0.3">
      <c r="A37" s="211"/>
      <c r="B37" s="214" t="s">
        <v>788</v>
      </c>
      <c r="C37" s="225"/>
      <c r="D37" s="1377">
        <f>SUM(ROUNDUP(D30*D10,2),ROUNDUP(D31*D10,2),ROUNDUP(D32*D10,2),ROUNDUP(D33*D10,2),D34,ROUNDUP(D35*D10,2))</f>
        <v>0</v>
      </c>
      <c r="E37" s="212"/>
      <c r="F37" s="1377">
        <f>SUM(ROUNDUP(F30*F10,2),ROUNDUP(F31*F10,2),ROUNDUP(F32*F10,2),ROUNDUP(F33*F10,2),F34,ROUNDUP(F35*F10,2))</f>
        <v>0</v>
      </c>
      <c r="G37" s="212"/>
      <c r="H37" s="1377">
        <f>SUM(ROUNDUP(H30*H10,2),ROUNDUP(H31*H10,2),ROUNDUP(H32*H10,2),ROUNDUP(H33*H10,2),H34,ROUNDUP(H35*H10,2))</f>
        <v>0</v>
      </c>
      <c r="I37" s="212"/>
      <c r="J37" s="1377">
        <f>SUM(ROUNDUP(J30*J10,2),ROUNDUP(J31*J10,2),ROUNDUP(J32*J10,2),ROUNDUP(J33*J10,2),J34,ROUNDUP(J35*J10,2))</f>
        <v>0</v>
      </c>
      <c r="K37" s="212"/>
      <c r="L37" s="1377">
        <f>SUM(ROUNDUP(L30*L10,2),ROUNDUP(L31*L10,2),ROUNDUP(L32*L10,2),ROUNDUP(L33*L10,2),L34,ROUNDUP(L35*L10,2))</f>
        <v>0</v>
      </c>
      <c r="M37" s="212"/>
      <c r="N37" s="1377">
        <f>SUM(ROUNDUP(N30*N10,2),ROUNDUP(N31*N10,2),ROUNDUP(N32*N10,2),ROUNDUP(N33*N10,2),N34,ROUNDUP(N35*N10,2))</f>
        <v>0</v>
      </c>
      <c r="O37" s="211"/>
    </row>
    <row r="38" spans="1:15" ht="7.5" customHeight="1" x14ac:dyDescent="0.3">
      <c r="A38" s="211"/>
      <c r="B38" s="216"/>
      <c r="C38" s="211"/>
      <c r="D38" s="215"/>
      <c r="E38" s="215"/>
      <c r="F38" s="215"/>
      <c r="G38" s="215"/>
      <c r="H38" s="215"/>
      <c r="I38" s="215"/>
      <c r="J38" s="215"/>
      <c r="K38" s="215"/>
      <c r="L38" s="215"/>
      <c r="M38" s="215"/>
      <c r="N38" s="215"/>
      <c r="O38" s="211"/>
    </row>
    <row r="39" spans="1:15" ht="18.75" customHeight="1" x14ac:dyDescent="0.3">
      <c r="A39" s="217"/>
      <c r="B39" s="1158" t="s">
        <v>465</v>
      </c>
      <c r="C39" s="217"/>
      <c r="D39" s="218"/>
      <c r="E39" s="218"/>
      <c r="F39" s="218"/>
      <c r="G39" s="218"/>
      <c r="H39" s="218"/>
      <c r="I39" s="218"/>
      <c r="J39" s="218"/>
      <c r="K39" s="218"/>
      <c r="L39" s="218"/>
      <c r="M39" s="218"/>
      <c r="N39" s="218"/>
      <c r="O39" s="217"/>
    </row>
    <row r="40" spans="1:15" ht="7.5" customHeight="1" x14ac:dyDescent="0.3">
      <c r="A40" s="211"/>
      <c r="B40" s="216"/>
      <c r="C40" s="211"/>
      <c r="D40" s="215"/>
      <c r="E40" s="215"/>
      <c r="F40" s="215"/>
      <c r="G40" s="215"/>
      <c r="H40" s="215"/>
      <c r="I40" s="215"/>
      <c r="J40" s="215"/>
      <c r="K40" s="215"/>
      <c r="L40" s="215"/>
      <c r="M40" s="215"/>
      <c r="N40" s="215"/>
      <c r="O40" s="211"/>
    </row>
    <row r="41" spans="1:15" ht="18.75" customHeight="1" x14ac:dyDescent="0.3">
      <c r="A41" s="211"/>
      <c r="B41" s="214" t="s">
        <v>48</v>
      </c>
      <c r="C41" s="213"/>
      <c r="D41" s="470"/>
      <c r="E41" s="212"/>
      <c r="F41" s="470"/>
      <c r="G41" s="212"/>
      <c r="H41" s="1439"/>
      <c r="I41" s="212"/>
      <c r="J41" s="1439"/>
      <c r="K41" s="212"/>
      <c r="L41" s="1439"/>
      <c r="M41" s="212"/>
      <c r="N41" s="1439"/>
      <c r="O41" s="211"/>
    </row>
    <row r="42" spans="1:15" ht="18.75" customHeight="1" x14ac:dyDescent="0.3">
      <c r="A42" s="211"/>
      <c r="B42" s="214" t="s">
        <v>472</v>
      </c>
      <c r="C42" s="213"/>
      <c r="D42" s="1376"/>
      <c r="E42" s="212"/>
      <c r="F42" s="1376"/>
      <c r="G42" s="212"/>
      <c r="H42" s="1438"/>
      <c r="I42" s="212"/>
      <c r="J42" s="1438"/>
      <c r="K42" s="212"/>
      <c r="L42" s="1438"/>
      <c r="M42" s="212"/>
      <c r="N42" s="1438"/>
      <c r="O42" s="211"/>
    </row>
    <row r="43" spans="1:15" ht="18.75" customHeight="1" x14ac:dyDescent="0.3">
      <c r="A43" s="211"/>
      <c r="B43" s="214" t="s">
        <v>471</v>
      </c>
      <c r="C43" s="225"/>
      <c r="D43" s="1378" cm="1">
        <f t="array" aca="1" ref="D43" ca="1">IF(OR(CDEApp1RentFlag="Yes",CDEApp1Rent&gt;0),IF(OR(D9="",D9="Non-applicant"),MAX(NotionalRent,CDEApp1Rent),IF(AND(SCAApp1SameHousehold ="Yes", INDIRECT("SCAApp" &amp; SCAApp1SpouseApplicantNumber &amp; "SameHousehold")="Yes"),IF(CDEApp1Rent+INDIRECT("CDEApp" &amp; SCAApp1SpouseApplicantNumber &amp; "Rent")&gt;NotionalRent,CDEApp1Rent,NotionalRent/2),MAX(NotionalRent,CDEApp1Rent))),0)</f>
        <v>0</v>
      </c>
      <c r="E43" s="215"/>
      <c r="F43" s="1378" cm="1">
        <f t="array" aca="1" ref="F43" ca="1">IF(OR(CDEApp2RentFlag="Yes",CDEApp2Rent&gt;0),IF(OR(F9="",F9="Non-applicant"),MAX(NotionalRent,CDEApp2Rent),IF(AND(SCAApp2SameHousehold="Yes",INDIRECT("SCAApp" &amp; SCAApp2SpouseApplicantNumber &amp; "SameHousehold")="Yes"),IF(CDEApp2Rent+INDIRECT("CDEApp" &amp; SCAApp2SpouseApplicantNumber &amp; "Rent")&gt;NotionalRent,CDEApp2Rent,NotionalRent/2),MAX(NotionalRent,CDEApp2Rent))),0)</f>
        <v>0</v>
      </c>
      <c r="G43" s="215"/>
      <c r="H43" s="1378" cm="1">
        <f t="array" aca="1" ref="H43" ca="1">IF(OR(CDEApp3RentFlag="Yes",CDEApp3Rent&gt;0),IF(OR(H9="",H9="Non-applicant"),MAX(NotionalRent,CDEApp3Rent),IF(AND(SCAApp3SameHousehold = "Yes",INDIRECT("SCAApp" &amp; SCAApp3SpouseApplicantNumber &amp; "SameHousehold")="Yes"),IF(CDEApp3Rent+INDIRECT("CDEApp" &amp; SCAApp3SpouseApplicantNumber &amp; "Rent")&gt;NotionalRent,CDEApp3Rent,NotionalRent/2),MAX(NotionalRent,CDEApp3Rent))),0)</f>
        <v>0</v>
      </c>
      <c r="I43" s="215"/>
      <c r="J43" s="1378" cm="1">
        <f t="array" aca="1" ref="J43" ca="1">IF(OR(CDEApp4RentFlag="Yes",CDEApp4Rent&gt;0),IF(OR(J9="",J9="Non-applicant"),MAX(NotionalRent,CDEApp4Rent),IF(AND(SCAApp4SameHousehold ="Yes", INDIRECT("SCAApp" &amp; SCAApp4SpouseApplicantNumber &amp; "SameHousehold")="Yes"),IF(CDEApp4Rent+INDIRECT("CDEApp" &amp; SCAApp4SpouseApplicantNumber &amp; "Rent")&gt;NotionalRent,CDEApp4Rent,NotionalRent/2),MAX(NotionalRent,CDEApp4Rent))),0)</f>
        <v>0</v>
      </c>
      <c r="K43" s="215"/>
      <c r="L43" s="1378" cm="1">
        <f t="array" aca="1" ref="L43" ca="1">IF(OR(CDEApp5RentFlag="Yes",CDEApp5Rent&gt;0),IF(OR(L9="",L9="Non-applicant"),MAX(NotionalRent,CDEApp5Rent),IF(AND(SCAApp5SameHousehold ="Yes", INDIRECT("SCAApp" &amp; SCAApp5SpouseApplicantNumber &amp; "SameHousehold")="Yes"),IF(CDEApp5Rent+INDIRECT("CDEApp" &amp; SCAApp5SpouseApplicantNumber &amp; "Rent")&gt;NotionalRent,CDEApp5Rent,NotionalRent/2),MAX(NotionalRent,CDEApp5Rent))),0)</f>
        <v>0</v>
      </c>
      <c r="M43" s="215"/>
      <c r="N43" s="1378" cm="1">
        <f t="array" aca="1" ref="N43" ca="1">IF(OR(CDEApp6RentFlag="Yes",CDEApp6Rent&gt;0),IF(OR(N9="",N9="Non-applicant"),MAX(NotionalRent,CDEApp6Rent),IF(AND(SCAApp6SameHousehold ="Yes", INDIRECT("SCAApp" &amp; SCAApp6SpouseApplicantNumber &amp; "SameHousehold")="Yes"),IF(CDEApp6Rent+INDIRECT("CDEApp" &amp; SCAApp6SpouseApplicantNumber &amp; "Rent")&gt;NotionalRent,CDEApp6Rent,NotionalRent/2),MAX(NotionalRent,CDEApp6Rent))),0)</f>
        <v>0</v>
      </c>
      <c r="O43" s="211"/>
    </row>
    <row r="44" spans="1:15" ht="18.75" customHeight="1" x14ac:dyDescent="0.3">
      <c r="A44" s="211"/>
      <c r="B44" s="214" t="s">
        <v>789</v>
      </c>
      <c r="C44" s="225"/>
      <c r="D44" s="1378">
        <f ca="1">ROUNDUP(D43*D10,2)</f>
        <v>0</v>
      </c>
      <c r="E44" s="215"/>
      <c r="F44" s="1378">
        <f ca="1">ROUNDUP(F43*F10,2)</f>
        <v>0</v>
      </c>
      <c r="G44" s="215"/>
      <c r="H44" s="1378">
        <f ca="1">ROUNDUP(H43*H10,2)</f>
        <v>0</v>
      </c>
      <c r="I44" s="215"/>
      <c r="J44" s="1378">
        <f ca="1">ROUNDUP(J43*J10,2)</f>
        <v>0</v>
      </c>
      <c r="K44" s="215"/>
      <c r="L44" s="1378">
        <f ca="1">ROUNDUP(L43*L10,2)</f>
        <v>0</v>
      </c>
      <c r="M44" s="215"/>
      <c r="N44" s="1378">
        <f ca="1">ROUNDUP(N43*N10,2)</f>
        <v>0</v>
      </c>
      <c r="O44" s="211"/>
    </row>
    <row r="45" spans="1:15" ht="7.5" customHeight="1" x14ac:dyDescent="0.3">
      <c r="A45" s="211"/>
      <c r="B45" s="219"/>
      <c r="C45" s="211"/>
      <c r="D45" s="215"/>
      <c r="E45" s="215"/>
      <c r="F45" s="215"/>
      <c r="G45" s="215"/>
      <c r="H45" s="215"/>
      <c r="I45" s="215"/>
      <c r="J45" s="215"/>
      <c r="K45" s="215"/>
      <c r="L45" s="215"/>
      <c r="M45" s="215"/>
      <c r="N45" s="215"/>
      <c r="O45" s="211"/>
    </row>
    <row r="46" spans="1:15" ht="18.75" customHeight="1" x14ac:dyDescent="0.3">
      <c r="A46" s="217"/>
      <c r="B46" s="1158" t="s">
        <v>285</v>
      </c>
      <c r="C46" s="217"/>
      <c r="D46" s="218"/>
      <c r="E46" s="218"/>
      <c r="F46" s="218"/>
      <c r="G46" s="218"/>
      <c r="H46" s="218"/>
      <c r="I46" s="218"/>
      <c r="J46" s="218"/>
      <c r="K46" s="218"/>
      <c r="L46" s="218"/>
      <c r="M46" s="218"/>
      <c r="N46" s="218"/>
      <c r="O46" s="217"/>
    </row>
    <row r="47" spans="1:15" ht="7.5" customHeight="1" x14ac:dyDescent="0.3">
      <c r="A47" s="211"/>
      <c r="B47" s="216"/>
      <c r="C47" s="211"/>
      <c r="D47" s="215"/>
      <c r="E47" s="215"/>
      <c r="F47" s="215"/>
      <c r="G47" s="215"/>
      <c r="H47" s="215"/>
      <c r="I47" s="215"/>
      <c r="J47" s="215"/>
      <c r="K47" s="215"/>
      <c r="L47" s="215"/>
      <c r="M47" s="215"/>
      <c r="N47" s="215"/>
      <c r="O47" s="211"/>
    </row>
    <row r="48" spans="1:15" ht="18.75" customHeight="1" x14ac:dyDescent="0.3">
      <c r="A48" s="211"/>
      <c r="B48" s="214" t="s">
        <v>1552</v>
      </c>
      <c r="C48" s="213"/>
      <c r="D48" s="1377">
        <f>RICApp1ExpenseTotal/12</f>
        <v>0</v>
      </c>
      <c r="E48" s="212"/>
      <c r="F48" s="1377">
        <f>RICApp2ExpenseTotal/12</f>
        <v>0</v>
      </c>
      <c r="G48" s="212"/>
      <c r="H48" s="1377">
        <f>RICApp3ExpenseTotal/12</f>
        <v>0</v>
      </c>
      <c r="I48" s="212"/>
      <c r="J48" s="1377">
        <f>RICApp4ExpenseTotal/12</f>
        <v>0</v>
      </c>
      <c r="K48" s="212"/>
      <c r="L48" s="1377">
        <f>RICApp5ExpenseTotal/12</f>
        <v>0</v>
      </c>
      <c r="M48" s="212"/>
      <c r="N48" s="1377">
        <f>RICApp6ExpenseTotal/12</f>
        <v>0</v>
      </c>
      <c r="O48" s="211"/>
    </row>
    <row r="49" spans="1:15" ht="7.5" customHeight="1" x14ac:dyDescent="0.3">
      <c r="A49" s="211"/>
      <c r="B49" s="211"/>
      <c r="C49" s="211"/>
      <c r="D49" s="226"/>
      <c r="E49" s="211"/>
      <c r="F49" s="211"/>
      <c r="G49" s="211"/>
      <c r="H49" s="211"/>
      <c r="I49" s="211"/>
      <c r="J49" s="211"/>
      <c r="K49" s="211"/>
      <c r="L49" s="211"/>
      <c r="M49" s="211"/>
      <c r="N49" s="211"/>
      <c r="O49" s="211"/>
    </row>
    <row r="50" spans="1:15" ht="14" x14ac:dyDescent="0.3">
      <c r="A50" s="346"/>
      <c r="B50" s="1719" t="s">
        <v>1549</v>
      </c>
      <c r="C50" s="346"/>
      <c r="D50" s="347"/>
      <c r="E50" s="346"/>
      <c r="F50" s="346"/>
      <c r="G50" s="346"/>
      <c r="H50" s="346"/>
      <c r="I50" s="346"/>
      <c r="J50" s="346"/>
      <c r="K50" s="346"/>
      <c r="L50" s="346"/>
      <c r="M50" s="346"/>
      <c r="N50" s="346"/>
      <c r="O50" s="346"/>
    </row>
    <row r="51" spans="1:15" ht="14" x14ac:dyDescent="0.3">
      <c r="A51" s="211"/>
      <c r="B51" s="1720"/>
      <c r="C51" s="211"/>
      <c r="D51" s="226"/>
      <c r="E51" s="211"/>
      <c r="F51" s="211"/>
      <c r="G51" s="211"/>
      <c r="H51" s="211"/>
      <c r="I51" s="211"/>
      <c r="J51" s="211"/>
      <c r="K51" s="211"/>
      <c r="L51" s="211"/>
      <c r="M51" s="211"/>
      <c r="N51" s="211"/>
      <c r="O51" s="211"/>
    </row>
    <row r="52" spans="1:15" ht="14" x14ac:dyDescent="0.3">
      <c r="A52" s="211"/>
      <c r="B52" s="211"/>
      <c r="C52" s="211"/>
      <c r="D52" s="226"/>
      <c r="E52" s="211"/>
      <c r="F52" s="211"/>
      <c r="G52" s="211"/>
      <c r="H52" s="211"/>
      <c r="I52" s="211"/>
      <c r="J52" s="211"/>
      <c r="K52" s="211"/>
      <c r="L52" s="211"/>
      <c r="M52" s="211"/>
      <c r="N52" s="211"/>
      <c r="O52" s="211"/>
    </row>
    <row r="53" spans="1:15" ht="300.75" customHeight="1" x14ac:dyDescent="0.3">
      <c r="A53" s="211"/>
      <c r="B53" s="1285" t="s">
        <v>2328</v>
      </c>
      <c r="C53" s="211"/>
      <c r="D53" s="1721"/>
      <c r="E53" s="1722"/>
      <c r="F53" s="1722"/>
      <c r="G53" s="1722"/>
      <c r="H53" s="1722"/>
      <c r="I53" s="1722"/>
      <c r="J53" s="1722"/>
      <c r="K53" s="1722"/>
      <c r="L53" s="1722"/>
      <c r="M53" s="1722"/>
      <c r="N53" s="1723"/>
      <c r="O53" s="211"/>
    </row>
  </sheetData>
  <sheetProtection algorithmName="SHA-512" hashValue="efqgk2zxmYGGvQQ5j41Z9GlrSZC+77kPIKdkbvLNkM8w+Gb8zLxq7e8+NKpcitIK9C8U86NIw2O+Kmtce56gGw==" saltValue="uxWniHSBcW2KymnfISh0Qw==" spinCount="100000" sheet="1" objects="1" scenarios="1" selectLockedCells="1"/>
  <mergeCells count="2">
    <mergeCell ref="B50:B51"/>
    <mergeCell ref="D53:N53"/>
  </mergeCells>
  <conditionalFormatting sqref="F41:F43 F48 F30:F36 F8:F10 F14:F26">
    <cfRule type="expression" dxfId="102" priority="15">
      <formula>ShowApplicant2=FALSE</formula>
    </cfRule>
  </conditionalFormatting>
  <conditionalFormatting sqref="H41:H43 H48 H30:H36 H8:H10 H14:H26">
    <cfRule type="expression" dxfId="101" priority="14">
      <formula>ShowApplicant3=FALSE</formula>
    </cfRule>
  </conditionalFormatting>
  <conditionalFormatting sqref="J41:J43 J48 J30:J36 J8:J10 J14:J26">
    <cfRule type="expression" dxfId="100" priority="13">
      <formula>ShowApplicant4=FALSE</formula>
    </cfRule>
  </conditionalFormatting>
  <conditionalFormatting sqref="L41:L43 L48 L30:L36 L8:L10 L14:L26">
    <cfRule type="expression" dxfId="99" priority="12">
      <formula>ShowApplicant5=FALSE</formula>
    </cfRule>
  </conditionalFormatting>
  <conditionalFormatting sqref="N41:N43 N48 N30:N36 N8:N10 N14:N26">
    <cfRule type="expression" dxfId="98" priority="11">
      <formula>ShowApplicant6=FALSE</formula>
    </cfRule>
  </conditionalFormatting>
  <conditionalFormatting sqref="N37">
    <cfRule type="expression" dxfId="97" priority="6">
      <formula>ShowApplicant6=FALSE</formula>
    </cfRule>
  </conditionalFormatting>
  <conditionalFormatting sqref="F37">
    <cfRule type="expression" dxfId="96" priority="10">
      <formula>ShowApplicant2=FALSE</formula>
    </cfRule>
  </conditionalFormatting>
  <conditionalFormatting sqref="H37">
    <cfRule type="expression" dxfId="95" priority="9">
      <formula>ShowApplicant3=FALSE</formula>
    </cfRule>
  </conditionalFormatting>
  <conditionalFormatting sqref="J37">
    <cfRule type="expression" dxfId="94" priority="8">
      <formula>ShowApplicant4=FALSE</formula>
    </cfRule>
  </conditionalFormatting>
  <conditionalFormatting sqref="L37">
    <cfRule type="expression" dxfId="93" priority="7">
      <formula>ShowApplicant5=FALSE</formula>
    </cfRule>
  </conditionalFormatting>
  <conditionalFormatting sqref="N44">
    <cfRule type="expression" dxfId="92" priority="1">
      <formula>ShowApplicant6=FALSE</formula>
    </cfRule>
  </conditionalFormatting>
  <conditionalFormatting sqref="F44">
    <cfRule type="expression" dxfId="91" priority="5">
      <formula>ShowApplicant2=FALSE</formula>
    </cfRule>
  </conditionalFormatting>
  <conditionalFormatting sqref="H44">
    <cfRule type="expression" dxfId="90" priority="4">
      <formula>ShowApplicant3=FALSE</formula>
    </cfRule>
  </conditionalFormatting>
  <conditionalFormatting sqref="J44">
    <cfRule type="expression" dxfId="89" priority="3">
      <formula>ShowApplicant4=FALSE</formula>
    </cfRule>
  </conditionalFormatting>
  <conditionalFormatting sqref="L44">
    <cfRule type="expression" dxfId="88" priority="2">
      <formula>ShowApplicant5=FALSE</formula>
    </cfRule>
  </conditionalFormatting>
  <dataValidations count="2">
    <dataValidation type="list" allowBlank="1" showInputMessage="1" showErrorMessage="1" sqref="D41 F41 H41 J41 L41 N41" xr:uid="{B32D25F3-0508-464D-B8E1-A40F29755FF0}">
      <formula1>INDIRECT("ValidationYesNo[DisplayValue]")</formula1>
    </dataValidation>
    <dataValidation type="decimal" operator="greaterThanOrEqual" allowBlank="1" showInputMessage="1" showErrorMessage="1" errorTitle="Invalid expense amount" error="Please enter a valid expense amount." sqref="D14:D24 F14:F24 H14:H24 J14:J24 L14:L24 N14:N24 D30:D35 F30:F35 H30:H35 J30:J35 L30:L35 N30:N35 D42 F42 H42 J42 L42 N42" xr:uid="{9B367EA1-5E21-4FFF-B66F-286F6CED6BA3}">
      <formula1>0</formula1>
    </dataValidation>
  </dataValidations>
  <pageMargins left="0.25" right="0.25" top="0.75" bottom="0.75" header="0.3" footer="0.3"/>
  <pageSetup paperSize="9" scale="4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B523-1C05-4812-BCE2-6D8390CB1F6B}">
  <sheetPr codeName="shCalculatorRemainingTerm">
    <pageSetUpPr fitToPage="1"/>
  </sheetPr>
  <dimension ref="A1:I17"/>
  <sheetViews>
    <sheetView showGridLines="0" showRowColHeaders="0" zoomScaleNormal="100" workbookViewId="0">
      <selection activeCell="C7" sqref="C7"/>
    </sheetView>
  </sheetViews>
  <sheetFormatPr defaultColWidth="2.81640625" defaultRowHeight="16" customHeight="1" x14ac:dyDescent="0.25"/>
  <cols>
    <col min="1" max="1" width="2.81640625" customWidth="1"/>
    <col min="2" max="2" width="37.81640625" customWidth="1"/>
    <col min="3" max="3" width="20" customWidth="1"/>
    <col min="4" max="4" width="2.81640625" customWidth="1"/>
    <col min="5" max="5" width="4.54296875" bestFit="1" customWidth="1"/>
    <col min="6" max="6" width="2.81640625" customWidth="1"/>
    <col min="7" max="7" width="37.81640625" customWidth="1"/>
    <col min="8" max="8" width="68" customWidth="1"/>
    <col min="9" max="9" width="20.7265625" customWidth="1"/>
  </cols>
  <sheetData>
    <row r="1" spans="1:9" ht="15" customHeight="1" x14ac:dyDescent="0.25">
      <c r="A1" s="8"/>
      <c r="B1" s="8"/>
      <c r="C1" s="8"/>
      <c r="D1" s="8"/>
      <c r="E1" s="8"/>
      <c r="F1" s="8"/>
      <c r="G1" s="8"/>
      <c r="H1" s="9"/>
      <c r="I1" s="47"/>
    </row>
    <row r="2" spans="1:9" ht="15" customHeight="1" x14ac:dyDescent="0.25">
      <c r="A2" s="8"/>
      <c r="B2" s="8"/>
      <c r="C2" s="8"/>
      <c r="D2" s="8"/>
      <c r="E2" s="8"/>
      <c r="F2" s="8"/>
      <c r="G2" s="8"/>
      <c r="H2" s="9"/>
      <c r="I2" s="47"/>
    </row>
    <row r="3" spans="1:9" ht="15" customHeight="1" x14ac:dyDescent="0.25">
      <c r="A3" s="8"/>
      <c r="B3" s="8"/>
      <c r="C3" s="8"/>
      <c r="D3" s="8"/>
      <c r="E3" s="8"/>
      <c r="F3" s="8"/>
      <c r="G3" s="8"/>
      <c r="H3" s="9"/>
      <c r="I3" s="47"/>
    </row>
    <row r="4" spans="1:9" ht="15" customHeight="1" x14ac:dyDescent="0.25">
      <c r="A4" s="8"/>
      <c r="B4" s="8"/>
      <c r="C4" s="8"/>
      <c r="D4" s="8"/>
      <c r="E4" s="8"/>
      <c r="F4" s="8"/>
      <c r="G4" s="8"/>
      <c r="H4" s="9"/>
      <c r="I4" s="47"/>
    </row>
    <row r="5" spans="1:9" ht="22.5" customHeight="1" x14ac:dyDescent="0.25">
      <c r="A5" s="749"/>
      <c r="B5" s="224" t="s">
        <v>1054</v>
      </c>
      <c r="C5" s="224"/>
      <c r="D5" s="224"/>
      <c r="E5" s="224"/>
      <c r="F5" s="224"/>
      <c r="G5" s="224"/>
      <c r="H5" s="224"/>
      <c r="I5" s="224"/>
    </row>
    <row r="6" spans="1:9" ht="7.5" customHeight="1" x14ac:dyDescent="0.35">
      <c r="A6" s="34"/>
      <c r="C6" s="107"/>
      <c r="D6" s="107"/>
      <c r="E6" s="107"/>
      <c r="F6" s="107"/>
      <c r="G6" s="107"/>
      <c r="H6" s="107"/>
      <c r="I6" s="107"/>
    </row>
    <row r="7" spans="1:9" ht="18.75" customHeight="1" x14ac:dyDescent="0.35">
      <c r="A7" s="34"/>
      <c r="B7" s="274" t="s">
        <v>1061</v>
      </c>
      <c r="C7" s="641"/>
      <c r="D7" s="107"/>
      <c r="E7" s="107"/>
      <c r="F7" s="107"/>
      <c r="G7" s="655" t="s">
        <v>1064</v>
      </c>
      <c r="H7" s="646"/>
      <c r="I7" s="107"/>
    </row>
    <row r="8" spans="1:9" ht="18.75" customHeight="1" x14ac:dyDescent="0.35">
      <c r="A8" s="34"/>
      <c r="B8" s="274" t="s">
        <v>1062</v>
      </c>
      <c r="C8" s="642"/>
      <c r="D8" s="107"/>
      <c r="E8" s="274" t="s">
        <v>1063</v>
      </c>
      <c r="G8" s="107"/>
      <c r="H8" s="107"/>
      <c r="I8" s="107"/>
    </row>
    <row r="9" spans="1:9" ht="7.5" customHeight="1" x14ac:dyDescent="0.35">
      <c r="A9" s="34"/>
      <c r="C9" s="107"/>
      <c r="D9" s="107"/>
      <c r="E9" s="107"/>
      <c r="F9" s="107"/>
      <c r="G9" s="107"/>
      <c r="H9" s="107"/>
      <c r="I9" s="107"/>
    </row>
    <row r="10" spans="1:9" ht="18.75" customHeight="1" x14ac:dyDescent="0.25">
      <c r="A10" s="34"/>
      <c r="B10" s="274" t="s">
        <v>1055</v>
      </c>
      <c r="C10" s="641"/>
      <c r="D10" s="274"/>
      <c r="E10" s="274"/>
      <c r="F10" s="640"/>
      <c r="I10" s="274"/>
    </row>
    <row r="11" spans="1:9" ht="7.5" customHeight="1" x14ac:dyDescent="0.25">
      <c r="A11" s="34"/>
      <c r="B11" s="274"/>
      <c r="D11" s="274"/>
      <c r="E11" s="274"/>
      <c r="F11" s="274"/>
      <c r="I11" s="274"/>
    </row>
    <row r="12" spans="1:9" ht="18.75" customHeight="1" x14ac:dyDescent="0.25">
      <c r="A12" s="34"/>
      <c r="B12" s="274" t="s">
        <v>1060</v>
      </c>
      <c r="C12" s="643">
        <f ca="1">IF(AND(NOT(ISBLANK(RTCLoanStartDate)),NOT(ISBLANK(RTCLoanTermMonths)),ISBLANK(RTCLoanEndDate)),IF(RTCLoanStartDate&gt;TODAY(),RTCLoanTermMonths,MAX(0,RTCLoanTermMonths-DATEDIF(RTCLoanStartDate,TODAY(),"m"))),IF(AND(NOT(ISBLANK(RTCLoanEndDate)),ISBLANK(RTCLoanStartDate),ISBLANK(RTCLoanTermMonths)),DATEDIF(TODAY(),RTCLoanEndDate,"M"),0))</f>
        <v>0</v>
      </c>
      <c r="D12" s="274"/>
      <c r="E12" s="274"/>
      <c r="F12" s="274"/>
      <c r="I12" s="274"/>
    </row>
    <row r="13" spans="1:9" ht="7.5" customHeight="1" x14ac:dyDescent="0.25">
      <c r="A13" s="34"/>
      <c r="B13" s="274"/>
      <c r="D13" s="274"/>
      <c r="E13" s="274"/>
      <c r="F13" s="274"/>
      <c r="I13" s="274"/>
    </row>
    <row r="14" spans="1:9" ht="18.75" customHeight="1" x14ac:dyDescent="0.3">
      <c r="A14" s="34"/>
      <c r="B14" s="274" t="s">
        <v>1056</v>
      </c>
      <c r="C14" s="644"/>
      <c r="D14" s="274"/>
      <c r="E14" s="274"/>
      <c r="F14" s="274"/>
      <c r="G14" s="655" t="s">
        <v>1079</v>
      </c>
      <c r="H14" s="647"/>
      <c r="I14" s="274"/>
    </row>
    <row r="15" spans="1:9" ht="18.75" customHeight="1" x14ac:dyDescent="0.25">
      <c r="A15" s="34"/>
      <c r="B15" s="274" t="s">
        <v>1080</v>
      </c>
      <c r="C15" s="643">
        <f ca="1">IF(NOT(ISBLANK(RTCInterestOnlyEndDate)),DATEDIF(TODAY(),RTCInterestOnlyEndDate,"M"),0)</f>
        <v>0</v>
      </c>
      <c r="D15" s="274"/>
      <c r="E15" s="274"/>
      <c r="F15" s="274"/>
      <c r="I15" s="274"/>
    </row>
    <row r="16" spans="1:9" ht="7.5" customHeight="1" x14ac:dyDescent="0.25">
      <c r="A16" s="34"/>
      <c r="B16" s="274"/>
      <c r="D16" s="274"/>
      <c r="E16" s="274"/>
      <c r="F16" s="274"/>
      <c r="I16" s="274"/>
    </row>
    <row r="17" spans="1:9" ht="18.75" customHeight="1" x14ac:dyDescent="0.25">
      <c r="A17" s="34"/>
      <c r="B17" s="274" t="s">
        <v>1057</v>
      </c>
      <c r="C17" s="643">
        <f ca="1">IFERROR(MAX(0,RTCTotalRemainingTermMonths-RTCInterestOnlyRemainingTermMonths),"")</f>
        <v>0</v>
      </c>
      <c r="D17" s="274"/>
      <c r="E17" s="274"/>
      <c r="F17" s="274"/>
      <c r="I17" s="274"/>
    </row>
  </sheetData>
  <sheetProtection algorithmName="SHA-512" hashValue="sISN0ke2LJWYOAt4hkm2e8K+5q8QZwKsLay0qqdlBhsZqnIcL4ovEmW/Lm31OzbHy4bZlwolLTf0yJkrh/5WOQ==" saltValue="tr+o394BoR1OumT7IFwWjw==" spinCount="100000" sheet="1" objects="1" scenarios="1" selectLockedCells="1"/>
  <dataConsolidate link="1"/>
  <conditionalFormatting sqref="C10">
    <cfRule type="expression" dxfId="87" priority="5">
      <formula>AND(NOT(ISBLANK($C$10)),OR(NOT(ISBLANK($C$7)),NOT(ISBLANK($C$8))))</formula>
    </cfRule>
    <cfRule type="expression" dxfId="86" priority="6">
      <formula>OR(NOT(ISBLANK($C$7)),NOT(ISBLANK($C$8)))</formula>
    </cfRule>
  </conditionalFormatting>
  <conditionalFormatting sqref="C7:C8">
    <cfRule type="expression" dxfId="85" priority="3">
      <formula>AND(NOT(ISBLANK($C$10)),OR(NOT(ISBLANK($C$7)),NOT(ISBLANK($C$8))))</formula>
    </cfRule>
    <cfRule type="expression" dxfId="84" priority="4">
      <formula>NOT(ISBLANK($C$10))</formula>
    </cfRule>
  </conditionalFormatting>
  <conditionalFormatting sqref="C7">
    <cfRule type="expression" dxfId="83" priority="1">
      <formula>AND(ISBLANK($C$7),NOT(ISBLANK($C$8)))</formula>
    </cfRule>
  </conditionalFormatting>
  <conditionalFormatting sqref="C8">
    <cfRule type="expression" dxfId="82" priority="2">
      <formula>AND(ISBLANK($C$8),NOT(ISBLANK($C$7)))</formula>
    </cfRule>
  </conditionalFormatting>
  <dataValidations count="3">
    <dataValidation type="date" operator="greaterThanOrEqual" allowBlank="1" showInputMessage="1" showErrorMessage="1" sqref="C10 C14" xr:uid="{C12F0DA4-87A7-43E0-804D-27A11DFE29FA}">
      <formula1>TODAY()</formula1>
    </dataValidation>
    <dataValidation type="date" operator="greaterThan" allowBlank="1" showInputMessage="1" showErrorMessage="1" sqref="C7" xr:uid="{810E63B4-EA6C-4CBE-97DF-70B569D351DF}">
      <formula1>367</formula1>
    </dataValidation>
    <dataValidation type="whole" operator="greaterThan" allowBlank="1" showInputMessage="1" showErrorMessage="1" sqref="C8" xr:uid="{4C6B9C16-6BC0-4B38-94A3-827E380D6055}">
      <formula1>0</formula1>
    </dataValidation>
  </dataValidations>
  <pageMargins left="0.25" right="0.25" top="0.75" bottom="0.75" header="0.3" footer="0.3"/>
  <pageSetup paperSize="9" scale="51"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CalculatorBridging">
    <pageSetUpPr fitToPage="1"/>
  </sheetPr>
  <dimension ref="A1:AZ37"/>
  <sheetViews>
    <sheetView showGridLines="0" showRowColHeaders="0" zoomScaleNormal="100" workbookViewId="0">
      <selection activeCell="D11" sqref="D11"/>
    </sheetView>
  </sheetViews>
  <sheetFormatPr defaultColWidth="10.453125" defaultRowHeight="15" customHeight="1" x14ac:dyDescent="0.25"/>
  <cols>
    <col min="1" max="2" width="2.81640625" customWidth="1"/>
    <col min="3" max="3" width="11.81640625" customWidth="1"/>
    <col min="4" max="4" width="17.1796875" customWidth="1"/>
    <col min="5" max="5" width="2.81640625" customWidth="1"/>
    <col min="6" max="6" width="17.1796875" customWidth="1"/>
    <col min="7" max="8" width="2.81640625" customWidth="1"/>
    <col min="9" max="9" width="28.81640625" customWidth="1"/>
    <col min="10" max="10" width="2.26953125" customWidth="1"/>
    <col min="11" max="11" width="17.1796875" customWidth="1"/>
    <col min="12" max="13" width="2.81640625" customWidth="1"/>
    <col min="14" max="14" width="31.1796875" customWidth="1"/>
    <col min="15" max="15" width="2.26953125" customWidth="1"/>
    <col min="16" max="16" width="17.1796875" customWidth="1"/>
    <col min="17" max="18" width="2.81640625" customWidth="1"/>
    <col min="19" max="19" width="35.1796875" customWidth="1"/>
    <col min="20" max="22" width="2.81640625" customWidth="1"/>
    <col min="23" max="23" width="40" hidden="1" customWidth="1"/>
    <col min="24" max="24" width="14.26953125" hidden="1" customWidth="1"/>
    <col min="25" max="25" width="15.1796875" hidden="1" customWidth="1"/>
    <col min="26" max="26" width="5.1796875" hidden="1" customWidth="1"/>
    <col min="27" max="27" width="10.453125" hidden="1" customWidth="1"/>
    <col min="28" max="28" width="18.1796875" hidden="1" customWidth="1"/>
    <col min="29" max="29" width="22" hidden="1" customWidth="1"/>
    <col min="30" max="31" width="13.1796875" hidden="1" customWidth="1"/>
    <col min="32" max="35" width="22" hidden="1" customWidth="1"/>
    <col min="36" max="52" width="10.453125" hidden="1" customWidth="1"/>
    <col min="53" max="55" width="10.453125" customWidth="1"/>
  </cols>
  <sheetData>
    <row r="1" spans="1:35" ht="15" customHeight="1" x14ac:dyDescent="0.35">
      <c r="T1" s="8"/>
      <c r="U1" s="8"/>
      <c r="V1" s="8"/>
      <c r="W1" s="8"/>
      <c r="X1" s="8"/>
      <c r="Y1" s="41"/>
      <c r="Z1" s="41"/>
      <c r="AA1" s="8"/>
      <c r="AB1" s="8"/>
      <c r="AC1" s="8"/>
      <c r="AD1" s="8"/>
      <c r="AE1" s="8"/>
      <c r="AF1" s="8"/>
      <c r="AG1" s="8"/>
      <c r="AH1" s="8"/>
      <c r="AI1" s="8"/>
    </row>
    <row r="2" spans="1:35" ht="15" customHeight="1" x14ac:dyDescent="0.25">
      <c r="T2" s="8"/>
      <c r="U2" s="8"/>
      <c r="V2" s="8"/>
      <c r="W2" s="8"/>
      <c r="X2" s="8"/>
      <c r="AA2" s="8"/>
      <c r="AB2" s="8"/>
      <c r="AC2" s="8"/>
      <c r="AD2" s="8"/>
      <c r="AE2" s="8"/>
      <c r="AF2" s="8"/>
      <c r="AG2" s="8"/>
      <c r="AH2" s="8"/>
      <c r="AI2" s="8"/>
    </row>
    <row r="3" spans="1:35" ht="15" customHeight="1" x14ac:dyDescent="0.25">
      <c r="T3" s="8"/>
      <c r="U3" s="8"/>
      <c r="V3" s="8"/>
      <c r="W3" s="723"/>
      <c r="X3" s="8"/>
      <c r="AA3" s="8"/>
      <c r="AB3" t="s">
        <v>1294</v>
      </c>
      <c r="AC3" s="733">
        <f ca="1">IF(ISBLANK(SCASubmissionDate),TODAY(),SCASubmissionDate)</f>
        <v>45714</v>
      </c>
      <c r="AD3" t="s">
        <v>1295</v>
      </c>
      <c r="AE3" s="25">
        <f ca="1">_xlfn.DAYS(EDATE(AC3,12),AC3)</f>
        <v>365</v>
      </c>
    </row>
    <row r="4" spans="1:35" ht="15" customHeight="1" x14ac:dyDescent="0.25">
      <c r="T4" s="8"/>
      <c r="U4" s="8"/>
      <c r="V4" s="8"/>
      <c r="W4" s="8"/>
      <c r="X4" s="8"/>
      <c r="AA4" s="8"/>
      <c r="AB4" t="s">
        <v>1296</v>
      </c>
      <c r="AC4" s="53">
        <f>BLCBridgingLoanMonthlyFee</f>
        <v>0</v>
      </c>
    </row>
    <row r="5" spans="1:35" ht="22.5" customHeight="1" x14ac:dyDescent="0.25">
      <c r="A5" s="749"/>
      <c r="B5" s="224" t="s">
        <v>1314</v>
      </c>
      <c r="C5" s="224"/>
      <c r="D5" s="224"/>
      <c r="E5" s="224"/>
      <c r="F5" s="224"/>
      <c r="G5" s="224"/>
      <c r="H5" s="224"/>
      <c r="I5" s="224"/>
      <c r="J5" s="750"/>
      <c r="K5" s="156"/>
      <c r="L5" s="156"/>
      <c r="M5" s="156"/>
      <c r="N5" s="156"/>
      <c r="O5" s="750"/>
      <c r="P5" s="156"/>
      <c r="Q5" s="156"/>
      <c r="R5" s="156"/>
      <c r="S5" s="156"/>
      <c r="T5" s="156"/>
      <c r="U5" s="156"/>
    </row>
    <row r="6" spans="1:35" ht="7.5" customHeight="1" x14ac:dyDescent="0.25">
      <c r="T6" s="8"/>
      <c r="U6" s="8"/>
      <c r="V6" s="8"/>
      <c r="W6" s="8"/>
      <c r="X6" s="8"/>
      <c r="AA6" s="8"/>
      <c r="AC6" s="53"/>
    </row>
    <row r="7" spans="1:35" ht="22.5" customHeight="1" x14ac:dyDescent="0.35">
      <c r="A7" s="40"/>
      <c r="B7" s="523" t="s">
        <v>797</v>
      </c>
      <c r="C7" s="501"/>
      <c r="D7" s="501"/>
      <c r="E7" s="501"/>
      <c r="F7" s="501"/>
      <c r="G7" s="502"/>
      <c r="H7" s="524" t="s">
        <v>1105</v>
      </c>
      <c r="I7" s="503"/>
      <c r="J7" s="503"/>
      <c r="K7" s="503"/>
      <c r="L7" s="504"/>
      <c r="M7" s="525" t="s">
        <v>1120</v>
      </c>
      <c r="N7" s="505"/>
      <c r="O7" s="505"/>
      <c r="P7" s="505"/>
      <c r="Q7" s="505"/>
      <c r="R7" s="986" t="s">
        <v>1496</v>
      </c>
      <c r="S7" s="987"/>
      <c r="T7" s="988"/>
      <c r="U7" s="42"/>
      <c r="V7" s="42"/>
      <c r="W7" s="41"/>
      <c r="X7" s="41"/>
      <c r="Y7" s="41"/>
      <c r="Z7" s="41"/>
      <c r="AA7" s="41"/>
      <c r="AB7" t="s">
        <v>1297</v>
      </c>
      <c r="AC7" t="s">
        <v>1298</v>
      </c>
      <c r="AD7" t="s">
        <v>189</v>
      </c>
      <c r="AE7" t="s">
        <v>1299</v>
      </c>
      <c r="AF7" t="s">
        <v>1300</v>
      </c>
      <c r="AG7" t="s">
        <v>1301</v>
      </c>
      <c r="AH7" t="s">
        <v>1302</v>
      </c>
      <c r="AI7" t="s">
        <v>1303</v>
      </c>
    </row>
    <row r="8" spans="1:35" ht="3.75" customHeight="1" x14ac:dyDescent="0.35">
      <c r="A8" s="40"/>
      <c r="B8" s="517"/>
      <c r="C8" s="659"/>
      <c r="D8" s="659"/>
      <c r="E8" s="659"/>
      <c r="F8" s="659"/>
      <c r="G8" s="519"/>
      <c r="H8" s="461"/>
      <c r="I8" s="498"/>
      <c r="J8" s="498"/>
      <c r="K8" s="498"/>
      <c r="L8" s="710"/>
      <c r="M8" s="517"/>
      <c r="N8" s="659"/>
      <c r="O8" s="498"/>
      <c r="P8" s="659"/>
      <c r="Q8" s="660"/>
      <c r="R8" s="719"/>
      <c r="S8" s="177"/>
      <c r="T8" s="980"/>
      <c r="U8" s="42"/>
      <c r="V8" s="42"/>
      <c r="W8" s="668" t="s">
        <v>809</v>
      </c>
      <c r="X8" s="41"/>
      <c r="Y8" s="79"/>
      <c r="Z8" s="79"/>
      <c r="AA8" s="41"/>
      <c r="AB8" s="25">
        <v>1</v>
      </c>
      <c r="AC8" s="53">
        <f>BLCBridgingLoanAmount</f>
        <v>0</v>
      </c>
      <c r="AD8" s="735">
        <f t="shared" ref="AD8:AD19" si="0">IF(AB8&lt;=$K$25,BLCBridgingLoanRate+IF(AB8&gt;$X$33,$X$32,0),0)</f>
        <v>0</v>
      </c>
      <c r="AE8" s="735">
        <f t="shared" ref="AE8:AE19" ca="1" si="1">AD8/$AE$3</f>
        <v>0</v>
      </c>
      <c r="AF8" s="319">
        <f t="shared" ref="AF8:AF19" ca="1" si="2">EDATE($AC$3,AB8-1)</f>
        <v>45714</v>
      </c>
      <c r="AG8" s="319">
        <f t="shared" ref="AG8:AG19" ca="1" si="3">EDATE($AC$3,AB8)-1</f>
        <v>45741</v>
      </c>
      <c r="AH8" s="25">
        <f t="shared" ref="AH8:AH19" ca="1" si="4">_xlfn.DAYS(AG8,AF8)+1</f>
        <v>28</v>
      </c>
      <c r="AI8" s="508">
        <f t="shared" ref="AI8:AI19" ca="1" si="5">IF(SDVersionBrand="WBC",ROUNDDOWN(AC8*AE8*AH8,2),ROUND(AC8*AE8*AH8,2))</f>
        <v>0</v>
      </c>
    </row>
    <row r="9" spans="1:35" ht="18.75" customHeight="1" x14ac:dyDescent="0.35">
      <c r="A9" s="40"/>
      <c r="B9" s="512"/>
      <c r="C9" s="658" t="s">
        <v>1119</v>
      </c>
      <c r="D9" s="661"/>
      <c r="E9" s="661"/>
      <c r="F9" s="513"/>
      <c r="G9" s="521"/>
      <c r="H9" s="700"/>
      <c r="I9" s="500" t="s">
        <v>810</v>
      </c>
      <c r="J9" s="500"/>
      <c r="K9" s="499"/>
      <c r="L9" s="711"/>
      <c r="M9" s="512"/>
      <c r="N9" s="658" t="s">
        <v>1120</v>
      </c>
      <c r="O9" s="500"/>
      <c r="P9" s="513"/>
      <c r="Q9" s="662"/>
      <c r="R9" s="715"/>
      <c r="T9" s="981"/>
      <c r="U9" s="42"/>
      <c r="V9" s="42"/>
      <c r="W9" s="669" t="s">
        <v>820</v>
      </c>
      <c r="Y9" s="79">
        <f>SUMIF($F$25:$F$29,$W9,$D$25:$D$29)</f>
        <v>0</v>
      </c>
      <c r="Z9" s="79"/>
      <c r="AA9" s="41"/>
      <c r="AB9" s="25">
        <v>2</v>
      </c>
      <c r="AC9" s="53">
        <f ca="1">AC8+AI8+$AC$4</f>
        <v>0</v>
      </c>
      <c r="AD9" s="735">
        <f t="shared" si="0"/>
        <v>0</v>
      </c>
      <c r="AE9" s="735">
        <f t="shared" ca="1" si="1"/>
        <v>0</v>
      </c>
      <c r="AF9" s="319">
        <f t="shared" ca="1" si="2"/>
        <v>45742</v>
      </c>
      <c r="AG9" s="319">
        <f t="shared" ca="1" si="3"/>
        <v>45772</v>
      </c>
      <c r="AH9" s="25">
        <f t="shared" ca="1" si="4"/>
        <v>31</v>
      </c>
      <c r="AI9" s="508">
        <f t="shared" ca="1" si="5"/>
        <v>0</v>
      </c>
    </row>
    <row r="10" spans="1:35" ht="18.75" customHeight="1" x14ac:dyDescent="0.35">
      <c r="A10" s="40"/>
      <c r="B10" s="512"/>
      <c r="C10" s="513"/>
      <c r="D10" s="667" t="s">
        <v>806</v>
      </c>
      <c r="E10" s="513"/>
      <c r="F10" s="667" t="s">
        <v>801</v>
      </c>
      <c r="G10" s="521"/>
      <c r="H10" s="700"/>
      <c r="L10" s="456"/>
      <c r="M10" s="512"/>
      <c r="N10" s="417" t="s">
        <v>1495</v>
      </c>
      <c r="O10" s="198"/>
      <c r="P10" s="1292">
        <f>MAX(0,K16-K20)</f>
        <v>0</v>
      </c>
      <c r="Q10" s="521"/>
      <c r="R10" s="715"/>
      <c r="S10" s="1519" t="str">
        <f>IF(OR(ISBLANK(K24),ISBLANK(K11),K11=0),"",IF(P12+P10&gt;K16,"* Additional new loan exceeds the total funds required.",""))</f>
        <v/>
      </c>
      <c r="T10" s="981"/>
      <c r="U10" s="42"/>
      <c r="V10" s="42"/>
      <c r="W10" s="669" t="s">
        <v>821</v>
      </c>
      <c r="Y10" s="79">
        <f>SUMIF($F$25:$F$29,$W10,$D$25:$D$29)</f>
        <v>0</v>
      </c>
      <c r="Z10" s="44"/>
      <c r="AA10" s="41"/>
      <c r="AB10" s="25">
        <v>3</v>
      </c>
      <c r="AC10" s="53">
        <f ca="1">AC9+AI9+$AC$4</f>
        <v>0</v>
      </c>
      <c r="AD10" s="735">
        <f t="shared" si="0"/>
        <v>0</v>
      </c>
      <c r="AE10" s="735">
        <f t="shared" ca="1" si="1"/>
        <v>0</v>
      </c>
      <c r="AF10" s="319">
        <f t="shared" ca="1" si="2"/>
        <v>45773</v>
      </c>
      <c r="AG10" s="319">
        <f t="shared" ca="1" si="3"/>
        <v>45802</v>
      </c>
      <c r="AH10" s="25">
        <f t="shared" ca="1" si="4"/>
        <v>30</v>
      </c>
      <c r="AI10" s="508">
        <f t="shared" ca="1" si="5"/>
        <v>0</v>
      </c>
    </row>
    <row r="11" spans="1:35" ht="18.75" customHeight="1" x14ac:dyDescent="0.35">
      <c r="A11" s="40"/>
      <c r="B11" s="512"/>
      <c r="C11" s="693" t="s">
        <v>1113</v>
      </c>
      <c r="D11" s="1288"/>
      <c r="E11" s="131"/>
      <c r="F11" s="736"/>
      <c r="G11" s="521"/>
      <c r="H11" s="700"/>
      <c r="I11" s="417" t="s">
        <v>281</v>
      </c>
      <c r="J11" s="198"/>
      <c r="K11" s="1289"/>
      <c r="L11" s="456"/>
      <c r="M11" s="512"/>
      <c r="N11" s="979" t="s">
        <v>1497</v>
      </c>
      <c r="O11" s="681"/>
      <c r="P11" s="41"/>
      <c r="Q11" s="521"/>
      <c r="R11" s="715"/>
      <c r="S11" s="1520"/>
      <c r="T11" s="981"/>
      <c r="U11" s="42"/>
      <c r="V11" s="42"/>
      <c r="W11" s="669" t="s">
        <v>822</v>
      </c>
      <c r="Y11" s="79">
        <f>SUMIF($F$25:$F$29,$W11,$D$25:$D$29)</f>
        <v>0</v>
      </c>
      <c r="Z11" s="41"/>
      <c r="AA11" s="41"/>
      <c r="AB11" s="25">
        <v>4</v>
      </c>
      <c r="AC11" s="53">
        <f t="shared" ref="AC11:AC20" ca="1" si="6">AC10+AI10+$AC$4</f>
        <v>0</v>
      </c>
      <c r="AD11" s="735">
        <f t="shared" si="0"/>
        <v>0</v>
      </c>
      <c r="AE11" s="735">
        <f t="shared" ca="1" si="1"/>
        <v>0</v>
      </c>
      <c r="AF11" s="319">
        <f t="shared" ca="1" si="2"/>
        <v>45803</v>
      </c>
      <c r="AG11" s="319">
        <f t="shared" ca="1" si="3"/>
        <v>45833</v>
      </c>
      <c r="AH11" s="25">
        <f t="shared" ca="1" si="4"/>
        <v>31</v>
      </c>
      <c r="AI11" s="508">
        <f t="shared" ca="1" si="5"/>
        <v>0</v>
      </c>
    </row>
    <row r="12" spans="1:35" ht="18.75" customHeight="1" x14ac:dyDescent="0.35">
      <c r="A12" s="40"/>
      <c r="B12" s="512"/>
      <c r="C12" s="693" t="s">
        <v>1114</v>
      </c>
      <c r="D12" s="1289"/>
      <c r="E12" s="131"/>
      <c r="F12" s="736"/>
      <c r="G12" s="521"/>
      <c r="H12" s="700"/>
      <c r="I12" s="417" t="s">
        <v>282</v>
      </c>
      <c r="J12" s="681" t="s">
        <v>945</v>
      </c>
      <c r="K12" s="1289"/>
      <c r="L12" s="456"/>
      <c r="M12" s="512"/>
      <c r="N12" s="417" t="s">
        <v>1494</v>
      </c>
      <c r="O12" s="681" t="s">
        <v>945</v>
      </c>
      <c r="P12" s="1289"/>
      <c r="Q12" s="521"/>
      <c r="R12" s="715"/>
      <c r="S12" s="1520"/>
      <c r="T12" s="981"/>
      <c r="U12" s="42"/>
      <c r="V12" s="42"/>
      <c r="W12" s="670" t="s">
        <v>843</v>
      </c>
      <c r="Y12" s="79">
        <f>SUMIF($F$25:$F$29,$W12,$D$25:$D$29)</f>
        <v>0</v>
      </c>
      <c r="AA12" s="41"/>
      <c r="AB12" s="25">
        <v>5</v>
      </c>
      <c r="AC12" s="53">
        <f t="shared" ca="1" si="6"/>
        <v>0</v>
      </c>
      <c r="AD12" s="735">
        <f t="shared" si="0"/>
        <v>0</v>
      </c>
      <c r="AE12" s="735">
        <f t="shared" ca="1" si="1"/>
        <v>0</v>
      </c>
      <c r="AF12" s="319">
        <f t="shared" ca="1" si="2"/>
        <v>45834</v>
      </c>
      <c r="AG12" s="319">
        <f t="shared" ca="1" si="3"/>
        <v>45863</v>
      </c>
      <c r="AH12" s="25">
        <f t="shared" ca="1" si="4"/>
        <v>30</v>
      </c>
      <c r="AI12" s="508">
        <f t="shared" ca="1" si="5"/>
        <v>0</v>
      </c>
    </row>
    <row r="13" spans="1:35" ht="18.75" customHeight="1" x14ac:dyDescent="0.35">
      <c r="A13" s="40"/>
      <c r="B13" s="512"/>
      <c r="C13" s="693" t="s">
        <v>1115</v>
      </c>
      <c r="D13" s="1289"/>
      <c r="E13" s="131"/>
      <c r="F13" s="736"/>
      <c r="G13" s="521"/>
      <c r="H13" s="700"/>
      <c r="I13" s="417" t="s">
        <v>1095</v>
      </c>
      <c r="J13" s="681" t="s">
        <v>945</v>
      </c>
      <c r="K13" s="1289"/>
      <c r="L13" s="712"/>
      <c r="M13" s="512"/>
      <c r="N13" s="979" t="s">
        <v>1493</v>
      </c>
      <c r="O13" s="681"/>
      <c r="P13" s="41"/>
      <c r="Q13" s="521"/>
      <c r="R13" s="715"/>
      <c r="S13" s="1520"/>
      <c r="T13" s="981"/>
      <c r="U13" s="42"/>
      <c r="V13" s="42"/>
      <c r="Y13" s="41"/>
      <c r="Z13" s="41"/>
      <c r="AA13" s="41"/>
      <c r="AB13" s="25">
        <v>6</v>
      </c>
      <c r="AC13" s="53">
        <f t="shared" ca="1" si="6"/>
        <v>0</v>
      </c>
      <c r="AD13" s="735">
        <f t="shared" si="0"/>
        <v>0</v>
      </c>
      <c r="AE13" s="735">
        <f t="shared" ca="1" si="1"/>
        <v>0</v>
      </c>
      <c r="AF13" s="319">
        <f t="shared" ca="1" si="2"/>
        <v>45864</v>
      </c>
      <c r="AG13" s="319">
        <f t="shared" ca="1" si="3"/>
        <v>45894</v>
      </c>
      <c r="AH13" s="25">
        <f t="shared" ca="1" si="4"/>
        <v>31</v>
      </c>
      <c r="AI13" s="508">
        <f t="shared" ca="1" si="5"/>
        <v>0</v>
      </c>
    </row>
    <row r="14" spans="1:35" ht="18.75" customHeight="1" x14ac:dyDescent="0.35">
      <c r="A14" s="41"/>
      <c r="B14" s="512"/>
      <c r="C14" s="693" t="s">
        <v>1116</v>
      </c>
      <c r="D14" s="1289"/>
      <c r="E14" s="131"/>
      <c r="F14" s="736"/>
      <c r="G14" s="521"/>
      <c r="H14" s="700"/>
      <c r="I14" s="693" t="s">
        <v>1125</v>
      </c>
      <c r="J14" s="681" t="s">
        <v>945</v>
      </c>
      <c r="K14" s="1292">
        <f>SUMIF(F25:F29,W9,D25:D29)</f>
        <v>0</v>
      </c>
      <c r="L14" s="456"/>
      <c r="M14" s="512"/>
      <c r="N14" s="522" t="s">
        <v>1492</v>
      </c>
      <c r="O14" s="681"/>
      <c r="P14" s="1292">
        <f>IF(K24="",0,MAX(0,P33-SUMIF(F25:F29,$W$12,D25:D29)-SUMIF(F25:F29,$W$11,D25:D29)))</f>
        <v>0</v>
      </c>
      <c r="Q14" s="521"/>
      <c r="R14" s="715"/>
      <c r="S14" s="1520"/>
      <c r="T14" s="981"/>
      <c r="U14" s="42"/>
      <c r="V14" s="42"/>
      <c r="W14" s="41"/>
      <c r="X14" s="41"/>
      <c r="Y14" s="41"/>
      <c r="Z14" s="41"/>
      <c r="AA14" s="41"/>
      <c r="AB14" s="25">
        <v>7</v>
      </c>
      <c r="AC14" s="53">
        <f t="shared" ca="1" si="6"/>
        <v>0</v>
      </c>
      <c r="AD14" s="735">
        <f t="shared" si="0"/>
        <v>0</v>
      </c>
      <c r="AE14" s="735">
        <f t="shared" ca="1" si="1"/>
        <v>0</v>
      </c>
      <c r="AF14" s="319">
        <f t="shared" ca="1" si="2"/>
        <v>45895</v>
      </c>
      <c r="AG14" s="319">
        <f t="shared" ca="1" si="3"/>
        <v>45925</v>
      </c>
      <c r="AH14" s="25">
        <f t="shared" ca="1" si="4"/>
        <v>31</v>
      </c>
      <c r="AI14" s="508">
        <f t="shared" ca="1" si="5"/>
        <v>0</v>
      </c>
    </row>
    <row r="15" spans="1:35" ht="18.75" customHeight="1" x14ac:dyDescent="0.35">
      <c r="A15" s="41"/>
      <c r="B15" s="512"/>
      <c r="C15" s="693" t="s">
        <v>1117</v>
      </c>
      <c r="D15" s="1289"/>
      <c r="E15" s="131"/>
      <c r="F15" s="736"/>
      <c r="G15" s="521"/>
      <c r="H15" s="700"/>
      <c r="I15" s="417" t="s">
        <v>283</v>
      </c>
      <c r="J15" s="681" t="s">
        <v>946</v>
      </c>
      <c r="K15" s="1289"/>
      <c r="L15" s="456"/>
      <c r="M15" s="512"/>
      <c r="N15" s="522" t="s">
        <v>1498</v>
      </c>
      <c r="O15" s="681" t="s">
        <v>945</v>
      </c>
      <c r="P15" s="1292">
        <f>SUMIF(F25:F29,$W$12,D25:D29)+SUMIF(F25:F29,$W$11,D25:D29)</f>
        <v>0</v>
      </c>
      <c r="Q15" s="521"/>
      <c r="R15" s="715"/>
      <c r="S15" s="1520"/>
      <c r="T15" s="981"/>
      <c r="U15" s="42"/>
      <c r="V15" s="42"/>
      <c r="W15" s="41"/>
      <c r="X15" s="41"/>
      <c r="Y15" s="41"/>
      <c r="Z15" s="41"/>
      <c r="AA15" s="41"/>
      <c r="AB15" s="25">
        <v>8</v>
      </c>
      <c r="AC15" s="53">
        <f t="shared" ca="1" si="6"/>
        <v>0</v>
      </c>
      <c r="AD15" s="735">
        <f t="shared" si="0"/>
        <v>0</v>
      </c>
      <c r="AE15" s="735">
        <f t="shared" ca="1" si="1"/>
        <v>0</v>
      </c>
      <c r="AF15" s="319">
        <f t="shared" ca="1" si="2"/>
        <v>45926</v>
      </c>
      <c r="AG15" s="319">
        <f t="shared" ca="1" si="3"/>
        <v>45955</v>
      </c>
      <c r="AH15" s="25">
        <f t="shared" ca="1" si="4"/>
        <v>30</v>
      </c>
      <c r="AI15" s="508">
        <f t="shared" ca="1" si="5"/>
        <v>0</v>
      </c>
    </row>
    <row r="16" spans="1:35" ht="18.75" customHeight="1" x14ac:dyDescent="0.35">
      <c r="A16" s="40"/>
      <c r="B16" s="512"/>
      <c r="C16" s="41"/>
      <c r="D16" s="41"/>
      <c r="E16" s="41"/>
      <c r="F16" s="41"/>
      <c r="G16" s="521"/>
      <c r="H16" s="700"/>
      <c r="I16" s="693" t="s">
        <v>1096</v>
      </c>
      <c r="J16" s="681"/>
      <c r="K16" s="1293">
        <f>SUM(K11:K14)-K15</f>
        <v>0</v>
      </c>
      <c r="L16" s="456"/>
      <c r="M16" s="512"/>
      <c r="N16" s="522" t="s">
        <v>1121</v>
      </c>
      <c r="O16" s="522"/>
      <c r="P16" s="1292">
        <f>IF(K24="",0,P33)</f>
        <v>0</v>
      </c>
      <c r="Q16" s="521"/>
      <c r="R16" s="715"/>
      <c r="S16" s="1521"/>
      <c r="T16" s="981"/>
      <c r="U16" s="42"/>
      <c r="V16" s="42"/>
      <c r="W16" s="41"/>
      <c r="X16" s="41"/>
      <c r="Y16" s="41"/>
      <c r="Z16" s="41"/>
      <c r="AA16" s="41"/>
      <c r="AB16" s="25">
        <v>9</v>
      </c>
      <c r="AC16" s="53">
        <f t="shared" ca="1" si="6"/>
        <v>0</v>
      </c>
      <c r="AD16" s="735">
        <f t="shared" si="0"/>
        <v>0</v>
      </c>
      <c r="AE16" s="735">
        <f t="shared" ca="1" si="1"/>
        <v>0</v>
      </c>
      <c r="AF16" s="319">
        <f t="shared" ca="1" si="2"/>
        <v>45956</v>
      </c>
      <c r="AG16" s="319">
        <f t="shared" ca="1" si="3"/>
        <v>45986</v>
      </c>
      <c r="AH16" s="25">
        <f t="shared" ca="1" si="4"/>
        <v>31</v>
      </c>
      <c r="AI16" s="508">
        <f t="shared" ca="1" si="5"/>
        <v>0</v>
      </c>
    </row>
    <row r="17" spans="1:35" ht="7.5" customHeight="1" x14ac:dyDescent="0.35">
      <c r="A17" s="40"/>
      <c r="B17" s="715"/>
      <c r="G17" s="716"/>
      <c r="H17" s="713"/>
      <c r="I17" s="273"/>
      <c r="J17" s="273"/>
      <c r="K17" s="273"/>
      <c r="L17" s="714"/>
      <c r="M17" s="713"/>
      <c r="N17" s="273"/>
      <c r="O17" s="273"/>
      <c r="P17" s="273"/>
      <c r="Q17" s="714"/>
      <c r="R17" s="715"/>
      <c r="T17" s="981"/>
      <c r="U17" s="42"/>
      <c r="V17" s="42"/>
      <c r="W17" s="41"/>
      <c r="X17" s="41"/>
      <c r="Y17" s="41"/>
      <c r="Z17" s="41"/>
      <c r="AA17" s="41"/>
      <c r="AB17" s="25">
        <v>10</v>
      </c>
      <c r="AC17" s="53">
        <f t="shared" ca="1" si="6"/>
        <v>0</v>
      </c>
      <c r="AD17" s="735">
        <f t="shared" si="0"/>
        <v>0</v>
      </c>
      <c r="AE17" s="735">
        <f t="shared" ca="1" si="1"/>
        <v>0</v>
      </c>
      <c r="AF17" s="319">
        <f t="shared" ca="1" si="2"/>
        <v>45987</v>
      </c>
      <c r="AG17" s="319">
        <f t="shared" ca="1" si="3"/>
        <v>46016</v>
      </c>
      <c r="AH17" s="25">
        <f t="shared" ca="1" si="4"/>
        <v>30</v>
      </c>
      <c r="AI17" s="508">
        <f t="shared" ca="1" si="5"/>
        <v>0</v>
      </c>
    </row>
    <row r="18" spans="1:35" ht="7.5" customHeight="1" x14ac:dyDescent="0.35">
      <c r="A18" s="40"/>
      <c r="B18" s="715"/>
      <c r="H18" s="719"/>
      <c r="I18" s="177"/>
      <c r="J18" s="177"/>
      <c r="K18" s="177"/>
      <c r="L18" s="177"/>
      <c r="M18" s="177"/>
      <c r="N18" s="177"/>
      <c r="O18" s="177"/>
      <c r="P18" s="177"/>
      <c r="Q18" s="720"/>
      <c r="R18" s="715"/>
      <c r="T18" s="981"/>
      <c r="U18" s="42"/>
      <c r="V18" s="42"/>
      <c r="W18" s="41"/>
      <c r="X18" s="41"/>
      <c r="Y18" s="41"/>
      <c r="Z18" s="41"/>
      <c r="AA18" s="41"/>
      <c r="AB18" s="25">
        <v>11</v>
      </c>
      <c r="AC18" s="53">
        <f t="shared" ca="1" si="6"/>
        <v>0</v>
      </c>
      <c r="AD18" s="735">
        <f t="shared" si="0"/>
        <v>0</v>
      </c>
      <c r="AE18" s="735">
        <f t="shared" ca="1" si="1"/>
        <v>0</v>
      </c>
      <c r="AF18" s="319">
        <f t="shared" ca="1" si="2"/>
        <v>46017</v>
      </c>
      <c r="AG18" s="319">
        <f t="shared" ca="1" si="3"/>
        <v>46047</v>
      </c>
      <c r="AH18" s="25">
        <f t="shared" ca="1" si="4"/>
        <v>31</v>
      </c>
      <c r="AI18" s="508">
        <f t="shared" ca="1" si="5"/>
        <v>0</v>
      </c>
    </row>
    <row r="19" spans="1:35" ht="18.75" customHeight="1" x14ac:dyDescent="0.35">
      <c r="A19" s="40"/>
      <c r="B19" s="512"/>
      <c r="C19" s="658" t="str">
        <f>IF(COUNTIF(F11:F13,"Yes")&gt;1,"Selling the old properties","Selling the old property")</f>
        <v>Selling the old property</v>
      </c>
      <c r="D19" s="661"/>
      <c r="E19" s="41"/>
      <c r="F19" s="41"/>
      <c r="G19" s="513"/>
      <c r="H19" s="700"/>
      <c r="I19" s="520" t="s">
        <v>1105</v>
      </c>
      <c r="J19" s="41"/>
      <c r="K19" s="41"/>
      <c r="L19" s="702"/>
      <c r="M19" s="513"/>
      <c r="N19" s="41"/>
      <c r="O19" s="41"/>
      <c r="P19" s="41"/>
      <c r="Q19" s="521"/>
      <c r="R19" s="715"/>
      <c r="T19" s="457"/>
      <c r="U19" s="44"/>
      <c r="V19" s="44"/>
      <c r="W19" s="671" t="s">
        <v>236</v>
      </c>
      <c r="X19" s="671" t="s">
        <v>235</v>
      </c>
      <c r="Y19" s="41"/>
      <c r="Z19" s="41"/>
      <c r="AA19" s="41"/>
      <c r="AB19" s="25">
        <v>12</v>
      </c>
      <c r="AC19" s="53">
        <f t="shared" ca="1" si="6"/>
        <v>0</v>
      </c>
      <c r="AD19" s="735">
        <f t="shared" si="0"/>
        <v>0</v>
      </c>
      <c r="AE19" s="735">
        <f t="shared" ca="1" si="1"/>
        <v>0</v>
      </c>
      <c r="AF19" s="319">
        <f t="shared" ca="1" si="2"/>
        <v>46048</v>
      </c>
      <c r="AG19" s="319">
        <f t="shared" ca="1" si="3"/>
        <v>46078</v>
      </c>
      <c r="AH19" s="25">
        <f t="shared" ca="1" si="4"/>
        <v>31</v>
      </c>
      <c r="AI19" s="508">
        <f t="shared" ca="1" si="5"/>
        <v>0</v>
      </c>
    </row>
    <row r="20" spans="1:35" ht="18.75" customHeight="1" x14ac:dyDescent="0.35">
      <c r="A20" s="40"/>
      <c r="B20" s="664"/>
      <c r="C20" s="522" t="s">
        <v>1109</v>
      </c>
      <c r="D20" s="1290">
        <f>SUMIF(F11:F15,"Yes",D11:D15)</f>
        <v>0</v>
      </c>
      <c r="E20" s="41"/>
      <c r="F20" s="41"/>
      <c r="G20" s="513"/>
      <c r="H20" s="700"/>
      <c r="I20" s="693" t="s">
        <v>1097</v>
      </c>
      <c r="J20" s="41"/>
      <c r="K20" s="1292">
        <f>(D20*X20)-SUMIF(F25:F29,$W$10,D25:D29)</f>
        <v>0</v>
      </c>
      <c r="L20" s="41"/>
      <c r="M20" s="513"/>
      <c r="N20" s="693" t="s">
        <v>1305</v>
      </c>
      <c r="O20" s="41"/>
      <c r="P20" s="1011"/>
      <c r="Q20" s="521"/>
      <c r="R20" s="715"/>
      <c r="S20" s="1726" t="str">
        <f>IF(OR(ISBLANK(K24),ISBLANK(K11),K11=0,K21=0),"",IF(AND(K35&lt;&gt;"",K35&gt;X23),W23,W22))</f>
        <v/>
      </c>
      <c r="T20" s="457"/>
      <c r="U20" s="44"/>
      <c r="V20" s="44"/>
      <c r="W20" s="672" t="s">
        <v>237</v>
      </c>
      <c r="X20" s="704">
        <v>0.85</v>
      </c>
      <c r="Y20" s="41"/>
      <c r="Z20" s="41"/>
      <c r="AA20" s="41"/>
      <c r="AB20" t="s">
        <v>1304</v>
      </c>
      <c r="AC20" s="734">
        <f t="shared" ca="1" si="6"/>
        <v>0</v>
      </c>
      <c r="AH20" s="25">
        <f ca="1">SUM(AH8:AH19)</f>
        <v>365</v>
      </c>
    </row>
    <row r="21" spans="1:35" ht="18.75" customHeight="1" x14ac:dyDescent="0.35">
      <c r="A21" s="40"/>
      <c r="B21" s="664"/>
      <c r="C21" s="41"/>
      <c r="D21" s="41"/>
      <c r="E21" s="41"/>
      <c r="F21" s="41"/>
      <c r="G21" s="513"/>
      <c r="H21" s="700"/>
      <c r="I21" s="693" t="s">
        <v>802</v>
      </c>
      <c r="J21" s="41"/>
      <c r="K21" s="1293">
        <f>MAX(0,MIN(K20,K16)-P12)</f>
        <v>0</v>
      </c>
      <c r="L21" s="41"/>
      <c r="M21" s="41"/>
      <c r="N21" s="41"/>
      <c r="O21" s="41"/>
      <c r="P21" s="41"/>
      <c r="Q21" s="709"/>
      <c r="R21" s="715"/>
      <c r="S21" s="1726"/>
      <c r="T21" s="457"/>
      <c r="U21" s="44"/>
      <c r="V21" s="44"/>
      <c r="W21" s="671" t="s">
        <v>234</v>
      </c>
      <c r="X21" s="671" t="s">
        <v>180</v>
      </c>
      <c r="Y21" s="41"/>
      <c r="Z21" s="41"/>
      <c r="AA21" s="41"/>
      <c r="AB21" s="41"/>
      <c r="AC21" s="41"/>
      <c r="AD21" s="41"/>
      <c r="AE21" s="41"/>
      <c r="AF21" s="41"/>
      <c r="AG21" s="41"/>
      <c r="AH21" s="41"/>
      <c r="AI21" s="41"/>
    </row>
    <row r="22" spans="1:35" ht="3.75" customHeight="1" x14ac:dyDescent="0.35">
      <c r="A22" s="40"/>
      <c r="B22" s="664"/>
      <c r="C22" s="41"/>
      <c r="D22" s="41"/>
      <c r="E22" s="41"/>
      <c r="F22" s="41"/>
      <c r="G22" s="513"/>
      <c r="H22" s="700"/>
      <c r="I22" s="689"/>
      <c r="J22" s="41"/>
      <c r="K22" s="691"/>
      <c r="L22" s="41"/>
      <c r="M22" s="513"/>
      <c r="N22" s="522"/>
      <c r="O22" s="41"/>
      <c r="P22" s="692"/>
      <c r="Q22" s="521"/>
      <c r="R22" s="715"/>
      <c r="S22" s="1726"/>
      <c r="T22" s="457"/>
      <c r="U22" s="44"/>
      <c r="V22" s="44"/>
      <c r="W22" s="672" t="s">
        <v>1098</v>
      </c>
      <c r="X22" s="673"/>
      <c r="Y22" s="41"/>
      <c r="Z22" s="41"/>
      <c r="AA22" s="41"/>
      <c r="AB22" s="41"/>
      <c r="AC22" s="41"/>
      <c r="AD22" s="41"/>
      <c r="AE22" s="41"/>
      <c r="AF22" s="41"/>
      <c r="AG22" s="41"/>
      <c r="AH22" s="41"/>
      <c r="AI22" s="41"/>
    </row>
    <row r="23" spans="1:35" ht="18.75" customHeight="1" x14ac:dyDescent="0.35">
      <c r="A23" s="40"/>
      <c r="B23" s="664"/>
      <c r="C23" s="665" t="s">
        <v>1118</v>
      </c>
      <c r="D23" s="666"/>
      <c r="E23" s="131"/>
      <c r="F23" s="665"/>
      <c r="G23" s="513"/>
      <c r="H23" s="700"/>
      <c r="I23" s="520" t="s">
        <v>807</v>
      </c>
      <c r="J23" s="41"/>
      <c r="K23" s="41"/>
      <c r="L23" s="41"/>
      <c r="M23" s="41"/>
      <c r="N23" s="993"/>
      <c r="O23" s="993"/>
      <c r="P23" s="993"/>
      <c r="Q23" s="521"/>
      <c r="R23" s="715"/>
      <c r="S23" s="1726"/>
      <c r="T23" s="457"/>
      <c r="U23" s="44"/>
      <c r="V23" s="44"/>
      <c r="W23" s="672" t="str">
        <f>"Deal is outside policy - maximum peak LVR " &amp; TEXT(X23,"0%")</f>
        <v>Deal is outside policy - maximum peak LVR 80%</v>
      </c>
      <c r="X23" s="705">
        <v>0.8</v>
      </c>
      <c r="Y23" s="41"/>
      <c r="Z23" s="41"/>
      <c r="AA23" s="41"/>
      <c r="AB23" s="41"/>
      <c r="AC23" s="41"/>
      <c r="AD23" s="41"/>
      <c r="AE23" s="41"/>
      <c r="AF23" s="41"/>
      <c r="AG23" s="41"/>
      <c r="AH23" s="41"/>
      <c r="AI23" s="41"/>
    </row>
    <row r="24" spans="1:35" ht="18.75" customHeight="1" x14ac:dyDescent="0.35">
      <c r="A24" s="40"/>
      <c r="B24" s="664"/>
      <c r="C24" s="666"/>
      <c r="D24" s="667" t="s">
        <v>808</v>
      </c>
      <c r="E24" s="513"/>
      <c r="F24" s="667" t="s">
        <v>809</v>
      </c>
      <c r="G24" s="513"/>
      <c r="H24" s="700"/>
      <c r="I24" s="693" t="s">
        <v>1106</v>
      </c>
      <c r="J24" s="41"/>
      <c r="K24" s="738"/>
      <c r="L24" s="41"/>
      <c r="M24" s="513"/>
      <c r="O24" s="41"/>
      <c r="Q24" s="521"/>
      <c r="R24" s="715"/>
      <c r="S24" s="41"/>
      <c r="T24" s="457"/>
      <c r="U24" s="44"/>
      <c r="V24" s="44"/>
      <c r="W24" s="446" t="s">
        <v>1077</v>
      </c>
      <c r="Z24" s="41"/>
      <c r="AA24" s="41"/>
      <c r="AB24" t="s">
        <v>1297</v>
      </c>
      <c r="AC24" t="s">
        <v>1298</v>
      </c>
      <c r="AD24" t="s">
        <v>189</v>
      </c>
      <c r="AE24" t="s">
        <v>1299</v>
      </c>
      <c r="AF24" t="s">
        <v>1300</v>
      </c>
      <c r="AG24" t="s">
        <v>1301</v>
      </c>
      <c r="AH24" t="s">
        <v>1302</v>
      </c>
      <c r="AI24" t="s">
        <v>1303</v>
      </c>
    </row>
    <row r="25" spans="1:35" ht="18.75" customHeight="1" x14ac:dyDescent="0.35">
      <c r="A25" s="40"/>
      <c r="B25" s="664"/>
      <c r="C25" s="693" t="s">
        <v>803</v>
      </c>
      <c r="D25" s="1289"/>
      <c r="E25" s="131"/>
      <c r="F25" s="737"/>
      <c r="G25" s="513"/>
      <c r="H25" s="700"/>
      <c r="I25" s="694" t="s">
        <v>1104</v>
      </c>
      <c r="J25" s="41"/>
      <c r="K25" s="739"/>
      <c r="L25" s="41"/>
      <c r="M25" s="513"/>
      <c r="N25" s="41"/>
      <c r="O25" s="41"/>
      <c r="P25" s="41"/>
      <c r="Q25" s="456"/>
      <c r="R25" s="715"/>
      <c r="S25" s="41"/>
      <c r="T25" s="456"/>
      <c r="U25" s="41"/>
      <c r="V25" s="41"/>
      <c r="W25" s="1" t="s">
        <v>1072</v>
      </c>
      <c r="X25" s="1" t="s">
        <v>1082</v>
      </c>
      <c r="Y25" s="1" t="s">
        <v>1083</v>
      </c>
      <c r="Z25" s="41"/>
      <c r="AA25" s="41"/>
      <c r="AB25" s="25">
        <v>1</v>
      </c>
      <c r="AC25" s="53">
        <f>BLCBridgingLoanAmount</f>
        <v>0</v>
      </c>
      <c r="AD25" s="735">
        <f t="shared" ref="AD25:AD36" si="7">BLCBridgingLoanRate+IF(AB25&gt;$X$33,$X$32,0)+$X$34</f>
        <v>0.01</v>
      </c>
      <c r="AE25" s="735">
        <f t="shared" ref="AE25:AE36" ca="1" si="8">AD25/$AE$3</f>
        <v>2.7397260273972603E-5</v>
      </c>
      <c r="AF25" s="319">
        <f t="shared" ref="AF25:AF36" ca="1" si="9">EDATE($AC$3,AB25-1)</f>
        <v>45714</v>
      </c>
      <c r="AG25" s="319">
        <f t="shared" ref="AG25:AG36" ca="1" si="10">EDATE($AC$3,AB25)-1</f>
        <v>45741</v>
      </c>
      <c r="AH25" s="25">
        <f t="shared" ref="AH25:AH36" ca="1" si="11">_xlfn.DAYS(AG25,AF25)+1</f>
        <v>28</v>
      </c>
      <c r="AI25" s="508">
        <f t="shared" ref="AI25:AI36" ca="1" si="12">IF(SDVersionBrand="WBC",ROUNDDOWN(AC25*AE25*AH25,2),ROUND(AC25*AE25*AH25,2))</f>
        <v>0</v>
      </c>
    </row>
    <row r="26" spans="1:35" ht="18.75" customHeight="1" x14ac:dyDescent="0.35">
      <c r="A26" s="40"/>
      <c r="B26" s="664"/>
      <c r="C26" s="693" t="s">
        <v>804</v>
      </c>
      <c r="D26" s="1289"/>
      <c r="E26" s="131"/>
      <c r="F26" s="737"/>
      <c r="G26" s="513"/>
      <c r="H26" s="700"/>
      <c r="I26" s="694" t="s">
        <v>1086</v>
      </c>
      <c r="J26" s="41"/>
      <c r="K26" s="1292" t="str">
        <f>IF(ISBLANK(K24),"Enter rate",IF(ISBLANK(K25),"Enter term",$AC$20-$K$21))</f>
        <v>Enter rate</v>
      </c>
      <c r="L26" s="41"/>
      <c r="M26" s="695" t="s">
        <v>1307</v>
      </c>
      <c r="N26" s="657"/>
      <c r="O26" s="657"/>
      <c r="P26" s="657"/>
      <c r="Q26" s="521"/>
      <c r="R26" s="715"/>
      <c r="S26" s="8"/>
      <c r="T26" s="716"/>
      <c r="W26" s="1" t="s">
        <v>1073</v>
      </c>
      <c r="X26" s="57">
        <v>0.01</v>
      </c>
      <c r="Y26" s="57">
        <v>0.01</v>
      </c>
      <c r="Z26" s="8"/>
      <c r="AB26" s="25">
        <v>2</v>
      </c>
      <c r="AC26" s="53">
        <f t="shared" ref="AC26:AC37" ca="1" si="13">AC25+AI25+$AC$4</f>
        <v>0</v>
      </c>
      <c r="AD26" s="735">
        <f t="shared" si="7"/>
        <v>0.01</v>
      </c>
      <c r="AE26" s="735">
        <f t="shared" ca="1" si="8"/>
        <v>2.7397260273972603E-5</v>
      </c>
      <c r="AF26" s="319">
        <f t="shared" ca="1" si="9"/>
        <v>45742</v>
      </c>
      <c r="AG26" s="319">
        <f t="shared" ca="1" si="10"/>
        <v>45772</v>
      </c>
      <c r="AH26" s="25">
        <f t="shared" ca="1" si="11"/>
        <v>31</v>
      </c>
      <c r="AI26" s="508">
        <f t="shared" ca="1" si="12"/>
        <v>0</v>
      </c>
    </row>
    <row r="27" spans="1:35" ht="18.75" customHeight="1" x14ac:dyDescent="0.35">
      <c r="A27" s="40"/>
      <c r="B27" s="664"/>
      <c r="C27" s="693" t="s">
        <v>805</v>
      </c>
      <c r="D27" s="1289"/>
      <c r="E27" s="131"/>
      <c r="F27" s="737"/>
      <c r="G27" s="513"/>
      <c r="H27" s="700"/>
      <c r="I27" s="8"/>
      <c r="J27" s="8"/>
      <c r="K27" s="8"/>
      <c r="L27" s="41"/>
      <c r="M27" s="513"/>
      <c r="O27" s="8"/>
      <c r="Q27" s="521"/>
      <c r="R27" s="715"/>
      <c r="T27" s="456"/>
      <c r="U27" s="41"/>
      <c r="V27" s="41"/>
      <c r="W27" s="1" t="s">
        <v>1074</v>
      </c>
      <c r="X27" s="649">
        <v>0</v>
      </c>
      <c r="Y27" s="57">
        <v>0.01</v>
      </c>
      <c r="AA27" s="41"/>
      <c r="AB27" s="25">
        <v>3</v>
      </c>
      <c r="AC27" s="53">
        <f t="shared" ca="1" si="13"/>
        <v>0</v>
      </c>
      <c r="AD27" s="735">
        <f t="shared" si="7"/>
        <v>0.01</v>
      </c>
      <c r="AE27" s="735">
        <f t="shared" ca="1" si="8"/>
        <v>2.7397260273972603E-5</v>
      </c>
      <c r="AF27" s="319">
        <f t="shared" ca="1" si="9"/>
        <v>45773</v>
      </c>
      <c r="AG27" s="319">
        <f t="shared" ca="1" si="10"/>
        <v>45802</v>
      </c>
      <c r="AH27" s="25">
        <f t="shared" ca="1" si="11"/>
        <v>30</v>
      </c>
      <c r="AI27" s="508">
        <f t="shared" ca="1" si="12"/>
        <v>0</v>
      </c>
    </row>
    <row r="28" spans="1:35" ht="18.75" customHeight="1" x14ac:dyDescent="0.35">
      <c r="A28" s="40"/>
      <c r="B28" s="664"/>
      <c r="C28" s="693" t="s">
        <v>1107</v>
      </c>
      <c r="D28" s="1289"/>
      <c r="E28" s="131"/>
      <c r="F28" s="737"/>
      <c r="G28" s="513"/>
      <c r="H28" s="700"/>
      <c r="I28" s="693" t="s">
        <v>1084</v>
      </c>
      <c r="J28" s="41"/>
      <c r="K28" s="690" t="str">
        <f>IF(ISBLANK(K24),"Enter rate          ",K24+X34)</f>
        <v xml:space="preserve">Enter rate          </v>
      </c>
      <c r="L28" s="41"/>
      <c r="M28" s="1724" t="s">
        <v>1308</v>
      </c>
      <c r="N28" s="1724"/>
      <c r="O28" s="1724"/>
      <c r="P28" s="1724"/>
      <c r="Q28" s="521"/>
      <c r="R28" s="715"/>
      <c r="T28" s="456"/>
      <c r="U28" s="41"/>
      <c r="V28" s="41"/>
      <c r="W28" s="1" t="s">
        <v>1075</v>
      </c>
      <c r="X28" s="649">
        <v>0</v>
      </c>
      <c r="Y28" s="57">
        <v>0.01</v>
      </c>
      <c r="Z28" s="1"/>
      <c r="AA28" s="41"/>
      <c r="AB28" s="25">
        <v>4</v>
      </c>
      <c r="AC28" s="53">
        <f t="shared" ca="1" si="13"/>
        <v>0</v>
      </c>
      <c r="AD28" s="735">
        <f t="shared" si="7"/>
        <v>0.02</v>
      </c>
      <c r="AE28" s="735">
        <f t="shared" ca="1" si="8"/>
        <v>5.4794520547945207E-5</v>
      </c>
      <c r="AF28" s="319">
        <f t="shared" ca="1" si="9"/>
        <v>45803</v>
      </c>
      <c r="AG28" s="319">
        <f t="shared" ca="1" si="10"/>
        <v>45833</v>
      </c>
      <c r="AH28" s="25">
        <f t="shared" ca="1" si="11"/>
        <v>31</v>
      </c>
      <c r="AI28" s="508">
        <f t="shared" ca="1" si="12"/>
        <v>0</v>
      </c>
    </row>
    <row r="29" spans="1:35" ht="18.75" customHeight="1" x14ac:dyDescent="0.35">
      <c r="A29" s="40"/>
      <c r="B29" s="664"/>
      <c r="C29" s="693" t="s">
        <v>1108</v>
      </c>
      <c r="D29" s="1289"/>
      <c r="E29" s="131"/>
      <c r="F29" s="737"/>
      <c r="G29" s="513"/>
      <c r="H29" s="700"/>
      <c r="I29" s="693" t="s">
        <v>1087</v>
      </c>
      <c r="J29" s="41"/>
      <c r="K29" s="1292" t="str">
        <f>IF(ISBLANK(K24),"Enter rate",$AC$37-$K$21)</f>
        <v>Enter rate</v>
      </c>
      <c r="L29" s="41"/>
      <c r="M29" s="1725"/>
      <c r="N29" s="1725"/>
      <c r="O29" s="1725"/>
      <c r="P29" s="1725"/>
      <c r="Q29" s="521"/>
      <c r="R29" s="715"/>
      <c r="S29" s="41"/>
      <c r="T29" s="456"/>
      <c r="U29" s="41"/>
      <c r="V29" s="41"/>
      <c r="W29" s="1" t="s">
        <v>1076</v>
      </c>
      <c r="X29" s="649">
        <v>0</v>
      </c>
      <c r="Y29" s="57">
        <v>0.01</v>
      </c>
      <c r="Z29" s="57"/>
      <c r="AA29" s="41"/>
      <c r="AB29" s="25">
        <v>5</v>
      </c>
      <c r="AC29" s="53">
        <f t="shared" ca="1" si="13"/>
        <v>0</v>
      </c>
      <c r="AD29" s="735">
        <f t="shared" si="7"/>
        <v>0.02</v>
      </c>
      <c r="AE29" s="735">
        <f t="shared" ca="1" si="8"/>
        <v>5.4794520547945207E-5</v>
      </c>
      <c r="AF29" s="319">
        <f t="shared" ca="1" si="9"/>
        <v>45834</v>
      </c>
      <c r="AG29" s="319">
        <f t="shared" ca="1" si="10"/>
        <v>45863</v>
      </c>
      <c r="AH29" s="25">
        <f t="shared" ca="1" si="11"/>
        <v>30</v>
      </c>
      <c r="AI29" s="508">
        <f t="shared" ca="1" si="12"/>
        <v>0</v>
      </c>
    </row>
    <row r="30" spans="1:35" ht="7.5" customHeight="1" x14ac:dyDescent="0.35">
      <c r="A30" s="40"/>
      <c r="B30" s="717"/>
      <c r="C30" s="703"/>
      <c r="D30" s="721"/>
      <c r="E30" s="718"/>
      <c r="F30" s="722"/>
      <c r="G30" s="515"/>
      <c r="H30" s="458"/>
      <c r="I30" s="701"/>
      <c r="J30" s="459"/>
      <c r="K30" s="273"/>
      <c r="L30" s="273"/>
      <c r="M30" s="273"/>
      <c r="N30" s="273"/>
      <c r="O30" s="459"/>
      <c r="P30" s="273"/>
      <c r="Q30" s="516"/>
      <c r="R30" s="700"/>
      <c r="S30" s="8"/>
      <c r="T30" s="982"/>
      <c r="U30" s="8"/>
      <c r="V30" s="8"/>
      <c r="W30" s="8"/>
      <c r="X30" s="8"/>
      <c r="Y30" s="8"/>
      <c r="Z30" s="57"/>
      <c r="AA30" s="8"/>
      <c r="AB30" s="25">
        <v>6</v>
      </c>
      <c r="AC30" s="53">
        <f t="shared" ca="1" si="13"/>
        <v>0</v>
      </c>
      <c r="AD30" s="735">
        <f t="shared" si="7"/>
        <v>0.02</v>
      </c>
      <c r="AE30" s="735">
        <f t="shared" ca="1" si="8"/>
        <v>5.4794520547945207E-5</v>
      </c>
      <c r="AF30" s="319">
        <f t="shared" ca="1" si="9"/>
        <v>45864</v>
      </c>
      <c r="AG30" s="319">
        <f t="shared" ca="1" si="10"/>
        <v>45894</v>
      </c>
      <c r="AH30" s="25">
        <f t="shared" ca="1" si="11"/>
        <v>31</v>
      </c>
      <c r="AI30" s="508">
        <f t="shared" ca="1" si="12"/>
        <v>0</v>
      </c>
    </row>
    <row r="31" spans="1:35" ht="3.75" customHeight="1" x14ac:dyDescent="0.35">
      <c r="A31" s="41"/>
      <c r="B31" s="517"/>
      <c r="C31" s="696"/>
      <c r="D31" s="177"/>
      <c r="E31" s="697"/>
      <c r="F31" s="696"/>
      <c r="G31" s="519"/>
      <c r="H31" s="698"/>
      <c r="I31" s="177"/>
      <c r="J31" s="177"/>
      <c r="K31" s="177"/>
      <c r="L31" s="699"/>
      <c r="M31" s="518"/>
      <c r="N31" s="696"/>
      <c r="O31" s="177"/>
      <c r="P31" s="177"/>
      <c r="Q31" s="519"/>
      <c r="R31" s="363"/>
      <c r="S31" s="8"/>
      <c r="T31" s="982"/>
      <c r="U31" s="8"/>
      <c r="V31" s="8"/>
      <c r="W31" s="8"/>
      <c r="X31" s="8"/>
      <c r="Y31" s="8"/>
      <c r="Z31" s="57"/>
      <c r="AA31" s="8"/>
      <c r="AB31" s="25">
        <v>7</v>
      </c>
      <c r="AC31" s="53">
        <f t="shared" ca="1" si="13"/>
        <v>0</v>
      </c>
      <c r="AD31" s="735">
        <f t="shared" si="7"/>
        <v>0.02</v>
      </c>
      <c r="AE31" s="735">
        <f t="shared" ca="1" si="8"/>
        <v>5.4794520547945207E-5</v>
      </c>
      <c r="AF31" s="319">
        <f t="shared" ca="1" si="9"/>
        <v>45895</v>
      </c>
      <c r="AG31" s="319">
        <f t="shared" ca="1" si="10"/>
        <v>45925</v>
      </c>
      <c r="AH31" s="25">
        <f t="shared" ca="1" si="11"/>
        <v>31</v>
      </c>
      <c r="AI31" s="508">
        <f t="shared" ca="1" si="12"/>
        <v>0</v>
      </c>
    </row>
    <row r="32" spans="1:35" ht="18.75" customHeight="1" x14ac:dyDescent="0.35">
      <c r="A32" s="41"/>
      <c r="B32" s="512"/>
      <c r="C32" s="665" t="s">
        <v>1110</v>
      </c>
      <c r="E32" s="131"/>
      <c r="F32" s="511"/>
      <c r="G32" s="521"/>
      <c r="H32" s="41"/>
      <c r="I32" s="665" t="s">
        <v>1111</v>
      </c>
      <c r="L32" s="457"/>
      <c r="M32" s="513"/>
      <c r="N32" s="665" t="s">
        <v>1112</v>
      </c>
      <c r="Q32" s="521"/>
      <c r="R32" s="363"/>
      <c r="S32" s="8"/>
      <c r="T32" s="982"/>
      <c r="U32" s="8"/>
      <c r="V32" s="8"/>
      <c r="W32" s="266" t="s">
        <v>798</v>
      </c>
      <c r="X32" s="707">
        <f>IFERROR(VLOOKUP(SDVersionBrand,BLCICAPRateBuffers[],2,FALSE),0)</f>
        <v>0.01</v>
      </c>
      <c r="Y32" s="8"/>
      <c r="Z32" s="57"/>
      <c r="AA32" s="8"/>
      <c r="AB32" s="25">
        <v>8</v>
      </c>
      <c r="AC32" s="53">
        <f t="shared" ca="1" si="13"/>
        <v>0</v>
      </c>
      <c r="AD32" s="735">
        <f t="shared" si="7"/>
        <v>0.02</v>
      </c>
      <c r="AE32" s="735">
        <f t="shared" ca="1" si="8"/>
        <v>5.4794520547945207E-5</v>
      </c>
      <c r="AF32" s="319">
        <f t="shared" ca="1" si="9"/>
        <v>45926</v>
      </c>
      <c r="AG32" s="319">
        <f t="shared" ca="1" si="10"/>
        <v>45955</v>
      </c>
      <c r="AH32" s="25">
        <f t="shared" ca="1" si="11"/>
        <v>30</v>
      </c>
      <c r="AI32" s="508">
        <f t="shared" ca="1" si="12"/>
        <v>0</v>
      </c>
    </row>
    <row r="33" spans="1:35" ht="18.75" customHeight="1" x14ac:dyDescent="0.35">
      <c r="A33" s="41"/>
      <c r="B33" s="512"/>
      <c r="C33" s="511" t="s">
        <v>276</v>
      </c>
      <c r="D33" s="8"/>
      <c r="E33" s="131"/>
      <c r="F33" s="1291">
        <f>SUM(D25:D29)</f>
        <v>0</v>
      </c>
      <c r="G33" s="521"/>
      <c r="H33" s="41"/>
      <c r="I33" s="274" t="s">
        <v>1085</v>
      </c>
      <c r="J33" s="274"/>
      <c r="K33" s="1291" t="str">
        <f>IFERROR(IF(ISBLANK(K24),"Enter rate",SUM(F33,K16,K29)-K14),0)</f>
        <v>Enter rate</v>
      </c>
      <c r="L33" s="457"/>
      <c r="M33" s="513"/>
      <c r="N33" s="511" t="s">
        <v>279</v>
      </c>
      <c r="O33" s="274"/>
      <c r="P33" s="1291" t="str">
        <f>IF(ISBLANK(K24),"Enter rate",MAX(IFERROR(K33-K21-K29-SUMIF($F$25:$F$29,$W$10,$D$25:$D$29),0),0))</f>
        <v>Enter rate</v>
      </c>
      <c r="Q33" s="521"/>
      <c r="R33" s="363"/>
      <c r="S33" s="1727" t="str">
        <f>IF(OR(ISBLANK(K24),ISBLANK(K11),K11=0,K21=0,P35=""),"",IF(P35&gt;80%,"Deal is outside policy - maximum end LVR 80%",""))</f>
        <v/>
      </c>
      <c r="T33" s="982"/>
      <c r="U33" s="8"/>
      <c r="V33" s="8"/>
      <c r="W33" s="266" t="s">
        <v>799</v>
      </c>
      <c r="X33" s="706">
        <v>3</v>
      </c>
      <c r="Y33" s="8"/>
      <c r="Z33" s="8"/>
      <c r="AA33" s="8"/>
      <c r="AB33" s="25">
        <v>9</v>
      </c>
      <c r="AC33" s="53">
        <f t="shared" ca="1" si="13"/>
        <v>0</v>
      </c>
      <c r="AD33" s="735">
        <f t="shared" si="7"/>
        <v>0.02</v>
      </c>
      <c r="AE33" s="735">
        <f t="shared" ca="1" si="8"/>
        <v>5.4794520547945207E-5</v>
      </c>
      <c r="AF33" s="319">
        <f t="shared" ca="1" si="9"/>
        <v>45956</v>
      </c>
      <c r="AG33" s="319">
        <f t="shared" ca="1" si="10"/>
        <v>45986</v>
      </c>
      <c r="AH33" s="25">
        <f t="shared" ca="1" si="11"/>
        <v>31</v>
      </c>
      <c r="AI33" s="508">
        <f t="shared" ca="1" si="12"/>
        <v>0</v>
      </c>
    </row>
    <row r="34" spans="1:35" ht="18.75" customHeight="1" x14ac:dyDescent="0.35">
      <c r="A34" s="41"/>
      <c r="B34" s="512"/>
      <c r="C34" s="511" t="s">
        <v>277</v>
      </c>
      <c r="D34" s="8"/>
      <c r="E34" s="131"/>
      <c r="F34" s="1291">
        <f>SUM(D11:D15)</f>
        <v>0</v>
      </c>
      <c r="G34" s="521"/>
      <c r="H34" s="41"/>
      <c r="I34" s="274" t="s">
        <v>278</v>
      </c>
      <c r="J34" s="274"/>
      <c r="K34" s="1291">
        <f>SUM(K11,F34)</f>
        <v>0</v>
      </c>
      <c r="L34" s="456"/>
      <c r="M34" s="513"/>
      <c r="N34" s="511" t="s">
        <v>280</v>
      </c>
      <c r="O34" s="274"/>
      <c r="P34" s="1291">
        <f>K11+SUMIF(F11:F15,"No",D11:D15)</f>
        <v>0</v>
      </c>
      <c r="Q34" s="521"/>
      <c r="R34" s="363"/>
      <c r="S34" s="1728"/>
      <c r="T34" s="982"/>
      <c r="U34" s="8"/>
      <c r="V34" s="8"/>
      <c r="W34" s="266" t="s">
        <v>1081</v>
      </c>
      <c r="X34" s="707">
        <f>IFERROR(VLOOKUP(SDVersionBrand,BLCICAPRateBuffers[],3,FALSE),0)</f>
        <v>0.01</v>
      </c>
      <c r="Y34" s="8"/>
      <c r="Z34" s="8"/>
      <c r="AA34" s="8"/>
      <c r="AB34" s="25">
        <v>10</v>
      </c>
      <c r="AC34" s="53">
        <f t="shared" ca="1" si="13"/>
        <v>0</v>
      </c>
      <c r="AD34" s="735">
        <f t="shared" si="7"/>
        <v>0.02</v>
      </c>
      <c r="AE34" s="735">
        <f t="shared" ca="1" si="8"/>
        <v>5.4794520547945207E-5</v>
      </c>
      <c r="AF34" s="319">
        <f t="shared" ca="1" si="9"/>
        <v>45987</v>
      </c>
      <c r="AG34" s="319">
        <f t="shared" ca="1" si="10"/>
        <v>46016</v>
      </c>
      <c r="AH34" s="25">
        <f t="shared" ca="1" si="11"/>
        <v>30</v>
      </c>
      <c r="AI34" s="508">
        <f t="shared" ca="1" si="12"/>
        <v>0</v>
      </c>
    </row>
    <row r="35" spans="1:35" ht="18.75" customHeight="1" x14ac:dyDescent="0.35">
      <c r="A35" s="41"/>
      <c r="B35" s="512"/>
      <c r="C35" s="511" t="s">
        <v>178</v>
      </c>
      <c r="D35" s="8"/>
      <c r="E35" s="131"/>
      <c r="F35" s="994" t="str">
        <f>IFERROR(ROUNDDOWN(F33/F34,4),"")</f>
        <v/>
      </c>
      <c r="G35" s="521"/>
      <c r="H35" s="41"/>
      <c r="I35" s="274" t="s">
        <v>180</v>
      </c>
      <c r="J35" s="274"/>
      <c r="K35" s="994" t="str">
        <f>IFERROR(ROUNDDOWN(K33/K34,4),"")</f>
        <v/>
      </c>
      <c r="L35" s="456"/>
      <c r="M35" s="513"/>
      <c r="N35" s="511" t="s">
        <v>181</v>
      </c>
      <c r="O35" s="274"/>
      <c r="P35" s="994" t="str">
        <f>IFERROR(ROUNDDOWN(P33/P34,4),"")</f>
        <v/>
      </c>
      <c r="Q35" s="521"/>
      <c r="R35" s="363"/>
      <c r="S35" s="1729"/>
      <c r="T35" s="982"/>
      <c r="U35" s="8"/>
      <c r="V35" s="8"/>
      <c r="W35" s="8"/>
      <c r="X35" s="8"/>
      <c r="Y35" s="8"/>
      <c r="Z35" s="8"/>
      <c r="AA35" s="8"/>
      <c r="AB35" s="25">
        <v>11</v>
      </c>
      <c r="AC35" s="53">
        <f t="shared" ca="1" si="13"/>
        <v>0</v>
      </c>
      <c r="AD35" s="735">
        <f t="shared" si="7"/>
        <v>0.02</v>
      </c>
      <c r="AE35" s="735">
        <f t="shared" ca="1" si="8"/>
        <v>5.4794520547945207E-5</v>
      </c>
      <c r="AF35" s="319">
        <f t="shared" ca="1" si="9"/>
        <v>46017</v>
      </c>
      <c r="AG35" s="319">
        <f t="shared" ca="1" si="10"/>
        <v>46047</v>
      </c>
      <c r="AH35" s="25">
        <f t="shared" ca="1" si="11"/>
        <v>31</v>
      </c>
      <c r="AI35" s="508">
        <f t="shared" ca="1" si="12"/>
        <v>0</v>
      </c>
    </row>
    <row r="36" spans="1:35" ht="7.5" customHeight="1" x14ac:dyDescent="0.35">
      <c r="A36" s="41"/>
      <c r="B36" s="514"/>
      <c r="C36" s="663"/>
      <c r="D36" s="515"/>
      <c r="E36" s="515"/>
      <c r="F36" s="663"/>
      <c r="G36" s="516"/>
      <c r="H36" s="458"/>
      <c r="I36" s="459"/>
      <c r="J36" s="459"/>
      <c r="K36" s="459"/>
      <c r="L36" s="460"/>
      <c r="M36" s="514"/>
      <c r="N36" s="515"/>
      <c r="O36" s="459"/>
      <c r="P36" s="515"/>
      <c r="Q36" s="516"/>
      <c r="R36" s="983"/>
      <c r="S36" s="984"/>
      <c r="T36" s="985"/>
      <c r="U36" s="8"/>
      <c r="V36" s="8"/>
      <c r="W36" s="8"/>
      <c r="X36" s="8"/>
      <c r="Y36" s="8"/>
      <c r="Z36" s="8"/>
      <c r="AA36" s="8"/>
      <c r="AB36" s="25">
        <v>12</v>
      </c>
      <c r="AC36" s="53">
        <f t="shared" ca="1" si="13"/>
        <v>0</v>
      </c>
      <c r="AD36" s="735">
        <f t="shared" si="7"/>
        <v>0.02</v>
      </c>
      <c r="AE36" s="735">
        <f t="shared" ca="1" si="8"/>
        <v>5.4794520547945207E-5</v>
      </c>
      <c r="AF36" s="319">
        <f t="shared" ca="1" si="9"/>
        <v>46048</v>
      </c>
      <c r="AG36" s="319">
        <f t="shared" ca="1" si="10"/>
        <v>46078</v>
      </c>
      <c r="AH36" s="25">
        <f t="shared" ca="1" si="11"/>
        <v>31</v>
      </c>
      <c r="AI36" s="508">
        <f t="shared" ca="1" si="12"/>
        <v>0</v>
      </c>
    </row>
    <row r="37" spans="1:35" ht="15" customHeight="1" x14ac:dyDescent="0.35">
      <c r="B37" s="41"/>
      <c r="C37" s="41"/>
      <c r="D37" s="45"/>
      <c r="E37" s="45"/>
      <c r="F37" s="41"/>
      <c r="G37" s="46"/>
      <c r="H37" s="43"/>
      <c r="I37" s="43"/>
      <c r="J37" s="43"/>
      <c r="K37" s="44"/>
      <c r="L37" s="41"/>
      <c r="M37" s="41"/>
      <c r="N37" s="41"/>
      <c r="O37" s="43"/>
      <c r="P37" s="41"/>
      <c r="Q37" s="41"/>
      <c r="R37" s="8"/>
      <c r="S37" s="8"/>
      <c r="T37" s="8"/>
      <c r="U37" s="8"/>
      <c r="V37" s="8"/>
      <c r="W37" s="8"/>
      <c r="X37" s="8"/>
      <c r="Y37" s="8"/>
      <c r="Z37" s="8"/>
      <c r="AA37" s="8"/>
      <c r="AB37" t="s">
        <v>1304</v>
      </c>
      <c r="AC37" s="734">
        <f t="shared" ca="1" si="13"/>
        <v>0</v>
      </c>
      <c r="AH37" s="25">
        <f ca="1">SUM(AH25:AH36)</f>
        <v>365</v>
      </c>
    </row>
  </sheetData>
  <sheetProtection algorithmName="SHA-512" hashValue="LnNrW0mg0MoOLZ3oYu1gk7cKQqF/rTN1hZeqo1CCX0AViwFTKh+q+CJpMc0FfDivdQ8QJsN18YgckozSd2w2Uw==" saltValue="uABxhWXBmsvAkXm3uB0f1w==" spinCount="100000" sheet="1" objects="1" scenarios="1" selectLockedCells="1"/>
  <dataConsolidate link="1"/>
  <mergeCells count="4">
    <mergeCell ref="M28:P29"/>
    <mergeCell ref="S10:S16"/>
    <mergeCell ref="S20:S23"/>
    <mergeCell ref="S33:S35"/>
  </mergeCells>
  <phoneticPr fontId="43" type="noConversion"/>
  <conditionalFormatting sqref="K24">
    <cfRule type="containsBlanks" dxfId="81" priority="15">
      <formula>LEN(TRIM(K24))=0</formula>
    </cfRule>
  </conditionalFormatting>
  <conditionalFormatting sqref="F11:F15 F25:F29">
    <cfRule type="expression" dxfId="80" priority="10">
      <formula>AND(NOT(ISBLANK($D11)),ISBLANK($F11))</formula>
    </cfRule>
  </conditionalFormatting>
  <conditionalFormatting sqref="K21">
    <cfRule type="expression" dxfId="79" priority="2143">
      <formula>AND($K$21&gt;0,$K$35&lt;&gt;"",$K$35&gt;$X$23)</formula>
    </cfRule>
  </conditionalFormatting>
  <conditionalFormatting sqref="P12">
    <cfRule type="expression" dxfId="78" priority="5">
      <formula>($P$10+$P$12)&gt;$K$16</formula>
    </cfRule>
  </conditionalFormatting>
  <conditionalFormatting sqref="S10:S16">
    <cfRule type="containsBlanks" dxfId="77" priority="2">
      <formula>LEN(TRIM(S10))=0</formula>
    </cfRule>
  </conditionalFormatting>
  <conditionalFormatting sqref="S20:S23">
    <cfRule type="cellIs" dxfId="76" priority="2137" operator="equal">
      <formula>$W$22</formula>
    </cfRule>
    <cfRule type="cellIs" dxfId="75" priority="2138" operator="equal">
      <formula>$W$23</formula>
    </cfRule>
  </conditionalFormatting>
  <conditionalFormatting sqref="S33:S35">
    <cfRule type="containsBlanks" dxfId="74" priority="1">
      <formula>LEN(TRIM(S33))=0</formula>
    </cfRule>
  </conditionalFormatting>
  <dataValidations count="4">
    <dataValidation type="whole" allowBlank="1" showInputMessage="1" showErrorMessage="1" errorTitle="Invalid bridging loan term" error="Please enter a valid loan term between 1 and 12 months" sqref="K25" xr:uid="{00000000-0002-0000-0200-000001000000}">
      <formula1>1</formula1>
      <formula2>12</formula2>
    </dataValidation>
    <dataValidation type="list" allowBlank="1" showInputMessage="1" showErrorMessage="1" sqref="F11:F15" xr:uid="{26F12BF8-C5C7-4C7E-8F48-D8DDF9567A69}">
      <formula1>"Yes,No"</formula1>
    </dataValidation>
    <dataValidation type="list" allowBlank="1" showInputMessage="1" showErrorMessage="1" sqref="F25:F29" xr:uid="{7C42B70C-5DC5-4330-85A4-50A4F0514AFD}">
      <formula1>INDIRECT("BLCCurrentLendingActionList[Action]")</formula1>
    </dataValidation>
    <dataValidation type="decimal" operator="greaterThanOrEqual" allowBlank="1" showInputMessage="1" showErrorMessage="1" errorTitle="Invalid Loan Amount" error="Please enter a valid loan amount greater than or equal to zero" sqref="P12" xr:uid="{1A763BB4-85A8-4968-A95C-914CA1BB139C}">
      <formula1>0</formula1>
    </dataValidation>
  </dataValidations>
  <pageMargins left="0.25" right="0.25" top="0.75" bottom="0.75" header="0.3" footer="0.3"/>
  <pageSetup paperSize="9" scale="47" orientation="portrait" r:id="rId1"/>
  <drawing r:id="rId2"/>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CalculatorGuarantee">
    <pageSetUpPr fitToPage="1"/>
  </sheetPr>
  <dimension ref="A1:T32"/>
  <sheetViews>
    <sheetView showGridLines="0" showRowColHeaders="0" zoomScaleNormal="100" workbookViewId="0">
      <selection activeCell="F8" sqref="F8"/>
    </sheetView>
  </sheetViews>
  <sheetFormatPr defaultColWidth="2.81640625" defaultRowHeight="16" customHeight="1" x14ac:dyDescent="0.25"/>
  <cols>
    <col min="1" max="1" width="2.81640625" customWidth="1"/>
    <col min="2" max="2" width="50.26953125" customWidth="1"/>
    <col min="3" max="3" width="2.81640625" customWidth="1"/>
    <col min="4" max="4" width="14.26953125" customWidth="1"/>
    <col min="5" max="5" width="2.81640625" customWidth="1"/>
    <col min="6" max="6" width="22.81640625" customWidth="1"/>
    <col min="7" max="9" width="2.81640625" customWidth="1"/>
    <col min="10" max="10" width="14.26953125" customWidth="1"/>
    <col min="11" max="11" width="2.81640625" customWidth="1"/>
    <col min="12" max="12" width="22.81640625" customWidth="1"/>
    <col min="13" max="14" width="2.81640625" customWidth="1"/>
    <col min="15" max="15" width="28.1796875" customWidth="1"/>
    <col min="16" max="16" width="19.1796875" customWidth="1"/>
    <col min="17" max="18" width="2.81640625" customWidth="1"/>
    <col min="19" max="19" width="2.81640625" hidden="1" customWidth="1"/>
    <col min="20" max="20" width="18.453125" hidden="1" customWidth="1"/>
    <col min="21" max="36" width="2.81640625" customWidth="1"/>
  </cols>
  <sheetData>
    <row r="1" spans="1:17" ht="15" customHeight="1" x14ac:dyDescent="0.25">
      <c r="A1" s="8"/>
      <c r="B1" s="8"/>
      <c r="C1" s="47"/>
      <c r="D1" s="47"/>
      <c r="E1" s="47"/>
      <c r="F1" s="47"/>
      <c r="G1" s="47"/>
      <c r="H1" s="47"/>
      <c r="I1" s="47"/>
      <c r="J1" s="48"/>
      <c r="K1" s="48"/>
      <c r="L1" s="48"/>
      <c r="M1" s="48"/>
      <c r="N1" s="48"/>
      <c r="O1" s="48"/>
    </row>
    <row r="2" spans="1:17" ht="15" customHeight="1" x14ac:dyDescent="0.25">
      <c r="A2" s="8"/>
      <c r="B2" s="8"/>
      <c r="C2" s="47"/>
      <c r="D2" s="47"/>
      <c r="E2" s="47"/>
      <c r="F2" s="47"/>
      <c r="G2" s="47"/>
      <c r="H2" s="47"/>
      <c r="I2" s="47"/>
      <c r="J2" s="48"/>
      <c r="K2" s="48"/>
      <c r="L2" s="48"/>
      <c r="M2" s="48"/>
      <c r="N2" s="48"/>
      <c r="O2" s="48"/>
    </row>
    <row r="3" spans="1:17" ht="15" customHeight="1" x14ac:dyDescent="0.25">
      <c r="A3" s="8"/>
      <c r="B3" s="8"/>
      <c r="C3" s="47"/>
      <c r="D3" s="47"/>
      <c r="E3" s="47"/>
      <c r="F3" s="47"/>
      <c r="G3" s="47"/>
      <c r="H3" s="47"/>
      <c r="I3" s="47"/>
      <c r="J3" s="48"/>
      <c r="K3" s="48"/>
      <c r="L3" s="48"/>
      <c r="M3" s="48"/>
      <c r="N3" s="48"/>
      <c r="O3" s="48"/>
    </row>
    <row r="4" spans="1:17" ht="15" customHeight="1" x14ac:dyDescent="0.25">
      <c r="A4" s="8"/>
      <c r="B4" s="8"/>
      <c r="C4" s="47"/>
      <c r="D4" s="47"/>
      <c r="E4" s="47"/>
      <c r="F4" s="47"/>
      <c r="G4" s="47"/>
      <c r="H4" s="47"/>
      <c r="I4" s="47"/>
      <c r="J4" s="48"/>
      <c r="K4" s="48"/>
      <c r="L4" s="48"/>
      <c r="M4" s="48"/>
      <c r="N4" s="48"/>
      <c r="O4" s="48"/>
    </row>
    <row r="5" spans="1:17" ht="22.5" customHeight="1" x14ac:dyDescent="0.25">
      <c r="A5" s="749"/>
      <c r="B5" s="224" t="s">
        <v>794</v>
      </c>
      <c r="C5" s="754"/>
      <c r="D5" s="754"/>
      <c r="E5" s="754"/>
      <c r="F5" s="754"/>
      <c r="G5" s="754"/>
      <c r="H5" s="755"/>
      <c r="I5" s="756"/>
      <c r="J5" s="756"/>
      <c r="K5" s="756"/>
      <c r="L5" s="756"/>
      <c r="M5" s="756"/>
      <c r="N5" s="756"/>
      <c r="O5" s="756"/>
      <c r="P5" s="756"/>
      <c r="Q5" s="756"/>
    </row>
    <row r="6" spans="1:17" ht="18.75" customHeight="1" x14ac:dyDescent="0.25">
      <c r="A6" s="93"/>
      <c r="B6" s="1079" t="s">
        <v>795</v>
      </c>
      <c r="C6" s="223"/>
      <c r="D6" s="223"/>
      <c r="E6" s="223"/>
      <c r="F6" s="223"/>
      <c r="G6" s="223"/>
      <c r="H6" s="94"/>
      <c r="I6" s="476"/>
      <c r="J6" s="476"/>
      <c r="K6" s="476"/>
      <c r="L6" s="476"/>
      <c r="M6" s="476"/>
      <c r="N6" s="476"/>
      <c r="O6" s="476"/>
      <c r="P6" s="476"/>
      <c r="Q6" s="476"/>
    </row>
    <row r="7" spans="1:17" ht="7.5" customHeight="1" x14ac:dyDescent="0.25">
      <c r="A7" s="95"/>
      <c r="B7" s="34"/>
      <c r="C7" s="96"/>
      <c r="D7" s="96"/>
      <c r="E7" s="96"/>
      <c r="F7" s="96"/>
      <c r="G7" s="96"/>
      <c r="H7" s="34"/>
      <c r="I7" s="96"/>
      <c r="J7" s="96"/>
      <c r="K7" s="96"/>
      <c r="L7" s="96"/>
      <c r="M7" s="96"/>
      <c r="N7" s="96"/>
      <c r="O7" s="96"/>
      <c r="P7" s="96"/>
    </row>
    <row r="8" spans="1:17" ht="18.75" customHeight="1" x14ac:dyDescent="0.25">
      <c r="A8" s="95"/>
      <c r="B8" s="455" t="s">
        <v>254</v>
      </c>
      <c r="C8" s="91"/>
      <c r="D8" s="91"/>
      <c r="E8" s="97"/>
      <c r="F8" s="1294"/>
      <c r="K8" s="97"/>
      <c r="L8" s="97"/>
      <c r="M8" s="34"/>
      <c r="N8" s="34"/>
      <c r="O8" s="34"/>
      <c r="P8" s="34"/>
    </row>
    <row r="9" spans="1:17" ht="7.5" customHeight="1" x14ac:dyDescent="0.35">
      <c r="A9" s="95"/>
      <c r="B9" s="98"/>
      <c r="C9" s="98"/>
      <c r="D9" s="98"/>
      <c r="E9" s="98"/>
      <c r="F9" s="92"/>
      <c r="K9" s="98"/>
      <c r="L9" s="98"/>
      <c r="M9" s="34"/>
      <c r="N9" s="34"/>
      <c r="O9" s="34"/>
      <c r="P9" s="34"/>
    </row>
    <row r="10" spans="1:17" ht="7.5" customHeight="1" x14ac:dyDescent="0.35">
      <c r="A10" s="95"/>
      <c r="B10" s="34"/>
      <c r="C10" s="477"/>
      <c r="D10" s="478"/>
      <c r="E10" s="479"/>
      <c r="F10" s="480"/>
      <c r="G10" s="481"/>
      <c r="H10" s="34"/>
      <c r="I10" s="477"/>
      <c r="J10" s="491"/>
      <c r="K10" s="479"/>
      <c r="L10" s="480"/>
      <c r="M10" s="492"/>
      <c r="N10" s="34"/>
      <c r="O10" s="34"/>
      <c r="P10" s="34"/>
    </row>
    <row r="11" spans="1:17" ht="15" customHeight="1" x14ac:dyDescent="0.25">
      <c r="A11" s="95"/>
      <c r="B11" s="34"/>
      <c r="C11" s="482"/>
      <c r="D11" s="455" t="s">
        <v>255</v>
      </c>
      <c r="E11" s="96"/>
      <c r="F11" s="96"/>
      <c r="G11" s="483"/>
      <c r="H11" s="34"/>
      <c r="I11" s="482"/>
      <c r="J11" s="455" t="s">
        <v>256</v>
      </c>
      <c r="K11" s="96"/>
      <c r="L11" s="96"/>
      <c r="M11" s="493"/>
      <c r="N11" s="34"/>
      <c r="O11" s="34"/>
      <c r="P11" s="34"/>
    </row>
    <row r="12" spans="1:17" ht="18.75" customHeight="1" x14ac:dyDescent="0.3">
      <c r="A12" s="95"/>
      <c r="B12" s="274" t="s">
        <v>257</v>
      </c>
      <c r="C12" s="484"/>
      <c r="D12" s="97"/>
      <c r="E12" s="99"/>
      <c r="F12" s="1295"/>
      <c r="G12" s="485"/>
      <c r="H12" s="34"/>
      <c r="I12" s="494"/>
      <c r="L12" s="1295"/>
      <c r="M12" s="493"/>
      <c r="N12" s="34"/>
      <c r="O12" s="34"/>
      <c r="P12" s="34"/>
    </row>
    <row r="13" spans="1:17" ht="18.75" customHeight="1" x14ac:dyDescent="0.25">
      <c r="A13" s="95"/>
      <c r="B13" s="274" t="s">
        <v>258</v>
      </c>
      <c r="C13" s="486"/>
      <c r="D13" s="475">
        <v>0.8</v>
      </c>
      <c r="E13" s="34"/>
      <c r="F13" s="1296">
        <f>F12*D13</f>
        <v>0</v>
      </c>
      <c r="G13" s="487"/>
      <c r="H13" s="34"/>
      <c r="I13" s="494"/>
      <c r="J13" s="475">
        <v>0.8</v>
      </c>
      <c r="L13" s="1297">
        <f>L12*J13</f>
        <v>0</v>
      </c>
      <c r="M13" s="493"/>
      <c r="N13" s="34"/>
      <c r="O13" s="34"/>
      <c r="P13" s="34"/>
    </row>
    <row r="14" spans="1:17" ht="18.75" customHeight="1" x14ac:dyDescent="0.25">
      <c r="A14" s="95"/>
      <c r="B14" s="274" t="s">
        <v>177</v>
      </c>
      <c r="C14" s="484"/>
      <c r="D14" s="97"/>
      <c r="E14" s="34"/>
      <c r="F14" s="1295"/>
      <c r="G14" s="487"/>
      <c r="H14" s="34"/>
      <c r="I14" s="494"/>
      <c r="L14" s="1295"/>
      <c r="M14" s="493"/>
      <c r="N14" s="34"/>
      <c r="O14" s="34"/>
      <c r="P14" s="34"/>
    </row>
    <row r="15" spans="1:17" ht="18.75" customHeight="1" x14ac:dyDescent="0.25">
      <c r="A15" s="95"/>
      <c r="B15" s="274" t="s">
        <v>259</v>
      </c>
      <c r="C15" s="484"/>
      <c r="D15" s="97"/>
      <c r="E15" s="34"/>
      <c r="F15" s="1296">
        <f>F13-F14</f>
        <v>0</v>
      </c>
      <c r="G15" s="487"/>
      <c r="H15" s="34"/>
      <c r="I15" s="494"/>
      <c r="L15" s="1297">
        <f>L13-L14</f>
        <v>0</v>
      </c>
      <c r="M15" s="493"/>
      <c r="N15" s="34"/>
      <c r="O15" s="34"/>
      <c r="P15" s="34"/>
    </row>
    <row r="16" spans="1:17" ht="7.5" customHeight="1" x14ac:dyDescent="0.25">
      <c r="A16" s="95"/>
      <c r="B16" s="37"/>
      <c r="C16" s="488"/>
      <c r="D16" s="489"/>
      <c r="E16" s="489"/>
      <c r="F16" s="489"/>
      <c r="G16" s="490"/>
      <c r="H16" s="34"/>
      <c r="I16" s="495"/>
      <c r="J16" s="496"/>
      <c r="K16" s="496"/>
      <c r="L16" s="496"/>
      <c r="M16" s="497"/>
    </row>
    <row r="17" spans="1:20" ht="7.5" customHeight="1" x14ac:dyDescent="0.25">
      <c r="A17" s="95"/>
      <c r="B17" s="37"/>
      <c r="C17" s="34"/>
      <c r="D17" s="34"/>
      <c r="E17" s="34"/>
      <c r="F17" s="34"/>
      <c r="G17" s="37"/>
      <c r="H17" s="34"/>
    </row>
    <row r="18" spans="1:20" ht="18.75" customHeight="1" x14ac:dyDescent="0.25">
      <c r="A18" s="93"/>
      <c r="B18" s="1079" t="s">
        <v>796</v>
      </c>
      <c r="C18" s="223"/>
      <c r="D18" s="223"/>
      <c r="E18" s="223"/>
      <c r="F18" s="223"/>
      <c r="G18" s="223"/>
      <c r="H18" s="94"/>
      <c r="I18" s="223"/>
      <c r="J18" s="476"/>
      <c r="K18" s="476"/>
      <c r="L18" s="476"/>
      <c r="M18" s="476"/>
      <c r="N18" s="476"/>
      <c r="O18" s="476"/>
      <c r="P18" s="476"/>
      <c r="Q18" s="476"/>
    </row>
    <row r="19" spans="1:20" ht="7.5" customHeight="1" x14ac:dyDescent="0.25">
      <c r="A19" s="101"/>
      <c r="B19" s="102"/>
      <c r="C19" s="102"/>
      <c r="D19" s="102"/>
      <c r="E19" s="102"/>
      <c r="F19" s="102"/>
      <c r="G19" s="102"/>
      <c r="H19" s="34"/>
      <c r="I19" s="103"/>
      <c r="J19" s="103"/>
      <c r="K19" s="103"/>
      <c r="L19" s="103"/>
      <c r="M19" s="103"/>
      <c r="N19" s="103"/>
      <c r="O19" s="103"/>
    </row>
    <row r="20" spans="1:20" ht="18.75" customHeight="1" x14ac:dyDescent="0.25">
      <c r="A20" s="95"/>
      <c r="B20" s="274" t="s">
        <v>260</v>
      </c>
      <c r="C20" s="34"/>
      <c r="D20" s="34"/>
      <c r="E20" s="96"/>
      <c r="F20" s="566" t="s">
        <v>1471</v>
      </c>
      <c r="G20" s="96"/>
      <c r="H20" s="34"/>
      <c r="T20" s="398" t="s">
        <v>1471</v>
      </c>
    </row>
    <row r="21" spans="1:20" ht="7.5" customHeight="1" x14ac:dyDescent="0.3">
      <c r="A21" s="95"/>
      <c r="B21" s="104"/>
      <c r="C21" s="104"/>
      <c r="D21" s="104"/>
      <c r="E21" s="99"/>
      <c r="F21" s="99"/>
      <c r="G21" s="99"/>
      <c r="H21" s="34"/>
      <c r="T21" s="398" t="s">
        <v>1472</v>
      </c>
    </row>
    <row r="22" spans="1:20" ht="18.75" customHeight="1" x14ac:dyDescent="0.3">
      <c r="A22" s="95"/>
      <c r="B22" s="274" t="str">
        <f>IF(FGCSecurityType="","",IF(FGCSecurityType="Residential property","Market value","Term deposit amount"))</f>
        <v>Market value</v>
      </c>
      <c r="C22" s="97"/>
      <c r="D22" s="97"/>
      <c r="E22" s="99"/>
      <c r="F22" s="1295"/>
      <c r="G22" s="99"/>
      <c r="H22" s="34"/>
    </row>
    <row r="23" spans="1:20" ht="18.75" customHeight="1" x14ac:dyDescent="0.25">
      <c r="A23" s="95"/>
      <c r="B23" s="274" t="s">
        <v>258</v>
      </c>
      <c r="C23" s="100"/>
      <c r="D23" s="475">
        <v>0.8</v>
      </c>
      <c r="E23" s="34"/>
      <c r="F23" s="1296">
        <f>IF(FGCSecurityType=0,0,IF(FGCSecurityType="Residential property",F22*D23,F22))</f>
        <v>0</v>
      </c>
      <c r="G23" s="105"/>
      <c r="H23" s="34"/>
      <c r="I23" s="34"/>
      <c r="J23" s="34"/>
      <c r="K23" s="34"/>
      <c r="L23" s="34"/>
    </row>
    <row r="24" spans="1:20" ht="18.75" customHeight="1" x14ac:dyDescent="0.25">
      <c r="A24" s="95"/>
      <c r="B24" s="274" t="s">
        <v>1469</v>
      </c>
      <c r="C24" s="97"/>
      <c r="D24" s="97"/>
      <c r="E24" s="34"/>
      <c r="F24" s="1295"/>
      <c r="G24" s="105"/>
      <c r="H24" s="1731" t="s">
        <v>1470</v>
      </c>
      <c r="I24" s="1732"/>
      <c r="J24" s="1732"/>
      <c r="K24" s="1732"/>
      <c r="L24" s="1732"/>
      <c r="M24" s="1732"/>
      <c r="N24" s="1732"/>
      <c r="O24" s="1732"/>
      <c r="P24" s="1732"/>
    </row>
    <row r="25" spans="1:20" ht="18.75" customHeight="1" x14ac:dyDescent="0.25">
      <c r="A25" s="95"/>
      <c r="B25" s="274" t="s">
        <v>1474</v>
      </c>
      <c r="C25" s="97"/>
      <c r="D25" s="97"/>
      <c r="E25" s="34"/>
      <c r="F25" s="1295"/>
      <c r="G25" s="105"/>
      <c r="H25" s="1733"/>
      <c r="I25" s="1733"/>
      <c r="J25" s="1733"/>
      <c r="K25" s="1733"/>
      <c r="L25" s="1733"/>
      <c r="M25" s="1733"/>
      <c r="N25" s="1733"/>
      <c r="O25" s="1733"/>
      <c r="P25" s="1733"/>
    </row>
    <row r="26" spans="1:20" ht="7.5" customHeight="1" x14ac:dyDescent="0.25">
      <c r="A26" s="95"/>
      <c r="B26" s="37"/>
      <c r="C26" s="34"/>
      <c r="D26" s="34"/>
      <c r="E26" s="34"/>
      <c r="F26" s="34"/>
      <c r="G26" s="37"/>
      <c r="H26" s="34"/>
    </row>
    <row r="27" spans="1:20" ht="18.75" customHeight="1" x14ac:dyDescent="0.25">
      <c r="A27" s="95"/>
      <c r="B27" s="274" t="s">
        <v>259</v>
      </c>
      <c r="C27" s="97"/>
      <c r="D27" s="97"/>
      <c r="E27" s="34"/>
      <c r="F27" s="1296">
        <f>IF(FGCSecurityType=0,0,IF(FGCSecurityType="Residential property",F23-F24-(F25*120%),F23))</f>
        <v>0</v>
      </c>
      <c r="G27" s="105"/>
      <c r="H27" s="963" t="str">
        <f>IFERROR(IF(F27&lt;F32,"Insufficient equity available",""),"")</f>
        <v/>
      </c>
      <c r="I27" s="962"/>
      <c r="J27" s="962"/>
      <c r="K27" s="962"/>
      <c r="L27" s="962"/>
      <c r="M27" s="962"/>
      <c r="N27" s="962"/>
      <c r="O27" s="962"/>
    </row>
    <row r="28" spans="1:20" ht="7.5" customHeight="1" x14ac:dyDescent="0.25">
      <c r="A28" s="95"/>
      <c r="B28" s="37"/>
      <c r="C28" s="34"/>
      <c r="D28" s="34"/>
      <c r="E28" s="34"/>
      <c r="F28" s="34"/>
      <c r="G28" s="37"/>
      <c r="H28" s="34"/>
    </row>
    <row r="29" spans="1:20" ht="18.75" customHeight="1" x14ac:dyDescent="0.25">
      <c r="A29" s="94"/>
      <c r="B29" s="1079" t="s">
        <v>1473</v>
      </c>
      <c r="C29" s="223"/>
      <c r="D29" s="223"/>
      <c r="E29" s="223"/>
      <c r="F29" s="223"/>
      <c r="G29" s="223"/>
      <c r="H29" s="94"/>
      <c r="I29" s="223"/>
      <c r="J29" s="476"/>
      <c r="K29" s="476"/>
      <c r="L29" s="476"/>
      <c r="M29" s="476"/>
      <c r="N29" s="476"/>
      <c r="O29" s="476"/>
      <c r="P29" s="476"/>
      <c r="Q29" s="476"/>
    </row>
    <row r="30" spans="1:20" ht="7.5" customHeight="1" x14ac:dyDescent="0.25">
      <c r="A30" s="101"/>
      <c r="B30" s="102"/>
      <c r="C30" s="102"/>
      <c r="D30" s="102"/>
      <c r="E30" s="102"/>
      <c r="F30" s="102"/>
      <c r="G30" s="102"/>
      <c r="H30" s="34"/>
      <c r="I30" s="103"/>
      <c r="J30" s="103"/>
      <c r="K30" s="103"/>
      <c r="L30" s="103"/>
      <c r="M30" s="103"/>
      <c r="N30" s="103"/>
      <c r="O30" s="103"/>
    </row>
    <row r="31" spans="1:20" ht="18.75" customHeight="1" x14ac:dyDescent="0.25">
      <c r="A31" s="95"/>
      <c r="B31" s="274" t="s">
        <v>275</v>
      </c>
      <c r="C31" s="274"/>
      <c r="D31" s="274"/>
      <c r="E31" s="97"/>
      <c r="F31" s="1296">
        <f>F15+L15</f>
        <v>0</v>
      </c>
      <c r="K31" s="97"/>
      <c r="L31" s="97"/>
      <c r="M31" s="34"/>
      <c r="N31" s="34"/>
      <c r="O31" s="34"/>
    </row>
    <row r="32" spans="1:20" ht="18.75" customHeight="1" x14ac:dyDescent="0.25">
      <c r="A32" s="95"/>
      <c r="B32" s="455" t="s">
        <v>261</v>
      </c>
      <c r="C32" s="455"/>
      <c r="D32" s="455"/>
      <c r="E32" s="97"/>
      <c r="F32" s="1296">
        <f>IF(FGCSecurityType="",0,IFERROR(ROUNDUP((F8-F31)/((F13+L13)/(F12+L12)),0),0))</f>
        <v>0</v>
      </c>
      <c r="H32" s="1730" t="str">
        <f>IF(FGCSecurityType="Residential property",IF((F22*50%)&lt;F32,"No single guarantee is to represent more than 50% of the value of the guarantor’s security",""),"")</f>
        <v/>
      </c>
      <c r="I32" s="1730"/>
      <c r="J32" s="1730"/>
      <c r="K32" s="1730"/>
      <c r="L32" s="1730"/>
      <c r="M32" s="1730"/>
      <c r="N32" s="1730"/>
      <c r="O32" s="1730"/>
    </row>
  </sheetData>
  <sheetProtection algorithmName="SHA-512" hashValue="d2N4+Jm34FGTkVr6xytfl6rfYOtrTW1QqQ/LnwNoG/pZsFosMpgeyKqSNAZda2sAAzv3+tNdfGdNxbOTIAGOkQ==" saltValue="VcSlAqrHQJP+FQsvyL69Pw==" spinCount="100000" sheet="1" objects="1" scenarios="1" selectLockedCells="1"/>
  <dataConsolidate link="1"/>
  <mergeCells count="2">
    <mergeCell ref="H32:O32"/>
    <mergeCell ref="H24:P25"/>
  </mergeCells>
  <conditionalFormatting sqref="B23:D25">
    <cfRule type="expression" dxfId="64" priority="7">
      <formula>$F$20&lt;&gt;"Residential Property"</formula>
    </cfRule>
  </conditionalFormatting>
  <conditionalFormatting sqref="H27:P27 H32:P32">
    <cfRule type="expression" dxfId="63" priority="6">
      <formula>$H27&lt;&gt;""</formula>
    </cfRule>
  </conditionalFormatting>
  <conditionalFormatting sqref="F24">
    <cfRule type="expression" dxfId="62" priority="4">
      <formula>$F$20&lt;&gt;"Residential Property"</formula>
    </cfRule>
  </conditionalFormatting>
  <conditionalFormatting sqref="H24:P25">
    <cfRule type="expression" dxfId="61" priority="2">
      <formula>OR($F$20="Term deposit",ISBLANK($F$25),$F$25=0)</formula>
    </cfRule>
  </conditionalFormatting>
  <conditionalFormatting sqref="F25">
    <cfRule type="expression" dxfId="60" priority="1">
      <formula>$F$20&lt;&gt;"Residential Property"</formula>
    </cfRule>
  </conditionalFormatting>
  <dataValidations count="1">
    <dataValidation type="list" allowBlank="1" showInputMessage="1" showErrorMessage="1" sqref="F20" xr:uid="{AB4BE3C7-C739-4DBC-B4D9-76472F71BFCB}">
      <formula1>IF(SDVersionBrand="WBC",FGCSecurityTypeListWBC,FGCSecurityTypeListRRB)</formula1>
    </dataValidation>
  </dataValidations>
  <pageMargins left="0.25" right="0.25" top="0.75" bottom="0.75" header="0.3" footer="0.3"/>
  <pageSetup paperSize="9" scale="50" orientation="portrait" r:id="rId1"/>
  <colBreaks count="1" manualBreakCount="1">
    <brk id="37" max="1048575" man="1"/>
  </col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DAFE3-98EA-4AB9-A17E-8267E9B27762}">
  <sheetPr codeName="shCalculatorSharedEquity">
    <pageSetUpPr fitToPage="1"/>
  </sheetPr>
  <dimension ref="A1:AC48"/>
  <sheetViews>
    <sheetView showGridLines="0" showRowColHeaders="0" zoomScaleNormal="100" workbookViewId="0">
      <selection activeCell="D8" sqref="D8"/>
    </sheetView>
  </sheetViews>
  <sheetFormatPr defaultRowHeight="12.5" x14ac:dyDescent="0.25"/>
  <cols>
    <col min="1" max="1" width="2.81640625" customWidth="1"/>
    <col min="2" max="2" width="61.453125" bestFit="1" customWidth="1"/>
    <col min="3" max="3" width="5.7265625" customWidth="1"/>
    <col min="4" max="4" width="18.54296875" customWidth="1"/>
    <col min="5" max="5" width="2.81640625" customWidth="1"/>
    <col min="6" max="6" width="18.54296875" customWidth="1"/>
    <col min="7" max="7" width="2.81640625" customWidth="1"/>
    <col min="8" max="8" width="18.54296875" customWidth="1"/>
    <col min="9" max="9" width="2.81640625" customWidth="1"/>
    <col min="10" max="10" width="18.54296875" customWidth="1"/>
    <col min="11" max="11" width="2.81640625" customWidth="1"/>
    <col min="12" max="12" width="18.54296875" customWidth="1"/>
    <col min="13" max="13" width="2.81640625" customWidth="1"/>
    <col min="14" max="14" width="18.54296875" customWidth="1"/>
    <col min="15" max="15" width="2.81640625" customWidth="1"/>
    <col min="16" max="16" width="18.54296875" customWidth="1"/>
    <col min="17" max="17" width="2.81640625" customWidth="1"/>
    <col min="18" max="18" width="9.1796875" customWidth="1"/>
    <col min="19" max="19" width="24" hidden="1" customWidth="1"/>
    <col min="20" max="25" width="17.81640625" hidden="1" customWidth="1"/>
    <col min="26" max="26" width="17.1796875" hidden="1" customWidth="1"/>
    <col min="27" max="27" width="17.1796875" customWidth="1"/>
    <col min="28" max="48" width="9.1796875" customWidth="1"/>
  </cols>
  <sheetData>
    <row r="1" spans="1:29" ht="15" customHeight="1" x14ac:dyDescent="0.25">
      <c r="A1" s="8"/>
      <c r="B1" s="8"/>
      <c r="C1" s="47"/>
      <c r="D1" s="47"/>
      <c r="E1" s="47"/>
      <c r="F1" s="47"/>
      <c r="G1" s="47"/>
      <c r="H1" s="47"/>
      <c r="I1" s="47"/>
      <c r="J1" s="48"/>
      <c r="K1" s="47"/>
      <c r="L1" s="48"/>
      <c r="M1" s="47"/>
      <c r="N1" s="48"/>
      <c r="O1" s="47"/>
    </row>
    <row r="2" spans="1:29" ht="15" customHeight="1" x14ac:dyDescent="0.25">
      <c r="A2" s="8"/>
      <c r="B2" s="8"/>
      <c r="C2" s="47"/>
      <c r="D2" s="47"/>
      <c r="E2" s="47"/>
      <c r="F2" s="47"/>
      <c r="G2" s="47"/>
      <c r="H2" s="47"/>
      <c r="I2" s="47"/>
      <c r="J2" s="48"/>
      <c r="K2" s="47"/>
      <c r="L2" s="48"/>
      <c r="M2" s="47"/>
      <c r="N2" s="48"/>
      <c r="O2" s="47"/>
    </row>
    <row r="3" spans="1:29" ht="15" customHeight="1" x14ac:dyDescent="0.25">
      <c r="A3" s="8"/>
      <c r="B3" s="8"/>
      <c r="C3" s="47"/>
      <c r="D3" s="47"/>
      <c r="E3" s="47"/>
      <c r="F3" s="47"/>
      <c r="G3" s="47"/>
      <c r="H3" s="47"/>
      <c r="I3" s="47"/>
      <c r="J3" s="48"/>
      <c r="K3" s="47"/>
      <c r="L3" s="48"/>
      <c r="M3" s="47"/>
      <c r="N3" s="48"/>
      <c r="O3" s="47"/>
    </row>
    <row r="4" spans="1:29" ht="15" customHeight="1" x14ac:dyDescent="0.25">
      <c r="A4" s="8"/>
      <c r="B4" s="8"/>
      <c r="C4" s="47"/>
      <c r="D4" s="47"/>
      <c r="E4" s="47"/>
      <c r="F4" s="47"/>
      <c r="G4" s="47"/>
      <c r="H4" s="47"/>
      <c r="I4" s="47"/>
      <c r="J4" s="48"/>
      <c r="K4" s="47"/>
      <c r="L4" s="48"/>
      <c r="M4" s="47"/>
      <c r="N4" s="48"/>
      <c r="O4" s="47"/>
    </row>
    <row r="5" spans="1:29" ht="22.5" customHeight="1" x14ac:dyDescent="0.25">
      <c r="A5" s="749"/>
      <c r="B5" s="224" t="s">
        <v>2382</v>
      </c>
      <c r="C5" s="754"/>
      <c r="D5" s="754"/>
      <c r="E5" s="754"/>
      <c r="F5" s="754"/>
      <c r="G5" s="754"/>
      <c r="H5" s="755"/>
      <c r="I5" s="754"/>
      <c r="J5" s="756"/>
      <c r="K5" s="754"/>
      <c r="L5" s="756"/>
      <c r="M5" s="754"/>
      <c r="N5" s="756"/>
      <c r="O5" s="754"/>
      <c r="P5" s="756"/>
      <c r="Q5" s="756"/>
    </row>
    <row r="6" spans="1:29" ht="18.75" customHeight="1" x14ac:dyDescent="0.25">
      <c r="A6" s="93"/>
      <c r="B6" s="1079" t="s">
        <v>2400</v>
      </c>
      <c r="C6" s="223"/>
      <c r="D6" s="223"/>
      <c r="E6" s="223"/>
      <c r="F6" s="223"/>
      <c r="G6" s="223"/>
      <c r="H6" s="94"/>
      <c r="I6" s="476"/>
      <c r="J6" s="476"/>
      <c r="K6" s="476"/>
      <c r="L6" s="476"/>
      <c r="M6" s="476"/>
      <c r="N6" s="476"/>
      <c r="O6" s="476"/>
      <c r="P6" s="476"/>
      <c r="Q6" s="476"/>
    </row>
    <row r="7" spans="1:29" ht="7.5" customHeight="1" x14ac:dyDescent="0.25"/>
    <row r="8" spans="1:29" ht="18.75" customHeight="1" x14ac:dyDescent="0.25">
      <c r="B8" s="889" t="s">
        <v>2398</v>
      </c>
      <c r="D8" s="873">
        <v>2</v>
      </c>
      <c r="F8" s="1734" t="str">
        <f>IF(NOT(T29),"Please complete all mandatory fields.",IF(NOT(T28),IF(T14&lt;&gt;1,"The total security collateral ownership must equal 100%.","The total liability ownership for each existing loan must equal 100%."),""))</f>
        <v>Please complete all mandatory fields.</v>
      </c>
      <c r="G8" s="1734"/>
      <c r="H8" s="1734"/>
      <c r="I8" s="1734"/>
      <c r="J8" s="1734"/>
    </row>
    <row r="9" spans="1:29" ht="18.75" customHeight="1" x14ac:dyDescent="0.25">
      <c r="B9" s="889" t="s">
        <v>2408</v>
      </c>
      <c r="D9" s="1399"/>
      <c r="F9" s="1735"/>
      <c r="G9" s="1735"/>
      <c r="H9" s="1735"/>
      <c r="I9" s="1735"/>
      <c r="J9" s="1735"/>
    </row>
    <row r="10" spans="1:29" ht="18.75" customHeight="1" x14ac:dyDescent="0.25">
      <c r="B10" s="889" t="s">
        <v>2401</v>
      </c>
      <c r="D10" s="1403">
        <v>0.8</v>
      </c>
      <c r="F10" s="1736"/>
      <c r="G10" s="1736"/>
      <c r="H10" s="1736"/>
      <c r="I10" s="1736"/>
      <c r="J10" s="1736"/>
    </row>
    <row r="11" spans="1:29" ht="18.75" customHeight="1" x14ac:dyDescent="0.25">
      <c r="B11" s="889" t="s">
        <v>2395</v>
      </c>
      <c r="D11" s="1400">
        <f>IFERROR(D9*D10,0)</f>
        <v>0</v>
      </c>
      <c r="F11" s="552">
        <v>1</v>
      </c>
      <c r="G11" s="552"/>
      <c r="H11" s="552">
        <v>2</v>
      </c>
      <c r="I11" s="552"/>
      <c r="J11" s="552">
        <v>3</v>
      </c>
      <c r="K11" s="552"/>
      <c r="L11" s="552">
        <v>4</v>
      </c>
      <c r="M11" s="552"/>
      <c r="N11" s="552">
        <v>5</v>
      </c>
      <c r="O11" s="552"/>
      <c r="P11" s="552">
        <v>6</v>
      </c>
    </row>
    <row r="12" spans="1:29" ht="18.75" customHeight="1" x14ac:dyDescent="0.25">
      <c r="B12" s="889"/>
      <c r="D12" s="1401"/>
      <c r="F12" s="1411" t="s">
        <v>33</v>
      </c>
      <c r="H12" s="1411" t="s">
        <v>34</v>
      </c>
      <c r="J12" s="1411" t="s">
        <v>35</v>
      </c>
      <c r="L12" s="1411" t="s">
        <v>36</v>
      </c>
      <c r="N12" s="1411" t="s">
        <v>37</v>
      </c>
      <c r="P12" s="1411" t="s">
        <v>38</v>
      </c>
    </row>
    <row r="13" spans="1:29" ht="18.75" customHeight="1" x14ac:dyDescent="0.25">
      <c r="B13" s="889" t="s">
        <v>2385</v>
      </c>
      <c r="D13" s="1401"/>
      <c r="F13" s="1006"/>
      <c r="H13" s="1006"/>
      <c r="J13" s="1426"/>
      <c r="L13" s="1426"/>
      <c r="N13" s="1426"/>
      <c r="P13" s="1426"/>
    </row>
    <row r="14" spans="1:29" ht="18.75" customHeight="1" x14ac:dyDescent="0.25">
      <c r="B14" s="889" t="s">
        <v>2403</v>
      </c>
      <c r="F14" s="1404"/>
      <c r="H14" s="1404"/>
      <c r="J14" s="1402"/>
      <c r="L14" s="1402"/>
      <c r="N14" s="1402"/>
      <c r="P14" s="1402"/>
      <c r="S14" s="1406" t="s">
        <v>2386</v>
      </c>
      <c r="T14" s="1407">
        <f>SUM(F14:P14)</f>
        <v>0</v>
      </c>
      <c r="U14" s="1409"/>
      <c r="V14" s="114"/>
      <c r="W14" s="114"/>
      <c r="X14" s="114"/>
      <c r="Y14" s="114"/>
      <c r="Z14" s="114"/>
      <c r="AA14" s="114"/>
      <c r="AB14" s="114"/>
      <c r="AC14" s="114"/>
    </row>
    <row r="15" spans="1:29" ht="18.75" customHeight="1" x14ac:dyDescent="0.25">
      <c r="B15" s="889" t="s">
        <v>2404</v>
      </c>
      <c r="D15" s="1401"/>
      <c r="F15" s="1400" t="str">
        <f>IF(F13="Borrower",$D$11*F14,"")</f>
        <v/>
      </c>
      <c r="H15" s="1400" t="str">
        <f>IF(H13="Borrower",$D$11*H14,"")</f>
        <v/>
      </c>
      <c r="J15" s="1400" t="str">
        <f>IF(J13="Borrower",$D$11*J14,"")</f>
        <v/>
      </c>
      <c r="L15" s="1400" t="str">
        <f>IF(L13="Borrower",$D$11*L14,"")</f>
        <v/>
      </c>
      <c r="N15" s="1400" t="str">
        <f>IF(N13="Borrower",$D$11*N14,"")</f>
        <v/>
      </c>
      <c r="P15" s="1400" t="str">
        <f>IF(P13="Borrower",$D$11*P14,"")</f>
        <v/>
      </c>
      <c r="S15" s="114"/>
      <c r="T15" s="114"/>
      <c r="U15" s="114"/>
      <c r="V15" s="114"/>
      <c r="W15" s="114"/>
      <c r="X15" s="114"/>
      <c r="Y15" s="114"/>
      <c r="Z15" s="114"/>
      <c r="AA15" s="114"/>
      <c r="AB15" s="114"/>
      <c r="AC15" s="114"/>
    </row>
    <row r="16" spans="1:29" ht="7.5" customHeight="1" x14ac:dyDescent="0.25">
      <c r="B16" s="889"/>
      <c r="D16" s="1401"/>
      <c r="S16" s="114"/>
      <c r="T16" s="114"/>
      <c r="U16" s="114"/>
      <c r="V16" s="114"/>
      <c r="W16" s="114"/>
      <c r="X16" s="114"/>
      <c r="Y16" s="114"/>
      <c r="Z16" s="114"/>
      <c r="AA16" s="114"/>
      <c r="AB16" s="114"/>
      <c r="AC16" s="114"/>
    </row>
    <row r="17" spans="1:29" ht="18.75" customHeight="1" x14ac:dyDescent="0.25">
      <c r="A17" s="93"/>
      <c r="B17" s="1079" t="s">
        <v>2399</v>
      </c>
      <c r="C17" s="223"/>
      <c r="D17" s="223"/>
      <c r="E17" s="223"/>
      <c r="F17" s="223"/>
      <c r="G17" s="223"/>
      <c r="H17" s="94"/>
      <c r="I17" s="476"/>
      <c r="J17" s="476"/>
      <c r="K17" s="476"/>
      <c r="L17" s="476"/>
      <c r="M17" s="476"/>
      <c r="N17" s="476"/>
      <c r="O17" s="476"/>
      <c r="P17" s="476"/>
      <c r="Q17" s="476"/>
    </row>
    <row r="18" spans="1:29" ht="7.5" customHeight="1" x14ac:dyDescent="0.25"/>
    <row r="19" spans="1:29" ht="18.75" customHeight="1" x14ac:dyDescent="0.25">
      <c r="B19" s="885" t="s">
        <v>2396</v>
      </c>
      <c r="D19" s="1401"/>
      <c r="F19" s="885" t="s">
        <v>2384</v>
      </c>
      <c r="H19" s="116"/>
      <c r="J19" s="116"/>
      <c r="L19" s="116"/>
      <c r="N19" s="116"/>
      <c r="P19" s="116"/>
      <c r="S19" s="114"/>
      <c r="T19" s="114"/>
      <c r="U19" s="114"/>
      <c r="AB19" s="114"/>
      <c r="AC19" s="114"/>
    </row>
    <row r="20" spans="1:29" ht="18.75" customHeight="1" x14ac:dyDescent="0.25">
      <c r="B20" s="871"/>
      <c r="D20" s="889" t="s">
        <v>2383</v>
      </c>
      <c r="F20" s="1411" t="s">
        <v>33</v>
      </c>
      <c r="H20" s="1411" t="s">
        <v>34</v>
      </c>
      <c r="J20" s="1411" t="s">
        <v>35</v>
      </c>
      <c r="L20" s="1411" t="s">
        <v>36</v>
      </c>
      <c r="N20" s="1411" t="s">
        <v>37</v>
      </c>
      <c r="P20" s="1411" t="s">
        <v>38</v>
      </c>
      <c r="S20" s="1408" t="s">
        <v>2386</v>
      </c>
      <c r="T20" s="1408" t="s">
        <v>811</v>
      </c>
      <c r="U20" s="1408" t="s">
        <v>2443</v>
      </c>
      <c r="AB20" s="114"/>
      <c r="AC20" s="114"/>
    </row>
    <row r="21" spans="1:29" ht="18.75" customHeight="1" x14ac:dyDescent="0.3">
      <c r="B21" s="1416" t="s">
        <v>803</v>
      </c>
      <c r="D21" s="1399"/>
      <c r="F21" s="1404"/>
      <c r="H21" s="1404"/>
      <c r="J21" s="1402"/>
      <c r="L21" s="1402"/>
      <c r="N21" s="1402"/>
      <c r="P21" s="1402"/>
      <c r="S21" s="1407">
        <f>SUM(F21:P21)</f>
        <v>0</v>
      </c>
      <c r="T21" s="1407" t="b">
        <f>IF(ISBLANK(D21),TRUE,OR(NOT(ISBLANK(F21)),NOT(ISBLANK(H21)),NOT(ISBLANK(J21)),NOT(ISBLANK(L21)),NOT(ISBLANK(N21)),NOT(ISBLANK(P21))))</f>
        <v>1</v>
      </c>
      <c r="U21" s="1407" t="b">
        <f>IF(ISBLANK(D21),TRUE,S21=1)</f>
        <v>1</v>
      </c>
      <c r="AB21" s="114"/>
      <c r="AC21" s="114"/>
    </row>
    <row r="22" spans="1:29" ht="18.75" customHeight="1" x14ac:dyDescent="0.3">
      <c r="B22" s="1416" t="s">
        <v>804</v>
      </c>
      <c r="D22" s="1399"/>
      <c r="F22" s="1404"/>
      <c r="H22" s="1404"/>
      <c r="J22" s="1402"/>
      <c r="L22" s="1402"/>
      <c r="N22" s="1402"/>
      <c r="P22" s="1402"/>
      <c r="S22" s="1407">
        <f>SUM(F22:P22)</f>
        <v>0</v>
      </c>
      <c r="T22" s="1407" t="b">
        <f t="shared" ref="T22:T23" si="0">IF(ISBLANK(D22),TRUE,OR(NOT(ISBLANK(F22)),NOT(ISBLANK(H22)),NOT(ISBLANK(J22)),NOT(ISBLANK(L22)),NOT(ISBLANK(N22)),NOT(ISBLANK(P22))))</f>
        <v>1</v>
      </c>
      <c r="U22" s="1407" t="b">
        <f t="shared" ref="U22:U23" si="1">IF(ISBLANK(D22),TRUE,S22=1)</f>
        <v>1</v>
      </c>
      <c r="AB22" s="114"/>
      <c r="AC22" s="114"/>
    </row>
    <row r="23" spans="1:29" ht="18.75" customHeight="1" x14ac:dyDescent="0.3">
      <c r="B23" s="1416" t="s">
        <v>805</v>
      </c>
      <c r="D23" s="1399"/>
      <c r="F23" s="1404"/>
      <c r="H23" s="1404"/>
      <c r="J23" s="1402"/>
      <c r="L23" s="1402"/>
      <c r="N23" s="1402"/>
      <c r="P23" s="1402"/>
      <c r="S23" s="1407">
        <f>SUM(F23:P23)</f>
        <v>0</v>
      </c>
      <c r="T23" s="1407" t="b">
        <f t="shared" si="0"/>
        <v>1</v>
      </c>
      <c r="U23" s="1407" t="b">
        <f t="shared" si="1"/>
        <v>1</v>
      </c>
      <c r="AB23" s="114"/>
      <c r="AC23" s="114"/>
    </row>
    <row r="24" spans="1:29" ht="18.75" customHeight="1" x14ac:dyDescent="0.25">
      <c r="B24" s="889" t="s">
        <v>2409</v>
      </c>
      <c r="D24" s="1400">
        <f>SUM(D21:D23)</f>
        <v>0</v>
      </c>
      <c r="F24" s="1412">
        <f>SUMPRODUCT($D$21:$D$23,F21:F23)</f>
        <v>0</v>
      </c>
      <c r="H24" s="1412">
        <f>SUMPRODUCT($D$21:$D$23,H21:H23)</f>
        <v>0</v>
      </c>
      <c r="J24" s="1412">
        <f>SUMPRODUCT($D$21:$D$23,J21:J23)</f>
        <v>0</v>
      </c>
      <c r="L24" s="1412">
        <f>SUMPRODUCT($D$21:$D$23,L21:L23)</f>
        <v>0</v>
      </c>
      <c r="N24" s="1412">
        <f>SUMPRODUCT($D$21:$D$23,N21:N23)</f>
        <v>0</v>
      </c>
      <c r="P24" s="1412">
        <f>SUMPRODUCT($D$21:$D$23,P21:P23)</f>
        <v>0</v>
      </c>
      <c r="AB24" s="114"/>
      <c r="AC24" s="114"/>
    </row>
    <row r="25" spans="1:29" ht="7.5" customHeight="1" x14ac:dyDescent="0.25">
      <c r="B25" s="889"/>
      <c r="D25" s="1401"/>
      <c r="S25" s="114"/>
      <c r="T25" s="114"/>
      <c r="AA25" s="114"/>
      <c r="AB25" s="114"/>
      <c r="AC25" s="114"/>
    </row>
    <row r="26" spans="1:29" ht="18.75" customHeight="1" x14ac:dyDescent="0.25">
      <c r="A26" s="93"/>
      <c r="B26" s="1079" t="s">
        <v>2388</v>
      </c>
      <c r="C26" s="223"/>
      <c r="D26" s="223"/>
      <c r="E26" s="223"/>
      <c r="F26" s="223"/>
      <c r="G26" s="223"/>
      <c r="H26" s="94"/>
      <c r="I26" s="476"/>
      <c r="J26" s="476"/>
      <c r="K26" s="476"/>
      <c r="L26" s="476"/>
      <c r="M26" s="476"/>
      <c r="N26" s="476"/>
      <c r="O26" s="476"/>
      <c r="P26" s="476"/>
      <c r="Q26" s="476"/>
    </row>
    <row r="27" spans="1:29" ht="7.5" customHeight="1" x14ac:dyDescent="0.25">
      <c r="B27" s="871"/>
      <c r="D27" s="1401"/>
      <c r="AA27" s="1410"/>
    </row>
    <row r="28" spans="1:29" ht="18.75" customHeight="1" x14ac:dyDescent="0.25">
      <c r="B28" s="871"/>
      <c r="D28" s="1411" t="s">
        <v>265</v>
      </c>
      <c r="F28" s="1411" t="s">
        <v>33</v>
      </c>
      <c r="H28" s="1411" t="s">
        <v>34</v>
      </c>
      <c r="J28" s="1411" t="s">
        <v>35</v>
      </c>
      <c r="L28" s="1411" t="s">
        <v>36</v>
      </c>
      <c r="N28" s="1411" t="s">
        <v>37</v>
      </c>
      <c r="P28" s="1411" t="s">
        <v>38</v>
      </c>
      <c r="S28" s="1406" t="s">
        <v>2387</v>
      </c>
      <c r="T28" s="1407" t="b">
        <f>AND(T14=1,U21:U23)</f>
        <v>0</v>
      </c>
      <c r="U28" s="530" t="s">
        <v>34</v>
      </c>
      <c r="V28" s="530" t="s">
        <v>35</v>
      </c>
      <c r="W28" s="530" t="s">
        <v>36</v>
      </c>
      <c r="X28" s="530" t="s">
        <v>37</v>
      </c>
      <c r="Y28" s="530" t="s">
        <v>38</v>
      </c>
    </row>
    <row r="29" spans="1:29" ht="18.75" customHeight="1" x14ac:dyDescent="0.25">
      <c r="B29" s="871" t="s">
        <v>2405</v>
      </c>
      <c r="D29" s="1400">
        <f>SUM(F29,H29,J29,L29,N29,P29)</f>
        <v>0</v>
      </c>
      <c r="F29" s="1400">
        <f>IF(AND($T$28,$T$29),IF(F$13="Borrower",MAX(0,F15-F24),""),0)</f>
        <v>0</v>
      </c>
      <c r="H29" s="1400">
        <f>IF(AND($T$28,$T$29),IF(H$13="Borrower",MAX(0,H15-H24),""),0)</f>
        <v>0</v>
      </c>
      <c r="J29" s="1400">
        <f>IF(AND($T$28,$T$29),IF(J$13="Borrower",MAX(0,J15-J24),""),0)</f>
        <v>0</v>
      </c>
      <c r="L29" s="1400">
        <f>IF(AND($T$28,$T$29),IF(L$13="Borrower",MAX(0,L15-L24),""),0)</f>
        <v>0</v>
      </c>
      <c r="N29" s="1400">
        <f>IF(AND($T$28,$T$29),IF(N$13="Borrower",MAX(0,N15-N24),""),0)</f>
        <v>0</v>
      </c>
      <c r="P29" s="1400">
        <f>IF(AND($T$28,$T$29),IF(P$13="Borrower",MAX(0,P15-P24),""),0)</f>
        <v>0</v>
      </c>
      <c r="S29" s="1406" t="s">
        <v>811</v>
      </c>
      <c r="T29" s="1407" t="b">
        <f>AND(NOT(ISBLANK(SEGApplicantCount)),NOT(ISBLANK(SEGPropertyValue)),NOT(ISBLANK(SEGMaximumLVR)),NOT(ISBLANK(F13)),NOT(ISBLANK(F14)),$U$29:$Y$29,$T$21:$T$23)</f>
        <v>0</v>
      </c>
      <c r="U29" s="1407" t="b">
        <f>IF(SEGApplicantCount&gt;=H11,AND(NOT(ISBLANK(H13)),NOT(ISBLANK(H14))),TRUE)</f>
        <v>0</v>
      </c>
      <c r="V29" s="1407" t="b">
        <f>IF(SEGApplicantCount&gt;=J11,AND(NOT(ISBLANK(J13)),NOT(ISBLANK(J14))),TRUE)</f>
        <v>1</v>
      </c>
      <c r="W29" s="1407" t="b">
        <f>IF(SEGApplicantCount&gt;=L11,AND(NOT(ISBLANK(L13)),NOT(ISBLANK(L14))),TRUE)</f>
        <v>1</v>
      </c>
      <c r="X29" s="1407" t="b">
        <f>IF(SEGApplicantCount&gt;=N11,AND(NOT(ISBLANK(N13)),NOT(ISBLANK(N14))),TRUE)</f>
        <v>1</v>
      </c>
      <c r="Y29" s="1407" t="b">
        <f>IF(SEGApplicantCount&gt;=P11,AND(NOT(ISBLANK(P13)),NOT(ISBLANK(P14))),TRUE)</f>
        <v>1</v>
      </c>
    </row>
    <row r="30" spans="1:29" ht="7.5" customHeight="1" x14ac:dyDescent="0.25">
      <c r="B30" s="871"/>
      <c r="D30" s="1401"/>
    </row>
    <row r="31" spans="1:29" ht="18.75" customHeight="1" x14ac:dyDescent="0.25">
      <c r="B31" s="889" t="s">
        <v>2397</v>
      </c>
      <c r="D31" s="1400">
        <f>MAX(0,D11-D24)</f>
        <v>0</v>
      </c>
      <c r="F31" s="1415" t="str">
        <f>IF(AND($T$28,$T$29),IF(F$13="Borrower",IF(F15&lt;F24,"Borrower not allowed",""),""),"")</f>
        <v/>
      </c>
      <c r="H31" s="1415" t="str">
        <f>IF(AND($T$28,$T$29),IF(H$13="Borrower",IF(H15&lt;H24,"Borrower not allowed",""),""),"")</f>
        <v/>
      </c>
      <c r="J31" s="1415" t="str">
        <f>IF(AND($T$28,$T$29),IF(J$13="Borrower",IF(J15&lt;J24,"Borrower not allowed",""),""),"")</f>
        <v/>
      </c>
      <c r="L31" s="1415" t="str">
        <f>IF(AND($T$28,$T$29),IF(L$13="Borrower",IF(L15&lt;L24,"Borrower not allowed",""),""),"")</f>
        <v/>
      </c>
      <c r="N31" s="1415" t="str">
        <f>IF(AND($T$28,$T$29),IF(N$13="Borrower",IF(N15&lt;N24,"Borrower not allowed",""),""),"")</f>
        <v/>
      </c>
      <c r="P31" s="1415" t="str">
        <f>IF(AND($T$28,$T$29),IF(P$13="Borrower",IF(P15&lt;P24,"Borrower not allowed",""),""),"")</f>
        <v/>
      </c>
    </row>
    <row r="32" spans="1:29" ht="7.5" customHeight="1" x14ac:dyDescent="0.25">
      <c r="B32" s="889"/>
    </row>
    <row r="33" spans="2:4" ht="18.75" customHeight="1" x14ac:dyDescent="0.25">
      <c r="B33" s="1405" t="s">
        <v>2420</v>
      </c>
      <c r="D33" s="1400">
        <f>MIN(D31,D29)</f>
        <v>0</v>
      </c>
    </row>
    <row r="34" spans="2:4" ht="18.75" customHeight="1" x14ac:dyDescent="0.25">
      <c r="B34" s="871"/>
      <c r="D34" s="116"/>
    </row>
    <row r="35" spans="2:4" ht="18.75" customHeight="1" x14ac:dyDescent="0.25">
      <c r="B35" s="116"/>
      <c r="D35" s="116"/>
    </row>
    <row r="36" spans="2:4" ht="18.75" customHeight="1" x14ac:dyDescent="0.25">
      <c r="B36" s="116"/>
      <c r="D36" s="116"/>
    </row>
    <row r="37" spans="2:4" ht="18.75" customHeight="1" x14ac:dyDescent="0.25"/>
    <row r="38" spans="2:4" ht="18.75" customHeight="1" x14ac:dyDescent="0.25"/>
    <row r="39" spans="2:4" ht="18.75" customHeight="1" x14ac:dyDescent="0.25"/>
    <row r="40" spans="2:4" ht="18.75" customHeight="1" x14ac:dyDescent="0.25"/>
    <row r="41" spans="2:4" ht="18.75" customHeight="1" x14ac:dyDescent="0.25"/>
    <row r="42" spans="2:4" ht="18.75" customHeight="1" x14ac:dyDescent="0.25"/>
    <row r="43" spans="2:4" ht="18.75" customHeight="1" x14ac:dyDescent="0.25"/>
    <row r="44" spans="2:4" ht="18.75" customHeight="1" x14ac:dyDescent="0.25"/>
    <row r="45" spans="2:4" ht="18.75" customHeight="1" x14ac:dyDescent="0.25"/>
    <row r="46" spans="2:4" ht="18.75" customHeight="1" x14ac:dyDescent="0.25"/>
    <row r="47" spans="2:4" ht="18.75" customHeight="1" x14ac:dyDescent="0.25"/>
    <row r="48" spans="2:4" ht="18.75" customHeight="1" x14ac:dyDescent="0.25"/>
  </sheetData>
  <sheetProtection algorithmName="SHA-512" hashValue="UZo9X2UMxfi4SptxlRMtFOV6v/qeh5FP4nnLhscgj93K5mq+plhPJ3wCpVAYVdTb87dDXSBl5zH45gHl4yYwIA==" saltValue="JPaV+soPaXDAZJW0WfCs8g==" spinCount="100000" sheet="1" objects="1" scenarios="1" selectLockedCells="1"/>
  <mergeCells count="1">
    <mergeCell ref="F8:J10"/>
  </mergeCells>
  <phoneticPr fontId="43" type="noConversion"/>
  <conditionalFormatting sqref="J12:J15 L12:L15 N12:N15 P12:P15 J28:J29 L28:L29 N28:N29 P28:P29 J20:J24 L20:L24 N20:N24 P20:P24">
    <cfRule type="expression" dxfId="59" priority="3" stopIfTrue="1">
      <formula>$D$8&lt;J$11</formula>
    </cfRule>
  </conditionalFormatting>
  <conditionalFormatting sqref="F14 H14 J14 L14 N14 P14">
    <cfRule type="expression" dxfId="58" priority="2962">
      <formula>AND($T$14&lt;&gt;1,NOT(ISBLANK(F14)),$T$29)</formula>
    </cfRule>
  </conditionalFormatting>
  <conditionalFormatting sqref="P13:P14 N13:N14 L13:L14 J13:J14 H13:H14 F13:F14">
    <cfRule type="containsBlanks" dxfId="57" priority="13">
      <formula>LEN(TRIM(F13))=0</formula>
    </cfRule>
  </conditionalFormatting>
  <conditionalFormatting sqref="D8:D10">
    <cfRule type="containsBlanks" dxfId="56" priority="8">
      <formula>LEN(TRIM(D8))=0</formula>
    </cfRule>
  </conditionalFormatting>
  <conditionalFormatting sqref="P21:P23 N21:N23 L21:L23 J21:J23 H21:H23 F21:F23">
    <cfRule type="expression" dxfId="55" priority="2960">
      <formula>NOT($T21)</formula>
    </cfRule>
    <cfRule type="expression" dxfId="54" priority="2961">
      <formula>AND($S21&lt;&gt;1,NOT(ISBLANK(F21)),NOT(ISBLANK($D21)))</formula>
    </cfRule>
  </conditionalFormatting>
  <conditionalFormatting sqref="F13 H13 J13 L13 N13 P13">
    <cfRule type="cellIs" dxfId="53" priority="7" operator="equal">
      <formula>"Guarantor"</formula>
    </cfRule>
  </conditionalFormatting>
  <conditionalFormatting sqref="F8:J10">
    <cfRule type="expression" dxfId="52" priority="2963">
      <formula>NOT($T$29)</formula>
    </cfRule>
    <cfRule type="containsBlanks" dxfId="51" priority="2964">
      <formula>LEN(TRIM(F8))=0</formula>
    </cfRule>
  </conditionalFormatting>
  <conditionalFormatting sqref="F31 H31 J31 L31 N31 P31">
    <cfRule type="containsBlanks" dxfId="50" priority="1">
      <formula>LEN(TRIM(F31))=0</formula>
    </cfRule>
  </conditionalFormatting>
  <dataValidations count="6">
    <dataValidation type="list" allowBlank="1" showInputMessage="1" showErrorMessage="1" errorTitle="Invalid number of applicants" error="Please select a number between 2 and 6" sqref="D8" xr:uid="{A9509B75-76D2-4420-AE6C-82A8E5D7C20C}">
      <formula1>"2,3,4,5,6"</formula1>
    </dataValidation>
    <dataValidation type="list" allowBlank="1" showInputMessage="1" showErrorMessage="1" errorTitle="Invalid applicant type" error="Please select a valid option from the list." sqref="F13 H13 J13 L13 N13 P13" xr:uid="{D682FD50-D439-4D6F-AA21-5F226E309E76}">
      <formula1>"Borrower,Guarantor"</formula1>
    </dataValidation>
    <dataValidation type="decimal" allowBlank="1" showInputMessage="1" showErrorMessage="1" errorTitle="Invalid ownership percentage" error="Please enter a valid ownership percentage between 0 and 100%." sqref="F14 P14 J14 L14 N14 H14 N21:N23 L21:L23 J21:J23 H21:H23 F21:F23 P21:P23" xr:uid="{85163C36-A6CD-4CFD-9197-6AAEED09021F}">
      <formula1>0</formula1>
      <formula2>1</formula2>
    </dataValidation>
    <dataValidation type="decimal" operator="greaterThan" allowBlank="1" showInputMessage="1" showErrorMessage="1" errorTitle="Invalid market value" error="Please enter a market value amount greater than zero." sqref="D9" xr:uid="{84E31D8D-237A-497D-9E65-8654334C0EA9}">
      <formula1>0</formula1>
    </dataValidation>
    <dataValidation type="decimal" operator="greaterThan" allowBlank="1" showInputMessage="1" showErrorMessage="1" errorTitle="Invalid maximum LVR value" error="Please enter a valid LVR percentage greater than zero." sqref="D10" xr:uid="{9A806D8E-EBDD-4B0D-8CA6-EA8B674C929A}">
      <formula1>0</formula1>
    </dataValidation>
    <dataValidation type="decimal" operator="greaterThan" allowBlank="1" showInputMessage="1" showErrorMessage="1" errorTitle="Invaid loan amount" error="Please enter a valid loan amount greater than zero." sqref="D21:D23" xr:uid="{9D70FFEB-7720-4FFC-8D55-A9E3EF181FF3}">
      <formula1>0</formula1>
    </dataValidation>
  </dataValidations>
  <pageMargins left="0.25" right="0.25" top="0.75" bottom="0.75" header="0.3" footer="0.3"/>
  <pageSetup paperSize="9" scale="46"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Calculator2RM">
    <pageSetUpPr fitToPage="1"/>
  </sheetPr>
  <dimension ref="A1:G13"/>
  <sheetViews>
    <sheetView showGridLines="0" showRowColHeaders="0" zoomScaleNormal="100" workbookViewId="0">
      <selection activeCell="C7" sqref="C7"/>
    </sheetView>
  </sheetViews>
  <sheetFormatPr defaultColWidth="2.81640625" defaultRowHeight="16" customHeight="1" x14ac:dyDescent="0.25"/>
  <cols>
    <col min="1" max="1" width="2.81640625" customWidth="1"/>
    <col min="2" max="2" width="24" customWidth="1"/>
    <col min="3" max="3" width="20" customWidth="1"/>
    <col min="4" max="4" width="2.81640625" customWidth="1"/>
    <col min="5" max="5" width="20" customWidth="1"/>
    <col min="6" max="6" width="2.81640625" customWidth="1"/>
    <col min="7" max="7" width="125" customWidth="1"/>
  </cols>
  <sheetData>
    <row r="1" spans="1:7" ht="15" customHeight="1" x14ac:dyDescent="0.25">
      <c r="A1" s="8"/>
      <c r="B1" s="8"/>
      <c r="C1" s="8"/>
      <c r="D1" s="8"/>
      <c r="E1" s="8"/>
      <c r="F1" s="9"/>
      <c r="G1" s="47"/>
    </row>
    <row r="2" spans="1:7" ht="15" customHeight="1" x14ac:dyDescent="0.25">
      <c r="A2" s="8"/>
      <c r="B2" s="8"/>
      <c r="C2" s="8"/>
      <c r="D2" s="8"/>
      <c r="E2" s="8"/>
      <c r="F2" s="9"/>
      <c r="G2" s="47"/>
    </row>
    <row r="3" spans="1:7" ht="15" customHeight="1" x14ac:dyDescent="0.25">
      <c r="A3" s="8"/>
      <c r="B3" s="8"/>
      <c r="C3" s="8"/>
      <c r="D3" s="8"/>
      <c r="E3" s="8"/>
      <c r="F3" s="9"/>
      <c r="G3" s="47"/>
    </row>
    <row r="4" spans="1:7" ht="15" customHeight="1" x14ac:dyDescent="0.25">
      <c r="A4" s="8"/>
      <c r="B4" s="8"/>
      <c r="C4" s="8"/>
      <c r="D4" s="8"/>
      <c r="E4" s="8"/>
      <c r="F4" s="9"/>
      <c r="G4" s="47"/>
    </row>
    <row r="5" spans="1:7" ht="22.5" customHeight="1" x14ac:dyDescent="0.25">
      <c r="A5" s="749"/>
      <c r="B5" s="224" t="s">
        <v>793</v>
      </c>
      <c r="C5" s="224"/>
      <c r="D5" s="224"/>
      <c r="E5" s="224"/>
      <c r="F5" s="224"/>
      <c r="G5" s="224"/>
    </row>
    <row r="6" spans="1:7" ht="7.5" customHeight="1" x14ac:dyDescent="0.35">
      <c r="A6" s="34"/>
      <c r="C6" s="107"/>
      <c r="D6" s="107"/>
      <c r="E6" s="107"/>
      <c r="F6" s="107"/>
      <c r="G6" s="107"/>
    </row>
    <row r="7" spans="1:7" ht="18.75" customHeight="1" x14ac:dyDescent="0.25">
      <c r="A7" s="34"/>
      <c r="B7" s="274" t="s">
        <v>271</v>
      </c>
      <c r="C7" s="1295"/>
      <c r="D7" s="274"/>
      <c r="F7" s="274"/>
      <c r="G7" s="274"/>
    </row>
    <row r="8" spans="1:7" ht="18.75" customHeight="1" x14ac:dyDescent="0.25">
      <c r="A8" s="34"/>
      <c r="B8" s="274" t="s">
        <v>179</v>
      </c>
      <c r="C8" s="475"/>
      <c r="D8" s="274"/>
      <c r="E8" s="1379">
        <f>C7*C8</f>
        <v>0</v>
      </c>
      <c r="F8" s="274"/>
      <c r="G8" s="274"/>
    </row>
    <row r="9" spans="1:7" ht="18.75" customHeight="1" x14ac:dyDescent="0.25">
      <c r="A9" s="34"/>
      <c r="B9" s="274" t="s">
        <v>273</v>
      </c>
      <c r="C9" s="1295"/>
      <c r="D9" s="274"/>
      <c r="E9" s="1379">
        <f>C9</f>
        <v>0</v>
      </c>
      <c r="F9" s="274"/>
      <c r="G9" s="274"/>
    </row>
    <row r="10" spans="1:7" ht="18.75" customHeight="1" x14ac:dyDescent="0.25">
      <c r="A10" s="34"/>
      <c r="B10" s="274" t="s">
        <v>274</v>
      </c>
      <c r="C10" s="34"/>
      <c r="D10" s="274"/>
      <c r="E10" s="1379">
        <f>C9*20%</f>
        <v>0</v>
      </c>
      <c r="F10" s="274"/>
      <c r="G10" s="274"/>
    </row>
    <row r="11" spans="1:7" ht="7.5" customHeight="1" x14ac:dyDescent="0.25">
      <c r="A11" s="34"/>
      <c r="B11" s="354"/>
      <c r="C11" s="34"/>
      <c r="D11" s="354"/>
      <c r="E11" s="34"/>
      <c r="F11" s="354"/>
      <c r="G11" s="354"/>
    </row>
    <row r="12" spans="1:7" ht="18.75" customHeight="1" x14ac:dyDescent="0.25">
      <c r="A12" s="34"/>
      <c r="B12" s="274" t="s">
        <v>259</v>
      </c>
      <c r="C12" s="34"/>
      <c r="D12" s="274"/>
      <c r="E12" s="1380">
        <f>E8-E9-E10</f>
        <v>0</v>
      </c>
      <c r="F12" s="274"/>
      <c r="G12" s="274"/>
    </row>
    <row r="13" spans="1:7" ht="18.75" customHeight="1" x14ac:dyDescent="0.25">
      <c r="A13" s="34"/>
      <c r="B13" s="274" t="s">
        <v>272</v>
      </c>
      <c r="C13" s="34"/>
      <c r="D13" s="274"/>
      <c r="E13" s="1380">
        <f>IFERROR(E12/C8,0)</f>
        <v>0</v>
      </c>
      <c r="F13" s="274"/>
      <c r="G13" s="274"/>
    </row>
  </sheetData>
  <sheetProtection algorithmName="SHA-512" hashValue="+ArA3qMuZf/SnYAYkJ/IqEoebypfXV4LDd6unxIzoIaTiEdlXzKJXTaQsBdPZDow4dBchiqo55lmwIMv3X29YA==" saltValue="dfIkiuRHs3O36Ldp817DXg==" spinCount="100000" sheet="1" objects="1" scenarios="1" selectLockedCells="1"/>
  <dataConsolidate link="1"/>
  <dataValidations count="1">
    <dataValidation type="decimal" operator="greaterThanOrEqual" allowBlank="1" showInputMessage="1" showErrorMessage="1" sqref="C8 C9" xr:uid="{00000000-0002-0000-0700-000000000000}">
      <formula1>0</formula1>
    </dataValidation>
  </dataValidations>
  <pageMargins left="0.25" right="0.25" top="0.75" bottom="0.75" header="0.3" footer="0.3"/>
  <pageSetup paperSize="9" scale="51"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AF4A8-F7AE-4EBC-814E-BEB8B71C5176}">
  <sheetPr codeName="shCalculatorLVROverride"/>
  <dimension ref="A1:AZ82"/>
  <sheetViews>
    <sheetView showGridLines="0" showRowColHeaders="0" zoomScaleNormal="100" zoomScaleSheetLayoutView="85" workbookViewId="0">
      <selection activeCell="E11" sqref="E11"/>
    </sheetView>
  </sheetViews>
  <sheetFormatPr defaultColWidth="9.1796875" defaultRowHeight="12.75" customHeight="1" x14ac:dyDescent="0.25"/>
  <cols>
    <col min="1" max="2" width="2.81640625" customWidth="1"/>
    <col min="3" max="3" width="23.1796875" customWidth="1"/>
    <col min="4" max="4" width="3.7265625" customWidth="1"/>
    <col min="5" max="5" width="21.453125" customWidth="1"/>
    <col min="6" max="6" width="2.81640625" customWidth="1"/>
    <col min="7" max="7" width="21.453125" customWidth="1"/>
    <col min="8" max="8" width="1.453125" customWidth="1"/>
    <col min="9" max="9" width="21.453125" customWidth="1"/>
    <col min="10" max="10" width="1.453125" customWidth="1"/>
    <col min="11" max="15" width="21.453125" customWidth="1"/>
    <col min="16" max="30" width="21.453125" hidden="1" customWidth="1"/>
    <col min="31" max="31" width="1.453125" customWidth="1"/>
    <col min="32" max="32" width="24.54296875" customWidth="1"/>
    <col min="33" max="33" width="9.1796875" customWidth="1"/>
    <col min="34" max="34" width="12.81640625" hidden="1" customWidth="1"/>
    <col min="35" max="35" width="17.81640625" hidden="1" customWidth="1"/>
    <col min="36" max="36" width="11.54296875" hidden="1" customWidth="1"/>
    <col min="37" max="37" width="19.453125" hidden="1" customWidth="1"/>
    <col min="38" max="38" width="15.81640625" hidden="1" customWidth="1"/>
    <col min="39" max="39" width="15.26953125" hidden="1" customWidth="1"/>
    <col min="40" max="40" width="9.1796875" hidden="1" customWidth="1"/>
    <col min="41" max="41" width="12" hidden="1" customWidth="1"/>
    <col min="42" max="52" width="9.1796875" hidden="1" customWidth="1"/>
    <col min="53" max="78" width="0" hidden="1" customWidth="1"/>
  </cols>
  <sheetData>
    <row r="1" spans="1:41" ht="15" customHeight="1" x14ac:dyDescent="0.25">
      <c r="A1" s="8"/>
      <c r="B1" s="8"/>
      <c r="C1" s="8"/>
      <c r="D1" s="8"/>
      <c r="F1" s="9"/>
      <c r="G1" s="47"/>
      <c r="H1" s="8"/>
    </row>
    <row r="2" spans="1:41" ht="15" customHeight="1" x14ac:dyDescent="0.25">
      <c r="A2" s="8"/>
      <c r="B2" s="8"/>
      <c r="C2" s="8"/>
      <c r="D2" s="8"/>
      <c r="E2" s="8"/>
      <c r="F2" s="9"/>
      <c r="G2" s="47"/>
      <c r="H2" s="8"/>
    </row>
    <row r="3" spans="1:41" ht="15" customHeight="1" x14ac:dyDescent="0.25">
      <c r="A3" s="8"/>
      <c r="B3" s="8"/>
      <c r="C3" s="8"/>
      <c r="D3" s="8"/>
      <c r="E3" s="8"/>
      <c r="F3" s="9"/>
      <c r="G3" s="47"/>
      <c r="H3" s="8"/>
    </row>
    <row r="4" spans="1:41" ht="7.5" customHeight="1" x14ac:dyDescent="0.25">
      <c r="A4" s="8"/>
      <c r="B4" s="8"/>
      <c r="C4" s="8"/>
      <c r="D4" s="8"/>
      <c r="E4" s="8"/>
      <c r="F4" s="9"/>
      <c r="G4" s="47"/>
      <c r="H4" s="8"/>
    </row>
    <row r="5" spans="1:41" ht="7.5" customHeight="1" x14ac:dyDescent="0.35">
      <c r="A5" s="757"/>
      <c r="B5" s="757"/>
      <c r="C5" s="758"/>
      <c r="D5" s="757"/>
      <c r="E5" s="757"/>
      <c r="F5" s="757"/>
      <c r="G5" s="757"/>
      <c r="H5" s="757"/>
      <c r="I5" s="757"/>
      <c r="J5" s="757"/>
      <c r="K5" s="757"/>
      <c r="L5" s="757"/>
      <c r="M5" s="757"/>
      <c r="N5" s="758"/>
      <c r="O5" s="758"/>
      <c r="P5" s="758"/>
      <c r="Q5" s="758"/>
      <c r="R5" s="757"/>
      <c r="S5" s="757"/>
      <c r="T5" s="757"/>
      <c r="U5" s="757"/>
      <c r="V5" s="757"/>
      <c r="W5" s="757"/>
      <c r="X5" s="757"/>
      <c r="Y5" s="757"/>
      <c r="Z5" s="757"/>
      <c r="AA5" s="757"/>
      <c r="AB5" s="757"/>
      <c r="AC5" s="757"/>
      <c r="AD5" s="757"/>
      <c r="AE5" s="757"/>
      <c r="AF5" s="757"/>
      <c r="AG5" s="757"/>
      <c r="AH5" s="757"/>
      <c r="AI5" s="757"/>
      <c r="AJ5" s="757"/>
      <c r="AK5" s="757"/>
      <c r="AL5" s="757"/>
      <c r="AM5" s="757"/>
      <c r="AN5" s="757"/>
      <c r="AO5" s="757"/>
    </row>
    <row r="6" spans="1:41" ht="15" customHeight="1" x14ac:dyDescent="0.35">
      <c r="A6" s="757"/>
      <c r="B6" s="1744" t="s">
        <v>1123</v>
      </c>
      <c r="C6" s="1744"/>
      <c r="D6" s="1744"/>
      <c r="E6" s="844" t="s">
        <v>1124</v>
      </c>
      <c r="I6" s="757"/>
      <c r="J6" s="757"/>
      <c r="K6" s="757"/>
      <c r="L6" s="758"/>
      <c r="M6" s="757"/>
      <c r="N6" s="758"/>
      <c r="O6" s="758"/>
      <c r="P6" s="758"/>
      <c r="Q6" s="758"/>
      <c r="R6" s="757"/>
      <c r="S6" s="757"/>
      <c r="T6" s="757"/>
      <c r="U6" s="757"/>
      <c r="V6" s="757"/>
      <c r="W6" s="757"/>
      <c r="X6" s="757"/>
      <c r="Y6" s="757"/>
      <c r="Z6" s="757"/>
      <c r="AA6" s="757"/>
      <c r="AB6" s="757"/>
      <c r="AC6" s="757"/>
      <c r="AD6" s="757"/>
      <c r="AE6" s="757"/>
      <c r="AF6" s="757"/>
      <c r="AG6" s="757"/>
      <c r="AH6" s="757"/>
      <c r="AI6" s="757"/>
      <c r="AJ6" s="757"/>
      <c r="AK6" s="757"/>
      <c r="AL6" s="757"/>
      <c r="AM6" s="757"/>
      <c r="AN6" s="757"/>
      <c r="AO6" s="757"/>
    </row>
    <row r="7" spans="1:41" ht="15" customHeight="1" x14ac:dyDescent="0.35">
      <c r="A7" s="757"/>
      <c r="B7" s="1744" t="str">
        <f>SCAUserID</f>
        <v>craig</v>
      </c>
      <c r="C7" s="1744"/>
      <c r="D7" s="1744"/>
      <c r="E7" s="845">
        <f ca="1">TODAY()</f>
        <v>45714</v>
      </c>
      <c r="I7" s="757"/>
      <c r="J7" s="757"/>
      <c r="K7" s="757"/>
      <c r="L7" s="758"/>
      <c r="M7" s="759" t="b">
        <f>NOT(OR(ISBLANK(LOCLMIFlag),AND(LOCLMIFlag="Yes",OR(ISBLANK(LOCLMICapitalisedPremium),ISBLANK(LOCLMIPolicyAssetCollateralAnswer),ISBLANK(LOCLMIPolicyFamilyGuaranteeAnswer),ISBLANK(LOCLMIPolicyNonApplicantBorrowerAnswer))),AND(LOCBridgingLoanFlag="Yes",OR(ISBLANK(LOCBridgingLoanAmount),ISBLANK(LOCBridgingLoanMonthlyFee),ISBLANK(LOCBridgingLoanRate)))))</f>
        <v>0</v>
      </c>
      <c r="N7" s="757"/>
      <c r="O7" s="757"/>
      <c r="P7" s="758"/>
      <c r="Q7" s="758"/>
      <c r="R7" s="757"/>
      <c r="S7" s="757"/>
      <c r="T7" s="757"/>
      <c r="U7" s="757"/>
      <c r="V7" s="757"/>
      <c r="W7" s="757"/>
      <c r="X7" s="757"/>
      <c r="Y7" s="757"/>
      <c r="Z7" s="757"/>
      <c r="AA7" s="757"/>
      <c r="AB7" s="757"/>
      <c r="AC7" s="757"/>
      <c r="AD7" s="757"/>
      <c r="AE7" s="757"/>
      <c r="AF7" s="757"/>
      <c r="AG7" s="757"/>
      <c r="AH7" s="757"/>
      <c r="AI7" s="757"/>
      <c r="AJ7" s="757"/>
      <c r="AK7" s="757"/>
      <c r="AL7" s="757"/>
      <c r="AM7" s="757"/>
      <c r="AN7" s="757"/>
      <c r="AO7" s="757"/>
    </row>
    <row r="8" spans="1:41" ht="7.5" customHeight="1" x14ac:dyDescent="0.35">
      <c r="A8" s="757"/>
      <c r="B8" s="757"/>
      <c r="C8" s="757"/>
      <c r="D8" s="757"/>
      <c r="E8" s="757"/>
      <c r="F8" s="757"/>
      <c r="G8" s="757"/>
      <c r="H8" s="757"/>
      <c r="I8" s="757"/>
      <c r="J8" s="757"/>
      <c r="K8" s="757"/>
      <c r="L8" s="757"/>
      <c r="M8" s="757"/>
      <c r="N8" s="757"/>
      <c r="O8" s="757"/>
      <c r="P8" s="758"/>
      <c r="Q8" s="758"/>
      <c r="R8" s="757"/>
      <c r="S8" s="757"/>
      <c r="T8" s="757"/>
      <c r="U8" s="757"/>
      <c r="V8" s="757"/>
      <c r="W8" s="757"/>
      <c r="X8" s="757"/>
      <c r="Y8" s="757"/>
      <c r="Z8" s="757"/>
      <c r="AA8" s="757"/>
      <c r="AB8" s="757"/>
      <c r="AC8" s="757"/>
      <c r="AD8" s="757"/>
      <c r="AE8" s="757"/>
      <c r="AF8" s="757"/>
      <c r="AG8" s="757"/>
      <c r="AH8" s="757"/>
      <c r="AI8" s="757"/>
      <c r="AJ8" s="757"/>
      <c r="AK8" s="757"/>
      <c r="AL8" s="757"/>
      <c r="AM8" s="757"/>
      <c r="AN8" s="757"/>
      <c r="AO8" s="757"/>
    </row>
    <row r="9" spans="1:41" ht="22.5" customHeight="1" x14ac:dyDescent="0.25">
      <c r="A9" s="749"/>
      <c r="B9" s="224" t="s">
        <v>1128</v>
      </c>
      <c r="C9" s="224"/>
      <c r="D9" s="224"/>
      <c r="E9" s="224"/>
      <c r="F9" s="224"/>
      <c r="G9" s="224"/>
      <c r="H9" s="750"/>
      <c r="I9" s="156"/>
      <c r="J9" s="156"/>
      <c r="K9" s="156"/>
      <c r="L9" s="156"/>
      <c r="M9" s="156"/>
      <c r="N9" s="156"/>
      <c r="O9" s="156"/>
      <c r="P9" s="156"/>
      <c r="Q9" s="156"/>
      <c r="R9" s="156"/>
      <c r="S9" s="156"/>
      <c r="T9" s="156"/>
      <c r="U9" s="156"/>
      <c r="V9" s="156"/>
      <c r="W9" s="156"/>
      <c r="X9" s="156"/>
      <c r="Y9" s="156"/>
      <c r="Z9" s="156"/>
      <c r="AA9" s="156"/>
      <c r="AB9" s="156"/>
      <c r="AC9" s="156"/>
      <c r="AD9" s="156"/>
      <c r="AE9" s="156"/>
      <c r="AF9" s="156"/>
    </row>
    <row r="10" spans="1:41" ht="7.5" customHeight="1" x14ac:dyDescent="0.25">
      <c r="A10" s="8"/>
      <c r="B10" s="8"/>
      <c r="C10" s="91"/>
      <c r="D10" s="91"/>
      <c r="E10" s="91"/>
      <c r="F10" s="91"/>
      <c r="G10" s="91"/>
      <c r="H10" s="91"/>
      <c r="I10" s="91"/>
      <c r="J10" s="91"/>
      <c r="K10" s="91"/>
      <c r="L10" s="91"/>
      <c r="M10" s="91"/>
      <c r="N10" s="91"/>
    </row>
    <row r="11" spans="1:41" ht="18.75" customHeight="1" x14ac:dyDescent="0.35">
      <c r="A11" s="211"/>
      <c r="B11" s="772" t="s">
        <v>1317</v>
      </c>
      <c r="C11" s="211"/>
      <c r="D11" s="211"/>
      <c r="E11" s="840"/>
      <c r="F11" s="211"/>
      <c r="G11" s="772" t="s">
        <v>753</v>
      </c>
      <c r="H11" s="211"/>
      <c r="I11" s="1745"/>
      <c r="J11" s="1746"/>
      <c r="K11" s="1747"/>
      <c r="L11" s="211"/>
      <c r="M11" s="211"/>
      <c r="N11" s="211"/>
      <c r="O11" s="211"/>
      <c r="P11" s="211"/>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row>
    <row r="12" spans="1:41" ht="7.5" customHeight="1" x14ac:dyDescent="0.3">
      <c r="B12" s="757"/>
      <c r="C12" s="772"/>
      <c r="E12" s="757"/>
      <c r="G12" s="839"/>
      <c r="H12" s="839"/>
      <c r="I12" s="757"/>
      <c r="P12" s="757"/>
      <c r="Q12" s="757"/>
      <c r="R12" s="757"/>
      <c r="S12" s="757"/>
      <c r="T12" s="757"/>
      <c r="U12" s="757"/>
      <c r="V12" s="757"/>
      <c r="W12" s="757"/>
      <c r="X12" s="757"/>
      <c r="Y12" s="757"/>
      <c r="Z12" s="757"/>
      <c r="AA12" s="757"/>
      <c r="AB12" s="757"/>
      <c r="AC12" s="757"/>
      <c r="AD12" s="757"/>
      <c r="AE12" s="757"/>
      <c r="AF12" s="757"/>
      <c r="AG12" s="757"/>
      <c r="AH12" s="757"/>
      <c r="AI12" s="757"/>
      <c r="AJ12" s="757"/>
      <c r="AK12" s="757"/>
      <c r="AL12" s="757"/>
      <c r="AM12" s="757"/>
      <c r="AN12" s="757"/>
      <c r="AO12" s="757"/>
    </row>
    <row r="13" spans="1:41" ht="18.75" customHeight="1" x14ac:dyDescent="0.3">
      <c r="B13" s="772" t="s">
        <v>1375</v>
      </c>
      <c r="C13" s="772"/>
      <c r="E13" s="769"/>
      <c r="G13" s="1751" t="s">
        <v>1321</v>
      </c>
      <c r="H13" s="1751"/>
      <c r="I13" s="757"/>
      <c r="P13" s="757"/>
      <c r="Q13" s="757"/>
      <c r="R13" s="757"/>
      <c r="S13" s="757"/>
      <c r="T13" s="757"/>
      <c r="U13" s="757"/>
      <c r="V13" s="757"/>
      <c r="W13" s="757"/>
      <c r="X13" s="757"/>
      <c r="Y13" s="757"/>
      <c r="Z13" s="757"/>
      <c r="AA13" s="757"/>
      <c r="AB13" s="757"/>
      <c r="AC13" s="757"/>
      <c r="AD13" s="757"/>
      <c r="AE13" s="757"/>
      <c r="AF13" s="757"/>
      <c r="AG13" s="757"/>
      <c r="AH13" s="757"/>
      <c r="AI13" s="757"/>
      <c r="AJ13" s="757"/>
      <c r="AK13" s="757"/>
      <c r="AL13" s="757"/>
      <c r="AM13" s="757"/>
      <c r="AN13" s="757"/>
      <c r="AO13" s="757"/>
    </row>
    <row r="14" spans="1:41" ht="18.75" customHeight="1" x14ac:dyDescent="0.35">
      <c r="A14" s="757"/>
      <c r="B14" s="772" t="s">
        <v>1376</v>
      </c>
      <c r="C14" s="772"/>
      <c r="D14" s="757"/>
      <c r="E14" s="1427"/>
      <c r="F14" s="757"/>
      <c r="G14" s="1753"/>
      <c r="H14" s="1754"/>
      <c r="I14" s="1754"/>
      <c r="J14" s="1754"/>
      <c r="K14" s="1754"/>
      <c r="L14" s="1754"/>
      <c r="M14" s="1754"/>
      <c r="N14" s="1754"/>
      <c r="O14" s="1755"/>
      <c r="P14" s="758"/>
      <c r="Q14" s="758"/>
      <c r="R14" s="758"/>
      <c r="S14" s="757"/>
      <c r="T14" s="757"/>
      <c r="U14" s="757"/>
      <c r="V14" s="757"/>
      <c r="W14" s="757"/>
      <c r="X14" s="757"/>
      <c r="Y14" s="757"/>
      <c r="Z14" s="757"/>
      <c r="AA14" s="757"/>
      <c r="AB14" s="757"/>
      <c r="AC14" s="757"/>
      <c r="AD14" s="757"/>
      <c r="AE14" s="757"/>
      <c r="AF14" s="757"/>
      <c r="AG14" s="757"/>
      <c r="AH14" s="757"/>
      <c r="AI14" s="757"/>
      <c r="AJ14" s="757"/>
      <c r="AK14" s="757"/>
      <c r="AL14" s="757"/>
      <c r="AM14" s="757"/>
      <c r="AN14" s="757"/>
      <c r="AO14" s="757"/>
    </row>
    <row r="15" spans="1:41" ht="7.5" customHeight="1" x14ac:dyDescent="0.35">
      <c r="A15" s="757"/>
      <c r="B15" s="757"/>
      <c r="C15" s="757"/>
      <c r="D15" s="757"/>
      <c r="E15" s="757"/>
      <c r="F15" s="767"/>
      <c r="G15" s="1756"/>
      <c r="H15" s="1757"/>
      <c r="I15" s="1757"/>
      <c r="J15" s="1757"/>
      <c r="K15" s="1757"/>
      <c r="L15" s="1757"/>
      <c r="M15" s="1757"/>
      <c r="N15" s="1757"/>
      <c r="O15" s="1758"/>
      <c r="P15" s="758"/>
      <c r="Q15" s="758"/>
      <c r="R15" s="758"/>
      <c r="S15" s="757"/>
      <c r="T15" s="757"/>
      <c r="U15" s="757"/>
      <c r="V15" s="757"/>
      <c r="W15" s="757"/>
      <c r="X15" s="757"/>
      <c r="Y15" s="757"/>
      <c r="Z15" s="757"/>
      <c r="AA15" s="757"/>
      <c r="AB15" s="757"/>
      <c r="AC15" s="757"/>
      <c r="AD15" s="757"/>
      <c r="AE15" s="757"/>
      <c r="AF15" s="757"/>
      <c r="AG15" s="757"/>
      <c r="AH15" s="757"/>
      <c r="AI15" s="757"/>
      <c r="AJ15" s="757"/>
      <c r="AK15" s="757"/>
      <c r="AL15" s="757"/>
      <c r="AM15" s="757"/>
      <c r="AN15" s="757"/>
      <c r="AO15" s="757"/>
    </row>
    <row r="16" spans="1:41" ht="18.75" customHeight="1" x14ac:dyDescent="0.35">
      <c r="A16" s="757"/>
      <c r="B16" s="772" t="s">
        <v>1377</v>
      </c>
      <c r="C16" s="772"/>
      <c r="D16" s="757"/>
      <c r="E16" s="1012">
        <f>ROUNDDOWN(SUMIF(K51:AD51,"Security",K46:AD46),2)</f>
        <v>0</v>
      </c>
      <c r="F16" s="758"/>
      <c r="G16" s="1756"/>
      <c r="H16" s="1757"/>
      <c r="I16" s="1757"/>
      <c r="J16" s="1757"/>
      <c r="K16" s="1757"/>
      <c r="L16" s="1757"/>
      <c r="M16" s="1757"/>
      <c r="N16" s="1757"/>
      <c r="O16" s="1758"/>
      <c r="P16" s="758"/>
      <c r="Q16" s="758"/>
      <c r="R16" s="758"/>
      <c r="S16" s="757"/>
      <c r="T16" s="757"/>
      <c r="U16" s="757"/>
      <c r="V16" s="757"/>
      <c r="W16" s="757"/>
      <c r="X16" s="757"/>
      <c r="Y16" s="757"/>
      <c r="Z16" s="757"/>
      <c r="AA16" s="757"/>
      <c r="AB16" s="757"/>
      <c r="AC16" s="757"/>
      <c r="AD16" s="757"/>
      <c r="AE16" s="757"/>
      <c r="AF16" s="757"/>
      <c r="AG16" s="757"/>
      <c r="AH16" s="757"/>
      <c r="AI16" s="757"/>
      <c r="AJ16" s="757"/>
      <c r="AK16" s="757"/>
      <c r="AL16" s="757"/>
      <c r="AM16" s="757"/>
      <c r="AN16" s="757"/>
      <c r="AO16" s="757"/>
    </row>
    <row r="17" spans="1:41" ht="18.75" customHeight="1" x14ac:dyDescent="0.35">
      <c r="A17" s="757"/>
      <c r="B17" s="772" t="s">
        <v>1378</v>
      </c>
      <c r="C17" s="772"/>
      <c r="D17" s="757"/>
      <c r="E17" s="1012">
        <f>ROUNDDOWN(SUMIF(K51:AD51,"Securit*",K79:AD79),2)</f>
        <v>0</v>
      </c>
      <c r="F17" s="768"/>
      <c r="G17" s="1756"/>
      <c r="H17" s="1757"/>
      <c r="I17" s="1757"/>
      <c r="J17" s="1757"/>
      <c r="K17" s="1757"/>
      <c r="L17" s="1757"/>
      <c r="M17" s="1757"/>
      <c r="N17" s="1757"/>
      <c r="O17" s="1758"/>
      <c r="P17" s="758"/>
      <c r="Q17" s="758"/>
      <c r="R17" s="758"/>
      <c r="S17" s="757"/>
      <c r="T17" s="757"/>
      <c r="U17" s="757"/>
      <c r="V17" s="757"/>
      <c r="W17" s="757"/>
      <c r="X17" s="757"/>
      <c r="Y17" s="757"/>
      <c r="Z17" s="757"/>
      <c r="AA17" s="757"/>
      <c r="AB17" s="757"/>
      <c r="AC17" s="757"/>
      <c r="AD17" s="757"/>
      <c r="AE17" s="757"/>
      <c r="AF17" s="757"/>
      <c r="AG17" s="757"/>
      <c r="AH17" s="757"/>
      <c r="AI17" s="757"/>
      <c r="AJ17" s="757"/>
      <c r="AK17" s="757"/>
      <c r="AL17" s="757"/>
      <c r="AM17" s="757"/>
      <c r="AN17" s="757"/>
      <c r="AO17" s="757"/>
    </row>
    <row r="18" spans="1:41" ht="7.5" customHeight="1" x14ac:dyDescent="0.35">
      <c r="A18" s="757"/>
      <c r="B18" s="757"/>
      <c r="C18" s="757"/>
      <c r="D18" s="757"/>
      <c r="E18" s="757"/>
      <c r="F18" s="757"/>
      <c r="G18" s="1756"/>
      <c r="H18" s="1757"/>
      <c r="I18" s="1757"/>
      <c r="J18" s="1757"/>
      <c r="K18" s="1757"/>
      <c r="L18" s="1757"/>
      <c r="M18" s="1757"/>
      <c r="N18" s="1757"/>
      <c r="O18" s="1758"/>
      <c r="P18" s="758"/>
      <c r="Q18" s="758"/>
      <c r="R18" s="758"/>
      <c r="S18" s="757"/>
      <c r="T18" s="757"/>
      <c r="U18" s="757"/>
      <c r="V18" s="757"/>
      <c r="W18" s="757"/>
      <c r="X18" s="757"/>
      <c r="Y18" s="757"/>
      <c r="Z18" s="757"/>
      <c r="AA18" s="757"/>
      <c r="AB18" s="757"/>
      <c r="AC18" s="757"/>
      <c r="AD18" s="757"/>
      <c r="AE18" s="757"/>
      <c r="AF18" s="757"/>
      <c r="AG18" s="757"/>
      <c r="AH18" s="757"/>
      <c r="AI18" s="757"/>
      <c r="AJ18" s="757"/>
      <c r="AK18" s="757"/>
      <c r="AL18" s="757"/>
      <c r="AM18" s="757"/>
      <c r="AN18" s="757"/>
      <c r="AO18" s="757"/>
    </row>
    <row r="19" spans="1:41" ht="18.75" customHeight="1" x14ac:dyDescent="0.35">
      <c r="A19" s="757"/>
      <c r="B19" s="762" t="s">
        <v>1319</v>
      </c>
      <c r="C19" s="762"/>
      <c r="D19" s="757"/>
      <c r="E19" s="842" t="str">
        <f>IFERROR(IF(I80,"",ROUNDDOWN((LOCTotalSecurityExposure+LOCLMICapitalisedPremium)/LOCTotalSecurityMarketValue,4)),"")</f>
        <v/>
      </c>
      <c r="F19" s="757"/>
      <c r="G19" s="1756"/>
      <c r="H19" s="1757"/>
      <c r="I19" s="1757"/>
      <c r="J19" s="1757"/>
      <c r="K19" s="1757"/>
      <c r="L19" s="1757"/>
      <c r="M19" s="1757"/>
      <c r="N19" s="1757"/>
      <c r="O19" s="1758"/>
      <c r="P19" s="758"/>
      <c r="Q19" s="758"/>
      <c r="R19" s="758"/>
      <c r="S19" s="757"/>
      <c r="T19" s="757"/>
      <c r="U19" s="757"/>
      <c r="V19" s="757"/>
      <c r="W19" s="757"/>
      <c r="X19" s="757"/>
      <c r="Y19" s="757"/>
      <c r="Z19" s="757"/>
      <c r="AA19" s="757"/>
      <c r="AB19" s="757"/>
      <c r="AC19" s="757"/>
      <c r="AD19" s="757"/>
      <c r="AE19" s="757"/>
      <c r="AF19" s="757"/>
      <c r="AG19" s="757"/>
      <c r="AH19" s="757"/>
      <c r="AI19" s="757"/>
      <c r="AJ19" s="757"/>
      <c r="AK19" s="757"/>
      <c r="AL19" s="757"/>
      <c r="AM19" s="757"/>
      <c r="AN19" s="757"/>
      <c r="AO19" s="757"/>
    </row>
    <row r="20" spans="1:41" ht="18.75" customHeight="1" x14ac:dyDescent="0.35">
      <c r="A20" s="757"/>
      <c r="B20" s="762" t="s">
        <v>1320</v>
      </c>
      <c r="C20" s="762"/>
      <c r="D20" s="757"/>
      <c r="E20" s="770" t="str">
        <f>IFERROR(IF(I80,"",ROUNDDOWN((LOCTotalSecurityExposure+LOCLMICapitalisedPremium)/SUMIF($K$51:$AD$51,"Security",$K$49:$AD$49),4)),"")</f>
        <v/>
      </c>
      <c r="F20" s="757"/>
      <c r="G20" s="1756"/>
      <c r="H20" s="1757"/>
      <c r="I20" s="1757"/>
      <c r="J20" s="1757"/>
      <c r="K20" s="1757"/>
      <c r="L20" s="1757"/>
      <c r="M20" s="1757"/>
      <c r="N20" s="1757"/>
      <c r="O20" s="1758"/>
      <c r="P20" s="758"/>
      <c r="Q20" s="758"/>
      <c r="R20" s="758"/>
      <c r="S20" s="757"/>
      <c r="T20" s="757"/>
      <c r="U20" s="757"/>
      <c r="V20" s="757"/>
      <c r="W20" s="757"/>
      <c r="X20" s="757"/>
      <c r="Y20" s="757"/>
      <c r="Z20" s="757"/>
      <c r="AA20" s="757"/>
      <c r="AB20" s="757"/>
      <c r="AC20" s="757"/>
      <c r="AD20" s="757"/>
      <c r="AE20" s="757"/>
      <c r="AF20" s="757"/>
      <c r="AG20" s="757"/>
      <c r="AH20" s="757"/>
      <c r="AI20" s="757"/>
      <c r="AJ20" s="757"/>
      <c r="AK20" s="757"/>
      <c r="AL20" s="757"/>
      <c r="AM20" s="757"/>
      <c r="AN20" s="757"/>
      <c r="AO20" s="757"/>
    </row>
    <row r="21" spans="1:41" ht="18.75" customHeight="1" x14ac:dyDescent="0.35">
      <c r="A21" s="757"/>
      <c r="B21" s="772" t="s">
        <v>1318</v>
      </c>
      <c r="C21" s="772"/>
      <c r="D21" s="757"/>
      <c r="E21" s="842" t="str">
        <f>IFERROR(IF(I80,"",ROUNDDOWN(LOCTotalSecurityExposure/LOCTotalSecurityMarketValue,4)),"")</f>
        <v/>
      </c>
      <c r="F21" s="757"/>
      <c r="G21" s="1759"/>
      <c r="H21" s="1760"/>
      <c r="I21" s="1760"/>
      <c r="J21" s="1760"/>
      <c r="K21" s="1760"/>
      <c r="L21" s="1760"/>
      <c r="M21" s="1760"/>
      <c r="N21" s="1760"/>
      <c r="O21" s="1761"/>
      <c r="P21" s="758"/>
      <c r="Q21" s="758"/>
      <c r="R21" s="758"/>
      <c r="S21" s="757"/>
      <c r="T21" s="757"/>
      <c r="U21" s="757"/>
      <c r="V21" s="757"/>
      <c r="W21" s="757"/>
      <c r="X21" s="757"/>
      <c r="Y21" s="757"/>
      <c r="Z21" s="757"/>
      <c r="AA21" s="757"/>
      <c r="AB21" s="757"/>
      <c r="AC21" s="757"/>
      <c r="AD21" s="757"/>
      <c r="AE21" s="757"/>
      <c r="AF21" s="757"/>
      <c r="AG21" s="757"/>
      <c r="AH21" s="757"/>
      <c r="AI21" s="757"/>
      <c r="AJ21" s="757"/>
      <c r="AK21" s="757"/>
      <c r="AL21" s="757"/>
      <c r="AM21" s="757"/>
      <c r="AN21" s="757"/>
      <c r="AO21" s="757"/>
    </row>
    <row r="22" spans="1:41" ht="7.5" customHeight="1" x14ac:dyDescent="0.35">
      <c r="A22" s="757"/>
      <c r="B22" s="757"/>
      <c r="C22" s="757"/>
      <c r="D22" s="757"/>
      <c r="E22" s="757"/>
      <c r="F22" s="757"/>
      <c r="G22" s="757"/>
      <c r="H22" s="757"/>
      <c r="I22" s="757"/>
      <c r="J22" s="757"/>
      <c r="K22" s="757"/>
      <c r="L22" s="757"/>
      <c r="M22" s="757"/>
      <c r="N22" s="758"/>
      <c r="O22" s="758"/>
      <c r="P22" s="758"/>
      <c r="Q22" s="758"/>
      <c r="R22" s="758"/>
      <c r="S22" s="757"/>
      <c r="T22" s="757"/>
      <c r="U22" s="757"/>
      <c r="V22" s="757"/>
      <c r="W22" s="757"/>
      <c r="X22" s="757"/>
      <c r="Y22" s="757"/>
      <c r="Z22" s="757"/>
      <c r="AA22" s="757"/>
      <c r="AB22" s="757"/>
      <c r="AC22" s="757"/>
      <c r="AD22" s="757"/>
      <c r="AE22" s="757"/>
      <c r="AF22" s="757"/>
      <c r="AG22" s="757"/>
      <c r="AH22" s="757"/>
      <c r="AI22" s="757"/>
      <c r="AJ22" s="757"/>
      <c r="AK22" s="757"/>
      <c r="AL22" s="757"/>
      <c r="AM22" s="757"/>
      <c r="AN22" s="757"/>
      <c r="AO22" s="757"/>
    </row>
    <row r="23" spans="1:41" ht="12.75" customHeight="1" x14ac:dyDescent="0.35">
      <c r="A23" s="771"/>
      <c r="B23" s="757"/>
      <c r="C23" s="757"/>
      <c r="D23" s="773"/>
      <c r="E23" s="757"/>
      <c r="F23" s="757"/>
      <c r="G23" s="757"/>
      <c r="H23" s="757"/>
      <c r="I23" s="757"/>
      <c r="J23" s="757"/>
      <c r="K23" s="757"/>
      <c r="L23" s="757"/>
      <c r="M23" s="757"/>
      <c r="N23" s="773"/>
      <c r="O23" s="834" t="str">
        <f>LEN(G14) &amp; " / 1200"</f>
        <v>0 / 1200</v>
      </c>
      <c r="P23" s="758"/>
      <c r="Q23" s="758"/>
      <c r="R23" s="758"/>
      <c r="S23" s="757"/>
      <c r="T23" s="757"/>
      <c r="U23" s="757"/>
      <c r="V23" s="757"/>
      <c r="W23" s="757"/>
      <c r="X23" s="757"/>
      <c r="Y23" s="757"/>
      <c r="Z23" s="757"/>
      <c r="AA23" s="757"/>
      <c r="AB23" s="757"/>
      <c r="AC23" s="757"/>
      <c r="AD23" s="757"/>
      <c r="AE23" s="757"/>
      <c r="AF23" s="757"/>
      <c r="AG23" s="757"/>
      <c r="AH23" s="757"/>
      <c r="AI23" s="757"/>
      <c r="AJ23" s="757"/>
      <c r="AK23" s="757"/>
      <c r="AL23" s="757"/>
      <c r="AM23" s="757"/>
      <c r="AN23" s="757"/>
      <c r="AO23" s="757"/>
    </row>
    <row r="24" spans="1:41" ht="7.5" customHeight="1" x14ac:dyDescent="0.35">
      <c r="A24" s="757"/>
      <c r="B24" s="757"/>
      <c r="C24" s="757"/>
      <c r="D24" s="757"/>
      <c r="E24" s="757"/>
      <c r="F24" s="757"/>
      <c r="G24" s="757"/>
      <c r="H24" s="757"/>
      <c r="I24" s="757"/>
      <c r="J24" s="757"/>
      <c r="K24" s="757"/>
      <c r="L24" s="757"/>
      <c r="M24" s="757"/>
      <c r="N24" s="757"/>
      <c r="O24" s="757"/>
      <c r="P24" s="758"/>
      <c r="Q24" s="757"/>
      <c r="R24" s="757"/>
      <c r="S24" s="757"/>
      <c r="T24" s="757"/>
      <c r="U24" s="757"/>
      <c r="V24" s="757"/>
      <c r="W24" s="757"/>
      <c r="X24" s="757"/>
      <c r="Y24" s="757"/>
      <c r="Z24" s="757"/>
      <c r="AA24" s="757"/>
      <c r="AB24" s="757"/>
      <c r="AC24" s="757"/>
      <c r="AD24" s="757"/>
      <c r="AE24" s="757"/>
      <c r="AF24" s="757"/>
      <c r="AG24" s="757"/>
      <c r="AH24" s="757"/>
      <c r="AI24" s="757"/>
      <c r="AJ24" s="757"/>
      <c r="AK24" s="757"/>
      <c r="AL24" s="757"/>
      <c r="AM24" s="757"/>
      <c r="AN24" s="757"/>
      <c r="AO24" s="757"/>
    </row>
    <row r="25" spans="1:41" ht="18.75" hidden="1" customHeight="1" x14ac:dyDescent="0.35">
      <c r="A25" s="808"/>
      <c r="B25" s="830" t="s">
        <v>1351</v>
      </c>
      <c r="C25" s="808"/>
      <c r="D25" s="831"/>
      <c r="E25" s="831"/>
      <c r="F25" s="831"/>
      <c r="G25" s="831"/>
      <c r="H25" s="831"/>
      <c r="I25" s="831"/>
      <c r="J25" s="831"/>
      <c r="K25" s="831"/>
      <c r="L25" s="831"/>
      <c r="M25" s="831"/>
      <c r="N25" s="831"/>
      <c r="O25" s="831"/>
      <c r="P25" s="809"/>
      <c r="Q25" s="808"/>
      <c r="R25" s="808"/>
      <c r="S25" s="808"/>
      <c r="T25" s="808"/>
      <c r="U25" s="808"/>
      <c r="V25" s="808"/>
      <c r="W25" s="808"/>
      <c r="X25" s="808"/>
      <c r="Y25" s="808"/>
      <c r="Z25" s="808"/>
      <c r="AA25" s="808"/>
      <c r="AB25" s="808"/>
      <c r="AC25" s="808"/>
      <c r="AD25" s="808"/>
      <c r="AE25" s="808"/>
      <c r="AF25" s="808"/>
      <c r="AG25" s="757"/>
      <c r="AH25" s="757"/>
      <c r="AI25" s="757"/>
      <c r="AJ25" s="757"/>
      <c r="AK25" s="757"/>
      <c r="AL25" s="757"/>
      <c r="AM25" s="757"/>
      <c r="AN25" s="757"/>
      <c r="AO25" s="757"/>
    </row>
    <row r="26" spans="1:41" ht="13.5" hidden="1" customHeight="1" x14ac:dyDescent="0.3">
      <c r="A26" s="757"/>
      <c r="B26" s="757"/>
      <c r="C26" s="757"/>
      <c r="D26" s="757"/>
      <c r="E26" s="757"/>
      <c r="F26" s="757"/>
      <c r="G26" s="757"/>
      <c r="H26" s="757"/>
      <c r="I26" s="757"/>
      <c r="J26" s="757"/>
      <c r="K26" s="757"/>
      <c r="L26" s="757"/>
      <c r="M26" s="757"/>
      <c r="N26" s="757"/>
      <c r="O26" s="757"/>
      <c r="P26" s="757"/>
      <c r="Q26" s="757"/>
      <c r="R26" s="757"/>
      <c r="S26" s="757"/>
      <c r="T26" s="757"/>
      <c r="U26" s="757"/>
      <c r="V26" s="757"/>
      <c r="W26" s="757"/>
      <c r="X26" s="757"/>
      <c r="Y26" s="757"/>
      <c r="Z26" s="757"/>
      <c r="AA26" s="757"/>
      <c r="AB26" s="757"/>
      <c r="AC26" s="757"/>
      <c r="AD26" s="757"/>
      <c r="AE26" s="757"/>
      <c r="AF26" s="757"/>
      <c r="AG26" s="757"/>
      <c r="AH26" s="757"/>
      <c r="AI26" s="757"/>
      <c r="AJ26" s="757"/>
      <c r="AK26" s="757"/>
      <c r="AL26" s="757"/>
      <c r="AM26" s="757"/>
      <c r="AN26" s="757"/>
      <c r="AO26" s="757"/>
    </row>
    <row r="27" spans="1:41" ht="18.75" hidden="1" customHeight="1" x14ac:dyDescent="0.35">
      <c r="A27" s="757"/>
      <c r="B27" s="757"/>
      <c r="C27" s="772" t="s">
        <v>1379</v>
      </c>
      <c r="D27" s="757"/>
      <c r="E27" s="757"/>
      <c r="F27" s="757"/>
      <c r="G27" s="863"/>
      <c r="H27" s="758"/>
      <c r="I27" s="1748" t="s">
        <v>1322</v>
      </c>
      <c r="J27" s="1748"/>
      <c r="K27" s="1748"/>
      <c r="L27" s="1748"/>
      <c r="M27" s="1748"/>
      <c r="N27" s="1748"/>
      <c r="O27" s="1748"/>
      <c r="P27" s="757"/>
      <c r="Q27" s="757"/>
      <c r="R27" s="757"/>
      <c r="S27" s="757"/>
      <c r="T27" s="757"/>
      <c r="U27" s="757"/>
      <c r="V27" s="757"/>
      <c r="W27" s="757"/>
      <c r="X27" s="757"/>
      <c r="Y27" s="757"/>
      <c r="Z27" s="757"/>
      <c r="AA27" s="757"/>
      <c r="AB27" s="757"/>
      <c r="AC27" s="757"/>
      <c r="AD27" s="757"/>
      <c r="AE27" s="757"/>
      <c r="AF27" s="757"/>
      <c r="AG27" s="757"/>
      <c r="AH27" s="757"/>
      <c r="AI27" s="757"/>
      <c r="AJ27" s="757"/>
      <c r="AK27" s="757"/>
      <c r="AL27" s="757"/>
      <c r="AM27" s="757"/>
      <c r="AN27" s="757"/>
      <c r="AO27" s="757"/>
    </row>
    <row r="28" spans="1:41" ht="18.75" hidden="1" customHeight="1" x14ac:dyDescent="0.35">
      <c r="A28" s="757"/>
      <c r="B28" s="757"/>
      <c r="C28" s="772"/>
      <c r="D28" s="757"/>
      <c r="E28" s="757"/>
      <c r="F28" s="757"/>
      <c r="G28" s="758"/>
      <c r="H28" s="757"/>
      <c r="I28" s="1749"/>
      <c r="J28" s="1749"/>
      <c r="K28" s="1749"/>
      <c r="L28" s="1749"/>
      <c r="M28" s="1749"/>
      <c r="N28" s="1749"/>
      <c r="O28" s="1749"/>
      <c r="P28" s="757"/>
      <c r="Q28" s="757"/>
      <c r="R28" s="757"/>
      <c r="S28" s="757"/>
      <c r="T28" s="757"/>
      <c r="U28" s="757"/>
      <c r="V28" s="757"/>
      <c r="W28" s="757"/>
      <c r="X28" s="757"/>
      <c r="Y28" s="757"/>
      <c r="Z28" s="757"/>
      <c r="AA28" s="757"/>
      <c r="AB28" s="757"/>
      <c r="AC28" s="757"/>
      <c r="AD28" s="757"/>
      <c r="AE28" s="757"/>
      <c r="AF28" s="757"/>
      <c r="AG28" s="757"/>
      <c r="AH28" s="757"/>
      <c r="AI28" s="757"/>
      <c r="AJ28" s="757"/>
      <c r="AK28" s="757"/>
      <c r="AL28" s="757"/>
      <c r="AM28" s="757"/>
      <c r="AN28" s="757"/>
      <c r="AO28" s="757"/>
    </row>
    <row r="29" spans="1:41" ht="7.5" hidden="1" customHeight="1" x14ac:dyDescent="0.35">
      <c r="A29" s="757"/>
      <c r="B29" s="757"/>
      <c r="C29" s="757"/>
      <c r="D29" s="775"/>
      <c r="E29" s="775"/>
      <c r="F29" s="776"/>
      <c r="G29" s="776"/>
      <c r="H29" s="777"/>
      <c r="I29" s="777"/>
      <c r="J29" s="777"/>
      <c r="K29" s="777"/>
      <c r="L29" s="777"/>
      <c r="M29" s="777"/>
      <c r="N29" s="757"/>
      <c r="O29" s="757"/>
      <c r="P29" s="757"/>
      <c r="Q29" s="757"/>
      <c r="R29" s="757"/>
      <c r="S29" s="757"/>
      <c r="T29" s="757"/>
      <c r="U29" s="757"/>
      <c r="V29" s="757"/>
      <c r="W29" s="757"/>
      <c r="X29" s="757"/>
      <c r="Y29" s="757"/>
      <c r="Z29" s="757"/>
      <c r="AA29" s="757"/>
      <c r="AB29" s="757"/>
      <c r="AC29" s="757"/>
      <c r="AD29" s="757"/>
      <c r="AE29" s="757"/>
      <c r="AF29" s="757"/>
      <c r="AG29" s="757"/>
      <c r="AH29" s="757"/>
      <c r="AI29" s="757"/>
      <c r="AJ29" s="757"/>
      <c r="AK29" s="757"/>
      <c r="AL29" s="757"/>
      <c r="AM29" s="757"/>
      <c r="AN29" s="757"/>
      <c r="AO29" s="757"/>
    </row>
    <row r="30" spans="1:41" ht="18.75" hidden="1" customHeight="1" x14ac:dyDescent="0.35">
      <c r="A30" s="757"/>
      <c r="B30" s="757"/>
      <c r="C30" s="772" t="s">
        <v>1323</v>
      </c>
      <c r="D30" s="775"/>
      <c r="E30" s="775"/>
      <c r="F30" s="776"/>
      <c r="G30" s="778"/>
      <c r="H30" s="758"/>
      <c r="I30" s="1748" t="s">
        <v>1324</v>
      </c>
      <c r="J30" s="1748"/>
      <c r="K30" s="1748"/>
      <c r="L30" s="1748"/>
      <c r="M30" s="1748"/>
      <c r="N30" s="1748"/>
      <c r="O30" s="1748"/>
      <c r="P30" s="757"/>
      <c r="Q30" s="757"/>
      <c r="R30" s="757"/>
      <c r="S30" s="757"/>
      <c r="T30" s="757"/>
      <c r="U30" s="757"/>
      <c r="V30" s="757"/>
      <c r="W30" s="757"/>
      <c r="X30" s="757"/>
      <c r="Y30" s="757"/>
      <c r="Z30" s="757"/>
      <c r="AA30" s="757"/>
      <c r="AB30" s="757"/>
      <c r="AC30" s="757"/>
      <c r="AD30" s="757"/>
      <c r="AE30" s="757"/>
      <c r="AF30" s="757"/>
      <c r="AG30" s="757"/>
      <c r="AH30" s="757"/>
      <c r="AI30" s="757"/>
      <c r="AJ30" s="757"/>
      <c r="AK30" s="757"/>
      <c r="AL30" s="757"/>
      <c r="AM30" s="757"/>
      <c r="AN30" s="757"/>
      <c r="AO30" s="757"/>
    </row>
    <row r="31" spans="1:41" ht="18.75" hidden="1" customHeight="1" x14ac:dyDescent="0.35">
      <c r="A31" s="757"/>
      <c r="B31" s="757"/>
      <c r="C31" s="772"/>
      <c r="D31" s="775"/>
      <c r="E31" s="775"/>
      <c r="F31" s="776"/>
      <c r="G31" s="758"/>
      <c r="H31" s="758"/>
      <c r="I31" s="1749"/>
      <c r="J31" s="1749"/>
      <c r="K31" s="1749"/>
      <c r="L31" s="1749"/>
      <c r="M31" s="1749"/>
      <c r="N31" s="1749"/>
      <c r="O31" s="1749"/>
      <c r="P31" s="757"/>
      <c r="Q31" s="757"/>
      <c r="R31" s="757"/>
      <c r="S31" s="757"/>
      <c r="T31" s="757"/>
      <c r="U31" s="757"/>
      <c r="V31" s="757"/>
      <c r="W31" s="757"/>
      <c r="X31" s="757"/>
      <c r="Y31" s="757"/>
      <c r="Z31" s="757"/>
      <c r="AA31" s="757"/>
      <c r="AB31" s="757"/>
      <c r="AC31" s="757"/>
      <c r="AD31" s="757"/>
      <c r="AE31" s="757"/>
      <c r="AF31" s="757"/>
      <c r="AG31" s="757"/>
      <c r="AH31" s="757"/>
      <c r="AI31" s="757"/>
      <c r="AJ31" s="757"/>
      <c r="AK31" s="757"/>
      <c r="AL31" s="757"/>
      <c r="AM31" s="757"/>
      <c r="AN31" s="757"/>
      <c r="AO31" s="757"/>
    </row>
    <row r="32" spans="1:41" ht="7.5" hidden="1" customHeight="1" x14ac:dyDescent="0.35">
      <c r="A32" s="757"/>
      <c r="B32" s="757"/>
      <c r="C32" s="775"/>
      <c r="D32" s="775"/>
      <c r="E32" s="775"/>
      <c r="F32" s="776"/>
      <c r="G32" s="776"/>
      <c r="H32" s="758"/>
      <c r="I32" s="777"/>
      <c r="J32" s="777"/>
      <c r="K32" s="777"/>
      <c r="L32" s="777"/>
      <c r="M32" s="777"/>
      <c r="N32" s="757"/>
      <c r="O32" s="757"/>
      <c r="P32" s="757"/>
      <c r="Q32" s="757"/>
      <c r="R32" s="757"/>
      <c r="S32" s="757"/>
      <c r="T32" s="757"/>
      <c r="U32" s="757"/>
      <c r="V32" s="757"/>
      <c r="W32" s="757"/>
      <c r="X32" s="757"/>
      <c r="Y32" s="757"/>
      <c r="Z32" s="757"/>
      <c r="AA32" s="757"/>
      <c r="AB32" s="757"/>
      <c r="AC32" s="757"/>
      <c r="AD32" s="757"/>
      <c r="AE32" s="757"/>
      <c r="AF32" s="757"/>
      <c r="AG32" s="757"/>
      <c r="AH32" s="757"/>
      <c r="AI32" s="757"/>
      <c r="AJ32" s="757"/>
      <c r="AK32" s="757"/>
      <c r="AL32" s="757"/>
      <c r="AM32" s="757"/>
      <c r="AN32" s="757"/>
      <c r="AO32" s="757"/>
    </row>
    <row r="33" spans="1:41" ht="18.75" hidden="1" customHeight="1" x14ac:dyDescent="0.35">
      <c r="A33" s="757"/>
      <c r="B33" s="757"/>
      <c r="C33" s="1752" t="s">
        <v>1325</v>
      </c>
      <c r="D33" s="1752"/>
      <c r="E33" s="1752"/>
      <c r="F33" s="776"/>
      <c r="G33" s="778"/>
      <c r="H33" s="758"/>
      <c r="I33" s="1748" t="s">
        <v>1326</v>
      </c>
      <c r="J33" s="1748"/>
      <c r="K33" s="1748"/>
      <c r="L33" s="1748"/>
      <c r="M33" s="1748"/>
      <c r="N33" s="1748"/>
      <c r="O33" s="1748"/>
      <c r="P33" s="757"/>
      <c r="Q33" s="757"/>
      <c r="R33" s="757"/>
      <c r="S33" s="757"/>
      <c r="T33" s="757"/>
      <c r="U33" s="757"/>
      <c r="V33" s="757"/>
      <c r="W33" s="757"/>
      <c r="X33" s="757"/>
      <c r="Y33" s="757"/>
      <c r="Z33" s="757"/>
      <c r="AA33" s="757"/>
      <c r="AB33" s="757"/>
      <c r="AC33" s="757"/>
      <c r="AD33" s="757"/>
      <c r="AE33" s="757"/>
      <c r="AF33" s="779"/>
      <c r="AG33" s="757"/>
      <c r="AH33" s="757"/>
      <c r="AI33" s="757"/>
      <c r="AJ33" s="757"/>
      <c r="AK33" s="757"/>
      <c r="AL33" s="757"/>
      <c r="AM33" s="757"/>
      <c r="AN33" s="757"/>
      <c r="AO33" s="757"/>
    </row>
    <row r="34" spans="1:41" ht="18.75" hidden="1" customHeight="1" x14ac:dyDescent="0.3">
      <c r="A34" s="757"/>
      <c r="B34" s="757"/>
      <c r="C34" s="1752"/>
      <c r="D34" s="1752"/>
      <c r="E34" s="1752"/>
      <c r="F34" s="776"/>
      <c r="G34" s="776"/>
      <c r="H34" s="757"/>
      <c r="I34" s="1749"/>
      <c r="J34" s="1749"/>
      <c r="K34" s="1749"/>
      <c r="L34" s="1749"/>
      <c r="M34" s="1749"/>
      <c r="N34" s="1749"/>
      <c r="O34" s="1749"/>
      <c r="P34" s="757"/>
      <c r="Q34" s="757"/>
      <c r="R34" s="757"/>
      <c r="S34" s="757"/>
      <c r="T34" s="757"/>
      <c r="U34" s="757"/>
      <c r="V34" s="757"/>
      <c r="W34" s="757"/>
      <c r="X34" s="757"/>
      <c r="Y34" s="757"/>
      <c r="Z34" s="757"/>
      <c r="AA34" s="757"/>
      <c r="AB34" s="757"/>
      <c r="AC34" s="757"/>
      <c r="AD34" s="757"/>
      <c r="AE34" s="757"/>
      <c r="AF34" s="779"/>
      <c r="AG34" s="757"/>
      <c r="AH34" s="757"/>
      <c r="AI34" s="757"/>
      <c r="AJ34" s="757"/>
      <c r="AK34" s="757"/>
      <c r="AL34" s="757"/>
      <c r="AM34" s="757"/>
      <c r="AN34" s="757"/>
      <c r="AO34" s="757"/>
    </row>
    <row r="35" spans="1:41" ht="7.5" hidden="1" customHeight="1" x14ac:dyDescent="0.35">
      <c r="A35" s="757"/>
      <c r="B35" s="757"/>
      <c r="C35" s="1752"/>
      <c r="D35" s="1752"/>
      <c r="E35" s="1752"/>
      <c r="F35" s="776"/>
      <c r="G35" s="776"/>
      <c r="H35" s="758"/>
      <c r="I35" s="758"/>
      <c r="J35" s="758"/>
      <c r="K35" s="758"/>
      <c r="L35" s="758"/>
      <c r="M35" s="758"/>
      <c r="N35" s="757"/>
      <c r="O35" s="757"/>
      <c r="P35" s="757"/>
      <c r="Q35" s="757"/>
      <c r="R35" s="757"/>
      <c r="S35" s="757"/>
      <c r="T35" s="757"/>
      <c r="U35" s="757"/>
      <c r="V35" s="757"/>
      <c r="W35" s="757"/>
      <c r="X35" s="757"/>
      <c r="Y35" s="757"/>
      <c r="Z35" s="757"/>
      <c r="AA35" s="757"/>
      <c r="AB35" s="757"/>
      <c r="AC35" s="757"/>
      <c r="AD35" s="757"/>
      <c r="AE35" s="757"/>
      <c r="AF35" s="779"/>
      <c r="AG35" s="757"/>
      <c r="AH35" s="757"/>
      <c r="AI35" s="757"/>
      <c r="AJ35" s="757"/>
      <c r="AK35" s="757"/>
      <c r="AL35" s="757"/>
      <c r="AM35" s="757"/>
      <c r="AN35" s="757"/>
      <c r="AO35" s="757"/>
    </row>
    <row r="36" spans="1:41" ht="7.5" hidden="1" customHeight="1" x14ac:dyDescent="0.3">
      <c r="A36" s="757"/>
      <c r="B36" s="757"/>
      <c r="C36" s="780"/>
      <c r="D36" s="781"/>
      <c r="E36" s="781"/>
      <c r="F36" s="781"/>
      <c r="G36" s="757"/>
      <c r="H36" s="757"/>
      <c r="I36" s="757"/>
      <c r="J36" s="757"/>
      <c r="K36" s="757"/>
      <c r="L36" s="757"/>
      <c r="M36" s="757"/>
      <c r="N36" s="757"/>
      <c r="O36" s="757"/>
      <c r="P36" s="757"/>
      <c r="Q36" s="757"/>
      <c r="R36" s="757"/>
      <c r="S36" s="757"/>
      <c r="T36" s="757"/>
      <c r="U36" s="757"/>
      <c r="V36" s="757"/>
      <c r="W36" s="757"/>
      <c r="X36" s="757"/>
      <c r="Y36" s="757"/>
      <c r="Z36" s="757"/>
      <c r="AA36" s="757"/>
      <c r="AB36" s="757"/>
      <c r="AC36" s="757"/>
      <c r="AD36" s="757"/>
      <c r="AE36" s="757"/>
      <c r="AF36" s="779"/>
      <c r="AG36" s="757"/>
      <c r="AH36" s="757"/>
      <c r="AI36" s="757"/>
      <c r="AJ36" s="757"/>
      <c r="AK36" s="757"/>
      <c r="AL36" s="757"/>
      <c r="AM36" s="757"/>
      <c r="AN36" s="757"/>
      <c r="AO36" s="757"/>
    </row>
    <row r="37" spans="1:41" ht="18.75" customHeight="1" x14ac:dyDescent="0.3">
      <c r="A37" s="832"/>
      <c r="B37" s="829" t="s">
        <v>1327</v>
      </c>
      <c r="C37" s="832"/>
      <c r="D37" s="833"/>
      <c r="E37" s="833"/>
      <c r="F37" s="833"/>
      <c r="G37" s="833"/>
      <c r="H37" s="833"/>
      <c r="I37" s="833"/>
      <c r="J37" s="833"/>
      <c r="K37" s="833"/>
      <c r="L37" s="833"/>
      <c r="M37" s="833"/>
      <c r="N37" s="833"/>
      <c r="O37" s="833"/>
      <c r="P37" s="833"/>
      <c r="Q37" s="833"/>
      <c r="R37" s="833"/>
      <c r="S37" s="833"/>
      <c r="T37" s="833"/>
      <c r="U37" s="833"/>
      <c r="V37" s="833"/>
      <c r="W37" s="833"/>
      <c r="X37" s="833"/>
      <c r="Y37" s="833"/>
      <c r="Z37" s="833"/>
      <c r="AA37" s="833"/>
      <c r="AB37" s="833"/>
      <c r="AC37" s="833"/>
      <c r="AD37" s="833"/>
      <c r="AE37" s="833"/>
      <c r="AF37" s="833"/>
      <c r="AG37" s="757"/>
      <c r="AH37" s="757"/>
      <c r="AI37" s="757"/>
      <c r="AJ37" s="757"/>
      <c r="AK37" s="757"/>
      <c r="AL37" s="757"/>
      <c r="AM37" s="757"/>
      <c r="AN37" s="757"/>
      <c r="AO37" s="757"/>
    </row>
    <row r="38" spans="1:41" ht="7.5" customHeight="1" x14ac:dyDescent="0.35">
      <c r="A38" s="757"/>
      <c r="B38" s="757"/>
      <c r="C38" s="757"/>
      <c r="D38" s="757"/>
      <c r="E38" s="757"/>
      <c r="F38" s="757"/>
      <c r="G38" s="757"/>
      <c r="H38" s="757"/>
      <c r="I38" s="757"/>
      <c r="J38" s="757"/>
      <c r="K38" s="757"/>
      <c r="L38" s="782" t="b">
        <f>NOT(OR(ISBLANK(L40),ISBLANK(L43),ISBLANK(L46),ISBLANK(L47)))</f>
        <v>0</v>
      </c>
      <c r="M38" s="757"/>
      <c r="N38" s="757"/>
      <c r="O38" s="757"/>
      <c r="P38" s="757"/>
      <c r="Q38" s="757"/>
      <c r="R38" s="757"/>
      <c r="S38" s="757"/>
      <c r="T38" s="757"/>
      <c r="U38" s="757"/>
      <c r="V38" s="757"/>
      <c r="W38" s="757"/>
      <c r="X38" s="757"/>
      <c r="Y38" s="757"/>
      <c r="Z38" s="757"/>
      <c r="AA38" s="757"/>
      <c r="AB38" s="757"/>
      <c r="AC38" s="757"/>
      <c r="AD38" s="757"/>
      <c r="AE38" s="757"/>
      <c r="AF38" s="779"/>
      <c r="AG38" s="757"/>
      <c r="AH38" s="757"/>
      <c r="AI38" s="757"/>
      <c r="AJ38" s="757"/>
      <c r="AK38" s="757"/>
      <c r="AL38" s="757"/>
      <c r="AM38" s="757"/>
      <c r="AN38" s="757"/>
      <c r="AO38" s="757"/>
    </row>
    <row r="39" spans="1:41" ht="22.5" customHeight="1" x14ac:dyDescent="0.35">
      <c r="A39" s="757"/>
      <c r="B39" s="757"/>
      <c r="C39" s="783"/>
      <c r="D39" s="757"/>
      <c r="E39" s="757"/>
      <c r="F39" s="757"/>
      <c r="G39" s="757"/>
      <c r="H39" s="757"/>
      <c r="I39" s="757"/>
      <c r="J39" s="757"/>
      <c r="K39" s="767" t="s">
        <v>1113</v>
      </c>
      <c r="L39" s="767" t="s">
        <v>1114</v>
      </c>
      <c r="M39" s="767" t="s">
        <v>1115</v>
      </c>
      <c r="N39" s="767" t="s">
        <v>1116</v>
      </c>
      <c r="O39" s="767" t="s">
        <v>1117</v>
      </c>
      <c r="P39" s="767" t="s">
        <v>1328</v>
      </c>
      <c r="Q39" s="767" t="s">
        <v>1329</v>
      </c>
      <c r="R39" s="767" t="s">
        <v>1330</v>
      </c>
      <c r="S39" s="767" t="s">
        <v>1331</v>
      </c>
      <c r="T39" s="767" t="s">
        <v>1332</v>
      </c>
      <c r="U39" s="767" t="s">
        <v>1333</v>
      </c>
      <c r="V39" s="767" t="s">
        <v>1334</v>
      </c>
      <c r="W39" s="767" t="s">
        <v>1335</v>
      </c>
      <c r="X39" s="767" t="s">
        <v>1336</v>
      </c>
      <c r="Y39" s="767" t="s">
        <v>1337</v>
      </c>
      <c r="Z39" s="767" t="s">
        <v>1338</v>
      </c>
      <c r="AA39" s="767" t="s">
        <v>1339</v>
      </c>
      <c r="AB39" s="767" t="s">
        <v>1340</v>
      </c>
      <c r="AC39" s="767" t="s">
        <v>1341</v>
      </c>
      <c r="AD39" s="767" t="s">
        <v>1342</v>
      </c>
      <c r="AE39" s="757"/>
      <c r="AF39" s="763">
        <f ca="1">SUM(IF(CELL("width",K39)&gt;0,1,0),IF(CELL("width",L39)&gt;0,1,0),IF(CELL("width",M39)&gt;0,1,0),IF(CELL("width",N39)&gt;0,1,0),IF(CELL("width",O39)&gt;0,1,0),IF(CELL("width",P39)&gt;0,1,0),IF(CELL("width",Q39)&gt;0,1,0),IF(CELL("width",R39)&gt;0,1,0),IF(CELL("width",S39)&gt;0,1,0),IF(CELL("width",T39)&gt;0,1,0),IF(CELL("width",U39)&gt;0,1,0),IF(CELL("width",V39)&gt;0,1,0),IF(CELL("width",W39)&gt;0,1,0),IF(CELL("width",X39)&gt;0,1,0),IF(CELL("width",Y39)&gt;0,1,0),IF(CELL("width",Z39)&gt;0,1,0),IF(CELL("width",AA39)&gt;0,1,0),IF(CELL("width",AB39)&gt;0,1,0),IF(CELL("width",AC39)&gt;0,1,0),IF(CELL("width",AD39)&gt;0,1,0))</f>
        <v>5</v>
      </c>
      <c r="AG39" s="757"/>
      <c r="AH39" s="757"/>
      <c r="AI39" s="757"/>
      <c r="AJ39" s="757"/>
      <c r="AK39" s="757"/>
      <c r="AL39" s="757"/>
      <c r="AM39" s="757"/>
      <c r="AN39" s="757"/>
      <c r="AO39" s="757"/>
    </row>
    <row r="40" spans="1:41" ht="18.75" customHeight="1" x14ac:dyDescent="0.35">
      <c r="A40" s="757"/>
      <c r="B40" s="757"/>
      <c r="C40" s="757"/>
      <c r="D40" s="757"/>
      <c r="E40" s="757"/>
      <c r="F40" s="757"/>
      <c r="G40" s="757"/>
      <c r="H40" s="757"/>
      <c r="I40" s="767" t="s">
        <v>1343</v>
      </c>
      <c r="J40" s="784"/>
      <c r="K40" s="1737"/>
      <c r="L40" s="1737"/>
      <c r="M40" s="1737"/>
      <c r="N40" s="1737"/>
      <c r="O40" s="1737"/>
      <c r="P40" s="1737"/>
      <c r="Q40" s="1737"/>
      <c r="R40" s="1737"/>
      <c r="S40" s="1737"/>
      <c r="T40" s="1737"/>
      <c r="U40" s="1737"/>
      <c r="V40" s="1737"/>
      <c r="W40" s="1737"/>
      <c r="X40" s="1737"/>
      <c r="Y40" s="1737"/>
      <c r="Z40" s="1737"/>
      <c r="AA40" s="1737"/>
      <c r="AB40" s="1737"/>
      <c r="AC40" s="1737"/>
      <c r="AD40" s="1737"/>
      <c r="AE40" s="757"/>
      <c r="AF40" s="779"/>
      <c r="AG40" s="757"/>
      <c r="AH40" s="757"/>
      <c r="AI40" s="757"/>
      <c r="AJ40" s="757"/>
      <c r="AK40" s="757"/>
      <c r="AL40" s="757"/>
      <c r="AM40" s="757"/>
      <c r="AN40" s="757"/>
      <c r="AO40" s="757"/>
    </row>
    <row r="41" spans="1:41" ht="18.75" customHeight="1" x14ac:dyDescent="0.35">
      <c r="A41" s="758"/>
      <c r="B41" s="835"/>
      <c r="C41" s="836" t="s">
        <v>1105</v>
      </c>
      <c r="D41" s="837"/>
      <c r="E41" s="837"/>
      <c r="F41" s="838"/>
      <c r="G41" s="757"/>
      <c r="H41" s="757"/>
      <c r="I41" s="767"/>
      <c r="J41" s="784"/>
      <c r="K41" s="1738"/>
      <c r="L41" s="1738"/>
      <c r="M41" s="1738"/>
      <c r="N41" s="1738"/>
      <c r="O41" s="1738"/>
      <c r="P41" s="1738"/>
      <c r="Q41" s="1738"/>
      <c r="R41" s="1738"/>
      <c r="S41" s="1738"/>
      <c r="T41" s="1738"/>
      <c r="U41" s="1738"/>
      <c r="V41" s="1738"/>
      <c r="W41" s="1738"/>
      <c r="X41" s="1738"/>
      <c r="Y41" s="1738"/>
      <c r="Z41" s="1738"/>
      <c r="AA41" s="1738"/>
      <c r="AB41" s="1738"/>
      <c r="AC41" s="1738"/>
      <c r="AD41" s="1738"/>
      <c r="AE41" s="757"/>
      <c r="AF41" s="779"/>
      <c r="AG41" s="757"/>
      <c r="AH41" s="757"/>
      <c r="AI41" s="757"/>
      <c r="AJ41" s="757"/>
      <c r="AK41" s="757"/>
      <c r="AL41" s="757"/>
      <c r="AM41" s="757"/>
      <c r="AN41" s="757"/>
      <c r="AO41" s="757"/>
    </row>
    <row r="42" spans="1:41" ht="18.75" customHeight="1" x14ac:dyDescent="0.35">
      <c r="A42" s="758"/>
      <c r="B42" s="785"/>
      <c r="C42" s="786"/>
      <c r="D42" s="786"/>
      <c r="E42" s="786"/>
      <c r="F42" s="787"/>
      <c r="G42" s="757"/>
      <c r="H42" s="757"/>
      <c r="I42" s="767"/>
      <c r="J42" s="784"/>
      <c r="K42" s="1739"/>
      <c r="L42" s="1739"/>
      <c r="M42" s="1739"/>
      <c r="N42" s="1739"/>
      <c r="O42" s="1739"/>
      <c r="P42" s="1739"/>
      <c r="Q42" s="1739"/>
      <c r="R42" s="1739"/>
      <c r="S42" s="1739"/>
      <c r="T42" s="1739"/>
      <c r="U42" s="1739"/>
      <c r="V42" s="1739"/>
      <c r="W42" s="1739"/>
      <c r="X42" s="1739"/>
      <c r="Y42" s="1739"/>
      <c r="Z42" s="1739"/>
      <c r="AA42" s="1739"/>
      <c r="AB42" s="1739"/>
      <c r="AC42" s="1739"/>
      <c r="AD42" s="1739"/>
      <c r="AE42" s="757"/>
      <c r="AF42" s="779"/>
      <c r="AG42" s="757"/>
      <c r="AH42" s="758" t="s">
        <v>1294</v>
      </c>
      <c r="AI42" s="760">
        <f>LOCAssessmentDate</f>
        <v>0</v>
      </c>
      <c r="AJ42" s="758" t="s">
        <v>1295</v>
      </c>
      <c r="AK42" s="758">
        <f>_xlfn.DAYS(EDATE(AI42,12),AI42)</f>
        <v>366</v>
      </c>
      <c r="AL42" s="758"/>
      <c r="AM42" s="758"/>
      <c r="AN42" s="758"/>
      <c r="AO42" s="758"/>
    </row>
    <row r="43" spans="1:41" ht="18" customHeight="1" x14ac:dyDescent="0.35">
      <c r="A43" s="758"/>
      <c r="B43" s="788"/>
      <c r="C43" s="1750" t="s">
        <v>1350</v>
      </c>
      <c r="D43" s="757"/>
      <c r="E43" s="789"/>
      <c r="F43" s="790"/>
      <c r="G43" s="757"/>
      <c r="H43" s="757"/>
      <c r="I43" s="791" t="s">
        <v>1344</v>
      </c>
      <c r="J43" s="758"/>
      <c r="K43" s="1737"/>
      <c r="L43" s="1737"/>
      <c r="M43" s="1737"/>
      <c r="N43" s="1737"/>
      <c r="O43" s="1737"/>
      <c r="P43" s="1737"/>
      <c r="Q43" s="1737"/>
      <c r="R43" s="1737"/>
      <c r="S43" s="1737"/>
      <c r="T43" s="1737"/>
      <c r="U43" s="1737"/>
      <c r="V43" s="1737"/>
      <c r="W43" s="1737"/>
      <c r="X43" s="1737"/>
      <c r="Y43" s="1737"/>
      <c r="Z43" s="1737"/>
      <c r="AA43" s="1737"/>
      <c r="AB43" s="1737"/>
      <c r="AC43" s="1737"/>
      <c r="AD43" s="1737"/>
      <c r="AE43" s="757"/>
      <c r="AF43" s="779"/>
      <c r="AG43" s="757"/>
      <c r="AH43" s="758" t="s">
        <v>1296</v>
      </c>
      <c r="AI43" s="761">
        <f>LOCBridgingLoanMonthlyFee</f>
        <v>8</v>
      </c>
      <c r="AJ43" s="758"/>
      <c r="AK43" s="758"/>
      <c r="AL43" s="758"/>
      <c r="AM43" s="758"/>
      <c r="AN43" s="758"/>
      <c r="AO43" s="758"/>
    </row>
    <row r="44" spans="1:41" ht="28.5" customHeight="1" x14ac:dyDescent="0.35">
      <c r="A44" s="758"/>
      <c r="B44" s="788"/>
      <c r="C44" s="1750"/>
      <c r="D44" s="757"/>
      <c r="E44" s="758"/>
      <c r="F44" s="790"/>
      <c r="G44" s="757"/>
      <c r="H44" s="757"/>
      <c r="I44" s="791"/>
      <c r="J44" s="758"/>
      <c r="K44" s="1738"/>
      <c r="L44" s="1738"/>
      <c r="M44" s="1738"/>
      <c r="N44" s="1738"/>
      <c r="O44" s="1738"/>
      <c r="P44" s="1738"/>
      <c r="Q44" s="1738"/>
      <c r="R44" s="1738"/>
      <c r="S44" s="1738"/>
      <c r="T44" s="1738"/>
      <c r="U44" s="1738"/>
      <c r="V44" s="1738"/>
      <c r="W44" s="1738"/>
      <c r="X44" s="1738"/>
      <c r="Y44" s="1738"/>
      <c r="Z44" s="1738"/>
      <c r="AA44" s="1738"/>
      <c r="AB44" s="1738"/>
      <c r="AC44" s="1738"/>
      <c r="AD44" s="1738"/>
      <c r="AE44" s="757"/>
      <c r="AF44" s="779"/>
      <c r="AG44" s="757"/>
      <c r="AH44" s="758" t="s">
        <v>1297</v>
      </c>
      <c r="AI44" s="758" t="s">
        <v>1298</v>
      </c>
      <c r="AJ44" s="758" t="s">
        <v>189</v>
      </c>
      <c r="AK44" s="758" t="s">
        <v>1299</v>
      </c>
      <c r="AL44" s="758" t="s">
        <v>1300</v>
      </c>
      <c r="AM44" s="758" t="s">
        <v>1301</v>
      </c>
      <c r="AN44" s="758" t="s">
        <v>1302</v>
      </c>
      <c r="AO44" s="758" t="s">
        <v>1303</v>
      </c>
    </row>
    <row r="45" spans="1:41" ht="18.75" customHeight="1" x14ac:dyDescent="0.35">
      <c r="A45" s="758"/>
      <c r="B45" s="788"/>
      <c r="C45" s="772" t="s">
        <v>802</v>
      </c>
      <c r="D45" s="757"/>
      <c r="E45" s="1428"/>
      <c r="F45" s="790"/>
      <c r="G45" s="757"/>
      <c r="H45" s="757"/>
      <c r="I45" s="792"/>
      <c r="J45" s="793"/>
      <c r="K45" s="1739"/>
      <c r="L45" s="1739"/>
      <c r="M45" s="1739"/>
      <c r="N45" s="1739"/>
      <c r="O45" s="1739"/>
      <c r="P45" s="1739"/>
      <c r="Q45" s="1739"/>
      <c r="R45" s="1739"/>
      <c r="S45" s="1739"/>
      <c r="T45" s="1739"/>
      <c r="U45" s="1739"/>
      <c r="V45" s="1739"/>
      <c r="W45" s="1739"/>
      <c r="X45" s="1739"/>
      <c r="Y45" s="1739"/>
      <c r="Z45" s="1739"/>
      <c r="AA45" s="1739"/>
      <c r="AB45" s="1739"/>
      <c r="AC45" s="1739"/>
      <c r="AD45" s="1739"/>
      <c r="AE45" s="757"/>
      <c r="AF45" s="779"/>
      <c r="AG45" s="757"/>
      <c r="AH45" s="758">
        <v>1</v>
      </c>
      <c r="AI45" s="761">
        <f>LOCBridgingLoanAmount</f>
        <v>0</v>
      </c>
      <c r="AJ45" s="758">
        <f>LOCBridgingLoanRate+(IF(AH45&gt;'Bridging Loan Calculator'!$X$33,VLOOKUP(SDVersionBrand,BLCICAPRateBuffers[],2,FALSE),0))+VLOOKUP(SDVersionBrand,BLCICAPRateBuffers[],3,FALSE)</f>
        <v>0.01</v>
      </c>
      <c r="AK45" s="828">
        <f t="shared" ref="AK45:AK56" si="0">AJ45/$AK$42</f>
        <v>2.7322404371584699E-5</v>
      </c>
      <c r="AL45" s="764">
        <f t="shared" ref="AL45:AL56" si="1">EDATE($AI$42,AH45-1)</f>
        <v>0</v>
      </c>
      <c r="AM45" s="764">
        <f t="shared" ref="AM45:AM56" si="2">EDATE($AI$42,AH45)-1</f>
        <v>30</v>
      </c>
      <c r="AN45" s="765">
        <f t="shared" ref="AN45:AN56" si="3">_xlfn.DAYS(AM45,AL45)+1</f>
        <v>31</v>
      </c>
      <c r="AO45" s="766">
        <f t="shared" ref="AO45:AO56" si="4">IF(SDVersionBrand = "WBC",ROUNDDOWN(AI45*AK45*AN45,2),ROUND(AI45*AK45*AN45,2))</f>
        <v>0</v>
      </c>
    </row>
    <row r="46" spans="1:41" ht="18.75" customHeight="1" x14ac:dyDescent="0.35">
      <c r="A46" s="758"/>
      <c r="B46" s="788"/>
      <c r="C46" s="772" t="s">
        <v>1305</v>
      </c>
      <c r="D46" s="757"/>
      <c r="E46" s="1428">
        <v>8</v>
      </c>
      <c r="F46" s="790"/>
      <c r="G46" s="757"/>
      <c r="H46" s="757"/>
      <c r="I46" s="767" t="s">
        <v>257</v>
      </c>
      <c r="J46" s="758"/>
      <c r="K46" s="1386"/>
      <c r="L46" s="1386"/>
      <c r="M46" s="1386"/>
      <c r="N46" s="1386"/>
      <c r="O46" s="1386"/>
      <c r="P46" s="1386"/>
      <c r="Q46" s="1386"/>
      <c r="R46" s="1386"/>
      <c r="S46" s="1386"/>
      <c r="T46" s="1386"/>
      <c r="U46" s="1386"/>
      <c r="V46" s="1386"/>
      <c r="W46" s="1386"/>
      <c r="X46" s="1386"/>
      <c r="Y46" s="1386"/>
      <c r="Z46" s="1386"/>
      <c r="AA46" s="1386"/>
      <c r="AB46" s="1386"/>
      <c r="AC46" s="1386"/>
      <c r="AD46" s="1386"/>
      <c r="AE46" s="757"/>
      <c r="AF46" s="779"/>
      <c r="AG46" s="757"/>
      <c r="AH46" s="758">
        <v>2</v>
      </c>
      <c r="AI46" s="761">
        <f t="shared" ref="AI46:AI57" si="5">AI45+AO45+$AI$43</f>
        <v>8</v>
      </c>
      <c r="AJ46" s="758">
        <f>LOCBridgingLoanRate+(IF(AH46&gt;'Bridging Loan Calculator'!$X$33,VLOOKUP(SDVersionBrand,BLCICAPRateBuffers[],2,FALSE),0))+VLOOKUP(SDVersionBrand,BLCICAPRateBuffers[],3,FALSE)</f>
        <v>0.01</v>
      </c>
      <c r="AK46" s="828">
        <f t="shared" si="0"/>
        <v>2.7322404371584699E-5</v>
      </c>
      <c r="AL46" s="764">
        <f t="shared" si="1"/>
        <v>31</v>
      </c>
      <c r="AM46" s="764">
        <f t="shared" si="2"/>
        <v>59</v>
      </c>
      <c r="AN46" s="765">
        <f t="shared" si="3"/>
        <v>29</v>
      </c>
      <c r="AO46" s="766">
        <f t="shared" si="4"/>
        <v>0</v>
      </c>
    </row>
    <row r="47" spans="1:41" ht="18.75" customHeight="1" x14ac:dyDescent="0.35">
      <c r="A47" s="758"/>
      <c r="B47" s="788"/>
      <c r="C47" s="772" t="s">
        <v>1345</v>
      </c>
      <c r="D47" s="757"/>
      <c r="E47" s="794"/>
      <c r="F47" s="790"/>
      <c r="G47" s="757"/>
      <c r="H47" s="757"/>
      <c r="I47" s="767" t="s">
        <v>176</v>
      </c>
      <c r="J47" s="758"/>
      <c r="K47" s="989"/>
      <c r="L47" s="989"/>
      <c r="M47" s="989"/>
      <c r="N47" s="989"/>
      <c r="O47" s="989"/>
      <c r="P47" s="989"/>
      <c r="Q47" s="989"/>
      <c r="R47" s="989"/>
      <c r="S47" s="989"/>
      <c r="T47" s="989"/>
      <c r="U47" s="989"/>
      <c r="V47" s="989"/>
      <c r="W47" s="989"/>
      <c r="X47" s="989"/>
      <c r="Y47" s="989"/>
      <c r="Z47" s="989"/>
      <c r="AA47" s="989"/>
      <c r="AB47" s="989"/>
      <c r="AC47" s="989"/>
      <c r="AD47" s="989"/>
      <c r="AE47" s="757"/>
      <c r="AF47" s="779"/>
      <c r="AG47" s="757"/>
      <c r="AH47" s="758">
        <v>3</v>
      </c>
      <c r="AI47" s="761">
        <f t="shared" si="5"/>
        <v>16</v>
      </c>
      <c r="AJ47" s="758">
        <f>LOCBridgingLoanRate+(IF(AH47&gt;'Bridging Loan Calculator'!$X$33,VLOOKUP(SDVersionBrand,BLCICAPRateBuffers[],2,FALSE),0))+VLOOKUP(SDVersionBrand,BLCICAPRateBuffers[],3,FALSE)</f>
        <v>0.01</v>
      </c>
      <c r="AK47" s="828">
        <f t="shared" si="0"/>
        <v>2.7322404371584699E-5</v>
      </c>
      <c r="AL47" s="764">
        <f t="shared" si="1"/>
        <v>60</v>
      </c>
      <c r="AM47" s="764">
        <f t="shared" si="2"/>
        <v>90</v>
      </c>
      <c r="AN47" s="765">
        <f t="shared" si="3"/>
        <v>31</v>
      </c>
      <c r="AO47" s="766">
        <f t="shared" si="4"/>
        <v>0.01</v>
      </c>
    </row>
    <row r="48" spans="1:41" ht="7.5" customHeight="1" x14ac:dyDescent="0.35">
      <c r="A48" s="758"/>
      <c r="B48" s="788"/>
      <c r="C48" s="757"/>
      <c r="D48" s="757"/>
      <c r="E48" s="757"/>
      <c r="F48" s="790"/>
      <c r="G48" s="757"/>
      <c r="H48" s="943"/>
      <c r="I48" s="796"/>
      <c r="J48" s="795"/>
      <c r="K48" s="795"/>
      <c r="L48" s="795"/>
      <c r="M48" s="795"/>
      <c r="N48" s="795"/>
      <c r="O48" s="795"/>
      <c r="P48" s="795"/>
      <c r="Q48" s="795"/>
      <c r="R48" s="795"/>
      <c r="S48" s="795"/>
      <c r="T48" s="795"/>
      <c r="U48" s="795"/>
      <c r="V48" s="795"/>
      <c r="W48" s="795"/>
      <c r="X48" s="795"/>
      <c r="Y48" s="795"/>
      <c r="Z48" s="795"/>
      <c r="AA48" s="795"/>
      <c r="AB48" s="795"/>
      <c r="AC48" s="795"/>
      <c r="AD48" s="795"/>
      <c r="AE48" s="797"/>
      <c r="AF48" s="779"/>
      <c r="AG48" s="757"/>
      <c r="AH48" s="758">
        <v>4</v>
      </c>
      <c r="AI48" s="761">
        <f t="shared" si="5"/>
        <v>24.01</v>
      </c>
      <c r="AJ48" s="758">
        <f>LOCBridgingLoanRate+(IF(AH48&gt;'Bridging Loan Calculator'!$X$33,VLOOKUP(SDVersionBrand,BLCICAPRateBuffers[],2,FALSE),0))+VLOOKUP(SDVersionBrand,BLCICAPRateBuffers[],3,FALSE)</f>
        <v>0.02</v>
      </c>
      <c r="AK48" s="828">
        <f t="shared" si="0"/>
        <v>5.4644808743169399E-5</v>
      </c>
      <c r="AL48" s="764">
        <f t="shared" si="1"/>
        <v>91</v>
      </c>
      <c r="AM48" s="764">
        <f t="shared" si="2"/>
        <v>120</v>
      </c>
      <c r="AN48" s="765">
        <f t="shared" si="3"/>
        <v>30</v>
      </c>
      <c r="AO48" s="766">
        <f t="shared" si="4"/>
        <v>0.03</v>
      </c>
    </row>
    <row r="49" spans="1:41" ht="18.75" customHeight="1" x14ac:dyDescent="0.35">
      <c r="A49" s="758"/>
      <c r="B49" s="788"/>
      <c r="C49" s="772" t="s">
        <v>1346</v>
      </c>
      <c r="D49" s="757"/>
      <c r="E49" s="1381">
        <f>IF(AND(LOCBridgingLoanFlag="Yes",NOT(ISBLANK(LOCBridgingLoanAmount)),NOT(ISBLANK(LOCBridgingLoanRate))),LOCCalculatedBridgingLoanTotalAmount,0)</f>
        <v>0</v>
      </c>
      <c r="F49" s="790"/>
      <c r="G49" s="757"/>
      <c r="H49" s="944"/>
      <c r="I49" s="945" t="s">
        <v>1352</v>
      </c>
      <c r="J49" s="946"/>
      <c r="K49" s="1381">
        <f t="shared" ref="K49:AD49" si="6">K46*K47</f>
        <v>0</v>
      </c>
      <c r="L49" s="1381">
        <f t="shared" si="6"/>
        <v>0</v>
      </c>
      <c r="M49" s="1381">
        <f t="shared" si="6"/>
        <v>0</v>
      </c>
      <c r="N49" s="1381">
        <f t="shared" si="6"/>
        <v>0</v>
      </c>
      <c r="O49" s="1381">
        <f t="shared" si="6"/>
        <v>0</v>
      </c>
      <c r="P49" s="1387">
        <f t="shared" si="6"/>
        <v>0</v>
      </c>
      <c r="Q49" s="1387">
        <f t="shared" si="6"/>
        <v>0</v>
      </c>
      <c r="R49" s="1387">
        <f t="shared" si="6"/>
        <v>0</v>
      </c>
      <c r="S49" s="1387">
        <f t="shared" si="6"/>
        <v>0</v>
      </c>
      <c r="T49" s="1387">
        <f t="shared" si="6"/>
        <v>0</v>
      </c>
      <c r="U49" s="1387">
        <f t="shared" si="6"/>
        <v>0</v>
      </c>
      <c r="V49" s="1387">
        <f t="shared" si="6"/>
        <v>0</v>
      </c>
      <c r="W49" s="1387">
        <f t="shared" si="6"/>
        <v>0</v>
      </c>
      <c r="X49" s="1387">
        <f t="shared" si="6"/>
        <v>0</v>
      </c>
      <c r="Y49" s="1387">
        <f t="shared" si="6"/>
        <v>0</v>
      </c>
      <c r="Z49" s="1387">
        <f t="shared" si="6"/>
        <v>0</v>
      </c>
      <c r="AA49" s="1387">
        <f t="shared" si="6"/>
        <v>0</v>
      </c>
      <c r="AB49" s="1387">
        <f t="shared" si="6"/>
        <v>0</v>
      </c>
      <c r="AC49" s="1387">
        <f t="shared" si="6"/>
        <v>0</v>
      </c>
      <c r="AD49" s="1387">
        <f t="shared" si="6"/>
        <v>0</v>
      </c>
      <c r="AE49" s="798"/>
      <c r="AF49" s="779"/>
      <c r="AG49" s="757"/>
      <c r="AH49" s="758">
        <v>5</v>
      </c>
      <c r="AI49" s="761">
        <f t="shared" si="5"/>
        <v>32.040000000000006</v>
      </c>
      <c r="AJ49" s="758">
        <f>LOCBridgingLoanRate+(IF(AH49&gt;'Bridging Loan Calculator'!$X$33,VLOOKUP(SDVersionBrand,BLCICAPRateBuffers[],2,FALSE),0))+VLOOKUP(SDVersionBrand,BLCICAPRateBuffers[],3,FALSE)</f>
        <v>0.02</v>
      </c>
      <c r="AK49" s="828">
        <f t="shared" si="0"/>
        <v>5.4644808743169399E-5</v>
      </c>
      <c r="AL49" s="764">
        <f t="shared" si="1"/>
        <v>121</v>
      </c>
      <c r="AM49" s="764">
        <f t="shared" si="2"/>
        <v>151</v>
      </c>
      <c r="AN49" s="765">
        <f t="shared" si="3"/>
        <v>31</v>
      </c>
      <c r="AO49" s="766">
        <f t="shared" si="4"/>
        <v>0.05</v>
      </c>
    </row>
    <row r="50" spans="1:41" ht="7.5" customHeight="1" x14ac:dyDescent="0.35">
      <c r="A50" s="758"/>
      <c r="B50" s="802"/>
      <c r="C50" s="803"/>
      <c r="D50" s="803"/>
      <c r="E50" s="803"/>
      <c r="F50" s="804"/>
      <c r="G50" s="757"/>
      <c r="H50" s="947"/>
      <c r="I50" s="799"/>
      <c r="J50" s="800"/>
      <c r="K50" s="800"/>
      <c r="L50" s="800"/>
      <c r="M50" s="800"/>
      <c r="N50" s="800"/>
      <c r="O50" s="800"/>
      <c r="P50" s="800"/>
      <c r="Q50" s="800"/>
      <c r="R50" s="800"/>
      <c r="S50" s="800"/>
      <c r="T50" s="800"/>
      <c r="U50" s="800"/>
      <c r="V50" s="800"/>
      <c r="W50" s="800"/>
      <c r="X50" s="800"/>
      <c r="Y50" s="800"/>
      <c r="Z50" s="800"/>
      <c r="AA50" s="800"/>
      <c r="AB50" s="800"/>
      <c r="AC50" s="800"/>
      <c r="AD50" s="800"/>
      <c r="AE50" s="801"/>
      <c r="AF50" s="779"/>
      <c r="AG50" s="757"/>
      <c r="AH50" s="758">
        <v>6</v>
      </c>
      <c r="AI50" s="761">
        <f t="shared" si="5"/>
        <v>40.090000000000003</v>
      </c>
      <c r="AJ50" s="758">
        <f>LOCBridgingLoanRate+(IF(AH50&gt;'Bridging Loan Calculator'!$X$33,VLOOKUP(SDVersionBrand,BLCICAPRateBuffers[],2,FALSE),0))+VLOOKUP(SDVersionBrand,BLCICAPRateBuffers[],3,FALSE)</f>
        <v>0.02</v>
      </c>
      <c r="AK50" s="828">
        <f t="shared" si="0"/>
        <v>5.4644808743169399E-5</v>
      </c>
      <c r="AL50" s="764">
        <f t="shared" si="1"/>
        <v>152</v>
      </c>
      <c r="AM50" s="764">
        <f t="shared" si="2"/>
        <v>181</v>
      </c>
      <c r="AN50" s="765">
        <f t="shared" si="3"/>
        <v>30</v>
      </c>
      <c r="AO50" s="766">
        <f t="shared" si="4"/>
        <v>0.06</v>
      </c>
    </row>
    <row r="51" spans="1:41" ht="18.75" customHeight="1" x14ac:dyDescent="0.35">
      <c r="A51" s="758"/>
      <c r="G51" s="841">
        <f>COUNTIF(K51:AD51,"Asset")</f>
        <v>0</v>
      </c>
      <c r="H51" s="757"/>
      <c r="I51" s="767" t="s">
        <v>1347</v>
      </c>
      <c r="J51" s="758"/>
      <c r="K51" s="937"/>
      <c r="L51" s="938"/>
      <c r="M51" s="938"/>
      <c r="N51" s="938"/>
      <c r="O51" s="938"/>
      <c r="P51" s="938"/>
      <c r="Q51" s="938"/>
      <c r="R51" s="938"/>
      <c r="S51" s="938"/>
      <c r="T51" s="938"/>
      <c r="U51" s="938"/>
      <c r="V51" s="938"/>
      <c r="W51" s="938"/>
      <c r="X51" s="938"/>
      <c r="Y51" s="938"/>
      <c r="Z51" s="938"/>
      <c r="AA51" s="938"/>
      <c r="AB51" s="938"/>
      <c r="AC51" s="938"/>
      <c r="AD51" s="938"/>
      <c r="AE51" s="757"/>
      <c r="AF51" s="779"/>
      <c r="AG51" s="757"/>
      <c r="AH51" s="758">
        <v>7</v>
      </c>
      <c r="AI51" s="761">
        <f t="shared" si="5"/>
        <v>48.150000000000006</v>
      </c>
      <c r="AJ51" s="758">
        <f>LOCBridgingLoanRate+(IF(AH51&gt;'Bridging Loan Calculator'!$X$33,VLOOKUP(SDVersionBrand,BLCICAPRateBuffers[],2,FALSE),0))+VLOOKUP(SDVersionBrand,BLCICAPRateBuffers[],3,FALSE)</f>
        <v>0.02</v>
      </c>
      <c r="AK51" s="828">
        <f t="shared" si="0"/>
        <v>5.4644808743169399E-5</v>
      </c>
      <c r="AL51" s="764">
        <f t="shared" si="1"/>
        <v>182</v>
      </c>
      <c r="AM51" s="764">
        <f t="shared" si="2"/>
        <v>212</v>
      </c>
      <c r="AN51" s="765">
        <f t="shared" si="3"/>
        <v>31</v>
      </c>
      <c r="AO51" s="766">
        <f t="shared" si="4"/>
        <v>0.08</v>
      </c>
    </row>
    <row r="52" spans="1:41" ht="7.5" customHeight="1" x14ac:dyDescent="0.35">
      <c r="A52" s="758"/>
      <c r="G52" s="757"/>
      <c r="H52" s="939"/>
      <c r="I52" s="806"/>
      <c r="J52" s="805"/>
      <c r="K52" s="805"/>
      <c r="L52" s="805"/>
      <c r="M52" s="805"/>
      <c r="N52" s="805"/>
      <c r="O52" s="805"/>
      <c r="P52" s="805"/>
      <c r="Q52" s="805"/>
      <c r="R52" s="805"/>
      <c r="S52" s="805"/>
      <c r="T52" s="805"/>
      <c r="U52" s="805"/>
      <c r="V52" s="805"/>
      <c r="W52" s="805"/>
      <c r="X52" s="805"/>
      <c r="Y52" s="805"/>
      <c r="Z52" s="805"/>
      <c r="AA52" s="805"/>
      <c r="AB52" s="805"/>
      <c r="AC52" s="805"/>
      <c r="AD52" s="805"/>
      <c r="AE52" s="807"/>
      <c r="AF52" s="779"/>
      <c r="AG52" s="757"/>
      <c r="AH52" s="758">
        <v>8</v>
      </c>
      <c r="AI52" s="761">
        <f t="shared" si="5"/>
        <v>56.230000000000004</v>
      </c>
      <c r="AJ52" s="758">
        <f>LOCBridgingLoanRate+(IF(AH52&gt;'Bridging Loan Calculator'!$X$33,VLOOKUP(SDVersionBrand,BLCICAPRateBuffers[],2,FALSE),0))+VLOOKUP(SDVersionBrand,BLCICAPRateBuffers[],3,FALSE)</f>
        <v>0.02</v>
      </c>
      <c r="AK52" s="828">
        <f t="shared" si="0"/>
        <v>5.4644808743169399E-5</v>
      </c>
      <c r="AL52" s="764">
        <f t="shared" si="1"/>
        <v>213</v>
      </c>
      <c r="AM52" s="764">
        <f t="shared" si="2"/>
        <v>243</v>
      </c>
      <c r="AN52" s="765">
        <f t="shared" si="3"/>
        <v>31</v>
      </c>
      <c r="AO52" s="766">
        <f t="shared" si="4"/>
        <v>0.09</v>
      </c>
    </row>
    <row r="53" spans="1:41" ht="18.75" customHeight="1" x14ac:dyDescent="0.35">
      <c r="A53" s="757"/>
      <c r="B53" s="757"/>
      <c r="C53" s="757"/>
      <c r="D53" s="757"/>
      <c r="E53" s="757"/>
      <c r="F53" s="757"/>
      <c r="G53" s="757"/>
      <c r="H53" s="940"/>
      <c r="I53" s="941" t="s">
        <v>1353</v>
      </c>
      <c r="J53" s="809"/>
      <c r="K53" s="1381">
        <f t="shared" ref="K53:AD53" si="7">K49-K79</f>
        <v>0</v>
      </c>
      <c r="L53" s="1381">
        <f t="shared" si="7"/>
        <v>0</v>
      </c>
      <c r="M53" s="1381">
        <f t="shared" si="7"/>
        <v>0</v>
      </c>
      <c r="N53" s="1381">
        <f t="shared" si="7"/>
        <v>0</v>
      </c>
      <c r="O53" s="1381">
        <f t="shared" si="7"/>
        <v>0</v>
      </c>
      <c r="P53" s="1381">
        <f t="shared" si="7"/>
        <v>0</v>
      </c>
      <c r="Q53" s="1381">
        <f t="shared" si="7"/>
        <v>0</v>
      </c>
      <c r="R53" s="1381">
        <f t="shared" si="7"/>
        <v>0</v>
      </c>
      <c r="S53" s="1381">
        <f t="shared" si="7"/>
        <v>0</v>
      </c>
      <c r="T53" s="1381">
        <f t="shared" si="7"/>
        <v>0</v>
      </c>
      <c r="U53" s="1381">
        <f t="shared" si="7"/>
        <v>0</v>
      </c>
      <c r="V53" s="1381">
        <f t="shared" si="7"/>
        <v>0</v>
      </c>
      <c r="W53" s="1381">
        <f t="shared" si="7"/>
        <v>0</v>
      </c>
      <c r="X53" s="1381">
        <f t="shared" si="7"/>
        <v>0</v>
      </c>
      <c r="Y53" s="1381">
        <f t="shared" si="7"/>
        <v>0</v>
      </c>
      <c r="Z53" s="1381">
        <f t="shared" si="7"/>
        <v>0</v>
      </c>
      <c r="AA53" s="1381">
        <f t="shared" si="7"/>
        <v>0</v>
      </c>
      <c r="AB53" s="1381">
        <f t="shared" si="7"/>
        <v>0</v>
      </c>
      <c r="AC53" s="1381">
        <f t="shared" si="7"/>
        <v>0</v>
      </c>
      <c r="AD53" s="1381">
        <f t="shared" si="7"/>
        <v>0</v>
      </c>
      <c r="AE53" s="810"/>
      <c r="AF53" s="779"/>
      <c r="AG53" s="757"/>
      <c r="AH53" s="758">
        <v>9</v>
      </c>
      <c r="AI53" s="761">
        <f t="shared" si="5"/>
        <v>64.320000000000007</v>
      </c>
      <c r="AJ53" s="758">
        <f>LOCBridgingLoanRate+(IF(AH53&gt;'Bridging Loan Calculator'!$X$33,VLOOKUP(SDVersionBrand,BLCICAPRateBuffers[],2,FALSE),0))+VLOOKUP(SDVersionBrand,BLCICAPRateBuffers[],3,FALSE)</f>
        <v>0.02</v>
      </c>
      <c r="AK53" s="828">
        <f t="shared" si="0"/>
        <v>5.4644808743169399E-5</v>
      </c>
      <c r="AL53" s="764">
        <f t="shared" si="1"/>
        <v>244</v>
      </c>
      <c r="AM53" s="764">
        <f t="shared" si="2"/>
        <v>273</v>
      </c>
      <c r="AN53" s="765">
        <f t="shared" si="3"/>
        <v>30</v>
      </c>
      <c r="AO53" s="766">
        <f t="shared" si="4"/>
        <v>0.1</v>
      </c>
    </row>
    <row r="54" spans="1:41" ht="7.5" customHeight="1" x14ac:dyDescent="0.35">
      <c r="A54" s="757"/>
      <c r="B54" s="757"/>
      <c r="C54" s="783"/>
      <c r="D54" s="757"/>
      <c r="E54" s="757"/>
      <c r="F54" s="757"/>
      <c r="G54" s="757"/>
      <c r="H54" s="942"/>
      <c r="I54" s="812"/>
      <c r="J54" s="811"/>
      <c r="K54" s="813"/>
      <c r="L54" s="813"/>
      <c r="M54" s="813"/>
      <c r="N54" s="813"/>
      <c r="O54" s="813"/>
      <c r="P54" s="814"/>
      <c r="Q54" s="813"/>
      <c r="R54" s="813"/>
      <c r="S54" s="813"/>
      <c r="T54" s="813"/>
      <c r="U54" s="813"/>
      <c r="V54" s="813"/>
      <c r="W54" s="813"/>
      <c r="X54" s="813"/>
      <c r="Y54" s="813"/>
      <c r="Z54" s="813"/>
      <c r="AA54" s="813"/>
      <c r="AB54" s="813"/>
      <c r="AC54" s="813"/>
      <c r="AD54" s="813"/>
      <c r="AE54" s="815"/>
      <c r="AF54" s="779"/>
      <c r="AG54" s="757"/>
      <c r="AH54" s="758">
        <v>10</v>
      </c>
      <c r="AI54" s="761">
        <f t="shared" si="5"/>
        <v>72.42</v>
      </c>
      <c r="AJ54" s="758">
        <f>LOCBridgingLoanRate+(IF(AH54&gt;'Bridging Loan Calculator'!$X$33,VLOOKUP(SDVersionBrand,BLCICAPRateBuffers[],2,FALSE),0))+VLOOKUP(SDVersionBrand,BLCICAPRateBuffers[],3,FALSE)</f>
        <v>0.02</v>
      </c>
      <c r="AK54" s="828">
        <f t="shared" si="0"/>
        <v>5.4644808743169399E-5</v>
      </c>
      <c r="AL54" s="764">
        <f t="shared" si="1"/>
        <v>274</v>
      </c>
      <c r="AM54" s="764">
        <f t="shared" si="2"/>
        <v>304</v>
      </c>
      <c r="AN54" s="765">
        <f t="shared" si="3"/>
        <v>31</v>
      </c>
      <c r="AO54" s="766">
        <f t="shared" si="4"/>
        <v>0.12</v>
      </c>
    </row>
    <row r="55" spans="1:41" ht="22.5" customHeight="1" x14ac:dyDescent="0.35">
      <c r="A55" s="757"/>
      <c r="B55" s="757"/>
      <c r="C55" s="1762" t="s">
        <v>1348</v>
      </c>
      <c r="D55" s="1762"/>
      <c r="E55" s="1762" t="s">
        <v>1354</v>
      </c>
      <c r="F55" s="1762"/>
      <c r="G55" s="1742" t="s">
        <v>1355</v>
      </c>
      <c r="H55" s="816"/>
      <c r="I55" s="817" t="s">
        <v>1448</v>
      </c>
      <c r="J55" s="818"/>
      <c r="K55" s="948" t="s">
        <v>1349</v>
      </c>
      <c r="L55" s="949"/>
      <c r="M55" s="949"/>
      <c r="N55" s="949"/>
      <c r="O55" s="949"/>
      <c r="P55" s="950"/>
      <c r="Q55" s="950"/>
      <c r="R55" s="950"/>
      <c r="S55" s="950"/>
      <c r="T55" s="950"/>
      <c r="U55" s="950"/>
      <c r="V55" s="950"/>
      <c r="W55" s="950"/>
      <c r="X55" s="950"/>
      <c r="Y55" s="950"/>
      <c r="Z55" s="950"/>
      <c r="AA55" s="950"/>
      <c r="AB55" s="950"/>
      <c r="AC55" s="950"/>
      <c r="AD55" s="950"/>
      <c r="AE55" s="951"/>
      <c r="AF55" s="779"/>
      <c r="AG55" s="819"/>
      <c r="AH55" s="758">
        <v>11</v>
      </c>
      <c r="AI55" s="761">
        <f t="shared" si="5"/>
        <v>80.540000000000006</v>
      </c>
      <c r="AJ55" s="758">
        <f>LOCBridgingLoanRate+(IF(AH55&gt;'Bridging Loan Calculator'!$X$33,VLOOKUP(SDVersionBrand,BLCICAPRateBuffers[],2,FALSE),0))+VLOOKUP(SDVersionBrand,BLCICAPRateBuffers[],3,FALSE)</f>
        <v>0.02</v>
      </c>
      <c r="AK55" s="828">
        <f t="shared" si="0"/>
        <v>5.4644808743169399E-5</v>
      </c>
      <c r="AL55" s="764">
        <f t="shared" si="1"/>
        <v>305</v>
      </c>
      <c r="AM55" s="764">
        <f t="shared" si="2"/>
        <v>334</v>
      </c>
      <c r="AN55" s="765">
        <f t="shared" si="3"/>
        <v>30</v>
      </c>
      <c r="AO55" s="766">
        <f t="shared" si="4"/>
        <v>0.13</v>
      </c>
    </row>
    <row r="56" spans="1:41" ht="18.75" customHeight="1" x14ac:dyDescent="0.35">
      <c r="A56" s="757"/>
      <c r="B56" s="757"/>
      <c r="C56" s="758"/>
      <c r="D56" s="758"/>
      <c r="E56" s="758"/>
      <c r="F56" s="758"/>
      <c r="G56" s="1743"/>
      <c r="H56" s="820"/>
      <c r="I56" s="818"/>
      <c r="J56" s="821"/>
      <c r="K56" s="956" t="str">
        <f>IF(I80,'Static Data'!$AG$91,IF(I81,'Static Data'!$AG$92,"Double click a cell to indicate linkages between collaterals and loans"))</f>
        <v>Double click a cell to indicate linkages between collaterals and loans</v>
      </c>
      <c r="L56" s="957"/>
      <c r="M56" s="957"/>
      <c r="N56" s="957"/>
      <c r="O56" s="957"/>
      <c r="P56" s="957"/>
      <c r="Q56" s="957"/>
      <c r="R56" s="957"/>
      <c r="S56" s="957"/>
      <c r="T56" s="957"/>
      <c r="U56" s="957"/>
      <c r="V56" s="957"/>
      <c r="W56" s="957"/>
      <c r="X56" s="957"/>
      <c r="Y56" s="957"/>
      <c r="Z56" s="957"/>
      <c r="AA56" s="957"/>
      <c r="AB56" s="957"/>
      <c r="AC56" s="957"/>
      <c r="AD56" s="957"/>
      <c r="AE56" s="952"/>
      <c r="AF56" s="779"/>
      <c r="AG56" s="757"/>
      <c r="AH56" s="758">
        <v>12</v>
      </c>
      <c r="AI56" s="761">
        <f t="shared" si="5"/>
        <v>88.67</v>
      </c>
      <c r="AJ56" s="758">
        <f>LOCBridgingLoanRate+(IF(AH56&gt;'Bridging Loan Calculator'!$X$33,VLOOKUP(SDVersionBrand,BLCICAPRateBuffers[],2,FALSE),0))+VLOOKUP(SDVersionBrand,BLCICAPRateBuffers[],3,FALSE)</f>
        <v>0.02</v>
      </c>
      <c r="AK56" s="828">
        <f t="shared" si="0"/>
        <v>5.4644808743169399E-5</v>
      </c>
      <c r="AL56" s="764">
        <f t="shared" si="1"/>
        <v>335</v>
      </c>
      <c r="AM56" s="764">
        <f t="shared" si="2"/>
        <v>365</v>
      </c>
      <c r="AN56" s="765">
        <f t="shared" si="3"/>
        <v>31</v>
      </c>
      <c r="AO56" s="766">
        <f t="shared" si="4"/>
        <v>0.15</v>
      </c>
    </row>
    <row r="57" spans="1:41" ht="18.75" customHeight="1" x14ac:dyDescent="0.35">
      <c r="A57" s="759">
        <v>1</v>
      </c>
      <c r="B57" s="758"/>
      <c r="C57" s="1740"/>
      <c r="D57" s="1740"/>
      <c r="E57" s="1741"/>
      <c r="F57" s="1741"/>
      <c r="G57" s="1382"/>
      <c r="H57" s="822"/>
      <c r="I57" s="1381">
        <f>G57-SUM(K57:AD57)</f>
        <v>0</v>
      </c>
      <c r="J57" s="823"/>
      <c r="K57" s="1383"/>
      <c r="L57" s="1384"/>
      <c r="M57" s="1384"/>
      <c r="N57" s="1384"/>
      <c r="O57" s="1384"/>
      <c r="P57" s="1384"/>
      <c r="Q57" s="1384"/>
      <c r="R57" s="1384"/>
      <c r="S57" s="1384"/>
      <c r="T57" s="1384"/>
      <c r="U57" s="1384"/>
      <c r="V57" s="1384"/>
      <c r="W57" s="1384"/>
      <c r="X57" s="1384"/>
      <c r="Y57" s="1384"/>
      <c r="Z57" s="1384"/>
      <c r="AA57" s="1384"/>
      <c r="AB57" s="1384"/>
      <c r="AC57" s="1384"/>
      <c r="AD57" s="1384"/>
      <c r="AE57" s="952"/>
      <c r="AF57" s="779"/>
      <c r="AG57" s="757"/>
      <c r="AH57" s="758" t="s">
        <v>1304</v>
      </c>
      <c r="AI57" s="774">
        <f t="shared" si="5"/>
        <v>96.820000000000007</v>
      </c>
      <c r="AJ57" s="758"/>
      <c r="AK57" s="758"/>
      <c r="AL57" s="758"/>
      <c r="AM57" s="758"/>
      <c r="AN57" s="758">
        <f>SUM(AN45:AN56)</f>
        <v>366</v>
      </c>
      <c r="AO57" s="758"/>
    </row>
    <row r="58" spans="1:41" ht="18.75" customHeight="1" x14ac:dyDescent="0.35">
      <c r="A58" s="759">
        <v>2</v>
      </c>
      <c r="B58" s="758"/>
      <c r="C58" s="1740"/>
      <c r="D58" s="1740"/>
      <c r="E58" s="1741"/>
      <c r="F58" s="1741"/>
      <c r="G58" s="1382"/>
      <c r="H58" s="822"/>
      <c r="I58" s="1381">
        <f t="shared" ref="I58:I76" si="8">G58-SUM(K58:AD58)</f>
        <v>0</v>
      </c>
      <c r="J58" s="823"/>
      <c r="K58" s="1385"/>
      <c r="L58" s="1386"/>
      <c r="M58" s="1386"/>
      <c r="N58" s="1386"/>
      <c r="O58" s="1386"/>
      <c r="P58" s="1386"/>
      <c r="Q58" s="1386"/>
      <c r="R58" s="1386"/>
      <c r="S58" s="1386"/>
      <c r="T58" s="1386"/>
      <c r="U58" s="1386"/>
      <c r="V58" s="1386"/>
      <c r="W58" s="1386"/>
      <c r="X58" s="1386"/>
      <c r="Y58" s="1386"/>
      <c r="Z58" s="1386"/>
      <c r="AA58" s="1386"/>
      <c r="AB58" s="1386"/>
      <c r="AC58" s="1386"/>
      <c r="AD58" s="1386"/>
      <c r="AE58" s="952"/>
      <c r="AF58" s="779"/>
      <c r="AG58" s="757"/>
      <c r="AH58" s="757"/>
      <c r="AI58" s="757"/>
      <c r="AJ58" s="757"/>
      <c r="AK58" s="757"/>
      <c r="AL58" s="757"/>
      <c r="AM58" s="757"/>
      <c r="AN58" s="757"/>
      <c r="AO58" s="757"/>
    </row>
    <row r="59" spans="1:41" ht="18.75" customHeight="1" x14ac:dyDescent="0.35">
      <c r="A59" s="759">
        <v>3</v>
      </c>
      <c r="B59" s="758"/>
      <c r="C59" s="1740"/>
      <c r="D59" s="1740"/>
      <c r="E59" s="1741"/>
      <c r="F59" s="1741"/>
      <c r="G59" s="1382"/>
      <c r="H59" s="822"/>
      <c r="I59" s="1381">
        <f t="shared" si="8"/>
        <v>0</v>
      </c>
      <c r="J59" s="823"/>
      <c r="K59" s="1385"/>
      <c r="L59" s="1386"/>
      <c r="M59" s="1386"/>
      <c r="N59" s="1386"/>
      <c r="O59" s="1386"/>
      <c r="P59" s="1386"/>
      <c r="Q59" s="1386"/>
      <c r="R59" s="1386"/>
      <c r="S59" s="1386"/>
      <c r="T59" s="1386"/>
      <c r="U59" s="1386"/>
      <c r="V59" s="1386"/>
      <c r="W59" s="1386"/>
      <c r="X59" s="1386"/>
      <c r="Y59" s="1386"/>
      <c r="Z59" s="1386"/>
      <c r="AA59" s="1386"/>
      <c r="AB59" s="1386"/>
      <c r="AC59" s="1386"/>
      <c r="AD59" s="1386"/>
      <c r="AE59" s="952"/>
      <c r="AF59" s="779"/>
      <c r="AG59" s="757"/>
      <c r="AH59" s="757"/>
      <c r="AI59" s="757"/>
      <c r="AJ59" s="757"/>
      <c r="AK59" s="757"/>
      <c r="AL59" s="757"/>
      <c r="AM59" s="757"/>
      <c r="AN59" s="757"/>
      <c r="AO59" s="757"/>
    </row>
    <row r="60" spans="1:41" ht="18.75" customHeight="1" x14ac:dyDescent="0.35">
      <c r="A60" s="759">
        <v>4</v>
      </c>
      <c r="B60" s="758"/>
      <c r="C60" s="1740"/>
      <c r="D60" s="1740"/>
      <c r="E60" s="1741"/>
      <c r="F60" s="1741"/>
      <c r="G60" s="1382"/>
      <c r="H60" s="822"/>
      <c r="I60" s="1381">
        <f t="shared" si="8"/>
        <v>0</v>
      </c>
      <c r="J60" s="823"/>
      <c r="K60" s="1385"/>
      <c r="L60" s="1386"/>
      <c r="M60" s="1386"/>
      <c r="N60" s="1386"/>
      <c r="O60" s="1386"/>
      <c r="P60" s="1386"/>
      <c r="Q60" s="1386"/>
      <c r="R60" s="1386"/>
      <c r="S60" s="1386"/>
      <c r="T60" s="1386"/>
      <c r="U60" s="1386"/>
      <c r="V60" s="1386"/>
      <c r="W60" s="1386"/>
      <c r="X60" s="1386"/>
      <c r="Y60" s="1386"/>
      <c r="Z60" s="1386"/>
      <c r="AA60" s="1386"/>
      <c r="AB60" s="1386"/>
      <c r="AC60" s="1386"/>
      <c r="AD60" s="1386"/>
      <c r="AE60" s="952"/>
      <c r="AF60" s="779"/>
      <c r="AG60" s="757"/>
      <c r="AH60" s="757"/>
      <c r="AI60" s="757"/>
      <c r="AJ60" s="757"/>
      <c r="AK60" s="757"/>
      <c r="AL60" s="757"/>
      <c r="AM60" s="757"/>
      <c r="AN60" s="757"/>
      <c r="AO60" s="757"/>
    </row>
    <row r="61" spans="1:41" ht="18.75" customHeight="1" x14ac:dyDescent="0.35">
      <c r="A61" s="759">
        <v>5</v>
      </c>
      <c r="B61" s="758"/>
      <c r="C61" s="1740"/>
      <c r="D61" s="1740"/>
      <c r="E61" s="1741"/>
      <c r="F61" s="1741"/>
      <c r="G61" s="1382"/>
      <c r="H61" s="822"/>
      <c r="I61" s="1381">
        <f t="shared" si="8"/>
        <v>0</v>
      </c>
      <c r="J61" s="823"/>
      <c r="K61" s="1385"/>
      <c r="L61" s="1386"/>
      <c r="M61" s="1386"/>
      <c r="N61" s="1386"/>
      <c r="O61" s="1386"/>
      <c r="P61" s="1386"/>
      <c r="Q61" s="1386"/>
      <c r="R61" s="1386"/>
      <c r="S61" s="1386"/>
      <c r="T61" s="1386"/>
      <c r="U61" s="1386"/>
      <c r="V61" s="1386"/>
      <c r="W61" s="1386"/>
      <c r="X61" s="1386"/>
      <c r="Y61" s="1386"/>
      <c r="Z61" s="1386"/>
      <c r="AA61" s="1386"/>
      <c r="AB61" s="1386"/>
      <c r="AC61" s="1386"/>
      <c r="AD61" s="1386"/>
      <c r="AE61" s="952"/>
      <c r="AF61" s="779"/>
      <c r="AG61" s="757"/>
      <c r="AH61" s="757"/>
      <c r="AI61" s="757"/>
      <c r="AJ61" s="757"/>
      <c r="AK61" s="757"/>
      <c r="AL61" s="757"/>
      <c r="AM61" s="757"/>
      <c r="AN61" s="757"/>
      <c r="AO61" s="757"/>
    </row>
    <row r="62" spans="1:41" ht="18.75" hidden="1" customHeight="1" x14ac:dyDescent="0.35">
      <c r="A62" s="759">
        <v>6</v>
      </c>
      <c r="B62" s="758"/>
      <c r="C62" s="1740"/>
      <c r="D62" s="1740"/>
      <c r="E62" s="1741"/>
      <c r="F62" s="1741"/>
      <c r="G62" s="1382"/>
      <c r="H62" s="822"/>
      <c r="I62" s="1381">
        <f t="shared" si="8"/>
        <v>0</v>
      </c>
      <c r="J62" s="823"/>
      <c r="K62" s="1385"/>
      <c r="L62" s="1386"/>
      <c r="M62" s="1386"/>
      <c r="N62" s="1386"/>
      <c r="O62" s="1386"/>
      <c r="P62" s="1386"/>
      <c r="Q62" s="1386"/>
      <c r="R62" s="1386"/>
      <c r="S62" s="1386"/>
      <c r="T62" s="1386"/>
      <c r="U62" s="1386"/>
      <c r="V62" s="1386"/>
      <c r="W62" s="1386"/>
      <c r="X62" s="1386"/>
      <c r="Y62" s="1386"/>
      <c r="Z62" s="1386"/>
      <c r="AA62" s="1386"/>
      <c r="AB62" s="1386"/>
      <c r="AC62" s="1386"/>
      <c r="AD62" s="1386"/>
      <c r="AE62" s="952"/>
      <c r="AF62" s="779"/>
      <c r="AG62" s="757"/>
      <c r="AH62" s="757"/>
      <c r="AI62" s="757"/>
      <c r="AJ62" s="757"/>
      <c r="AK62" s="757"/>
      <c r="AL62" s="757"/>
      <c r="AM62" s="757"/>
      <c r="AN62" s="757"/>
      <c r="AO62" s="757"/>
    </row>
    <row r="63" spans="1:41" ht="18.75" hidden="1" customHeight="1" x14ac:dyDescent="0.35">
      <c r="A63" s="759">
        <v>7</v>
      </c>
      <c r="B63" s="758"/>
      <c r="C63" s="1740"/>
      <c r="D63" s="1740"/>
      <c r="E63" s="1741"/>
      <c r="F63" s="1741"/>
      <c r="G63" s="1382"/>
      <c r="H63" s="822"/>
      <c r="I63" s="1381">
        <f t="shared" si="8"/>
        <v>0</v>
      </c>
      <c r="J63" s="823"/>
      <c r="K63" s="1385"/>
      <c r="L63" s="1386"/>
      <c r="M63" s="1386"/>
      <c r="N63" s="1386"/>
      <c r="O63" s="1386"/>
      <c r="P63" s="1386"/>
      <c r="Q63" s="1386"/>
      <c r="R63" s="1386"/>
      <c r="S63" s="1386"/>
      <c r="T63" s="1386"/>
      <c r="U63" s="1386"/>
      <c r="V63" s="1386"/>
      <c r="W63" s="1386"/>
      <c r="X63" s="1386"/>
      <c r="Y63" s="1386"/>
      <c r="Z63" s="1386"/>
      <c r="AA63" s="1386"/>
      <c r="AB63" s="1386"/>
      <c r="AC63" s="1386"/>
      <c r="AD63" s="1386"/>
      <c r="AE63" s="952"/>
      <c r="AF63" s="757"/>
      <c r="AG63" s="757"/>
      <c r="AH63" s="757"/>
      <c r="AI63" s="757"/>
      <c r="AJ63" s="757"/>
      <c r="AK63" s="757"/>
      <c r="AL63" s="757"/>
      <c r="AM63" s="757"/>
      <c r="AN63" s="757"/>
      <c r="AO63" s="757"/>
    </row>
    <row r="64" spans="1:41" ht="18.75" hidden="1" customHeight="1" x14ac:dyDescent="0.35">
      <c r="A64" s="759">
        <v>8</v>
      </c>
      <c r="B64" s="758"/>
      <c r="C64" s="1740"/>
      <c r="D64" s="1740"/>
      <c r="E64" s="1741"/>
      <c r="F64" s="1741"/>
      <c r="G64" s="1382"/>
      <c r="H64" s="822"/>
      <c r="I64" s="1381">
        <f t="shared" si="8"/>
        <v>0</v>
      </c>
      <c r="J64" s="823"/>
      <c r="K64" s="1385"/>
      <c r="L64" s="1386"/>
      <c r="M64" s="1386"/>
      <c r="N64" s="1386"/>
      <c r="O64" s="1386"/>
      <c r="P64" s="1386"/>
      <c r="Q64" s="1386"/>
      <c r="R64" s="1386"/>
      <c r="S64" s="1386"/>
      <c r="T64" s="1386"/>
      <c r="U64" s="1386"/>
      <c r="V64" s="1386"/>
      <c r="W64" s="1386"/>
      <c r="X64" s="1386"/>
      <c r="Y64" s="1386"/>
      <c r="Z64" s="1386"/>
      <c r="AA64" s="1386"/>
      <c r="AB64" s="1386"/>
      <c r="AC64" s="1386"/>
      <c r="AD64" s="1386"/>
      <c r="AE64" s="952"/>
      <c r="AF64" s="757"/>
      <c r="AG64" s="757"/>
      <c r="AH64" s="757"/>
      <c r="AI64" s="757"/>
      <c r="AJ64" s="757"/>
      <c r="AK64" s="757"/>
      <c r="AL64" s="757"/>
      <c r="AM64" s="757"/>
      <c r="AN64" s="757"/>
      <c r="AO64" s="757"/>
    </row>
    <row r="65" spans="1:41" ht="18.75" hidden="1" customHeight="1" x14ac:dyDescent="0.35">
      <c r="A65" s="759">
        <v>9</v>
      </c>
      <c r="B65" s="758"/>
      <c r="C65" s="1740"/>
      <c r="D65" s="1740"/>
      <c r="E65" s="1741"/>
      <c r="F65" s="1741"/>
      <c r="G65" s="1382"/>
      <c r="H65" s="822"/>
      <c r="I65" s="1381">
        <f t="shared" si="8"/>
        <v>0</v>
      </c>
      <c r="J65" s="823"/>
      <c r="K65" s="1385"/>
      <c r="L65" s="1386"/>
      <c r="M65" s="1386"/>
      <c r="N65" s="1386"/>
      <c r="O65" s="1386"/>
      <c r="P65" s="1386"/>
      <c r="Q65" s="1386"/>
      <c r="R65" s="1386"/>
      <c r="S65" s="1386"/>
      <c r="T65" s="1386"/>
      <c r="U65" s="1386"/>
      <c r="V65" s="1386"/>
      <c r="W65" s="1386"/>
      <c r="X65" s="1386"/>
      <c r="Y65" s="1386"/>
      <c r="Z65" s="1386"/>
      <c r="AA65" s="1386"/>
      <c r="AB65" s="1386"/>
      <c r="AC65" s="1386"/>
      <c r="AD65" s="1386"/>
      <c r="AE65" s="952"/>
      <c r="AF65" s="757"/>
      <c r="AG65" s="757"/>
      <c r="AH65" s="757"/>
      <c r="AI65" s="757"/>
      <c r="AJ65" s="757"/>
      <c r="AK65" s="757"/>
      <c r="AL65" s="757"/>
      <c r="AM65" s="757"/>
      <c r="AN65" s="757"/>
      <c r="AO65" s="757"/>
    </row>
    <row r="66" spans="1:41" ht="18.75" hidden="1" customHeight="1" x14ac:dyDescent="0.35">
      <c r="A66" s="759">
        <v>10</v>
      </c>
      <c r="B66" s="758"/>
      <c r="C66" s="1740"/>
      <c r="D66" s="1740"/>
      <c r="E66" s="1741"/>
      <c r="F66" s="1741"/>
      <c r="G66" s="1382"/>
      <c r="H66" s="822"/>
      <c r="I66" s="1381">
        <f t="shared" si="8"/>
        <v>0</v>
      </c>
      <c r="J66" s="823"/>
      <c r="K66" s="1385"/>
      <c r="L66" s="1386"/>
      <c r="M66" s="1386"/>
      <c r="N66" s="1386"/>
      <c r="O66" s="1386"/>
      <c r="P66" s="1386"/>
      <c r="Q66" s="1386"/>
      <c r="R66" s="1386"/>
      <c r="S66" s="1386"/>
      <c r="T66" s="1386"/>
      <c r="U66" s="1386"/>
      <c r="V66" s="1386"/>
      <c r="W66" s="1386"/>
      <c r="X66" s="1386"/>
      <c r="Y66" s="1386"/>
      <c r="Z66" s="1386"/>
      <c r="AA66" s="1386"/>
      <c r="AB66" s="1386"/>
      <c r="AC66" s="1386"/>
      <c r="AD66" s="1386"/>
      <c r="AE66" s="952"/>
      <c r="AF66" s="757"/>
      <c r="AG66" s="757"/>
      <c r="AH66" s="757"/>
      <c r="AI66" s="757"/>
      <c r="AJ66" s="757"/>
      <c r="AK66" s="757"/>
      <c r="AL66" s="757"/>
      <c r="AM66" s="757"/>
      <c r="AN66" s="757"/>
      <c r="AO66" s="757"/>
    </row>
    <row r="67" spans="1:41" ht="18.75" hidden="1" customHeight="1" x14ac:dyDescent="0.35">
      <c r="A67" s="759">
        <v>11</v>
      </c>
      <c r="B67" s="758"/>
      <c r="C67" s="1740"/>
      <c r="D67" s="1740"/>
      <c r="E67" s="1741"/>
      <c r="F67" s="1741"/>
      <c r="G67" s="1382"/>
      <c r="H67" s="822"/>
      <c r="I67" s="1381">
        <f t="shared" si="8"/>
        <v>0</v>
      </c>
      <c r="J67" s="823"/>
      <c r="K67" s="1385"/>
      <c r="L67" s="1386"/>
      <c r="M67" s="1386"/>
      <c r="N67" s="1386"/>
      <c r="O67" s="1386"/>
      <c r="P67" s="1386"/>
      <c r="Q67" s="1386"/>
      <c r="R67" s="1386"/>
      <c r="S67" s="1386"/>
      <c r="T67" s="1386"/>
      <c r="U67" s="1386"/>
      <c r="V67" s="1386"/>
      <c r="W67" s="1386"/>
      <c r="X67" s="1386"/>
      <c r="Y67" s="1386"/>
      <c r="Z67" s="1386"/>
      <c r="AA67" s="1386"/>
      <c r="AB67" s="1386"/>
      <c r="AC67" s="1386"/>
      <c r="AD67" s="1386"/>
      <c r="AE67" s="952"/>
      <c r="AF67" s="757"/>
      <c r="AG67" s="757"/>
      <c r="AH67" s="757"/>
      <c r="AI67" s="757"/>
      <c r="AJ67" s="757"/>
      <c r="AK67" s="757"/>
      <c r="AL67" s="757"/>
      <c r="AM67" s="757"/>
      <c r="AN67" s="757"/>
      <c r="AO67" s="757"/>
    </row>
    <row r="68" spans="1:41" ht="18.75" hidden="1" customHeight="1" x14ac:dyDescent="0.35">
      <c r="A68" s="759">
        <v>12</v>
      </c>
      <c r="B68" s="758"/>
      <c r="C68" s="1740"/>
      <c r="D68" s="1740"/>
      <c r="E68" s="1741"/>
      <c r="F68" s="1741"/>
      <c r="G68" s="1382"/>
      <c r="H68" s="822"/>
      <c r="I68" s="1381">
        <f t="shared" si="8"/>
        <v>0</v>
      </c>
      <c r="J68" s="823"/>
      <c r="K68" s="1385"/>
      <c r="L68" s="1386"/>
      <c r="M68" s="1386"/>
      <c r="N68" s="1386"/>
      <c r="O68" s="1386"/>
      <c r="P68" s="1386"/>
      <c r="Q68" s="1386"/>
      <c r="R68" s="1386"/>
      <c r="S68" s="1386"/>
      <c r="T68" s="1386"/>
      <c r="U68" s="1386"/>
      <c r="V68" s="1386"/>
      <c r="W68" s="1386"/>
      <c r="X68" s="1386"/>
      <c r="Y68" s="1386"/>
      <c r="Z68" s="1386"/>
      <c r="AA68" s="1386"/>
      <c r="AB68" s="1386"/>
      <c r="AC68" s="1386"/>
      <c r="AD68" s="1386"/>
      <c r="AE68" s="952"/>
      <c r="AF68" s="757"/>
      <c r="AG68" s="757"/>
      <c r="AH68" s="757"/>
      <c r="AI68" s="757"/>
      <c r="AJ68" s="757"/>
      <c r="AK68" s="757"/>
      <c r="AL68" s="757"/>
      <c r="AM68" s="757"/>
      <c r="AN68" s="757"/>
      <c r="AO68" s="757"/>
    </row>
    <row r="69" spans="1:41" ht="18.75" hidden="1" customHeight="1" x14ac:dyDescent="0.35">
      <c r="A69" s="759">
        <v>13</v>
      </c>
      <c r="B69" s="758"/>
      <c r="C69" s="1740"/>
      <c r="D69" s="1740"/>
      <c r="E69" s="1741"/>
      <c r="F69" s="1741"/>
      <c r="G69" s="1382"/>
      <c r="H69" s="822"/>
      <c r="I69" s="1381">
        <f t="shared" si="8"/>
        <v>0</v>
      </c>
      <c r="J69" s="823"/>
      <c r="K69" s="1385"/>
      <c r="L69" s="1386"/>
      <c r="M69" s="1386"/>
      <c r="N69" s="1386"/>
      <c r="O69" s="1386"/>
      <c r="P69" s="1386"/>
      <c r="Q69" s="1386"/>
      <c r="R69" s="1386"/>
      <c r="S69" s="1386"/>
      <c r="T69" s="1386"/>
      <c r="U69" s="1386"/>
      <c r="V69" s="1386"/>
      <c r="W69" s="1386"/>
      <c r="X69" s="1386"/>
      <c r="Y69" s="1386"/>
      <c r="Z69" s="1386"/>
      <c r="AA69" s="1386"/>
      <c r="AB69" s="1386"/>
      <c r="AC69" s="1386"/>
      <c r="AD69" s="1386"/>
      <c r="AE69" s="952"/>
      <c r="AF69" s="757"/>
      <c r="AG69" s="757"/>
      <c r="AH69" s="757"/>
      <c r="AI69" s="757"/>
      <c r="AJ69" s="757"/>
      <c r="AK69" s="757"/>
      <c r="AL69" s="757"/>
      <c r="AM69" s="757"/>
      <c r="AN69" s="757"/>
      <c r="AO69" s="757"/>
    </row>
    <row r="70" spans="1:41" ht="18.75" hidden="1" customHeight="1" x14ac:dyDescent="0.35">
      <c r="A70" s="759">
        <v>14</v>
      </c>
      <c r="B70" s="758"/>
      <c r="C70" s="1740"/>
      <c r="D70" s="1740"/>
      <c r="E70" s="1741"/>
      <c r="F70" s="1741"/>
      <c r="G70" s="1382"/>
      <c r="H70" s="822"/>
      <c r="I70" s="1381">
        <f t="shared" si="8"/>
        <v>0</v>
      </c>
      <c r="J70" s="823"/>
      <c r="K70" s="1385"/>
      <c r="L70" s="1386"/>
      <c r="M70" s="1386"/>
      <c r="N70" s="1386"/>
      <c r="O70" s="1386"/>
      <c r="P70" s="1386"/>
      <c r="Q70" s="1386"/>
      <c r="R70" s="1386"/>
      <c r="S70" s="1386"/>
      <c r="T70" s="1386"/>
      <c r="U70" s="1386"/>
      <c r="V70" s="1386"/>
      <c r="W70" s="1386"/>
      <c r="X70" s="1386"/>
      <c r="Y70" s="1386"/>
      <c r="Z70" s="1386"/>
      <c r="AA70" s="1386"/>
      <c r="AB70" s="1386"/>
      <c r="AC70" s="1386"/>
      <c r="AD70" s="1386"/>
      <c r="AE70" s="952"/>
      <c r="AF70" s="757"/>
      <c r="AG70" s="757"/>
      <c r="AH70" s="757"/>
      <c r="AI70" s="757"/>
      <c r="AJ70" s="757"/>
      <c r="AK70" s="757"/>
      <c r="AL70" s="757"/>
      <c r="AM70" s="757"/>
      <c r="AN70" s="757"/>
      <c r="AO70" s="757"/>
    </row>
    <row r="71" spans="1:41" ht="18.75" hidden="1" customHeight="1" x14ac:dyDescent="0.35">
      <c r="A71" s="759">
        <v>15</v>
      </c>
      <c r="B71" s="758"/>
      <c r="C71" s="1740"/>
      <c r="D71" s="1740"/>
      <c r="E71" s="1741"/>
      <c r="F71" s="1741"/>
      <c r="G71" s="1382"/>
      <c r="H71" s="822"/>
      <c r="I71" s="1381">
        <f t="shared" si="8"/>
        <v>0</v>
      </c>
      <c r="J71" s="823"/>
      <c r="K71" s="1385"/>
      <c r="L71" s="1386"/>
      <c r="M71" s="1386"/>
      <c r="N71" s="1386"/>
      <c r="O71" s="1386"/>
      <c r="P71" s="1386"/>
      <c r="Q71" s="1386"/>
      <c r="R71" s="1386"/>
      <c r="S71" s="1386"/>
      <c r="T71" s="1386"/>
      <c r="U71" s="1386"/>
      <c r="V71" s="1386"/>
      <c r="W71" s="1386"/>
      <c r="X71" s="1386"/>
      <c r="Y71" s="1386"/>
      <c r="Z71" s="1386"/>
      <c r="AA71" s="1386"/>
      <c r="AB71" s="1386"/>
      <c r="AC71" s="1386"/>
      <c r="AD71" s="1386"/>
      <c r="AE71" s="952"/>
      <c r="AF71" s="757"/>
      <c r="AG71" s="757"/>
      <c r="AH71" s="757"/>
      <c r="AI71" s="757"/>
      <c r="AJ71" s="757"/>
      <c r="AK71" s="757"/>
      <c r="AL71" s="757"/>
      <c r="AM71" s="757"/>
      <c r="AN71" s="757"/>
      <c r="AO71" s="757"/>
    </row>
    <row r="72" spans="1:41" ht="18.75" hidden="1" customHeight="1" x14ac:dyDescent="0.35">
      <c r="A72" s="759">
        <v>16</v>
      </c>
      <c r="B72" s="758"/>
      <c r="C72" s="1740"/>
      <c r="D72" s="1740"/>
      <c r="E72" s="1741"/>
      <c r="F72" s="1741"/>
      <c r="G72" s="1382"/>
      <c r="H72" s="822"/>
      <c r="I72" s="1381">
        <f t="shared" si="8"/>
        <v>0</v>
      </c>
      <c r="J72" s="823"/>
      <c r="K72" s="1385"/>
      <c r="L72" s="1386"/>
      <c r="M72" s="1386"/>
      <c r="N72" s="1386"/>
      <c r="O72" s="1386"/>
      <c r="P72" s="1386"/>
      <c r="Q72" s="1386"/>
      <c r="R72" s="1386"/>
      <c r="S72" s="1386"/>
      <c r="T72" s="1386"/>
      <c r="U72" s="1386"/>
      <c r="V72" s="1386"/>
      <c r="W72" s="1386"/>
      <c r="X72" s="1386"/>
      <c r="Y72" s="1386"/>
      <c r="Z72" s="1386"/>
      <c r="AA72" s="1386"/>
      <c r="AB72" s="1386"/>
      <c r="AC72" s="1386"/>
      <c r="AD72" s="1386"/>
      <c r="AE72" s="952"/>
      <c r="AF72" s="757"/>
      <c r="AG72" s="757"/>
      <c r="AH72" s="757"/>
      <c r="AI72" s="757"/>
      <c r="AJ72" s="757"/>
      <c r="AK72" s="757"/>
      <c r="AL72" s="757"/>
      <c r="AM72" s="757"/>
      <c r="AN72" s="757"/>
      <c r="AO72" s="757"/>
    </row>
    <row r="73" spans="1:41" ht="18.75" hidden="1" customHeight="1" x14ac:dyDescent="0.35">
      <c r="A73" s="759">
        <v>17</v>
      </c>
      <c r="B73" s="758"/>
      <c r="C73" s="1740"/>
      <c r="D73" s="1740"/>
      <c r="E73" s="1741"/>
      <c r="F73" s="1741"/>
      <c r="G73" s="1382"/>
      <c r="H73" s="822"/>
      <c r="I73" s="1381">
        <f t="shared" si="8"/>
        <v>0</v>
      </c>
      <c r="J73" s="823"/>
      <c r="K73" s="1385"/>
      <c r="L73" s="1386"/>
      <c r="M73" s="1386"/>
      <c r="N73" s="1386"/>
      <c r="O73" s="1386"/>
      <c r="P73" s="1386"/>
      <c r="Q73" s="1386"/>
      <c r="R73" s="1386"/>
      <c r="S73" s="1386"/>
      <c r="T73" s="1386"/>
      <c r="U73" s="1386"/>
      <c r="V73" s="1386"/>
      <c r="W73" s="1386"/>
      <c r="X73" s="1386"/>
      <c r="Y73" s="1386"/>
      <c r="Z73" s="1386"/>
      <c r="AA73" s="1386"/>
      <c r="AB73" s="1386"/>
      <c r="AC73" s="1386"/>
      <c r="AD73" s="1386"/>
      <c r="AE73" s="952"/>
      <c r="AF73" s="757"/>
      <c r="AG73" s="757"/>
      <c r="AH73" s="757"/>
      <c r="AI73" s="757"/>
      <c r="AJ73" s="757"/>
      <c r="AK73" s="757"/>
      <c r="AL73" s="757"/>
      <c r="AM73" s="757"/>
      <c r="AN73" s="757"/>
      <c r="AO73" s="757"/>
    </row>
    <row r="74" spans="1:41" ht="18.75" hidden="1" customHeight="1" x14ac:dyDescent="0.35">
      <c r="A74" s="759">
        <v>18</v>
      </c>
      <c r="B74" s="758"/>
      <c r="C74" s="1740"/>
      <c r="D74" s="1740"/>
      <c r="E74" s="1741"/>
      <c r="F74" s="1741"/>
      <c r="G74" s="1382"/>
      <c r="H74" s="822"/>
      <c r="I74" s="1381">
        <f t="shared" si="8"/>
        <v>0</v>
      </c>
      <c r="J74" s="823"/>
      <c r="K74" s="1385"/>
      <c r="L74" s="1386"/>
      <c r="M74" s="1386"/>
      <c r="N74" s="1386"/>
      <c r="O74" s="1386"/>
      <c r="P74" s="1386"/>
      <c r="Q74" s="1386"/>
      <c r="R74" s="1386"/>
      <c r="S74" s="1386"/>
      <c r="T74" s="1386"/>
      <c r="U74" s="1386"/>
      <c r="V74" s="1386"/>
      <c r="W74" s="1386"/>
      <c r="X74" s="1386"/>
      <c r="Y74" s="1386"/>
      <c r="Z74" s="1386"/>
      <c r="AA74" s="1386"/>
      <c r="AB74" s="1386"/>
      <c r="AC74" s="1386"/>
      <c r="AD74" s="1386"/>
      <c r="AE74" s="952"/>
      <c r="AF74" s="757"/>
      <c r="AG74" s="757"/>
      <c r="AH74" s="757"/>
      <c r="AI74" s="757"/>
      <c r="AJ74" s="757"/>
      <c r="AK74" s="757"/>
      <c r="AL74" s="757"/>
      <c r="AM74" s="757"/>
      <c r="AN74" s="757"/>
      <c r="AO74" s="757"/>
    </row>
    <row r="75" spans="1:41" ht="18.75" hidden="1" customHeight="1" x14ac:dyDescent="0.35">
      <c r="A75" s="759">
        <v>19</v>
      </c>
      <c r="B75" s="758"/>
      <c r="C75" s="1740"/>
      <c r="D75" s="1740"/>
      <c r="E75" s="1741"/>
      <c r="F75" s="1741"/>
      <c r="G75" s="1382"/>
      <c r="H75" s="822"/>
      <c r="I75" s="1381">
        <f t="shared" si="8"/>
        <v>0</v>
      </c>
      <c r="J75" s="823"/>
      <c r="K75" s="1385"/>
      <c r="L75" s="1386"/>
      <c r="M75" s="1386"/>
      <c r="N75" s="1386"/>
      <c r="O75" s="1386"/>
      <c r="P75" s="1386"/>
      <c r="Q75" s="1386"/>
      <c r="R75" s="1386"/>
      <c r="S75" s="1386"/>
      <c r="T75" s="1386"/>
      <c r="U75" s="1386"/>
      <c r="V75" s="1386"/>
      <c r="W75" s="1386"/>
      <c r="X75" s="1386"/>
      <c r="Y75" s="1386"/>
      <c r="Z75" s="1386"/>
      <c r="AA75" s="1386"/>
      <c r="AB75" s="1386"/>
      <c r="AC75" s="1386"/>
      <c r="AD75" s="1386"/>
      <c r="AE75" s="952"/>
      <c r="AF75" s="757"/>
      <c r="AG75" s="757"/>
      <c r="AH75" s="757"/>
      <c r="AI75" s="757"/>
      <c r="AJ75" s="757"/>
      <c r="AK75" s="757"/>
      <c r="AL75" s="757"/>
      <c r="AM75" s="757"/>
      <c r="AN75" s="757"/>
      <c r="AO75" s="757"/>
    </row>
    <row r="76" spans="1:41" ht="18.75" hidden="1" customHeight="1" x14ac:dyDescent="0.35">
      <c r="A76" s="759">
        <v>20</v>
      </c>
      <c r="B76" s="758"/>
      <c r="C76" s="1740"/>
      <c r="D76" s="1740"/>
      <c r="E76" s="1741"/>
      <c r="F76" s="1741"/>
      <c r="G76" s="1382"/>
      <c r="H76" s="822"/>
      <c r="I76" s="1381">
        <f t="shared" si="8"/>
        <v>0</v>
      </c>
      <c r="J76" s="823"/>
      <c r="K76" s="1385"/>
      <c r="L76" s="1386"/>
      <c r="M76" s="1386"/>
      <c r="N76" s="1386"/>
      <c r="O76" s="1386"/>
      <c r="P76" s="1386"/>
      <c r="Q76" s="1386"/>
      <c r="R76" s="1386"/>
      <c r="S76" s="1386"/>
      <c r="T76" s="1386"/>
      <c r="U76" s="1386"/>
      <c r="V76" s="1386"/>
      <c r="W76" s="1386"/>
      <c r="X76" s="1386"/>
      <c r="Y76" s="1386"/>
      <c r="Z76" s="1386"/>
      <c r="AA76" s="1386"/>
      <c r="AB76" s="1386"/>
      <c r="AC76" s="1386"/>
      <c r="AD76" s="1386"/>
      <c r="AE76" s="952"/>
      <c r="AF76" s="757"/>
      <c r="AG76" s="757"/>
      <c r="AH76" s="757"/>
      <c r="AI76" s="757"/>
      <c r="AJ76" s="757"/>
      <c r="AK76" s="757"/>
      <c r="AL76" s="757"/>
      <c r="AM76" s="757"/>
      <c r="AN76" s="757"/>
      <c r="AO76" s="757"/>
    </row>
    <row r="77" spans="1:41" ht="7.5" customHeight="1" x14ac:dyDescent="0.3">
      <c r="A77" s="757"/>
      <c r="B77" s="757"/>
      <c r="C77" s="757"/>
      <c r="D77" s="757"/>
      <c r="E77" s="757"/>
      <c r="F77" s="757"/>
      <c r="G77" s="757"/>
      <c r="H77" s="824"/>
      <c r="I77" s="825"/>
      <c r="J77" s="826"/>
      <c r="K77" s="954"/>
      <c r="L77" s="955"/>
      <c r="M77" s="955"/>
      <c r="N77" s="955"/>
      <c r="O77" s="955"/>
      <c r="P77" s="955"/>
      <c r="Q77" s="955"/>
      <c r="R77" s="955"/>
      <c r="S77" s="955"/>
      <c r="T77" s="955"/>
      <c r="U77" s="955"/>
      <c r="V77" s="955"/>
      <c r="W77" s="955"/>
      <c r="X77" s="955"/>
      <c r="Y77" s="955"/>
      <c r="Z77" s="955"/>
      <c r="AA77" s="955"/>
      <c r="AB77" s="955"/>
      <c r="AC77" s="955"/>
      <c r="AD77" s="955"/>
      <c r="AE77" s="953"/>
      <c r="AF77" s="757"/>
      <c r="AG77" s="757"/>
      <c r="AH77" s="757"/>
      <c r="AI77" s="757"/>
      <c r="AJ77" s="757"/>
      <c r="AK77" s="757"/>
      <c r="AL77" s="757"/>
      <c r="AM77" s="757"/>
      <c r="AN77" s="757"/>
      <c r="AO77" s="757"/>
    </row>
    <row r="78" spans="1:41" ht="13.5" customHeight="1" x14ac:dyDescent="0.3">
      <c r="A78" s="757"/>
      <c r="B78" s="757"/>
      <c r="C78" s="757"/>
      <c r="D78" s="757"/>
      <c r="E78" s="757"/>
      <c r="F78" s="757"/>
      <c r="G78" s="757"/>
      <c r="H78" s="757"/>
      <c r="I78" s="757"/>
      <c r="J78" s="757"/>
      <c r="K78" s="757"/>
      <c r="L78" s="757"/>
      <c r="M78" s="757"/>
      <c r="N78" s="757"/>
      <c r="O78" s="757"/>
      <c r="P78" s="757"/>
      <c r="Q78" s="757"/>
      <c r="R78" s="757"/>
      <c r="S78" s="757"/>
      <c r="T78" s="757"/>
      <c r="U78" s="757"/>
      <c r="V78" s="757"/>
      <c r="W78" s="757"/>
      <c r="X78" s="757"/>
      <c r="Y78" s="757"/>
      <c r="Z78" s="757"/>
      <c r="AA78" s="757"/>
      <c r="AB78" s="757"/>
      <c r="AC78" s="757"/>
      <c r="AD78" s="757"/>
      <c r="AE78" s="757"/>
      <c r="AF78" s="757"/>
      <c r="AG78" s="757"/>
      <c r="AH78" s="757"/>
      <c r="AI78" s="757"/>
      <c r="AJ78" s="757"/>
      <c r="AK78" s="757"/>
      <c r="AL78" s="757"/>
      <c r="AM78" s="757"/>
      <c r="AN78" s="757"/>
      <c r="AO78" s="757"/>
    </row>
    <row r="79" spans="1:41" ht="13.5" hidden="1" customHeight="1" x14ac:dyDescent="0.3">
      <c r="A79" s="757"/>
      <c r="B79" s="757"/>
      <c r="C79" s="757"/>
      <c r="D79" s="757"/>
      <c r="E79" s="757"/>
      <c r="F79" s="757"/>
      <c r="G79" s="827">
        <f>SUBTOTAL(103,A57:A76)</f>
        <v>5</v>
      </c>
      <c r="H79" s="757"/>
      <c r="I79" s="757"/>
      <c r="J79" s="757"/>
      <c r="K79" s="827">
        <f>SUM(K57:K76)</f>
        <v>0</v>
      </c>
      <c r="L79" s="827">
        <f t="shared" ref="L79:AD79" si="9">SUM(L57:L76)</f>
        <v>0</v>
      </c>
      <c r="M79" s="827">
        <f t="shared" si="9"/>
        <v>0</v>
      </c>
      <c r="N79" s="827">
        <f t="shared" si="9"/>
        <v>0</v>
      </c>
      <c r="O79" s="827">
        <f t="shared" si="9"/>
        <v>0</v>
      </c>
      <c r="P79" s="827">
        <f t="shared" si="9"/>
        <v>0</v>
      </c>
      <c r="Q79" s="827">
        <f t="shared" si="9"/>
        <v>0</v>
      </c>
      <c r="R79" s="827">
        <f t="shared" si="9"/>
        <v>0</v>
      </c>
      <c r="S79" s="827">
        <f t="shared" si="9"/>
        <v>0</v>
      </c>
      <c r="T79" s="827">
        <f t="shared" si="9"/>
        <v>0</v>
      </c>
      <c r="U79" s="827">
        <f t="shared" si="9"/>
        <v>0</v>
      </c>
      <c r="V79" s="827">
        <f t="shared" si="9"/>
        <v>0</v>
      </c>
      <c r="W79" s="827">
        <f t="shared" si="9"/>
        <v>0</v>
      </c>
      <c r="X79" s="827">
        <f t="shared" si="9"/>
        <v>0</v>
      </c>
      <c r="Y79" s="827">
        <f t="shared" si="9"/>
        <v>0</v>
      </c>
      <c r="Z79" s="827">
        <f t="shared" si="9"/>
        <v>0</v>
      </c>
      <c r="AA79" s="827">
        <f t="shared" si="9"/>
        <v>0</v>
      </c>
      <c r="AB79" s="827">
        <f t="shared" si="9"/>
        <v>0</v>
      </c>
      <c r="AC79" s="827">
        <f t="shared" si="9"/>
        <v>0</v>
      </c>
      <c r="AD79" s="827">
        <f t="shared" si="9"/>
        <v>0</v>
      </c>
      <c r="AE79" s="757"/>
      <c r="AF79" s="757"/>
      <c r="AG79" s="757"/>
      <c r="AH79" s="757"/>
      <c r="AI79" s="757"/>
      <c r="AJ79" s="757"/>
      <c r="AK79" s="757"/>
      <c r="AL79" s="757"/>
      <c r="AM79" s="757"/>
      <c r="AN79" s="757"/>
      <c r="AO79" s="757"/>
    </row>
    <row r="80" spans="1:41" ht="13.5" hidden="1" customHeight="1" x14ac:dyDescent="0.3">
      <c r="A80" s="757"/>
      <c r="B80" s="757"/>
      <c r="C80" s="757"/>
      <c r="D80" s="757"/>
      <c r="E80" s="757"/>
      <c r="F80" s="757"/>
      <c r="G80" s="757"/>
      <c r="H80" s="757"/>
      <c r="I80" s="827" t="b">
        <f>OR(K80:AD80)</f>
        <v>0</v>
      </c>
      <c r="J80" s="757"/>
      <c r="K80" s="827" t="b">
        <f>AND(K51="Asset",K53&lt;0)</f>
        <v>0</v>
      </c>
      <c r="L80" s="827" t="b">
        <f t="shared" ref="L80:AD80" si="10">AND(L51="Asset",L53&lt;0)</f>
        <v>0</v>
      </c>
      <c r="M80" s="827" t="b">
        <f t="shared" si="10"/>
        <v>0</v>
      </c>
      <c r="N80" s="827" t="b">
        <f t="shared" si="10"/>
        <v>0</v>
      </c>
      <c r="O80" s="827" t="b">
        <f t="shared" si="10"/>
        <v>0</v>
      </c>
      <c r="P80" s="827" t="b">
        <f t="shared" si="10"/>
        <v>0</v>
      </c>
      <c r="Q80" s="827" t="b">
        <f t="shared" si="10"/>
        <v>0</v>
      </c>
      <c r="R80" s="827" t="b">
        <f t="shared" si="10"/>
        <v>0</v>
      </c>
      <c r="S80" s="827" t="b">
        <f t="shared" si="10"/>
        <v>0</v>
      </c>
      <c r="T80" s="827" t="b">
        <f t="shared" si="10"/>
        <v>0</v>
      </c>
      <c r="U80" s="827" t="b">
        <f t="shared" si="10"/>
        <v>0</v>
      </c>
      <c r="V80" s="827" t="b">
        <f t="shared" si="10"/>
        <v>0</v>
      </c>
      <c r="W80" s="827" t="b">
        <f t="shared" si="10"/>
        <v>0</v>
      </c>
      <c r="X80" s="827" t="b">
        <f t="shared" si="10"/>
        <v>0</v>
      </c>
      <c r="Y80" s="827" t="b">
        <f t="shared" si="10"/>
        <v>0</v>
      </c>
      <c r="Z80" s="827" t="b">
        <f t="shared" si="10"/>
        <v>0</v>
      </c>
      <c r="AA80" s="827" t="b">
        <f t="shared" si="10"/>
        <v>0</v>
      </c>
      <c r="AB80" s="827" t="b">
        <f t="shared" si="10"/>
        <v>0</v>
      </c>
      <c r="AC80" s="827" t="b">
        <f t="shared" si="10"/>
        <v>0</v>
      </c>
      <c r="AD80" s="827" t="b">
        <f t="shared" si="10"/>
        <v>0</v>
      </c>
      <c r="AE80" s="757"/>
      <c r="AF80" s="757"/>
      <c r="AG80" s="757"/>
      <c r="AH80" s="757"/>
      <c r="AI80" s="757"/>
      <c r="AJ80" s="757"/>
      <c r="AK80" s="757"/>
      <c r="AL80" s="757"/>
      <c r="AM80" s="757"/>
      <c r="AN80" s="757"/>
      <c r="AO80" s="757"/>
    </row>
    <row r="81" spans="1:41" ht="13.5" hidden="1" customHeight="1" x14ac:dyDescent="0.3">
      <c r="A81" s="757"/>
      <c r="B81" s="757"/>
      <c r="C81" s="757"/>
      <c r="D81" s="757"/>
      <c r="E81" s="757"/>
      <c r="F81" s="757"/>
      <c r="G81" s="757"/>
      <c r="H81" s="757"/>
      <c r="I81" s="827" t="b">
        <f>OR(K81:AD81)</f>
        <v>0</v>
      </c>
      <c r="J81" s="757"/>
      <c r="K81" s="827" t="b">
        <f>AND(K51="Security",K53&lt;0)</f>
        <v>0</v>
      </c>
      <c r="L81" s="827" t="b">
        <f t="shared" ref="L81:AD81" si="11">AND(L51="Security",L53&lt;0)</f>
        <v>0</v>
      </c>
      <c r="M81" s="827" t="b">
        <f t="shared" si="11"/>
        <v>0</v>
      </c>
      <c r="N81" s="827" t="b">
        <f t="shared" si="11"/>
        <v>0</v>
      </c>
      <c r="O81" s="827" t="b">
        <f t="shared" si="11"/>
        <v>0</v>
      </c>
      <c r="P81" s="827" t="b">
        <f t="shared" si="11"/>
        <v>0</v>
      </c>
      <c r="Q81" s="827" t="b">
        <f t="shared" si="11"/>
        <v>0</v>
      </c>
      <c r="R81" s="827" t="b">
        <f t="shared" si="11"/>
        <v>0</v>
      </c>
      <c r="S81" s="827" t="b">
        <f t="shared" si="11"/>
        <v>0</v>
      </c>
      <c r="T81" s="827" t="b">
        <f t="shared" si="11"/>
        <v>0</v>
      </c>
      <c r="U81" s="827" t="b">
        <f t="shared" si="11"/>
        <v>0</v>
      </c>
      <c r="V81" s="827" t="b">
        <f t="shared" si="11"/>
        <v>0</v>
      </c>
      <c r="W81" s="827" t="b">
        <f t="shared" si="11"/>
        <v>0</v>
      </c>
      <c r="X81" s="827" t="b">
        <f t="shared" si="11"/>
        <v>0</v>
      </c>
      <c r="Y81" s="827" t="b">
        <f t="shared" si="11"/>
        <v>0</v>
      </c>
      <c r="Z81" s="827" t="b">
        <f t="shared" si="11"/>
        <v>0</v>
      </c>
      <c r="AA81" s="827" t="b">
        <f t="shared" si="11"/>
        <v>0</v>
      </c>
      <c r="AB81" s="827" t="b">
        <f t="shared" si="11"/>
        <v>0</v>
      </c>
      <c r="AC81" s="827" t="b">
        <f t="shared" si="11"/>
        <v>0</v>
      </c>
      <c r="AD81" s="827" t="b">
        <f t="shared" si="11"/>
        <v>0</v>
      </c>
      <c r="AE81" s="757"/>
      <c r="AF81" s="757"/>
      <c r="AG81" s="757"/>
      <c r="AH81" s="757"/>
      <c r="AI81" s="757"/>
      <c r="AJ81" s="757"/>
      <c r="AK81" s="757"/>
      <c r="AL81" s="757"/>
      <c r="AM81" s="757"/>
      <c r="AN81" s="757"/>
      <c r="AO81" s="757"/>
    </row>
    <row r="82" spans="1:41" ht="12.75" hidden="1" customHeight="1" x14ac:dyDescent="0.25"/>
  </sheetData>
  <sheetProtection algorithmName="SHA-512" hashValue="0BXdHMSSXeRNyNx/6GsU9keN7a9krom9zSRoQbSF+x+h+2slVv8ToKjsUtaNmutUO8atNJ/WL1d1o+tjdwy7OQ==" saltValue="bvaJkhjinSi3MBlDCwycRw==" spinCount="100000" sheet="1" objects="1" scenarios="1" selectLockedCells="1"/>
  <protectedRanges>
    <protectedRange algorithmName="SHA-512" hashValue="x9kKrCSG880KmLc/1mWmeBcDg9W666bXMnDZIMUxzxdv9sBIQ8neNNVsJDx0NVT7Oo0g7ZZaq+hwQRwTWRlVQg==" saltValue="Ow3hAk/MJgBcXZz2TIY9Gg==" spinCount="100000" sqref="F15:F16 O18 M18 B16:B17 N17:N18" name="Range2"/>
    <protectedRange sqref="B16 M18 N17:N18" name="Range1"/>
  </protectedRanges>
  <mergeCells count="93">
    <mergeCell ref="G55:G56"/>
    <mergeCell ref="B7:D7"/>
    <mergeCell ref="B6:D6"/>
    <mergeCell ref="I11:K11"/>
    <mergeCell ref="I27:O28"/>
    <mergeCell ref="I30:O31"/>
    <mergeCell ref="I33:O34"/>
    <mergeCell ref="C43:C44"/>
    <mergeCell ref="G13:H13"/>
    <mergeCell ref="C33:E35"/>
    <mergeCell ref="G14:O21"/>
    <mergeCell ref="C55:D55"/>
    <mergeCell ref="E55:F55"/>
    <mergeCell ref="C74:D74"/>
    <mergeCell ref="E74:F74"/>
    <mergeCell ref="C75:D75"/>
    <mergeCell ref="E75:F75"/>
    <mergeCell ref="C76:D76"/>
    <mergeCell ref="E76:F76"/>
    <mergeCell ref="C71:D71"/>
    <mergeCell ref="E71:F71"/>
    <mergeCell ref="C72:D72"/>
    <mergeCell ref="E72:F72"/>
    <mergeCell ref="C73:D73"/>
    <mergeCell ref="E73:F73"/>
    <mergeCell ref="C68:D68"/>
    <mergeCell ref="E68:F68"/>
    <mergeCell ref="C69:D69"/>
    <mergeCell ref="E69:F69"/>
    <mergeCell ref="C70:D70"/>
    <mergeCell ref="E70:F70"/>
    <mergeCell ref="C65:D65"/>
    <mergeCell ref="E65:F65"/>
    <mergeCell ref="C66:D66"/>
    <mergeCell ref="E66:F66"/>
    <mergeCell ref="C67:D67"/>
    <mergeCell ref="E67:F67"/>
    <mergeCell ref="C62:D62"/>
    <mergeCell ref="E62:F62"/>
    <mergeCell ref="C63:D63"/>
    <mergeCell ref="E63:F63"/>
    <mergeCell ref="C64:D64"/>
    <mergeCell ref="E64:F64"/>
    <mergeCell ref="C59:D59"/>
    <mergeCell ref="E59:F59"/>
    <mergeCell ref="C60:D60"/>
    <mergeCell ref="E60:F60"/>
    <mergeCell ref="C61:D61"/>
    <mergeCell ref="E61:F61"/>
    <mergeCell ref="C57:D57"/>
    <mergeCell ref="E57:F57"/>
    <mergeCell ref="C58:D58"/>
    <mergeCell ref="E58:F58"/>
    <mergeCell ref="AD43:AD45"/>
    <mergeCell ref="S43:S45"/>
    <mergeCell ref="T43:T45"/>
    <mergeCell ref="U43:U45"/>
    <mergeCell ref="V43:V45"/>
    <mergeCell ref="W43:W45"/>
    <mergeCell ref="X43:X45"/>
    <mergeCell ref="Y43:Y45"/>
    <mergeCell ref="Z43:Z45"/>
    <mergeCell ref="AA43:AA45"/>
    <mergeCell ref="AB43:AB45"/>
    <mergeCell ref="AC43:AC45"/>
    <mergeCell ref="AC40:AC42"/>
    <mergeCell ref="AD40:AD42"/>
    <mergeCell ref="K43:K45"/>
    <mergeCell ref="L43:L45"/>
    <mergeCell ref="M43:M45"/>
    <mergeCell ref="N43:N45"/>
    <mergeCell ref="O43:O45"/>
    <mergeCell ref="P43:P45"/>
    <mergeCell ref="Q43:Q45"/>
    <mergeCell ref="R43:R45"/>
    <mergeCell ref="W40:W42"/>
    <mergeCell ref="X40:X42"/>
    <mergeCell ref="Y40:Y42"/>
    <mergeCell ref="Z40:Z42"/>
    <mergeCell ref="AA40:AA42"/>
    <mergeCell ref="AB40:AB42"/>
    <mergeCell ref="V40:V42"/>
    <mergeCell ref="K40:K42"/>
    <mergeCell ref="L40:L42"/>
    <mergeCell ref="M40:M42"/>
    <mergeCell ref="N40:N42"/>
    <mergeCell ref="O40:O42"/>
    <mergeCell ref="P40:P42"/>
    <mergeCell ref="Q40:Q42"/>
    <mergeCell ref="R40:R42"/>
    <mergeCell ref="S40:S42"/>
    <mergeCell ref="T40:T42"/>
    <mergeCell ref="U40:U42"/>
  </mergeCells>
  <conditionalFormatting sqref="G27 G30 G33 E13:E14 I11:K11 E11">
    <cfRule type="containsBlanks" dxfId="49" priority="15">
      <formula>LEN(TRIM(E11))=0</formula>
    </cfRule>
  </conditionalFormatting>
  <conditionalFormatting sqref="I27:O28">
    <cfRule type="expression" dxfId="48" priority="11">
      <formula>$G$27&lt;&gt;"Yes"</formula>
    </cfRule>
  </conditionalFormatting>
  <conditionalFormatting sqref="I30:O31">
    <cfRule type="expression" dxfId="47" priority="12">
      <formula>$G$30&lt;&gt;"Yes"</formula>
    </cfRule>
  </conditionalFormatting>
  <conditionalFormatting sqref="I33:O34">
    <cfRule type="expression" dxfId="46" priority="13">
      <formula>$G$33&lt;&gt;"Yes"</formula>
    </cfRule>
  </conditionalFormatting>
  <conditionalFormatting sqref="E45:E47">
    <cfRule type="expression" dxfId="45" priority="17">
      <formula>AND($E$43="Yes",ISBLANK(E45))</formula>
    </cfRule>
  </conditionalFormatting>
  <conditionalFormatting sqref="C49 E49 C45:C47 E45:E47">
    <cfRule type="expression" dxfId="44" priority="18">
      <formula>$E$43&lt;&gt;"Yes"</formula>
    </cfRule>
  </conditionalFormatting>
  <conditionalFormatting sqref="E14">
    <cfRule type="expression" dxfId="43" priority="9" stopIfTrue="1">
      <formula>$E$13&lt;&gt;"Yes"</formula>
    </cfRule>
  </conditionalFormatting>
  <conditionalFormatting sqref="G27">
    <cfRule type="expression" dxfId="42" priority="7">
      <formula>AND($E$13="Yes",$G$51&gt;0)</formula>
    </cfRule>
  </conditionalFormatting>
  <conditionalFormatting sqref="I57:I76">
    <cfRule type="expression" dxfId="41" priority="1">
      <formula>AND(NOT(ISBLANK(G57)),I57=0)</formula>
    </cfRule>
    <cfRule type="expression" dxfId="40" priority="6">
      <formula>AND(NOT(ISBLANK(G57)),I57&lt;0)</formula>
    </cfRule>
  </conditionalFormatting>
  <conditionalFormatting sqref="K56:AD56">
    <cfRule type="expression" dxfId="39" priority="4" stopIfTrue="1">
      <formula>$I$80</formula>
    </cfRule>
    <cfRule type="expression" dxfId="38" priority="5">
      <formula>$I$81</formula>
    </cfRule>
  </conditionalFormatting>
  <conditionalFormatting sqref="K53:AD53">
    <cfRule type="expression" dxfId="37" priority="2" stopIfTrue="1">
      <formula>AND(K51="Asset",K53&lt;0)</formula>
    </cfRule>
    <cfRule type="expression" dxfId="36" priority="3">
      <formula>AND(K51="Security",K53&lt;0)</formula>
    </cfRule>
  </conditionalFormatting>
  <dataValidations count="11">
    <dataValidation type="decimal" allowBlank="1" showInputMessage="1" showErrorMessage="1" errorTitle="Invalid LVR Value" error="Please enter an LVR between 0 and 100%" sqref="K47:AD47" xr:uid="{D476850F-99BB-4B14-A823-66E97E6875F8}">
      <formula1>0</formula1>
      <formula2>1</formula2>
    </dataValidation>
    <dataValidation type="list" allowBlank="1" showInputMessage="1" showErrorMessage="1" sqref="K51:AD51" xr:uid="{EF44C819-517E-493B-A241-D42C1BD65143}">
      <formula1>"Security, Asset"</formula1>
    </dataValidation>
    <dataValidation allowBlank="1" showErrorMessage="1" prompt="Capture the higher of the balance or limit. Also used to capture guarantee or other bank charge amounts. Apply the relevant buffer to bank charges." sqref="F56" xr:uid="{740232DC-6D07-4428-9170-B8468BAFA4E9}"/>
    <dataValidation allowBlank="1" showErrorMessage="1" prompt="Capture the account number of existing loans. Capture the new loan as ‘New Loan’ or the Submission ID. Also used to capture guarantees and other bank charges." sqref="D56:E56" xr:uid="{330BE26E-0311-46F4-B6D5-01CBA4E1D874}"/>
    <dataValidation type="list" allowBlank="1" showErrorMessage="1" errorTitle="Error" error="Invalid selection" sqref="G33 G27 G30" xr:uid="{7313606E-3F53-4113-8FA9-E63B7082FC1E}">
      <formula1>"Yes,No"</formula1>
    </dataValidation>
    <dataValidation allowBlank="1" showErrorMessage="1" prompt="Optional. Capture the ownership entity to guide yourself in debt allocation." sqref="B21 C55:C56" xr:uid="{9A97470B-209E-42B1-9B53-15CE35DD3905}"/>
    <dataValidation type="list" allowBlank="1" showInputMessage="1" showErrorMessage="1" sqref="E43 E13" xr:uid="{E3258369-AD91-43FD-817D-25856ECB1EC8}">
      <formula1>"Yes,No"</formula1>
    </dataValidation>
    <dataValidation allowBlank="1" showErrorMessage="1" prompt="The sum of debt allocation beneath all collateral marked as 'Security'." sqref="B17 F15:F16" xr:uid="{CEF78838-2F06-4219-AE42-94EDBF918769}"/>
    <dataValidation allowBlank="1" showErrorMessage="1" prompt="The sum of market values of all collateral marked as 'Security'." sqref="B16" xr:uid="{21A28988-F050-4138-9441-8EDA2DF4D6D3}"/>
    <dataValidation allowBlank="1" showErrorMessage="1" prompt="Select ‘Yes’ if OBP says LMI is required or ‘No’ if it is not required." sqref="B11 B13:B14 G11" xr:uid="{6D983CEC-8946-4018-BFF6-D1E64A9347D9}"/>
    <dataValidation type="textLength" operator="lessThanOrEqual" allowBlank="1" showInputMessage="1" showErrorMessage="1" errorTitle="Maximum Comment Length Exceeded" error="The maximum number of characters that can be displayed is 1200. Please shorten your comment text." sqref="G14:O21" xr:uid="{22874801-FCC1-49D0-84E8-06915232D257}">
      <formula1>1200</formula1>
    </dataValidation>
  </dataValidations>
  <pageMargins left="0.25" right="0.25" top="0.75" bottom="0.75" header="0.3" footer="0.3"/>
  <pageSetup paperSize="9" scale="45" fitToWidth="0" fitToHeight="0" orientation="portrait" r:id="rId1"/>
  <colBreaks count="2" manualBreakCount="2">
    <brk id="15" max="79" man="1"/>
    <brk id="23" max="79" man="1"/>
  </col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23E66-64B0-4E22-8093-AC41082150E2}">
  <sheetPr codeName="shCalculatorForeignCurrency">
    <pageSetUpPr fitToPage="1"/>
  </sheetPr>
  <dimension ref="A1:Q215"/>
  <sheetViews>
    <sheetView showGridLines="0" showRowColHeaders="0" zoomScaleNormal="100" workbookViewId="0">
      <selection activeCell="C11" sqref="C11"/>
    </sheetView>
  </sheetViews>
  <sheetFormatPr defaultColWidth="11.81640625" defaultRowHeight="16" customHeight="1" x14ac:dyDescent="0.25"/>
  <cols>
    <col min="1" max="1" width="2.81640625" customWidth="1"/>
    <col min="2" max="2" width="26.81640625" customWidth="1"/>
    <col min="3" max="3" width="28.54296875" customWidth="1"/>
    <col min="4" max="4" width="5.7265625" customWidth="1"/>
    <col min="5" max="5" width="27.1796875" customWidth="1"/>
    <col min="6" max="6" width="5.7265625" customWidth="1"/>
    <col min="7" max="7" width="27.1796875" customWidth="1"/>
    <col min="8" max="8" width="5.7265625" customWidth="1"/>
    <col min="9" max="9" width="27.1796875" customWidth="1"/>
    <col min="10" max="10" width="5.7265625" customWidth="1"/>
    <col min="11" max="11" width="27.1796875" customWidth="1"/>
    <col min="12" max="12" width="5.7265625" customWidth="1"/>
    <col min="13" max="13" width="27.1796875" customWidth="1"/>
    <col min="14" max="14" width="5.7265625" customWidth="1"/>
    <col min="15" max="15" width="27.1796875" customWidth="1"/>
    <col min="16" max="17" width="2.453125" customWidth="1"/>
    <col min="18" max="30" width="11.81640625" customWidth="1"/>
  </cols>
  <sheetData>
    <row r="1" spans="1:17" ht="15" customHeight="1" x14ac:dyDescent="0.25">
      <c r="A1" s="8"/>
      <c r="B1" s="8"/>
      <c r="C1" s="8"/>
      <c r="D1" s="8"/>
      <c r="E1" s="8"/>
      <c r="F1" s="9"/>
      <c r="G1" s="47"/>
      <c r="H1" s="8"/>
      <c r="I1" s="2"/>
      <c r="J1" s="2"/>
      <c r="K1" s="2"/>
      <c r="L1" s="2"/>
      <c r="M1" s="2"/>
      <c r="N1" s="2"/>
      <c r="O1" s="2"/>
      <c r="P1" s="2"/>
      <c r="Q1" s="2"/>
    </row>
    <row r="2" spans="1:17" ht="15" customHeight="1" x14ac:dyDescent="0.25">
      <c r="A2" s="8"/>
      <c r="B2" s="8"/>
      <c r="C2" s="8"/>
      <c r="D2" s="8"/>
      <c r="E2" s="8"/>
      <c r="F2" s="9"/>
      <c r="G2" s="47"/>
      <c r="H2" s="8"/>
      <c r="I2" s="2"/>
      <c r="J2" s="2"/>
      <c r="K2" s="2"/>
      <c r="L2" s="2"/>
      <c r="M2" s="2"/>
      <c r="N2" s="2"/>
      <c r="O2" s="2"/>
      <c r="P2" s="2"/>
      <c r="Q2" s="2"/>
    </row>
    <row r="3" spans="1:17" ht="15" customHeight="1" x14ac:dyDescent="0.25">
      <c r="A3" s="8"/>
      <c r="B3" s="8"/>
      <c r="C3" s="8"/>
      <c r="D3" s="8"/>
      <c r="E3" s="8"/>
      <c r="F3" s="9"/>
      <c r="G3" s="47"/>
      <c r="H3" s="8"/>
      <c r="I3" s="2"/>
      <c r="J3" s="2"/>
      <c r="K3" s="2"/>
      <c r="L3" s="2"/>
      <c r="M3" s="2"/>
      <c r="N3" s="2"/>
      <c r="O3" s="2"/>
      <c r="P3" s="2"/>
      <c r="Q3" s="2"/>
    </row>
    <row r="4" spans="1:17" ht="7.5" customHeight="1" x14ac:dyDescent="0.25">
      <c r="A4" s="8"/>
      <c r="B4" s="8"/>
      <c r="C4" s="8"/>
      <c r="D4" s="8"/>
      <c r="E4" s="8"/>
      <c r="F4" s="9"/>
      <c r="G4" s="47"/>
      <c r="H4" s="8"/>
      <c r="I4" s="2"/>
      <c r="J4" s="2"/>
      <c r="K4" s="2"/>
      <c r="L4" s="2"/>
      <c r="M4" s="2"/>
      <c r="N4" s="2"/>
      <c r="O4" s="2"/>
      <c r="P4" s="2"/>
      <c r="Q4" s="2"/>
    </row>
    <row r="5" spans="1:17" ht="7.5" customHeight="1" x14ac:dyDescent="0.35">
      <c r="A5" s="34"/>
      <c r="B5" s="2"/>
      <c r="C5" s="107"/>
      <c r="D5" s="107"/>
      <c r="E5" s="107"/>
      <c r="F5" s="107"/>
      <c r="G5" s="107"/>
      <c r="H5" s="34"/>
      <c r="I5" s="2"/>
      <c r="J5" s="2"/>
      <c r="K5" s="2"/>
      <c r="L5" s="2"/>
      <c r="M5" s="2"/>
      <c r="N5" s="2"/>
      <c r="O5" s="2"/>
      <c r="P5" s="2"/>
      <c r="Q5" s="2"/>
    </row>
    <row r="6" spans="1:17" ht="15" customHeight="1" x14ac:dyDescent="0.25">
      <c r="A6" s="34"/>
      <c r="B6" s="866" t="s">
        <v>1123</v>
      </c>
      <c r="C6" s="866" t="s">
        <v>1124</v>
      </c>
      <c r="F6" s="2"/>
      <c r="G6" s="2"/>
      <c r="H6" s="34"/>
      <c r="I6" s="2"/>
      <c r="J6" s="2"/>
      <c r="K6" s="2"/>
      <c r="L6" s="2"/>
      <c r="M6" s="2"/>
      <c r="N6" s="2"/>
      <c r="O6" s="2"/>
      <c r="P6" s="2"/>
      <c r="Q6" s="2"/>
    </row>
    <row r="7" spans="1:17" ht="15" customHeight="1" x14ac:dyDescent="0.25">
      <c r="A7" s="34"/>
      <c r="B7" s="866" t="str">
        <f>SCAUserID</f>
        <v>craig</v>
      </c>
      <c r="C7" s="867">
        <f ca="1">Serviceability!BA9</f>
        <v>45714</v>
      </c>
      <c r="F7" s="2"/>
      <c r="G7" s="2"/>
      <c r="H7" s="427"/>
      <c r="I7" s="2"/>
      <c r="J7" s="2"/>
      <c r="K7" s="2"/>
      <c r="L7" s="427"/>
      <c r="M7" s="2"/>
      <c r="N7" s="427"/>
      <c r="O7" s="427"/>
      <c r="P7" s="427"/>
      <c r="Q7" s="2"/>
    </row>
    <row r="8" spans="1:17" ht="7.5" customHeight="1" x14ac:dyDescent="0.3">
      <c r="A8" s="34"/>
      <c r="B8" s="427"/>
      <c r="C8" s="868"/>
      <c r="D8" s="868"/>
      <c r="E8" s="427"/>
      <c r="F8" s="427"/>
      <c r="G8" s="427"/>
      <c r="H8" s="427"/>
      <c r="I8" s="427"/>
      <c r="J8" s="427"/>
      <c r="K8" s="427"/>
      <c r="L8" s="427"/>
      <c r="M8" s="427"/>
      <c r="N8" s="427"/>
      <c r="O8" s="427"/>
      <c r="P8" s="427"/>
      <c r="Q8" s="2"/>
    </row>
    <row r="9" spans="1:17" ht="22.5" customHeight="1" x14ac:dyDescent="0.25">
      <c r="A9" s="749"/>
      <c r="B9" s="224" t="s">
        <v>1256</v>
      </c>
      <c r="C9" s="224"/>
      <c r="D9" s="224"/>
      <c r="E9" s="224"/>
      <c r="F9" s="224"/>
      <c r="G9" s="224"/>
      <c r="H9" s="750"/>
      <c r="I9" s="869"/>
      <c r="J9" s="869"/>
      <c r="K9" s="869"/>
      <c r="L9" s="869"/>
      <c r="M9" s="869"/>
      <c r="N9" s="869"/>
      <c r="O9" s="869"/>
      <c r="P9" s="869"/>
      <c r="Q9" s="2"/>
    </row>
    <row r="10" spans="1:17" ht="7.5" customHeight="1" x14ac:dyDescent="0.3">
      <c r="A10" s="34"/>
      <c r="B10" s="868"/>
      <c r="C10" s="868"/>
      <c r="D10" s="868"/>
      <c r="E10" s="870"/>
      <c r="F10" s="870"/>
      <c r="G10" s="870"/>
      <c r="H10" s="870"/>
      <c r="I10" s="870"/>
      <c r="J10" s="870"/>
      <c r="K10" s="870"/>
      <c r="L10" s="870"/>
      <c r="M10" s="870"/>
      <c r="N10" s="870"/>
      <c r="O10" s="870"/>
      <c r="P10" s="870"/>
      <c r="Q10" s="2"/>
    </row>
    <row r="11" spans="1:17" ht="18.75" customHeight="1" x14ac:dyDescent="0.3">
      <c r="A11" s="34"/>
      <c r="B11" s="871" t="s">
        <v>753</v>
      </c>
      <c r="C11" s="872"/>
      <c r="D11" s="868"/>
      <c r="E11" s="870"/>
      <c r="F11" s="870"/>
      <c r="G11" s="870"/>
      <c r="H11" s="870"/>
      <c r="I11" s="870"/>
      <c r="J11" s="870"/>
      <c r="K11" s="870"/>
      <c r="L11" s="870"/>
      <c r="M11" s="870"/>
      <c r="N11" s="870"/>
      <c r="O11" s="870"/>
      <c r="P11" s="870"/>
      <c r="Q11" s="2"/>
    </row>
    <row r="12" spans="1:17" ht="18.75" customHeight="1" x14ac:dyDescent="0.3">
      <c r="A12" s="34"/>
      <c r="B12" s="871" t="s">
        <v>459</v>
      </c>
      <c r="C12" s="873">
        <v>2</v>
      </c>
      <c r="D12" s="868"/>
      <c r="E12" s="874" t="s">
        <v>33</v>
      </c>
      <c r="F12" s="875" t="b">
        <f>$C$12&gt;=F13</f>
        <v>1</v>
      </c>
      <c r="G12" s="874" t="s">
        <v>34</v>
      </c>
      <c r="H12" s="875" t="b">
        <f>$C$12&gt;=H13</f>
        <v>1</v>
      </c>
      <c r="I12" s="874" t="s">
        <v>35</v>
      </c>
      <c r="J12" s="875" t="b">
        <f>$C$12&gt;=J13</f>
        <v>0</v>
      </c>
      <c r="K12" s="874" t="s">
        <v>36</v>
      </c>
      <c r="L12" s="875" t="b">
        <f>$C$12&gt;=L13</f>
        <v>0</v>
      </c>
      <c r="M12" s="874" t="s">
        <v>37</v>
      </c>
      <c r="N12" s="875" t="b">
        <f>$C$12&gt;=N13</f>
        <v>0</v>
      </c>
      <c r="O12" s="874" t="s">
        <v>38</v>
      </c>
      <c r="P12" s="875" t="b">
        <f>$C$12&gt;=P13</f>
        <v>0</v>
      </c>
      <c r="Q12" s="2"/>
    </row>
    <row r="13" spans="1:17" ht="18.75" customHeight="1" x14ac:dyDescent="0.3">
      <c r="A13" s="34"/>
      <c r="B13" s="871" t="s">
        <v>252</v>
      </c>
      <c r="C13" s="876"/>
      <c r="D13" s="868"/>
      <c r="E13" s="877"/>
      <c r="F13" s="878">
        <v>1</v>
      </c>
      <c r="G13" s="877"/>
      <c r="H13" s="878">
        <v>2</v>
      </c>
      <c r="I13" s="1429"/>
      <c r="J13" s="878">
        <v>3</v>
      </c>
      <c r="K13" s="1429"/>
      <c r="L13" s="878">
        <v>4</v>
      </c>
      <c r="M13" s="1429"/>
      <c r="N13" s="878">
        <v>5</v>
      </c>
      <c r="O13" s="1436"/>
      <c r="P13" s="878">
        <v>6</v>
      </c>
      <c r="Q13" s="2"/>
    </row>
    <row r="14" spans="1:17" ht="7.5" customHeight="1" x14ac:dyDescent="0.3">
      <c r="A14" s="34"/>
      <c r="B14" s="868"/>
      <c r="C14" s="868"/>
      <c r="D14" s="868"/>
      <c r="E14" s="870"/>
      <c r="F14" s="870"/>
      <c r="G14" s="870"/>
      <c r="H14" s="870"/>
      <c r="I14" s="870"/>
      <c r="J14" s="870"/>
      <c r="K14" s="870"/>
      <c r="L14" s="870"/>
      <c r="M14" s="870"/>
      <c r="N14" s="870"/>
      <c r="O14" s="870"/>
      <c r="P14" s="870"/>
      <c r="Q14" s="2"/>
    </row>
    <row r="15" spans="1:17" ht="18.75" customHeight="1" x14ac:dyDescent="0.3">
      <c r="A15" s="879"/>
      <c r="B15" s="880"/>
      <c r="C15" s="881"/>
      <c r="D15" s="882"/>
      <c r="E15" s="883"/>
      <c r="F15" s="883"/>
      <c r="G15" s="883"/>
      <c r="H15" s="883"/>
      <c r="I15" s="883"/>
      <c r="J15" s="883"/>
      <c r="K15" s="883"/>
      <c r="L15" s="883"/>
      <c r="M15" s="883"/>
      <c r="N15" s="883"/>
      <c r="O15" s="883"/>
      <c r="P15" s="883"/>
      <c r="Q15" s="2"/>
    </row>
    <row r="16" spans="1:17" ht="18.75" customHeight="1" x14ac:dyDescent="0.3">
      <c r="A16" s="34"/>
      <c r="B16" s="884" t="s">
        <v>1230</v>
      </c>
      <c r="C16" s="885" t="s">
        <v>1231</v>
      </c>
      <c r="D16" s="868"/>
      <c r="E16" s="886"/>
      <c r="F16" s="886"/>
      <c r="G16" s="886"/>
      <c r="H16" s="886"/>
      <c r="I16" s="886"/>
      <c r="J16" s="886"/>
      <c r="K16" s="886"/>
      <c r="L16" s="886"/>
      <c r="M16" s="886"/>
      <c r="N16" s="886"/>
      <c r="O16" s="886"/>
      <c r="P16" s="886"/>
      <c r="Q16" s="2"/>
    </row>
    <row r="17" spans="1:17" ht="18.75" customHeight="1" x14ac:dyDescent="0.3">
      <c r="A17" s="34"/>
      <c r="B17" s="868"/>
      <c r="C17" s="885" t="s">
        <v>1266</v>
      </c>
      <c r="D17" s="868"/>
      <c r="E17" s="886"/>
      <c r="F17" s="886"/>
      <c r="G17" s="886"/>
      <c r="H17" s="886"/>
      <c r="I17" s="886"/>
      <c r="J17" s="886"/>
      <c r="K17" s="886"/>
      <c r="L17" s="886"/>
      <c r="M17" s="886"/>
      <c r="N17" s="886"/>
      <c r="O17" s="886"/>
      <c r="P17" s="886"/>
      <c r="Q17" s="2"/>
    </row>
    <row r="18" spans="1:17" ht="7.5" customHeight="1" x14ac:dyDescent="0.25">
      <c r="A18" s="34"/>
      <c r="B18" s="728"/>
      <c r="C18" s="887"/>
      <c r="D18" s="887"/>
      <c r="E18" s="886"/>
      <c r="F18" s="886"/>
      <c r="G18" s="886"/>
      <c r="H18" s="886"/>
      <c r="I18" s="886"/>
      <c r="J18" s="886"/>
      <c r="K18" s="886"/>
      <c r="L18" s="886"/>
      <c r="M18" s="2"/>
      <c r="N18" s="886"/>
      <c r="O18" s="886"/>
      <c r="P18" s="886"/>
      <c r="Q18" s="2"/>
    </row>
    <row r="19" spans="1:17" ht="18.75" customHeight="1" x14ac:dyDescent="0.25">
      <c r="A19" s="2"/>
      <c r="B19" s="871" t="s">
        <v>1232</v>
      </c>
      <c r="C19" s="872"/>
      <c r="D19" s="888"/>
      <c r="E19" s="889" t="s">
        <v>1233</v>
      </c>
      <c r="F19" s="889"/>
      <c r="G19" s="872"/>
      <c r="H19" s="888"/>
      <c r="I19" s="889" t="s">
        <v>1516</v>
      </c>
      <c r="J19" s="888"/>
      <c r="K19" s="872"/>
      <c r="L19" s="888"/>
      <c r="M19" s="2"/>
      <c r="N19" s="888"/>
      <c r="O19" s="888"/>
      <c r="P19" s="888"/>
      <c r="Q19" s="2"/>
    </row>
    <row r="20" spans="1:17" ht="18.75" customHeight="1" x14ac:dyDescent="0.25">
      <c r="A20" s="2"/>
      <c r="B20" s="889" t="s">
        <v>1234</v>
      </c>
      <c r="C20" s="872"/>
      <c r="D20" s="427"/>
      <c r="E20" s="889" t="s">
        <v>392</v>
      </c>
      <c r="F20" s="889"/>
      <c r="G20" s="890"/>
      <c r="H20" s="427"/>
      <c r="I20" s="889" t="s">
        <v>1235</v>
      </c>
      <c r="J20" s="427"/>
      <c r="K20" s="872"/>
      <c r="L20" s="427"/>
      <c r="M20" s="2"/>
      <c r="N20" s="427"/>
      <c r="O20" s="427"/>
      <c r="P20" s="427"/>
      <c r="Q20" s="2"/>
    </row>
    <row r="21" spans="1:17" ht="7.5" customHeight="1" x14ac:dyDescent="0.3">
      <c r="A21" s="2"/>
      <c r="B21" s="427"/>
      <c r="C21" s="868"/>
      <c r="D21" s="868"/>
      <c r="E21" s="427"/>
      <c r="F21" s="427"/>
      <c r="G21" s="427"/>
      <c r="H21" s="427"/>
      <c r="I21" s="427"/>
      <c r="J21" s="2"/>
      <c r="K21" s="2"/>
      <c r="L21" s="2"/>
      <c r="M21" s="2"/>
      <c r="N21" s="2"/>
      <c r="O21" s="2"/>
      <c r="P21" s="2"/>
      <c r="Q21" s="2"/>
    </row>
    <row r="22" spans="1:17" ht="18.75" customHeight="1" x14ac:dyDescent="0.25">
      <c r="A22" s="2"/>
      <c r="B22" s="889" t="s">
        <v>1269</v>
      </c>
      <c r="C22" s="891"/>
      <c r="D22" s="891"/>
      <c r="E22" s="891"/>
      <c r="F22" s="891"/>
      <c r="G22" s="891"/>
      <c r="H22" s="427"/>
      <c r="I22" s="889" t="s">
        <v>1124</v>
      </c>
      <c r="J22" s="2"/>
      <c r="K22" s="872"/>
      <c r="L22" s="2"/>
      <c r="M22" s="2"/>
      <c r="N22" s="2"/>
      <c r="O22" s="2"/>
      <c r="P22" s="2"/>
      <c r="Q22" s="2"/>
    </row>
    <row r="23" spans="1:17" ht="7.5" customHeight="1" x14ac:dyDescent="0.25">
      <c r="A23" s="2"/>
      <c r="B23" s="427"/>
      <c r="C23" s="427"/>
      <c r="D23" s="427"/>
      <c r="E23" s="427"/>
      <c r="F23" s="427"/>
      <c r="G23" s="427"/>
      <c r="H23" s="427"/>
      <c r="I23" s="427"/>
      <c r="J23" s="427"/>
      <c r="K23" s="427"/>
      <c r="L23" s="427"/>
      <c r="M23" s="427"/>
      <c r="N23" s="427"/>
      <c r="O23" s="427"/>
      <c r="P23" s="427"/>
      <c r="Q23" s="2"/>
    </row>
    <row r="24" spans="1:17" ht="7.5" customHeight="1" x14ac:dyDescent="0.3">
      <c r="A24" s="2"/>
      <c r="B24" s="892"/>
      <c r="C24" s="893"/>
      <c r="D24" s="893"/>
      <c r="E24" s="893"/>
      <c r="F24" s="893"/>
      <c r="G24" s="893"/>
      <c r="H24" s="893"/>
      <c r="I24" s="893"/>
      <c r="J24" s="893"/>
      <c r="K24" s="893"/>
      <c r="L24" s="893"/>
      <c r="M24" s="893"/>
      <c r="N24" s="893"/>
      <c r="O24" s="893"/>
      <c r="P24" s="2"/>
      <c r="Q24" s="2"/>
    </row>
    <row r="25" spans="1:17" ht="15" customHeight="1" x14ac:dyDescent="0.3">
      <c r="A25" s="2"/>
      <c r="B25" s="894"/>
      <c r="C25" s="895" t="s">
        <v>1275</v>
      </c>
      <c r="D25" s="896"/>
      <c r="E25" s="897"/>
      <c r="F25" s="897"/>
      <c r="G25" s="897"/>
      <c r="H25" s="897"/>
      <c r="I25" s="897"/>
      <c r="J25" s="897"/>
      <c r="K25" s="897"/>
      <c r="L25" s="897"/>
      <c r="M25" s="897"/>
      <c r="N25" s="897"/>
      <c r="O25" s="897"/>
      <c r="P25" s="2"/>
      <c r="Q25" s="2"/>
    </row>
    <row r="26" spans="1:17" ht="15" customHeight="1" x14ac:dyDescent="0.3">
      <c r="A26" s="2"/>
      <c r="B26" s="894"/>
      <c r="C26" s="895" t="s">
        <v>1277</v>
      </c>
      <c r="D26" s="896"/>
      <c r="E26" s="897"/>
      <c r="F26" s="897"/>
      <c r="G26" s="897"/>
      <c r="H26" s="897"/>
      <c r="I26" s="897"/>
      <c r="J26" s="897"/>
      <c r="K26" s="897"/>
      <c r="L26" s="897"/>
      <c r="M26" s="897"/>
      <c r="N26" s="897"/>
      <c r="O26" s="897"/>
      <c r="P26" s="2"/>
      <c r="Q26" s="2"/>
    </row>
    <row r="27" spans="1:17" ht="15" customHeight="1" x14ac:dyDescent="0.35">
      <c r="A27" s="2"/>
      <c r="B27" s="729"/>
      <c r="C27" s="895" t="s">
        <v>1276</v>
      </c>
      <c r="D27" s="896"/>
      <c r="E27" s="897"/>
      <c r="F27" s="897"/>
      <c r="G27" s="897"/>
      <c r="H27" s="897"/>
      <c r="I27" s="897"/>
      <c r="J27" s="897"/>
      <c r="K27" s="897"/>
      <c r="L27" s="897"/>
      <c r="M27" s="897"/>
      <c r="N27" s="897"/>
      <c r="O27" s="897"/>
      <c r="P27" s="2"/>
      <c r="Q27" s="2"/>
    </row>
    <row r="28" spans="1:17" ht="15" customHeight="1" x14ac:dyDescent="0.35">
      <c r="A28" s="2"/>
      <c r="B28" s="729"/>
      <c r="C28" s="895" t="s">
        <v>2119</v>
      </c>
      <c r="D28" s="896"/>
      <c r="E28" s="897"/>
      <c r="F28" s="897"/>
      <c r="G28" s="897"/>
      <c r="H28" s="897"/>
      <c r="I28" s="897"/>
      <c r="J28" s="897"/>
      <c r="K28" s="897"/>
      <c r="L28" s="897"/>
      <c r="M28" s="897"/>
      <c r="N28" s="897"/>
      <c r="O28" s="897"/>
      <c r="P28" s="2"/>
      <c r="Q28" s="2"/>
    </row>
    <row r="29" spans="1:17" ht="15" customHeight="1" x14ac:dyDescent="0.3">
      <c r="A29" s="2"/>
      <c r="B29" s="898"/>
      <c r="C29" s="730" t="s">
        <v>1501</v>
      </c>
      <c r="D29" s="896"/>
      <c r="E29" s="897"/>
      <c r="F29" s="897"/>
      <c r="G29" s="897"/>
      <c r="H29" s="897"/>
      <c r="I29" s="897"/>
      <c r="J29" s="897"/>
      <c r="K29" s="897"/>
      <c r="L29" s="897"/>
      <c r="M29" s="897"/>
      <c r="N29" s="897"/>
      <c r="O29" s="897"/>
      <c r="P29" s="2"/>
      <c r="Q29" s="2"/>
    </row>
    <row r="30" spans="1:17" ht="7.5" customHeight="1" x14ac:dyDescent="0.3">
      <c r="A30" s="2"/>
      <c r="B30" s="899"/>
      <c r="C30" s="731"/>
      <c r="D30" s="731"/>
      <c r="E30" s="899"/>
      <c r="F30" s="899"/>
      <c r="G30" s="899"/>
      <c r="H30" s="899"/>
      <c r="I30" s="899"/>
      <c r="J30" s="899"/>
      <c r="K30" s="899"/>
      <c r="L30" s="899"/>
      <c r="M30" s="899"/>
      <c r="N30" s="899"/>
      <c r="O30" s="899"/>
      <c r="P30" s="2"/>
      <c r="Q30" s="2"/>
    </row>
    <row r="31" spans="1:17" ht="16" customHeight="1" x14ac:dyDescent="0.25">
      <c r="A31" s="2"/>
      <c r="B31" s="427"/>
      <c r="C31" s="427"/>
      <c r="D31" s="427"/>
      <c r="E31" s="427"/>
      <c r="F31" s="427"/>
      <c r="G31" s="427"/>
      <c r="H31" s="427"/>
      <c r="I31" s="427"/>
      <c r="J31" s="427"/>
      <c r="K31" s="427"/>
      <c r="L31" s="900"/>
      <c r="M31" s="900"/>
      <c r="N31" s="900"/>
      <c r="O31" s="900"/>
      <c r="P31" s="900"/>
      <c r="Q31" s="2"/>
    </row>
    <row r="32" spans="1:17" ht="18.75" customHeight="1" x14ac:dyDescent="0.25">
      <c r="A32" s="901"/>
      <c r="B32" s="902" t="s">
        <v>1284</v>
      </c>
      <c r="C32" s="903"/>
      <c r="D32" s="903"/>
      <c r="E32" s="903"/>
      <c r="F32" s="903"/>
      <c r="G32" s="903"/>
      <c r="H32" s="903"/>
      <c r="I32" s="903"/>
      <c r="J32" s="903"/>
      <c r="K32" s="903"/>
      <c r="L32" s="903"/>
      <c r="M32" s="903"/>
      <c r="N32" s="903"/>
      <c r="O32" s="903"/>
      <c r="P32" s="903"/>
      <c r="Q32" s="2"/>
    </row>
    <row r="33" spans="1:17" ht="7.5" customHeight="1" x14ac:dyDescent="0.3">
      <c r="A33" s="2"/>
      <c r="B33" s="904"/>
      <c r="C33" s="427"/>
      <c r="D33" s="427"/>
      <c r="E33" s="427"/>
      <c r="F33" s="427"/>
      <c r="G33" s="427"/>
      <c r="H33" s="427"/>
      <c r="I33" s="427"/>
      <c r="J33" s="427"/>
      <c r="K33" s="427"/>
      <c r="L33" s="904"/>
      <c r="M33" s="905"/>
      <c r="N33" s="904"/>
      <c r="O33" s="904"/>
      <c r="P33" s="904"/>
      <c r="Q33" s="2"/>
    </row>
    <row r="34" spans="1:17" ht="16" customHeight="1" x14ac:dyDescent="0.3">
      <c r="A34" s="2"/>
      <c r="B34" s="906" t="s">
        <v>1283</v>
      </c>
      <c r="C34" s="907"/>
      <c r="D34" s="907"/>
      <c r="E34" s="907"/>
      <c r="F34" s="907"/>
      <c r="G34" s="907"/>
      <c r="H34" s="907"/>
      <c r="I34" s="907"/>
      <c r="J34" s="427"/>
      <c r="K34" s="427"/>
      <c r="L34" s="904"/>
      <c r="M34" s="905"/>
      <c r="N34" s="904"/>
      <c r="O34" s="904"/>
      <c r="P34" s="904"/>
      <c r="Q34" s="2"/>
    </row>
    <row r="35" spans="1:17" ht="7.5" customHeight="1" x14ac:dyDescent="0.3">
      <c r="A35" s="2"/>
      <c r="B35" s="904"/>
      <c r="C35" s="427"/>
      <c r="D35" s="427"/>
      <c r="E35" s="427"/>
      <c r="F35" s="427"/>
      <c r="G35" s="427"/>
      <c r="H35" s="427"/>
      <c r="I35" s="427"/>
      <c r="J35" s="427"/>
      <c r="K35" s="427"/>
      <c r="L35" s="904"/>
      <c r="M35" s="905"/>
      <c r="N35" s="904"/>
      <c r="O35" s="904"/>
      <c r="P35" s="904"/>
      <c r="Q35" s="2"/>
    </row>
    <row r="36" spans="1:17" ht="18.75" customHeight="1" x14ac:dyDescent="0.3">
      <c r="A36" s="2"/>
      <c r="B36" s="889" t="s">
        <v>252</v>
      </c>
      <c r="C36" s="427"/>
      <c r="D36" s="427"/>
      <c r="E36" s="908" t="str">
        <f>IF(ISBLANK(E$13),"Applicant 1",E$13)</f>
        <v>Applicant 1</v>
      </c>
      <c r="F36" s="904"/>
      <c r="G36" s="908" t="str">
        <f>IF(ISBLANK(G$13),"Applicant 2",G$13)</f>
        <v>Applicant 2</v>
      </c>
      <c r="H36" s="904"/>
      <c r="I36" s="908" t="str">
        <f>IF(ISBLANK(I$13),"Applicant 3",I$13)</f>
        <v>Applicant 3</v>
      </c>
      <c r="J36" s="904"/>
      <c r="K36" s="908" t="str">
        <f>IF(ISBLANK(K$13),"Applicant 4",K$13)</f>
        <v>Applicant 4</v>
      </c>
      <c r="L36" s="904"/>
      <c r="M36" s="908" t="str">
        <f>IF(ISBLANK(M$13),"Applicant 5",M$13)</f>
        <v>Applicant 5</v>
      </c>
      <c r="N36" s="904"/>
      <c r="O36" s="908" t="str">
        <f>IF(ISBLANK(O$13),"Applicant 6",O$13)</f>
        <v>Applicant 6</v>
      </c>
      <c r="P36" s="904"/>
      <c r="Q36" s="2"/>
    </row>
    <row r="37" spans="1:17" ht="7.5" customHeight="1" x14ac:dyDescent="0.3">
      <c r="A37" s="2"/>
      <c r="B37" s="1205"/>
      <c r="C37" s="427"/>
      <c r="D37" s="427"/>
      <c r="E37" s="427"/>
      <c r="F37" s="904"/>
      <c r="G37" s="904"/>
      <c r="H37" s="904"/>
      <c r="I37" s="904"/>
      <c r="J37" s="904"/>
      <c r="K37" s="904"/>
      <c r="L37" s="904"/>
      <c r="M37" s="904"/>
      <c r="N37" s="904"/>
      <c r="O37" s="904"/>
      <c r="P37" s="904"/>
      <c r="Q37" s="2"/>
    </row>
    <row r="38" spans="1:17" ht="18.75" customHeight="1" x14ac:dyDescent="0.3">
      <c r="A38" s="2"/>
      <c r="B38" s="909" t="s">
        <v>2201</v>
      </c>
      <c r="C38" s="868"/>
      <c r="D38" s="868"/>
      <c r="E38" s="910"/>
      <c r="F38" s="427"/>
      <c r="G38" s="910"/>
      <c r="H38" s="427"/>
      <c r="I38" s="1430"/>
      <c r="J38" s="427"/>
      <c r="K38" s="1430"/>
      <c r="L38" s="427"/>
      <c r="M38" s="1430"/>
      <c r="N38" s="427"/>
      <c r="O38" s="1430"/>
      <c r="P38" s="427"/>
      <c r="Q38" s="2"/>
    </row>
    <row r="39" spans="1:17" ht="18.75" customHeight="1" x14ac:dyDescent="0.3">
      <c r="A39" s="2"/>
      <c r="B39" s="909" t="s">
        <v>2202</v>
      </c>
      <c r="C39" s="868"/>
      <c r="D39" s="868"/>
      <c r="E39" s="910"/>
      <c r="F39" s="870"/>
      <c r="G39" s="910"/>
      <c r="H39" s="870"/>
      <c r="I39" s="1430"/>
      <c r="J39" s="870"/>
      <c r="K39" s="1430"/>
      <c r="L39" s="870"/>
      <c r="M39" s="1430"/>
      <c r="N39" s="870"/>
      <c r="O39" s="1430"/>
      <c r="P39" s="870"/>
      <c r="Q39" s="2"/>
    </row>
    <row r="40" spans="1:17" ht="18.75" customHeight="1" x14ac:dyDescent="0.3">
      <c r="A40" s="2"/>
      <c r="B40" s="909" t="s">
        <v>1236</v>
      </c>
      <c r="C40" s="868"/>
      <c r="D40" s="868"/>
      <c r="E40" s="910"/>
      <c r="F40" s="911"/>
      <c r="G40" s="910"/>
      <c r="H40" s="911"/>
      <c r="I40" s="1430"/>
      <c r="J40" s="911"/>
      <c r="K40" s="1430"/>
      <c r="L40" s="911"/>
      <c r="M40" s="1430"/>
      <c r="N40" s="911"/>
      <c r="O40" s="1430"/>
      <c r="P40" s="911"/>
      <c r="Q40" s="2"/>
    </row>
    <row r="41" spans="1:17" ht="7.5" customHeight="1" x14ac:dyDescent="0.3">
      <c r="A41" s="2"/>
      <c r="B41" s="889"/>
      <c r="C41" s="868"/>
      <c r="D41" s="868"/>
      <c r="E41" s="868"/>
      <c r="F41" s="2"/>
      <c r="G41" s="2"/>
      <c r="H41" s="2"/>
      <c r="I41" s="2"/>
      <c r="J41" s="2"/>
      <c r="K41" s="2"/>
      <c r="L41" s="2"/>
      <c r="M41" s="2"/>
      <c r="N41" s="2"/>
      <c r="O41" s="2"/>
      <c r="P41" s="2"/>
      <c r="Q41" s="2"/>
    </row>
    <row r="42" spans="1:17" ht="18.75" customHeight="1" x14ac:dyDescent="0.3">
      <c r="A42" s="2"/>
      <c r="B42" s="889" t="s">
        <v>55</v>
      </c>
      <c r="C42" s="868"/>
      <c r="D42" s="912">
        <f>IFERROR(VLOOKUP(E42,IncomeCycleData[],3,FALSE),0)</f>
        <v>0</v>
      </c>
      <c r="E42" s="873"/>
      <c r="F42" s="912">
        <f>IFERROR(VLOOKUP(G42,IncomeCycleData[],3,FALSE),0)</f>
        <v>0</v>
      </c>
      <c r="G42" s="873"/>
      <c r="H42" s="912">
        <f>IFERROR(VLOOKUP(I42,IncomeCycleData[],3,FALSE),0)</f>
        <v>0</v>
      </c>
      <c r="I42" s="1431"/>
      <c r="J42" s="912">
        <f>IFERROR(VLOOKUP(K42,IncomeCycleData[],3,FALSE),0)</f>
        <v>0</v>
      </c>
      <c r="K42" s="1431"/>
      <c r="L42" s="912">
        <f>IFERROR(VLOOKUP(M42,IncomeCycleData[],3,FALSE),0)</f>
        <v>0</v>
      </c>
      <c r="M42" s="1431"/>
      <c r="N42" s="912">
        <f>IFERROR(VLOOKUP(O42,IncomeCycleData[],3,FALSE),0)</f>
        <v>0</v>
      </c>
      <c r="O42" s="1431"/>
      <c r="P42" s="2"/>
      <c r="Q42" s="2"/>
    </row>
    <row r="43" spans="1:17" ht="18.75" customHeight="1" x14ac:dyDescent="0.25">
      <c r="A43" s="2"/>
      <c r="B43" s="889" t="s">
        <v>2203</v>
      </c>
      <c r="C43" s="913"/>
      <c r="D43" s="914" t="str">
        <f>IFERROR(VLOOKUP(E47,CurrencyDataTable[],2,FALSE),"")</f>
        <v/>
      </c>
      <c r="E43" s="915"/>
      <c r="F43" s="914" t="str">
        <f>IFERROR(VLOOKUP(G47,CurrencyDataTable[],2,FALSE),"")</f>
        <v/>
      </c>
      <c r="G43" s="915"/>
      <c r="H43" s="914" t="str">
        <f>IFERROR(VLOOKUP(I47,CurrencyDataTable[],2,FALSE),"")</f>
        <v/>
      </c>
      <c r="I43" s="1432"/>
      <c r="J43" s="914" t="str">
        <f>IFERROR(VLOOKUP(K47,CurrencyDataTable[],2,FALSE),"")</f>
        <v/>
      </c>
      <c r="K43" s="1432"/>
      <c r="L43" s="914" t="str">
        <f>IFERROR(VLOOKUP(M47,CurrencyDataTable[],2,FALSE),"")</f>
        <v/>
      </c>
      <c r="M43" s="1432"/>
      <c r="N43" s="914" t="str">
        <f>IFERROR(VLOOKUP(O47,CurrencyDataTable[],2,FALSE),"")</f>
        <v/>
      </c>
      <c r="O43" s="1432"/>
      <c r="P43" s="2"/>
      <c r="Q43" s="2"/>
    </row>
    <row r="44" spans="1:17" ht="11.25" customHeight="1" x14ac:dyDescent="0.3">
      <c r="A44" s="2"/>
      <c r="B44" s="889" t="s">
        <v>1063</v>
      </c>
      <c r="C44" s="868"/>
      <c r="D44" s="916"/>
      <c r="E44" s="868"/>
      <c r="F44" s="916"/>
      <c r="G44" s="868"/>
      <c r="H44" s="916"/>
      <c r="I44" s="868"/>
      <c r="J44" s="916"/>
      <c r="K44" s="868"/>
      <c r="L44" s="916"/>
      <c r="M44" s="868"/>
      <c r="N44" s="916"/>
      <c r="O44" s="868"/>
      <c r="P44" s="2"/>
      <c r="Q44" s="2"/>
    </row>
    <row r="45" spans="1:17" ht="18.75" customHeight="1" x14ac:dyDescent="0.3">
      <c r="A45" s="2"/>
      <c r="B45" s="889" t="s">
        <v>1237</v>
      </c>
      <c r="C45" s="868"/>
      <c r="D45" s="914" t="str">
        <f>D43</f>
        <v/>
      </c>
      <c r="E45" s="915"/>
      <c r="F45" s="914" t="str">
        <f>F43</f>
        <v/>
      </c>
      <c r="G45" s="915"/>
      <c r="H45" s="914" t="str">
        <f>H43</f>
        <v/>
      </c>
      <c r="I45" s="1432"/>
      <c r="J45" s="914" t="str">
        <f>J43</f>
        <v/>
      </c>
      <c r="K45" s="1432"/>
      <c r="L45" s="914" t="str">
        <f>L43</f>
        <v/>
      </c>
      <c r="M45" s="1432"/>
      <c r="N45" s="914" t="str">
        <f>N43</f>
        <v/>
      </c>
      <c r="O45" s="1432"/>
      <c r="P45" s="2"/>
      <c r="Q45" s="2"/>
    </row>
    <row r="46" spans="1:17" ht="7.5" customHeight="1" x14ac:dyDescent="0.3">
      <c r="A46" s="2"/>
      <c r="B46" s="889"/>
      <c r="C46" s="868"/>
      <c r="D46" s="916"/>
      <c r="E46" s="868"/>
      <c r="F46" s="916"/>
      <c r="G46" s="868"/>
      <c r="H46" s="916"/>
      <c r="I46" s="868"/>
      <c r="J46" s="916"/>
      <c r="K46" s="868"/>
      <c r="L46" s="916"/>
      <c r="M46" s="868"/>
      <c r="N46" s="916"/>
      <c r="O46" s="868"/>
      <c r="P46" s="2"/>
      <c r="Q46" s="2"/>
    </row>
    <row r="47" spans="1:17" ht="18.75" customHeight="1" x14ac:dyDescent="0.3">
      <c r="A47" s="2"/>
      <c r="B47" s="889" t="s">
        <v>1238</v>
      </c>
      <c r="C47" s="868"/>
      <c r="D47" s="916"/>
      <c r="E47" s="917"/>
      <c r="F47" s="916"/>
      <c r="G47" s="917"/>
      <c r="H47" s="916"/>
      <c r="I47" s="1433"/>
      <c r="J47" s="916"/>
      <c r="K47" s="1433"/>
      <c r="L47" s="916"/>
      <c r="M47" s="1433"/>
      <c r="N47" s="916"/>
      <c r="O47" s="1433"/>
      <c r="P47" s="2"/>
      <c r="Q47" s="2"/>
    </row>
    <row r="48" spans="1:17" ht="18.75" customHeight="1" x14ac:dyDescent="0.3">
      <c r="A48" s="2"/>
      <c r="B48" s="889" t="s">
        <v>2118</v>
      </c>
      <c r="C48" s="868"/>
      <c r="D48" s="916"/>
      <c r="E48" s="918"/>
      <c r="F48" s="916"/>
      <c r="G48" s="918"/>
      <c r="H48" s="916"/>
      <c r="I48" s="1434"/>
      <c r="J48" s="916"/>
      <c r="K48" s="1434"/>
      <c r="L48" s="916"/>
      <c r="M48" s="1434"/>
      <c r="N48" s="916"/>
      <c r="O48" s="1434"/>
      <c r="P48" s="2"/>
      <c r="Q48" s="2"/>
    </row>
    <row r="49" spans="1:17" ht="18.75" customHeight="1" x14ac:dyDescent="0.3">
      <c r="A49" s="2"/>
      <c r="B49" s="889" t="s">
        <v>1280</v>
      </c>
      <c r="C49" s="868"/>
      <c r="D49" s="919" t="s">
        <v>1239</v>
      </c>
      <c r="E49" s="920">
        <f>IFERROR(IF(OR(E43&lt;&gt;0,NOT(ISBLANK(E43))),(E43*D42),E45)/E48,0)</f>
        <v>0</v>
      </c>
      <c r="F49" s="919" t="s">
        <v>1239</v>
      </c>
      <c r="G49" s="920">
        <f>IFERROR(IF(OR(G43&lt;&gt;0,NOT(ISBLANK(G43))),(G43*F42),G45)/G48,0)</f>
        <v>0</v>
      </c>
      <c r="H49" s="919" t="s">
        <v>1239</v>
      </c>
      <c r="I49" s="920">
        <f>IFERROR(IF(OR(I43&lt;&gt;0,NOT(ISBLANK(I43))),(I43*H42),I45)/I48,0)</f>
        <v>0</v>
      </c>
      <c r="J49" s="919" t="s">
        <v>1239</v>
      </c>
      <c r="K49" s="920">
        <f>IFERROR(IF(OR(K43&lt;&gt;0,NOT(ISBLANK(K43))),(K43*J42),K45)/K48,0)</f>
        <v>0</v>
      </c>
      <c r="L49" s="919" t="s">
        <v>1239</v>
      </c>
      <c r="M49" s="920">
        <f>IFERROR(IF(OR(M43&lt;&gt;0,NOT(ISBLANK(M43))),(M43*L42),M45)/M48,0)</f>
        <v>0</v>
      </c>
      <c r="N49" s="919" t="s">
        <v>1239</v>
      </c>
      <c r="O49" s="920">
        <f>IFERROR(IF(OR(O43&lt;&gt;0,NOT(ISBLANK(O43))),(O43*N42),O45)/O48,0)</f>
        <v>0</v>
      </c>
      <c r="P49" s="2"/>
      <c r="Q49" s="2"/>
    </row>
    <row r="50" spans="1:17" ht="7.5" customHeight="1" x14ac:dyDescent="0.3">
      <c r="A50" s="2"/>
      <c r="B50" s="889"/>
      <c r="C50" s="868"/>
      <c r="D50" s="916"/>
      <c r="E50" s="868"/>
      <c r="F50" s="916"/>
      <c r="G50" s="868"/>
      <c r="H50" s="916"/>
      <c r="I50" s="868"/>
      <c r="J50" s="916"/>
      <c r="K50" s="868"/>
      <c r="L50" s="916"/>
      <c r="M50" s="868"/>
      <c r="N50" s="916"/>
      <c r="O50" s="868"/>
      <c r="P50" s="2"/>
      <c r="Q50" s="2"/>
    </row>
    <row r="51" spans="1:17" ht="18.75" customHeight="1" x14ac:dyDescent="0.3">
      <c r="A51" s="2"/>
      <c r="B51" s="889" t="s">
        <v>1240</v>
      </c>
      <c r="C51" s="868"/>
      <c r="D51" s="919" t="s">
        <v>1239</v>
      </c>
      <c r="E51" s="915"/>
      <c r="F51" s="919" t="s">
        <v>1239</v>
      </c>
      <c r="G51" s="915"/>
      <c r="H51" s="919" t="s">
        <v>1239</v>
      </c>
      <c r="I51" s="1432"/>
      <c r="J51" s="919" t="s">
        <v>1239</v>
      </c>
      <c r="K51" s="1432"/>
      <c r="L51" s="919" t="s">
        <v>1239</v>
      </c>
      <c r="M51" s="1432"/>
      <c r="N51" s="919" t="s">
        <v>1239</v>
      </c>
      <c r="O51" s="1432"/>
      <c r="P51" s="2"/>
      <c r="Q51" s="2"/>
    </row>
    <row r="52" spans="1:17" ht="18.75" customHeight="1" x14ac:dyDescent="0.3">
      <c r="A52" s="2"/>
      <c r="B52" s="889" t="s">
        <v>1257</v>
      </c>
      <c r="C52" s="868"/>
      <c r="D52" s="919" t="s">
        <v>1239</v>
      </c>
      <c r="E52" s="921">
        <f>IF(OR(E49=0,ISBLANK(E51)),0,MIN(E49,E51))</f>
        <v>0</v>
      </c>
      <c r="F52" s="919" t="s">
        <v>1239</v>
      </c>
      <c r="G52" s="921">
        <f>IF(OR(G49=0,ISBLANK(G51)),0,MIN(G49,G51))</f>
        <v>0</v>
      </c>
      <c r="H52" s="919" t="s">
        <v>1239</v>
      </c>
      <c r="I52" s="921">
        <f>IF(OR(I49=0,ISBLANK(I51)),0,MIN(I49,I51))</f>
        <v>0</v>
      </c>
      <c r="J52" s="919" t="s">
        <v>1239</v>
      </c>
      <c r="K52" s="921">
        <f>IF(OR(K49=0,ISBLANK(K51)),0,MIN(K49,K51))</f>
        <v>0</v>
      </c>
      <c r="L52" s="919" t="s">
        <v>1239</v>
      </c>
      <c r="M52" s="921">
        <f>IF(OR(M49=0,ISBLANK(M51)),0,MIN(M49,M51))</f>
        <v>0</v>
      </c>
      <c r="N52" s="919" t="s">
        <v>1239</v>
      </c>
      <c r="O52" s="921">
        <f>IF(OR(O49=0,ISBLANK(O51)),0,MIN(O49,O51))</f>
        <v>0</v>
      </c>
      <c r="P52" s="2"/>
      <c r="Q52" s="2"/>
    </row>
    <row r="53" spans="1:17" ht="7.5" customHeight="1" x14ac:dyDescent="0.3">
      <c r="A53" s="2"/>
      <c r="B53" s="2"/>
      <c r="C53" s="2"/>
      <c r="D53" s="868"/>
      <c r="E53" s="868"/>
      <c r="F53" s="2"/>
      <c r="G53" s="2"/>
      <c r="H53" s="2"/>
      <c r="I53" s="2"/>
      <c r="J53" s="2"/>
      <c r="K53" s="2"/>
      <c r="L53" s="2"/>
      <c r="M53" s="2"/>
      <c r="N53" s="2"/>
      <c r="O53" s="2"/>
      <c r="P53" s="2"/>
      <c r="Q53" s="2"/>
    </row>
    <row r="54" spans="1:17" ht="18.75" customHeight="1" x14ac:dyDescent="0.25">
      <c r="A54" s="901"/>
      <c r="B54" s="902" t="s">
        <v>1285</v>
      </c>
      <c r="C54" s="903"/>
      <c r="D54" s="903"/>
      <c r="E54" s="903"/>
      <c r="F54" s="903"/>
      <c r="G54" s="903"/>
      <c r="H54" s="903"/>
      <c r="I54" s="903"/>
      <c r="J54" s="903"/>
      <c r="K54" s="903"/>
      <c r="L54" s="903"/>
      <c r="M54" s="903"/>
      <c r="N54" s="903"/>
      <c r="O54" s="903"/>
      <c r="P54" s="903"/>
      <c r="Q54" s="2"/>
    </row>
    <row r="55" spans="1:17" ht="7.5" customHeight="1" x14ac:dyDescent="0.3">
      <c r="A55" s="2"/>
      <c r="B55" s="904"/>
      <c r="C55" s="427"/>
      <c r="D55" s="427"/>
      <c r="E55" s="427"/>
      <c r="F55" s="904"/>
      <c r="G55" s="904"/>
      <c r="H55" s="904"/>
      <c r="I55" s="904"/>
      <c r="J55" s="904"/>
      <c r="K55" s="904"/>
      <c r="L55" s="904"/>
      <c r="M55" s="904"/>
      <c r="N55" s="904"/>
      <c r="O55" s="904"/>
      <c r="P55" s="904"/>
      <c r="Q55" s="2"/>
    </row>
    <row r="56" spans="1:17" ht="28.5" customHeight="1" x14ac:dyDescent="0.3">
      <c r="A56" s="2"/>
      <c r="B56" s="1766" t="s">
        <v>1286</v>
      </c>
      <c r="C56" s="1766"/>
      <c r="D56" s="1766"/>
      <c r="E56" s="1766"/>
      <c r="F56" s="1766"/>
      <c r="G56" s="1766"/>
      <c r="H56" s="1766"/>
      <c r="I56" s="1766"/>
      <c r="J56" s="1766"/>
      <c r="K56" s="1766"/>
      <c r="L56" s="1766"/>
      <c r="M56" s="1766"/>
      <c r="N56" s="904"/>
      <c r="O56" s="904"/>
      <c r="P56" s="904"/>
      <c r="Q56" s="2"/>
    </row>
    <row r="57" spans="1:17" ht="7.5" customHeight="1" x14ac:dyDescent="0.3">
      <c r="A57" s="2"/>
      <c r="B57" s="904"/>
      <c r="C57" s="427"/>
      <c r="D57" s="427"/>
      <c r="E57" s="427"/>
      <c r="F57" s="904"/>
      <c r="G57" s="904"/>
      <c r="H57" s="904"/>
      <c r="I57" s="904"/>
      <c r="J57" s="904"/>
      <c r="K57" s="904"/>
      <c r="L57" s="904"/>
      <c r="M57" s="904"/>
      <c r="N57" s="904"/>
      <c r="O57" s="904"/>
      <c r="P57" s="904"/>
      <c r="Q57" s="2"/>
    </row>
    <row r="58" spans="1:17" ht="18.75" customHeight="1" x14ac:dyDescent="0.3">
      <c r="A58" s="2"/>
      <c r="B58" s="889" t="s">
        <v>252</v>
      </c>
      <c r="C58" s="427"/>
      <c r="D58" s="427"/>
      <c r="E58" s="908" t="str">
        <f>E$36</f>
        <v>Applicant 1</v>
      </c>
      <c r="F58" s="904"/>
      <c r="G58" s="908" t="str">
        <f>G$36</f>
        <v>Applicant 2</v>
      </c>
      <c r="H58" s="904"/>
      <c r="I58" s="908" t="str">
        <f>I$36</f>
        <v>Applicant 3</v>
      </c>
      <c r="J58" s="904"/>
      <c r="K58" s="908" t="str">
        <f>K$36</f>
        <v>Applicant 4</v>
      </c>
      <c r="L58" s="904"/>
      <c r="M58" s="908" t="str">
        <f>M$36</f>
        <v>Applicant 5</v>
      </c>
      <c r="N58" s="904"/>
      <c r="O58" s="908" t="str">
        <f>O$36</f>
        <v>Applicant 6</v>
      </c>
      <c r="P58" s="427"/>
      <c r="Q58" s="2"/>
    </row>
    <row r="59" spans="1:17" ht="7.5" customHeight="1" x14ac:dyDescent="0.3">
      <c r="A59" s="2"/>
      <c r="B59" s="1205"/>
      <c r="C59" s="427"/>
      <c r="D59" s="427"/>
      <c r="E59" s="427"/>
      <c r="F59" s="904"/>
      <c r="G59" s="904"/>
      <c r="H59" s="904"/>
      <c r="I59" s="904"/>
      <c r="J59" s="904"/>
      <c r="K59" s="904"/>
      <c r="L59" s="904"/>
      <c r="M59" s="904"/>
      <c r="N59" s="904"/>
      <c r="O59" s="904"/>
      <c r="P59" s="870"/>
      <c r="Q59" s="2"/>
    </row>
    <row r="60" spans="1:17" ht="18.75" customHeight="1" x14ac:dyDescent="0.3">
      <c r="A60" s="2"/>
      <c r="B60" s="909" t="s">
        <v>2201</v>
      </c>
      <c r="C60" s="868"/>
      <c r="D60" s="868"/>
      <c r="E60" s="910"/>
      <c r="F60" s="427"/>
      <c r="G60" s="910"/>
      <c r="H60" s="427"/>
      <c r="I60" s="1430"/>
      <c r="J60" s="427"/>
      <c r="K60" s="1430"/>
      <c r="L60" s="427"/>
      <c r="M60" s="1430"/>
      <c r="N60" s="427"/>
      <c r="O60" s="1430"/>
      <c r="P60" s="922"/>
      <c r="Q60" s="2"/>
    </row>
    <row r="61" spans="1:17" ht="18.75" customHeight="1" x14ac:dyDescent="0.3">
      <c r="A61" s="2"/>
      <c r="B61" s="909" t="s">
        <v>2202</v>
      </c>
      <c r="C61" s="868"/>
      <c r="D61" s="868"/>
      <c r="E61" s="910"/>
      <c r="F61" s="870"/>
      <c r="G61" s="910"/>
      <c r="H61" s="870"/>
      <c r="I61" s="1430"/>
      <c r="J61" s="870"/>
      <c r="K61" s="1430"/>
      <c r="L61" s="870"/>
      <c r="M61" s="1430"/>
      <c r="N61" s="870"/>
      <c r="O61" s="1430"/>
      <c r="P61" s="427"/>
      <c r="Q61" s="2"/>
    </row>
    <row r="62" spans="1:17" ht="18.75" customHeight="1" x14ac:dyDescent="0.3">
      <c r="A62" s="2"/>
      <c r="B62" s="909" t="s">
        <v>1258</v>
      </c>
      <c r="C62" s="868"/>
      <c r="D62" s="868"/>
      <c r="E62" s="910"/>
      <c r="F62" s="911"/>
      <c r="G62" s="910"/>
      <c r="H62" s="911"/>
      <c r="I62" s="1430"/>
      <c r="J62" s="911"/>
      <c r="K62" s="1430"/>
      <c r="L62" s="911"/>
      <c r="M62" s="1430"/>
      <c r="N62" s="911"/>
      <c r="O62" s="1430"/>
      <c r="P62" s="2"/>
      <c r="Q62" s="2"/>
    </row>
    <row r="63" spans="1:17" ht="7.5" customHeight="1" x14ac:dyDescent="0.3">
      <c r="A63" s="2"/>
      <c r="B63" s="889"/>
      <c r="C63" s="868"/>
      <c r="D63" s="868"/>
      <c r="E63" s="868"/>
      <c r="F63" s="2"/>
      <c r="G63" s="2"/>
      <c r="H63" s="2"/>
      <c r="I63" s="2"/>
      <c r="J63" s="2"/>
      <c r="K63" s="2"/>
      <c r="L63" s="2"/>
      <c r="M63" s="2"/>
      <c r="N63" s="2"/>
      <c r="O63" s="2"/>
      <c r="P63" s="427"/>
      <c r="Q63" s="2"/>
    </row>
    <row r="64" spans="1:17" ht="18.75" customHeight="1" x14ac:dyDescent="0.3">
      <c r="A64" s="2"/>
      <c r="B64" s="889" t="s">
        <v>55</v>
      </c>
      <c r="C64" s="868"/>
      <c r="D64" s="912">
        <f>IFERROR(VLOOKUP(E64,IncomeCycleData[],3,FALSE),0)</f>
        <v>0</v>
      </c>
      <c r="E64" s="873"/>
      <c r="F64" s="912">
        <f>IFERROR(VLOOKUP(G64,IncomeCycleData[],3,FALSE),0)</f>
        <v>0</v>
      </c>
      <c r="G64" s="873"/>
      <c r="H64" s="912">
        <f>IFERROR(VLOOKUP(I64,IncomeCycleData[],3,FALSE),0)</f>
        <v>0</v>
      </c>
      <c r="I64" s="1431"/>
      <c r="J64" s="912">
        <f>IFERROR(VLOOKUP(K64,IncomeCycleData[],3,FALSE),0)</f>
        <v>0</v>
      </c>
      <c r="K64" s="1431"/>
      <c r="L64" s="912">
        <f>IFERROR(VLOOKUP(M64,IncomeCycleData[],3,FALSE),0)</f>
        <v>0</v>
      </c>
      <c r="M64" s="1431"/>
      <c r="N64" s="912">
        <f>IFERROR(VLOOKUP(O64,IncomeCycleData[],3,FALSE),0)</f>
        <v>0</v>
      </c>
      <c r="O64" s="1431"/>
      <c r="P64" s="923"/>
      <c r="Q64" s="2"/>
    </row>
    <row r="65" spans="1:17" ht="18.75" customHeight="1" x14ac:dyDescent="0.25">
      <c r="A65" s="2"/>
      <c r="B65" s="889" t="s">
        <v>2203</v>
      </c>
      <c r="C65" s="913"/>
      <c r="D65" s="914" t="str">
        <f>IFERROR(VLOOKUP(E69,CurrencyDataTable[],2,FALSE),"")</f>
        <v/>
      </c>
      <c r="E65" s="915"/>
      <c r="F65" s="914" t="str">
        <f>IFERROR(VLOOKUP(G69,CurrencyDataTable[],2,FALSE),"")</f>
        <v/>
      </c>
      <c r="G65" s="915"/>
      <c r="H65" s="914" t="str">
        <f>IFERROR(VLOOKUP(I69,CurrencyDataTable[],2,FALSE),"")</f>
        <v/>
      </c>
      <c r="I65" s="1432"/>
      <c r="J65" s="914" t="str">
        <f>IFERROR(VLOOKUP(K69,CurrencyDataTable[],2,FALSE),"")</f>
        <v/>
      </c>
      <c r="K65" s="1432"/>
      <c r="L65" s="914" t="str">
        <f>IFERROR(VLOOKUP(M69,CurrencyDataTable[],2,FALSE),"")</f>
        <v/>
      </c>
      <c r="M65" s="1432"/>
      <c r="N65" s="914" t="str">
        <f>IFERROR(VLOOKUP(O69,CurrencyDataTable[],2,FALSE),"")</f>
        <v/>
      </c>
      <c r="O65" s="1432"/>
      <c r="P65" s="923"/>
      <c r="Q65" s="2"/>
    </row>
    <row r="66" spans="1:17" ht="11.25" customHeight="1" x14ac:dyDescent="0.3">
      <c r="A66" s="2"/>
      <c r="B66" s="889" t="s">
        <v>1063</v>
      </c>
      <c r="C66" s="868"/>
      <c r="D66" s="916"/>
      <c r="E66" s="868"/>
      <c r="F66" s="916"/>
      <c r="G66" s="868"/>
      <c r="H66" s="916"/>
      <c r="I66" s="868"/>
      <c r="J66" s="916"/>
      <c r="K66" s="868"/>
      <c r="L66" s="916"/>
      <c r="M66" s="868"/>
      <c r="N66" s="916"/>
      <c r="O66" s="868"/>
      <c r="P66" s="427"/>
      <c r="Q66" s="2"/>
    </row>
    <row r="67" spans="1:17" ht="18.75" customHeight="1" x14ac:dyDescent="0.3">
      <c r="A67" s="2"/>
      <c r="B67" s="889" t="s">
        <v>1237</v>
      </c>
      <c r="C67" s="868"/>
      <c r="D67" s="914" t="str">
        <f>D65</f>
        <v/>
      </c>
      <c r="E67" s="915"/>
      <c r="F67" s="914" t="str">
        <f>F65</f>
        <v/>
      </c>
      <c r="G67" s="915"/>
      <c r="H67" s="914" t="str">
        <f>H65</f>
        <v/>
      </c>
      <c r="I67" s="1432"/>
      <c r="J67" s="914" t="str">
        <f>J65</f>
        <v/>
      </c>
      <c r="K67" s="1432"/>
      <c r="L67" s="914" t="str">
        <f>L65</f>
        <v/>
      </c>
      <c r="M67" s="1432"/>
      <c r="N67" s="914" t="str">
        <f>N65</f>
        <v/>
      </c>
      <c r="O67" s="1432"/>
      <c r="P67" s="427"/>
      <c r="Q67" s="2"/>
    </row>
    <row r="68" spans="1:17" ht="7.5" customHeight="1" x14ac:dyDescent="0.3">
      <c r="A68" s="2"/>
      <c r="B68" s="889"/>
      <c r="C68" s="868"/>
      <c r="D68" s="916"/>
      <c r="E68" s="868"/>
      <c r="F68" s="916"/>
      <c r="G68" s="868"/>
      <c r="H68" s="916"/>
      <c r="I68" s="868"/>
      <c r="J68" s="916"/>
      <c r="K68" s="868"/>
      <c r="L68" s="916"/>
      <c r="M68" s="868"/>
      <c r="N68" s="916"/>
      <c r="O68" s="868"/>
      <c r="P68" s="427"/>
      <c r="Q68" s="2"/>
    </row>
    <row r="69" spans="1:17" ht="18.75" customHeight="1" x14ac:dyDescent="0.3">
      <c r="A69" s="2"/>
      <c r="B69" s="889" t="s">
        <v>1238</v>
      </c>
      <c r="C69" s="868"/>
      <c r="D69" s="916"/>
      <c r="E69" s="917"/>
      <c r="F69" s="916"/>
      <c r="G69" s="917"/>
      <c r="H69" s="916"/>
      <c r="I69" s="1433"/>
      <c r="J69" s="916"/>
      <c r="K69" s="1433"/>
      <c r="L69" s="916"/>
      <c r="M69" s="1433"/>
      <c r="N69" s="916"/>
      <c r="O69" s="1433"/>
      <c r="P69" s="427"/>
      <c r="Q69" s="2"/>
    </row>
    <row r="70" spans="1:17" ht="18.75" customHeight="1" x14ac:dyDescent="0.3">
      <c r="A70" s="2"/>
      <c r="B70" s="889" t="s">
        <v>2118</v>
      </c>
      <c r="C70" s="868"/>
      <c r="D70" s="916"/>
      <c r="E70" s="918"/>
      <c r="F70" s="916"/>
      <c r="G70" s="918"/>
      <c r="H70" s="916"/>
      <c r="I70" s="1434"/>
      <c r="J70" s="916"/>
      <c r="K70" s="1434"/>
      <c r="L70" s="916"/>
      <c r="M70" s="1434"/>
      <c r="N70" s="916"/>
      <c r="O70" s="1434"/>
      <c r="P70" s="2"/>
      <c r="Q70" s="2"/>
    </row>
    <row r="71" spans="1:17" ht="18.75" customHeight="1" x14ac:dyDescent="0.3">
      <c r="A71" s="2"/>
      <c r="B71" s="889" t="s">
        <v>1280</v>
      </c>
      <c r="C71" s="868"/>
      <c r="D71" s="919" t="s">
        <v>1239</v>
      </c>
      <c r="E71" s="921">
        <f>IFERROR(IF(OR(E65&lt;&gt;0,NOT(ISBLANK(E65))),(E65*D64),E67)/E70,0)</f>
        <v>0</v>
      </c>
      <c r="F71" s="919" t="s">
        <v>1239</v>
      </c>
      <c r="G71" s="921">
        <f>IFERROR(IF(OR(G65&lt;&gt;0,NOT(ISBLANK(G65))),(G65*F64),G67)/G70,0)</f>
        <v>0</v>
      </c>
      <c r="H71" s="919" t="s">
        <v>1239</v>
      </c>
      <c r="I71" s="921">
        <f>IFERROR(IF(OR(I65&lt;&gt;0,NOT(ISBLANK(I65))),(I65*H64),I67)/I70,0)</f>
        <v>0</v>
      </c>
      <c r="J71" s="919" t="s">
        <v>1239</v>
      </c>
      <c r="K71" s="921">
        <f>IFERROR(IF(OR(K65&lt;&gt;0,NOT(ISBLANK(K65))),(K65*J64),K67)/K70,0)</f>
        <v>0</v>
      </c>
      <c r="L71" s="919" t="s">
        <v>1239</v>
      </c>
      <c r="M71" s="921">
        <f>IFERROR(IF(OR(M65&lt;&gt;0,NOT(ISBLANK(M65))),(M65*L64),M67)/M70,0)</f>
        <v>0</v>
      </c>
      <c r="N71" s="919" t="s">
        <v>1239</v>
      </c>
      <c r="O71" s="921">
        <f>IFERROR(IF(OR(O65&lt;&gt;0,NOT(ISBLANK(O65))),(O65*N64),O67)/O70,0)</f>
        <v>0</v>
      </c>
      <c r="P71" s="905"/>
      <c r="Q71" s="2"/>
    </row>
    <row r="72" spans="1:17" ht="7.5" customHeight="1" x14ac:dyDescent="0.3">
      <c r="A72" s="2"/>
      <c r="B72" s="904"/>
      <c r="C72" s="427"/>
      <c r="D72" s="427"/>
      <c r="E72" s="427"/>
      <c r="F72" s="924"/>
      <c r="G72" s="924"/>
      <c r="H72" s="924"/>
      <c r="I72" s="924"/>
      <c r="J72" s="924"/>
      <c r="K72" s="924"/>
      <c r="L72" s="924"/>
      <c r="M72" s="924"/>
      <c r="N72" s="924"/>
      <c r="O72" s="924"/>
      <c r="P72" s="924"/>
      <c r="Q72" s="2"/>
    </row>
    <row r="73" spans="1:17" ht="18.75" customHeight="1" x14ac:dyDescent="0.25">
      <c r="A73" s="901"/>
      <c r="B73" s="902" t="s">
        <v>1268</v>
      </c>
      <c r="C73" s="903"/>
      <c r="D73" s="903"/>
      <c r="E73" s="903"/>
      <c r="F73" s="903"/>
      <c r="G73" s="903"/>
      <c r="H73" s="903"/>
      <c r="I73" s="903"/>
      <c r="J73" s="903"/>
      <c r="K73" s="903"/>
      <c r="L73" s="903"/>
      <c r="M73" s="903"/>
      <c r="N73" s="903"/>
      <c r="O73" s="903"/>
      <c r="P73" s="903"/>
      <c r="Q73" s="2"/>
    </row>
    <row r="74" spans="1:17" ht="7.5" customHeight="1" x14ac:dyDescent="0.3">
      <c r="A74" s="2"/>
      <c r="B74" s="904"/>
      <c r="C74" s="427"/>
      <c r="D74" s="427"/>
      <c r="E74" s="427"/>
      <c r="F74" s="924"/>
      <c r="G74" s="924"/>
      <c r="H74" s="924"/>
      <c r="I74" s="924"/>
      <c r="J74" s="924"/>
      <c r="K74" s="924"/>
      <c r="L74" s="924"/>
      <c r="M74" s="924"/>
      <c r="N74" s="924"/>
      <c r="O74" s="924"/>
      <c r="P74" s="924"/>
      <c r="Q74" s="2"/>
    </row>
    <row r="75" spans="1:17" ht="16" customHeight="1" x14ac:dyDescent="0.3">
      <c r="A75" s="2"/>
      <c r="B75" s="906" t="s">
        <v>1289</v>
      </c>
      <c r="C75" s="907"/>
      <c r="D75" s="907"/>
      <c r="E75" s="907"/>
      <c r="F75" s="904"/>
      <c r="G75" s="904"/>
      <c r="H75" s="904"/>
      <c r="I75" s="904"/>
      <c r="J75" s="904"/>
      <c r="K75" s="904"/>
      <c r="L75" s="904"/>
      <c r="M75" s="904"/>
      <c r="N75" s="904"/>
      <c r="O75" s="904"/>
      <c r="P75" s="904"/>
      <c r="Q75" s="2"/>
    </row>
    <row r="76" spans="1:17" ht="7.5" customHeight="1" x14ac:dyDescent="0.3">
      <c r="A76" s="2"/>
      <c r="B76" s="904"/>
      <c r="C76" s="427"/>
      <c r="D76" s="427"/>
      <c r="E76" s="427"/>
      <c r="F76" s="904"/>
      <c r="G76" s="904"/>
      <c r="H76" s="904"/>
      <c r="I76" s="904"/>
      <c r="J76" s="904"/>
      <c r="K76" s="904"/>
      <c r="L76" s="904"/>
      <c r="M76" s="904"/>
      <c r="N76" s="904"/>
      <c r="O76" s="904"/>
      <c r="P76" s="904"/>
      <c r="Q76" s="2"/>
    </row>
    <row r="77" spans="1:17" ht="18.75" customHeight="1" x14ac:dyDescent="0.3">
      <c r="A77" s="2"/>
      <c r="B77" s="889" t="s">
        <v>252</v>
      </c>
      <c r="C77" s="427"/>
      <c r="D77" s="427"/>
      <c r="E77" s="908" t="str">
        <f>E$36</f>
        <v>Applicant 1</v>
      </c>
      <c r="F77" s="904"/>
      <c r="G77" s="908" t="str">
        <f>G$36</f>
        <v>Applicant 2</v>
      </c>
      <c r="H77" s="904"/>
      <c r="I77" s="908" t="str">
        <f>I$36</f>
        <v>Applicant 3</v>
      </c>
      <c r="J77" s="904"/>
      <c r="K77" s="908" t="str">
        <f>K$36</f>
        <v>Applicant 4</v>
      </c>
      <c r="L77" s="904"/>
      <c r="M77" s="908" t="str">
        <f>M$36</f>
        <v>Applicant 5</v>
      </c>
      <c r="N77" s="904"/>
      <c r="O77" s="908" t="str">
        <f>O$36</f>
        <v>Applicant 6</v>
      </c>
      <c r="P77" s="427"/>
      <c r="Q77" s="2"/>
    </row>
    <row r="78" spans="1:17" ht="7.5" customHeight="1" x14ac:dyDescent="0.3">
      <c r="A78" s="2"/>
      <c r="B78" s="1205"/>
      <c r="C78" s="427"/>
      <c r="D78" s="427"/>
      <c r="E78" s="427"/>
      <c r="F78" s="904"/>
      <c r="G78" s="904"/>
      <c r="H78" s="904"/>
      <c r="I78" s="904"/>
      <c r="J78" s="904"/>
      <c r="K78" s="904"/>
      <c r="L78" s="904"/>
      <c r="M78" s="904"/>
      <c r="N78" s="904"/>
      <c r="O78" s="904"/>
      <c r="P78" s="870"/>
      <c r="Q78" s="2"/>
    </row>
    <row r="79" spans="1:17" ht="18.75" customHeight="1" x14ac:dyDescent="0.3">
      <c r="A79" s="2"/>
      <c r="B79" s="909" t="s">
        <v>1259</v>
      </c>
      <c r="C79" s="868"/>
      <c r="D79" s="868"/>
      <c r="E79" s="910"/>
      <c r="F79" s="427"/>
      <c r="G79" s="910"/>
      <c r="H79" s="427"/>
      <c r="I79" s="1430"/>
      <c r="J79" s="427"/>
      <c r="K79" s="1430"/>
      <c r="L79" s="427"/>
      <c r="M79" s="1430"/>
      <c r="N79" s="427"/>
      <c r="O79" s="1430"/>
      <c r="P79" s="922"/>
      <c r="Q79" s="2"/>
    </row>
    <row r="80" spans="1:17" ht="18.75" customHeight="1" x14ac:dyDescent="0.3">
      <c r="A80" s="2"/>
      <c r="B80" s="909" t="s">
        <v>1260</v>
      </c>
      <c r="C80" s="868"/>
      <c r="D80" s="868"/>
      <c r="E80" s="910"/>
      <c r="F80" s="870"/>
      <c r="G80" s="910"/>
      <c r="H80" s="870"/>
      <c r="I80" s="1430"/>
      <c r="J80" s="870"/>
      <c r="K80" s="1430"/>
      <c r="L80" s="870"/>
      <c r="M80" s="1430"/>
      <c r="N80" s="870"/>
      <c r="O80" s="1430"/>
      <c r="P80" s="427"/>
      <c r="Q80" s="2"/>
    </row>
    <row r="81" spans="1:17" ht="18.75" customHeight="1" x14ac:dyDescent="0.25">
      <c r="A81" s="2"/>
      <c r="B81" s="1763"/>
      <c r="C81" s="1764"/>
      <c r="D81" s="1765"/>
      <c r="E81" s="2"/>
      <c r="F81" s="2"/>
      <c r="G81" s="2"/>
      <c r="H81" s="2"/>
      <c r="I81" s="2"/>
      <c r="J81" s="2"/>
      <c r="K81" s="2"/>
      <c r="L81" s="2"/>
      <c r="M81" s="2"/>
      <c r="N81" s="2"/>
      <c r="O81" s="2"/>
      <c r="P81" s="2"/>
      <c r="Q81" s="2"/>
    </row>
    <row r="82" spans="1:17" ht="7.5" customHeight="1" x14ac:dyDescent="0.3">
      <c r="A82" s="2"/>
      <c r="B82" s="889"/>
      <c r="C82" s="868"/>
      <c r="D82" s="868"/>
      <c r="E82" s="868"/>
      <c r="F82" s="2"/>
      <c r="G82" s="2"/>
      <c r="H82" s="2"/>
      <c r="I82" s="2"/>
      <c r="J82" s="2"/>
      <c r="K82" s="2"/>
      <c r="L82" s="2"/>
      <c r="M82" s="2"/>
      <c r="N82" s="2"/>
      <c r="O82" s="2"/>
      <c r="P82" s="427"/>
      <c r="Q82" s="2"/>
    </row>
    <row r="83" spans="1:17" ht="18.75" customHeight="1" x14ac:dyDescent="0.3">
      <c r="A83" s="2"/>
      <c r="B83" s="889" t="s">
        <v>55</v>
      </c>
      <c r="C83" s="868"/>
      <c r="D83" s="912">
        <f>IFERROR(VLOOKUP(E83,IncomeCycleData[],3,FALSE),0)</f>
        <v>0</v>
      </c>
      <c r="E83" s="873"/>
      <c r="F83" s="912">
        <f>IFERROR(VLOOKUP(G83,IncomeCycleData[],3,FALSE),0)</f>
        <v>0</v>
      </c>
      <c r="G83" s="873"/>
      <c r="H83" s="912">
        <f>IFERROR(VLOOKUP(I83,IncomeCycleData[],3,FALSE),0)</f>
        <v>0</v>
      </c>
      <c r="I83" s="1431"/>
      <c r="J83" s="912">
        <f>IFERROR(VLOOKUP(K83,IncomeCycleData[],3,FALSE),0)</f>
        <v>0</v>
      </c>
      <c r="K83" s="1431"/>
      <c r="L83" s="912">
        <f>IFERROR(VLOOKUP(M83,IncomeCycleData[],3,FALSE),0)</f>
        <v>0</v>
      </c>
      <c r="M83" s="1431"/>
      <c r="N83" s="912">
        <f>IFERROR(VLOOKUP(O83,IncomeCycleData[],3,FALSE),0)</f>
        <v>0</v>
      </c>
      <c r="O83" s="1431"/>
      <c r="P83" s="923"/>
      <c r="Q83" s="2"/>
    </row>
    <row r="84" spans="1:17" ht="18.75" customHeight="1" x14ac:dyDescent="0.25">
      <c r="A84" s="2"/>
      <c r="B84" s="889" t="s">
        <v>2204</v>
      </c>
      <c r="C84" s="913"/>
      <c r="D84" s="914" t="str">
        <f>IFERROR(VLOOKUP(E85,CurrencyDataTable[],2,FALSE),"")</f>
        <v/>
      </c>
      <c r="E84" s="915"/>
      <c r="F84" s="914" t="str">
        <f>IFERROR(VLOOKUP(G85,CurrencyDataTable[],2,FALSE),"")</f>
        <v/>
      </c>
      <c r="G84" s="915"/>
      <c r="H84" s="914" t="str">
        <f>IFERROR(VLOOKUP(I85,CurrencyDataTable[],2,FALSE),"")</f>
        <v/>
      </c>
      <c r="I84" s="1432"/>
      <c r="J84" s="914" t="str">
        <f>IFERROR(VLOOKUP(K85,CurrencyDataTable[],2,FALSE),"")</f>
        <v/>
      </c>
      <c r="K84" s="1432"/>
      <c r="L84" s="914" t="str">
        <f>IFERROR(VLOOKUP(M85,CurrencyDataTable[],2,FALSE),"")</f>
        <v/>
      </c>
      <c r="M84" s="1432"/>
      <c r="N84" s="914" t="str">
        <f>IFERROR(VLOOKUP(O85,CurrencyDataTable[],2,FALSE),"")</f>
        <v/>
      </c>
      <c r="O84" s="1432"/>
      <c r="P84" s="923"/>
      <c r="Q84" s="2"/>
    </row>
    <row r="85" spans="1:17" ht="18.75" customHeight="1" x14ac:dyDescent="0.3">
      <c r="A85" s="2"/>
      <c r="B85" s="889" t="s">
        <v>1238</v>
      </c>
      <c r="C85" s="868"/>
      <c r="D85" s="916"/>
      <c r="E85" s="917"/>
      <c r="F85" s="916"/>
      <c r="G85" s="917"/>
      <c r="H85" s="916"/>
      <c r="I85" s="1433"/>
      <c r="J85" s="916"/>
      <c r="K85" s="1433"/>
      <c r="L85" s="916"/>
      <c r="M85" s="1433"/>
      <c r="N85" s="916"/>
      <c r="O85" s="1433"/>
      <c r="P85" s="427"/>
      <c r="Q85" s="2"/>
    </row>
    <row r="86" spans="1:17" ht="18.75" customHeight="1" x14ac:dyDescent="0.3">
      <c r="A86" s="2"/>
      <c r="B86" s="889" t="s">
        <v>2118</v>
      </c>
      <c r="C86" s="868"/>
      <c r="D86" s="916"/>
      <c r="E86" s="918"/>
      <c r="F86" s="916"/>
      <c r="G86" s="918"/>
      <c r="H86" s="916"/>
      <c r="I86" s="1434"/>
      <c r="J86" s="916"/>
      <c r="K86" s="1434"/>
      <c r="L86" s="916"/>
      <c r="M86" s="1434"/>
      <c r="N86" s="916"/>
      <c r="O86" s="1434"/>
      <c r="P86" s="2"/>
      <c r="Q86" s="2"/>
    </row>
    <row r="87" spans="1:17" ht="18.75" customHeight="1" x14ac:dyDescent="0.3">
      <c r="A87" s="2"/>
      <c r="B87" s="889" t="s">
        <v>1280</v>
      </c>
      <c r="C87" s="868"/>
      <c r="D87" s="919" t="s">
        <v>1239</v>
      </c>
      <c r="E87" s="921">
        <f>IFERROR((E84*D83)/E86,0)</f>
        <v>0</v>
      </c>
      <c r="F87" s="919" t="s">
        <v>1239</v>
      </c>
      <c r="G87" s="921">
        <f>IFERROR((G84*F83)/G86,0)</f>
        <v>0</v>
      </c>
      <c r="H87" s="919" t="s">
        <v>1239</v>
      </c>
      <c r="I87" s="921">
        <f>IFERROR((I84*H83)/I86,0)</f>
        <v>0</v>
      </c>
      <c r="J87" s="919" t="s">
        <v>1239</v>
      </c>
      <c r="K87" s="921">
        <f>IFERROR((K84*J83)/K86,0)</f>
        <v>0</v>
      </c>
      <c r="L87" s="919" t="s">
        <v>1239</v>
      </c>
      <c r="M87" s="921">
        <f>IFERROR((M84*L83)/M86,0)</f>
        <v>0</v>
      </c>
      <c r="N87" s="919" t="s">
        <v>1239</v>
      </c>
      <c r="O87" s="921">
        <f>IFERROR((O84*N83)/O86,0)</f>
        <v>0</v>
      </c>
      <c r="P87" s="905"/>
      <c r="Q87" s="2"/>
    </row>
    <row r="88" spans="1:17" ht="7.5" customHeight="1" x14ac:dyDescent="0.3">
      <c r="A88" s="2"/>
      <c r="B88" s="868"/>
      <c r="C88" s="868"/>
      <c r="D88" s="868"/>
      <c r="E88" s="868"/>
      <c r="F88" s="427"/>
      <c r="G88" s="427"/>
      <c r="H88" s="427"/>
      <c r="I88" s="427"/>
      <c r="J88" s="427"/>
      <c r="K88" s="427"/>
      <c r="L88" s="427"/>
      <c r="M88" s="427"/>
      <c r="N88" s="427"/>
      <c r="O88" s="427"/>
      <c r="P88" s="427"/>
      <c r="Q88" s="2"/>
    </row>
    <row r="89" spans="1:17" ht="18.75" customHeight="1" x14ac:dyDescent="0.25">
      <c r="A89" s="901"/>
      <c r="B89" s="902" t="s">
        <v>1241</v>
      </c>
      <c r="C89" s="903"/>
      <c r="D89" s="903"/>
      <c r="E89" s="903"/>
      <c r="F89" s="903"/>
      <c r="G89" s="903"/>
      <c r="H89" s="903"/>
      <c r="I89" s="903"/>
      <c r="J89" s="903"/>
      <c r="K89" s="903"/>
      <c r="L89" s="903"/>
      <c r="M89" s="903"/>
      <c r="N89" s="903"/>
      <c r="O89" s="903"/>
      <c r="P89" s="903"/>
      <c r="Q89" s="2"/>
    </row>
    <row r="90" spans="1:17" ht="7.5" customHeight="1" x14ac:dyDescent="0.3">
      <c r="A90" s="2"/>
      <c r="B90" s="904"/>
      <c r="C90" s="427"/>
      <c r="D90" s="427"/>
      <c r="E90" s="427"/>
      <c r="F90" s="904"/>
      <c r="G90" s="904"/>
      <c r="H90" s="904"/>
      <c r="I90" s="904"/>
      <c r="J90" s="904"/>
      <c r="K90" s="904"/>
      <c r="L90" s="904"/>
      <c r="M90" s="904"/>
      <c r="N90" s="904"/>
      <c r="O90" s="904"/>
      <c r="P90" s="904"/>
      <c r="Q90" s="2"/>
    </row>
    <row r="91" spans="1:17" ht="16" customHeight="1" x14ac:dyDescent="0.3">
      <c r="A91" s="2"/>
      <c r="B91" s="906" t="s">
        <v>1287</v>
      </c>
      <c r="C91" s="907"/>
      <c r="D91" s="907"/>
      <c r="E91" s="907"/>
      <c r="F91" s="906"/>
      <c r="G91" s="906"/>
      <c r="H91" s="906"/>
      <c r="I91" s="906"/>
      <c r="J91" s="906"/>
      <c r="K91" s="906"/>
      <c r="L91" s="904"/>
      <c r="M91" s="904"/>
      <c r="N91" s="904"/>
      <c r="O91" s="904"/>
      <c r="P91" s="904"/>
      <c r="Q91" s="2"/>
    </row>
    <row r="92" spans="1:17" ht="7.5" customHeight="1" x14ac:dyDescent="0.3">
      <c r="A92" s="2"/>
      <c r="B92" s="904"/>
      <c r="C92" s="427"/>
      <c r="D92" s="427"/>
      <c r="E92" s="427"/>
      <c r="F92" s="904"/>
      <c r="G92" s="904"/>
      <c r="H92" s="904"/>
      <c r="I92" s="904"/>
      <c r="J92" s="904"/>
      <c r="K92" s="904"/>
      <c r="L92" s="904"/>
      <c r="M92" s="904"/>
      <c r="N92" s="904"/>
      <c r="O92" s="904"/>
      <c r="P92" s="904"/>
      <c r="Q92" s="2"/>
    </row>
    <row r="93" spans="1:17" ht="18.75" customHeight="1" x14ac:dyDescent="0.3">
      <c r="A93" s="2"/>
      <c r="B93" s="889" t="s">
        <v>252</v>
      </c>
      <c r="C93" s="427"/>
      <c r="D93" s="427"/>
      <c r="E93" s="908" t="str">
        <f>E$36</f>
        <v>Applicant 1</v>
      </c>
      <c r="F93" s="904"/>
      <c r="G93" s="908" t="str">
        <f>G$36</f>
        <v>Applicant 2</v>
      </c>
      <c r="H93" s="904"/>
      <c r="I93" s="908" t="str">
        <f>I$36</f>
        <v>Applicant 3</v>
      </c>
      <c r="J93" s="904"/>
      <c r="K93" s="908" t="str">
        <f>K$36</f>
        <v>Applicant 4</v>
      </c>
      <c r="L93" s="904"/>
      <c r="M93" s="908" t="str">
        <f>M$36</f>
        <v>Applicant 5</v>
      </c>
      <c r="N93" s="904"/>
      <c r="O93" s="908" t="str">
        <f>O$36</f>
        <v>Applicant 6</v>
      </c>
      <c r="P93" s="427"/>
      <c r="Q93" s="2"/>
    </row>
    <row r="94" spans="1:17" ht="7.5" customHeight="1" x14ac:dyDescent="0.3">
      <c r="A94" s="2"/>
      <c r="B94" s="1205"/>
      <c r="C94" s="427"/>
      <c r="D94" s="427"/>
      <c r="E94" s="427"/>
      <c r="F94" s="904"/>
      <c r="G94" s="904"/>
      <c r="H94" s="904"/>
      <c r="I94" s="904"/>
      <c r="J94" s="904"/>
      <c r="K94" s="904"/>
      <c r="L94" s="904"/>
      <c r="M94" s="904"/>
      <c r="N94" s="904"/>
      <c r="O94" s="904"/>
      <c r="P94" s="870"/>
      <c r="Q94" s="2"/>
    </row>
    <row r="95" spans="1:17" ht="18.75" customHeight="1" x14ac:dyDescent="0.3">
      <c r="A95" s="2"/>
      <c r="B95" s="925" t="s">
        <v>1278</v>
      </c>
      <c r="C95" s="925"/>
      <c r="D95" s="868"/>
      <c r="E95" s="910"/>
      <c r="F95" s="427"/>
      <c r="G95" s="910"/>
      <c r="H95" s="427"/>
      <c r="I95" s="1430"/>
      <c r="J95" s="427"/>
      <c r="K95" s="1430"/>
      <c r="L95" s="427"/>
      <c r="M95" s="1430"/>
      <c r="N95" s="427"/>
      <c r="O95" s="1430"/>
      <c r="P95" s="922"/>
      <c r="Q95" s="2"/>
    </row>
    <row r="96" spans="1:17" ht="18.75" customHeight="1" x14ac:dyDescent="0.3">
      <c r="A96" s="2"/>
      <c r="B96" s="909" t="s">
        <v>1261</v>
      </c>
      <c r="C96" s="868"/>
      <c r="D96" s="868"/>
      <c r="E96" s="910"/>
      <c r="F96" s="870"/>
      <c r="G96" s="910"/>
      <c r="H96" s="870"/>
      <c r="I96" s="1430"/>
      <c r="J96" s="870"/>
      <c r="K96" s="1430"/>
      <c r="L96" s="870"/>
      <c r="M96" s="1430"/>
      <c r="N96" s="870"/>
      <c r="O96" s="1430"/>
      <c r="P96" s="427"/>
      <c r="Q96" s="2"/>
    </row>
    <row r="97" spans="1:17" ht="7.5" customHeight="1" x14ac:dyDescent="0.3">
      <c r="A97" s="2"/>
      <c r="B97" s="889"/>
      <c r="C97" s="868"/>
      <c r="D97" s="868"/>
      <c r="E97" s="868"/>
      <c r="F97" s="2"/>
      <c r="G97" s="2"/>
      <c r="H97" s="2"/>
      <c r="I97" s="2"/>
      <c r="J97" s="2"/>
      <c r="K97" s="2"/>
      <c r="L97" s="2"/>
      <c r="M97" s="2"/>
      <c r="N97" s="2"/>
      <c r="O97" s="2"/>
      <c r="P97" s="427"/>
      <c r="Q97" s="2"/>
    </row>
    <row r="98" spans="1:17" ht="18.75" customHeight="1" x14ac:dyDescent="0.3">
      <c r="A98" s="2"/>
      <c r="B98" s="889" t="s">
        <v>55</v>
      </c>
      <c r="C98" s="868"/>
      <c r="D98" s="912">
        <f>IFERROR(VLOOKUP(E98,IncomeCycleData[],3,FALSE),0)</f>
        <v>0</v>
      </c>
      <c r="E98" s="873"/>
      <c r="F98" s="912">
        <f>IFERROR(VLOOKUP(G98,IncomeCycleData[],3,FALSE),0)</f>
        <v>0</v>
      </c>
      <c r="G98" s="873"/>
      <c r="H98" s="912">
        <f>IFERROR(VLOOKUP(I98,IncomeCycleData[],3,FALSE),0)</f>
        <v>0</v>
      </c>
      <c r="I98" s="1431"/>
      <c r="J98" s="912">
        <f>IFERROR(VLOOKUP(K98,IncomeCycleData[],3,FALSE),0)</f>
        <v>0</v>
      </c>
      <c r="K98" s="1431"/>
      <c r="L98" s="912">
        <f>IFERROR(VLOOKUP(M98,IncomeCycleData[],3,FALSE),0)</f>
        <v>0</v>
      </c>
      <c r="M98" s="1431"/>
      <c r="N98" s="912">
        <f>IFERROR(VLOOKUP(O98,IncomeCycleData[],3,FALSE),0)</f>
        <v>0</v>
      </c>
      <c r="O98" s="1431"/>
      <c r="P98" s="923"/>
      <c r="Q98" s="2"/>
    </row>
    <row r="99" spans="1:17" ht="18.75" customHeight="1" x14ac:dyDescent="0.25">
      <c r="A99" s="2"/>
      <c r="B99" s="889" t="s">
        <v>1414</v>
      </c>
      <c r="C99" s="913"/>
      <c r="D99" s="914" t="str">
        <f>IFERROR(VLOOKUP(E100,CurrencyDataTable[],2,FALSE),"")</f>
        <v/>
      </c>
      <c r="E99" s="915"/>
      <c r="F99" s="914" t="str">
        <f>IFERROR(VLOOKUP(G100,CurrencyDataTable[],2,FALSE),"")</f>
        <v/>
      </c>
      <c r="G99" s="915"/>
      <c r="H99" s="914" t="str">
        <f>IFERROR(VLOOKUP(I100,CurrencyDataTable[],2,FALSE),"")</f>
        <v/>
      </c>
      <c r="I99" s="1432"/>
      <c r="J99" s="914" t="str">
        <f>IFERROR(VLOOKUP(K100,CurrencyDataTable[],2,FALSE),"")</f>
        <v/>
      </c>
      <c r="K99" s="1432"/>
      <c r="L99" s="914" t="str">
        <f>IFERROR(VLOOKUP(M100,CurrencyDataTable[],2,FALSE),"")</f>
        <v/>
      </c>
      <c r="M99" s="1432"/>
      <c r="N99" s="914" t="str">
        <f>IFERROR(VLOOKUP(O100,CurrencyDataTable[],2,FALSE),"")</f>
        <v/>
      </c>
      <c r="O99" s="1432"/>
      <c r="P99" s="923"/>
      <c r="Q99" s="2"/>
    </row>
    <row r="100" spans="1:17" ht="18.75" customHeight="1" x14ac:dyDescent="0.3">
      <c r="A100" s="2"/>
      <c r="B100" s="889" t="s">
        <v>1238</v>
      </c>
      <c r="C100" s="868"/>
      <c r="D100" s="916"/>
      <c r="E100" s="917"/>
      <c r="F100" s="916"/>
      <c r="G100" s="917"/>
      <c r="H100" s="916"/>
      <c r="I100" s="1433"/>
      <c r="J100" s="916"/>
      <c r="K100" s="1433"/>
      <c r="L100" s="916"/>
      <c r="M100" s="1433"/>
      <c r="N100" s="916"/>
      <c r="O100" s="1433"/>
      <c r="P100" s="427"/>
      <c r="Q100" s="2"/>
    </row>
    <row r="101" spans="1:17" ht="18.75" customHeight="1" x14ac:dyDescent="0.3">
      <c r="A101" s="2"/>
      <c r="B101" s="889" t="s">
        <v>2118</v>
      </c>
      <c r="C101" s="868"/>
      <c r="D101" s="916"/>
      <c r="E101" s="918"/>
      <c r="F101" s="916"/>
      <c r="G101" s="918"/>
      <c r="H101" s="916"/>
      <c r="I101" s="1434"/>
      <c r="J101" s="916"/>
      <c r="K101" s="1434"/>
      <c r="L101" s="916"/>
      <c r="M101" s="1434"/>
      <c r="N101" s="916"/>
      <c r="O101" s="1434"/>
      <c r="P101" s="2"/>
      <c r="Q101" s="2"/>
    </row>
    <row r="102" spans="1:17" ht="18.75" customHeight="1" x14ac:dyDescent="0.3">
      <c r="A102" s="2"/>
      <c r="B102" s="889" t="s">
        <v>1280</v>
      </c>
      <c r="C102" s="868"/>
      <c r="D102" s="919" t="s">
        <v>1239</v>
      </c>
      <c r="E102" s="921">
        <f>IFERROR((E99*D98)/E101,0)</f>
        <v>0</v>
      </c>
      <c r="F102" s="919" t="s">
        <v>1239</v>
      </c>
      <c r="G102" s="921">
        <f>IFERROR((G99*F98)/G101,0)</f>
        <v>0</v>
      </c>
      <c r="H102" s="919" t="s">
        <v>1239</v>
      </c>
      <c r="I102" s="921">
        <f>IFERROR((I99*H98)/I101,0)</f>
        <v>0</v>
      </c>
      <c r="J102" s="919" t="s">
        <v>1239</v>
      </c>
      <c r="K102" s="921">
        <f>IFERROR((K99*J98)/K101,0)</f>
        <v>0</v>
      </c>
      <c r="L102" s="919" t="s">
        <v>1239</v>
      </c>
      <c r="M102" s="921">
        <f>IFERROR((M99*L98)/M101,0)</f>
        <v>0</v>
      </c>
      <c r="N102" s="919" t="s">
        <v>1239</v>
      </c>
      <c r="O102" s="921">
        <f>IFERROR((O99*N98)/O101,0)</f>
        <v>0</v>
      </c>
      <c r="P102" s="905"/>
      <c r="Q102" s="2"/>
    </row>
    <row r="103" spans="1:17" ht="7.5" customHeight="1" x14ac:dyDescent="0.3">
      <c r="A103" s="2"/>
      <c r="B103" s="904"/>
      <c r="C103" s="427"/>
      <c r="D103" s="427"/>
      <c r="E103" s="427"/>
      <c r="F103" s="924"/>
      <c r="G103" s="924"/>
      <c r="H103" s="924"/>
      <c r="I103" s="924"/>
      <c r="J103" s="924"/>
      <c r="K103" s="924"/>
      <c r="L103" s="924"/>
      <c r="M103" s="924"/>
      <c r="N103" s="924"/>
      <c r="O103" s="924"/>
      <c r="P103" s="924"/>
      <c r="Q103" s="2"/>
    </row>
    <row r="104" spans="1:17" ht="18.75" customHeight="1" x14ac:dyDescent="0.25">
      <c r="A104" s="901"/>
      <c r="B104" s="902" t="s">
        <v>1242</v>
      </c>
      <c r="C104" s="903"/>
      <c r="D104" s="903"/>
      <c r="E104" s="903"/>
      <c r="F104" s="903"/>
      <c r="G104" s="903"/>
      <c r="H104" s="903"/>
      <c r="I104" s="903"/>
      <c r="J104" s="903"/>
      <c r="K104" s="903"/>
      <c r="L104" s="903"/>
      <c r="M104" s="903"/>
      <c r="N104" s="903"/>
      <c r="O104" s="903"/>
      <c r="P104" s="903"/>
      <c r="Q104" s="2"/>
    </row>
    <row r="105" spans="1:17" ht="7.5" customHeight="1" x14ac:dyDescent="0.3">
      <c r="A105" s="2"/>
      <c r="B105" s="904"/>
      <c r="C105" s="427"/>
      <c r="D105" s="427"/>
      <c r="E105" s="427"/>
      <c r="F105" s="904"/>
      <c r="G105" s="904"/>
      <c r="H105" s="904"/>
      <c r="I105" s="904"/>
      <c r="J105" s="904"/>
      <c r="K105" s="904"/>
      <c r="L105" s="904"/>
      <c r="M105" s="904"/>
      <c r="N105" s="904"/>
      <c r="O105" s="904"/>
      <c r="P105" s="904"/>
      <c r="Q105" s="2"/>
    </row>
    <row r="106" spans="1:17" ht="16" customHeight="1" x14ac:dyDescent="0.3">
      <c r="A106" s="2"/>
      <c r="B106" s="906" t="s">
        <v>1272</v>
      </c>
      <c r="C106" s="907"/>
      <c r="D106" s="907"/>
      <c r="E106" s="907"/>
      <c r="F106" s="907"/>
      <c r="G106" s="907"/>
      <c r="H106" s="907"/>
      <c r="I106" s="907"/>
      <c r="J106" s="907"/>
      <c r="K106" s="907"/>
      <c r="L106" s="904"/>
      <c r="M106" s="904"/>
      <c r="N106" s="904"/>
      <c r="O106" s="904"/>
      <c r="P106" s="904"/>
      <c r="Q106" s="2"/>
    </row>
    <row r="107" spans="1:17" ht="7.5" customHeight="1" x14ac:dyDescent="0.3">
      <c r="A107" s="2"/>
      <c r="B107" s="868"/>
      <c r="C107" s="868"/>
      <c r="D107" s="868"/>
      <c r="E107" s="868"/>
      <c r="F107" s="868"/>
      <c r="G107" s="868"/>
      <c r="H107" s="868"/>
      <c r="I107" s="868"/>
      <c r="J107" s="868"/>
      <c r="K107" s="868"/>
      <c r="L107" s="868"/>
      <c r="M107" s="868"/>
      <c r="N107" s="868"/>
      <c r="O107" s="868"/>
      <c r="P107" s="868"/>
      <c r="Q107" s="2"/>
    </row>
    <row r="108" spans="1:17" ht="18.75" customHeight="1" x14ac:dyDescent="0.3">
      <c r="A108" s="2"/>
      <c r="B108" s="889" t="s">
        <v>252</v>
      </c>
      <c r="C108" s="427"/>
      <c r="D108" s="427"/>
      <c r="E108" s="908" t="str">
        <f>E$36</f>
        <v>Applicant 1</v>
      </c>
      <c r="F108" s="904"/>
      <c r="G108" s="908" t="str">
        <f>G$36</f>
        <v>Applicant 2</v>
      </c>
      <c r="H108" s="904"/>
      <c r="I108" s="908" t="str">
        <f>I$36</f>
        <v>Applicant 3</v>
      </c>
      <c r="J108" s="904"/>
      <c r="K108" s="908" t="str">
        <f>K$36</f>
        <v>Applicant 4</v>
      </c>
      <c r="L108" s="904"/>
      <c r="M108" s="908" t="str">
        <f>M$36</f>
        <v>Applicant 5</v>
      </c>
      <c r="N108" s="904"/>
      <c r="O108" s="908" t="str">
        <f>O$36</f>
        <v>Applicant 6</v>
      </c>
      <c r="P108" s="427"/>
      <c r="Q108" s="2"/>
    </row>
    <row r="109" spans="1:17" ht="7.5" customHeight="1" x14ac:dyDescent="0.3">
      <c r="A109" s="2"/>
      <c r="B109" s="1205"/>
      <c r="C109" s="427"/>
      <c r="D109" s="427"/>
      <c r="E109" s="427"/>
      <c r="F109" s="904"/>
      <c r="G109" s="904"/>
      <c r="H109" s="904"/>
      <c r="I109" s="904"/>
      <c r="J109" s="904"/>
      <c r="K109" s="904"/>
      <c r="L109" s="904"/>
      <c r="M109" s="904"/>
      <c r="N109" s="904"/>
      <c r="O109" s="904"/>
      <c r="P109" s="870"/>
      <c r="Q109" s="2"/>
    </row>
    <row r="110" spans="1:17" ht="18.75" customHeight="1" x14ac:dyDescent="0.3">
      <c r="A110" s="2"/>
      <c r="B110" s="909" t="s">
        <v>1243</v>
      </c>
      <c r="C110" s="868"/>
      <c r="D110" s="868"/>
      <c r="E110" s="910"/>
      <c r="F110" s="427"/>
      <c r="G110" s="910"/>
      <c r="H110" s="427"/>
      <c r="I110" s="1430"/>
      <c r="J110" s="427"/>
      <c r="K110" s="1430"/>
      <c r="L110" s="427"/>
      <c r="M110" s="1430"/>
      <c r="N110" s="427"/>
      <c r="O110" s="1430"/>
      <c r="P110" s="922"/>
      <c r="Q110" s="2"/>
    </row>
    <row r="111" spans="1:17" ht="18.75" customHeight="1" x14ac:dyDescent="0.3">
      <c r="A111" s="2"/>
      <c r="B111" s="909" t="s">
        <v>1260</v>
      </c>
      <c r="C111" s="868"/>
      <c r="D111" s="868"/>
      <c r="E111" s="910"/>
      <c r="F111" s="870"/>
      <c r="G111" s="910"/>
      <c r="H111" s="870"/>
      <c r="I111" s="1430"/>
      <c r="J111" s="870"/>
      <c r="K111" s="1430"/>
      <c r="L111" s="870"/>
      <c r="M111" s="1430"/>
      <c r="N111" s="870"/>
      <c r="O111" s="1430"/>
      <c r="P111" s="427"/>
      <c r="Q111" s="2"/>
    </row>
    <row r="112" spans="1:17" ht="18.75" customHeight="1" x14ac:dyDescent="0.25">
      <c r="A112" s="2"/>
      <c r="B112" s="1763"/>
      <c r="C112" s="1764"/>
      <c r="D112" s="1765"/>
      <c r="E112" s="2"/>
      <c r="F112" s="2"/>
      <c r="G112" s="2"/>
      <c r="H112" s="2"/>
      <c r="I112" s="2"/>
      <c r="J112" s="2"/>
      <c r="K112" s="2"/>
      <c r="L112" s="2"/>
      <c r="M112" s="2"/>
      <c r="N112" s="2"/>
      <c r="O112" s="2"/>
      <c r="P112" s="2"/>
      <c r="Q112" s="2"/>
    </row>
    <row r="113" spans="1:17" ht="7.5" customHeight="1" x14ac:dyDescent="0.3">
      <c r="A113" s="2"/>
      <c r="B113" s="889"/>
      <c r="C113" s="868"/>
      <c r="D113" s="868"/>
      <c r="E113" s="868"/>
      <c r="F113" s="2"/>
      <c r="G113" s="2"/>
      <c r="H113" s="2"/>
      <c r="I113" s="2"/>
      <c r="J113" s="2"/>
      <c r="K113" s="2"/>
      <c r="L113" s="2"/>
      <c r="M113" s="2"/>
      <c r="N113" s="2"/>
      <c r="O113" s="2"/>
      <c r="P113" s="427"/>
      <c r="Q113" s="2"/>
    </row>
    <row r="114" spans="1:17" ht="18.75" customHeight="1" x14ac:dyDescent="0.3">
      <c r="A114" s="2"/>
      <c r="B114" s="889" t="s">
        <v>1264</v>
      </c>
      <c r="C114" s="868"/>
      <c r="D114" s="919" t="s">
        <v>1239</v>
      </c>
      <c r="E114" s="915"/>
      <c r="F114" s="919" t="s">
        <v>1239</v>
      </c>
      <c r="G114" s="915"/>
      <c r="H114" s="919" t="s">
        <v>1239</v>
      </c>
      <c r="I114" s="1432"/>
      <c r="J114" s="919" t="s">
        <v>1239</v>
      </c>
      <c r="K114" s="1432"/>
      <c r="L114" s="919" t="s">
        <v>1239</v>
      </c>
      <c r="M114" s="1432"/>
      <c r="N114" s="919" t="s">
        <v>1239</v>
      </c>
      <c r="O114" s="1432"/>
      <c r="P114" s="923"/>
      <c r="Q114" s="2"/>
    </row>
    <row r="115" spans="1:17" ht="18.75" customHeight="1" x14ac:dyDescent="0.25">
      <c r="A115" s="2"/>
      <c r="B115" s="889" t="s">
        <v>2205</v>
      </c>
      <c r="C115" s="913"/>
      <c r="D115" s="914" t="str">
        <f>IFERROR(VLOOKUP(E116,CurrencyDataTable[],2,FALSE),"")</f>
        <v/>
      </c>
      <c r="E115" s="915"/>
      <c r="F115" s="914" t="str">
        <f>IFERROR(VLOOKUP(G116,CurrencyDataTable[],2,FALSE),"")</f>
        <v/>
      </c>
      <c r="G115" s="915"/>
      <c r="H115" s="914" t="str">
        <f>IFERROR(VLOOKUP(I116,CurrencyDataTable[],2,FALSE),"")</f>
        <v/>
      </c>
      <c r="I115" s="1432"/>
      <c r="J115" s="914" t="str">
        <f>IFERROR(VLOOKUP(K116,CurrencyDataTable[],2,FALSE),"")</f>
        <v/>
      </c>
      <c r="K115" s="1432"/>
      <c r="L115" s="914" t="str">
        <f>IFERROR(VLOOKUP(M116,CurrencyDataTable[],2,FALSE),"")</f>
        <v/>
      </c>
      <c r="M115" s="1432"/>
      <c r="N115" s="914" t="str">
        <f>IFERROR(VLOOKUP(O116,CurrencyDataTable[],2,FALSE),"")</f>
        <v/>
      </c>
      <c r="O115" s="1432"/>
      <c r="P115" s="923"/>
      <c r="Q115" s="2"/>
    </row>
    <row r="116" spans="1:17" ht="18.75" customHeight="1" x14ac:dyDescent="0.3">
      <c r="A116" s="2"/>
      <c r="B116" s="889" t="s">
        <v>1238</v>
      </c>
      <c r="C116" s="868"/>
      <c r="D116" s="916"/>
      <c r="E116" s="917"/>
      <c r="F116" s="916"/>
      <c r="G116" s="917"/>
      <c r="H116" s="916"/>
      <c r="I116" s="1433"/>
      <c r="J116" s="916"/>
      <c r="K116" s="1433"/>
      <c r="L116" s="916"/>
      <c r="M116" s="1433"/>
      <c r="N116" s="916"/>
      <c r="O116" s="1433"/>
      <c r="P116" s="427"/>
      <c r="Q116" s="2"/>
    </row>
    <row r="117" spans="1:17" ht="18.75" customHeight="1" x14ac:dyDescent="0.3">
      <c r="A117" s="2"/>
      <c r="B117" s="889" t="s">
        <v>2118</v>
      </c>
      <c r="C117" s="868"/>
      <c r="D117" s="916"/>
      <c r="E117" s="918"/>
      <c r="F117" s="916"/>
      <c r="G117" s="918"/>
      <c r="H117" s="916"/>
      <c r="I117" s="1434"/>
      <c r="J117" s="916"/>
      <c r="K117" s="1434"/>
      <c r="L117" s="916"/>
      <c r="M117" s="1434"/>
      <c r="N117" s="916"/>
      <c r="O117" s="1434"/>
      <c r="P117" s="2"/>
      <c r="Q117" s="2"/>
    </row>
    <row r="118" spans="1:17" ht="18.75" customHeight="1" x14ac:dyDescent="0.3">
      <c r="A118" s="2"/>
      <c r="B118" s="889" t="s">
        <v>1281</v>
      </c>
      <c r="C118" s="868"/>
      <c r="D118" s="919" t="s">
        <v>1239</v>
      </c>
      <c r="E118" s="921">
        <f>IFERROR(E115/E117,0)</f>
        <v>0</v>
      </c>
      <c r="F118" s="919" t="s">
        <v>1239</v>
      </c>
      <c r="G118" s="921">
        <f>IFERROR(G115/G117,0)</f>
        <v>0</v>
      </c>
      <c r="H118" s="919" t="s">
        <v>1239</v>
      </c>
      <c r="I118" s="921">
        <f>IFERROR(I115/I117,0)</f>
        <v>0</v>
      </c>
      <c r="J118" s="919" t="s">
        <v>1239</v>
      </c>
      <c r="K118" s="921">
        <f>IFERROR(K115/K117,0)</f>
        <v>0</v>
      </c>
      <c r="L118" s="919" t="s">
        <v>1239</v>
      </c>
      <c r="M118" s="921">
        <f>IFERROR(M115/M117,0)</f>
        <v>0</v>
      </c>
      <c r="N118" s="919" t="s">
        <v>1239</v>
      </c>
      <c r="O118" s="921">
        <f>IFERROR(O115/O117,0)</f>
        <v>0</v>
      </c>
      <c r="P118" s="905"/>
      <c r="Q118" s="2"/>
    </row>
    <row r="119" spans="1:17" ht="18.75" customHeight="1" x14ac:dyDescent="0.3">
      <c r="A119" s="2"/>
      <c r="B119" s="909" t="s">
        <v>1271</v>
      </c>
      <c r="C119" s="868"/>
      <c r="D119" s="919"/>
      <c r="E119" s="926" t="str">
        <f>IF(ISBLANK(E114),"Enter funds to complete",IF(E118&gt;=E114,"OK","Insufficient funds"))</f>
        <v>Enter funds to complete</v>
      </c>
      <c r="F119" s="919"/>
      <c r="G119" s="926" t="str">
        <f>IF(ISBLANK(G114),"Enter funds to complete",IF(G118&gt;=G114,"OK","Insufficient funds"))</f>
        <v>Enter funds to complete</v>
      </c>
      <c r="H119" s="919"/>
      <c r="I119" s="926" t="str">
        <f>IF(ISBLANK(I114),"Enter funds to complete",IF(I118&gt;=I114,"OK","Insufficient funds"))</f>
        <v>Enter funds to complete</v>
      </c>
      <c r="J119" s="919"/>
      <c r="K119" s="926" t="str">
        <f>IF(ISBLANK(K114),"Enter funds to complete",IF(K118&gt;=K114,"OK","Insufficient funds"))</f>
        <v>Enter funds to complete</v>
      </c>
      <c r="L119" s="919"/>
      <c r="M119" s="926" t="str">
        <f>IF(ISBLANK(M114),"Enter funds to complete",IF(M118&gt;=M114,"OK","Insufficient funds"))</f>
        <v>Enter funds to complete</v>
      </c>
      <c r="N119" s="919"/>
      <c r="O119" s="926" t="str">
        <f>IF(ISBLANK(O114),"Enter funds to complete",IF(O118&gt;=O114,"OK","Insufficient funds"))</f>
        <v>Enter funds to complete</v>
      </c>
      <c r="P119" s="905"/>
      <c r="Q119" s="2"/>
    </row>
    <row r="120" spans="1:17" ht="7.5" customHeight="1" x14ac:dyDescent="0.3">
      <c r="A120" s="2"/>
      <c r="B120" s="904"/>
      <c r="C120" s="427"/>
      <c r="D120" s="427"/>
      <c r="E120" s="427"/>
      <c r="F120" s="924"/>
      <c r="G120" s="924"/>
      <c r="H120" s="924"/>
      <c r="I120" s="924"/>
      <c r="J120" s="924"/>
      <c r="K120" s="924"/>
      <c r="L120" s="924"/>
      <c r="M120" s="924"/>
      <c r="N120" s="924"/>
      <c r="O120" s="924"/>
      <c r="P120" s="924"/>
      <c r="Q120" s="2"/>
    </row>
    <row r="121" spans="1:17" ht="18.75" customHeight="1" x14ac:dyDescent="0.25">
      <c r="A121" s="901"/>
      <c r="B121" s="902" t="s">
        <v>777</v>
      </c>
      <c r="C121" s="903"/>
      <c r="D121" s="903"/>
      <c r="E121" s="903"/>
      <c r="F121" s="903"/>
      <c r="G121" s="903"/>
      <c r="H121" s="903"/>
      <c r="I121" s="903"/>
      <c r="J121" s="903"/>
      <c r="K121" s="903"/>
      <c r="L121" s="903"/>
      <c r="M121" s="903"/>
      <c r="N121" s="903"/>
      <c r="O121" s="903"/>
      <c r="P121" s="903"/>
      <c r="Q121" s="2"/>
    </row>
    <row r="122" spans="1:17" ht="7.5" customHeight="1" x14ac:dyDescent="0.3">
      <c r="A122" s="2"/>
      <c r="B122" s="904"/>
      <c r="C122" s="427"/>
      <c r="D122" s="427"/>
      <c r="E122" s="427"/>
      <c r="F122" s="904"/>
      <c r="G122" s="904"/>
      <c r="H122" s="904"/>
      <c r="I122" s="904"/>
      <c r="J122" s="904"/>
      <c r="K122" s="904"/>
      <c r="L122" s="904"/>
      <c r="M122" s="904"/>
      <c r="N122" s="904"/>
      <c r="O122" s="904"/>
      <c r="P122" s="904"/>
      <c r="Q122" s="2"/>
    </row>
    <row r="123" spans="1:17" ht="16" customHeight="1" x14ac:dyDescent="0.25">
      <c r="A123" s="2"/>
      <c r="B123" s="906" t="s">
        <v>1288</v>
      </c>
      <c r="C123" s="907"/>
      <c r="D123" s="907"/>
      <c r="E123" s="907"/>
      <c r="F123" s="907"/>
      <c r="G123" s="907"/>
      <c r="H123" s="2"/>
      <c r="I123" s="2"/>
      <c r="J123" s="2"/>
      <c r="K123" s="2"/>
      <c r="L123" s="2"/>
      <c r="M123" s="2"/>
      <c r="N123" s="2"/>
      <c r="O123" s="2"/>
      <c r="P123" s="2"/>
      <c r="Q123" s="2"/>
    </row>
    <row r="124" spans="1:17" ht="7.5" customHeight="1" x14ac:dyDescent="0.3">
      <c r="A124" s="2"/>
      <c r="B124" s="904"/>
      <c r="C124" s="427"/>
      <c r="D124" s="427"/>
      <c r="E124" s="427"/>
      <c r="F124" s="904"/>
      <c r="G124" s="904"/>
      <c r="H124" s="904"/>
      <c r="I124" s="904"/>
      <c r="J124" s="904"/>
      <c r="K124" s="904"/>
      <c r="L124" s="904"/>
      <c r="M124" s="904"/>
      <c r="N124" s="904"/>
      <c r="O124" s="904"/>
      <c r="P124" s="904"/>
      <c r="Q124" s="2"/>
    </row>
    <row r="125" spans="1:17" ht="18.75" customHeight="1" x14ac:dyDescent="0.3">
      <c r="A125" s="2"/>
      <c r="B125" s="889" t="s">
        <v>252</v>
      </c>
      <c r="C125" s="427"/>
      <c r="D125" s="427"/>
      <c r="E125" s="908" t="str">
        <f>E$36</f>
        <v>Applicant 1</v>
      </c>
      <c r="F125" s="904"/>
      <c r="G125" s="908" t="str">
        <f>G$36</f>
        <v>Applicant 2</v>
      </c>
      <c r="H125" s="904"/>
      <c r="I125" s="908" t="str">
        <f>I$36</f>
        <v>Applicant 3</v>
      </c>
      <c r="J125" s="904"/>
      <c r="K125" s="908" t="str">
        <f>K$36</f>
        <v>Applicant 4</v>
      </c>
      <c r="L125" s="904"/>
      <c r="M125" s="908" t="str">
        <f>M$36</f>
        <v>Applicant 5</v>
      </c>
      <c r="N125" s="904"/>
      <c r="O125" s="908" t="str">
        <f>O$36</f>
        <v>Applicant 6</v>
      </c>
      <c r="P125" s="427"/>
      <c r="Q125" s="2"/>
    </row>
    <row r="126" spans="1:17" ht="7.5" customHeight="1" x14ac:dyDescent="0.3">
      <c r="A126" s="2"/>
      <c r="B126" s="1205"/>
      <c r="C126" s="427"/>
      <c r="D126" s="427"/>
      <c r="E126" s="427"/>
      <c r="F126" s="904"/>
      <c r="G126" s="904"/>
      <c r="H126" s="904"/>
      <c r="I126" s="904"/>
      <c r="J126" s="904"/>
      <c r="K126" s="904"/>
      <c r="L126" s="904"/>
      <c r="M126" s="904"/>
      <c r="N126" s="904"/>
      <c r="O126" s="904"/>
      <c r="P126" s="870"/>
      <c r="Q126" s="2"/>
    </row>
    <row r="127" spans="1:17" ht="18.75" customHeight="1" x14ac:dyDescent="0.3">
      <c r="A127" s="2"/>
      <c r="B127" s="909" t="s">
        <v>1262</v>
      </c>
      <c r="C127" s="868"/>
      <c r="D127" s="868"/>
      <c r="E127" s="910"/>
      <c r="F127" s="427"/>
      <c r="G127" s="910"/>
      <c r="H127" s="427"/>
      <c r="I127" s="1430"/>
      <c r="J127" s="427"/>
      <c r="K127" s="1430"/>
      <c r="L127" s="427"/>
      <c r="M127" s="1430"/>
      <c r="N127" s="427"/>
      <c r="O127" s="1430"/>
      <c r="P127" s="922"/>
      <c r="Q127" s="2"/>
    </row>
    <row r="128" spans="1:17" ht="18.75" customHeight="1" x14ac:dyDescent="0.3">
      <c r="A128" s="2"/>
      <c r="B128" s="909" t="s">
        <v>1309</v>
      </c>
      <c r="C128" s="868"/>
      <c r="D128" s="868"/>
      <c r="E128" s="910"/>
      <c r="F128" s="870"/>
      <c r="G128" s="910"/>
      <c r="H128" s="870"/>
      <c r="I128" s="1430"/>
      <c r="J128" s="870"/>
      <c r="K128" s="1430"/>
      <c r="L128" s="870"/>
      <c r="M128" s="1430"/>
      <c r="N128" s="870"/>
      <c r="O128" s="1430"/>
      <c r="P128" s="427"/>
      <c r="Q128" s="2"/>
    </row>
    <row r="129" spans="1:17" ht="18.75" customHeight="1" x14ac:dyDescent="0.25">
      <c r="A129" s="2"/>
      <c r="B129" s="925" t="s">
        <v>1263</v>
      </c>
      <c r="C129" s="925"/>
      <c r="D129" s="925"/>
      <c r="E129" s="910"/>
      <c r="F129" s="870"/>
      <c r="G129" s="910"/>
      <c r="H129" s="870"/>
      <c r="I129" s="1430"/>
      <c r="J129" s="870"/>
      <c r="K129" s="1430"/>
      <c r="L129" s="870"/>
      <c r="M129" s="1430"/>
      <c r="N129" s="870"/>
      <c r="O129" s="1430"/>
      <c r="P129" s="427"/>
      <c r="Q129" s="2"/>
    </row>
    <row r="130" spans="1:17" ht="18.75" customHeight="1" x14ac:dyDescent="0.3">
      <c r="A130" s="2"/>
      <c r="B130" s="909" t="s">
        <v>1260</v>
      </c>
      <c r="C130" s="868"/>
      <c r="D130" s="868"/>
      <c r="E130" s="910"/>
      <c r="F130" s="870"/>
      <c r="G130" s="910"/>
      <c r="H130" s="870"/>
      <c r="I130" s="1430"/>
      <c r="J130" s="870"/>
      <c r="K130" s="1430"/>
      <c r="L130" s="870"/>
      <c r="M130" s="1430"/>
      <c r="N130" s="870"/>
      <c r="O130" s="1430"/>
      <c r="P130" s="427"/>
      <c r="Q130" s="2"/>
    </row>
    <row r="131" spans="1:17" ht="18.75" customHeight="1" x14ac:dyDescent="0.25">
      <c r="A131" s="2"/>
      <c r="B131" s="1763"/>
      <c r="C131" s="1764"/>
      <c r="D131" s="1765"/>
      <c r="E131" s="2"/>
      <c r="F131" s="2"/>
      <c r="G131" s="2"/>
      <c r="H131" s="2"/>
      <c r="I131" s="2"/>
      <c r="J131" s="2"/>
      <c r="K131" s="2"/>
      <c r="L131" s="2"/>
      <c r="M131" s="2"/>
      <c r="N131" s="2"/>
      <c r="O131" s="2"/>
      <c r="P131" s="2"/>
      <c r="Q131" s="2"/>
    </row>
    <row r="132" spans="1:17" ht="7.5" customHeight="1" x14ac:dyDescent="0.3">
      <c r="A132" s="2"/>
      <c r="B132" s="889"/>
      <c r="C132" s="868"/>
      <c r="D132" s="868"/>
      <c r="E132" s="868"/>
      <c r="F132" s="2"/>
      <c r="G132" s="2"/>
      <c r="H132" s="2"/>
      <c r="I132" s="2"/>
      <c r="J132" s="2"/>
      <c r="K132" s="2"/>
      <c r="L132" s="2"/>
      <c r="M132" s="2"/>
      <c r="N132" s="2"/>
      <c r="O132" s="2"/>
      <c r="P132" s="427"/>
      <c r="Q132" s="2"/>
    </row>
    <row r="133" spans="1:17" ht="18.75" customHeight="1" x14ac:dyDescent="0.3">
      <c r="A133" s="2"/>
      <c r="B133" s="889" t="s">
        <v>55</v>
      </c>
      <c r="C133" s="868"/>
      <c r="D133" s="912"/>
      <c r="E133" s="927" t="s">
        <v>738</v>
      </c>
      <c r="F133" s="912"/>
      <c r="G133" s="927" t="s">
        <v>738</v>
      </c>
      <c r="H133" s="912"/>
      <c r="I133" s="927" t="s">
        <v>738</v>
      </c>
      <c r="J133" s="912"/>
      <c r="K133" s="927" t="s">
        <v>738</v>
      </c>
      <c r="L133" s="912"/>
      <c r="M133" s="927" t="s">
        <v>738</v>
      </c>
      <c r="N133" s="912"/>
      <c r="O133" s="927" t="s">
        <v>738</v>
      </c>
      <c r="P133" s="923"/>
      <c r="Q133" s="2"/>
    </row>
    <row r="134" spans="1:17" ht="18.75" customHeight="1" x14ac:dyDescent="0.25">
      <c r="A134" s="2"/>
      <c r="B134" s="889" t="s">
        <v>2206</v>
      </c>
      <c r="C134" s="913"/>
      <c r="D134" s="914" t="str">
        <f>IFERROR(VLOOKUP(E135,CurrencyDataTable[],2,FALSE),"")</f>
        <v/>
      </c>
      <c r="E134" s="915"/>
      <c r="F134" s="914" t="str">
        <f>IFERROR(VLOOKUP(G135,CurrencyDataTable[],2,FALSE),"")</f>
        <v/>
      </c>
      <c r="G134" s="915"/>
      <c r="H134" s="914" t="str">
        <f>IFERROR(VLOOKUP(I135,CurrencyDataTable[],2,FALSE),"")</f>
        <v/>
      </c>
      <c r="I134" s="1432"/>
      <c r="J134" s="914" t="str">
        <f>IFERROR(VLOOKUP(K135,CurrencyDataTable[],2,FALSE),"")</f>
        <v/>
      </c>
      <c r="K134" s="1432"/>
      <c r="L134" s="914" t="str">
        <f>IFERROR(VLOOKUP(M135,CurrencyDataTable[],2,FALSE),"")</f>
        <v/>
      </c>
      <c r="M134" s="1432"/>
      <c r="N134" s="914" t="str">
        <f>IFERROR(VLOOKUP(O135,CurrencyDataTable[],2,FALSE),"")</f>
        <v/>
      </c>
      <c r="O134" s="1432"/>
      <c r="P134" s="923"/>
      <c r="Q134" s="2"/>
    </row>
    <row r="135" spans="1:17" ht="18.75" customHeight="1" x14ac:dyDescent="0.3">
      <c r="A135" s="2"/>
      <c r="B135" s="889" t="s">
        <v>1238</v>
      </c>
      <c r="C135" s="868"/>
      <c r="D135" s="916"/>
      <c r="E135" s="917"/>
      <c r="F135" s="916"/>
      <c r="G135" s="917"/>
      <c r="H135" s="916"/>
      <c r="I135" s="1433"/>
      <c r="J135" s="916"/>
      <c r="K135" s="1433"/>
      <c r="L135" s="916"/>
      <c r="M135" s="1433"/>
      <c r="N135" s="916"/>
      <c r="O135" s="1433"/>
      <c r="P135" s="427"/>
      <c r="Q135" s="2"/>
    </row>
    <row r="136" spans="1:17" ht="18.75" customHeight="1" x14ac:dyDescent="0.3">
      <c r="A136" s="2"/>
      <c r="B136" s="889" t="s">
        <v>2118</v>
      </c>
      <c r="C136" s="868"/>
      <c r="D136" s="916"/>
      <c r="E136" s="918"/>
      <c r="F136" s="916"/>
      <c r="G136" s="918"/>
      <c r="H136" s="916"/>
      <c r="I136" s="1434"/>
      <c r="J136" s="916"/>
      <c r="K136" s="1434"/>
      <c r="L136" s="916"/>
      <c r="M136" s="1434"/>
      <c r="N136" s="916"/>
      <c r="O136" s="1434"/>
      <c r="P136" s="2"/>
      <c r="Q136" s="2"/>
    </row>
    <row r="137" spans="1:17" ht="18.75" customHeight="1" x14ac:dyDescent="0.3">
      <c r="A137" s="2"/>
      <c r="B137" s="889" t="s">
        <v>1310</v>
      </c>
      <c r="C137" s="868"/>
      <c r="D137" s="919" t="s">
        <v>1239</v>
      </c>
      <c r="E137" s="921">
        <f>IFERROR(E134/E136,0)</f>
        <v>0</v>
      </c>
      <c r="F137" s="919" t="s">
        <v>1239</v>
      </c>
      <c r="G137" s="921">
        <f>IFERROR(G134/G136,0)</f>
        <v>0</v>
      </c>
      <c r="H137" s="919" t="s">
        <v>1239</v>
      </c>
      <c r="I137" s="921">
        <f>IFERROR(I134/I136,0)</f>
        <v>0</v>
      </c>
      <c r="J137" s="919" t="s">
        <v>1239</v>
      </c>
      <c r="K137" s="921">
        <f>IFERROR(K134/K136,0)</f>
        <v>0</v>
      </c>
      <c r="L137" s="919" t="s">
        <v>1239</v>
      </c>
      <c r="M137" s="921">
        <f>IFERROR(M134/M136,0)</f>
        <v>0</v>
      </c>
      <c r="N137" s="919" t="s">
        <v>1239</v>
      </c>
      <c r="O137" s="921">
        <f>IFERROR(O134/O136,0)</f>
        <v>0</v>
      </c>
      <c r="P137" s="905"/>
      <c r="Q137" s="2"/>
    </row>
    <row r="138" spans="1:17" ht="7.5" customHeight="1" x14ac:dyDescent="0.3">
      <c r="A138" s="2"/>
      <c r="B138" s="904"/>
      <c r="C138" s="427"/>
      <c r="D138" s="427"/>
      <c r="E138" s="427"/>
      <c r="F138" s="924"/>
      <c r="G138" s="924"/>
      <c r="H138" s="924"/>
      <c r="I138" s="924"/>
      <c r="J138" s="924"/>
      <c r="K138" s="924"/>
      <c r="L138" s="924"/>
      <c r="M138" s="924"/>
      <c r="N138" s="924"/>
      <c r="O138" s="924"/>
      <c r="P138" s="924"/>
      <c r="Q138" s="2"/>
    </row>
    <row r="139" spans="1:17" ht="18.75" customHeight="1" x14ac:dyDescent="0.25">
      <c r="A139" s="901"/>
      <c r="B139" s="902" t="s">
        <v>1244</v>
      </c>
      <c r="C139" s="903"/>
      <c r="D139" s="903"/>
      <c r="E139" s="903"/>
      <c r="F139" s="903"/>
      <c r="G139" s="903"/>
      <c r="H139" s="903"/>
      <c r="I139" s="903"/>
      <c r="J139" s="903"/>
      <c r="K139" s="903"/>
      <c r="L139" s="903"/>
      <c r="M139" s="903"/>
      <c r="N139" s="903"/>
      <c r="O139" s="903"/>
      <c r="P139" s="903"/>
      <c r="Q139" s="2"/>
    </row>
    <row r="140" spans="1:17" ht="7.5" customHeight="1" x14ac:dyDescent="0.3">
      <c r="A140" s="2"/>
      <c r="B140" s="904"/>
      <c r="C140" s="427"/>
      <c r="D140" s="427"/>
      <c r="E140" s="427"/>
      <c r="F140" s="904"/>
      <c r="G140" s="904"/>
      <c r="H140" s="904"/>
      <c r="I140" s="904"/>
      <c r="J140" s="904"/>
      <c r="K140" s="904"/>
      <c r="L140" s="904"/>
      <c r="M140" s="904"/>
      <c r="N140" s="904"/>
      <c r="O140" s="904"/>
      <c r="P140" s="904"/>
      <c r="Q140" s="2"/>
    </row>
    <row r="141" spans="1:17" ht="18.75" customHeight="1" x14ac:dyDescent="0.3">
      <c r="A141" s="2"/>
      <c r="B141" s="889" t="s">
        <v>252</v>
      </c>
      <c r="C141" s="427"/>
      <c r="D141" s="427"/>
      <c r="E141" s="908" t="str">
        <f>E$36</f>
        <v>Applicant 1</v>
      </c>
      <c r="F141" s="904"/>
      <c r="G141" s="908" t="str">
        <f>G$36</f>
        <v>Applicant 2</v>
      </c>
      <c r="H141" s="904"/>
      <c r="I141" s="908" t="str">
        <f>I$36</f>
        <v>Applicant 3</v>
      </c>
      <c r="J141" s="904"/>
      <c r="K141" s="908" t="str">
        <f>K$36</f>
        <v>Applicant 4</v>
      </c>
      <c r="L141" s="904"/>
      <c r="M141" s="908" t="str">
        <f>M$36</f>
        <v>Applicant 5</v>
      </c>
      <c r="N141" s="904"/>
      <c r="O141" s="908" t="str">
        <f>O$36</f>
        <v>Applicant 6</v>
      </c>
      <c r="P141" s="427"/>
      <c r="Q141" s="2"/>
    </row>
    <row r="142" spans="1:17" ht="7.5" customHeight="1" x14ac:dyDescent="0.3">
      <c r="A142" s="2"/>
      <c r="B142" s="1205"/>
      <c r="C142" s="427"/>
      <c r="D142" s="427"/>
      <c r="E142" s="427"/>
      <c r="F142" s="904"/>
      <c r="G142" s="904"/>
      <c r="H142" s="904"/>
      <c r="I142" s="904"/>
      <c r="J142" s="904"/>
      <c r="K142" s="904"/>
      <c r="L142" s="904"/>
      <c r="M142" s="904"/>
      <c r="N142" s="904"/>
      <c r="O142" s="904"/>
      <c r="P142" s="870"/>
      <c r="Q142" s="2"/>
    </row>
    <row r="143" spans="1:17" ht="18.75" customHeight="1" x14ac:dyDescent="0.3">
      <c r="A143" s="2"/>
      <c r="B143" s="909" t="s">
        <v>1245</v>
      </c>
      <c r="C143" s="868"/>
      <c r="D143" s="868"/>
      <c r="E143" s="910"/>
      <c r="F143" s="427"/>
      <c r="G143" s="910"/>
      <c r="H143" s="427"/>
      <c r="I143" s="1430"/>
      <c r="J143" s="427"/>
      <c r="K143" s="1430"/>
      <c r="L143" s="427"/>
      <c r="M143" s="1430"/>
      <c r="N143" s="427"/>
      <c r="O143" s="1430"/>
      <c r="P143" s="922"/>
      <c r="Q143" s="2"/>
    </row>
    <row r="144" spans="1:17" ht="18.75" customHeight="1" x14ac:dyDescent="0.3">
      <c r="A144" s="2"/>
      <c r="B144" s="909" t="s">
        <v>1246</v>
      </c>
      <c r="C144" s="868"/>
      <c r="D144" s="868"/>
      <c r="E144" s="910"/>
      <c r="F144" s="870"/>
      <c r="G144" s="910"/>
      <c r="H144" s="870"/>
      <c r="I144" s="1430"/>
      <c r="J144" s="870"/>
      <c r="K144" s="1430"/>
      <c r="L144" s="870"/>
      <c r="M144" s="1430"/>
      <c r="N144" s="870"/>
      <c r="O144" s="1430"/>
      <c r="P144" s="427"/>
      <c r="Q144" s="2"/>
    </row>
    <row r="145" spans="1:17" ht="18.75" customHeight="1" x14ac:dyDescent="0.3">
      <c r="A145" s="2"/>
      <c r="B145" s="909" t="s">
        <v>1247</v>
      </c>
      <c r="C145" s="868"/>
      <c r="D145" s="868"/>
      <c r="E145" s="910"/>
      <c r="F145" s="870"/>
      <c r="G145" s="910"/>
      <c r="H145" s="870"/>
      <c r="I145" s="1430"/>
      <c r="J145" s="870"/>
      <c r="K145" s="1430"/>
      <c r="L145" s="870"/>
      <c r="M145" s="1430"/>
      <c r="N145" s="870"/>
      <c r="O145" s="1430"/>
      <c r="P145" s="427"/>
      <c r="Q145" s="2"/>
    </row>
    <row r="146" spans="1:17" ht="18.75" customHeight="1" x14ac:dyDescent="0.3">
      <c r="A146" s="2"/>
      <c r="B146" s="909" t="s">
        <v>1260</v>
      </c>
      <c r="C146" s="868"/>
      <c r="D146" s="868"/>
      <c r="E146" s="910"/>
      <c r="F146" s="870"/>
      <c r="G146" s="910"/>
      <c r="H146" s="870"/>
      <c r="I146" s="1430"/>
      <c r="J146" s="870"/>
      <c r="K146" s="1430"/>
      <c r="L146" s="870"/>
      <c r="M146" s="1430"/>
      <c r="N146" s="870"/>
      <c r="O146" s="1430"/>
      <c r="P146" s="427"/>
      <c r="Q146" s="2"/>
    </row>
    <row r="147" spans="1:17" ht="18.75" customHeight="1" x14ac:dyDescent="0.25">
      <c r="A147" s="2"/>
      <c r="B147" s="1763"/>
      <c r="C147" s="1764"/>
      <c r="D147" s="1765"/>
      <c r="E147" s="2"/>
      <c r="F147" s="2"/>
      <c r="G147" s="2"/>
      <c r="H147" s="2"/>
      <c r="I147" s="2"/>
      <c r="J147" s="2"/>
      <c r="K147" s="2"/>
      <c r="L147" s="2"/>
      <c r="M147" s="2"/>
      <c r="N147" s="2"/>
      <c r="O147" s="2"/>
      <c r="P147" s="2"/>
      <c r="Q147" s="2"/>
    </row>
    <row r="148" spans="1:17" ht="7.5" customHeight="1" x14ac:dyDescent="0.3">
      <c r="A148" s="2"/>
      <c r="B148" s="889"/>
      <c r="C148" s="868"/>
      <c r="D148" s="868"/>
      <c r="E148" s="868"/>
      <c r="F148" s="2"/>
      <c r="G148" s="2"/>
      <c r="H148" s="2"/>
      <c r="I148" s="2"/>
      <c r="J148" s="2"/>
      <c r="K148" s="2"/>
      <c r="L148" s="2"/>
      <c r="M148" s="2"/>
      <c r="N148" s="2"/>
      <c r="O148" s="2"/>
      <c r="P148" s="427"/>
      <c r="Q148" s="2"/>
    </row>
    <row r="149" spans="1:17" ht="18.75" customHeight="1" x14ac:dyDescent="0.3">
      <c r="A149" s="2"/>
      <c r="B149" s="889" t="s">
        <v>55</v>
      </c>
      <c r="C149" s="868"/>
      <c r="D149" s="912"/>
      <c r="E149" s="927" t="s">
        <v>7</v>
      </c>
      <c r="F149" s="912"/>
      <c r="G149" s="927" t="s">
        <v>7</v>
      </c>
      <c r="H149" s="912"/>
      <c r="I149" s="927" t="s">
        <v>7</v>
      </c>
      <c r="J149" s="912"/>
      <c r="K149" s="927" t="s">
        <v>7</v>
      </c>
      <c r="L149" s="912"/>
      <c r="M149" s="927" t="s">
        <v>7</v>
      </c>
      <c r="N149" s="912"/>
      <c r="O149" s="927" t="s">
        <v>7</v>
      </c>
      <c r="P149" s="923"/>
      <c r="Q149" s="2"/>
    </row>
    <row r="150" spans="1:17" ht="18.75" customHeight="1" x14ac:dyDescent="0.25">
      <c r="A150" s="2"/>
      <c r="B150" s="889" t="s">
        <v>2207</v>
      </c>
      <c r="C150" s="913"/>
      <c r="D150" s="914" t="str">
        <f>IFERROR(VLOOKUP(E151,CurrencyDataTable[],2,FALSE),"")</f>
        <v/>
      </c>
      <c r="E150" s="915"/>
      <c r="F150" s="914" t="str">
        <f>IFERROR(VLOOKUP(G151,CurrencyDataTable[],2,FALSE),"")</f>
        <v/>
      </c>
      <c r="G150" s="915"/>
      <c r="H150" s="914" t="str">
        <f>IFERROR(VLOOKUP(I151,CurrencyDataTable[],2,FALSE),"")</f>
        <v/>
      </c>
      <c r="I150" s="1432"/>
      <c r="J150" s="914" t="str">
        <f>IFERROR(VLOOKUP(K151,CurrencyDataTable[],2,FALSE),"")</f>
        <v/>
      </c>
      <c r="K150" s="1432"/>
      <c r="L150" s="914" t="str">
        <f>IFERROR(VLOOKUP(M151,CurrencyDataTable[],2,FALSE),"")</f>
        <v/>
      </c>
      <c r="M150" s="1432"/>
      <c r="N150" s="914" t="str">
        <f>IFERROR(VLOOKUP(O151,CurrencyDataTable[],2,FALSE),"")</f>
        <v/>
      </c>
      <c r="O150" s="1432"/>
      <c r="P150" s="923"/>
      <c r="Q150" s="2"/>
    </row>
    <row r="151" spans="1:17" ht="18.75" customHeight="1" x14ac:dyDescent="0.3">
      <c r="A151" s="2"/>
      <c r="B151" s="889" t="s">
        <v>1238</v>
      </c>
      <c r="C151" s="868"/>
      <c r="D151" s="916"/>
      <c r="E151" s="917"/>
      <c r="F151" s="916"/>
      <c r="G151" s="917"/>
      <c r="H151" s="916"/>
      <c r="I151" s="1433"/>
      <c r="J151" s="916"/>
      <c r="K151" s="1433"/>
      <c r="L151" s="916"/>
      <c r="M151" s="1433"/>
      <c r="N151" s="916"/>
      <c r="O151" s="1433"/>
      <c r="P151" s="427"/>
      <c r="Q151" s="2"/>
    </row>
    <row r="152" spans="1:17" ht="18.75" customHeight="1" x14ac:dyDescent="0.3">
      <c r="A152" s="2"/>
      <c r="B152" s="889" t="s">
        <v>2118</v>
      </c>
      <c r="C152" s="868"/>
      <c r="D152" s="916"/>
      <c r="E152" s="918"/>
      <c r="F152" s="916"/>
      <c r="G152" s="918"/>
      <c r="H152" s="916"/>
      <c r="I152" s="1434"/>
      <c r="J152" s="916"/>
      <c r="K152" s="1434"/>
      <c r="L152" s="916"/>
      <c r="M152" s="1434"/>
      <c r="N152" s="916"/>
      <c r="O152" s="1434"/>
      <c r="P152" s="2"/>
      <c r="Q152" s="2"/>
    </row>
    <row r="153" spans="1:17" ht="18.75" customHeight="1" x14ac:dyDescent="0.3">
      <c r="A153" s="2"/>
      <c r="B153" s="889" t="s">
        <v>1282</v>
      </c>
      <c r="C153" s="868"/>
      <c r="D153" s="919" t="s">
        <v>1239</v>
      </c>
      <c r="E153" s="921">
        <f>IFERROR(E150/E152,0)</f>
        <v>0</v>
      </c>
      <c r="F153" s="919" t="s">
        <v>1239</v>
      </c>
      <c r="G153" s="921">
        <f>IFERROR(G150/G152,0)</f>
        <v>0</v>
      </c>
      <c r="H153" s="919" t="s">
        <v>1239</v>
      </c>
      <c r="I153" s="921">
        <f>IFERROR(I150/I152,0)</f>
        <v>0</v>
      </c>
      <c r="J153" s="919" t="s">
        <v>1239</v>
      </c>
      <c r="K153" s="921">
        <f>IFERROR(K150/K152,0)</f>
        <v>0</v>
      </c>
      <c r="L153" s="919" t="s">
        <v>1239</v>
      </c>
      <c r="M153" s="921">
        <f>IFERROR(M150/M152,0)</f>
        <v>0</v>
      </c>
      <c r="N153" s="919" t="s">
        <v>1239</v>
      </c>
      <c r="O153" s="921">
        <f>IFERROR(O150/O152,0)</f>
        <v>0</v>
      </c>
      <c r="P153" s="905"/>
      <c r="Q153" s="2"/>
    </row>
    <row r="154" spans="1:17" ht="7.5" customHeight="1" x14ac:dyDescent="0.3">
      <c r="A154" s="2"/>
      <c r="B154" s="904"/>
      <c r="C154" s="427"/>
      <c r="D154" s="427"/>
      <c r="E154" s="427"/>
      <c r="F154" s="924"/>
      <c r="G154" s="924"/>
      <c r="H154" s="924"/>
      <c r="I154" s="924"/>
      <c r="J154" s="924"/>
      <c r="K154" s="924"/>
      <c r="L154" s="924"/>
      <c r="M154" s="924"/>
      <c r="N154" s="924"/>
      <c r="O154" s="924"/>
      <c r="P154" s="924"/>
      <c r="Q154" s="2"/>
    </row>
    <row r="155" spans="1:17" ht="18.75" customHeight="1" x14ac:dyDescent="0.25">
      <c r="A155" s="901"/>
      <c r="B155" s="902" t="s">
        <v>1248</v>
      </c>
      <c r="C155" s="903"/>
      <c r="D155" s="903"/>
      <c r="E155" s="903"/>
      <c r="F155" s="903"/>
      <c r="G155" s="903"/>
      <c r="H155" s="903"/>
      <c r="I155" s="903"/>
      <c r="J155" s="903"/>
      <c r="K155" s="903"/>
      <c r="L155" s="903"/>
      <c r="M155" s="903"/>
      <c r="N155" s="903"/>
      <c r="O155" s="903"/>
      <c r="P155" s="903"/>
      <c r="Q155" s="2"/>
    </row>
    <row r="156" spans="1:17" ht="7.5" customHeight="1" x14ac:dyDescent="0.3">
      <c r="A156" s="2"/>
      <c r="B156" s="904"/>
      <c r="C156" s="427"/>
      <c r="D156" s="427"/>
      <c r="E156" s="427"/>
      <c r="F156" s="904"/>
      <c r="G156" s="904"/>
      <c r="H156" s="904"/>
      <c r="I156" s="904"/>
      <c r="J156" s="904"/>
      <c r="K156" s="904"/>
      <c r="L156" s="904"/>
      <c r="M156" s="904"/>
      <c r="N156" s="904"/>
      <c r="O156" s="904"/>
      <c r="P156" s="904"/>
      <c r="Q156" s="2"/>
    </row>
    <row r="157" spans="1:17" ht="18.75" customHeight="1" x14ac:dyDescent="0.3">
      <c r="A157" s="2"/>
      <c r="B157" s="889" t="s">
        <v>252</v>
      </c>
      <c r="C157" s="427"/>
      <c r="D157" s="427"/>
      <c r="E157" s="908" t="str">
        <f>E$36</f>
        <v>Applicant 1</v>
      </c>
      <c r="F157" s="904"/>
      <c r="G157" s="908" t="str">
        <f>G$36</f>
        <v>Applicant 2</v>
      </c>
      <c r="H157" s="904"/>
      <c r="I157" s="908" t="str">
        <f>I$36</f>
        <v>Applicant 3</v>
      </c>
      <c r="J157" s="904"/>
      <c r="K157" s="908" t="str">
        <f>K$36</f>
        <v>Applicant 4</v>
      </c>
      <c r="L157" s="904"/>
      <c r="M157" s="908" t="str">
        <f>M$36</f>
        <v>Applicant 5</v>
      </c>
      <c r="N157" s="904"/>
      <c r="O157" s="908" t="str">
        <f>O$36</f>
        <v>Applicant 6</v>
      </c>
      <c r="P157" s="427"/>
      <c r="Q157" s="2"/>
    </row>
    <row r="158" spans="1:17" ht="7.5" customHeight="1" x14ac:dyDescent="0.3">
      <c r="A158" s="2"/>
      <c r="B158" s="1205"/>
      <c r="C158" s="427"/>
      <c r="D158" s="427"/>
      <c r="E158" s="427"/>
      <c r="F158" s="904"/>
      <c r="G158" s="904"/>
      <c r="H158" s="904"/>
      <c r="I158" s="904"/>
      <c r="J158" s="904"/>
      <c r="K158" s="904"/>
      <c r="L158" s="904"/>
      <c r="M158" s="904"/>
      <c r="N158" s="904"/>
      <c r="O158" s="904"/>
      <c r="P158" s="870"/>
      <c r="Q158" s="2"/>
    </row>
    <row r="159" spans="1:17" ht="18.75" customHeight="1" x14ac:dyDescent="0.3">
      <c r="A159" s="2"/>
      <c r="B159" s="909" t="s">
        <v>1249</v>
      </c>
      <c r="C159" s="868"/>
      <c r="D159" s="868"/>
      <c r="E159" s="910"/>
      <c r="F159" s="427"/>
      <c r="G159" s="910"/>
      <c r="H159" s="427"/>
      <c r="I159" s="1430"/>
      <c r="J159" s="427"/>
      <c r="K159" s="1430"/>
      <c r="L159" s="427"/>
      <c r="M159" s="1430"/>
      <c r="N159" s="427"/>
      <c r="O159" s="1430"/>
      <c r="P159" s="922"/>
      <c r="Q159" s="2"/>
    </row>
    <row r="160" spans="1:17" ht="18.75" customHeight="1" x14ac:dyDescent="0.3">
      <c r="A160" s="2"/>
      <c r="B160" s="909" t="s">
        <v>1250</v>
      </c>
      <c r="C160" s="868"/>
      <c r="D160" s="868"/>
      <c r="E160" s="910"/>
      <c r="F160" s="870"/>
      <c r="G160" s="910"/>
      <c r="H160" s="870"/>
      <c r="I160" s="1430"/>
      <c r="J160" s="870"/>
      <c r="K160" s="1430"/>
      <c r="L160" s="870"/>
      <c r="M160" s="1430"/>
      <c r="N160" s="870"/>
      <c r="O160" s="1430"/>
      <c r="P160" s="427"/>
      <c r="Q160" s="2"/>
    </row>
    <row r="161" spans="1:17" ht="18.75" customHeight="1" x14ac:dyDescent="0.3">
      <c r="A161" s="2"/>
      <c r="B161" s="909" t="s">
        <v>1251</v>
      </c>
      <c r="C161" s="868"/>
      <c r="D161" s="868"/>
      <c r="E161" s="910"/>
      <c r="F161" s="870"/>
      <c r="G161" s="910"/>
      <c r="H161" s="870"/>
      <c r="I161" s="1430"/>
      <c r="J161" s="870"/>
      <c r="K161" s="1430"/>
      <c r="L161" s="870"/>
      <c r="M161" s="1430"/>
      <c r="N161" s="870"/>
      <c r="O161" s="1430"/>
      <c r="P161" s="427"/>
      <c r="Q161" s="2"/>
    </row>
    <row r="162" spans="1:17" ht="18.75" customHeight="1" x14ac:dyDescent="0.25">
      <c r="A162" s="2"/>
      <c r="B162" s="925" t="s">
        <v>1279</v>
      </c>
      <c r="C162" s="925"/>
      <c r="D162" s="925"/>
      <c r="E162" s="910"/>
      <c r="F162" s="427"/>
      <c r="G162" s="910"/>
      <c r="H162" s="427"/>
      <c r="I162" s="1430"/>
      <c r="J162" s="427"/>
      <c r="K162" s="1430"/>
      <c r="L162" s="427"/>
      <c r="M162" s="1430"/>
      <c r="N162" s="427"/>
      <c r="O162" s="1430"/>
      <c r="P162" s="922"/>
      <c r="Q162" s="2"/>
    </row>
    <row r="163" spans="1:17" ht="18.75" customHeight="1" x14ac:dyDescent="0.3">
      <c r="A163" s="2"/>
      <c r="B163" s="909" t="s">
        <v>1260</v>
      </c>
      <c r="C163" s="868"/>
      <c r="D163" s="868"/>
      <c r="E163" s="910"/>
      <c r="F163" s="870"/>
      <c r="G163" s="910"/>
      <c r="H163" s="870"/>
      <c r="I163" s="1430"/>
      <c r="J163" s="870"/>
      <c r="K163" s="1430"/>
      <c r="L163" s="870"/>
      <c r="M163" s="1430"/>
      <c r="N163" s="870"/>
      <c r="O163" s="1430"/>
      <c r="P163" s="427"/>
      <c r="Q163" s="2"/>
    </row>
    <row r="164" spans="1:17" ht="18.75" customHeight="1" x14ac:dyDescent="0.25">
      <c r="A164" s="2"/>
      <c r="B164" s="1763"/>
      <c r="C164" s="1764"/>
      <c r="D164" s="1765"/>
      <c r="E164" s="2"/>
      <c r="F164" s="2"/>
      <c r="G164" s="2"/>
      <c r="H164" s="2"/>
      <c r="I164" s="2"/>
      <c r="J164" s="2"/>
      <c r="K164" s="2"/>
      <c r="L164" s="2"/>
      <c r="M164" s="2"/>
      <c r="N164" s="2"/>
      <c r="O164" s="2"/>
      <c r="P164" s="2"/>
      <c r="Q164" s="2"/>
    </row>
    <row r="165" spans="1:17" ht="7.5" customHeight="1" x14ac:dyDescent="0.3">
      <c r="A165" s="2"/>
      <c r="B165" s="889"/>
      <c r="C165" s="868"/>
      <c r="D165" s="868"/>
      <c r="E165" s="868"/>
      <c r="F165" s="2"/>
      <c r="G165" s="2"/>
      <c r="H165" s="2"/>
      <c r="I165" s="2"/>
      <c r="J165" s="2"/>
      <c r="K165" s="2"/>
      <c r="L165" s="2"/>
      <c r="M165" s="2"/>
      <c r="N165" s="2"/>
      <c r="O165" s="2"/>
      <c r="P165" s="427"/>
      <c r="Q165" s="2"/>
    </row>
    <row r="166" spans="1:17" ht="18.75" customHeight="1" x14ac:dyDescent="0.25">
      <c r="A166" s="2"/>
      <c r="B166" s="889" t="s">
        <v>1267</v>
      </c>
      <c r="C166" s="913"/>
      <c r="D166" s="914"/>
      <c r="E166" s="928"/>
      <c r="F166" s="914"/>
      <c r="G166" s="928"/>
      <c r="H166" s="914"/>
      <c r="I166" s="1435"/>
      <c r="J166" s="914"/>
      <c r="K166" s="1435"/>
      <c r="L166" s="914"/>
      <c r="M166" s="1435"/>
      <c r="N166" s="914"/>
      <c r="O166" s="1435"/>
      <c r="P166" s="427"/>
      <c r="Q166" s="2"/>
    </row>
    <row r="167" spans="1:17" ht="18.75" customHeight="1" x14ac:dyDescent="0.25">
      <c r="A167" s="2"/>
      <c r="B167" s="889" t="s">
        <v>1265</v>
      </c>
      <c r="C167" s="913"/>
      <c r="D167" s="914" t="str">
        <f>IFERROR(VLOOKUP(E168,CurrencyDataTable[],2,FALSE),"")</f>
        <v/>
      </c>
      <c r="E167" s="915"/>
      <c r="F167" s="914" t="str">
        <f>IFERROR(VLOOKUP(G168,CurrencyDataTable[],2,FALSE),"")</f>
        <v/>
      </c>
      <c r="G167" s="915"/>
      <c r="H167" s="914" t="str">
        <f>IFERROR(VLOOKUP(I168,CurrencyDataTable[],2,FALSE),"")</f>
        <v/>
      </c>
      <c r="I167" s="1432"/>
      <c r="J167" s="914" t="str">
        <f>IFERROR(VLOOKUP(K168,CurrencyDataTable[],2,FALSE),"")</f>
        <v/>
      </c>
      <c r="K167" s="1432"/>
      <c r="L167" s="914" t="str">
        <f>IFERROR(VLOOKUP(M168,CurrencyDataTable[],2,FALSE),"")</f>
        <v/>
      </c>
      <c r="M167" s="1432"/>
      <c r="N167" s="914" t="str">
        <f>IFERROR(VLOOKUP(O168,CurrencyDataTable[],2,FALSE),"")</f>
        <v/>
      </c>
      <c r="O167" s="1432"/>
      <c r="P167" s="923"/>
      <c r="Q167" s="2"/>
    </row>
    <row r="168" spans="1:17" ht="18.75" customHeight="1" x14ac:dyDescent="0.3">
      <c r="A168" s="2"/>
      <c r="B168" s="889" t="s">
        <v>1238</v>
      </c>
      <c r="C168" s="868"/>
      <c r="D168" s="916"/>
      <c r="E168" s="917"/>
      <c r="F168" s="916"/>
      <c r="G168" s="917"/>
      <c r="H168" s="916"/>
      <c r="I168" s="1433"/>
      <c r="J168" s="916"/>
      <c r="K168" s="1433"/>
      <c r="L168" s="916"/>
      <c r="M168" s="1433"/>
      <c r="N168" s="916"/>
      <c r="O168" s="1433"/>
      <c r="P168" s="427"/>
      <c r="Q168" s="2"/>
    </row>
    <row r="169" spans="1:17" ht="18.75" customHeight="1" x14ac:dyDescent="0.3">
      <c r="A169" s="2"/>
      <c r="B169" s="889" t="s">
        <v>2118</v>
      </c>
      <c r="C169" s="868"/>
      <c r="D169" s="916"/>
      <c r="E169" s="918"/>
      <c r="F169" s="916"/>
      <c r="G169" s="918"/>
      <c r="H169" s="916"/>
      <c r="I169" s="1434"/>
      <c r="J169" s="916"/>
      <c r="K169" s="1434"/>
      <c r="L169" s="916"/>
      <c r="M169" s="1434"/>
      <c r="N169" s="916"/>
      <c r="O169" s="1434"/>
      <c r="P169" s="2"/>
      <c r="Q169" s="2"/>
    </row>
    <row r="170" spans="1:17" ht="18.75" customHeight="1" x14ac:dyDescent="0.3">
      <c r="A170" s="2"/>
      <c r="B170" s="889" t="s">
        <v>1281</v>
      </c>
      <c r="C170" s="868"/>
      <c r="D170" s="919" t="s">
        <v>1239</v>
      </c>
      <c r="E170" s="921">
        <f>IFERROR(E167/E169,0)</f>
        <v>0</v>
      </c>
      <c r="F170" s="919" t="s">
        <v>1239</v>
      </c>
      <c r="G170" s="921">
        <f>IFERROR(G167/G169,0)</f>
        <v>0</v>
      </c>
      <c r="H170" s="919" t="s">
        <v>1239</v>
      </c>
      <c r="I170" s="921">
        <f>IFERROR(I167/I169,0)</f>
        <v>0</v>
      </c>
      <c r="J170" s="919" t="s">
        <v>1239</v>
      </c>
      <c r="K170" s="921">
        <f>IFERROR(K167/K169,0)</f>
        <v>0</v>
      </c>
      <c r="L170" s="919" t="s">
        <v>1239</v>
      </c>
      <c r="M170" s="921">
        <f>IFERROR(M167/M169,0)</f>
        <v>0</v>
      </c>
      <c r="N170" s="919" t="s">
        <v>1239</v>
      </c>
      <c r="O170" s="921">
        <f>IFERROR(O167/O169,0)</f>
        <v>0</v>
      </c>
      <c r="P170" s="905"/>
      <c r="Q170" s="2"/>
    </row>
    <row r="171" spans="1:17" ht="7.5" customHeight="1" x14ac:dyDescent="0.25">
      <c r="A171" s="929"/>
      <c r="B171" s="930"/>
      <c r="C171" s="930"/>
      <c r="D171" s="930"/>
      <c r="E171" s="930"/>
      <c r="F171" s="931"/>
      <c r="G171" s="931"/>
      <c r="H171" s="931"/>
      <c r="I171" s="931"/>
      <c r="J171" s="931"/>
      <c r="K171" s="931"/>
      <c r="L171" s="931"/>
      <c r="M171" s="931"/>
      <c r="N171" s="931"/>
      <c r="O171" s="931"/>
      <c r="P171" s="931"/>
      <c r="Q171" s="2"/>
    </row>
    <row r="172" spans="1:17" ht="7.5" customHeight="1" x14ac:dyDescent="0.25">
      <c r="A172" s="2"/>
      <c r="B172" s="427"/>
      <c r="C172" s="427"/>
      <c r="D172" s="427"/>
      <c r="E172" s="427"/>
      <c r="F172" s="924"/>
      <c r="G172" s="924"/>
      <c r="H172" s="924"/>
      <c r="I172" s="924"/>
      <c r="J172" s="924"/>
      <c r="K172" s="924"/>
      <c r="L172" s="924"/>
      <c r="M172" s="924"/>
      <c r="N172" s="924"/>
      <c r="O172" s="924"/>
      <c r="P172" s="924"/>
      <c r="Q172" s="2"/>
    </row>
    <row r="173" spans="1:17" ht="18.75" customHeight="1" x14ac:dyDescent="0.25">
      <c r="A173" s="2"/>
      <c r="B173" s="889" t="s">
        <v>1267</v>
      </c>
      <c r="C173" s="913"/>
      <c r="D173" s="914"/>
      <c r="E173" s="928"/>
      <c r="F173" s="914"/>
      <c r="G173" s="928"/>
      <c r="H173" s="914"/>
      <c r="I173" s="1435"/>
      <c r="J173" s="914"/>
      <c r="K173" s="1435"/>
      <c r="L173" s="914"/>
      <c r="M173" s="1435"/>
      <c r="N173" s="914"/>
      <c r="O173" s="1435"/>
      <c r="P173" s="427"/>
      <c r="Q173" s="2"/>
    </row>
    <row r="174" spans="1:17" ht="18.75" customHeight="1" x14ac:dyDescent="0.25">
      <c r="A174" s="2"/>
      <c r="B174" s="889" t="s">
        <v>1265</v>
      </c>
      <c r="C174" s="913"/>
      <c r="D174" s="914" t="str">
        <f>IFERROR(VLOOKUP(E175,CurrencyDataTable[],2,FALSE),"")</f>
        <v/>
      </c>
      <c r="E174" s="915"/>
      <c r="F174" s="914" t="str">
        <f>IFERROR(VLOOKUP(G175,CurrencyDataTable[],2,FALSE),"")</f>
        <v/>
      </c>
      <c r="G174" s="915"/>
      <c r="H174" s="914" t="str">
        <f>IFERROR(VLOOKUP(I175,CurrencyDataTable[],2,FALSE),"")</f>
        <v/>
      </c>
      <c r="I174" s="1432"/>
      <c r="J174" s="914" t="str">
        <f>IFERROR(VLOOKUP(K175,CurrencyDataTable[],2,FALSE),"")</f>
        <v/>
      </c>
      <c r="K174" s="1432"/>
      <c r="L174" s="914" t="str">
        <f>IFERROR(VLOOKUP(M175,CurrencyDataTable[],2,FALSE),"")</f>
        <v/>
      </c>
      <c r="M174" s="1432"/>
      <c r="N174" s="914" t="str">
        <f>IFERROR(VLOOKUP(O175,CurrencyDataTable[],2,FALSE),"")</f>
        <v/>
      </c>
      <c r="O174" s="1432"/>
      <c r="P174" s="923"/>
      <c r="Q174" s="2"/>
    </row>
    <row r="175" spans="1:17" ht="18.75" customHeight="1" x14ac:dyDescent="0.3">
      <c r="A175" s="2"/>
      <c r="B175" s="889" t="s">
        <v>1238</v>
      </c>
      <c r="C175" s="868"/>
      <c r="D175" s="916"/>
      <c r="E175" s="917"/>
      <c r="F175" s="916"/>
      <c r="G175" s="917"/>
      <c r="H175" s="916"/>
      <c r="I175" s="1433"/>
      <c r="J175" s="916"/>
      <c r="K175" s="1433"/>
      <c r="L175" s="916"/>
      <c r="M175" s="1433"/>
      <c r="N175" s="916"/>
      <c r="O175" s="1433"/>
      <c r="P175" s="427"/>
      <c r="Q175" s="2"/>
    </row>
    <row r="176" spans="1:17" ht="18.75" customHeight="1" x14ac:dyDescent="0.3">
      <c r="A176" s="2"/>
      <c r="B176" s="889" t="s">
        <v>1311</v>
      </c>
      <c r="C176" s="868"/>
      <c r="D176" s="916"/>
      <c r="E176" s="918"/>
      <c r="F176" s="916"/>
      <c r="G176" s="918"/>
      <c r="H176" s="916"/>
      <c r="I176" s="1434"/>
      <c r="J176" s="916"/>
      <c r="K176" s="1434"/>
      <c r="L176" s="916"/>
      <c r="M176" s="1434"/>
      <c r="N176" s="916"/>
      <c r="O176" s="1434"/>
      <c r="P176" s="2"/>
      <c r="Q176" s="2"/>
    </row>
    <row r="177" spans="1:17" ht="18.75" customHeight="1" x14ac:dyDescent="0.3">
      <c r="A177" s="2"/>
      <c r="B177" s="889" t="s">
        <v>1281</v>
      </c>
      <c r="C177" s="868"/>
      <c r="D177" s="919" t="s">
        <v>1239</v>
      </c>
      <c r="E177" s="921">
        <f>IFERROR(E174/E176,0)</f>
        <v>0</v>
      </c>
      <c r="F177" s="919" t="s">
        <v>1239</v>
      </c>
      <c r="G177" s="921">
        <f>IFERROR(G174/G176,0)</f>
        <v>0</v>
      </c>
      <c r="H177" s="919" t="s">
        <v>1239</v>
      </c>
      <c r="I177" s="921">
        <f>IFERROR(I174/I176,0)</f>
        <v>0</v>
      </c>
      <c r="J177" s="919" t="s">
        <v>1239</v>
      </c>
      <c r="K177" s="921">
        <f>IFERROR(K174/K176,0)</f>
        <v>0</v>
      </c>
      <c r="L177" s="919" t="s">
        <v>1239</v>
      </c>
      <c r="M177" s="921">
        <f>IFERROR(M174/M176,0)</f>
        <v>0</v>
      </c>
      <c r="N177" s="919" t="s">
        <v>1239</v>
      </c>
      <c r="O177" s="921">
        <f>IFERROR(O174/O176,0)</f>
        <v>0</v>
      </c>
      <c r="P177" s="905"/>
      <c r="Q177" s="2"/>
    </row>
    <row r="178" spans="1:17" ht="7.5" customHeight="1" x14ac:dyDescent="0.25">
      <c r="A178" s="929"/>
      <c r="B178" s="930"/>
      <c r="C178" s="930"/>
      <c r="D178" s="930"/>
      <c r="E178" s="930"/>
      <c r="F178" s="931"/>
      <c r="G178" s="931"/>
      <c r="H178" s="931"/>
      <c r="I178" s="931"/>
      <c r="J178" s="931"/>
      <c r="K178" s="931"/>
      <c r="L178" s="931"/>
      <c r="M178" s="931"/>
      <c r="N178" s="931"/>
      <c r="O178" s="931"/>
      <c r="P178" s="931"/>
      <c r="Q178" s="2"/>
    </row>
    <row r="179" spans="1:17" ht="7.5" customHeight="1" x14ac:dyDescent="0.25">
      <c r="A179" s="2"/>
      <c r="B179" s="427"/>
      <c r="C179" s="427"/>
      <c r="D179" s="427"/>
      <c r="E179" s="427"/>
      <c r="F179" s="924"/>
      <c r="G179" s="924"/>
      <c r="H179" s="924"/>
      <c r="I179" s="924"/>
      <c r="J179" s="924"/>
      <c r="K179" s="924"/>
      <c r="L179" s="924"/>
      <c r="M179" s="924"/>
      <c r="N179" s="924"/>
      <c r="O179" s="924"/>
      <c r="P179" s="924"/>
      <c r="Q179" s="2"/>
    </row>
    <row r="180" spans="1:17" ht="18.75" customHeight="1" x14ac:dyDescent="0.25">
      <c r="A180" s="2"/>
      <c r="B180" s="889" t="s">
        <v>1267</v>
      </c>
      <c r="C180" s="913"/>
      <c r="D180" s="914"/>
      <c r="E180" s="928"/>
      <c r="F180" s="914"/>
      <c r="G180" s="928"/>
      <c r="H180" s="914"/>
      <c r="I180" s="1435"/>
      <c r="J180" s="914"/>
      <c r="K180" s="1435"/>
      <c r="L180" s="914"/>
      <c r="M180" s="1435"/>
      <c r="N180" s="914"/>
      <c r="O180" s="1435"/>
      <c r="P180" s="427"/>
      <c r="Q180" s="2"/>
    </row>
    <row r="181" spans="1:17" ht="18.75" customHeight="1" x14ac:dyDescent="0.25">
      <c r="A181" s="2"/>
      <c r="B181" s="889" t="s">
        <v>1265</v>
      </c>
      <c r="C181" s="913"/>
      <c r="D181" s="914" t="str">
        <f>IFERROR(VLOOKUP(E182,CurrencyDataTable[],2,FALSE),"")</f>
        <v/>
      </c>
      <c r="E181" s="915"/>
      <c r="F181" s="914" t="str">
        <f>IFERROR(VLOOKUP(G182,CurrencyDataTable[],2,FALSE),"")</f>
        <v/>
      </c>
      <c r="G181" s="915"/>
      <c r="H181" s="914" t="str">
        <f>IFERROR(VLOOKUP(I182,CurrencyDataTable[],2,FALSE),"")</f>
        <v/>
      </c>
      <c r="I181" s="1432"/>
      <c r="J181" s="914" t="str">
        <f>IFERROR(VLOOKUP(K182,CurrencyDataTable[],2,FALSE),"")</f>
        <v/>
      </c>
      <c r="K181" s="1432"/>
      <c r="L181" s="914" t="str">
        <f>IFERROR(VLOOKUP(M182,CurrencyDataTable[],2,FALSE),"")</f>
        <v/>
      </c>
      <c r="M181" s="1432"/>
      <c r="N181" s="914" t="str">
        <f>IFERROR(VLOOKUP(O182,CurrencyDataTable[],2,FALSE),"")</f>
        <v/>
      </c>
      <c r="O181" s="1432"/>
      <c r="P181" s="923"/>
      <c r="Q181" s="2"/>
    </row>
    <row r="182" spans="1:17" ht="18.75" customHeight="1" x14ac:dyDescent="0.3">
      <c r="A182" s="2"/>
      <c r="B182" s="889" t="s">
        <v>1238</v>
      </c>
      <c r="C182" s="868"/>
      <c r="D182" s="916"/>
      <c r="E182" s="917"/>
      <c r="F182" s="916"/>
      <c r="G182" s="917"/>
      <c r="H182" s="916"/>
      <c r="I182" s="1433"/>
      <c r="J182" s="916"/>
      <c r="K182" s="1433"/>
      <c r="L182" s="916"/>
      <c r="M182" s="1433"/>
      <c r="N182" s="916"/>
      <c r="O182" s="1433"/>
      <c r="P182" s="427"/>
      <c r="Q182" s="2"/>
    </row>
    <row r="183" spans="1:17" ht="18.75" customHeight="1" x14ac:dyDescent="0.3">
      <c r="A183" s="2"/>
      <c r="B183" s="889" t="s">
        <v>2118</v>
      </c>
      <c r="C183" s="868"/>
      <c r="D183" s="916"/>
      <c r="E183" s="918"/>
      <c r="F183" s="916"/>
      <c r="G183" s="918"/>
      <c r="H183" s="916"/>
      <c r="I183" s="1434"/>
      <c r="J183" s="916"/>
      <c r="K183" s="1434"/>
      <c r="L183" s="916"/>
      <c r="M183" s="1434"/>
      <c r="N183" s="916"/>
      <c r="O183" s="1434"/>
      <c r="P183" s="2"/>
      <c r="Q183" s="2"/>
    </row>
    <row r="184" spans="1:17" ht="18.75" customHeight="1" x14ac:dyDescent="0.3">
      <c r="A184" s="2"/>
      <c r="B184" s="889" t="s">
        <v>1281</v>
      </c>
      <c r="C184" s="868"/>
      <c r="D184" s="919" t="s">
        <v>1239</v>
      </c>
      <c r="E184" s="921">
        <f>IFERROR(E181/E183,0)</f>
        <v>0</v>
      </c>
      <c r="F184" s="919" t="s">
        <v>1239</v>
      </c>
      <c r="G184" s="921">
        <f>IFERROR(G181/G183,0)</f>
        <v>0</v>
      </c>
      <c r="H184" s="919" t="s">
        <v>1239</v>
      </c>
      <c r="I184" s="921">
        <f>IFERROR(I181/I183,0)</f>
        <v>0</v>
      </c>
      <c r="J184" s="919" t="s">
        <v>1239</v>
      </c>
      <c r="K184" s="921">
        <f>IFERROR(K181/K183,0)</f>
        <v>0</v>
      </c>
      <c r="L184" s="919" t="s">
        <v>1239</v>
      </c>
      <c r="M184" s="921">
        <f>IFERROR(M181/M183,0)</f>
        <v>0</v>
      </c>
      <c r="N184" s="919" t="s">
        <v>1239</v>
      </c>
      <c r="O184" s="921">
        <f>IFERROR(O181/O183,0)</f>
        <v>0</v>
      </c>
      <c r="P184" s="905"/>
      <c r="Q184" s="2"/>
    </row>
    <row r="185" spans="1:17" ht="7.5" customHeight="1" x14ac:dyDescent="0.25">
      <c r="A185" s="929"/>
      <c r="B185" s="930"/>
      <c r="C185" s="930"/>
      <c r="D185" s="930"/>
      <c r="E185" s="930"/>
      <c r="F185" s="931"/>
      <c r="G185" s="931"/>
      <c r="H185" s="931"/>
      <c r="I185" s="931"/>
      <c r="J185" s="931"/>
      <c r="K185" s="931"/>
      <c r="L185" s="931"/>
      <c r="M185" s="931"/>
      <c r="N185" s="931"/>
      <c r="O185" s="931"/>
      <c r="P185" s="931"/>
      <c r="Q185" s="2"/>
    </row>
    <row r="186" spans="1:17" ht="7.5" customHeight="1" x14ac:dyDescent="0.25">
      <c r="A186" s="2"/>
      <c r="B186" s="427"/>
      <c r="C186" s="427"/>
      <c r="D186" s="427"/>
      <c r="E186" s="427"/>
      <c r="F186" s="924"/>
      <c r="G186" s="924"/>
      <c r="H186" s="924"/>
      <c r="I186" s="924"/>
      <c r="J186" s="924"/>
      <c r="K186" s="924"/>
      <c r="L186" s="924"/>
      <c r="M186" s="924"/>
      <c r="N186" s="924"/>
      <c r="O186" s="924"/>
      <c r="P186" s="924"/>
      <c r="Q186" s="2"/>
    </row>
    <row r="187" spans="1:17" ht="18.75" customHeight="1" x14ac:dyDescent="0.25">
      <c r="A187" s="2"/>
      <c r="B187" s="889" t="s">
        <v>1267</v>
      </c>
      <c r="C187" s="913"/>
      <c r="D187" s="914"/>
      <c r="E187" s="928"/>
      <c r="F187" s="914"/>
      <c r="G187" s="928"/>
      <c r="H187" s="914"/>
      <c r="I187" s="1435"/>
      <c r="J187" s="914"/>
      <c r="K187" s="1435"/>
      <c r="L187" s="914"/>
      <c r="M187" s="1435"/>
      <c r="N187" s="914"/>
      <c r="O187" s="1435"/>
      <c r="P187" s="427"/>
      <c r="Q187" s="2"/>
    </row>
    <row r="188" spans="1:17" ht="18.75" customHeight="1" x14ac:dyDescent="0.25">
      <c r="A188" s="2"/>
      <c r="B188" s="889" t="s">
        <v>1265</v>
      </c>
      <c r="C188" s="913"/>
      <c r="D188" s="914" t="str">
        <f>IFERROR(VLOOKUP(E189,CurrencyDataTable[],2,FALSE),"")</f>
        <v/>
      </c>
      <c r="E188" s="915"/>
      <c r="F188" s="914" t="str">
        <f>IFERROR(VLOOKUP(G189,CurrencyDataTable[],2,FALSE),"")</f>
        <v/>
      </c>
      <c r="G188" s="915"/>
      <c r="H188" s="914" t="str">
        <f>IFERROR(VLOOKUP(I189,CurrencyDataTable[],2,FALSE),"")</f>
        <v/>
      </c>
      <c r="I188" s="1432"/>
      <c r="J188" s="914" t="str">
        <f>IFERROR(VLOOKUP(K189,CurrencyDataTable[],2,FALSE),"")</f>
        <v/>
      </c>
      <c r="K188" s="1432"/>
      <c r="L188" s="914" t="str">
        <f>IFERROR(VLOOKUP(M189,CurrencyDataTable[],2,FALSE),"")</f>
        <v/>
      </c>
      <c r="M188" s="1432"/>
      <c r="N188" s="914" t="str">
        <f>IFERROR(VLOOKUP(O189,CurrencyDataTable[],2,FALSE),"")</f>
        <v/>
      </c>
      <c r="O188" s="1432"/>
      <c r="P188" s="923"/>
      <c r="Q188" s="2"/>
    </row>
    <row r="189" spans="1:17" ht="18.75" customHeight="1" x14ac:dyDescent="0.3">
      <c r="A189" s="2"/>
      <c r="B189" s="889" t="s">
        <v>1238</v>
      </c>
      <c r="C189" s="868"/>
      <c r="D189" s="916"/>
      <c r="E189" s="917"/>
      <c r="F189" s="916"/>
      <c r="G189" s="917"/>
      <c r="H189" s="916"/>
      <c r="I189" s="1433"/>
      <c r="J189" s="916"/>
      <c r="K189" s="1433"/>
      <c r="L189" s="916"/>
      <c r="M189" s="1433"/>
      <c r="N189" s="916"/>
      <c r="O189" s="1433"/>
      <c r="P189" s="427"/>
      <c r="Q189" s="2"/>
    </row>
    <row r="190" spans="1:17" ht="18.75" customHeight="1" x14ac:dyDescent="0.3">
      <c r="A190" s="2"/>
      <c r="B190" s="889" t="s">
        <v>2118</v>
      </c>
      <c r="C190" s="868"/>
      <c r="D190" s="916"/>
      <c r="E190" s="918"/>
      <c r="F190" s="916"/>
      <c r="G190" s="918"/>
      <c r="H190" s="916"/>
      <c r="I190" s="1434"/>
      <c r="J190" s="916"/>
      <c r="K190" s="1434"/>
      <c r="L190" s="916"/>
      <c r="M190" s="1434"/>
      <c r="N190" s="916"/>
      <c r="O190" s="1434"/>
      <c r="P190" s="2"/>
      <c r="Q190" s="2"/>
    </row>
    <row r="191" spans="1:17" ht="18.75" customHeight="1" x14ac:dyDescent="0.3">
      <c r="A191" s="2"/>
      <c r="B191" s="889" t="s">
        <v>1281</v>
      </c>
      <c r="C191" s="868"/>
      <c r="D191" s="919" t="s">
        <v>1239</v>
      </c>
      <c r="E191" s="921">
        <f>IFERROR(E188/E190,0)</f>
        <v>0</v>
      </c>
      <c r="F191" s="919" t="s">
        <v>1239</v>
      </c>
      <c r="G191" s="921">
        <f>IFERROR(G188/G190,0)</f>
        <v>0</v>
      </c>
      <c r="H191" s="919" t="s">
        <v>1239</v>
      </c>
      <c r="I191" s="921">
        <f>IFERROR(I188/I190,0)</f>
        <v>0</v>
      </c>
      <c r="J191" s="919" t="s">
        <v>1239</v>
      </c>
      <c r="K191" s="921">
        <f>IFERROR(K188/K190,0)</f>
        <v>0</v>
      </c>
      <c r="L191" s="919" t="s">
        <v>1239</v>
      </c>
      <c r="M191" s="921">
        <f>IFERROR(M188/M190,0)</f>
        <v>0</v>
      </c>
      <c r="N191" s="919" t="s">
        <v>1239</v>
      </c>
      <c r="O191" s="921">
        <f>IFERROR(O188/O190,0)</f>
        <v>0</v>
      </c>
      <c r="P191" s="905"/>
      <c r="Q191" s="2"/>
    </row>
    <row r="192" spans="1:17" ht="7.5" customHeight="1" x14ac:dyDescent="0.25">
      <c r="A192" s="929"/>
      <c r="B192" s="930"/>
      <c r="C192" s="930"/>
      <c r="D192" s="930"/>
      <c r="E192" s="930"/>
      <c r="F192" s="931"/>
      <c r="G192" s="931"/>
      <c r="H192" s="931"/>
      <c r="I192" s="931"/>
      <c r="J192" s="931"/>
      <c r="K192" s="931"/>
      <c r="L192" s="931"/>
      <c r="M192" s="931"/>
      <c r="N192" s="931"/>
      <c r="O192" s="931"/>
      <c r="P192" s="931"/>
      <c r="Q192" s="2"/>
    </row>
    <row r="193" spans="1:17" ht="7.5" customHeight="1" x14ac:dyDescent="0.25">
      <c r="A193" s="2"/>
      <c r="B193" s="427"/>
      <c r="C193" s="427"/>
      <c r="D193" s="427"/>
      <c r="E193" s="427"/>
      <c r="F193" s="924"/>
      <c r="G193" s="924"/>
      <c r="H193" s="924"/>
      <c r="I193" s="924"/>
      <c r="J193" s="924"/>
      <c r="K193" s="924"/>
      <c r="L193" s="924"/>
      <c r="M193" s="924"/>
      <c r="N193" s="924"/>
      <c r="O193" s="924"/>
      <c r="P193" s="924"/>
      <c r="Q193" s="2"/>
    </row>
    <row r="194" spans="1:17" ht="18.75" customHeight="1" x14ac:dyDescent="0.25">
      <c r="A194" s="2"/>
      <c r="B194" s="889" t="s">
        <v>1267</v>
      </c>
      <c r="C194" s="913"/>
      <c r="D194" s="914"/>
      <c r="E194" s="928"/>
      <c r="F194" s="914"/>
      <c r="G194" s="928"/>
      <c r="H194" s="914"/>
      <c r="I194" s="1435"/>
      <c r="J194" s="914"/>
      <c r="K194" s="1435"/>
      <c r="L194" s="914"/>
      <c r="M194" s="1435"/>
      <c r="N194" s="914"/>
      <c r="O194" s="1435"/>
      <c r="P194" s="427"/>
      <c r="Q194" s="2"/>
    </row>
    <row r="195" spans="1:17" ht="18.75" customHeight="1" x14ac:dyDescent="0.25">
      <c r="A195" s="2"/>
      <c r="B195" s="889" t="s">
        <v>1265</v>
      </c>
      <c r="C195" s="913"/>
      <c r="D195" s="914" t="str">
        <f>IFERROR(VLOOKUP(E196,CurrencyDataTable[],2,FALSE),"")</f>
        <v/>
      </c>
      <c r="E195" s="915"/>
      <c r="F195" s="914" t="str">
        <f>IFERROR(VLOOKUP(G196,CurrencyDataTable[],2,FALSE),"")</f>
        <v/>
      </c>
      <c r="G195" s="915"/>
      <c r="H195" s="914" t="str">
        <f>IFERROR(VLOOKUP(I196,CurrencyDataTable[],2,FALSE),"")</f>
        <v/>
      </c>
      <c r="I195" s="1432"/>
      <c r="J195" s="914" t="str">
        <f>IFERROR(VLOOKUP(K196,CurrencyDataTable[],2,FALSE),"")</f>
        <v/>
      </c>
      <c r="K195" s="1432"/>
      <c r="L195" s="914" t="str">
        <f>IFERROR(VLOOKUP(M196,CurrencyDataTable[],2,FALSE),"")</f>
        <v/>
      </c>
      <c r="M195" s="1432"/>
      <c r="N195" s="914" t="str">
        <f>IFERROR(VLOOKUP(O196,CurrencyDataTable[],2,FALSE),"")</f>
        <v/>
      </c>
      <c r="O195" s="1432"/>
      <c r="P195" s="923"/>
      <c r="Q195" s="2"/>
    </row>
    <row r="196" spans="1:17" ht="18.75" customHeight="1" x14ac:dyDescent="0.3">
      <c r="A196" s="2"/>
      <c r="B196" s="889" t="s">
        <v>1238</v>
      </c>
      <c r="C196" s="868"/>
      <c r="D196" s="916"/>
      <c r="E196" s="917"/>
      <c r="F196" s="916"/>
      <c r="G196" s="917"/>
      <c r="H196" s="916"/>
      <c r="I196" s="1433"/>
      <c r="J196" s="916"/>
      <c r="K196" s="1433"/>
      <c r="L196" s="916"/>
      <c r="M196" s="1433"/>
      <c r="N196" s="916"/>
      <c r="O196" s="1433"/>
      <c r="P196" s="427"/>
      <c r="Q196" s="2"/>
    </row>
    <row r="197" spans="1:17" ht="18.75" customHeight="1" x14ac:dyDescent="0.3">
      <c r="A197" s="2"/>
      <c r="B197" s="889" t="s">
        <v>2118</v>
      </c>
      <c r="C197" s="868"/>
      <c r="D197" s="916"/>
      <c r="E197" s="918"/>
      <c r="F197" s="916"/>
      <c r="G197" s="918"/>
      <c r="H197" s="916"/>
      <c r="I197" s="1434"/>
      <c r="J197" s="916"/>
      <c r="K197" s="1434"/>
      <c r="L197" s="916"/>
      <c r="M197" s="1434"/>
      <c r="N197" s="916"/>
      <c r="O197" s="1434"/>
      <c r="P197" s="2"/>
      <c r="Q197" s="2"/>
    </row>
    <row r="198" spans="1:17" ht="18.75" customHeight="1" x14ac:dyDescent="0.3">
      <c r="A198" s="2"/>
      <c r="B198" s="889" t="s">
        <v>1281</v>
      </c>
      <c r="C198" s="868"/>
      <c r="D198" s="919" t="s">
        <v>1239</v>
      </c>
      <c r="E198" s="921">
        <f>IFERROR(E195/E197,0)</f>
        <v>0</v>
      </c>
      <c r="F198" s="919" t="s">
        <v>1239</v>
      </c>
      <c r="G198" s="921">
        <f>IFERROR(G195/G197,0)</f>
        <v>0</v>
      </c>
      <c r="H198" s="919" t="s">
        <v>1239</v>
      </c>
      <c r="I198" s="921">
        <f>IFERROR(I195/I197,0)</f>
        <v>0</v>
      </c>
      <c r="J198" s="919" t="s">
        <v>1239</v>
      </c>
      <c r="K198" s="921">
        <f>IFERROR(K195/K197,0)</f>
        <v>0</v>
      </c>
      <c r="L198" s="919" t="s">
        <v>1239</v>
      </c>
      <c r="M198" s="921">
        <f>IFERROR(M195/M197,0)</f>
        <v>0</v>
      </c>
      <c r="N198" s="919" t="s">
        <v>1239</v>
      </c>
      <c r="O198" s="921">
        <f>IFERROR(O195/O197,0)</f>
        <v>0</v>
      </c>
      <c r="P198" s="905"/>
      <c r="Q198" s="2"/>
    </row>
    <row r="199" spans="1:17" ht="7.5" customHeight="1" x14ac:dyDescent="0.3">
      <c r="A199" s="2"/>
      <c r="B199" s="904"/>
      <c r="C199" s="427"/>
      <c r="D199" s="427"/>
      <c r="E199" s="427"/>
      <c r="F199" s="924"/>
      <c r="G199" s="924"/>
      <c r="H199" s="924"/>
      <c r="I199" s="924"/>
      <c r="J199" s="924"/>
      <c r="K199" s="924"/>
      <c r="L199" s="924"/>
      <c r="M199" s="924"/>
      <c r="N199" s="924"/>
      <c r="O199" s="924"/>
      <c r="P199" s="924"/>
      <c r="Q199" s="2"/>
    </row>
    <row r="200" spans="1:17" ht="18.75" customHeight="1" x14ac:dyDescent="0.25">
      <c r="A200" s="901"/>
      <c r="B200" s="902" t="s">
        <v>1252</v>
      </c>
      <c r="C200" s="903"/>
      <c r="D200" s="903"/>
      <c r="E200" s="903"/>
      <c r="F200" s="903"/>
      <c r="G200" s="903"/>
      <c r="H200" s="903"/>
      <c r="I200" s="903"/>
      <c r="J200" s="903"/>
      <c r="K200" s="903"/>
      <c r="L200" s="903"/>
      <c r="M200" s="903"/>
      <c r="N200" s="903"/>
      <c r="O200" s="903"/>
      <c r="P200" s="903"/>
      <c r="Q200" s="2"/>
    </row>
    <row r="201" spans="1:17" ht="7.5" customHeight="1" x14ac:dyDescent="0.3">
      <c r="A201" s="2"/>
      <c r="B201" s="904"/>
      <c r="C201" s="427"/>
      <c r="D201" s="427"/>
      <c r="E201" s="427"/>
      <c r="F201" s="904"/>
      <c r="G201" s="904"/>
      <c r="H201" s="904"/>
      <c r="I201" s="904"/>
      <c r="J201" s="904"/>
      <c r="K201" s="904"/>
      <c r="L201" s="904"/>
      <c r="M201" s="904"/>
      <c r="N201" s="904"/>
      <c r="O201" s="904"/>
      <c r="P201" s="904"/>
      <c r="Q201" s="2"/>
    </row>
    <row r="202" spans="1:17" ht="18.75" customHeight="1" x14ac:dyDescent="0.3">
      <c r="A202" s="2"/>
      <c r="B202" s="889" t="s">
        <v>252</v>
      </c>
      <c r="C202" s="427"/>
      <c r="D202" s="427"/>
      <c r="E202" s="908" t="str">
        <f>E$36</f>
        <v>Applicant 1</v>
      </c>
      <c r="F202" s="904"/>
      <c r="G202" s="908" t="str">
        <f>G$36</f>
        <v>Applicant 2</v>
      </c>
      <c r="H202" s="904"/>
      <c r="I202" s="908" t="str">
        <f>I$36</f>
        <v>Applicant 3</v>
      </c>
      <c r="J202" s="904"/>
      <c r="K202" s="908" t="str">
        <f>K$36</f>
        <v>Applicant 4</v>
      </c>
      <c r="L202" s="904"/>
      <c r="M202" s="908" t="str">
        <f>M$36</f>
        <v>Applicant 5</v>
      </c>
      <c r="N202" s="904"/>
      <c r="O202" s="908" t="str">
        <f>O$36</f>
        <v>Applicant 6</v>
      </c>
      <c r="P202" s="427"/>
      <c r="Q202" s="2"/>
    </row>
    <row r="203" spans="1:17" ht="7.5" customHeight="1" x14ac:dyDescent="0.3">
      <c r="A203" s="2"/>
      <c r="B203" s="1205"/>
      <c r="C203" s="427"/>
      <c r="D203" s="427"/>
      <c r="E203" s="427"/>
      <c r="F203" s="904"/>
      <c r="G203" s="904"/>
      <c r="H203" s="904"/>
      <c r="I203" s="904"/>
      <c r="J203" s="904"/>
      <c r="K203" s="904"/>
      <c r="L203" s="904"/>
      <c r="M203" s="904"/>
      <c r="N203" s="904"/>
      <c r="O203" s="904"/>
      <c r="P203" s="870"/>
      <c r="Q203" s="2"/>
    </row>
    <row r="204" spans="1:17" ht="18.75" customHeight="1" x14ac:dyDescent="0.3">
      <c r="A204" s="2"/>
      <c r="B204" s="909" t="s">
        <v>1253</v>
      </c>
      <c r="C204" s="868"/>
      <c r="D204" s="868"/>
      <c r="E204" s="910"/>
      <c r="F204" s="427"/>
      <c r="G204" s="910"/>
      <c r="H204" s="427"/>
      <c r="I204" s="1430"/>
      <c r="J204" s="427"/>
      <c r="K204" s="1430"/>
      <c r="L204" s="427"/>
      <c r="M204" s="1430"/>
      <c r="N204" s="427"/>
      <c r="O204" s="1430"/>
      <c r="P204" s="922"/>
      <c r="Q204" s="2"/>
    </row>
    <row r="205" spans="1:17" ht="18.75" customHeight="1" x14ac:dyDescent="0.3">
      <c r="A205" s="2"/>
      <c r="B205" s="909" t="s">
        <v>1254</v>
      </c>
      <c r="C205" s="868"/>
      <c r="D205" s="868"/>
      <c r="E205" s="910"/>
      <c r="F205" s="427"/>
      <c r="G205" s="910"/>
      <c r="H205" s="427"/>
      <c r="I205" s="1430"/>
      <c r="J205" s="427"/>
      <c r="K205" s="1430"/>
      <c r="L205" s="427"/>
      <c r="M205" s="1430"/>
      <c r="N205" s="427"/>
      <c r="O205" s="1430"/>
      <c r="P205" s="922"/>
      <c r="Q205" s="2"/>
    </row>
    <row r="206" spans="1:17" ht="18.75" customHeight="1" x14ac:dyDescent="0.3">
      <c r="A206" s="2"/>
      <c r="B206" s="909" t="s">
        <v>1255</v>
      </c>
      <c r="C206" s="868"/>
      <c r="D206" s="868"/>
      <c r="E206" s="910"/>
      <c r="F206" s="870"/>
      <c r="G206" s="910"/>
      <c r="H206" s="870"/>
      <c r="I206" s="1430"/>
      <c r="J206" s="870"/>
      <c r="K206" s="1430"/>
      <c r="L206" s="870"/>
      <c r="M206" s="1430"/>
      <c r="N206" s="870"/>
      <c r="O206" s="1430"/>
      <c r="P206" s="427"/>
      <c r="Q206" s="2"/>
    </row>
    <row r="207" spans="1:17" ht="18.75" customHeight="1" x14ac:dyDescent="0.3">
      <c r="A207" s="2"/>
      <c r="B207" s="909" t="s">
        <v>1246</v>
      </c>
      <c r="C207" s="868"/>
      <c r="D207" s="868"/>
      <c r="E207" s="910"/>
      <c r="F207" s="870"/>
      <c r="G207" s="910"/>
      <c r="H207" s="870"/>
      <c r="I207" s="1430"/>
      <c r="J207" s="870"/>
      <c r="K207" s="1430"/>
      <c r="L207" s="870"/>
      <c r="M207" s="1430"/>
      <c r="N207" s="870"/>
      <c r="O207" s="1430"/>
      <c r="P207" s="427"/>
      <c r="Q207" s="2"/>
    </row>
    <row r="208" spans="1:17" ht="18.75" customHeight="1" x14ac:dyDescent="0.3">
      <c r="A208" s="2"/>
      <c r="B208" s="909" t="s">
        <v>1260</v>
      </c>
      <c r="C208" s="868"/>
      <c r="D208" s="868"/>
      <c r="E208" s="910"/>
      <c r="F208" s="870"/>
      <c r="G208" s="910"/>
      <c r="H208" s="870"/>
      <c r="I208" s="1430"/>
      <c r="J208" s="870"/>
      <c r="K208" s="1430"/>
      <c r="L208" s="870"/>
      <c r="M208" s="1430"/>
      <c r="N208" s="870"/>
      <c r="O208" s="1430"/>
      <c r="P208" s="427"/>
      <c r="Q208" s="2"/>
    </row>
    <row r="209" spans="1:17" ht="18.75" customHeight="1" x14ac:dyDescent="0.25">
      <c r="A209" s="2"/>
      <c r="B209" s="1763"/>
      <c r="C209" s="1764"/>
      <c r="D209" s="1765"/>
      <c r="E209" s="2"/>
      <c r="F209" s="2"/>
      <c r="G209" s="2"/>
      <c r="H209" s="2"/>
      <c r="I209" s="2"/>
      <c r="J209" s="2"/>
      <c r="K209" s="2"/>
      <c r="L209" s="2"/>
      <c r="M209" s="2"/>
      <c r="N209" s="2"/>
      <c r="O209" s="2"/>
      <c r="P209" s="2"/>
      <c r="Q209" s="2"/>
    </row>
    <row r="210" spans="1:17" ht="7.5" customHeight="1" x14ac:dyDescent="0.3">
      <c r="A210" s="2"/>
      <c r="B210" s="889"/>
      <c r="C210" s="868"/>
      <c r="D210" s="868"/>
      <c r="E210" s="868"/>
      <c r="F210" s="2"/>
      <c r="G210" s="2"/>
      <c r="H210" s="2"/>
      <c r="I210" s="2"/>
      <c r="J210" s="2"/>
      <c r="K210" s="2"/>
      <c r="L210" s="2"/>
      <c r="M210" s="2"/>
      <c r="N210" s="2"/>
      <c r="O210" s="2"/>
      <c r="P210" s="427"/>
      <c r="Q210" s="2"/>
    </row>
    <row r="211" spans="1:17" ht="18.75" customHeight="1" x14ac:dyDescent="0.3">
      <c r="A211" s="2"/>
      <c r="B211" s="889" t="s">
        <v>55</v>
      </c>
      <c r="C211" s="868"/>
      <c r="D211" s="912"/>
      <c r="E211" s="927" t="s">
        <v>7</v>
      </c>
      <c r="F211" s="912"/>
      <c r="G211" s="927" t="s">
        <v>7</v>
      </c>
      <c r="H211" s="912"/>
      <c r="I211" s="927" t="s">
        <v>7</v>
      </c>
      <c r="J211" s="912"/>
      <c r="K211" s="927" t="s">
        <v>7</v>
      </c>
      <c r="L211" s="912"/>
      <c r="M211" s="927" t="s">
        <v>7</v>
      </c>
      <c r="N211" s="912"/>
      <c r="O211" s="927" t="s">
        <v>7</v>
      </c>
      <c r="P211" s="923"/>
      <c r="Q211" s="2"/>
    </row>
    <row r="212" spans="1:17" ht="18.75" customHeight="1" x14ac:dyDescent="0.25">
      <c r="A212" s="2"/>
      <c r="B212" s="889" t="s">
        <v>2208</v>
      </c>
      <c r="C212" s="913"/>
      <c r="D212" s="914" t="str">
        <f>IFERROR(VLOOKUP(E213,CurrencyDataTable[],2,FALSE),"")</f>
        <v/>
      </c>
      <c r="E212" s="915"/>
      <c r="F212" s="914" t="str">
        <f>IFERROR(VLOOKUP(G213,CurrencyDataTable[],2,FALSE),"")</f>
        <v/>
      </c>
      <c r="G212" s="915"/>
      <c r="H212" s="914" t="str">
        <f>IFERROR(VLOOKUP(I213,CurrencyDataTable[],2,FALSE),"")</f>
        <v/>
      </c>
      <c r="I212" s="1432"/>
      <c r="J212" s="914" t="str">
        <f>IFERROR(VLOOKUP(K213,CurrencyDataTable[],2,FALSE),"")</f>
        <v/>
      </c>
      <c r="K212" s="1432"/>
      <c r="L212" s="914" t="str">
        <f>IFERROR(VLOOKUP(M213,CurrencyDataTable[],2,FALSE),"")</f>
        <v/>
      </c>
      <c r="M212" s="1432"/>
      <c r="N212" s="914" t="str">
        <f>IFERROR(VLOOKUP(O213,CurrencyDataTable[],2,FALSE),"")</f>
        <v/>
      </c>
      <c r="O212" s="1432"/>
      <c r="P212" s="923"/>
      <c r="Q212" s="2"/>
    </row>
    <row r="213" spans="1:17" ht="18.75" customHeight="1" x14ac:dyDescent="0.3">
      <c r="A213" s="2"/>
      <c r="B213" s="889" t="s">
        <v>1238</v>
      </c>
      <c r="C213" s="868"/>
      <c r="D213" s="916"/>
      <c r="E213" s="917"/>
      <c r="F213" s="916"/>
      <c r="G213" s="917"/>
      <c r="H213" s="916"/>
      <c r="I213" s="1433"/>
      <c r="J213" s="916"/>
      <c r="K213" s="1433"/>
      <c r="L213" s="916"/>
      <c r="M213" s="1433"/>
      <c r="N213" s="916"/>
      <c r="O213" s="1433"/>
      <c r="P213" s="427"/>
      <c r="Q213" s="2"/>
    </row>
    <row r="214" spans="1:17" ht="18.75" customHeight="1" x14ac:dyDescent="0.3">
      <c r="A214" s="2"/>
      <c r="B214" s="889" t="s">
        <v>2118</v>
      </c>
      <c r="C214" s="868"/>
      <c r="D214" s="916"/>
      <c r="E214" s="918"/>
      <c r="F214" s="916"/>
      <c r="G214" s="918"/>
      <c r="H214" s="916"/>
      <c r="I214" s="1434"/>
      <c r="J214" s="916"/>
      <c r="K214" s="1434"/>
      <c r="L214" s="916"/>
      <c r="M214" s="1434"/>
      <c r="N214" s="916"/>
      <c r="O214" s="1434"/>
      <c r="P214" s="2"/>
      <c r="Q214" s="2"/>
    </row>
    <row r="215" spans="1:17" ht="18.75" customHeight="1" x14ac:dyDescent="0.3">
      <c r="A215" s="2"/>
      <c r="B215" s="889" t="s">
        <v>1282</v>
      </c>
      <c r="C215" s="868"/>
      <c r="D215" s="919" t="s">
        <v>1239</v>
      </c>
      <c r="E215" s="921">
        <f>IFERROR(E212/E214,0)</f>
        <v>0</v>
      </c>
      <c r="F215" s="919" t="s">
        <v>1239</v>
      </c>
      <c r="G215" s="921">
        <f>IFERROR(G212/G214,0)</f>
        <v>0</v>
      </c>
      <c r="H215" s="919" t="s">
        <v>1239</v>
      </c>
      <c r="I215" s="921">
        <f>IFERROR(I212/I214,0)</f>
        <v>0</v>
      </c>
      <c r="J215" s="919" t="s">
        <v>1239</v>
      </c>
      <c r="K215" s="921">
        <f>IFERROR(K212/K214,0)</f>
        <v>0</v>
      </c>
      <c r="L215" s="919" t="s">
        <v>1239</v>
      </c>
      <c r="M215" s="921">
        <f>IFERROR(M212/M214,0)</f>
        <v>0</v>
      </c>
      <c r="N215" s="919" t="s">
        <v>1239</v>
      </c>
      <c r="O215" s="921">
        <f>IFERROR(O212/O214,0)</f>
        <v>0</v>
      </c>
      <c r="P215" s="905"/>
      <c r="Q215" s="2"/>
    </row>
  </sheetData>
  <sheetProtection algorithmName="SHA-512" hashValue="MDiin/oI6TKIPghwLUEZ3OxckkzSEgvh+XC7B5Fs7zH0DkcWqhOBodk08ljzl09bRk3Il4rAXcNf0h8z1+oPCA==" saltValue="OyymYvs+hhNgZxaqiCUi4Q==" spinCount="100000" sheet="1" objects="1" scenarios="1" selectLockedCells="1"/>
  <dataConsolidate link="1"/>
  <mergeCells count="7">
    <mergeCell ref="B147:D147"/>
    <mergeCell ref="B164:D164"/>
    <mergeCell ref="B209:D209"/>
    <mergeCell ref="B56:M56"/>
    <mergeCell ref="B81:D81"/>
    <mergeCell ref="B112:D112"/>
    <mergeCell ref="B131:D131"/>
  </mergeCells>
  <conditionalFormatting sqref="E119">
    <cfRule type="cellIs" dxfId="35" priority="21" operator="equal">
      <formula>"Insufficient funds"</formula>
    </cfRule>
    <cfRule type="cellIs" dxfId="34" priority="22" operator="equal">
      <formula>"OK"</formula>
    </cfRule>
  </conditionalFormatting>
  <conditionalFormatting sqref="O119">
    <cfRule type="cellIs" dxfId="33" priority="19" operator="equal">
      <formula>"Insufficient funds"</formula>
    </cfRule>
    <cfRule type="cellIs" dxfId="32" priority="20" operator="equal">
      <formula>"OK"</formula>
    </cfRule>
  </conditionalFormatting>
  <conditionalFormatting sqref="O12:O13 O202:O215 O194:O198 O187:O191 O180:O184 O173:O177 O157:O170 O141:O153 O125:O137 O108:O119 O93:O102 O77:O87 O58:O71 O36:O52">
    <cfRule type="expression" dxfId="31" priority="18" stopIfTrue="1">
      <formula>FCCShowApplicant6=FALSE</formula>
    </cfRule>
  </conditionalFormatting>
  <conditionalFormatting sqref="N202:N215 N194:N198 N187:N191 N180:N184 N173:N177 N157:N170 N141:N153 N125:N137 N108:N119 N93:N102 N77:N87 N58:N71 N36:N52">
    <cfRule type="expression" dxfId="30" priority="17">
      <formula>FCCShowApplicant6=FALSE</formula>
    </cfRule>
  </conditionalFormatting>
  <conditionalFormatting sqref="M119">
    <cfRule type="cellIs" dxfId="29" priority="15" operator="equal">
      <formula>"Insufficient funds"</formula>
    </cfRule>
    <cfRule type="cellIs" dxfId="28" priority="16" operator="equal">
      <formula>"OK"</formula>
    </cfRule>
  </conditionalFormatting>
  <conditionalFormatting sqref="M12:M13 M202:M215 M194:M198 M187:M191 M180:M184 M173:M177 M157:M170 M141:M153 M125:M137 M108:M119 M93:M102 M77:M87 M58:M71 M36:M52">
    <cfRule type="expression" dxfId="27" priority="14" stopIfTrue="1">
      <formula>FCCShowApplicant5=FALSE</formula>
    </cfRule>
  </conditionalFormatting>
  <conditionalFormatting sqref="L202:L215 L194:L198 L187:L191 L180:L184 L173:L177 L157:L170 L141:L153 L125:L137 L108:L119 L93:L102 L77:L87 L58:L71 L36:L52">
    <cfRule type="expression" dxfId="26" priority="13">
      <formula>FCCShowApplicant5=FALSE</formula>
    </cfRule>
  </conditionalFormatting>
  <conditionalFormatting sqref="K119">
    <cfRule type="cellIs" dxfId="25" priority="11" operator="equal">
      <formula>"Insufficient funds"</formula>
    </cfRule>
    <cfRule type="cellIs" dxfId="24" priority="12" operator="equal">
      <formula>"OK"</formula>
    </cfRule>
  </conditionalFormatting>
  <conditionalFormatting sqref="K12:K13 K202:K215 K194:K198 K187:K191 K180:K184 K173:K177 K157:K170 K141:K153 K125:K137 K108:K119 K93:K102 K77:K87 K58:K71 K36:K52">
    <cfRule type="expression" dxfId="23" priority="10" stopIfTrue="1">
      <formula>FCCShowApplicant4=FALSE</formula>
    </cfRule>
  </conditionalFormatting>
  <conditionalFormatting sqref="J202:J215 J194:J198 J187:J191 J180:J184 J173:J177 J157:J170 J141:J153 J125:J137 J108:J119 J93:J102 J77:J87 J58:J71 J36:J52">
    <cfRule type="expression" dxfId="22" priority="9">
      <formula>FCCShowApplicant4=FALSE</formula>
    </cfRule>
  </conditionalFormatting>
  <conditionalFormatting sqref="I119">
    <cfRule type="cellIs" dxfId="21" priority="7" operator="equal">
      <formula>"Insufficient funds"</formula>
    </cfRule>
    <cfRule type="cellIs" dxfId="20" priority="8" operator="equal">
      <formula>"OK"</formula>
    </cfRule>
  </conditionalFormatting>
  <conditionalFormatting sqref="I12:I13 I202:I215 I194:I198 I187:I191 I180:I184 I173:I177 I157:I170 I141:I153 I125:I137 I108:I119 I93:I102 I77:I87 I58:I71 I36:I52">
    <cfRule type="expression" dxfId="19" priority="6" stopIfTrue="1">
      <formula>FCCShowApplicant3=FALSE</formula>
    </cfRule>
  </conditionalFormatting>
  <conditionalFormatting sqref="H202:H215 H194:H198 H187:H191 H180:H184 H173:H177 H157:H170 H141:H153 H125:H137 H108:H119 H93:H102 H77:H87 H58:H71 H36:H52">
    <cfRule type="expression" dxfId="18" priority="5">
      <formula>FCCShowApplicant3=FALSE</formula>
    </cfRule>
  </conditionalFormatting>
  <conditionalFormatting sqref="G119">
    <cfRule type="cellIs" dxfId="17" priority="3" operator="equal">
      <formula>"Insufficient funds"</formula>
    </cfRule>
    <cfRule type="cellIs" dxfId="16" priority="4" operator="equal">
      <formula>"OK"</formula>
    </cfRule>
  </conditionalFormatting>
  <conditionalFormatting sqref="G12:G13 G202:G215 G194:G198 G187:G191 G180:G184 G173:G177 G157:G170 G141:G153 G125:G137 G108:G119 G93:G102 G77:G87 G58:G71 G36:G52">
    <cfRule type="expression" dxfId="15" priority="2" stopIfTrue="1">
      <formula>FCCShowApplicant2=FALSE</formula>
    </cfRule>
  </conditionalFormatting>
  <conditionalFormatting sqref="F202:F215 F194:F198 F187:F191 F180:F184 F173:F177 F157:F170 F141:F153 F125:F137 F108:F119 F93:F102 F77:F87 F58:F71 F36:F52">
    <cfRule type="expression" dxfId="14" priority="1">
      <formula>FCCShowApplicant2=FALSE</formula>
    </cfRule>
  </conditionalFormatting>
  <dataValidations count="5">
    <dataValidation type="list" allowBlank="1" showInputMessage="1" showErrorMessage="1" sqref="C12" xr:uid="{34637F72-B731-4124-8F9C-0FF03672EB6C}">
      <formula1>"1,2,3,4,5,6"</formula1>
    </dataValidation>
    <dataValidation type="list" allowBlank="1" showInputMessage="1" showErrorMessage="1" sqref="G38:G40 E38:E40 I38:I40 K38:K40 M38:M40 O38:O40 E60:E62 G60:G62 I60:I62 K60:K62 M60:M62 O60:O62 G79:G80 I79:I80 K79:K80 M79:M80 O79:O80 E110:E111 E95:E96 G95:G96 I95:I96 K95:K96 M95:M96 O95:O96 G110:G111 I110:I111 O110:O111 K110:K111 M110:M111 E79:E80 E127:E130 G127:G130 I127:I130 K127:K130 M127:M130 O127:O130 E143:E146 G143:G146 I143:I146 K143:K146 M143:M146 O143:O146 E159:E163 G159:G163 I159:I163 K159:K163 M159:M163 O159:O163 E204:E208 G204:G208 I204:I208 K204:K208 M204:M208 O204:O208" xr:uid="{7C0546BD-483D-40C5-9DBC-0802EBF61150}">
      <formula1>"Yes,No"</formula1>
    </dataValidation>
    <dataValidation type="list" allowBlank="1" showInputMessage="1" showErrorMessage="1" sqref="E42 G42 I42 K42 M42 O42 E64 G64 I64 K64 M64 O64 E83 G83 I83 K83 M83 O83 E98 G98 I98 K98 M98 O98" xr:uid="{F6AD0767-06EE-465E-9F77-2862E4DA2535}">
      <formula1>INDIRECT("IncomeCycleData[IncomeCycle]")</formula1>
    </dataValidation>
    <dataValidation type="list" allowBlank="1" showInputMessage="1" showErrorMessage="1" sqref="G20" xr:uid="{6E35F65A-4560-4BE6-AF25-5E87063F7E74}">
      <formula1>INDIRECT("SEStateTable[StateCode]")</formula1>
    </dataValidation>
    <dataValidation type="list" allowBlank="1" showInputMessage="1" showErrorMessage="1" sqref="O69 E47 G47 I47 K47 M47 O47 E69 G69 I69 K69 M69 O85 E85 G85 I85 K85 M85 O100 E100 G100 I100 K100 M100 O116 E116 G116 I116 K116 M116 O135 E135 G135 I135 K135 M135 O151 E151 G151 I151 K151 M151 O213 E213 G213 I213 K213 M213 O168 E168 G168 I168 K168 M168 O175 E175 G175 I175 K175 M175 O182 E182 G182 I182 K182 M182 O189 E189 G189 I189 K189 M189 O196 E196 G196 I196 K196 M196" xr:uid="{63055FBF-07A1-4A1C-A838-F3D19F927359}">
      <formula1>INDIRECT("CurrencyDataTable[CurrencyDisplay]")</formula1>
    </dataValidation>
  </dataValidations>
  <pageMargins left="0.25" right="0.25" top="0.75" bottom="0.75" header="0.3" footer="0.3"/>
  <pageSetup paperSize="9" scale="39" fitToHeight="2"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CalculatorLVR">
    <pageSetUpPr fitToPage="1"/>
  </sheetPr>
  <dimension ref="A1:O23"/>
  <sheetViews>
    <sheetView showGridLines="0" showRowColHeaders="0" zoomScaleNormal="100" workbookViewId="0">
      <selection activeCell="D14" sqref="D14"/>
    </sheetView>
  </sheetViews>
  <sheetFormatPr defaultColWidth="2.81640625" defaultRowHeight="16" customHeight="1" x14ac:dyDescent="0.25"/>
  <cols>
    <col min="1" max="2" width="2.81640625" customWidth="1"/>
    <col min="3" max="3" width="8.81640625" customWidth="1"/>
    <col min="4" max="4" width="20" customWidth="1"/>
    <col min="5" max="5" width="2.81640625" customWidth="1"/>
    <col min="6" max="6" width="20" customWidth="1"/>
    <col min="7" max="7" width="8.54296875" customWidth="1"/>
    <col min="8" max="9" width="2.81640625" customWidth="1"/>
    <col min="10" max="10" width="17.1796875" customWidth="1"/>
    <col min="11" max="11" width="20" customWidth="1"/>
    <col min="12" max="12" width="2.81640625" customWidth="1"/>
    <col min="13" max="13" width="20" customWidth="1"/>
    <col min="14" max="14" width="2.81640625" customWidth="1"/>
    <col min="15" max="15" width="58.54296875" customWidth="1"/>
  </cols>
  <sheetData>
    <row r="1" spans="1:15" ht="15" customHeight="1" x14ac:dyDescent="0.25">
      <c r="A1" s="8"/>
      <c r="B1" s="8"/>
      <c r="C1" s="8"/>
      <c r="D1" s="47"/>
      <c r="E1" s="47"/>
      <c r="F1" s="47"/>
      <c r="G1" s="47"/>
      <c r="H1" s="47"/>
      <c r="I1" s="47"/>
      <c r="J1" s="47"/>
      <c r="K1" s="47"/>
      <c r="L1" s="47"/>
      <c r="M1" s="48"/>
      <c r="N1" s="48"/>
      <c r="O1" s="48"/>
    </row>
    <row r="2" spans="1:15" ht="15" customHeight="1" x14ac:dyDescent="0.25">
      <c r="A2" s="8"/>
      <c r="B2" s="8"/>
      <c r="C2" s="8"/>
      <c r="D2" s="47"/>
      <c r="E2" s="47"/>
      <c r="F2" s="47"/>
      <c r="G2" s="47"/>
      <c r="H2" s="47"/>
      <c r="I2" s="47"/>
      <c r="J2" s="47"/>
      <c r="K2" s="47"/>
      <c r="L2" s="47"/>
      <c r="M2" s="48"/>
      <c r="N2" s="48"/>
      <c r="O2" s="48"/>
    </row>
    <row r="3" spans="1:15" ht="15" customHeight="1" x14ac:dyDescent="0.25">
      <c r="A3" s="8"/>
      <c r="B3" s="8"/>
      <c r="C3" s="8"/>
      <c r="D3" s="47"/>
      <c r="E3" s="47"/>
      <c r="F3" s="47"/>
      <c r="G3" s="47"/>
      <c r="H3" s="47"/>
      <c r="I3" s="47"/>
      <c r="J3" s="47"/>
      <c r="K3" s="47"/>
      <c r="L3" s="47"/>
      <c r="M3" s="48"/>
      <c r="N3" s="48"/>
      <c r="O3" s="48"/>
    </row>
    <row r="4" spans="1:15" ht="15" customHeight="1" x14ac:dyDescent="0.25">
      <c r="A4" s="8"/>
      <c r="B4" s="8"/>
      <c r="C4" s="8"/>
      <c r="D4" s="47"/>
      <c r="E4" s="47"/>
      <c r="F4" s="47"/>
      <c r="G4" s="47"/>
      <c r="H4" s="47"/>
      <c r="I4" s="47"/>
      <c r="J4" s="47"/>
      <c r="K4" s="47"/>
      <c r="L4" s="47"/>
      <c r="M4" s="48"/>
      <c r="N4" s="48"/>
      <c r="O4" s="48"/>
    </row>
    <row r="5" spans="1:15" ht="22.5" customHeight="1" x14ac:dyDescent="0.25">
      <c r="A5" s="751"/>
      <c r="B5" s="753" t="s">
        <v>1316</v>
      </c>
      <c r="C5" s="751"/>
      <c r="D5" s="751"/>
      <c r="E5" s="752"/>
      <c r="F5" s="751"/>
      <c r="G5" s="752"/>
      <c r="H5" s="751"/>
      <c r="I5" s="752"/>
      <c r="J5" s="751"/>
      <c r="K5" s="751"/>
      <c r="L5" s="752"/>
      <c r="M5" s="751"/>
      <c r="N5" s="751"/>
      <c r="O5" s="752"/>
    </row>
    <row r="6" spans="1:15" ht="7.5" customHeight="1" x14ac:dyDescent="0.25">
      <c r="A6" s="39"/>
      <c r="B6" s="39"/>
      <c r="C6" s="39"/>
      <c r="D6" s="39"/>
      <c r="E6" s="39"/>
      <c r="F6" s="39"/>
      <c r="G6" s="39"/>
      <c r="H6" s="39"/>
      <c r="I6" s="38"/>
      <c r="J6" s="39"/>
      <c r="K6" s="106"/>
      <c r="L6" s="106"/>
      <c r="M6" s="106"/>
      <c r="N6" s="106"/>
      <c r="O6" s="38"/>
    </row>
    <row r="7" spans="1:15" ht="22.5" customHeight="1" x14ac:dyDescent="0.25">
      <c r="A7" s="39"/>
      <c r="B7" s="1767" t="s">
        <v>270</v>
      </c>
      <c r="C7" s="1768"/>
      <c r="D7" s="1768"/>
      <c r="E7" s="1768"/>
      <c r="F7" s="1768"/>
      <c r="G7" s="1769"/>
      <c r="H7" s="39"/>
      <c r="I7" s="1770" t="s">
        <v>269</v>
      </c>
      <c r="J7" s="1771"/>
      <c r="K7" s="1771"/>
      <c r="L7" s="1771"/>
      <c r="M7" s="1771"/>
      <c r="N7" s="1772"/>
      <c r="O7" s="38"/>
    </row>
    <row r="8" spans="1:15" ht="7.5" customHeight="1" x14ac:dyDescent="0.25">
      <c r="A8" s="34"/>
      <c r="B8" s="452"/>
      <c r="C8" s="453"/>
      <c r="D8" s="358"/>
      <c r="E8" s="358"/>
      <c r="F8" s="358"/>
      <c r="G8" s="281"/>
      <c r="H8" s="34"/>
      <c r="I8" s="282"/>
      <c r="J8" s="357"/>
      <c r="K8" s="358"/>
      <c r="L8" s="358"/>
      <c r="M8" s="358"/>
      <c r="N8" s="359"/>
      <c r="O8" s="34"/>
    </row>
    <row r="9" spans="1:15" ht="18.75" customHeight="1" x14ac:dyDescent="0.25">
      <c r="A9" s="34"/>
      <c r="B9" s="454"/>
      <c r="C9" s="106"/>
      <c r="D9" s="106"/>
      <c r="E9" s="106"/>
      <c r="F9" s="106"/>
      <c r="G9" s="361"/>
      <c r="H9" s="34"/>
      <c r="I9" s="360"/>
      <c r="J9" s="8"/>
      <c r="K9" s="366" t="s">
        <v>262</v>
      </c>
      <c r="L9" s="34"/>
      <c r="M9" s="741"/>
      <c r="N9" s="361"/>
      <c r="O9" s="34"/>
    </row>
    <row r="10" spans="1:15" ht="18.75" customHeight="1" x14ac:dyDescent="0.25">
      <c r="A10" s="34"/>
      <c r="B10" s="360"/>
      <c r="C10" s="34"/>
      <c r="D10" s="34"/>
      <c r="E10" s="34"/>
      <c r="F10" s="34"/>
      <c r="G10" s="361"/>
      <c r="H10" s="34"/>
      <c r="I10" s="360"/>
      <c r="J10" s="8"/>
      <c r="K10" s="364" t="s">
        <v>268</v>
      </c>
      <c r="L10" s="34"/>
      <c r="M10" s="1304"/>
      <c r="N10" s="361"/>
      <c r="O10" s="34"/>
    </row>
    <row r="11" spans="1:15" ht="7.5" customHeight="1" x14ac:dyDescent="0.25">
      <c r="A11" s="34"/>
      <c r="B11" s="360"/>
      <c r="C11" s="34"/>
      <c r="D11" s="34"/>
      <c r="E11" s="34"/>
      <c r="F11" s="34"/>
      <c r="G11" s="361"/>
      <c r="H11" s="34"/>
      <c r="I11" s="360"/>
      <c r="J11" s="34"/>
      <c r="K11" s="34"/>
      <c r="L11" s="34"/>
      <c r="M11" s="34"/>
      <c r="N11" s="361"/>
      <c r="O11" s="34"/>
    </row>
    <row r="12" spans="1:15" ht="7.5" customHeight="1" x14ac:dyDescent="0.25">
      <c r="A12" s="34"/>
      <c r="B12" s="360"/>
      <c r="C12" s="37"/>
      <c r="D12" s="1773" t="s">
        <v>263</v>
      </c>
      <c r="E12" s="34"/>
      <c r="F12" s="1773" t="s">
        <v>264</v>
      </c>
      <c r="G12" s="361"/>
      <c r="H12" s="34"/>
      <c r="I12" s="362"/>
      <c r="J12" s="34"/>
      <c r="K12" s="1773" t="s">
        <v>263</v>
      </c>
      <c r="L12" s="34"/>
      <c r="M12" s="1773" t="s">
        <v>264</v>
      </c>
      <c r="N12" s="361"/>
      <c r="O12" s="34"/>
    </row>
    <row r="13" spans="1:15" ht="7.5" customHeight="1" x14ac:dyDescent="0.25">
      <c r="A13" s="34"/>
      <c r="B13" s="360"/>
      <c r="C13" s="37"/>
      <c r="D13" s="1773"/>
      <c r="E13" s="34"/>
      <c r="F13" s="1774"/>
      <c r="G13" s="361"/>
      <c r="H13" s="34"/>
      <c r="I13" s="362"/>
      <c r="J13" s="34"/>
      <c r="K13" s="1773"/>
      <c r="L13" s="34"/>
      <c r="M13" s="1773"/>
      <c r="N13" s="361"/>
      <c r="O13" s="34"/>
    </row>
    <row r="14" spans="1:15" ht="18.75" customHeight="1" x14ac:dyDescent="0.25">
      <c r="A14" s="34"/>
      <c r="B14" s="360"/>
      <c r="C14" s="356">
        <v>1</v>
      </c>
      <c r="D14" s="1304"/>
      <c r="E14" s="34"/>
      <c r="F14" s="1304"/>
      <c r="G14" s="361"/>
      <c r="H14" s="34"/>
      <c r="I14" s="363"/>
      <c r="J14" s="356">
        <v>1</v>
      </c>
      <c r="K14" s="1304"/>
      <c r="L14" s="34"/>
      <c r="M14" s="1304"/>
      <c r="N14" s="361"/>
      <c r="O14" s="34"/>
    </row>
    <row r="15" spans="1:15" ht="18.75" customHeight="1" x14ac:dyDescent="0.25">
      <c r="A15" s="34"/>
      <c r="B15" s="360"/>
      <c r="C15" s="356">
        <v>2</v>
      </c>
      <c r="D15" s="1304"/>
      <c r="E15" s="34"/>
      <c r="F15" s="1304"/>
      <c r="G15" s="361"/>
      <c r="H15" s="34"/>
      <c r="I15" s="363"/>
      <c r="J15" s="356">
        <v>2</v>
      </c>
      <c r="K15" s="1304"/>
      <c r="L15" s="34"/>
      <c r="M15" s="1304"/>
      <c r="N15" s="361"/>
      <c r="O15" s="34"/>
    </row>
    <row r="16" spans="1:15" ht="18.75" customHeight="1" x14ac:dyDescent="0.25">
      <c r="A16" s="34"/>
      <c r="B16" s="360"/>
      <c r="C16" s="356">
        <v>3</v>
      </c>
      <c r="D16" s="1304"/>
      <c r="E16" s="34"/>
      <c r="F16" s="1304"/>
      <c r="G16" s="361"/>
      <c r="H16" s="34"/>
      <c r="I16" s="363"/>
      <c r="J16" s="356">
        <v>3</v>
      </c>
      <c r="K16" s="1304"/>
      <c r="L16" s="34"/>
      <c r="M16" s="1304"/>
      <c r="N16" s="361"/>
      <c r="O16" s="34"/>
    </row>
    <row r="17" spans="1:15" ht="18.75" customHeight="1" x14ac:dyDescent="0.25">
      <c r="A17" s="34"/>
      <c r="B17" s="360"/>
      <c r="C17" s="356">
        <v>4</v>
      </c>
      <c r="D17" s="1304"/>
      <c r="E17" s="34"/>
      <c r="F17" s="1304"/>
      <c r="G17" s="361"/>
      <c r="H17" s="34"/>
      <c r="I17" s="363"/>
      <c r="J17" s="356">
        <v>4</v>
      </c>
      <c r="K17" s="1304"/>
      <c r="L17" s="34"/>
      <c r="M17" s="1304"/>
      <c r="N17" s="361"/>
      <c r="O17" s="34"/>
    </row>
    <row r="18" spans="1:15" ht="18.75" customHeight="1" x14ac:dyDescent="0.25">
      <c r="A18" s="34"/>
      <c r="B18" s="360"/>
      <c r="C18" s="356">
        <v>5</v>
      </c>
      <c r="D18" s="1304"/>
      <c r="E18" s="34"/>
      <c r="F18" s="1304"/>
      <c r="G18" s="361"/>
      <c r="H18" s="34"/>
      <c r="I18" s="363"/>
      <c r="J18" s="356">
        <v>5</v>
      </c>
      <c r="K18" s="1304"/>
      <c r="L18" s="34"/>
      <c r="M18" s="1304"/>
      <c r="N18" s="361"/>
      <c r="O18" s="34"/>
    </row>
    <row r="19" spans="1:15" ht="18.75" customHeight="1" x14ac:dyDescent="0.25">
      <c r="A19" s="34"/>
      <c r="B19" s="362"/>
      <c r="C19" s="365" t="s">
        <v>265</v>
      </c>
      <c r="D19" s="1305">
        <f>SUM(D14,D15,D16,D17,D18)</f>
        <v>0</v>
      </c>
      <c r="E19" s="34"/>
      <c r="F19" s="1305">
        <f>SUM(F14,F15,F16,F17,F18)</f>
        <v>0</v>
      </c>
      <c r="G19" s="361"/>
      <c r="H19" s="34"/>
      <c r="I19" s="363"/>
      <c r="J19" s="368" t="s">
        <v>265</v>
      </c>
      <c r="K19" s="1305">
        <f>SUM(K14,K15,K16,K17,K18)</f>
        <v>0</v>
      </c>
      <c r="L19" s="34"/>
      <c r="M19" s="1305">
        <f>SUM(M14,M15,M16,M17,M18)</f>
        <v>0</v>
      </c>
      <c r="N19" s="361"/>
      <c r="O19" s="34"/>
    </row>
    <row r="20" spans="1:15" ht="7.5" customHeight="1" x14ac:dyDescent="0.3">
      <c r="A20" s="34"/>
      <c r="B20" s="360"/>
      <c r="C20" s="355"/>
      <c r="D20" s="37"/>
      <c r="E20" s="34"/>
      <c r="F20" s="37"/>
      <c r="G20" s="361"/>
      <c r="H20" s="34"/>
      <c r="I20" s="360"/>
      <c r="J20" s="37"/>
      <c r="K20" s="34"/>
      <c r="L20" s="34"/>
      <c r="M20" s="34"/>
      <c r="N20" s="361"/>
      <c r="O20" s="34"/>
    </row>
    <row r="21" spans="1:15" ht="18.75" customHeight="1" x14ac:dyDescent="0.25">
      <c r="A21" s="34"/>
      <c r="B21" s="360"/>
      <c r="C21" s="367" t="s">
        <v>176</v>
      </c>
      <c r="D21" s="995">
        <f>IFERROR(ROUNDDOWN(D19/F19,4),0)</f>
        <v>0</v>
      </c>
      <c r="E21" s="34"/>
      <c r="F21" s="34"/>
      <c r="G21" s="361"/>
      <c r="H21" s="34"/>
      <c r="I21" s="360"/>
      <c r="J21" s="8"/>
      <c r="K21" s="364" t="s">
        <v>266</v>
      </c>
      <c r="L21" s="34"/>
      <c r="M21" s="1305">
        <f>(M19*M9)-K19</f>
        <v>0</v>
      </c>
      <c r="N21" s="361"/>
      <c r="O21" s="34"/>
    </row>
    <row r="22" spans="1:15" ht="18.75" customHeight="1" x14ac:dyDescent="0.25">
      <c r="A22" s="34"/>
      <c r="B22" s="362"/>
      <c r="C22" s="37"/>
      <c r="D22" s="37"/>
      <c r="E22" s="34"/>
      <c r="F22" s="34"/>
      <c r="G22" s="361"/>
      <c r="H22" s="34"/>
      <c r="I22" s="360"/>
      <c r="J22" s="8"/>
      <c r="K22" s="364" t="s">
        <v>267</v>
      </c>
      <c r="L22" s="301"/>
      <c r="M22" s="1305">
        <f>M10-M21</f>
        <v>0</v>
      </c>
      <c r="N22" s="361"/>
      <c r="O22" s="34"/>
    </row>
    <row r="23" spans="1:15" ht="16" customHeight="1" x14ac:dyDescent="0.25">
      <c r="B23" s="713"/>
      <c r="C23" s="273"/>
      <c r="D23" s="273"/>
      <c r="E23" s="273"/>
      <c r="F23" s="273"/>
      <c r="G23" s="714"/>
      <c r="I23" s="713"/>
      <c r="J23" s="273"/>
      <c r="K23" s="273"/>
      <c r="L23" s="273"/>
      <c r="M23" s="273"/>
      <c r="N23" s="714"/>
    </row>
  </sheetData>
  <sheetProtection algorithmName="SHA-512" hashValue="fQ7ayMaYGm85svVZ0bmkdkke3/Cq22uvJBJsIBAKuJ1qcIb3OfUf9eAYHaZZ9Y3/Tx8g/j0dZcjmlZ24HrHWcg==" saltValue="WdGDmmWmSanTlEXmu00mhQ==" spinCount="100000" sheet="1" objects="1" scenarios="1" selectLockedCells="1"/>
  <dataConsolidate link="1"/>
  <mergeCells count="6">
    <mergeCell ref="B7:G7"/>
    <mergeCell ref="I7:N7"/>
    <mergeCell ref="F12:F13"/>
    <mergeCell ref="D12:D13"/>
    <mergeCell ref="M12:M13"/>
    <mergeCell ref="K12:K13"/>
  </mergeCells>
  <dataValidations count="1">
    <dataValidation type="decimal" operator="greaterThanOrEqual" allowBlank="1" showInputMessage="1" showErrorMessage="1" sqref="K14 M18 D18 F15 F17 F16 D15 D17 D16 F14 F18 D14 K18 M14 M16 M15 K15 K17 K16 M17 M10 M9" xr:uid="{00000000-0002-0000-0600-000000000000}">
      <formula1>0</formula1>
    </dataValidation>
  </dataValidations>
  <pageMargins left="0.25" right="0.25" top="0.75" bottom="0.75" header="0.3" footer="0.3"/>
  <pageSetup paperSize="9" scale="52"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36B56-4D0C-4AFA-83DB-352F4A659087}">
  <sheetPr codeName="shCalculatorRepaymentPause">
    <pageSetUpPr fitToPage="1"/>
  </sheetPr>
  <dimension ref="A1:AZ1025"/>
  <sheetViews>
    <sheetView showGridLines="0" showRowColHeaders="0" zoomScaleNormal="100" workbookViewId="0">
      <selection activeCell="C12" sqref="C12"/>
    </sheetView>
  </sheetViews>
  <sheetFormatPr defaultRowHeight="12.75" customHeight="1" x14ac:dyDescent="0.25"/>
  <cols>
    <col min="1" max="1" width="2.81640625" customWidth="1"/>
    <col min="2" max="2" width="33" customWidth="1"/>
    <col min="3" max="3" width="22.81640625" customWidth="1"/>
    <col min="4" max="4" width="22" customWidth="1"/>
    <col min="5" max="5" width="2.81640625" customWidth="1"/>
    <col min="6" max="6" width="28.1796875" bestFit="1" customWidth="1"/>
    <col min="7" max="7" width="22.81640625" customWidth="1"/>
    <col min="8" max="8" width="13.1796875" customWidth="1"/>
    <col min="9" max="9" width="2.81640625" customWidth="1"/>
    <col min="10" max="12" width="11.453125" customWidth="1"/>
    <col min="13" max="14" width="2.81640625" customWidth="1"/>
    <col min="16" max="16" width="23.1796875" hidden="1" customWidth="1"/>
    <col min="17" max="18" width="17.1796875" hidden="1" customWidth="1"/>
    <col min="19" max="19" width="20.54296875" hidden="1" customWidth="1"/>
    <col min="20" max="25" width="17.1796875" hidden="1" customWidth="1"/>
    <col min="26" max="26" width="9.1796875" hidden="1" customWidth="1"/>
    <col min="27" max="27" width="14.81640625" hidden="1" customWidth="1"/>
    <col min="28" max="28" width="9.1796875" hidden="1" customWidth="1"/>
    <col min="29" max="29" width="21.453125" hidden="1" customWidth="1"/>
    <col min="30" max="30" width="9.1796875" hidden="1" customWidth="1"/>
    <col min="31" max="31" width="21.453125" hidden="1" customWidth="1"/>
    <col min="32" max="32" width="9.1796875" hidden="1" customWidth="1"/>
    <col min="33" max="33" width="20.26953125" hidden="1" customWidth="1"/>
    <col min="34" max="34" width="9.1796875" hidden="1" customWidth="1"/>
    <col min="35" max="35" width="23.453125" hidden="1" customWidth="1"/>
    <col min="36" max="36" width="9" hidden="1" customWidth="1"/>
    <col min="37" max="37" width="9.1796875" hidden="1" customWidth="1"/>
    <col min="38" max="38" width="14.81640625" hidden="1" customWidth="1"/>
    <col min="39" max="39" width="14.54296875" hidden="1" customWidth="1"/>
    <col min="40" max="40" width="9.1796875" hidden="1" customWidth="1"/>
    <col min="41" max="41" width="14.7265625" hidden="1" customWidth="1"/>
    <col min="42" max="52" width="9.1796875" hidden="1" customWidth="1"/>
  </cols>
  <sheetData>
    <row r="1" spans="1:42" ht="15" customHeight="1" x14ac:dyDescent="0.35">
      <c r="A1" s="8"/>
      <c r="B1" s="8"/>
      <c r="C1" s="8"/>
      <c r="E1" s="9"/>
      <c r="F1" s="47"/>
      <c r="G1" s="8"/>
      <c r="U1" s="1240"/>
      <c r="V1" s="1240"/>
      <c r="W1" s="1240"/>
      <c r="X1" s="1240"/>
      <c r="Y1" s="1240"/>
      <c r="Z1" s="1240"/>
      <c r="AA1" s="1240"/>
      <c r="AB1" s="1240"/>
      <c r="AC1" s="1240"/>
      <c r="AD1" s="1240"/>
      <c r="AE1" s="1240"/>
      <c r="AF1" s="1240"/>
      <c r="AG1" s="1240"/>
      <c r="AH1" s="1240"/>
      <c r="AI1" s="1240"/>
      <c r="AJ1" s="1240"/>
      <c r="AK1" s="1240"/>
      <c r="AL1" s="1240"/>
      <c r="AM1" s="1240"/>
      <c r="AN1" s="1240"/>
      <c r="AO1" s="1240"/>
      <c r="AP1" s="1240"/>
    </row>
    <row r="2" spans="1:42" ht="15" customHeight="1" x14ac:dyDescent="0.35">
      <c r="A2" s="8"/>
      <c r="B2" s="8"/>
      <c r="C2" s="8"/>
      <c r="D2" s="8"/>
      <c r="E2" s="9"/>
      <c r="F2" s="47"/>
      <c r="G2" s="8"/>
      <c r="U2" s="1240"/>
      <c r="V2" s="1240"/>
      <c r="W2" s="1240"/>
      <c r="X2" s="1240"/>
      <c r="Y2" s="1240"/>
      <c r="Z2" s="1240"/>
      <c r="AA2" s="1240"/>
      <c r="AB2" s="1240"/>
      <c r="AC2" s="1240"/>
      <c r="AD2" s="1240"/>
      <c r="AE2" s="1240"/>
      <c r="AF2" s="1240"/>
      <c r="AG2" s="1240"/>
      <c r="AH2" s="1240"/>
      <c r="AI2" s="1240"/>
      <c r="AJ2" s="1240"/>
      <c r="AK2" s="1240"/>
      <c r="AL2" s="1240"/>
      <c r="AM2" s="1240"/>
      <c r="AN2" s="1240"/>
      <c r="AO2" s="1240"/>
      <c r="AP2" s="1240"/>
    </row>
    <row r="3" spans="1:42" ht="15" customHeight="1" x14ac:dyDescent="0.35">
      <c r="A3" s="8"/>
      <c r="B3" s="8"/>
      <c r="C3" s="8"/>
      <c r="D3" s="8"/>
      <c r="E3" s="9"/>
      <c r="F3" s="47"/>
      <c r="G3" s="8"/>
      <c r="U3" s="1240"/>
      <c r="V3" s="1240"/>
      <c r="W3" s="1240"/>
      <c r="X3" s="1240"/>
      <c r="Y3" s="1240"/>
      <c r="Z3" s="1240"/>
      <c r="AA3" s="1240"/>
      <c r="AB3" s="1240"/>
      <c r="AC3" s="1240"/>
      <c r="AD3" s="1240"/>
      <c r="AE3" s="1240"/>
      <c r="AF3" s="1240"/>
      <c r="AG3" s="1240"/>
      <c r="AH3" s="1240"/>
      <c r="AI3" s="1240"/>
      <c r="AJ3" s="1240"/>
      <c r="AK3" s="1240"/>
      <c r="AL3" s="1240"/>
      <c r="AM3" s="1240"/>
      <c r="AN3" s="1240"/>
      <c r="AO3" s="1240"/>
      <c r="AP3" s="1240"/>
    </row>
    <row r="4" spans="1:42" ht="7.5" customHeight="1" x14ac:dyDescent="0.35">
      <c r="A4" s="8"/>
      <c r="B4" s="8"/>
      <c r="C4" s="8"/>
      <c r="D4" s="8"/>
      <c r="E4" s="9"/>
      <c r="F4" s="47"/>
      <c r="G4" s="8"/>
      <c r="U4" s="1240"/>
      <c r="V4" s="1240"/>
      <c r="W4" s="1240"/>
      <c r="X4" s="1240"/>
      <c r="Y4" s="1240"/>
      <c r="Z4" s="1240"/>
      <c r="AA4" s="1240"/>
      <c r="AB4" s="1240"/>
      <c r="AC4" s="1240"/>
      <c r="AD4" s="1240"/>
      <c r="AE4" s="1240"/>
      <c r="AF4" s="1240"/>
      <c r="AG4" s="1240"/>
      <c r="AH4" s="1240"/>
      <c r="AI4" s="1240"/>
      <c r="AJ4" s="1240"/>
      <c r="AK4" s="1240"/>
      <c r="AL4" s="1240"/>
      <c r="AM4" s="1240"/>
      <c r="AN4" s="1240"/>
      <c r="AO4" s="1240"/>
      <c r="AP4" s="1240"/>
    </row>
    <row r="5" spans="1:42" ht="7.5" customHeight="1" x14ac:dyDescent="0.35">
      <c r="A5" s="1234"/>
      <c r="B5" s="1235"/>
      <c r="C5" s="1234"/>
      <c r="D5" s="1234"/>
      <c r="E5" s="1234"/>
      <c r="F5" s="1234"/>
      <c r="G5" s="1234"/>
      <c r="H5" s="1234"/>
      <c r="I5" s="1234"/>
      <c r="J5" s="1234"/>
      <c r="K5" s="1234"/>
      <c r="L5" s="1234"/>
      <c r="M5" s="1234"/>
      <c r="N5" s="1234"/>
      <c r="O5" s="1235"/>
      <c r="P5" s="1235"/>
      <c r="Q5" s="1235"/>
      <c r="R5" s="1235"/>
      <c r="S5" s="1234"/>
      <c r="T5" s="1234"/>
      <c r="U5" s="1240"/>
      <c r="V5" s="1240"/>
      <c r="W5" s="1240"/>
      <c r="X5" s="1240"/>
      <c r="Y5" s="1240"/>
      <c r="Z5" s="1240"/>
      <c r="AA5" s="1240"/>
      <c r="AB5" s="1240"/>
      <c r="AC5" s="1240"/>
      <c r="AD5" s="1240"/>
      <c r="AE5" s="1240"/>
      <c r="AF5" s="1240"/>
      <c r="AG5" s="1240"/>
      <c r="AH5" s="1240"/>
      <c r="AI5" s="1240"/>
      <c r="AJ5" s="1240"/>
      <c r="AK5" s="1240"/>
      <c r="AL5" s="1240"/>
      <c r="AM5" s="1240"/>
      <c r="AN5" s="1240"/>
      <c r="AO5" s="1240"/>
      <c r="AP5" s="1240"/>
    </row>
    <row r="6" spans="1:42" ht="14.5" x14ac:dyDescent="0.35">
      <c r="A6" s="1234"/>
      <c r="B6" s="1236" t="s">
        <v>1123</v>
      </c>
      <c r="C6" s="1237" t="s">
        <v>1124</v>
      </c>
      <c r="D6" s="1234"/>
      <c r="H6" s="1234"/>
      <c r="I6" s="1234"/>
      <c r="J6" s="1234"/>
      <c r="K6" s="1234"/>
      <c r="L6" s="1235"/>
      <c r="M6" s="1234"/>
      <c r="N6" s="1234"/>
      <c r="O6" s="1235"/>
      <c r="P6" s="1235"/>
      <c r="Q6" s="1235"/>
      <c r="R6" s="1235"/>
      <c r="S6" s="1234"/>
      <c r="T6" s="1234"/>
      <c r="U6" s="1240"/>
      <c r="V6" s="1240"/>
      <c r="W6" s="1240"/>
      <c r="X6" s="1240"/>
      <c r="Y6" s="1240"/>
      <c r="Z6" s="1240"/>
      <c r="AA6" s="1240"/>
      <c r="AB6" s="1240"/>
      <c r="AC6" s="1240"/>
      <c r="AD6" s="1240"/>
      <c r="AE6" s="1240"/>
      <c r="AF6" s="1240"/>
      <c r="AG6" s="1240"/>
      <c r="AH6" s="1240"/>
      <c r="AI6" s="1240"/>
      <c r="AJ6" s="1240"/>
      <c r="AK6" s="1240"/>
      <c r="AL6" s="1240"/>
      <c r="AM6" s="1240"/>
      <c r="AN6" s="1240"/>
      <c r="AO6" s="1240"/>
      <c r="AP6" s="1240"/>
    </row>
    <row r="7" spans="1:42" ht="14.5" x14ac:dyDescent="0.35">
      <c r="A7" s="1234"/>
      <c r="B7" s="1236" t="str">
        <f>SCAUserID</f>
        <v>craig</v>
      </c>
      <c r="C7" s="1238">
        <f ca="1">TODAY()</f>
        <v>45714</v>
      </c>
      <c r="D7" s="1234"/>
      <c r="H7" s="1234"/>
      <c r="I7" s="1234"/>
      <c r="J7" s="1234"/>
      <c r="K7" s="1234"/>
      <c r="L7" s="1235"/>
      <c r="M7" s="1239" t="b">
        <f>NOT(OR(ISBLANK(LOCLMIFlag),AND(LOCLMIFlag="Yes",OR(ISBLANK(LOCLMICapitalisedPremium),ISBLANK(LOCLMIPolicyAssetCollateralAnswer),ISBLANK(LOCLMIPolicyFamilyGuaranteeAnswer),ISBLANK(LOCLMIPolicyNonApplicantBorrowerAnswer))),AND(LOCBridgingLoanFlag="Yes",OR(ISBLANK(LOCBridgingLoanAmount),ISBLANK(LOCBridgingLoanMonthlyFee),ISBLANK(LOCBridgingLoanRate)))))</f>
        <v>0</v>
      </c>
      <c r="N7" s="1239"/>
      <c r="O7" s="1234"/>
      <c r="P7" s="1234"/>
      <c r="Q7" s="1235"/>
      <c r="R7" s="1235"/>
      <c r="S7" s="1234"/>
      <c r="T7" s="1234"/>
      <c r="U7" s="1240"/>
      <c r="V7" s="1240"/>
      <c r="W7" s="1240"/>
      <c r="X7" s="1240"/>
      <c r="Y7" s="1240"/>
      <c r="Z7" s="1240"/>
      <c r="AA7" s="1240"/>
      <c r="AB7" s="1240"/>
      <c r="AC7" s="1240"/>
      <c r="AD7" s="1240"/>
      <c r="AE7" s="1240"/>
      <c r="AF7" s="1240"/>
      <c r="AG7" s="1240"/>
      <c r="AH7" s="1240"/>
      <c r="AI7" s="1240"/>
      <c r="AJ7" s="1240"/>
      <c r="AK7" s="1240"/>
      <c r="AL7" s="1240"/>
      <c r="AM7" s="1240"/>
      <c r="AN7" s="1240"/>
      <c r="AO7" s="1240"/>
      <c r="AP7" s="1240"/>
    </row>
    <row r="8" spans="1:42" ht="7.5" customHeight="1" x14ac:dyDescent="0.35">
      <c r="A8" s="1234"/>
      <c r="B8" s="1234"/>
      <c r="C8" s="1234"/>
      <c r="D8" s="1234"/>
      <c r="E8" s="1234"/>
      <c r="F8" s="1234"/>
      <c r="G8" s="1234"/>
      <c r="H8" s="1234"/>
      <c r="I8" s="1234"/>
      <c r="J8" s="1234"/>
      <c r="K8" s="1234"/>
      <c r="L8" s="1234"/>
      <c r="M8" s="1234"/>
      <c r="N8" s="1234"/>
      <c r="O8" s="1234"/>
      <c r="P8" s="1234"/>
      <c r="Q8" s="1235"/>
      <c r="R8" s="1235"/>
      <c r="S8" s="1234"/>
      <c r="T8" s="1234"/>
      <c r="U8" s="1240"/>
      <c r="V8" s="1240"/>
      <c r="W8" s="1240"/>
      <c r="X8" s="1240"/>
      <c r="Y8" s="1240"/>
      <c r="Z8" s="1240"/>
      <c r="AA8" s="1240"/>
      <c r="AB8" s="1240"/>
      <c r="AC8" s="1240"/>
      <c r="AD8" s="1240"/>
      <c r="AE8" s="1240"/>
      <c r="AF8" s="1240"/>
      <c r="AG8" s="1240"/>
      <c r="AH8" s="1240"/>
      <c r="AI8" s="1240"/>
      <c r="AJ8" s="1240"/>
      <c r="AK8" s="1240"/>
      <c r="AL8" s="1240"/>
      <c r="AM8" s="1240"/>
      <c r="AN8" s="1240"/>
      <c r="AO8" s="1240"/>
      <c r="AP8" s="1240"/>
    </row>
    <row r="9" spans="1:42" ht="22.5" customHeight="1" x14ac:dyDescent="0.35">
      <c r="A9" s="749"/>
      <c r="B9" s="224" t="s">
        <v>2245</v>
      </c>
      <c r="C9" s="224"/>
      <c r="D9" s="224"/>
      <c r="E9" s="224"/>
      <c r="F9" s="224"/>
      <c r="G9" s="750"/>
      <c r="H9" s="156"/>
      <c r="I9" s="156"/>
      <c r="J9" s="156"/>
      <c r="K9" s="156"/>
      <c r="L9" s="156"/>
      <c r="M9" s="156"/>
      <c r="N9" s="156"/>
      <c r="U9" s="1240"/>
      <c r="V9" s="1240"/>
      <c r="W9" s="1240"/>
      <c r="X9" s="1240"/>
      <c r="Y9" s="1240"/>
      <c r="Z9" s="1240"/>
      <c r="AA9" s="1240"/>
      <c r="AB9" s="1240"/>
      <c r="AC9" s="1240"/>
      <c r="AD9" s="1240"/>
      <c r="AE9" s="1240"/>
      <c r="AF9" s="1240"/>
      <c r="AG9" s="1240"/>
      <c r="AH9" s="1240"/>
      <c r="AI9" s="1240"/>
      <c r="AJ9" s="1240"/>
      <c r="AK9" s="1240"/>
      <c r="AL9" s="1240"/>
      <c r="AM9" s="1240"/>
      <c r="AN9" s="1240"/>
      <c r="AO9" s="1240"/>
      <c r="AP9" s="1240"/>
    </row>
    <row r="10" spans="1:42" ht="18.75" customHeight="1" x14ac:dyDescent="0.35">
      <c r="A10" s="94"/>
      <c r="B10" s="1079" t="s">
        <v>2338</v>
      </c>
      <c r="C10" s="223"/>
      <c r="D10" s="223"/>
      <c r="E10" s="223"/>
      <c r="F10" s="223"/>
      <c r="G10" s="223"/>
      <c r="H10" s="223"/>
      <c r="I10" s="223"/>
      <c r="J10" s="223"/>
      <c r="K10" s="223"/>
      <c r="L10" s="223"/>
      <c r="M10" s="223"/>
      <c r="N10" s="223"/>
      <c r="O10" s="1240"/>
      <c r="P10" s="1240"/>
      <c r="Q10" s="1240"/>
      <c r="R10" s="1240"/>
      <c r="S10" s="1240"/>
      <c r="T10" s="1240"/>
      <c r="U10" s="1240"/>
      <c r="V10" s="1240"/>
      <c r="W10" s="1240"/>
      <c r="X10" s="1240"/>
      <c r="Y10" s="1240"/>
      <c r="Z10" s="1240"/>
      <c r="AA10" s="1240"/>
      <c r="AB10" s="1240"/>
      <c r="AC10" s="1240"/>
      <c r="AD10" s="1240"/>
      <c r="AE10" s="1240"/>
      <c r="AF10" s="1240"/>
      <c r="AG10" s="1240"/>
      <c r="AH10" s="1240"/>
      <c r="AI10" s="1240"/>
      <c r="AJ10" s="1240"/>
      <c r="AK10" s="1240"/>
      <c r="AL10" s="1240"/>
      <c r="AM10" s="1240"/>
      <c r="AN10" s="1240"/>
      <c r="AO10" s="1240"/>
      <c r="AP10" s="1240"/>
    </row>
    <row r="11" spans="1:42" ht="7.5" customHeight="1" x14ac:dyDescent="0.35">
      <c r="D11" s="1240"/>
      <c r="E11" s="1240"/>
      <c r="F11" s="1240"/>
      <c r="G11" s="1240"/>
      <c r="H11" s="1240"/>
      <c r="I11" s="1240"/>
      <c r="J11" s="1240"/>
      <c r="K11" s="1240"/>
      <c r="L11" s="1240"/>
      <c r="M11" s="1240"/>
      <c r="N11" s="1240"/>
      <c r="O11" s="1240"/>
      <c r="P11" s="1240"/>
      <c r="Q11" s="1240"/>
      <c r="R11" s="1240"/>
      <c r="S11" s="1240"/>
      <c r="T11" s="1240"/>
      <c r="U11" s="1240"/>
      <c r="V11" s="1240"/>
      <c r="W11" s="1240"/>
      <c r="X11" s="1240"/>
      <c r="Y11" s="1240"/>
      <c r="Z11" s="1240"/>
      <c r="AA11" s="1240"/>
      <c r="AB11" s="1240"/>
      <c r="AC11" s="1240"/>
      <c r="AD11" s="1240"/>
      <c r="AE11" s="1240"/>
      <c r="AF11" s="1240"/>
      <c r="AG11" s="1240"/>
      <c r="AH11" s="1240"/>
      <c r="AI11" s="1240"/>
      <c r="AJ11" s="1240"/>
      <c r="AK11" s="1240"/>
      <c r="AL11" s="1240"/>
      <c r="AM11" s="1240"/>
      <c r="AN11" s="1240"/>
      <c r="AO11" s="1240"/>
      <c r="AP11" s="1240"/>
    </row>
    <row r="12" spans="1:42" ht="18.75" customHeight="1" x14ac:dyDescent="0.35">
      <c r="A12" s="1240"/>
      <c r="B12" s="1241" t="s">
        <v>56</v>
      </c>
      <c r="C12" s="1300"/>
      <c r="D12" s="1242"/>
      <c r="E12" s="1242"/>
      <c r="F12" s="1241" t="s">
        <v>1369</v>
      </c>
      <c r="G12" s="1280">
        <v>0</v>
      </c>
      <c r="H12" s="1243" t="s">
        <v>2246</v>
      </c>
      <c r="I12" s="1242"/>
      <c r="J12" s="1242"/>
      <c r="K12" s="1242"/>
      <c r="L12" s="1242"/>
      <c r="M12" s="1240"/>
      <c r="N12" s="1240"/>
      <c r="O12" s="1240"/>
      <c r="P12" s="1246" t="s">
        <v>811</v>
      </c>
      <c r="Q12" s="1247" t="b">
        <f>AND(NOT(ISBLANK(RPCAccountNumber)),NOT(ISBLANK(RPCProduct)),NOT(ISBLANK(RPCInterestRate)),NOT(ISBLANK(RPCCurrentRepayment)),NOT(ISBLANK(RPCRepaymentFrequency)),NOT(ISBLANK(RPCBalanceEnquiryDate)),NOT(ISBLANK(RPCCurrentBalance)),NOT(ISBLANK(RPCNextPaymentTransferDate)),NOT(ISBLANK(RPCPauseStartOption)),NOT(ISBLANK(RPCPauseRepayment)),NOT(ISBLANK(RPCLoanPauseFee)),NOT(ISBLANK(RPCValuationFee)),NOT(ISBLANK(RPCLMIPremium)),NOT(ISBLANK(RPCPrepaymentAmount)),NOT(ISBLANK(RPCRemainingTerm)),NOT(ISBLANK(RPCPausePeriod)),NOT(ISBLANK(RPCChargeCycle)),NOT(ISBLANK(RPCRepaymentType)),NOT(ISBLANK(RPCAccountNumber)),IF(RPCRepaymentType="Interest only",NOT(ISBLANK(RPCInterestOnlyMaturityDate)),TRUE),IF(RPCRepaymentFrequency&lt;&gt;"Monthly",NOT(ISBLANK(RPCPaymentDay)),TRUE))</f>
        <v>0</v>
      </c>
      <c r="R12" s="1240"/>
      <c r="S12" s="1269" t="s">
        <v>2321</v>
      </c>
      <c r="T12" s="1247">
        <f>RPCNextPaymentTransferDate-1</f>
        <v>-1</v>
      </c>
      <c r="U12" s="1240"/>
      <c r="V12" s="1240"/>
      <c r="W12" s="1240"/>
      <c r="X12" s="1240"/>
      <c r="Y12" s="1240"/>
      <c r="Z12" s="1240"/>
      <c r="AA12" s="1240"/>
      <c r="AB12" s="1240"/>
      <c r="AC12" s="1240"/>
      <c r="AD12" s="1240"/>
      <c r="AE12" s="1240"/>
      <c r="AF12" s="1240"/>
      <c r="AG12" s="1240"/>
      <c r="AH12" s="1240"/>
      <c r="AI12" s="1240"/>
      <c r="AJ12" s="1240"/>
      <c r="AK12" s="1240"/>
      <c r="AL12" s="1240"/>
      <c r="AM12" s="1240"/>
      <c r="AN12" s="1240"/>
      <c r="AO12" s="1240"/>
      <c r="AP12" s="1240"/>
    </row>
    <row r="13" spans="1:42" ht="18.75" customHeight="1" x14ac:dyDescent="0.35">
      <c r="A13" s="1240"/>
      <c r="B13" s="1241" t="s">
        <v>2247</v>
      </c>
      <c r="C13" s="1300"/>
      <c r="E13" s="1242"/>
      <c r="F13" s="1244"/>
      <c r="G13" s="1242"/>
      <c r="H13" s="1242"/>
      <c r="I13" s="1240"/>
      <c r="J13" s="1240"/>
      <c r="K13" s="1240"/>
      <c r="L13" s="1240"/>
      <c r="M13" s="1240"/>
      <c r="N13" s="1240"/>
      <c r="O13" s="1240"/>
      <c r="P13" s="1240"/>
      <c r="Q13" s="1240"/>
      <c r="R13" s="1240"/>
      <c r="S13" s="1269" t="s">
        <v>2322</v>
      </c>
      <c r="T13" s="1247" t="e">
        <f>EDATE(T12,1)</f>
        <v>#NUM!</v>
      </c>
      <c r="U13" s="1240"/>
      <c r="V13" s="1240"/>
      <c r="W13" s="1240"/>
      <c r="X13" s="1240"/>
      <c r="Y13" s="1240"/>
      <c r="Z13" s="1240"/>
      <c r="AA13" s="1240"/>
      <c r="AB13" s="1240"/>
      <c r="AC13" s="1240"/>
      <c r="AD13" s="1240"/>
      <c r="AE13" s="1240"/>
      <c r="AF13" s="1240"/>
      <c r="AG13" s="1240"/>
      <c r="AH13" s="1240"/>
      <c r="AI13" s="1240"/>
      <c r="AJ13" s="1240"/>
      <c r="AK13" s="1240"/>
      <c r="AL13" s="1240"/>
      <c r="AM13" s="1240"/>
      <c r="AN13" s="1240"/>
      <c r="AO13" s="1240"/>
      <c r="AP13" s="1240"/>
    </row>
    <row r="14" spans="1:42" ht="18.75" customHeight="1" x14ac:dyDescent="0.35">
      <c r="A14" s="1240"/>
      <c r="B14" s="1241" t="s">
        <v>46</v>
      </c>
      <c r="C14" s="1279">
        <v>0</v>
      </c>
      <c r="D14" s="1242"/>
      <c r="E14" s="1242"/>
      <c r="F14" s="1241" t="s">
        <v>2248</v>
      </c>
      <c r="G14" s="1282"/>
      <c r="H14" s="1242"/>
      <c r="I14" s="1240"/>
      <c r="J14" s="1240"/>
      <c r="K14" s="1240"/>
      <c r="L14" s="1240"/>
      <c r="M14" s="1240"/>
      <c r="N14" s="1240"/>
      <c r="O14" s="1240"/>
      <c r="P14" s="1246" t="s">
        <v>2306</v>
      </c>
      <c r="Q14" s="1247">
        <f>IF(DAY(RPCBalanceEnquiryDate)&lt;RPCChargeCycle,DATE(YEAR(RPCBalanceEnquiryDate),MONTH(RPCBalanceEnquiryDate),RPCChargeCycle),DATE(YEAR(EDATE(RPCBalanceEnquiryDate,1)),MONTH(EDATE(RPCBalanceEnquiryDate,1)),RPCChargeCycle))</f>
        <v>0</v>
      </c>
      <c r="R14" s="1240"/>
      <c r="S14" s="1269" t="s">
        <v>2323</v>
      </c>
      <c r="T14" s="1248" t="e">
        <f>T13-T12</f>
        <v>#NUM!</v>
      </c>
      <c r="U14" s="1240"/>
      <c r="V14" s="1240"/>
      <c r="W14" s="1240"/>
      <c r="X14" s="1240"/>
      <c r="Y14" s="1240"/>
      <c r="Z14" s="1240"/>
      <c r="AA14" s="1240"/>
      <c r="AB14" s="1240"/>
      <c r="AC14" s="1240"/>
      <c r="AD14" s="1240"/>
      <c r="AE14" s="1240"/>
      <c r="AF14" s="1240"/>
      <c r="AG14" s="1240"/>
      <c r="AH14" s="1240"/>
      <c r="AI14" s="1240"/>
      <c r="AJ14" s="1240"/>
      <c r="AK14" s="1240"/>
      <c r="AL14" s="1240"/>
      <c r="AM14" s="1240"/>
      <c r="AN14" s="1240"/>
      <c r="AO14" s="1240"/>
      <c r="AP14" s="1240"/>
    </row>
    <row r="15" spans="1:42" ht="18.75" customHeight="1" x14ac:dyDescent="0.35">
      <c r="A15" s="1240"/>
      <c r="B15" s="1241" t="s">
        <v>2305</v>
      </c>
      <c r="C15" s="1301">
        <v>0</v>
      </c>
      <c r="D15" s="1245" t="str">
        <f>IF(ISBLANK(RPCRepaymentFrequency),"",RPCRepaymentFrequency)</f>
        <v/>
      </c>
      <c r="E15" s="1242"/>
      <c r="F15" s="1241" t="s">
        <v>2249</v>
      </c>
      <c r="G15" s="1282"/>
      <c r="H15" s="1242"/>
      <c r="I15" s="1240"/>
      <c r="J15" s="1240"/>
      <c r="K15" s="1240"/>
      <c r="L15" s="1240"/>
      <c r="M15" s="1240"/>
      <c r="N15" s="1240"/>
      <c r="O15" s="1240"/>
      <c r="P15" s="1246" t="s">
        <v>1295</v>
      </c>
      <c r="Q15" s="1248">
        <f>_xlfn.DAYS(EDATE(Q16,12),Q16)</f>
        <v>366</v>
      </c>
      <c r="R15" s="1240"/>
      <c r="S15" s="1269" t="s">
        <v>2324</v>
      </c>
      <c r="T15" s="1248">
        <f>Q14-T12</f>
        <v>1</v>
      </c>
      <c r="U15" s="1240"/>
      <c r="V15" s="1240"/>
      <c r="W15" s="1240"/>
      <c r="X15" s="1240"/>
      <c r="Y15" s="1240"/>
      <c r="Z15" s="1240"/>
      <c r="AA15" s="1240"/>
      <c r="AB15" s="1240"/>
      <c r="AC15" s="1240"/>
      <c r="AD15" s="1240"/>
      <c r="AE15" s="1240"/>
      <c r="AF15" s="1240"/>
      <c r="AG15" s="1240"/>
      <c r="AH15" s="1240"/>
      <c r="AI15" s="1240"/>
      <c r="AJ15" s="1240"/>
      <c r="AK15" s="1240"/>
      <c r="AL15" s="1240"/>
      <c r="AM15" s="1240"/>
      <c r="AN15" s="1240"/>
      <c r="AO15" s="1240"/>
      <c r="AP15" s="1240"/>
    </row>
    <row r="16" spans="1:42" ht="18.75" customHeight="1" x14ac:dyDescent="0.35">
      <c r="A16" s="1240"/>
      <c r="B16" s="1241" t="s">
        <v>2250</v>
      </c>
      <c r="C16" s="1270"/>
      <c r="D16" s="1242"/>
      <c r="E16" s="1242"/>
      <c r="F16" s="1244"/>
      <c r="G16" s="1242"/>
      <c r="H16" s="1242"/>
      <c r="I16" s="1240"/>
      <c r="J16" s="1240"/>
      <c r="K16" s="1240"/>
      <c r="L16" s="1240"/>
      <c r="M16" s="1240"/>
      <c r="N16" s="1240"/>
      <c r="O16" s="1240"/>
      <c r="P16" s="1246" t="s">
        <v>2312</v>
      </c>
      <c r="Q16" s="1251">
        <f>RPCBalanceEnquiryDate</f>
        <v>0</v>
      </c>
      <c r="R16" s="1240"/>
      <c r="S16" s="1269" t="s">
        <v>2325</v>
      </c>
      <c r="T16" s="1248" t="e">
        <f>WEEKDAY(T12,2)</f>
        <v>#NUM!</v>
      </c>
      <c r="U16" s="1240"/>
      <c r="V16" s="1240"/>
      <c r="W16" s="1240"/>
      <c r="X16" s="1240"/>
      <c r="Y16" s="1240"/>
      <c r="Z16" s="1240"/>
      <c r="AA16" s="1240"/>
      <c r="AB16" s="1240"/>
      <c r="AC16" s="1240"/>
      <c r="AD16" s="1240"/>
      <c r="AE16" s="1240"/>
      <c r="AF16" s="1240"/>
      <c r="AG16" s="1240"/>
      <c r="AH16" s="1240"/>
      <c r="AI16" s="1240"/>
      <c r="AJ16" s="1240"/>
      <c r="AK16" s="1240"/>
      <c r="AL16" s="1240"/>
      <c r="AM16" s="1240"/>
      <c r="AN16" s="1240"/>
      <c r="AO16" s="1240"/>
      <c r="AP16" s="1240"/>
    </row>
    <row r="17" spans="1:42" ht="7.5" customHeight="1" x14ac:dyDescent="0.35">
      <c r="A17" s="1240"/>
      <c r="B17" s="1244"/>
      <c r="C17" s="1242"/>
      <c r="D17" s="1242"/>
      <c r="E17" s="1242"/>
      <c r="F17" s="1244"/>
      <c r="G17" s="1242"/>
      <c r="H17" s="1242"/>
      <c r="I17" s="1242"/>
      <c r="J17" s="1242"/>
      <c r="K17" s="1242"/>
      <c r="L17" s="1242"/>
      <c r="M17" s="1240"/>
      <c r="N17" s="1240"/>
      <c r="O17" s="1240"/>
      <c r="P17" s="1240"/>
      <c r="Q17" s="1240"/>
      <c r="R17" s="1240"/>
      <c r="S17" s="1240"/>
      <c r="T17" s="1240"/>
      <c r="U17" s="1240"/>
      <c r="V17" s="1240"/>
      <c r="W17" s="1240"/>
      <c r="X17" s="1240"/>
      <c r="Y17" s="1240"/>
      <c r="Z17" s="1240"/>
      <c r="AA17" s="1240"/>
      <c r="AB17" s="1240"/>
      <c r="AC17" s="1240"/>
      <c r="AD17" s="1240"/>
      <c r="AE17" s="1240"/>
      <c r="AF17" s="1240"/>
      <c r="AG17" s="1240"/>
      <c r="AH17" s="1240"/>
      <c r="AI17" s="1240"/>
      <c r="AJ17" s="1240"/>
      <c r="AK17" s="1240"/>
      <c r="AL17" s="1240"/>
      <c r="AM17" s="1240"/>
      <c r="AN17" s="1240"/>
      <c r="AO17" s="1240"/>
      <c r="AP17" s="1240"/>
    </row>
    <row r="18" spans="1:42" ht="18.75" customHeight="1" x14ac:dyDescent="0.35">
      <c r="A18" s="94"/>
      <c r="B18" s="1079" t="s">
        <v>186</v>
      </c>
      <c r="C18" s="223"/>
      <c r="D18" s="223"/>
      <c r="E18" s="223"/>
      <c r="F18" s="223"/>
      <c r="G18" s="223"/>
      <c r="H18" s="223"/>
      <c r="I18" s="223"/>
      <c r="J18" s="223"/>
      <c r="K18" s="223"/>
      <c r="L18" s="223"/>
      <c r="M18" s="223"/>
      <c r="N18" s="223"/>
      <c r="O18" s="1240"/>
      <c r="P18" s="1246" t="s">
        <v>2339</v>
      </c>
      <c r="Q18" s="1247">
        <f ca="1">IF(DAY(TODAY())&lt;RPCChargeCycle,DATE(YEAR(TODAY()),MONTH(TODAY()),RPCChargeCycle),DATE(YEAR(EDATE(TODAY(),1)),MONTH(EDATE(TODAY(),1)),RPCChargeCycle))</f>
        <v>45716</v>
      </c>
      <c r="R18" s="1240"/>
      <c r="S18" s="1240"/>
      <c r="T18" s="1240"/>
      <c r="U18" s="1240"/>
      <c r="V18" s="1240"/>
      <c r="W18" s="1240"/>
      <c r="X18" s="1240"/>
      <c r="Y18" s="1240"/>
      <c r="Z18" s="1240"/>
      <c r="AA18" s="1240"/>
      <c r="AB18" s="1240"/>
      <c r="AC18" s="1240"/>
      <c r="AD18" s="1240"/>
      <c r="AE18" s="1240"/>
      <c r="AF18" s="1240"/>
      <c r="AG18" s="1240"/>
      <c r="AH18" s="1240"/>
      <c r="AI18" s="1240"/>
      <c r="AJ18" s="1240"/>
      <c r="AK18" s="1240"/>
      <c r="AL18" s="1240"/>
      <c r="AM18" s="1240"/>
      <c r="AN18" s="1240"/>
      <c r="AO18" s="1240"/>
      <c r="AP18" s="1240"/>
    </row>
    <row r="19" spans="1:42" ht="7.5" customHeight="1" x14ac:dyDescent="0.35">
      <c r="A19" s="1240"/>
      <c r="B19" s="1240"/>
      <c r="C19" s="1240"/>
      <c r="D19" s="1240"/>
      <c r="E19" s="1240"/>
      <c r="F19" s="1240"/>
      <c r="G19" s="1240"/>
      <c r="H19" s="1240"/>
      <c r="I19" s="1240"/>
      <c r="J19" s="1240"/>
      <c r="K19" s="1240"/>
      <c r="L19" s="1240"/>
      <c r="M19" s="1240"/>
      <c r="O19" s="1240"/>
      <c r="P19" s="1240"/>
      <c r="Q19" s="1240"/>
      <c r="R19" s="1240"/>
      <c r="S19" s="1240"/>
      <c r="T19" s="1240"/>
      <c r="U19" s="1240"/>
      <c r="V19" s="1240"/>
      <c r="W19" s="1240"/>
      <c r="X19" s="1240"/>
      <c r="Y19" s="1240"/>
      <c r="Z19" s="1240"/>
      <c r="AA19" t="s">
        <v>2307</v>
      </c>
      <c r="AB19" s="1240"/>
      <c r="AC19" t="s">
        <v>2308</v>
      </c>
      <c r="AD19" s="1240"/>
      <c r="AE19" t="s">
        <v>2309</v>
      </c>
      <c r="AF19" s="1240"/>
      <c r="AG19" t="s">
        <v>2254</v>
      </c>
      <c r="AH19" s="1240"/>
      <c r="AI19" t="s">
        <v>2310</v>
      </c>
      <c r="AJ19" t="s">
        <v>2311</v>
      </c>
      <c r="AK19" s="1240"/>
      <c r="AL19" t="s">
        <v>2251</v>
      </c>
      <c r="AM19" t="s">
        <v>2252</v>
      </c>
      <c r="AO19" t="s">
        <v>2253</v>
      </c>
      <c r="AP19" t="s">
        <v>2327</v>
      </c>
    </row>
    <row r="20" spans="1:42" ht="18.75" customHeight="1" x14ac:dyDescent="0.35">
      <c r="A20" s="1240"/>
      <c r="B20" s="1241" t="s">
        <v>2255</v>
      </c>
      <c r="C20" s="1271"/>
      <c r="D20" s="1242"/>
      <c r="E20" s="1242"/>
      <c r="F20" s="1241" t="s">
        <v>2256</v>
      </c>
      <c r="G20" s="1270"/>
      <c r="H20" s="1287"/>
      <c r="I20" s="1260"/>
      <c r="J20" s="1775" t="str">
        <f>IF(NOT(RPCMandatoryFieldCheck),"Please complete all mandatory fields",IF(AND(NOT(ISBLANK(RPCRemainingTerm)),NOT(ISBLANK(RPCPausePeriod)),VLOOKUP(RPCPausePeriod,RPCPausePeriodTable[],2,FALSE)&gt;RPCRemainingTerm),"Pause period invalid. Must be less than the remaining term.",IF(AND(RPCPauseEndDate&lt;&gt;"",NOT(ISBLANK(RPCShortTermMaturityDate)),EDATE(RPCPauseEndDate,1)&gt;RPCShortTermMaturityDate),"Pause period is invalid. Pause must cease at least one month before the short term maturity date.",IF(AND(RPCPauseEndDate&lt;&gt;"",NOT(ISBLANK(RPCInterestOnlyMaturityDate)),EDATE(RPCPauseEndDate,1)&gt;RPCInterestOnlyMaturityDate),"Pause period is invalid. Pause must cease at least one month before the interest only maturity date.",""))))</f>
        <v>Please complete all mandatory fields</v>
      </c>
      <c r="K20" s="1775"/>
      <c r="L20" s="1775"/>
      <c r="M20" s="1261"/>
      <c r="O20" s="1240"/>
      <c r="P20" s="1246" t="s">
        <v>2313</v>
      </c>
      <c r="Q20" s="1253" t="e">
        <f>RPCCurrentRepayment*VLOOKUP(RPCRepaymentFrequency,RPCRepaymentFrequencyData[],2,FALSE)</f>
        <v>#N/A</v>
      </c>
      <c r="R20" s="1240"/>
      <c r="S20" s="1269" t="s">
        <v>2326</v>
      </c>
      <c r="T20" s="1248" t="e">
        <f>VLOOKUP(RPCPaymentDay,RPCPaymentDayTable[],2,FALSE)</f>
        <v>#N/A</v>
      </c>
      <c r="U20" s="1249"/>
      <c r="V20" s="1249"/>
      <c r="W20" s="1249"/>
      <c r="X20" s="1249"/>
      <c r="Y20" s="1249"/>
      <c r="Z20" s="1240"/>
      <c r="AA20" s="1240">
        <v>1</v>
      </c>
      <c r="AB20" s="1240"/>
      <c r="AC20" s="1250" t="e">
        <f t="shared" ref="AC20:AC29" si="0">IF(RPCRepaymentFrequency="Monthly",EDATE(AC21,-1),IF(RPCRepaymentFrequency="Fortnightly",AC21-14,AC21-7))</f>
        <v>#NUM!</v>
      </c>
      <c r="AD20" s="1240"/>
      <c r="AE20" s="1250" t="e">
        <f>EDATE(AE21,-1)</f>
        <v>#NUM!</v>
      </c>
      <c r="AF20" s="1240"/>
      <c r="AG20" s="1240" t="s">
        <v>2264</v>
      </c>
      <c r="AH20" s="1240"/>
      <c r="AI20" s="1240" t="s">
        <v>7</v>
      </c>
      <c r="AJ20" s="1240">
        <v>1</v>
      </c>
      <c r="AK20" s="1240"/>
      <c r="AL20" s="1240" t="s">
        <v>2258</v>
      </c>
      <c r="AM20" s="1240">
        <v>3</v>
      </c>
      <c r="AN20" s="1240"/>
      <c r="AO20" s="1240" t="s">
        <v>2259</v>
      </c>
      <c r="AP20" s="1240">
        <v>1</v>
      </c>
    </row>
    <row r="21" spans="1:42" ht="18.75" customHeight="1" x14ac:dyDescent="0.35">
      <c r="A21" s="1240"/>
      <c r="B21" s="1241" t="s">
        <v>2261</v>
      </c>
      <c r="C21" s="1302">
        <v>0</v>
      </c>
      <c r="D21" s="1242"/>
      <c r="E21" s="1242"/>
      <c r="F21" s="1241" t="s">
        <v>2341</v>
      </c>
      <c r="G21" s="1268"/>
      <c r="H21" s="1242"/>
      <c r="I21" s="1262"/>
      <c r="J21" s="1776"/>
      <c r="K21" s="1776"/>
      <c r="L21" s="1776"/>
      <c r="M21" s="1262"/>
      <c r="O21" s="1240"/>
      <c r="P21" s="1246" t="s">
        <v>2334</v>
      </c>
      <c r="Q21" s="1286" t="e">
        <f>RPCRemainingTerm-(VLOOKUP(RPCPausePeriod,RPCPausePeriodTable[],2,FALSE)+IF(RPCPauseStartOption="This charge cycle",1,2))</f>
        <v>#N/A</v>
      </c>
      <c r="R21" s="1249"/>
      <c r="S21" s="1246" t="s">
        <v>2314</v>
      </c>
      <c r="T21" s="1247" t="e">
        <f>IF(RPCRepaymentFrequency="Monthly",IF(DAY(RPCNextPaymentTransferDate)=RPCChargeCycle,EDATE(RPCNextPaymentTransferDate,1),IF(T15&gt;=T14,EDATE(T12+T15,1),T12+T15)),IF(WEEKDAY(T12,2)&lt;&gt;VLOOKUP(RPCPaymentDay,RPCPaymentDayTable[],2,FALSE),T12+IF(T16&lt;T20,T20-T16,7-T16+T20),T12))</f>
        <v>#NUM!</v>
      </c>
      <c r="U21" s="1249"/>
      <c r="V21" s="1249"/>
      <c r="W21" s="1249"/>
      <c r="X21" s="1249"/>
      <c r="Y21" s="1249"/>
      <c r="Z21" s="1240"/>
      <c r="AA21" s="1240">
        <v>2</v>
      </c>
      <c r="AB21" s="1240"/>
      <c r="AC21" s="1250" t="e">
        <f t="shared" si="0"/>
        <v>#NUM!</v>
      </c>
      <c r="AD21" s="1240"/>
      <c r="AE21" s="1252">
        <f>IF(DAY(RPCBalanceEnquiryDate)&lt;RPCChargeCycle,DATE(YEAR(RPCBalanceEnquiryDate),MONTH(RPCBalanceEnquiryDate),RPCChargeCycle),DATE(YEAR(EDATE(RPCBalanceEnquiryDate,1)),MONTH(EDATE(RPCBalanceEnquiryDate,1)),RPCChargeCycle))</f>
        <v>0</v>
      </c>
      <c r="AF21" s="1240"/>
      <c r="AG21" s="1240" t="s">
        <v>2260</v>
      </c>
      <c r="AH21" s="1240"/>
      <c r="AI21" s="1240" t="s">
        <v>8</v>
      </c>
      <c r="AJ21" s="1240">
        <v>2</v>
      </c>
      <c r="AK21" s="1240"/>
      <c r="AL21" s="1240" t="s">
        <v>2262</v>
      </c>
      <c r="AM21" s="1240">
        <v>4</v>
      </c>
      <c r="AN21" s="1240"/>
      <c r="AO21" s="1240" t="s">
        <v>2263</v>
      </c>
      <c r="AP21" s="1240">
        <v>2</v>
      </c>
    </row>
    <row r="22" spans="1:42" ht="18.75" customHeight="1" x14ac:dyDescent="0.35">
      <c r="A22" s="1240"/>
      <c r="B22" s="1241" t="s">
        <v>2265</v>
      </c>
      <c r="C22" s="1271"/>
      <c r="D22" s="1242"/>
      <c r="E22" s="1242"/>
      <c r="F22" s="1241" t="s">
        <v>2266</v>
      </c>
      <c r="G22" s="1270"/>
      <c r="H22" s="1242"/>
      <c r="I22" s="1262"/>
      <c r="J22" s="1776"/>
      <c r="K22" s="1776"/>
      <c r="L22" s="1776"/>
      <c r="M22" s="1262"/>
      <c r="N22" s="1240"/>
      <c r="O22" s="1240"/>
      <c r="P22" s="1240"/>
      <c r="Q22" s="1240"/>
      <c r="R22" s="1249"/>
      <c r="S22" s="1249"/>
      <c r="T22" s="1249"/>
      <c r="U22" s="1249"/>
      <c r="V22" s="1249"/>
      <c r="W22" s="1249"/>
      <c r="X22" s="1249"/>
      <c r="Y22" s="1249"/>
      <c r="Z22" s="1240"/>
      <c r="AA22" s="1240">
        <v>3</v>
      </c>
      <c r="AB22" s="1240"/>
      <c r="AC22" s="1250" t="e">
        <f t="shared" si="0"/>
        <v>#NUM!</v>
      </c>
      <c r="AD22" s="1240"/>
      <c r="AE22" s="1254">
        <f>EDATE(AE21,1)</f>
        <v>31</v>
      </c>
      <c r="AF22" s="1240"/>
      <c r="AG22" s="1240"/>
      <c r="AH22" s="1240"/>
      <c r="AI22" s="1240" t="s">
        <v>10</v>
      </c>
      <c r="AJ22" s="1240">
        <v>4</v>
      </c>
      <c r="AK22" s="1240"/>
      <c r="AL22" s="1240" t="s">
        <v>2267</v>
      </c>
      <c r="AM22" s="1240">
        <v>5</v>
      </c>
      <c r="AN22" s="1240"/>
      <c r="AO22" s="1240" t="s">
        <v>2268</v>
      </c>
      <c r="AP22" s="1240">
        <v>3</v>
      </c>
    </row>
    <row r="23" spans="1:42" ht="18.75" customHeight="1" x14ac:dyDescent="0.35">
      <c r="A23" s="1240"/>
      <c r="B23" s="1241" t="s">
        <v>2269</v>
      </c>
      <c r="C23" s="1270"/>
      <c r="D23" s="1242"/>
      <c r="E23" s="1242"/>
      <c r="F23" s="1241" t="s">
        <v>2270</v>
      </c>
      <c r="G23" s="1270"/>
      <c r="H23" s="1242"/>
      <c r="I23" s="1263"/>
      <c r="J23" s="1777"/>
      <c r="K23" s="1777"/>
      <c r="L23" s="1777"/>
      <c r="M23" s="1263"/>
      <c r="N23" s="1240"/>
      <c r="O23" s="1240"/>
      <c r="P23" s="1240"/>
      <c r="Q23" s="1240"/>
      <c r="R23" s="1249"/>
      <c r="S23" s="1249"/>
      <c r="T23" s="1249"/>
      <c r="U23" s="1249"/>
      <c r="V23" s="1249"/>
      <c r="W23" s="1249"/>
      <c r="X23" s="1249"/>
      <c r="Y23" s="1249"/>
      <c r="Z23" s="1240"/>
      <c r="AA23" s="1240">
        <v>4</v>
      </c>
      <c r="AB23" s="1240"/>
      <c r="AC23" s="1250" t="e">
        <f t="shared" si="0"/>
        <v>#NUM!</v>
      </c>
      <c r="AD23" s="1240"/>
      <c r="AE23" s="1254">
        <f t="shared" ref="AE23:AE86" si="1">EDATE(AE22,1)</f>
        <v>59</v>
      </c>
      <c r="AF23" s="1240"/>
      <c r="AG23" s="1240"/>
      <c r="AH23" s="1240"/>
      <c r="AI23" s="1240"/>
      <c r="AJ23" s="1240"/>
      <c r="AK23" s="1240"/>
      <c r="AL23" s="1240" t="s">
        <v>2271</v>
      </c>
      <c r="AM23" s="1240">
        <v>6</v>
      </c>
      <c r="AN23" s="1240"/>
      <c r="AO23" s="1240" t="s">
        <v>2272</v>
      </c>
      <c r="AP23" s="1240">
        <v>4</v>
      </c>
    </row>
    <row r="24" spans="1:42" ht="18.75" customHeight="1" x14ac:dyDescent="0.35">
      <c r="A24" s="1240"/>
      <c r="B24" s="1241" t="s">
        <v>2273</v>
      </c>
      <c r="C24" s="1272" t="str">
        <f>IF(AND(NOT(ISBLANK(RPCNextPaymentTransferDate)),NOT(ISBLANK(RPCPauseStartOption))),IF(RPCPauseStartOption="This charge cycle",Q18+1,EDATE(Q18,1)+1),"")</f>
        <v/>
      </c>
      <c r="D24" s="1242"/>
      <c r="E24" s="1242"/>
      <c r="F24" s="1244"/>
      <c r="G24" s="1242"/>
      <c r="H24" s="1242"/>
      <c r="I24" s="1240"/>
      <c r="J24" s="1240"/>
      <c r="K24" s="1242"/>
      <c r="L24" s="1242"/>
      <c r="M24" s="1240"/>
      <c r="N24" s="1240"/>
      <c r="O24" s="1240"/>
      <c r="P24" s="1249"/>
      <c r="Q24" s="1256"/>
      <c r="R24" s="1256"/>
      <c r="S24" s="1256"/>
      <c r="T24" s="1256"/>
      <c r="U24" s="1256"/>
      <c r="V24" s="1256"/>
      <c r="W24" s="1256"/>
      <c r="X24" s="1249"/>
      <c r="Y24" s="1240"/>
      <c r="Z24" s="1240"/>
      <c r="AA24" s="1240">
        <v>5</v>
      </c>
      <c r="AB24" s="1240"/>
      <c r="AC24" s="1250" t="e">
        <f t="shared" si="0"/>
        <v>#NUM!</v>
      </c>
      <c r="AD24" s="1240"/>
      <c r="AE24" s="1254">
        <f t="shared" si="1"/>
        <v>88</v>
      </c>
      <c r="AF24" s="1240"/>
      <c r="AG24" s="1240"/>
      <c r="AH24" s="1240"/>
      <c r="AI24" s="1240"/>
      <c r="AJ24" s="1240"/>
      <c r="AK24" s="1240"/>
      <c r="AL24" s="1240" t="s">
        <v>2274</v>
      </c>
      <c r="AM24" s="1240">
        <v>7</v>
      </c>
      <c r="AN24" s="1240"/>
      <c r="AO24" s="1240" t="s">
        <v>2275</v>
      </c>
      <c r="AP24" s="1240">
        <v>5</v>
      </c>
    </row>
    <row r="25" spans="1:42" ht="18.75" customHeight="1" x14ac:dyDescent="0.35">
      <c r="A25" s="1240"/>
      <c r="B25" s="1241" t="s">
        <v>2276</v>
      </c>
      <c r="C25" s="1302">
        <v>0</v>
      </c>
      <c r="D25" s="1245" t="str">
        <f>IF(ISBLANK(RPCRepaymentFrequency),"",RPCRepaymentFrequency)</f>
        <v/>
      </c>
      <c r="E25" s="1240"/>
      <c r="F25" s="1240"/>
      <c r="G25" s="1240"/>
      <c r="H25" s="1240"/>
      <c r="I25" s="1240"/>
      <c r="J25" s="1240"/>
      <c r="K25" s="1242"/>
      <c r="L25" s="1242"/>
      <c r="M25" s="1240"/>
      <c r="N25" s="1240"/>
      <c r="O25" s="1240"/>
      <c r="P25" s="1257" t="s">
        <v>1124</v>
      </c>
      <c r="Q25" s="1257" t="s">
        <v>2315</v>
      </c>
      <c r="R25" s="1257" t="s">
        <v>2316</v>
      </c>
      <c r="S25" s="1257" t="s">
        <v>2317</v>
      </c>
      <c r="T25" s="1257" t="s">
        <v>2318</v>
      </c>
      <c r="U25" s="1257" t="s">
        <v>1302</v>
      </c>
      <c r="V25" s="1257" t="s">
        <v>2319</v>
      </c>
      <c r="W25" s="1257" t="s">
        <v>2320</v>
      </c>
      <c r="X25" s="1257" t="s">
        <v>279</v>
      </c>
      <c r="Y25" s="1240"/>
      <c r="Z25" s="1240"/>
      <c r="AA25" s="1240">
        <v>6</v>
      </c>
      <c r="AB25" s="1240"/>
      <c r="AC25" s="1250" t="e">
        <f t="shared" si="0"/>
        <v>#NUM!</v>
      </c>
      <c r="AD25" s="1240"/>
      <c r="AE25" s="1254">
        <f t="shared" si="1"/>
        <v>119</v>
      </c>
      <c r="AF25" s="1240"/>
      <c r="AG25" s="1240"/>
      <c r="AH25" s="1240"/>
      <c r="AI25" s="1240"/>
      <c r="AJ25" s="1240"/>
      <c r="AK25" s="1240"/>
      <c r="AL25" s="1240" t="s">
        <v>2277</v>
      </c>
      <c r="AM25" s="1240">
        <v>8</v>
      </c>
      <c r="AN25" s="1240"/>
      <c r="AO25" s="1240" t="s">
        <v>2278</v>
      </c>
      <c r="AP25" s="1240">
        <v>6</v>
      </c>
    </row>
    <row r="26" spans="1:42" ht="18.75" customHeight="1" x14ac:dyDescent="0.35">
      <c r="A26" s="1240"/>
      <c r="B26" s="1241" t="s">
        <v>2279</v>
      </c>
      <c r="C26" s="1272" t="str">
        <f>IFERROR(EDATE(RPCPauseStartDate,VLOOKUP(RPCPausePeriod,RPCPausePeriodTable[],2,FALSE))-1,"")</f>
        <v/>
      </c>
      <c r="D26" s="1242"/>
      <c r="E26" s="1240"/>
      <c r="F26" s="1240"/>
      <c r="G26" s="1240"/>
      <c r="H26" s="1240"/>
      <c r="I26" s="1240"/>
      <c r="J26" s="1240"/>
      <c r="K26" s="1242"/>
      <c r="L26" s="1242"/>
      <c r="M26" s="1240"/>
      <c r="N26" s="1240"/>
      <c r="O26" s="1240"/>
      <c r="P26" s="1247">
        <f>RPCCalculationStartDate</f>
        <v>0</v>
      </c>
      <c r="Q26" s="1258" t="e">
        <f>RPCCurrentBalance+RPCLoanPauseFee+RPCLMIPremium+RPCValuationFee+Q20</f>
        <v>#N/A</v>
      </c>
      <c r="R26" s="1247" t="str">
        <f>IFERROR(VLOOKUP(P26,RPCRepaymentDates[],1,FALSE),"")</f>
        <v/>
      </c>
      <c r="S26" s="1259">
        <f t="shared" ref="S26:S89" si="2">IF(P26=R26,IF(R26&lt;RPCNextPaymentTransferDate,0,IF(OR(R26&lt;RPCPauseStartDate,R26&gt;RPCPauseEndDate),RPCCurrentRepayment,RPCPauseRepayment)),0)</f>
        <v>0</v>
      </c>
      <c r="T26" s="1247">
        <f>IFERROR(VLOOKUP(P26,RPCChargeCycleDates[],1,FALSE),"")</f>
        <v>0</v>
      </c>
      <c r="U26" s="1248">
        <f>IFERROR(_xlfn.DAYS(T26,$Q$16),"")</f>
        <v>0</v>
      </c>
      <c r="V26" s="1258">
        <f t="shared" ref="V26:V89" si="3">IFERROR((Q26-S26)*(1/RPCDaysInYear)*RPCInterestRate,0)</f>
        <v>0</v>
      </c>
      <c r="W26" s="1258">
        <f t="shared" ref="W26:W89" ca="1" si="4">IFERROR(IF(T26=P26,SUM(OFFSET(V26,-U26+1,0,U26,1)),0),0)</f>
        <v>0</v>
      </c>
      <c r="X26" s="1258" t="e">
        <f t="shared" ref="X26:X89" ca="1" si="5">Q26-S26+W26</f>
        <v>#N/A</v>
      </c>
      <c r="Y26" s="1240"/>
      <c r="Z26" s="1240"/>
      <c r="AA26" s="1240">
        <v>7</v>
      </c>
      <c r="AB26" s="1240"/>
      <c r="AC26" s="1250" t="e">
        <f t="shared" si="0"/>
        <v>#NUM!</v>
      </c>
      <c r="AD26" s="1240"/>
      <c r="AE26" s="1254">
        <f t="shared" si="1"/>
        <v>149</v>
      </c>
      <c r="AF26" s="1240"/>
      <c r="AG26" s="1240"/>
      <c r="AH26" s="1240"/>
      <c r="AI26" s="1240"/>
      <c r="AJ26" s="1240"/>
      <c r="AK26" s="1240"/>
      <c r="AL26" s="1240" t="s">
        <v>2280</v>
      </c>
      <c r="AM26" s="1240">
        <v>9</v>
      </c>
      <c r="AN26" s="1240"/>
      <c r="AO26" s="1240" t="s">
        <v>2281</v>
      </c>
      <c r="AP26" s="1240">
        <v>7</v>
      </c>
    </row>
    <row r="27" spans="1:42" ht="18.75" customHeight="1" x14ac:dyDescent="0.35">
      <c r="A27" s="1240"/>
      <c r="B27" s="1241" t="s">
        <v>2282</v>
      </c>
      <c r="C27" s="1302">
        <v>0</v>
      </c>
      <c r="D27" s="1255" t="s">
        <v>945</v>
      </c>
      <c r="E27" s="1240"/>
      <c r="F27" s="1240"/>
      <c r="G27" s="1240"/>
      <c r="H27" s="1240"/>
      <c r="I27" s="1240"/>
      <c r="J27" s="1240"/>
      <c r="K27" s="1242"/>
      <c r="L27" s="1242"/>
      <c r="M27" s="1240"/>
      <c r="N27" s="1240"/>
      <c r="O27" s="1240"/>
      <c r="P27" s="1247">
        <f>P26+1</f>
        <v>1</v>
      </c>
      <c r="Q27" s="1253" t="e">
        <f t="shared" ref="Q27:Q90" ca="1" si="6">X26</f>
        <v>#N/A</v>
      </c>
      <c r="R27" s="1247" t="str">
        <f>IFERROR(VLOOKUP(P27,RPCRepaymentDates[],1,FALSE),"")</f>
        <v/>
      </c>
      <c r="S27" s="1259">
        <f t="shared" si="2"/>
        <v>0</v>
      </c>
      <c r="T27" s="1247" t="str">
        <f>IFERROR(VLOOKUP(P27,RPCChargeCycleDates[],1,FALSE),"")</f>
        <v/>
      </c>
      <c r="U27" s="1248" t="str">
        <f>IFERROR(_xlfn.DAYS(T27,$Q$16)-SUM(U$26:U26),"")</f>
        <v/>
      </c>
      <c r="V27" s="1258">
        <f t="shared" ca="1" si="3"/>
        <v>0</v>
      </c>
      <c r="W27" s="1258">
        <f t="shared" ca="1" si="4"/>
        <v>0</v>
      </c>
      <c r="X27" s="1258" t="e">
        <f t="shared" ca="1" si="5"/>
        <v>#N/A</v>
      </c>
      <c r="Y27" s="1240"/>
      <c r="Z27" s="1240"/>
      <c r="AA27" s="1240">
        <v>8</v>
      </c>
      <c r="AB27" s="1240"/>
      <c r="AC27" s="1250" t="e">
        <f t="shared" si="0"/>
        <v>#NUM!</v>
      </c>
      <c r="AD27" s="1240"/>
      <c r="AE27" s="1254">
        <f t="shared" si="1"/>
        <v>180</v>
      </c>
      <c r="AF27" s="1240"/>
      <c r="AG27" s="1240"/>
      <c r="AH27" s="1240"/>
      <c r="AI27" s="1240"/>
      <c r="AJ27" s="1240"/>
      <c r="AK27" s="1240"/>
      <c r="AL27" s="1240" t="s">
        <v>2283</v>
      </c>
      <c r="AM27" s="1240">
        <v>10</v>
      </c>
      <c r="AN27" s="1240"/>
      <c r="AO27" s="1240"/>
      <c r="AP27" s="1240"/>
    </row>
    <row r="28" spans="1:42" ht="18.75" customHeight="1" x14ac:dyDescent="0.35">
      <c r="A28" s="1240"/>
      <c r="B28" s="1241" t="s">
        <v>2340</v>
      </c>
      <c r="C28" s="1302">
        <v>0</v>
      </c>
      <c r="D28" s="1255" t="s">
        <v>945</v>
      </c>
      <c r="E28" s="1240"/>
      <c r="F28" s="1240"/>
      <c r="G28" s="1240"/>
      <c r="H28" s="1240"/>
      <c r="I28" s="1240"/>
      <c r="K28" s="1242"/>
      <c r="L28" s="1242"/>
      <c r="M28" s="1240"/>
      <c r="N28" s="1240"/>
      <c r="O28" s="1240"/>
      <c r="P28" s="1247">
        <f t="shared" ref="P28:P91" si="7">P27+1</f>
        <v>2</v>
      </c>
      <c r="Q28" s="1253" t="e">
        <f t="shared" ca="1" si="6"/>
        <v>#N/A</v>
      </c>
      <c r="R28" s="1247" t="str">
        <f>IFERROR(VLOOKUP(P28,RPCRepaymentDates[],1,FALSE),"")</f>
        <v/>
      </c>
      <c r="S28" s="1259">
        <f t="shared" si="2"/>
        <v>0</v>
      </c>
      <c r="T28" s="1247" t="str">
        <f>IFERROR(VLOOKUP(P28,RPCChargeCycleDates[],1,FALSE),"")</f>
        <v/>
      </c>
      <c r="U28" s="1248" t="str">
        <f>IFERROR(_xlfn.DAYS(T28,$Q$16)-SUM(U$26:U27),"")</f>
        <v/>
      </c>
      <c r="V28" s="1258">
        <f t="shared" ca="1" si="3"/>
        <v>0</v>
      </c>
      <c r="W28" s="1258">
        <f t="shared" ca="1" si="4"/>
        <v>0</v>
      </c>
      <c r="X28" s="1258" t="e">
        <f t="shared" ca="1" si="5"/>
        <v>#N/A</v>
      </c>
      <c r="Y28" s="1240"/>
      <c r="Z28" s="1240"/>
      <c r="AA28" s="1240">
        <v>9</v>
      </c>
      <c r="AB28" s="1240"/>
      <c r="AC28" s="1250" t="e">
        <f t="shared" si="0"/>
        <v>#NUM!</v>
      </c>
      <c r="AD28" s="1240"/>
      <c r="AE28" s="1254">
        <f t="shared" si="1"/>
        <v>210</v>
      </c>
      <c r="AF28" s="1240"/>
      <c r="AG28" s="1240"/>
      <c r="AH28" s="1240"/>
      <c r="AI28" s="1240"/>
      <c r="AJ28" s="1240"/>
      <c r="AK28" s="1240"/>
      <c r="AL28" s="1240" t="s">
        <v>2284</v>
      </c>
      <c r="AM28" s="1240">
        <v>11</v>
      </c>
      <c r="AN28" s="1240"/>
      <c r="AO28" s="1240"/>
      <c r="AP28" s="1240"/>
    </row>
    <row r="29" spans="1:42" ht="18.75" customHeight="1" x14ac:dyDescent="0.35">
      <c r="A29" s="1240"/>
      <c r="B29" s="1241" t="s">
        <v>2285</v>
      </c>
      <c r="C29" s="1302">
        <v>0</v>
      </c>
      <c r="D29" s="1255" t="s">
        <v>945</v>
      </c>
      <c r="E29" s="1240"/>
      <c r="F29" s="1240"/>
      <c r="G29" s="1240"/>
      <c r="H29" s="1240"/>
      <c r="I29" s="1240"/>
      <c r="K29" s="1242"/>
      <c r="L29" s="1242"/>
      <c r="M29" s="1240"/>
      <c r="N29" s="1240"/>
      <c r="O29" s="1240"/>
      <c r="P29" s="1247">
        <f t="shared" si="7"/>
        <v>3</v>
      </c>
      <c r="Q29" s="1253" t="e">
        <f t="shared" ca="1" si="6"/>
        <v>#N/A</v>
      </c>
      <c r="R29" s="1247" t="str">
        <f>IFERROR(VLOOKUP(P29,RPCRepaymentDates[],1,FALSE),"")</f>
        <v/>
      </c>
      <c r="S29" s="1259">
        <f t="shared" si="2"/>
        <v>0</v>
      </c>
      <c r="T29" s="1247" t="str">
        <f>IFERROR(VLOOKUP(P29,RPCChargeCycleDates[],1,FALSE),"")</f>
        <v/>
      </c>
      <c r="U29" s="1248" t="str">
        <f>IFERROR(_xlfn.DAYS(T29,$Q$16)-SUM(U$26:U28),"")</f>
        <v/>
      </c>
      <c r="V29" s="1258">
        <f t="shared" ca="1" si="3"/>
        <v>0</v>
      </c>
      <c r="W29" s="1258">
        <f t="shared" ca="1" si="4"/>
        <v>0</v>
      </c>
      <c r="X29" s="1258" t="e">
        <f t="shared" ca="1" si="5"/>
        <v>#N/A</v>
      </c>
      <c r="Y29" s="1240"/>
      <c r="Z29" s="1240"/>
      <c r="AA29" s="1240">
        <v>10</v>
      </c>
      <c r="AB29" s="1240"/>
      <c r="AC29" s="1250" t="e">
        <f t="shared" si="0"/>
        <v>#NUM!</v>
      </c>
      <c r="AD29" s="1240"/>
      <c r="AE29" s="1254">
        <f t="shared" si="1"/>
        <v>241</v>
      </c>
      <c r="AF29" s="1240"/>
      <c r="AG29" s="1240"/>
      <c r="AH29" s="1240"/>
      <c r="AI29" s="1240"/>
      <c r="AJ29" s="1240"/>
      <c r="AK29" s="1240"/>
      <c r="AL29" s="1240" t="s">
        <v>2257</v>
      </c>
      <c r="AM29" s="1240">
        <v>12</v>
      </c>
      <c r="AN29" s="1240"/>
      <c r="AO29" s="1240"/>
      <c r="AP29" s="1240"/>
    </row>
    <row r="30" spans="1:42" ht="18.75" customHeight="1" x14ac:dyDescent="0.35">
      <c r="A30" s="1240"/>
      <c r="B30" s="1241" t="s">
        <v>2320</v>
      </c>
      <c r="C30" s="1303">
        <f>IFERROR(IF(RPCMandatoryFieldCheck,SUMIF($P$26:$P$1025,"&lt;=" &amp; RPCPauseEndDate,$W$26:$W$1025),0),0)</f>
        <v>0</v>
      </c>
      <c r="D30" s="1255" t="s">
        <v>945</v>
      </c>
      <c r="E30" s="1240"/>
      <c r="F30" s="1240"/>
      <c r="G30" s="1240"/>
      <c r="H30" s="1240"/>
      <c r="I30" s="1240"/>
      <c r="K30" s="1242"/>
      <c r="L30" s="1242"/>
      <c r="M30" s="1240"/>
      <c r="N30" s="1240"/>
      <c r="O30" s="1240"/>
      <c r="P30" s="1247">
        <f t="shared" si="7"/>
        <v>4</v>
      </c>
      <c r="Q30" s="1253" t="e">
        <f t="shared" ca="1" si="6"/>
        <v>#N/A</v>
      </c>
      <c r="R30" s="1247" t="str">
        <f>IFERROR(VLOOKUP(P30,RPCRepaymentDates[],1,FALSE),"")</f>
        <v/>
      </c>
      <c r="S30" s="1259">
        <f t="shared" si="2"/>
        <v>0</v>
      </c>
      <c r="T30" s="1247" t="str">
        <f>IFERROR(VLOOKUP(P30,RPCChargeCycleDates[],1,FALSE),"")</f>
        <v/>
      </c>
      <c r="U30" s="1248" t="str">
        <f>IFERROR(_xlfn.DAYS(T30,$Q$16)-SUM(U$26:U29),"")</f>
        <v/>
      </c>
      <c r="V30" s="1258">
        <f t="shared" ca="1" si="3"/>
        <v>0</v>
      </c>
      <c r="W30" s="1258">
        <f t="shared" ca="1" si="4"/>
        <v>0</v>
      </c>
      <c r="X30" s="1258" t="e">
        <f t="shared" ca="1" si="5"/>
        <v>#N/A</v>
      </c>
      <c r="Y30" s="1240"/>
      <c r="Z30" s="1240"/>
      <c r="AA30" s="1240">
        <v>11</v>
      </c>
      <c r="AB30" s="1240"/>
      <c r="AC30" s="1252" t="e">
        <f>T21</f>
        <v>#NUM!</v>
      </c>
      <c r="AD30" s="1240"/>
      <c r="AE30" s="1254">
        <f t="shared" si="1"/>
        <v>272</v>
      </c>
      <c r="AF30" s="1240"/>
      <c r="AG30" s="1240"/>
      <c r="AH30" s="1240"/>
      <c r="AI30" s="1240"/>
      <c r="AJ30" s="1240"/>
      <c r="AK30" s="1240"/>
      <c r="AL30" s="1240"/>
      <c r="AM30" s="1240"/>
      <c r="AN30" s="1240"/>
      <c r="AO30" s="1240"/>
      <c r="AP30" s="1240"/>
    </row>
    <row r="31" spans="1:42" ht="18.75" customHeight="1" x14ac:dyDescent="0.35">
      <c r="A31" s="1240"/>
      <c r="B31" s="1241" t="s">
        <v>2286</v>
      </c>
      <c r="C31" s="1303">
        <f>IFERROR(IF(RPCMandatoryFieldCheck,VLOOKUP(RPCPauseEndDate,$P$26:$X$1025,9,0),0),0)</f>
        <v>0</v>
      </c>
      <c r="D31" s="1284"/>
      <c r="E31" s="1240"/>
      <c r="F31" s="1240"/>
      <c r="G31" s="1240"/>
      <c r="H31" s="1281"/>
      <c r="I31" s="1240"/>
      <c r="K31" s="1242"/>
      <c r="L31" s="1242"/>
      <c r="M31" s="1240"/>
      <c r="N31" s="1240"/>
      <c r="O31" s="1240"/>
      <c r="P31" s="1247">
        <f t="shared" si="7"/>
        <v>5</v>
      </c>
      <c r="Q31" s="1253" t="e">
        <f t="shared" ca="1" si="6"/>
        <v>#N/A</v>
      </c>
      <c r="R31" s="1247" t="str">
        <f>IFERROR(VLOOKUP(P31,RPCRepaymentDates[],1,FALSE),"")</f>
        <v/>
      </c>
      <c r="S31" s="1259">
        <f t="shared" si="2"/>
        <v>0</v>
      </c>
      <c r="T31" s="1247" t="str">
        <f>IFERROR(VLOOKUP(P31,RPCChargeCycleDates[],1,FALSE),"")</f>
        <v/>
      </c>
      <c r="U31" s="1248" t="str">
        <f>IFERROR(_xlfn.DAYS(T31,$Q$16)-SUM(U$26:U30),"")</f>
        <v/>
      </c>
      <c r="V31" s="1258">
        <f t="shared" ca="1" si="3"/>
        <v>0</v>
      </c>
      <c r="W31" s="1258">
        <f t="shared" ca="1" si="4"/>
        <v>0</v>
      </c>
      <c r="X31" s="1258" t="e">
        <f t="shared" ca="1" si="5"/>
        <v>#N/A</v>
      </c>
      <c r="Y31" s="1240"/>
      <c r="Z31" s="1240"/>
      <c r="AA31" s="1240">
        <v>12</v>
      </c>
      <c r="AB31" s="1240"/>
      <c r="AC31" s="1254" t="e">
        <f t="shared" ref="AC31:AC62" si="8">IF(RPCRepaymentFrequency="Monthly",EDATE(AC30,1),IF(RPCRepaymentFrequency="Fortnightly",AC30+14,AC30+7))</f>
        <v>#NUM!</v>
      </c>
      <c r="AD31" s="1240"/>
      <c r="AE31" s="1254">
        <f t="shared" si="1"/>
        <v>302</v>
      </c>
      <c r="AF31" s="1240"/>
      <c r="AG31" s="1240"/>
      <c r="AH31" s="1240"/>
      <c r="AI31" s="1240"/>
      <c r="AJ31" s="1240"/>
      <c r="AK31" s="1240"/>
      <c r="AL31" s="1240"/>
      <c r="AM31" s="1240"/>
      <c r="AN31" s="1240"/>
      <c r="AO31" s="1240"/>
      <c r="AP31" s="1240"/>
    </row>
    <row r="32" spans="1:42" ht="18.75" customHeight="1" x14ac:dyDescent="0.35">
      <c r="A32" s="1240"/>
      <c r="B32" s="1241" t="s">
        <v>2287</v>
      </c>
      <c r="C32" s="1302">
        <v>0</v>
      </c>
      <c r="D32" s="1255"/>
      <c r="E32" s="1240"/>
      <c r="F32" s="1240"/>
      <c r="G32" s="1240"/>
      <c r="H32" s="1240"/>
      <c r="I32" s="1240"/>
      <c r="J32" s="1240"/>
      <c r="K32" s="1240"/>
      <c r="L32" s="1240"/>
      <c r="M32" s="1240"/>
      <c r="N32" s="1240"/>
      <c r="O32" s="1240"/>
      <c r="P32" s="1247">
        <f t="shared" si="7"/>
        <v>6</v>
      </c>
      <c r="Q32" s="1253" t="e">
        <f t="shared" ca="1" si="6"/>
        <v>#N/A</v>
      </c>
      <c r="R32" s="1247" t="str">
        <f>IFERROR(VLOOKUP(P32,RPCRepaymentDates[],1,FALSE),"")</f>
        <v/>
      </c>
      <c r="S32" s="1259">
        <f t="shared" si="2"/>
        <v>0</v>
      </c>
      <c r="T32" s="1247" t="str">
        <f>IFERROR(VLOOKUP(P32,RPCChargeCycleDates[],1,FALSE),"")</f>
        <v/>
      </c>
      <c r="U32" s="1248" t="str">
        <f>IFERROR(_xlfn.DAYS(T32,$Q$16)-SUM(U$26:U31),"")</f>
        <v/>
      </c>
      <c r="V32" s="1258">
        <f t="shared" ca="1" si="3"/>
        <v>0</v>
      </c>
      <c r="W32" s="1258">
        <f t="shared" ca="1" si="4"/>
        <v>0</v>
      </c>
      <c r="X32" s="1258" t="e">
        <f t="shared" ca="1" si="5"/>
        <v>#N/A</v>
      </c>
      <c r="Y32" s="1240"/>
      <c r="Z32" s="1240"/>
      <c r="AA32" s="1240">
        <v>13</v>
      </c>
      <c r="AB32" s="1240"/>
      <c r="AC32" s="1254" t="e">
        <f t="shared" si="8"/>
        <v>#NUM!</v>
      </c>
      <c r="AD32" s="1240"/>
      <c r="AE32" s="1254">
        <f t="shared" si="1"/>
        <v>333</v>
      </c>
      <c r="AF32" s="1240"/>
      <c r="AG32" s="1240"/>
      <c r="AH32" s="1240"/>
      <c r="AI32" s="1240"/>
      <c r="AJ32" s="1240"/>
      <c r="AK32" s="1240"/>
      <c r="AL32" s="1240"/>
      <c r="AM32" s="1240"/>
      <c r="AN32" s="1240"/>
      <c r="AO32" s="1240"/>
      <c r="AP32" s="1240"/>
    </row>
    <row r="33" spans="1:42" ht="18.75" customHeight="1" x14ac:dyDescent="0.35">
      <c r="A33" s="1240"/>
      <c r="B33" s="1241" t="s">
        <v>2288</v>
      </c>
      <c r="C33" s="1303">
        <f>IFERROR(IF(RPCMandatoryFieldCheck,IF(RPCRepaymentType="Interest only",ROUNDDOWN((((RPCPausePeriodEndDebt+RPCPrepaymentAmount)*RPCInterestRate/365)*31)+0.005,2),IF(RPCRepaymentType="Principle and interest",ROUNDUP(PMT(RPCInterestRate/12,Q21,-(RPCPausePeriodEndDebt+RPCPrepaymentAmount)),0),0)),0),0)</f>
        <v>0</v>
      </c>
      <c r="D33" s="1283"/>
      <c r="E33" s="1240"/>
      <c r="F33" s="1240"/>
      <c r="G33" s="1240"/>
      <c r="H33" s="1240"/>
      <c r="I33" s="1240"/>
      <c r="J33" s="1240"/>
      <c r="K33" s="1240"/>
      <c r="L33" s="1240"/>
      <c r="M33" s="1240"/>
      <c r="N33" s="1240"/>
      <c r="O33" s="1240"/>
      <c r="P33" s="1247">
        <f t="shared" si="7"/>
        <v>7</v>
      </c>
      <c r="Q33" s="1253" t="e">
        <f t="shared" ca="1" si="6"/>
        <v>#N/A</v>
      </c>
      <c r="R33" s="1247" t="str">
        <f>IFERROR(VLOOKUP(P33,RPCRepaymentDates[],1,FALSE),"")</f>
        <v/>
      </c>
      <c r="S33" s="1259">
        <f t="shared" si="2"/>
        <v>0</v>
      </c>
      <c r="T33" s="1247" t="str">
        <f>IFERROR(VLOOKUP(P33,RPCChargeCycleDates[],1,FALSE),"")</f>
        <v/>
      </c>
      <c r="U33" s="1248" t="str">
        <f>IFERROR(_xlfn.DAYS(T33,$Q$16)-SUM(U$26:U32),"")</f>
        <v/>
      </c>
      <c r="V33" s="1258">
        <f t="shared" ca="1" si="3"/>
        <v>0</v>
      </c>
      <c r="W33" s="1258">
        <f t="shared" ca="1" si="4"/>
        <v>0</v>
      </c>
      <c r="X33" s="1258" t="e">
        <f t="shared" ca="1" si="5"/>
        <v>#N/A</v>
      </c>
      <c r="Y33" s="1240"/>
      <c r="Z33" s="1240"/>
      <c r="AA33" s="1240">
        <v>14</v>
      </c>
      <c r="AB33" s="1240"/>
      <c r="AC33" s="1254" t="e">
        <f t="shared" si="8"/>
        <v>#NUM!</v>
      </c>
      <c r="AD33" s="1240"/>
      <c r="AE33" s="1254">
        <f t="shared" si="1"/>
        <v>363</v>
      </c>
      <c r="AF33" s="1240"/>
      <c r="AG33" s="1240"/>
      <c r="AH33" s="1240"/>
      <c r="AI33" s="1240"/>
      <c r="AJ33" s="1240"/>
      <c r="AK33" s="1240"/>
      <c r="AL33" s="1240"/>
      <c r="AM33" s="1240"/>
      <c r="AN33" s="1240"/>
      <c r="AO33" s="1240"/>
      <c r="AP33" s="1240"/>
    </row>
    <row r="34" spans="1:42" ht="18.75" customHeight="1" x14ac:dyDescent="0.35">
      <c r="A34" s="1240"/>
      <c r="B34" s="1240"/>
      <c r="C34" s="1240"/>
      <c r="D34" s="1240"/>
      <c r="E34" s="1240"/>
      <c r="F34" s="1240"/>
      <c r="G34" s="1240"/>
      <c r="H34" s="1240"/>
      <c r="I34" s="1240"/>
      <c r="J34" s="1240"/>
      <c r="K34" s="1240"/>
      <c r="L34" s="1240"/>
      <c r="M34" s="1240"/>
      <c r="N34" s="1240"/>
      <c r="O34" s="1240"/>
      <c r="P34" s="1247">
        <f t="shared" si="7"/>
        <v>8</v>
      </c>
      <c r="Q34" s="1253" t="e">
        <f t="shared" ca="1" si="6"/>
        <v>#N/A</v>
      </c>
      <c r="R34" s="1247" t="str">
        <f>IFERROR(VLOOKUP(P34,RPCRepaymentDates[],1,FALSE),"")</f>
        <v/>
      </c>
      <c r="S34" s="1259">
        <f t="shared" si="2"/>
        <v>0</v>
      </c>
      <c r="T34" s="1247" t="str">
        <f>IFERROR(VLOOKUP(P34,RPCChargeCycleDates[],1,FALSE),"")</f>
        <v/>
      </c>
      <c r="U34" s="1248" t="str">
        <f>IFERROR(_xlfn.DAYS(T34,$Q$16)-SUM(U$26:U33),"")</f>
        <v/>
      </c>
      <c r="V34" s="1258">
        <f t="shared" ca="1" si="3"/>
        <v>0</v>
      </c>
      <c r="W34" s="1258">
        <f t="shared" ca="1" si="4"/>
        <v>0</v>
      </c>
      <c r="X34" s="1258" t="e">
        <f t="shared" ca="1" si="5"/>
        <v>#N/A</v>
      </c>
      <c r="Y34" s="1240"/>
      <c r="Z34" s="1240"/>
      <c r="AA34" s="1240">
        <v>15</v>
      </c>
      <c r="AB34" s="1240"/>
      <c r="AC34" s="1254" t="e">
        <f t="shared" si="8"/>
        <v>#NUM!</v>
      </c>
      <c r="AD34" s="1240"/>
      <c r="AE34" s="1254">
        <f t="shared" si="1"/>
        <v>394</v>
      </c>
      <c r="AF34" s="1240"/>
      <c r="AG34" s="1240"/>
      <c r="AH34" s="1240"/>
      <c r="AI34" s="1240"/>
      <c r="AJ34" s="1240"/>
      <c r="AK34" s="1240"/>
      <c r="AL34" s="1240"/>
      <c r="AM34" s="1240"/>
      <c r="AN34" s="1240"/>
      <c r="AO34" s="1240"/>
      <c r="AP34" s="1240"/>
    </row>
    <row r="35" spans="1:42" ht="18.75" customHeight="1" x14ac:dyDescent="0.35">
      <c r="A35" s="1240"/>
      <c r="B35" s="1240"/>
      <c r="C35" s="1240"/>
      <c r="D35" s="1240"/>
      <c r="E35" s="1240"/>
      <c r="F35" s="1240"/>
      <c r="G35" s="1240"/>
      <c r="H35" s="1240"/>
      <c r="I35" s="1240"/>
      <c r="J35" s="1240"/>
      <c r="K35" s="1240"/>
      <c r="L35" s="1240"/>
      <c r="M35" s="1240"/>
      <c r="N35" s="1240"/>
      <c r="O35" s="1240"/>
      <c r="P35" s="1247">
        <f t="shared" si="7"/>
        <v>9</v>
      </c>
      <c r="Q35" s="1253" t="e">
        <f t="shared" ca="1" si="6"/>
        <v>#N/A</v>
      </c>
      <c r="R35" s="1247" t="str">
        <f>IFERROR(VLOOKUP(P35,RPCRepaymentDates[],1,FALSE),"")</f>
        <v/>
      </c>
      <c r="S35" s="1259">
        <f t="shared" si="2"/>
        <v>0</v>
      </c>
      <c r="T35" s="1247" t="str">
        <f>IFERROR(VLOOKUP(P35,RPCChargeCycleDates[],1,FALSE),"")</f>
        <v/>
      </c>
      <c r="U35" s="1248" t="str">
        <f>IFERROR(_xlfn.DAYS(T35,$Q$16)-SUM(U$26:U34),"")</f>
        <v/>
      </c>
      <c r="V35" s="1258">
        <f t="shared" ca="1" si="3"/>
        <v>0</v>
      </c>
      <c r="W35" s="1258">
        <f t="shared" ca="1" si="4"/>
        <v>0</v>
      </c>
      <c r="X35" s="1258" t="e">
        <f t="shared" ca="1" si="5"/>
        <v>#N/A</v>
      </c>
      <c r="Y35" s="1240"/>
      <c r="Z35" s="1240"/>
      <c r="AA35" s="1240">
        <v>16</v>
      </c>
      <c r="AB35" s="1240"/>
      <c r="AC35" s="1254" t="e">
        <f t="shared" si="8"/>
        <v>#NUM!</v>
      </c>
      <c r="AD35" s="1240"/>
      <c r="AE35" s="1254">
        <f t="shared" si="1"/>
        <v>425</v>
      </c>
      <c r="AF35" s="1240"/>
      <c r="AG35" s="1240"/>
      <c r="AH35" s="1240"/>
      <c r="AI35" s="1240"/>
      <c r="AJ35" s="1240"/>
      <c r="AK35" s="1240"/>
      <c r="AL35" s="1240"/>
      <c r="AM35" s="1240"/>
      <c r="AN35" s="1240"/>
      <c r="AO35" s="1240"/>
      <c r="AP35" s="1240"/>
    </row>
    <row r="36" spans="1:42" ht="18.75" customHeight="1" x14ac:dyDescent="0.35">
      <c r="A36" s="1240"/>
      <c r="B36" s="1240"/>
      <c r="C36" s="1240"/>
      <c r="D36" s="1240"/>
      <c r="E36" s="1240"/>
      <c r="F36" s="1240"/>
      <c r="G36" s="1240"/>
      <c r="H36" s="1240"/>
      <c r="I36" s="1240"/>
      <c r="J36" s="1240"/>
      <c r="K36" s="1240"/>
      <c r="L36" s="1240"/>
      <c r="M36" s="1240"/>
      <c r="N36" s="1240"/>
      <c r="O36" s="1240"/>
      <c r="P36" s="1247">
        <f t="shared" si="7"/>
        <v>10</v>
      </c>
      <c r="Q36" s="1253" t="e">
        <f t="shared" ca="1" si="6"/>
        <v>#N/A</v>
      </c>
      <c r="R36" s="1247" t="str">
        <f>IFERROR(VLOOKUP(P36,RPCRepaymentDates[],1,FALSE),"")</f>
        <v/>
      </c>
      <c r="S36" s="1259">
        <f t="shared" si="2"/>
        <v>0</v>
      </c>
      <c r="T36" s="1247" t="str">
        <f>IFERROR(VLOOKUP(P36,RPCChargeCycleDates[],1,FALSE),"")</f>
        <v/>
      </c>
      <c r="U36" s="1248" t="str">
        <f>IFERROR(_xlfn.DAYS(T36,$Q$16)-SUM(U$26:U35),"")</f>
        <v/>
      </c>
      <c r="V36" s="1258">
        <f t="shared" ca="1" si="3"/>
        <v>0</v>
      </c>
      <c r="W36" s="1258">
        <f t="shared" ca="1" si="4"/>
        <v>0</v>
      </c>
      <c r="X36" s="1258" t="e">
        <f t="shared" ca="1" si="5"/>
        <v>#N/A</v>
      </c>
      <c r="Y36" s="1240"/>
      <c r="Z36" s="1240"/>
      <c r="AA36" s="1240">
        <v>17</v>
      </c>
      <c r="AB36" s="1240"/>
      <c r="AC36" s="1254" t="e">
        <f t="shared" si="8"/>
        <v>#NUM!</v>
      </c>
      <c r="AD36" s="1240"/>
      <c r="AE36" s="1254">
        <f t="shared" si="1"/>
        <v>453</v>
      </c>
      <c r="AF36" s="1240"/>
      <c r="AG36" s="1240"/>
      <c r="AH36" s="1240"/>
      <c r="AI36" s="1240"/>
      <c r="AJ36" s="1240"/>
      <c r="AK36" s="1240"/>
      <c r="AL36" s="1240"/>
      <c r="AM36" s="1240"/>
      <c r="AN36" s="1240"/>
      <c r="AO36" s="1240"/>
      <c r="AP36" s="1240"/>
    </row>
    <row r="37" spans="1:42" ht="18.75" customHeight="1" x14ac:dyDescent="0.35">
      <c r="A37" s="1240"/>
      <c r="B37" s="1240"/>
      <c r="C37" s="1240"/>
      <c r="D37" s="1240"/>
      <c r="E37" s="1240"/>
      <c r="F37" s="1240"/>
      <c r="G37" s="1240"/>
      <c r="H37" s="1240"/>
      <c r="I37" s="1240"/>
      <c r="J37" s="1240"/>
      <c r="K37" s="1240"/>
      <c r="L37" s="1240"/>
      <c r="M37" s="1240"/>
      <c r="N37" s="1240"/>
      <c r="O37" s="1240"/>
      <c r="P37" s="1247">
        <f t="shared" si="7"/>
        <v>11</v>
      </c>
      <c r="Q37" s="1253" t="e">
        <f t="shared" ca="1" si="6"/>
        <v>#N/A</v>
      </c>
      <c r="R37" s="1247" t="str">
        <f>IFERROR(VLOOKUP(P37,RPCRepaymentDates[],1,FALSE),"")</f>
        <v/>
      </c>
      <c r="S37" s="1259">
        <f t="shared" si="2"/>
        <v>0</v>
      </c>
      <c r="T37" s="1247" t="str">
        <f>IFERROR(VLOOKUP(P37,RPCChargeCycleDates[],1,FALSE),"")</f>
        <v/>
      </c>
      <c r="U37" s="1248" t="str">
        <f>IFERROR(_xlfn.DAYS(T37,$Q$16)-SUM(U$26:U36),"")</f>
        <v/>
      </c>
      <c r="V37" s="1258">
        <f t="shared" ca="1" si="3"/>
        <v>0</v>
      </c>
      <c r="W37" s="1258">
        <f t="shared" ca="1" si="4"/>
        <v>0</v>
      </c>
      <c r="X37" s="1258" t="e">
        <f t="shared" ca="1" si="5"/>
        <v>#N/A</v>
      </c>
      <c r="Y37" s="1240"/>
      <c r="Z37" s="1240"/>
      <c r="AA37" s="1240">
        <v>18</v>
      </c>
      <c r="AB37" s="1240"/>
      <c r="AC37" s="1254" t="e">
        <f t="shared" si="8"/>
        <v>#NUM!</v>
      </c>
      <c r="AD37" s="1240"/>
      <c r="AE37" s="1254">
        <f t="shared" si="1"/>
        <v>484</v>
      </c>
      <c r="AF37" s="1240"/>
      <c r="AG37" s="1240"/>
      <c r="AH37" s="1240"/>
      <c r="AI37" s="1240"/>
      <c r="AJ37" s="1240"/>
      <c r="AK37" s="1240"/>
      <c r="AL37" s="1240"/>
      <c r="AM37" s="1240"/>
      <c r="AN37" s="1240"/>
      <c r="AO37" s="1240"/>
      <c r="AP37" s="1240"/>
    </row>
    <row r="38" spans="1:42" ht="18.75" customHeight="1" x14ac:dyDescent="0.35">
      <c r="A38" s="1240"/>
      <c r="B38" s="1240"/>
      <c r="C38" s="1240"/>
      <c r="D38" s="1240"/>
      <c r="E38" s="1240"/>
      <c r="F38" s="1240"/>
      <c r="G38" s="1240"/>
      <c r="H38" s="1240"/>
      <c r="I38" s="1240"/>
      <c r="J38" s="1240"/>
      <c r="K38" s="1240"/>
      <c r="L38" s="1240"/>
      <c r="M38" s="1240"/>
      <c r="N38" s="1240"/>
      <c r="O38" s="1240"/>
      <c r="P38" s="1247">
        <f t="shared" si="7"/>
        <v>12</v>
      </c>
      <c r="Q38" s="1253" t="e">
        <f t="shared" ca="1" si="6"/>
        <v>#N/A</v>
      </c>
      <c r="R38" s="1247" t="str">
        <f>IFERROR(VLOOKUP(P38,RPCRepaymentDates[],1,FALSE),"")</f>
        <v/>
      </c>
      <c r="S38" s="1259">
        <f t="shared" si="2"/>
        <v>0</v>
      </c>
      <c r="T38" s="1247" t="str">
        <f>IFERROR(VLOOKUP(P38,RPCChargeCycleDates[],1,FALSE),"")</f>
        <v/>
      </c>
      <c r="U38" s="1248" t="str">
        <f>IFERROR(_xlfn.DAYS(T38,$Q$16)-SUM(U$26:U37),"")</f>
        <v/>
      </c>
      <c r="V38" s="1258">
        <f t="shared" ca="1" si="3"/>
        <v>0</v>
      </c>
      <c r="W38" s="1258">
        <f t="shared" ca="1" si="4"/>
        <v>0</v>
      </c>
      <c r="X38" s="1258" t="e">
        <f t="shared" ca="1" si="5"/>
        <v>#N/A</v>
      </c>
      <c r="Y38" s="1240"/>
      <c r="Z38" s="1240"/>
      <c r="AA38" s="1240">
        <v>19</v>
      </c>
      <c r="AB38" s="1240"/>
      <c r="AC38" s="1254" t="e">
        <f t="shared" si="8"/>
        <v>#NUM!</v>
      </c>
      <c r="AD38" s="1240"/>
      <c r="AE38" s="1254">
        <f t="shared" si="1"/>
        <v>514</v>
      </c>
      <c r="AF38" s="1240"/>
      <c r="AG38" s="1240"/>
      <c r="AH38" s="1240"/>
      <c r="AI38" s="1240"/>
      <c r="AJ38" s="1240"/>
      <c r="AK38" s="1240"/>
      <c r="AL38" s="1240"/>
      <c r="AM38" s="1240"/>
      <c r="AN38" s="1240"/>
      <c r="AO38" s="1240"/>
      <c r="AP38" s="1240"/>
    </row>
    <row r="39" spans="1:42" ht="18.75" customHeight="1" x14ac:dyDescent="0.35">
      <c r="A39" s="1240"/>
      <c r="B39" s="1240"/>
      <c r="C39" s="1240"/>
      <c r="D39" s="1240"/>
      <c r="E39" s="1240"/>
      <c r="F39" s="1240"/>
      <c r="G39" s="1240"/>
      <c r="H39" s="1240"/>
      <c r="I39" s="1240"/>
      <c r="J39" s="1240"/>
      <c r="K39" s="1240"/>
      <c r="L39" s="1240"/>
      <c r="M39" s="1240"/>
      <c r="N39" s="1240"/>
      <c r="O39" s="1240"/>
      <c r="P39" s="1247">
        <f t="shared" si="7"/>
        <v>13</v>
      </c>
      <c r="Q39" s="1253" t="e">
        <f t="shared" ca="1" si="6"/>
        <v>#N/A</v>
      </c>
      <c r="R39" s="1247" t="str">
        <f>IFERROR(VLOOKUP(P39,RPCRepaymentDates[],1,FALSE),"")</f>
        <v/>
      </c>
      <c r="S39" s="1259">
        <f t="shared" si="2"/>
        <v>0</v>
      </c>
      <c r="T39" s="1247" t="str">
        <f>IFERROR(VLOOKUP(P39,RPCChargeCycleDates[],1,FALSE),"")</f>
        <v/>
      </c>
      <c r="U39" s="1248" t="str">
        <f>IFERROR(_xlfn.DAYS(T39,$Q$16)-SUM(U$26:U38),"")</f>
        <v/>
      </c>
      <c r="V39" s="1258">
        <f t="shared" ca="1" si="3"/>
        <v>0</v>
      </c>
      <c r="W39" s="1258">
        <f t="shared" ca="1" si="4"/>
        <v>0</v>
      </c>
      <c r="X39" s="1258" t="e">
        <f t="shared" ca="1" si="5"/>
        <v>#N/A</v>
      </c>
      <c r="Y39" s="1240"/>
      <c r="Z39" s="1240"/>
      <c r="AA39" s="1240">
        <v>20</v>
      </c>
      <c r="AB39" s="1240"/>
      <c r="AC39" s="1254" t="e">
        <f t="shared" si="8"/>
        <v>#NUM!</v>
      </c>
      <c r="AD39" s="1240"/>
      <c r="AE39" s="1254">
        <f t="shared" si="1"/>
        <v>545</v>
      </c>
      <c r="AF39" s="1240"/>
      <c r="AG39" s="1240"/>
      <c r="AH39" s="1240"/>
      <c r="AI39" s="1240"/>
      <c r="AJ39" s="1240"/>
      <c r="AK39" s="1240"/>
      <c r="AL39" s="1240"/>
      <c r="AM39" s="1240"/>
      <c r="AN39" s="1240"/>
      <c r="AO39" s="1240"/>
      <c r="AP39" s="1240"/>
    </row>
    <row r="40" spans="1:42" ht="18.75" customHeight="1" x14ac:dyDescent="0.35">
      <c r="A40" s="1240"/>
      <c r="B40" s="1240"/>
      <c r="C40" s="1240"/>
      <c r="D40" s="1240"/>
      <c r="E40" s="1240"/>
      <c r="F40" s="1240"/>
      <c r="G40" s="1240"/>
      <c r="H40" s="1264"/>
      <c r="I40" s="1240"/>
      <c r="J40" s="1240"/>
      <c r="K40" s="1240"/>
      <c r="L40" s="1240"/>
      <c r="M40" s="1240"/>
      <c r="N40" s="1240"/>
      <c r="O40" s="1240"/>
      <c r="P40" s="1247">
        <f t="shared" si="7"/>
        <v>14</v>
      </c>
      <c r="Q40" s="1253" t="e">
        <f t="shared" ca="1" si="6"/>
        <v>#N/A</v>
      </c>
      <c r="R40" s="1247" t="str">
        <f>IFERROR(VLOOKUP(P40,RPCRepaymentDates[],1,FALSE),"")</f>
        <v/>
      </c>
      <c r="S40" s="1259">
        <f t="shared" si="2"/>
        <v>0</v>
      </c>
      <c r="T40" s="1247" t="str">
        <f>IFERROR(VLOOKUP(P40,RPCChargeCycleDates[],1,FALSE),"")</f>
        <v/>
      </c>
      <c r="U40" s="1248" t="str">
        <f>IFERROR(_xlfn.DAYS(T40,$Q$16)-SUM(U$26:U39),"")</f>
        <v/>
      </c>
      <c r="V40" s="1258">
        <f t="shared" ca="1" si="3"/>
        <v>0</v>
      </c>
      <c r="W40" s="1258">
        <f t="shared" ca="1" si="4"/>
        <v>0</v>
      </c>
      <c r="X40" s="1258" t="e">
        <f t="shared" ca="1" si="5"/>
        <v>#N/A</v>
      </c>
      <c r="Y40" s="1240"/>
      <c r="Z40" s="1240"/>
      <c r="AA40" s="1240">
        <v>21</v>
      </c>
      <c r="AB40" s="1240"/>
      <c r="AC40" s="1254" t="e">
        <f t="shared" si="8"/>
        <v>#NUM!</v>
      </c>
      <c r="AD40" s="1240"/>
      <c r="AE40" s="1254">
        <f t="shared" si="1"/>
        <v>575</v>
      </c>
      <c r="AF40" s="1240"/>
      <c r="AG40" s="1240"/>
      <c r="AH40" s="1240"/>
      <c r="AI40" s="1240"/>
      <c r="AJ40" s="1240"/>
      <c r="AK40" s="1240"/>
      <c r="AL40" s="1240"/>
      <c r="AM40" s="1240"/>
      <c r="AN40" s="1240"/>
      <c r="AO40" s="1240"/>
      <c r="AP40" s="1240"/>
    </row>
    <row r="41" spans="1:42" ht="18.75" customHeight="1" x14ac:dyDescent="0.35">
      <c r="A41" s="1240"/>
      <c r="B41" s="1240"/>
      <c r="C41" s="1240"/>
      <c r="D41" s="1240"/>
      <c r="E41" s="1240"/>
      <c r="F41" s="1240"/>
      <c r="G41" s="1240"/>
      <c r="H41" s="1240"/>
      <c r="I41" s="1240"/>
      <c r="J41" s="1240"/>
      <c r="K41" s="1240"/>
      <c r="L41" s="1240"/>
      <c r="M41" s="1240"/>
      <c r="N41" s="1240"/>
      <c r="O41" s="1240"/>
      <c r="P41" s="1247">
        <f t="shared" si="7"/>
        <v>15</v>
      </c>
      <c r="Q41" s="1253" t="e">
        <f t="shared" ca="1" si="6"/>
        <v>#N/A</v>
      </c>
      <c r="R41" s="1247" t="str">
        <f>IFERROR(VLOOKUP(P41,RPCRepaymentDates[],1,FALSE),"")</f>
        <v/>
      </c>
      <c r="S41" s="1259">
        <f t="shared" si="2"/>
        <v>0</v>
      </c>
      <c r="T41" s="1247" t="str">
        <f>IFERROR(VLOOKUP(P41,RPCChargeCycleDates[],1,FALSE),"")</f>
        <v/>
      </c>
      <c r="U41" s="1248" t="str">
        <f>IFERROR(_xlfn.DAYS(T41,$Q$16)-SUM(U$26:U40),"")</f>
        <v/>
      </c>
      <c r="V41" s="1258">
        <f t="shared" ca="1" si="3"/>
        <v>0</v>
      </c>
      <c r="W41" s="1258">
        <f t="shared" ca="1" si="4"/>
        <v>0</v>
      </c>
      <c r="X41" s="1258" t="e">
        <f t="shared" ca="1" si="5"/>
        <v>#N/A</v>
      </c>
      <c r="Y41" s="1240"/>
      <c r="Z41" s="1240"/>
      <c r="AA41" s="1240">
        <v>22</v>
      </c>
      <c r="AB41" s="1240"/>
      <c r="AC41" s="1254" t="e">
        <f t="shared" si="8"/>
        <v>#NUM!</v>
      </c>
      <c r="AD41" s="1240"/>
      <c r="AE41" s="1254">
        <f t="shared" si="1"/>
        <v>606</v>
      </c>
      <c r="AF41" s="1240"/>
      <c r="AG41" s="1240"/>
      <c r="AH41" s="1240"/>
      <c r="AI41" s="1240"/>
      <c r="AJ41" s="1240"/>
      <c r="AK41" s="1240"/>
      <c r="AL41" s="1240"/>
      <c r="AM41" s="1240"/>
      <c r="AN41" s="1240"/>
      <c r="AO41" s="1240"/>
      <c r="AP41" s="1240"/>
    </row>
    <row r="42" spans="1:42" ht="18.75" customHeight="1" x14ac:dyDescent="0.35">
      <c r="A42" s="1240"/>
      <c r="B42" s="1240"/>
      <c r="C42" s="1240"/>
      <c r="D42" s="1240"/>
      <c r="E42" s="1240"/>
      <c r="F42" s="1240"/>
      <c r="G42" s="1240"/>
      <c r="H42" s="1240"/>
      <c r="I42" s="1240"/>
      <c r="J42" s="1240"/>
      <c r="K42" s="1240"/>
      <c r="L42" s="1240"/>
      <c r="M42" s="1240"/>
      <c r="N42" s="1240"/>
      <c r="O42" s="1240"/>
      <c r="P42" s="1247">
        <f t="shared" si="7"/>
        <v>16</v>
      </c>
      <c r="Q42" s="1253" t="e">
        <f t="shared" ca="1" si="6"/>
        <v>#N/A</v>
      </c>
      <c r="R42" s="1247" t="str">
        <f>IFERROR(VLOOKUP(P42,RPCRepaymentDates[],1,FALSE),"")</f>
        <v/>
      </c>
      <c r="S42" s="1259">
        <f t="shared" si="2"/>
        <v>0</v>
      </c>
      <c r="T42" s="1247" t="str">
        <f>IFERROR(VLOOKUP(P42,RPCChargeCycleDates[],1,FALSE),"")</f>
        <v/>
      </c>
      <c r="U42" s="1248" t="str">
        <f>IFERROR(_xlfn.DAYS(T42,$Q$16)-SUM(U$26:U41),"")</f>
        <v/>
      </c>
      <c r="V42" s="1258">
        <f t="shared" ca="1" si="3"/>
        <v>0</v>
      </c>
      <c r="W42" s="1258">
        <f t="shared" ca="1" si="4"/>
        <v>0</v>
      </c>
      <c r="X42" s="1258" t="e">
        <f t="shared" ca="1" si="5"/>
        <v>#N/A</v>
      </c>
      <c r="Y42" s="1240"/>
      <c r="Z42" s="1240"/>
      <c r="AA42" s="1240">
        <v>23</v>
      </c>
      <c r="AB42" s="1240"/>
      <c r="AC42" s="1254" t="e">
        <f t="shared" si="8"/>
        <v>#NUM!</v>
      </c>
      <c r="AD42" s="1240"/>
      <c r="AE42" s="1254">
        <f t="shared" si="1"/>
        <v>637</v>
      </c>
      <c r="AF42" s="1240"/>
      <c r="AG42" s="1240"/>
      <c r="AH42" s="1240"/>
      <c r="AI42" s="1240"/>
      <c r="AJ42" s="1240"/>
      <c r="AK42" s="1240"/>
      <c r="AL42" s="1240"/>
      <c r="AM42" s="1240"/>
      <c r="AN42" s="1240"/>
      <c r="AO42" s="1240"/>
      <c r="AP42" s="1240"/>
    </row>
    <row r="43" spans="1:42" ht="18.75" customHeight="1" x14ac:dyDescent="0.35">
      <c r="A43" s="1240"/>
      <c r="B43" s="1240"/>
      <c r="C43" s="1240"/>
      <c r="D43" s="1240"/>
      <c r="E43" s="1240"/>
      <c r="F43" s="1240"/>
      <c r="G43" s="1240"/>
      <c r="H43" s="1240"/>
      <c r="I43" s="1240"/>
      <c r="J43" s="1240"/>
      <c r="K43" s="1240"/>
      <c r="L43" s="1240"/>
      <c r="M43" s="1240"/>
      <c r="N43" s="1240"/>
      <c r="O43" s="1240"/>
      <c r="P43" s="1247">
        <f t="shared" si="7"/>
        <v>17</v>
      </c>
      <c r="Q43" s="1253" t="e">
        <f t="shared" ca="1" si="6"/>
        <v>#N/A</v>
      </c>
      <c r="R43" s="1247" t="str">
        <f>IFERROR(VLOOKUP(P43,RPCRepaymentDates[],1,FALSE),"")</f>
        <v/>
      </c>
      <c r="S43" s="1259">
        <f t="shared" si="2"/>
        <v>0</v>
      </c>
      <c r="T43" s="1247" t="str">
        <f>IFERROR(VLOOKUP(P43,RPCChargeCycleDates[],1,FALSE),"")</f>
        <v/>
      </c>
      <c r="U43" s="1248" t="str">
        <f>IFERROR(_xlfn.DAYS(T43,$Q$16)-SUM(U$26:U42),"")</f>
        <v/>
      </c>
      <c r="V43" s="1258">
        <f t="shared" ca="1" si="3"/>
        <v>0</v>
      </c>
      <c r="W43" s="1258">
        <f t="shared" ca="1" si="4"/>
        <v>0</v>
      </c>
      <c r="X43" s="1258" t="e">
        <f t="shared" ca="1" si="5"/>
        <v>#N/A</v>
      </c>
      <c r="Y43" s="1240"/>
      <c r="Z43" s="1240"/>
      <c r="AA43" s="1240">
        <v>24</v>
      </c>
      <c r="AB43" s="1240"/>
      <c r="AC43" s="1254" t="e">
        <f t="shared" si="8"/>
        <v>#NUM!</v>
      </c>
      <c r="AD43" s="1240"/>
      <c r="AE43" s="1254">
        <f t="shared" si="1"/>
        <v>667</v>
      </c>
      <c r="AF43" s="1240"/>
      <c r="AG43" s="1240"/>
      <c r="AH43" s="1240"/>
      <c r="AI43" s="1240"/>
      <c r="AJ43" s="1240"/>
      <c r="AK43" s="1240"/>
      <c r="AL43" s="1240"/>
      <c r="AM43" s="1240"/>
      <c r="AN43" s="1240"/>
      <c r="AO43" s="1240"/>
      <c r="AP43" s="1240"/>
    </row>
    <row r="44" spans="1:42" ht="18.75" customHeight="1" x14ac:dyDescent="0.35">
      <c r="A44" s="1240"/>
      <c r="B44" s="1240"/>
      <c r="C44" s="1240"/>
      <c r="D44" s="1240"/>
      <c r="E44" s="1240"/>
      <c r="F44" s="1240"/>
      <c r="G44" s="1240"/>
      <c r="H44" s="1240"/>
      <c r="I44" s="1240"/>
      <c r="J44" s="1240"/>
      <c r="K44" s="1240"/>
      <c r="L44" s="1240"/>
      <c r="M44" s="1240"/>
      <c r="N44" s="1240"/>
      <c r="O44" s="1240"/>
      <c r="P44" s="1247">
        <f t="shared" si="7"/>
        <v>18</v>
      </c>
      <c r="Q44" s="1253" t="e">
        <f t="shared" ca="1" si="6"/>
        <v>#N/A</v>
      </c>
      <c r="R44" s="1247" t="str">
        <f>IFERROR(VLOOKUP(P44,RPCRepaymentDates[],1,FALSE),"")</f>
        <v/>
      </c>
      <c r="S44" s="1259">
        <f t="shared" si="2"/>
        <v>0</v>
      </c>
      <c r="T44" s="1247" t="str">
        <f>IFERROR(VLOOKUP(P44,RPCChargeCycleDates[],1,FALSE),"")</f>
        <v/>
      </c>
      <c r="U44" s="1248" t="str">
        <f>IFERROR(_xlfn.DAYS(T44,$Q$16)-SUM(U$26:U43),"")</f>
        <v/>
      </c>
      <c r="V44" s="1258">
        <f t="shared" ca="1" si="3"/>
        <v>0</v>
      </c>
      <c r="W44" s="1258">
        <f t="shared" ca="1" si="4"/>
        <v>0</v>
      </c>
      <c r="X44" s="1258" t="e">
        <f t="shared" ca="1" si="5"/>
        <v>#N/A</v>
      </c>
      <c r="Y44" s="1240"/>
      <c r="Z44" s="1240"/>
      <c r="AA44" s="1240">
        <v>25</v>
      </c>
      <c r="AB44" s="1240"/>
      <c r="AC44" s="1254" t="e">
        <f t="shared" si="8"/>
        <v>#NUM!</v>
      </c>
      <c r="AD44" s="1240"/>
      <c r="AE44" s="1254">
        <f t="shared" si="1"/>
        <v>698</v>
      </c>
      <c r="AF44" s="1240"/>
      <c r="AG44" s="1240"/>
      <c r="AH44" s="1240"/>
      <c r="AI44" s="1240"/>
      <c r="AJ44" s="1240"/>
      <c r="AK44" s="1240"/>
      <c r="AL44" s="1240"/>
      <c r="AM44" s="1240"/>
      <c r="AN44" s="1240"/>
      <c r="AO44" s="1240"/>
      <c r="AP44" s="1240"/>
    </row>
    <row r="45" spans="1:42" ht="18.75" customHeight="1" x14ac:dyDescent="0.35">
      <c r="A45" s="1240"/>
      <c r="B45" s="1240"/>
      <c r="C45" s="1240"/>
      <c r="D45" s="1240"/>
      <c r="E45" s="1240"/>
      <c r="F45" s="1240"/>
      <c r="G45" s="1240"/>
      <c r="H45" s="1240"/>
      <c r="I45" s="1240"/>
      <c r="J45" s="1240"/>
      <c r="K45" s="1240"/>
      <c r="L45" s="1240"/>
      <c r="M45" s="1240"/>
      <c r="N45" s="1240"/>
      <c r="O45" s="1240"/>
      <c r="P45" s="1247">
        <f t="shared" si="7"/>
        <v>19</v>
      </c>
      <c r="Q45" s="1253" t="e">
        <f t="shared" ca="1" si="6"/>
        <v>#N/A</v>
      </c>
      <c r="R45" s="1247" t="str">
        <f>IFERROR(VLOOKUP(P45,RPCRepaymentDates[],1,FALSE),"")</f>
        <v/>
      </c>
      <c r="S45" s="1259">
        <f t="shared" si="2"/>
        <v>0</v>
      </c>
      <c r="T45" s="1247" t="str">
        <f>IFERROR(VLOOKUP(P45,RPCChargeCycleDates[],1,FALSE),"")</f>
        <v/>
      </c>
      <c r="U45" s="1248" t="str">
        <f>IFERROR(_xlfn.DAYS(T45,$Q$16)-SUM(U$26:U44),"")</f>
        <v/>
      </c>
      <c r="V45" s="1258">
        <f t="shared" ca="1" si="3"/>
        <v>0</v>
      </c>
      <c r="W45" s="1258">
        <f t="shared" ca="1" si="4"/>
        <v>0</v>
      </c>
      <c r="X45" s="1258" t="e">
        <f t="shared" ca="1" si="5"/>
        <v>#N/A</v>
      </c>
      <c r="Y45" s="1240"/>
      <c r="Z45" s="1240"/>
      <c r="AA45" s="1240">
        <v>26</v>
      </c>
      <c r="AB45" s="1240"/>
      <c r="AC45" s="1254" t="e">
        <f t="shared" si="8"/>
        <v>#NUM!</v>
      </c>
      <c r="AD45" s="1240"/>
      <c r="AE45" s="1254">
        <f t="shared" si="1"/>
        <v>728</v>
      </c>
      <c r="AF45" s="1240"/>
      <c r="AG45" s="1240"/>
      <c r="AH45" s="1240"/>
      <c r="AI45" s="1240"/>
      <c r="AJ45" s="1240"/>
      <c r="AK45" s="1240"/>
      <c r="AL45" s="1240"/>
      <c r="AM45" s="1240"/>
      <c r="AN45" s="1240"/>
      <c r="AO45" s="1240"/>
      <c r="AP45" s="1240"/>
    </row>
    <row r="46" spans="1:42" ht="18.75" customHeight="1" x14ac:dyDescent="0.35">
      <c r="A46" s="1240"/>
      <c r="B46" s="1240"/>
      <c r="C46" s="1240"/>
      <c r="D46" s="1240"/>
      <c r="E46" s="1240"/>
      <c r="F46" s="1240"/>
      <c r="G46" s="1240"/>
      <c r="H46" s="1240"/>
      <c r="I46" s="1240"/>
      <c r="J46" s="1240"/>
      <c r="K46" s="1240"/>
      <c r="L46" s="1240"/>
      <c r="M46" s="1240"/>
      <c r="N46" s="1240"/>
      <c r="O46" s="1240"/>
      <c r="P46" s="1247">
        <f t="shared" si="7"/>
        <v>20</v>
      </c>
      <c r="Q46" s="1253" t="e">
        <f t="shared" ca="1" si="6"/>
        <v>#N/A</v>
      </c>
      <c r="R46" s="1247" t="str">
        <f>IFERROR(VLOOKUP(P46,RPCRepaymentDates[],1,FALSE),"")</f>
        <v/>
      </c>
      <c r="S46" s="1259">
        <f t="shared" si="2"/>
        <v>0</v>
      </c>
      <c r="T46" s="1247" t="str">
        <f>IFERROR(VLOOKUP(P46,RPCChargeCycleDates[],1,FALSE),"")</f>
        <v/>
      </c>
      <c r="U46" s="1248" t="str">
        <f>IFERROR(_xlfn.DAYS(T46,$Q$16)-SUM(U$26:U45),"")</f>
        <v/>
      </c>
      <c r="V46" s="1258">
        <f t="shared" ca="1" si="3"/>
        <v>0</v>
      </c>
      <c r="W46" s="1258">
        <f t="shared" ca="1" si="4"/>
        <v>0</v>
      </c>
      <c r="X46" s="1258" t="e">
        <f t="shared" ca="1" si="5"/>
        <v>#N/A</v>
      </c>
      <c r="Y46" s="1240"/>
      <c r="Z46" s="1240"/>
      <c r="AA46" s="1240">
        <v>27</v>
      </c>
      <c r="AB46" s="1240"/>
      <c r="AC46" s="1254" t="e">
        <f t="shared" si="8"/>
        <v>#NUM!</v>
      </c>
      <c r="AD46" s="1240"/>
      <c r="AE46" s="1254">
        <f t="shared" si="1"/>
        <v>759</v>
      </c>
      <c r="AF46" s="1240"/>
      <c r="AG46" s="1240"/>
      <c r="AH46" s="1240"/>
      <c r="AI46" s="1240"/>
      <c r="AJ46" s="1240"/>
      <c r="AK46" s="1240"/>
      <c r="AL46" s="1240"/>
      <c r="AM46" s="1240"/>
      <c r="AN46" s="1240"/>
      <c r="AO46" s="1240"/>
      <c r="AP46" s="1240"/>
    </row>
    <row r="47" spans="1:42" ht="18.75" customHeight="1" x14ac:dyDescent="0.35">
      <c r="A47" s="1240"/>
      <c r="B47" s="1240"/>
      <c r="C47" s="1240"/>
      <c r="D47" s="1240"/>
      <c r="E47" s="1240"/>
      <c r="F47" s="1240"/>
      <c r="G47" s="1240"/>
      <c r="H47" s="1240"/>
      <c r="I47" s="1240"/>
      <c r="J47" s="1240"/>
      <c r="K47" s="1240"/>
      <c r="L47" s="1240"/>
      <c r="M47" s="1240"/>
      <c r="N47" s="1240"/>
      <c r="O47" s="1240"/>
      <c r="P47" s="1247">
        <f t="shared" si="7"/>
        <v>21</v>
      </c>
      <c r="Q47" s="1253" t="e">
        <f t="shared" ca="1" si="6"/>
        <v>#N/A</v>
      </c>
      <c r="R47" s="1247" t="str">
        <f>IFERROR(VLOOKUP(P47,RPCRepaymentDates[],1,FALSE),"")</f>
        <v/>
      </c>
      <c r="S47" s="1259">
        <f t="shared" si="2"/>
        <v>0</v>
      </c>
      <c r="T47" s="1247" t="str">
        <f>IFERROR(VLOOKUP(P47,RPCChargeCycleDates[],1,FALSE),"")</f>
        <v/>
      </c>
      <c r="U47" s="1248" t="str">
        <f>IFERROR(_xlfn.DAYS(T47,$Q$16)-SUM(U$26:U46),"")</f>
        <v/>
      </c>
      <c r="V47" s="1258">
        <f t="shared" ca="1" si="3"/>
        <v>0</v>
      </c>
      <c r="W47" s="1258">
        <f t="shared" ca="1" si="4"/>
        <v>0</v>
      </c>
      <c r="X47" s="1258" t="e">
        <f t="shared" ca="1" si="5"/>
        <v>#N/A</v>
      </c>
      <c r="Y47" s="1240"/>
      <c r="Z47" s="1240"/>
      <c r="AA47" s="1240">
        <v>28</v>
      </c>
      <c r="AB47" s="1240"/>
      <c r="AC47" s="1254" t="e">
        <f t="shared" si="8"/>
        <v>#NUM!</v>
      </c>
      <c r="AD47" s="1240"/>
      <c r="AE47" s="1254">
        <f t="shared" si="1"/>
        <v>790</v>
      </c>
      <c r="AF47" s="1240"/>
      <c r="AG47" s="1240"/>
      <c r="AH47" s="1240"/>
      <c r="AI47" s="1240"/>
      <c r="AJ47" s="1240"/>
      <c r="AK47" s="1240"/>
      <c r="AL47" s="1240"/>
      <c r="AM47" s="1240"/>
      <c r="AN47" s="1240"/>
      <c r="AO47" s="1240"/>
      <c r="AP47" s="1240"/>
    </row>
    <row r="48" spans="1:42" ht="18.75" customHeight="1" x14ac:dyDescent="0.35">
      <c r="A48" s="1240"/>
      <c r="B48" s="1240"/>
      <c r="C48" s="1240"/>
      <c r="D48" s="1240"/>
      <c r="E48" s="1240"/>
      <c r="F48" s="1240"/>
      <c r="G48" s="1240"/>
      <c r="H48" s="1240"/>
      <c r="I48" s="1240"/>
      <c r="J48" s="1240"/>
      <c r="K48" s="1240"/>
      <c r="L48" s="1240"/>
      <c r="M48" s="1240"/>
      <c r="N48" s="1240"/>
      <c r="O48" s="1240"/>
      <c r="P48" s="1247">
        <f t="shared" si="7"/>
        <v>22</v>
      </c>
      <c r="Q48" s="1253" t="e">
        <f t="shared" ca="1" si="6"/>
        <v>#N/A</v>
      </c>
      <c r="R48" s="1247" t="str">
        <f>IFERROR(VLOOKUP(P48,RPCRepaymentDates[],1,FALSE),"")</f>
        <v/>
      </c>
      <c r="S48" s="1259">
        <f t="shared" si="2"/>
        <v>0</v>
      </c>
      <c r="T48" s="1247" t="str">
        <f>IFERROR(VLOOKUP(P48,RPCChargeCycleDates[],1,FALSE),"")</f>
        <v/>
      </c>
      <c r="U48" s="1248" t="str">
        <f>IFERROR(_xlfn.DAYS(T48,$Q$16)-SUM(U$26:U47),"")</f>
        <v/>
      </c>
      <c r="V48" s="1258">
        <f t="shared" ca="1" si="3"/>
        <v>0</v>
      </c>
      <c r="W48" s="1258">
        <f t="shared" ca="1" si="4"/>
        <v>0</v>
      </c>
      <c r="X48" s="1258" t="e">
        <f t="shared" ca="1" si="5"/>
        <v>#N/A</v>
      </c>
      <c r="Y48" s="1240"/>
      <c r="Z48" s="1240"/>
      <c r="AA48" s="1240"/>
      <c r="AB48" s="1240"/>
      <c r="AC48" s="1254" t="e">
        <f t="shared" si="8"/>
        <v>#NUM!</v>
      </c>
      <c r="AD48" s="1240"/>
      <c r="AE48" s="1254">
        <f t="shared" si="1"/>
        <v>818</v>
      </c>
      <c r="AF48" s="1240"/>
      <c r="AG48" s="1240"/>
      <c r="AH48" s="1240"/>
      <c r="AI48" s="1240"/>
      <c r="AJ48" s="1240"/>
      <c r="AK48" s="1240"/>
      <c r="AL48" s="1240"/>
      <c r="AM48" s="1240"/>
      <c r="AN48" s="1240"/>
      <c r="AO48" s="1240"/>
      <c r="AP48" s="1240"/>
    </row>
    <row r="49" spans="1:42" ht="18.75" customHeight="1" x14ac:dyDescent="0.35">
      <c r="A49" s="1240"/>
      <c r="B49" s="1240"/>
      <c r="C49" s="1240"/>
      <c r="D49" s="1240"/>
      <c r="E49" s="1240"/>
      <c r="F49" s="1240"/>
      <c r="G49" s="1240"/>
      <c r="H49" s="1240"/>
      <c r="I49" s="1240"/>
      <c r="J49" s="1240"/>
      <c r="K49" s="1240"/>
      <c r="L49" s="1240"/>
      <c r="M49" s="1240"/>
      <c r="N49" s="1240"/>
      <c r="O49" s="1240"/>
      <c r="P49" s="1247">
        <f t="shared" si="7"/>
        <v>23</v>
      </c>
      <c r="Q49" s="1253" t="e">
        <f t="shared" ca="1" si="6"/>
        <v>#N/A</v>
      </c>
      <c r="R49" s="1247" t="str">
        <f>IFERROR(VLOOKUP(P49,RPCRepaymentDates[],1,FALSE),"")</f>
        <v/>
      </c>
      <c r="S49" s="1259">
        <f t="shared" si="2"/>
        <v>0</v>
      </c>
      <c r="T49" s="1247" t="str">
        <f>IFERROR(VLOOKUP(P49,RPCChargeCycleDates[],1,FALSE),"")</f>
        <v/>
      </c>
      <c r="U49" s="1248" t="str">
        <f>IFERROR(_xlfn.DAYS(T49,$Q$16)-SUM(U$26:U48),"")</f>
        <v/>
      </c>
      <c r="V49" s="1258">
        <f t="shared" ca="1" si="3"/>
        <v>0</v>
      </c>
      <c r="W49" s="1258">
        <f t="shared" ca="1" si="4"/>
        <v>0</v>
      </c>
      <c r="X49" s="1258" t="e">
        <f t="shared" ca="1" si="5"/>
        <v>#N/A</v>
      </c>
      <c r="Y49" s="1240"/>
      <c r="Z49" s="1240"/>
      <c r="AA49" s="1240"/>
      <c r="AB49" s="1240"/>
      <c r="AC49" s="1254" t="e">
        <f t="shared" si="8"/>
        <v>#NUM!</v>
      </c>
      <c r="AD49" s="1240"/>
      <c r="AE49" s="1254">
        <f t="shared" si="1"/>
        <v>849</v>
      </c>
      <c r="AF49" s="1240"/>
      <c r="AG49" s="1240"/>
      <c r="AH49" s="1240"/>
      <c r="AI49" s="1240"/>
      <c r="AJ49" s="1240"/>
      <c r="AK49" s="1240"/>
      <c r="AL49" s="1240"/>
      <c r="AM49" s="1240"/>
      <c r="AN49" s="1240"/>
      <c r="AO49" s="1240"/>
      <c r="AP49" s="1240"/>
    </row>
    <row r="50" spans="1:42" ht="18.75" customHeight="1" x14ac:dyDescent="0.35">
      <c r="A50" s="1240"/>
      <c r="B50" s="1240"/>
      <c r="C50" s="1240"/>
      <c r="D50" s="1240"/>
      <c r="E50" s="1240"/>
      <c r="F50" s="1240"/>
      <c r="G50" s="1240"/>
      <c r="H50" s="1240"/>
      <c r="I50" s="1240"/>
      <c r="J50" s="1240"/>
      <c r="K50" s="1240"/>
      <c r="L50" s="1240"/>
      <c r="M50" s="1240"/>
      <c r="N50" s="1240"/>
      <c r="O50" s="1240"/>
      <c r="P50" s="1247">
        <f t="shared" si="7"/>
        <v>24</v>
      </c>
      <c r="Q50" s="1253" t="e">
        <f t="shared" ca="1" si="6"/>
        <v>#N/A</v>
      </c>
      <c r="R50" s="1247" t="str">
        <f>IFERROR(VLOOKUP(P50,RPCRepaymentDates[],1,FALSE),"")</f>
        <v/>
      </c>
      <c r="S50" s="1259">
        <f t="shared" si="2"/>
        <v>0</v>
      </c>
      <c r="T50" s="1247" t="str">
        <f>IFERROR(VLOOKUP(P50,RPCChargeCycleDates[],1,FALSE),"")</f>
        <v/>
      </c>
      <c r="U50" s="1248" t="str">
        <f>IFERROR(_xlfn.DAYS(T50,$Q$16)-SUM(U$26:U49),"")</f>
        <v/>
      </c>
      <c r="V50" s="1258">
        <f t="shared" ca="1" si="3"/>
        <v>0</v>
      </c>
      <c r="W50" s="1258">
        <f t="shared" ca="1" si="4"/>
        <v>0</v>
      </c>
      <c r="X50" s="1258" t="e">
        <f t="shared" ca="1" si="5"/>
        <v>#N/A</v>
      </c>
      <c r="Y50" s="1240"/>
      <c r="Z50" s="1240"/>
      <c r="AA50" s="1240"/>
      <c r="AB50" s="1240"/>
      <c r="AC50" s="1254" t="e">
        <f t="shared" si="8"/>
        <v>#NUM!</v>
      </c>
      <c r="AD50" s="1240"/>
      <c r="AE50" s="1254">
        <f t="shared" si="1"/>
        <v>879</v>
      </c>
      <c r="AF50" s="1240"/>
      <c r="AG50" s="1240"/>
      <c r="AH50" s="1240"/>
      <c r="AI50" s="1240"/>
      <c r="AJ50" s="1240"/>
      <c r="AK50" s="1240"/>
      <c r="AL50" s="1240"/>
      <c r="AM50" s="1240"/>
      <c r="AN50" s="1240"/>
      <c r="AO50" s="1240"/>
      <c r="AP50" s="1240"/>
    </row>
    <row r="51" spans="1:42" ht="18.75" customHeight="1" x14ac:dyDescent="0.35">
      <c r="A51" s="1240"/>
      <c r="B51" s="1240"/>
      <c r="C51" s="1240"/>
      <c r="D51" s="1240"/>
      <c r="E51" s="1240"/>
      <c r="F51" s="1240"/>
      <c r="G51" s="1240"/>
      <c r="H51" s="1240"/>
      <c r="I51" s="1240"/>
      <c r="J51" s="1240"/>
      <c r="K51" s="1240"/>
      <c r="L51" s="1240"/>
      <c r="M51" s="1240"/>
      <c r="N51" s="1240"/>
      <c r="O51" s="1240"/>
      <c r="P51" s="1247">
        <f t="shared" si="7"/>
        <v>25</v>
      </c>
      <c r="Q51" s="1253" t="e">
        <f t="shared" ca="1" si="6"/>
        <v>#N/A</v>
      </c>
      <c r="R51" s="1247" t="str">
        <f>IFERROR(VLOOKUP(P51,RPCRepaymentDates[],1,FALSE),"")</f>
        <v/>
      </c>
      <c r="S51" s="1259">
        <f t="shared" si="2"/>
        <v>0</v>
      </c>
      <c r="T51" s="1247" t="str">
        <f>IFERROR(VLOOKUP(P51,RPCChargeCycleDates[],1,FALSE),"")</f>
        <v/>
      </c>
      <c r="U51" s="1248" t="str">
        <f>IFERROR(_xlfn.DAYS(T51,$Q$16)-SUM(U$26:U50),"")</f>
        <v/>
      </c>
      <c r="V51" s="1258">
        <f t="shared" ca="1" si="3"/>
        <v>0</v>
      </c>
      <c r="W51" s="1258">
        <f t="shared" ca="1" si="4"/>
        <v>0</v>
      </c>
      <c r="X51" s="1258" t="e">
        <f t="shared" ca="1" si="5"/>
        <v>#N/A</v>
      </c>
      <c r="Y51" s="1240"/>
      <c r="Z51" s="1240"/>
      <c r="AA51" s="1240"/>
      <c r="AB51" s="1240"/>
      <c r="AC51" s="1254" t="e">
        <f t="shared" si="8"/>
        <v>#NUM!</v>
      </c>
      <c r="AD51" s="1240"/>
      <c r="AE51" s="1254">
        <f t="shared" si="1"/>
        <v>910</v>
      </c>
      <c r="AF51" s="1240"/>
      <c r="AG51" s="1240"/>
      <c r="AH51" s="1240"/>
      <c r="AI51" s="1240"/>
      <c r="AJ51" s="1240"/>
      <c r="AK51" s="1240"/>
      <c r="AL51" s="1240"/>
      <c r="AM51" s="1240"/>
      <c r="AN51" s="1240"/>
      <c r="AO51" s="1240"/>
      <c r="AP51" s="1240"/>
    </row>
    <row r="52" spans="1:42" ht="18.75" customHeight="1" x14ac:dyDescent="0.35">
      <c r="A52" s="1240"/>
      <c r="B52" s="1240"/>
      <c r="C52" s="1240"/>
      <c r="D52" s="1240"/>
      <c r="E52" s="1240"/>
      <c r="F52" s="1240"/>
      <c r="G52" s="1240"/>
      <c r="H52" s="1240"/>
      <c r="I52" s="1240"/>
      <c r="J52" s="1240"/>
      <c r="K52" s="1240"/>
      <c r="L52" s="1240"/>
      <c r="M52" s="1240"/>
      <c r="N52" s="1240"/>
      <c r="O52" s="1240"/>
      <c r="P52" s="1247">
        <f t="shared" si="7"/>
        <v>26</v>
      </c>
      <c r="Q52" s="1253" t="e">
        <f t="shared" ca="1" si="6"/>
        <v>#N/A</v>
      </c>
      <c r="R52" s="1247" t="str">
        <f>IFERROR(VLOOKUP(P52,RPCRepaymentDates[],1,FALSE),"")</f>
        <v/>
      </c>
      <c r="S52" s="1259">
        <f t="shared" si="2"/>
        <v>0</v>
      </c>
      <c r="T52" s="1247" t="str">
        <f>IFERROR(VLOOKUP(P52,RPCChargeCycleDates[],1,FALSE),"")</f>
        <v/>
      </c>
      <c r="U52" s="1248" t="str">
        <f>IFERROR(_xlfn.DAYS(T52,$Q$16)-SUM(U$26:U51),"")</f>
        <v/>
      </c>
      <c r="V52" s="1258">
        <f t="shared" ca="1" si="3"/>
        <v>0</v>
      </c>
      <c r="W52" s="1258">
        <f t="shared" ca="1" si="4"/>
        <v>0</v>
      </c>
      <c r="X52" s="1258" t="e">
        <f t="shared" ca="1" si="5"/>
        <v>#N/A</v>
      </c>
      <c r="Y52" s="1240"/>
      <c r="Z52" s="1240"/>
      <c r="AA52" s="1240"/>
      <c r="AB52" s="1240"/>
      <c r="AC52" s="1254" t="e">
        <f t="shared" si="8"/>
        <v>#NUM!</v>
      </c>
      <c r="AD52" s="1240"/>
      <c r="AE52" s="1254">
        <f t="shared" si="1"/>
        <v>940</v>
      </c>
      <c r="AF52" s="1240"/>
      <c r="AG52" s="1240"/>
      <c r="AH52" s="1240"/>
      <c r="AI52" s="1240"/>
      <c r="AJ52" s="1240"/>
      <c r="AK52" s="1240"/>
      <c r="AL52" s="1240"/>
      <c r="AM52" s="1240"/>
      <c r="AN52" s="1240"/>
      <c r="AO52" s="1240"/>
      <c r="AP52" s="1240"/>
    </row>
    <row r="53" spans="1:42" ht="18.75" customHeight="1" x14ac:dyDescent="0.35">
      <c r="A53" s="1240"/>
      <c r="B53" s="1240"/>
      <c r="C53" s="1240"/>
      <c r="D53" s="1240"/>
      <c r="E53" s="1240"/>
      <c r="F53" s="1240"/>
      <c r="G53" s="1240"/>
      <c r="H53" s="1240"/>
      <c r="I53" s="1240"/>
      <c r="J53" s="1240"/>
      <c r="K53" s="1240"/>
      <c r="L53" s="1240"/>
      <c r="M53" s="1240"/>
      <c r="N53" s="1240"/>
      <c r="O53" s="1240"/>
      <c r="P53" s="1247">
        <f t="shared" si="7"/>
        <v>27</v>
      </c>
      <c r="Q53" s="1253" t="e">
        <f t="shared" ca="1" si="6"/>
        <v>#N/A</v>
      </c>
      <c r="R53" s="1247" t="str">
        <f>IFERROR(VLOOKUP(P53,RPCRepaymentDates[],1,FALSE),"")</f>
        <v/>
      </c>
      <c r="S53" s="1259">
        <f t="shared" si="2"/>
        <v>0</v>
      </c>
      <c r="T53" s="1247" t="str">
        <f>IFERROR(VLOOKUP(P53,RPCChargeCycleDates[],1,FALSE),"")</f>
        <v/>
      </c>
      <c r="U53" s="1248" t="str">
        <f>IFERROR(_xlfn.DAYS(T53,$Q$16)-SUM(U$26:U52),"")</f>
        <v/>
      </c>
      <c r="V53" s="1258">
        <f t="shared" ca="1" si="3"/>
        <v>0</v>
      </c>
      <c r="W53" s="1258">
        <f t="shared" ca="1" si="4"/>
        <v>0</v>
      </c>
      <c r="X53" s="1258" t="e">
        <f t="shared" ca="1" si="5"/>
        <v>#N/A</v>
      </c>
      <c r="Y53" s="1240"/>
      <c r="Z53" s="1240"/>
      <c r="AA53" s="1240"/>
      <c r="AB53" s="1240"/>
      <c r="AC53" s="1254" t="e">
        <f t="shared" si="8"/>
        <v>#NUM!</v>
      </c>
      <c r="AD53" s="1240"/>
      <c r="AE53" s="1254">
        <f t="shared" si="1"/>
        <v>971</v>
      </c>
      <c r="AF53" s="1240"/>
      <c r="AG53" s="1240"/>
      <c r="AH53" s="1240"/>
      <c r="AI53" s="1240"/>
      <c r="AJ53" s="1240"/>
      <c r="AK53" s="1240"/>
      <c r="AL53" s="1240"/>
      <c r="AM53" s="1240"/>
      <c r="AN53" s="1240"/>
      <c r="AO53" s="1240"/>
      <c r="AP53" s="1240"/>
    </row>
    <row r="54" spans="1:42" ht="18.75" customHeight="1" x14ac:dyDescent="0.35">
      <c r="A54" s="1240"/>
      <c r="B54" s="1240"/>
      <c r="C54" s="1240"/>
      <c r="D54" s="1240"/>
      <c r="E54" s="1240"/>
      <c r="F54" s="1240"/>
      <c r="G54" s="1240"/>
      <c r="H54" s="1240"/>
      <c r="I54" s="1240"/>
      <c r="J54" s="1240"/>
      <c r="K54" s="1240"/>
      <c r="L54" s="1240"/>
      <c r="M54" s="1240"/>
      <c r="N54" s="1240"/>
      <c r="O54" s="1240"/>
      <c r="P54" s="1247">
        <f t="shared" si="7"/>
        <v>28</v>
      </c>
      <c r="Q54" s="1253" t="e">
        <f t="shared" ca="1" si="6"/>
        <v>#N/A</v>
      </c>
      <c r="R54" s="1247" t="str">
        <f>IFERROR(VLOOKUP(P54,RPCRepaymentDates[],1,FALSE),"")</f>
        <v/>
      </c>
      <c r="S54" s="1259">
        <f t="shared" si="2"/>
        <v>0</v>
      </c>
      <c r="T54" s="1247" t="str">
        <f>IFERROR(VLOOKUP(P54,RPCChargeCycleDates[],1,FALSE),"")</f>
        <v/>
      </c>
      <c r="U54" s="1248" t="str">
        <f>IFERROR(_xlfn.DAYS(T54,$Q$16)-SUM(U$26:U53),"")</f>
        <v/>
      </c>
      <c r="V54" s="1258">
        <f t="shared" ca="1" si="3"/>
        <v>0</v>
      </c>
      <c r="W54" s="1258">
        <f t="shared" ca="1" si="4"/>
        <v>0</v>
      </c>
      <c r="X54" s="1258" t="e">
        <f t="shared" ca="1" si="5"/>
        <v>#N/A</v>
      </c>
      <c r="Y54" s="1240"/>
      <c r="Z54" s="1240"/>
      <c r="AA54" s="1240"/>
      <c r="AB54" s="1240"/>
      <c r="AC54" s="1254" t="e">
        <f t="shared" si="8"/>
        <v>#NUM!</v>
      </c>
      <c r="AD54" s="1240"/>
      <c r="AE54" s="1254">
        <f t="shared" si="1"/>
        <v>1002</v>
      </c>
      <c r="AF54" s="1240"/>
      <c r="AG54" s="1240"/>
      <c r="AH54" s="1240"/>
      <c r="AI54" s="1240"/>
      <c r="AJ54" s="1240"/>
      <c r="AK54" s="1240"/>
      <c r="AL54" s="1240"/>
      <c r="AM54" s="1240"/>
      <c r="AN54" s="1240"/>
      <c r="AO54" s="1240"/>
      <c r="AP54" s="1240"/>
    </row>
    <row r="55" spans="1:42" ht="18.75" customHeight="1" x14ac:dyDescent="0.35">
      <c r="A55" s="1240"/>
      <c r="B55" s="1240"/>
      <c r="C55" s="1240"/>
      <c r="D55" s="1240"/>
      <c r="E55" s="1240"/>
      <c r="F55" s="1240"/>
      <c r="G55" s="1240"/>
      <c r="H55" s="1240"/>
      <c r="I55" s="1240"/>
      <c r="J55" s="1240"/>
      <c r="K55" s="1240"/>
      <c r="L55" s="1240"/>
      <c r="M55" s="1240"/>
      <c r="N55" s="1240"/>
      <c r="O55" s="1240"/>
      <c r="P55" s="1247">
        <f t="shared" si="7"/>
        <v>29</v>
      </c>
      <c r="Q55" s="1253" t="e">
        <f t="shared" ca="1" si="6"/>
        <v>#N/A</v>
      </c>
      <c r="R55" s="1247" t="str">
        <f>IFERROR(VLOOKUP(P55,RPCRepaymentDates[],1,FALSE),"")</f>
        <v/>
      </c>
      <c r="S55" s="1259">
        <f t="shared" si="2"/>
        <v>0</v>
      </c>
      <c r="T55" s="1247" t="str">
        <f>IFERROR(VLOOKUP(P55,RPCChargeCycleDates[],1,FALSE),"")</f>
        <v/>
      </c>
      <c r="U55" s="1248" t="str">
        <f>IFERROR(_xlfn.DAYS(T55,$Q$16)-SUM(U$26:U54),"")</f>
        <v/>
      </c>
      <c r="V55" s="1258">
        <f t="shared" ca="1" si="3"/>
        <v>0</v>
      </c>
      <c r="W55" s="1258">
        <f t="shared" ca="1" si="4"/>
        <v>0</v>
      </c>
      <c r="X55" s="1258" t="e">
        <f t="shared" ca="1" si="5"/>
        <v>#N/A</v>
      </c>
      <c r="Y55" s="1240"/>
      <c r="Z55" s="1240"/>
      <c r="AA55" s="1240"/>
      <c r="AB55" s="1240"/>
      <c r="AC55" s="1254" t="e">
        <f t="shared" si="8"/>
        <v>#NUM!</v>
      </c>
      <c r="AD55" s="1240"/>
      <c r="AE55" s="1254">
        <f t="shared" si="1"/>
        <v>1032</v>
      </c>
      <c r="AF55" s="1240"/>
      <c r="AG55" s="1240"/>
      <c r="AH55" s="1240"/>
      <c r="AI55" s="1240"/>
      <c r="AJ55" s="1240"/>
      <c r="AK55" s="1240"/>
      <c r="AL55" s="1240"/>
      <c r="AM55" s="1240"/>
      <c r="AN55" s="1240"/>
      <c r="AO55" s="1240"/>
      <c r="AP55" s="1240"/>
    </row>
    <row r="56" spans="1:42" ht="18.75" customHeight="1" x14ac:dyDescent="0.35">
      <c r="A56" s="1240"/>
      <c r="B56" s="1240"/>
      <c r="C56" s="1240"/>
      <c r="D56" s="1240"/>
      <c r="E56" s="1240"/>
      <c r="F56" s="1240"/>
      <c r="G56" s="1240"/>
      <c r="H56" s="1240"/>
      <c r="I56" s="1240"/>
      <c r="J56" s="1240"/>
      <c r="K56" s="1240"/>
      <c r="L56" s="1240"/>
      <c r="M56" s="1240"/>
      <c r="N56" s="1240"/>
      <c r="O56" s="1240"/>
      <c r="P56" s="1247">
        <f t="shared" si="7"/>
        <v>30</v>
      </c>
      <c r="Q56" s="1253" t="e">
        <f t="shared" ca="1" si="6"/>
        <v>#N/A</v>
      </c>
      <c r="R56" s="1247" t="str">
        <f>IFERROR(VLOOKUP(P56,RPCRepaymentDates[],1,FALSE),"")</f>
        <v/>
      </c>
      <c r="S56" s="1259">
        <f t="shared" si="2"/>
        <v>0</v>
      </c>
      <c r="T56" s="1247" t="str">
        <f>IFERROR(VLOOKUP(P56,RPCChargeCycleDates[],1,FALSE),"")</f>
        <v/>
      </c>
      <c r="U56" s="1248" t="str">
        <f>IFERROR(_xlfn.DAYS(T56,$Q$16)-SUM(U$26:U55),"")</f>
        <v/>
      </c>
      <c r="V56" s="1258">
        <f t="shared" ca="1" si="3"/>
        <v>0</v>
      </c>
      <c r="W56" s="1258">
        <f t="shared" ca="1" si="4"/>
        <v>0</v>
      </c>
      <c r="X56" s="1258" t="e">
        <f t="shared" ca="1" si="5"/>
        <v>#N/A</v>
      </c>
      <c r="Y56" s="1240"/>
      <c r="Z56" s="1240"/>
      <c r="AA56" s="1240"/>
      <c r="AB56" s="1240"/>
      <c r="AC56" s="1254" t="e">
        <f t="shared" si="8"/>
        <v>#NUM!</v>
      </c>
      <c r="AD56" s="1240"/>
      <c r="AE56" s="1254">
        <f t="shared" si="1"/>
        <v>1063</v>
      </c>
      <c r="AF56" s="1240"/>
      <c r="AG56" s="1240"/>
      <c r="AH56" s="1240"/>
      <c r="AI56" s="1240"/>
      <c r="AJ56" s="1240"/>
      <c r="AK56" s="1240"/>
      <c r="AL56" s="1240"/>
      <c r="AM56" s="1240"/>
      <c r="AN56" s="1240"/>
      <c r="AO56" s="1240"/>
      <c r="AP56" s="1240"/>
    </row>
    <row r="57" spans="1:42" ht="18.75" customHeight="1" x14ac:dyDescent="0.35">
      <c r="A57" s="1240"/>
      <c r="B57" s="1240"/>
      <c r="C57" s="1240"/>
      <c r="D57" s="1240"/>
      <c r="E57" s="1240"/>
      <c r="F57" s="1240"/>
      <c r="G57" s="1240"/>
      <c r="H57" s="1240"/>
      <c r="I57" s="1240"/>
      <c r="J57" s="1240"/>
      <c r="K57" s="1240"/>
      <c r="L57" s="1240"/>
      <c r="M57" s="1240"/>
      <c r="N57" s="1240"/>
      <c r="O57" s="1240"/>
      <c r="P57" s="1247">
        <f t="shared" si="7"/>
        <v>31</v>
      </c>
      <c r="Q57" s="1253" t="e">
        <f t="shared" ca="1" si="6"/>
        <v>#N/A</v>
      </c>
      <c r="R57" s="1247" t="str">
        <f>IFERROR(VLOOKUP(P57,RPCRepaymentDates[],1,FALSE),"")</f>
        <v/>
      </c>
      <c r="S57" s="1259">
        <f t="shared" si="2"/>
        <v>0</v>
      </c>
      <c r="T57" s="1247">
        <f>IFERROR(VLOOKUP(P57,RPCChargeCycleDates[],1,FALSE),"")</f>
        <v>31</v>
      </c>
      <c r="U57" s="1248">
        <f>IFERROR(_xlfn.DAYS(T57,$Q$16)-SUM(U$26:U56),"")</f>
        <v>31</v>
      </c>
      <c r="V57" s="1258">
        <f t="shared" ca="1" si="3"/>
        <v>0</v>
      </c>
      <c r="W57" s="1258">
        <f t="shared" ca="1" si="4"/>
        <v>0</v>
      </c>
      <c r="X57" s="1258" t="e">
        <f t="shared" ca="1" si="5"/>
        <v>#N/A</v>
      </c>
      <c r="Y57" s="1240"/>
      <c r="Z57" s="1240"/>
      <c r="AA57" s="1240"/>
      <c r="AB57" s="1240"/>
      <c r="AC57" s="1254" t="e">
        <f t="shared" si="8"/>
        <v>#NUM!</v>
      </c>
      <c r="AD57" s="1240"/>
      <c r="AE57" s="1254">
        <f t="shared" si="1"/>
        <v>1093</v>
      </c>
      <c r="AF57" s="1240"/>
      <c r="AG57" s="1240"/>
      <c r="AH57" s="1240"/>
      <c r="AI57" s="1240"/>
      <c r="AJ57" s="1240"/>
      <c r="AK57" s="1240"/>
      <c r="AL57" s="1240"/>
      <c r="AM57" s="1240"/>
      <c r="AN57" s="1240"/>
      <c r="AO57" s="1240"/>
      <c r="AP57" s="1240"/>
    </row>
    <row r="58" spans="1:42" ht="18.75" customHeight="1" x14ac:dyDescent="0.35">
      <c r="A58" s="1240"/>
      <c r="B58" s="1240"/>
      <c r="C58" s="1240"/>
      <c r="D58" s="1240"/>
      <c r="E58" s="1240"/>
      <c r="F58" s="1240"/>
      <c r="G58" s="1240"/>
      <c r="H58" s="1240"/>
      <c r="I58" s="1240"/>
      <c r="J58" s="1240"/>
      <c r="K58" s="1240"/>
      <c r="L58" s="1240"/>
      <c r="M58" s="1240"/>
      <c r="N58" s="1240"/>
      <c r="O58" s="1240"/>
      <c r="P58" s="1247">
        <f t="shared" si="7"/>
        <v>32</v>
      </c>
      <c r="Q58" s="1253" t="e">
        <f t="shared" ca="1" si="6"/>
        <v>#N/A</v>
      </c>
      <c r="R58" s="1247" t="str">
        <f>IFERROR(VLOOKUP(P58,RPCRepaymentDates[],1,FALSE),"")</f>
        <v/>
      </c>
      <c r="S58" s="1259">
        <f t="shared" si="2"/>
        <v>0</v>
      </c>
      <c r="T58" s="1247" t="str">
        <f>IFERROR(VLOOKUP(P58,RPCChargeCycleDates[],1,FALSE),"")</f>
        <v/>
      </c>
      <c r="U58" s="1248" t="str">
        <f>IFERROR(_xlfn.DAYS(T58,$Q$16)-SUM(U$26:U57),"")</f>
        <v/>
      </c>
      <c r="V58" s="1258">
        <f t="shared" ca="1" si="3"/>
        <v>0</v>
      </c>
      <c r="W58" s="1258">
        <f t="shared" ca="1" si="4"/>
        <v>0</v>
      </c>
      <c r="X58" s="1258" t="e">
        <f t="shared" ca="1" si="5"/>
        <v>#N/A</v>
      </c>
      <c r="Y58" s="1240"/>
      <c r="Z58" s="1240"/>
      <c r="AA58" s="1240"/>
      <c r="AB58" s="1240"/>
      <c r="AC58" s="1254" t="e">
        <f t="shared" si="8"/>
        <v>#NUM!</v>
      </c>
      <c r="AD58" s="1240"/>
      <c r="AE58" s="1254">
        <f t="shared" si="1"/>
        <v>1124</v>
      </c>
      <c r="AF58" s="1240"/>
      <c r="AG58" s="1240"/>
      <c r="AH58" s="1240"/>
      <c r="AI58" s="1240"/>
      <c r="AJ58" s="1240"/>
      <c r="AK58" s="1240"/>
      <c r="AL58" s="1240"/>
      <c r="AM58" s="1240"/>
      <c r="AN58" s="1240"/>
      <c r="AO58" s="1240"/>
      <c r="AP58" s="1240"/>
    </row>
    <row r="59" spans="1:42" ht="18.75" customHeight="1" x14ac:dyDescent="0.35">
      <c r="A59" s="1240"/>
      <c r="B59" s="1240"/>
      <c r="C59" s="1240"/>
      <c r="D59" s="1240"/>
      <c r="E59" s="1240"/>
      <c r="F59" s="1240"/>
      <c r="G59" s="1240"/>
      <c r="H59" s="1240"/>
      <c r="I59" s="1240"/>
      <c r="J59" s="1240"/>
      <c r="K59" s="1240"/>
      <c r="L59" s="1240"/>
      <c r="M59" s="1240"/>
      <c r="N59" s="1240"/>
      <c r="O59" s="1240"/>
      <c r="P59" s="1247">
        <f t="shared" si="7"/>
        <v>33</v>
      </c>
      <c r="Q59" s="1253" t="e">
        <f t="shared" ca="1" si="6"/>
        <v>#N/A</v>
      </c>
      <c r="R59" s="1247" t="str">
        <f>IFERROR(VLOOKUP(P59,RPCRepaymentDates[],1,FALSE),"")</f>
        <v/>
      </c>
      <c r="S59" s="1259">
        <f t="shared" si="2"/>
        <v>0</v>
      </c>
      <c r="T59" s="1247" t="str">
        <f>IFERROR(VLOOKUP(P59,RPCChargeCycleDates[],1,FALSE),"")</f>
        <v/>
      </c>
      <c r="U59" s="1248" t="str">
        <f>IFERROR(_xlfn.DAYS(T59,$Q$16)-SUM(U$26:U58),"")</f>
        <v/>
      </c>
      <c r="V59" s="1258">
        <f t="shared" ca="1" si="3"/>
        <v>0</v>
      </c>
      <c r="W59" s="1258">
        <f t="shared" ca="1" si="4"/>
        <v>0</v>
      </c>
      <c r="X59" s="1258" t="e">
        <f t="shared" ca="1" si="5"/>
        <v>#N/A</v>
      </c>
      <c r="Y59" s="1240"/>
      <c r="Z59" s="1240"/>
      <c r="AA59" s="1240"/>
      <c r="AB59" s="1240"/>
      <c r="AC59" s="1254" t="e">
        <f t="shared" si="8"/>
        <v>#NUM!</v>
      </c>
      <c r="AD59" s="1240"/>
      <c r="AE59" s="1254">
        <f t="shared" si="1"/>
        <v>1155</v>
      </c>
      <c r="AF59" s="1240"/>
      <c r="AG59" s="1240"/>
      <c r="AH59" s="1240"/>
      <c r="AI59" s="1240"/>
      <c r="AJ59" s="1240"/>
      <c r="AK59" s="1240"/>
      <c r="AL59" s="1240"/>
      <c r="AM59" s="1240"/>
      <c r="AN59" s="1240"/>
      <c r="AO59" s="1240"/>
      <c r="AP59" s="1240"/>
    </row>
    <row r="60" spans="1:42" ht="18.75" customHeight="1" x14ac:dyDescent="0.35">
      <c r="A60" s="1240"/>
      <c r="B60" s="1240"/>
      <c r="C60" s="1240"/>
      <c r="D60" s="1240"/>
      <c r="E60" s="1240"/>
      <c r="F60" s="1240"/>
      <c r="G60" s="1240"/>
      <c r="H60" s="1240"/>
      <c r="I60" s="1240"/>
      <c r="J60" s="1240"/>
      <c r="K60" s="1240"/>
      <c r="L60" s="1240"/>
      <c r="M60" s="1240"/>
      <c r="N60" s="1240"/>
      <c r="O60" s="1240"/>
      <c r="P60" s="1247">
        <f t="shared" si="7"/>
        <v>34</v>
      </c>
      <c r="Q60" s="1253" t="e">
        <f t="shared" ca="1" si="6"/>
        <v>#N/A</v>
      </c>
      <c r="R60" s="1247" t="str">
        <f>IFERROR(VLOOKUP(P60,RPCRepaymentDates[],1,FALSE),"")</f>
        <v/>
      </c>
      <c r="S60" s="1259">
        <f t="shared" si="2"/>
        <v>0</v>
      </c>
      <c r="T60" s="1247" t="str">
        <f>IFERROR(VLOOKUP(P60,RPCChargeCycleDates[],1,FALSE),"")</f>
        <v/>
      </c>
      <c r="U60" s="1248" t="str">
        <f>IFERROR(_xlfn.DAYS(T60,$Q$16)-SUM(U$26:U59),"")</f>
        <v/>
      </c>
      <c r="V60" s="1258">
        <f t="shared" ca="1" si="3"/>
        <v>0</v>
      </c>
      <c r="W60" s="1258">
        <f t="shared" ca="1" si="4"/>
        <v>0</v>
      </c>
      <c r="X60" s="1258" t="e">
        <f t="shared" ca="1" si="5"/>
        <v>#N/A</v>
      </c>
      <c r="Y60" s="1240"/>
      <c r="Z60" s="1240"/>
      <c r="AA60" s="1240"/>
      <c r="AB60" s="1240"/>
      <c r="AC60" s="1254" t="e">
        <f t="shared" si="8"/>
        <v>#NUM!</v>
      </c>
      <c r="AD60" s="1240"/>
      <c r="AE60" s="1254">
        <f t="shared" si="1"/>
        <v>1183</v>
      </c>
      <c r="AF60" s="1240"/>
      <c r="AG60" s="1240"/>
      <c r="AH60" s="1240"/>
      <c r="AI60" s="1240"/>
      <c r="AJ60" s="1240"/>
      <c r="AK60" s="1240"/>
      <c r="AL60" s="1240"/>
      <c r="AM60" s="1240"/>
      <c r="AN60" s="1240"/>
      <c r="AO60" s="1240"/>
      <c r="AP60" s="1240"/>
    </row>
    <row r="61" spans="1:42" ht="18.75" customHeight="1" x14ac:dyDescent="0.35">
      <c r="A61" s="1240"/>
      <c r="B61" s="1240"/>
      <c r="C61" s="1240"/>
      <c r="D61" s="1240"/>
      <c r="E61" s="1240"/>
      <c r="F61" s="1240"/>
      <c r="G61" s="1240"/>
      <c r="H61" s="1240"/>
      <c r="I61" s="1240"/>
      <c r="J61" s="1240"/>
      <c r="K61" s="1240"/>
      <c r="L61" s="1240"/>
      <c r="M61" s="1240"/>
      <c r="N61" s="1240"/>
      <c r="O61" s="1240"/>
      <c r="P61" s="1247">
        <f t="shared" si="7"/>
        <v>35</v>
      </c>
      <c r="Q61" s="1253" t="e">
        <f t="shared" ca="1" si="6"/>
        <v>#N/A</v>
      </c>
      <c r="R61" s="1247" t="str">
        <f>IFERROR(VLOOKUP(P61,RPCRepaymentDates[],1,FALSE),"")</f>
        <v/>
      </c>
      <c r="S61" s="1259">
        <f t="shared" si="2"/>
        <v>0</v>
      </c>
      <c r="T61" s="1247" t="str">
        <f>IFERROR(VLOOKUP(P61,RPCChargeCycleDates[],1,FALSE),"")</f>
        <v/>
      </c>
      <c r="U61" s="1248" t="str">
        <f>IFERROR(_xlfn.DAYS(T61,$Q$16)-SUM(U$26:U60),"")</f>
        <v/>
      </c>
      <c r="V61" s="1258">
        <f t="shared" ca="1" si="3"/>
        <v>0</v>
      </c>
      <c r="W61" s="1258">
        <f t="shared" ca="1" si="4"/>
        <v>0</v>
      </c>
      <c r="X61" s="1258" t="e">
        <f t="shared" ca="1" si="5"/>
        <v>#N/A</v>
      </c>
      <c r="Y61" s="1240"/>
      <c r="Z61" s="1240"/>
      <c r="AA61" s="1240"/>
      <c r="AB61" s="1240"/>
      <c r="AC61" s="1254" t="e">
        <f t="shared" si="8"/>
        <v>#NUM!</v>
      </c>
      <c r="AD61" s="1240"/>
      <c r="AE61" s="1254">
        <f t="shared" si="1"/>
        <v>1214</v>
      </c>
      <c r="AF61" s="1240"/>
      <c r="AG61" s="1240"/>
      <c r="AH61" s="1240"/>
      <c r="AI61" s="1240"/>
      <c r="AJ61" s="1240"/>
      <c r="AK61" s="1240"/>
      <c r="AL61" s="1240"/>
      <c r="AM61" s="1240"/>
      <c r="AN61" s="1240"/>
      <c r="AO61" s="1240"/>
      <c r="AP61" s="1240"/>
    </row>
    <row r="62" spans="1:42" ht="18.75" customHeight="1" x14ac:dyDescent="0.35">
      <c r="A62" s="1240"/>
      <c r="B62" s="1240"/>
      <c r="C62" s="1240"/>
      <c r="D62" s="1240"/>
      <c r="E62" s="1240"/>
      <c r="F62" s="1240"/>
      <c r="G62" s="1240"/>
      <c r="H62" s="1240"/>
      <c r="I62" s="1240"/>
      <c r="J62" s="1240"/>
      <c r="K62" s="1240"/>
      <c r="L62" s="1240"/>
      <c r="M62" s="1240"/>
      <c r="N62" s="1240"/>
      <c r="O62" s="1240"/>
      <c r="P62" s="1247">
        <f t="shared" si="7"/>
        <v>36</v>
      </c>
      <c r="Q62" s="1253" t="e">
        <f t="shared" ca="1" si="6"/>
        <v>#N/A</v>
      </c>
      <c r="R62" s="1247" t="str">
        <f>IFERROR(VLOOKUP(P62,RPCRepaymentDates[],1,FALSE),"")</f>
        <v/>
      </c>
      <c r="S62" s="1259">
        <f t="shared" si="2"/>
        <v>0</v>
      </c>
      <c r="T62" s="1247" t="str">
        <f>IFERROR(VLOOKUP(P62,RPCChargeCycleDates[],1,FALSE),"")</f>
        <v/>
      </c>
      <c r="U62" s="1248" t="str">
        <f>IFERROR(_xlfn.DAYS(T62,$Q$16)-SUM(U$26:U61),"")</f>
        <v/>
      </c>
      <c r="V62" s="1258">
        <f t="shared" ca="1" si="3"/>
        <v>0</v>
      </c>
      <c r="W62" s="1258">
        <f t="shared" ca="1" si="4"/>
        <v>0</v>
      </c>
      <c r="X62" s="1258" t="e">
        <f t="shared" ca="1" si="5"/>
        <v>#N/A</v>
      </c>
      <c r="Y62" s="1240"/>
      <c r="Z62" s="1240"/>
      <c r="AA62" s="1240"/>
      <c r="AB62" s="1240"/>
      <c r="AC62" s="1254" t="e">
        <f t="shared" si="8"/>
        <v>#NUM!</v>
      </c>
      <c r="AD62" s="1240"/>
      <c r="AE62" s="1254">
        <f t="shared" si="1"/>
        <v>1244</v>
      </c>
      <c r="AF62" s="1240"/>
      <c r="AG62" s="1240"/>
      <c r="AH62" s="1240"/>
      <c r="AI62" s="1240"/>
      <c r="AJ62" s="1240"/>
      <c r="AK62" s="1240"/>
      <c r="AL62" s="1240"/>
      <c r="AM62" s="1240"/>
      <c r="AN62" s="1240"/>
      <c r="AO62" s="1240"/>
      <c r="AP62" s="1240"/>
    </row>
    <row r="63" spans="1:42" ht="18.75" customHeight="1" x14ac:dyDescent="0.35">
      <c r="A63" s="1240"/>
      <c r="B63" s="1240"/>
      <c r="C63" s="1240"/>
      <c r="D63" s="1240"/>
      <c r="E63" s="1240"/>
      <c r="F63" s="1240"/>
      <c r="G63" s="1240"/>
      <c r="H63" s="1240"/>
      <c r="I63" s="1240"/>
      <c r="J63" s="1240"/>
      <c r="K63" s="1240"/>
      <c r="L63" s="1240"/>
      <c r="M63" s="1240"/>
      <c r="N63" s="1240"/>
      <c r="O63" s="1240"/>
      <c r="P63" s="1247">
        <f t="shared" si="7"/>
        <v>37</v>
      </c>
      <c r="Q63" s="1253" t="e">
        <f t="shared" ca="1" si="6"/>
        <v>#N/A</v>
      </c>
      <c r="R63" s="1247" t="str">
        <f>IFERROR(VLOOKUP(P63,RPCRepaymentDates[],1,FALSE),"")</f>
        <v/>
      </c>
      <c r="S63" s="1259">
        <f t="shared" si="2"/>
        <v>0</v>
      </c>
      <c r="T63" s="1247" t="str">
        <f>IFERROR(VLOOKUP(P63,RPCChargeCycleDates[],1,FALSE),"")</f>
        <v/>
      </c>
      <c r="U63" s="1248" t="str">
        <f>IFERROR(_xlfn.DAYS(T63,$Q$16)-SUM(U$26:U62),"")</f>
        <v/>
      </c>
      <c r="V63" s="1258">
        <f t="shared" ca="1" si="3"/>
        <v>0</v>
      </c>
      <c r="W63" s="1258">
        <f t="shared" ca="1" si="4"/>
        <v>0</v>
      </c>
      <c r="X63" s="1258" t="e">
        <f t="shared" ca="1" si="5"/>
        <v>#N/A</v>
      </c>
      <c r="Y63" s="1240"/>
      <c r="Z63" s="1240"/>
      <c r="AA63" s="1240"/>
      <c r="AB63" s="1240"/>
      <c r="AC63" s="1254" t="e">
        <f t="shared" ref="AC63:AC126" si="9">IF(RPCRepaymentFrequency="Monthly",EDATE(AC62,1),IF(RPCRepaymentFrequency="Fortnightly",AC62+14,AC62+7))</f>
        <v>#NUM!</v>
      </c>
      <c r="AD63" s="1240"/>
      <c r="AE63" s="1254">
        <f t="shared" si="1"/>
        <v>1275</v>
      </c>
      <c r="AF63" s="1240"/>
      <c r="AG63" s="1240"/>
      <c r="AH63" s="1240"/>
      <c r="AI63" s="1240"/>
      <c r="AJ63" s="1240"/>
      <c r="AK63" s="1240"/>
      <c r="AL63" s="1240"/>
      <c r="AM63" s="1240"/>
      <c r="AN63" s="1240"/>
      <c r="AO63" s="1240"/>
      <c r="AP63" s="1240"/>
    </row>
    <row r="64" spans="1:42" ht="18.75" customHeight="1" x14ac:dyDescent="0.35">
      <c r="A64" s="1240"/>
      <c r="B64" s="1240"/>
      <c r="C64" s="1240"/>
      <c r="D64" s="1240"/>
      <c r="E64" s="1240"/>
      <c r="F64" s="1240"/>
      <c r="G64" s="1240"/>
      <c r="H64" s="1240"/>
      <c r="I64" s="1240"/>
      <c r="J64" s="1240"/>
      <c r="K64" s="1240"/>
      <c r="L64" s="1240"/>
      <c r="M64" s="1240"/>
      <c r="N64" s="1240"/>
      <c r="O64" s="1240"/>
      <c r="P64" s="1247">
        <f t="shared" si="7"/>
        <v>38</v>
      </c>
      <c r="Q64" s="1253" t="e">
        <f t="shared" ca="1" si="6"/>
        <v>#N/A</v>
      </c>
      <c r="R64" s="1247" t="str">
        <f>IFERROR(VLOOKUP(P64,RPCRepaymentDates[],1,FALSE),"")</f>
        <v/>
      </c>
      <c r="S64" s="1259">
        <f t="shared" si="2"/>
        <v>0</v>
      </c>
      <c r="T64" s="1247" t="str">
        <f>IFERROR(VLOOKUP(P64,RPCChargeCycleDates[],1,FALSE),"")</f>
        <v/>
      </c>
      <c r="U64" s="1248" t="str">
        <f>IFERROR(_xlfn.DAYS(T64,$Q$16)-SUM(U$26:U63),"")</f>
        <v/>
      </c>
      <c r="V64" s="1258">
        <f t="shared" ca="1" si="3"/>
        <v>0</v>
      </c>
      <c r="W64" s="1258">
        <f t="shared" ca="1" si="4"/>
        <v>0</v>
      </c>
      <c r="X64" s="1258" t="e">
        <f t="shared" ca="1" si="5"/>
        <v>#N/A</v>
      </c>
      <c r="Y64" s="1240"/>
      <c r="Z64" s="1240"/>
      <c r="AA64" s="1240"/>
      <c r="AB64" s="1240"/>
      <c r="AC64" s="1254" t="e">
        <f t="shared" si="9"/>
        <v>#NUM!</v>
      </c>
      <c r="AD64" s="1240"/>
      <c r="AE64" s="1254">
        <f t="shared" si="1"/>
        <v>1305</v>
      </c>
      <c r="AF64" s="1240"/>
      <c r="AG64" s="1240"/>
      <c r="AH64" s="1240"/>
      <c r="AI64" s="1240"/>
      <c r="AJ64" s="1240"/>
      <c r="AK64" s="1240"/>
      <c r="AL64" s="1240"/>
      <c r="AM64" s="1240"/>
      <c r="AN64" s="1240"/>
      <c r="AO64" s="1240"/>
      <c r="AP64" s="1240"/>
    </row>
    <row r="65" spans="1:42" ht="18.75" customHeight="1" x14ac:dyDescent="0.35">
      <c r="A65" s="1240"/>
      <c r="B65" s="1240"/>
      <c r="C65" s="1240"/>
      <c r="D65" s="1240"/>
      <c r="E65" s="1240"/>
      <c r="F65" s="1240"/>
      <c r="G65" s="1240"/>
      <c r="H65" s="1240"/>
      <c r="I65" s="1240"/>
      <c r="J65" s="1240"/>
      <c r="K65" s="1240"/>
      <c r="L65" s="1240"/>
      <c r="M65" s="1240"/>
      <c r="N65" s="1240"/>
      <c r="O65" s="1240"/>
      <c r="P65" s="1247">
        <f t="shared" si="7"/>
        <v>39</v>
      </c>
      <c r="Q65" s="1253" t="e">
        <f t="shared" ca="1" si="6"/>
        <v>#N/A</v>
      </c>
      <c r="R65" s="1247" t="str">
        <f>IFERROR(VLOOKUP(P65,RPCRepaymentDates[],1,FALSE),"")</f>
        <v/>
      </c>
      <c r="S65" s="1259">
        <f t="shared" si="2"/>
        <v>0</v>
      </c>
      <c r="T65" s="1247" t="str">
        <f>IFERROR(VLOOKUP(P65,RPCChargeCycleDates[],1,FALSE),"")</f>
        <v/>
      </c>
      <c r="U65" s="1248" t="str">
        <f>IFERROR(_xlfn.DAYS(T65,$Q$16)-SUM(U$26:U64),"")</f>
        <v/>
      </c>
      <c r="V65" s="1258">
        <f t="shared" ca="1" si="3"/>
        <v>0</v>
      </c>
      <c r="W65" s="1258">
        <f t="shared" ca="1" si="4"/>
        <v>0</v>
      </c>
      <c r="X65" s="1258" t="e">
        <f t="shared" ca="1" si="5"/>
        <v>#N/A</v>
      </c>
      <c r="Y65" s="1240"/>
      <c r="Z65" s="1240"/>
      <c r="AA65" s="1240"/>
      <c r="AB65" s="1240"/>
      <c r="AC65" s="1254" t="e">
        <f t="shared" si="9"/>
        <v>#NUM!</v>
      </c>
      <c r="AD65" s="1240"/>
      <c r="AE65" s="1254">
        <f t="shared" si="1"/>
        <v>1336</v>
      </c>
      <c r="AF65" s="1240"/>
      <c r="AG65" s="1240"/>
      <c r="AH65" s="1240"/>
      <c r="AI65" s="1240"/>
      <c r="AJ65" s="1240"/>
      <c r="AK65" s="1240"/>
      <c r="AL65" s="1240"/>
      <c r="AM65" s="1240"/>
      <c r="AN65" s="1240"/>
      <c r="AO65" s="1240"/>
      <c r="AP65" s="1240"/>
    </row>
    <row r="66" spans="1:42" ht="18.75" customHeight="1" x14ac:dyDescent="0.35">
      <c r="A66" s="1240"/>
      <c r="B66" s="1240"/>
      <c r="C66" s="1240"/>
      <c r="D66" s="1240"/>
      <c r="E66" s="1240"/>
      <c r="F66" s="1240"/>
      <c r="G66" s="1240"/>
      <c r="H66" s="1240"/>
      <c r="I66" s="1240"/>
      <c r="J66" s="1240"/>
      <c r="K66" s="1240"/>
      <c r="L66" s="1240"/>
      <c r="M66" s="1240"/>
      <c r="N66" s="1240"/>
      <c r="O66" s="1240"/>
      <c r="P66" s="1247">
        <f t="shared" si="7"/>
        <v>40</v>
      </c>
      <c r="Q66" s="1253" t="e">
        <f t="shared" ca="1" si="6"/>
        <v>#N/A</v>
      </c>
      <c r="R66" s="1247" t="str">
        <f>IFERROR(VLOOKUP(P66,RPCRepaymentDates[],1,FALSE),"")</f>
        <v/>
      </c>
      <c r="S66" s="1259">
        <f t="shared" si="2"/>
        <v>0</v>
      </c>
      <c r="T66" s="1247" t="str">
        <f>IFERROR(VLOOKUP(P66,RPCChargeCycleDates[],1,FALSE),"")</f>
        <v/>
      </c>
      <c r="U66" s="1248" t="str">
        <f>IFERROR(_xlfn.DAYS(T66,$Q$16)-SUM(U$26:U65),"")</f>
        <v/>
      </c>
      <c r="V66" s="1258">
        <f t="shared" ca="1" si="3"/>
        <v>0</v>
      </c>
      <c r="W66" s="1258">
        <f t="shared" ca="1" si="4"/>
        <v>0</v>
      </c>
      <c r="X66" s="1258" t="e">
        <f t="shared" ca="1" si="5"/>
        <v>#N/A</v>
      </c>
      <c r="Y66" s="1240"/>
      <c r="Z66" s="1240"/>
      <c r="AA66" s="1240"/>
      <c r="AB66" s="1240"/>
      <c r="AC66" s="1254" t="e">
        <f t="shared" si="9"/>
        <v>#NUM!</v>
      </c>
      <c r="AD66" s="1240"/>
      <c r="AE66" s="1254">
        <f t="shared" si="1"/>
        <v>1367</v>
      </c>
      <c r="AF66" s="1240"/>
      <c r="AG66" s="1240"/>
      <c r="AH66" s="1240"/>
      <c r="AI66" s="1240"/>
      <c r="AJ66" s="1240"/>
      <c r="AK66" s="1240"/>
      <c r="AL66" s="1240"/>
      <c r="AM66" s="1240"/>
      <c r="AN66" s="1240"/>
      <c r="AO66" s="1240"/>
      <c r="AP66" s="1240"/>
    </row>
    <row r="67" spans="1:42" ht="18.75" customHeight="1" x14ac:dyDescent="0.35">
      <c r="A67" s="1240"/>
      <c r="B67" s="1240"/>
      <c r="C67" s="1240"/>
      <c r="D67" s="1240"/>
      <c r="E67" s="1240"/>
      <c r="F67" s="1240"/>
      <c r="G67" s="1240"/>
      <c r="H67" s="1240"/>
      <c r="I67" s="1240"/>
      <c r="J67" s="1240"/>
      <c r="K67" s="1240"/>
      <c r="L67" s="1240"/>
      <c r="M67" s="1240"/>
      <c r="N67" s="1240"/>
      <c r="O67" s="1240"/>
      <c r="P67" s="1247">
        <f t="shared" si="7"/>
        <v>41</v>
      </c>
      <c r="Q67" s="1253" t="e">
        <f t="shared" ca="1" si="6"/>
        <v>#N/A</v>
      </c>
      <c r="R67" s="1247" t="str">
        <f>IFERROR(VLOOKUP(P67,RPCRepaymentDates[],1,FALSE),"")</f>
        <v/>
      </c>
      <c r="S67" s="1259">
        <f t="shared" si="2"/>
        <v>0</v>
      </c>
      <c r="T67" s="1247" t="str">
        <f>IFERROR(VLOOKUP(P67,RPCChargeCycleDates[],1,FALSE),"")</f>
        <v/>
      </c>
      <c r="U67" s="1248" t="str">
        <f>IFERROR(_xlfn.DAYS(T67,$Q$16)-SUM(U$26:U66),"")</f>
        <v/>
      </c>
      <c r="V67" s="1258">
        <f t="shared" ca="1" si="3"/>
        <v>0</v>
      </c>
      <c r="W67" s="1258">
        <f t="shared" ca="1" si="4"/>
        <v>0</v>
      </c>
      <c r="X67" s="1258" t="e">
        <f t="shared" ca="1" si="5"/>
        <v>#N/A</v>
      </c>
      <c r="Y67" s="1240"/>
      <c r="Z67" s="1240"/>
      <c r="AA67" s="1240"/>
      <c r="AB67" s="1240"/>
      <c r="AC67" s="1254" t="e">
        <f t="shared" si="9"/>
        <v>#NUM!</v>
      </c>
      <c r="AD67" s="1240"/>
      <c r="AE67" s="1254">
        <f t="shared" si="1"/>
        <v>1397</v>
      </c>
      <c r="AF67" s="1240"/>
      <c r="AG67" s="1240"/>
      <c r="AH67" s="1240"/>
      <c r="AI67" s="1240"/>
      <c r="AJ67" s="1240"/>
      <c r="AK67" s="1240"/>
      <c r="AL67" s="1240"/>
      <c r="AM67" s="1240"/>
      <c r="AN67" s="1240"/>
      <c r="AO67" s="1240"/>
      <c r="AP67" s="1240"/>
    </row>
    <row r="68" spans="1:42" ht="18.75" customHeight="1" x14ac:dyDescent="0.35">
      <c r="A68" s="1240"/>
      <c r="B68" s="1240"/>
      <c r="C68" s="1240"/>
      <c r="D68" s="1240"/>
      <c r="E68" s="1240"/>
      <c r="F68" s="1240"/>
      <c r="G68" s="1240"/>
      <c r="H68" s="1240"/>
      <c r="I68" s="1240"/>
      <c r="J68" s="1240"/>
      <c r="K68" s="1240"/>
      <c r="L68" s="1240"/>
      <c r="M68" s="1240"/>
      <c r="N68" s="1240"/>
      <c r="O68" s="1240"/>
      <c r="P68" s="1247">
        <f t="shared" si="7"/>
        <v>42</v>
      </c>
      <c r="Q68" s="1253" t="e">
        <f t="shared" ca="1" si="6"/>
        <v>#N/A</v>
      </c>
      <c r="R68" s="1247" t="str">
        <f>IFERROR(VLOOKUP(P68,RPCRepaymentDates[],1,FALSE),"")</f>
        <v/>
      </c>
      <c r="S68" s="1259">
        <f t="shared" si="2"/>
        <v>0</v>
      </c>
      <c r="T68" s="1247" t="str">
        <f>IFERROR(VLOOKUP(P68,RPCChargeCycleDates[],1,FALSE),"")</f>
        <v/>
      </c>
      <c r="U68" s="1248" t="str">
        <f>IFERROR(_xlfn.DAYS(T68,$Q$16)-SUM(U$26:U67),"")</f>
        <v/>
      </c>
      <c r="V68" s="1258">
        <f t="shared" ca="1" si="3"/>
        <v>0</v>
      </c>
      <c r="W68" s="1258">
        <f t="shared" ca="1" si="4"/>
        <v>0</v>
      </c>
      <c r="X68" s="1258" t="e">
        <f t="shared" ca="1" si="5"/>
        <v>#N/A</v>
      </c>
      <c r="Y68" s="1240"/>
      <c r="Z68" s="1240"/>
      <c r="AA68" s="1240"/>
      <c r="AB68" s="1240"/>
      <c r="AC68" s="1254" t="e">
        <f t="shared" si="9"/>
        <v>#NUM!</v>
      </c>
      <c r="AD68" s="1240"/>
      <c r="AE68" s="1254">
        <f t="shared" si="1"/>
        <v>1428</v>
      </c>
      <c r="AF68" s="1240"/>
      <c r="AG68" s="1240"/>
      <c r="AH68" s="1240"/>
      <c r="AI68" s="1240"/>
      <c r="AJ68" s="1240"/>
      <c r="AK68" s="1240"/>
      <c r="AL68" s="1240"/>
      <c r="AM68" s="1240"/>
      <c r="AN68" s="1240"/>
      <c r="AO68" s="1240"/>
      <c r="AP68" s="1240"/>
    </row>
    <row r="69" spans="1:42" ht="18.75" customHeight="1" x14ac:dyDescent="0.35">
      <c r="A69" s="1240"/>
      <c r="B69" s="1240"/>
      <c r="C69" s="1240"/>
      <c r="D69" s="1240"/>
      <c r="E69" s="1240"/>
      <c r="F69" s="1240"/>
      <c r="G69" s="1240"/>
      <c r="H69" s="1240"/>
      <c r="I69" s="1240"/>
      <c r="J69" s="1240"/>
      <c r="K69" s="1240"/>
      <c r="L69" s="1240"/>
      <c r="M69" s="1240"/>
      <c r="N69" s="1240"/>
      <c r="O69" s="1240"/>
      <c r="P69" s="1247">
        <f t="shared" si="7"/>
        <v>43</v>
      </c>
      <c r="Q69" s="1253" t="e">
        <f t="shared" ca="1" si="6"/>
        <v>#N/A</v>
      </c>
      <c r="R69" s="1247" t="str">
        <f>IFERROR(VLOOKUP(P69,RPCRepaymentDates[],1,FALSE),"")</f>
        <v/>
      </c>
      <c r="S69" s="1259">
        <f t="shared" si="2"/>
        <v>0</v>
      </c>
      <c r="T69" s="1247" t="str">
        <f>IFERROR(VLOOKUP(P69,RPCChargeCycleDates[],1,FALSE),"")</f>
        <v/>
      </c>
      <c r="U69" s="1248" t="str">
        <f>IFERROR(_xlfn.DAYS(T69,$Q$16)-SUM(U$26:U68),"")</f>
        <v/>
      </c>
      <c r="V69" s="1258">
        <f t="shared" ca="1" si="3"/>
        <v>0</v>
      </c>
      <c r="W69" s="1258">
        <f t="shared" ca="1" si="4"/>
        <v>0</v>
      </c>
      <c r="X69" s="1258" t="e">
        <f t="shared" ca="1" si="5"/>
        <v>#N/A</v>
      </c>
      <c r="Y69" s="1240"/>
      <c r="Z69" s="1240"/>
      <c r="AA69" s="1240"/>
      <c r="AB69" s="1240"/>
      <c r="AC69" s="1254" t="e">
        <f t="shared" si="9"/>
        <v>#NUM!</v>
      </c>
      <c r="AD69" s="1240"/>
      <c r="AE69" s="1254">
        <f t="shared" si="1"/>
        <v>1458</v>
      </c>
      <c r="AF69" s="1240"/>
      <c r="AG69" s="1240"/>
      <c r="AH69" s="1240"/>
      <c r="AI69" s="1240"/>
      <c r="AJ69" s="1240"/>
      <c r="AK69" s="1240"/>
      <c r="AL69" s="1240"/>
      <c r="AM69" s="1240"/>
      <c r="AN69" s="1240"/>
      <c r="AO69" s="1240"/>
      <c r="AP69" s="1240"/>
    </row>
    <row r="70" spans="1:42" ht="18.75" customHeight="1" x14ac:dyDescent="0.35">
      <c r="A70" s="1240"/>
      <c r="B70" s="1240"/>
      <c r="C70" s="1240"/>
      <c r="D70" s="1240"/>
      <c r="E70" s="1240"/>
      <c r="F70" s="1240"/>
      <c r="G70" s="1240"/>
      <c r="H70" s="1240"/>
      <c r="I70" s="1240"/>
      <c r="J70" s="1240"/>
      <c r="K70" s="1240"/>
      <c r="L70" s="1240"/>
      <c r="M70" s="1240"/>
      <c r="N70" s="1240"/>
      <c r="O70" s="1240"/>
      <c r="P70" s="1247">
        <f t="shared" si="7"/>
        <v>44</v>
      </c>
      <c r="Q70" s="1253" t="e">
        <f t="shared" ca="1" si="6"/>
        <v>#N/A</v>
      </c>
      <c r="R70" s="1247" t="str">
        <f>IFERROR(VLOOKUP(P70,RPCRepaymentDates[],1,FALSE),"")</f>
        <v/>
      </c>
      <c r="S70" s="1259">
        <f t="shared" si="2"/>
        <v>0</v>
      </c>
      <c r="T70" s="1247" t="str">
        <f>IFERROR(VLOOKUP(P70,RPCChargeCycleDates[],1,FALSE),"")</f>
        <v/>
      </c>
      <c r="U70" s="1248" t="str">
        <f>IFERROR(_xlfn.DAYS(T70,$Q$16)-SUM(U$26:U69),"")</f>
        <v/>
      </c>
      <c r="V70" s="1258">
        <f t="shared" ca="1" si="3"/>
        <v>0</v>
      </c>
      <c r="W70" s="1258">
        <f t="shared" ca="1" si="4"/>
        <v>0</v>
      </c>
      <c r="X70" s="1258" t="e">
        <f t="shared" ca="1" si="5"/>
        <v>#N/A</v>
      </c>
      <c r="Y70" s="1240"/>
      <c r="Z70" s="1240"/>
      <c r="AA70" s="1240"/>
      <c r="AB70" s="1240"/>
      <c r="AC70" s="1254" t="e">
        <f t="shared" si="9"/>
        <v>#NUM!</v>
      </c>
      <c r="AD70" s="1240"/>
      <c r="AE70" s="1254">
        <f t="shared" si="1"/>
        <v>1489</v>
      </c>
      <c r="AF70" s="1240"/>
      <c r="AG70" s="1240"/>
      <c r="AH70" s="1240"/>
      <c r="AI70" s="1240"/>
      <c r="AJ70" s="1240"/>
      <c r="AK70" s="1240"/>
      <c r="AL70" s="1240"/>
      <c r="AM70" s="1240"/>
      <c r="AN70" s="1240"/>
      <c r="AO70" s="1240"/>
      <c r="AP70" s="1240"/>
    </row>
    <row r="71" spans="1:42" ht="18.75" customHeight="1" x14ac:dyDescent="0.35">
      <c r="A71" s="1240"/>
      <c r="B71" s="1240"/>
      <c r="C71" s="1240"/>
      <c r="D71" s="1240"/>
      <c r="E71" s="1240"/>
      <c r="F71" s="1240"/>
      <c r="G71" s="1240"/>
      <c r="H71" s="1240"/>
      <c r="I71" s="1240"/>
      <c r="J71" s="1240"/>
      <c r="K71" s="1240"/>
      <c r="L71" s="1240"/>
      <c r="M71" s="1240"/>
      <c r="N71" s="1240"/>
      <c r="O71" s="1240"/>
      <c r="P71" s="1247">
        <f t="shared" si="7"/>
        <v>45</v>
      </c>
      <c r="Q71" s="1253" t="e">
        <f t="shared" ca="1" si="6"/>
        <v>#N/A</v>
      </c>
      <c r="R71" s="1247" t="str">
        <f>IFERROR(VLOOKUP(P71,RPCRepaymentDates[],1,FALSE),"")</f>
        <v/>
      </c>
      <c r="S71" s="1259">
        <f t="shared" si="2"/>
        <v>0</v>
      </c>
      <c r="T71" s="1247" t="str">
        <f>IFERROR(VLOOKUP(P71,RPCChargeCycleDates[],1,FALSE),"")</f>
        <v/>
      </c>
      <c r="U71" s="1248" t="str">
        <f>IFERROR(_xlfn.DAYS(T71,$Q$16)-SUM(U$26:U70),"")</f>
        <v/>
      </c>
      <c r="V71" s="1258">
        <f t="shared" ca="1" si="3"/>
        <v>0</v>
      </c>
      <c r="W71" s="1258">
        <f t="shared" ca="1" si="4"/>
        <v>0</v>
      </c>
      <c r="X71" s="1258" t="e">
        <f t="shared" ca="1" si="5"/>
        <v>#N/A</v>
      </c>
      <c r="Y71" s="1240"/>
      <c r="Z71" s="1240"/>
      <c r="AA71" s="1240"/>
      <c r="AB71" s="1240"/>
      <c r="AC71" s="1254" t="e">
        <f t="shared" si="9"/>
        <v>#NUM!</v>
      </c>
      <c r="AD71" s="1240"/>
      <c r="AE71" s="1254">
        <f t="shared" si="1"/>
        <v>1520</v>
      </c>
      <c r="AF71" s="1240"/>
      <c r="AG71" s="1240"/>
      <c r="AH71" s="1240"/>
      <c r="AI71" s="1240"/>
      <c r="AJ71" s="1240"/>
      <c r="AK71" s="1240"/>
      <c r="AL71" s="1240"/>
      <c r="AM71" s="1240"/>
      <c r="AN71" s="1240"/>
      <c r="AO71" s="1240"/>
      <c r="AP71" s="1240"/>
    </row>
    <row r="72" spans="1:42" ht="18.75" customHeight="1" x14ac:dyDescent="0.35">
      <c r="A72" s="1240"/>
      <c r="B72" s="1240"/>
      <c r="C72" s="1240"/>
      <c r="D72" s="1240"/>
      <c r="E72" s="1240"/>
      <c r="F72" s="1240"/>
      <c r="G72" s="1240"/>
      <c r="H72" s="1240"/>
      <c r="I72" s="1240"/>
      <c r="J72" s="1240"/>
      <c r="K72" s="1240"/>
      <c r="L72" s="1240"/>
      <c r="M72" s="1240"/>
      <c r="N72" s="1240"/>
      <c r="O72" s="1240"/>
      <c r="P72" s="1247">
        <f t="shared" si="7"/>
        <v>46</v>
      </c>
      <c r="Q72" s="1253" t="e">
        <f t="shared" ca="1" si="6"/>
        <v>#N/A</v>
      </c>
      <c r="R72" s="1247" t="str">
        <f>IFERROR(VLOOKUP(P72,RPCRepaymentDates[],1,FALSE),"")</f>
        <v/>
      </c>
      <c r="S72" s="1259">
        <f t="shared" si="2"/>
        <v>0</v>
      </c>
      <c r="T72" s="1247" t="str">
        <f>IFERROR(VLOOKUP(P72,RPCChargeCycleDates[],1,FALSE),"")</f>
        <v/>
      </c>
      <c r="U72" s="1248" t="str">
        <f>IFERROR(_xlfn.DAYS(T72,$Q$16)-SUM(U$26:U71),"")</f>
        <v/>
      </c>
      <c r="V72" s="1258">
        <f t="shared" ca="1" si="3"/>
        <v>0</v>
      </c>
      <c r="W72" s="1258">
        <f t="shared" ca="1" si="4"/>
        <v>0</v>
      </c>
      <c r="X72" s="1258" t="e">
        <f t="shared" ca="1" si="5"/>
        <v>#N/A</v>
      </c>
      <c r="Y72" s="1240"/>
      <c r="Z72" s="1240"/>
      <c r="AA72" s="1240"/>
      <c r="AB72" s="1240"/>
      <c r="AC72" s="1254" t="e">
        <f t="shared" si="9"/>
        <v>#NUM!</v>
      </c>
      <c r="AD72" s="1240"/>
      <c r="AE72" s="1254">
        <f t="shared" si="1"/>
        <v>1549</v>
      </c>
      <c r="AF72" s="1240"/>
      <c r="AG72" s="1240"/>
      <c r="AH72" s="1240"/>
      <c r="AI72" s="1240"/>
      <c r="AJ72" s="1240"/>
      <c r="AK72" s="1240"/>
      <c r="AL72" s="1240"/>
      <c r="AM72" s="1240"/>
      <c r="AN72" s="1240"/>
      <c r="AO72" s="1240"/>
      <c r="AP72" s="1240"/>
    </row>
    <row r="73" spans="1:42" ht="18.75" customHeight="1" x14ac:dyDescent="0.35">
      <c r="A73" s="1240"/>
      <c r="B73" s="1240"/>
      <c r="C73" s="1240"/>
      <c r="D73" s="1240"/>
      <c r="E73" s="1240"/>
      <c r="F73" s="1240"/>
      <c r="G73" s="1240"/>
      <c r="H73" s="1240"/>
      <c r="I73" s="1240"/>
      <c r="J73" s="1240"/>
      <c r="K73" s="1240"/>
      <c r="L73" s="1240"/>
      <c r="M73" s="1240"/>
      <c r="N73" s="1240"/>
      <c r="O73" s="1240"/>
      <c r="P73" s="1247">
        <f t="shared" si="7"/>
        <v>47</v>
      </c>
      <c r="Q73" s="1253" t="e">
        <f t="shared" ca="1" si="6"/>
        <v>#N/A</v>
      </c>
      <c r="R73" s="1247" t="str">
        <f>IFERROR(VLOOKUP(P73,RPCRepaymentDates[],1,FALSE),"")</f>
        <v/>
      </c>
      <c r="S73" s="1259">
        <f t="shared" si="2"/>
        <v>0</v>
      </c>
      <c r="T73" s="1247" t="str">
        <f>IFERROR(VLOOKUP(P73,RPCChargeCycleDates[],1,FALSE),"")</f>
        <v/>
      </c>
      <c r="U73" s="1248" t="str">
        <f>IFERROR(_xlfn.DAYS(T73,$Q$16)-SUM(U$26:U72),"")</f>
        <v/>
      </c>
      <c r="V73" s="1258">
        <f t="shared" ca="1" si="3"/>
        <v>0</v>
      </c>
      <c r="W73" s="1258">
        <f t="shared" ca="1" si="4"/>
        <v>0</v>
      </c>
      <c r="X73" s="1258" t="e">
        <f t="shared" ca="1" si="5"/>
        <v>#N/A</v>
      </c>
      <c r="Y73" s="1240"/>
      <c r="Z73" s="1240"/>
      <c r="AA73" s="1240"/>
      <c r="AB73" s="1240"/>
      <c r="AC73" s="1254" t="e">
        <f t="shared" si="9"/>
        <v>#NUM!</v>
      </c>
      <c r="AD73" s="1240"/>
      <c r="AE73" s="1254">
        <f t="shared" si="1"/>
        <v>1580</v>
      </c>
      <c r="AF73" s="1240"/>
      <c r="AG73" s="1240"/>
      <c r="AH73" s="1240"/>
      <c r="AI73" s="1240"/>
      <c r="AJ73" s="1240"/>
      <c r="AK73" s="1240"/>
      <c r="AL73" s="1240"/>
      <c r="AM73" s="1240"/>
      <c r="AN73" s="1240"/>
      <c r="AO73" s="1240"/>
      <c r="AP73" s="1240"/>
    </row>
    <row r="74" spans="1:42" ht="18.75" customHeight="1" x14ac:dyDescent="0.35">
      <c r="A74" s="1240"/>
      <c r="B74" s="1240"/>
      <c r="C74" s="1240"/>
      <c r="D74" s="1240"/>
      <c r="E74" s="1240"/>
      <c r="F74" s="1240"/>
      <c r="G74" s="1240"/>
      <c r="H74" s="1240"/>
      <c r="I74" s="1240"/>
      <c r="J74" s="1240"/>
      <c r="K74" s="1240"/>
      <c r="L74" s="1240"/>
      <c r="M74" s="1240"/>
      <c r="N74" s="1240"/>
      <c r="O74" s="1240"/>
      <c r="P74" s="1247">
        <f t="shared" si="7"/>
        <v>48</v>
      </c>
      <c r="Q74" s="1253" t="e">
        <f t="shared" ca="1" si="6"/>
        <v>#N/A</v>
      </c>
      <c r="R74" s="1247" t="str">
        <f>IFERROR(VLOOKUP(P74,RPCRepaymentDates[],1,FALSE),"")</f>
        <v/>
      </c>
      <c r="S74" s="1259">
        <f t="shared" si="2"/>
        <v>0</v>
      </c>
      <c r="T74" s="1247" t="str">
        <f>IFERROR(VLOOKUP(P74,RPCChargeCycleDates[],1,FALSE),"")</f>
        <v/>
      </c>
      <c r="U74" s="1248" t="str">
        <f>IFERROR(_xlfn.DAYS(T74,$Q$16)-SUM(U$26:U73),"")</f>
        <v/>
      </c>
      <c r="V74" s="1258">
        <f t="shared" ca="1" si="3"/>
        <v>0</v>
      </c>
      <c r="W74" s="1258">
        <f t="shared" ca="1" si="4"/>
        <v>0</v>
      </c>
      <c r="X74" s="1258" t="e">
        <f t="shared" ca="1" si="5"/>
        <v>#N/A</v>
      </c>
      <c r="Y74" s="1240"/>
      <c r="Z74" s="1240"/>
      <c r="AA74" s="1240"/>
      <c r="AB74" s="1240"/>
      <c r="AC74" s="1254" t="e">
        <f t="shared" si="9"/>
        <v>#NUM!</v>
      </c>
      <c r="AD74" s="1240"/>
      <c r="AE74" s="1254">
        <f t="shared" si="1"/>
        <v>1610</v>
      </c>
      <c r="AF74" s="1240"/>
      <c r="AG74" s="1240"/>
      <c r="AH74" s="1240"/>
      <c r="AI74" s="1240"/>
      <c r="AJ74" s="1240"/>
      <c r="AK74" s="1240"/>
      <c r="AL74" s="1240"/>
      <c r="AM74" s="1240"/>
      <c r="AN74" s="1240"/>
      <c r="AO74" s="1240"/>
      <c r="AP74" s="1240"/>
    </row>
    <row r="75" spans="1:42" ht="18.75" customHeight="1" x14ac:dyDescent="0.35">
      <c r="A75" s="1240"/>
      <c r="B75" s="1240"/>
      <c r="C75" s="1240"/>
      <c r="D75" s="1240"/>
      <c r="E75" s="1240"/>
      <c r="F75" s="1240"/>
      <c r="G75" s="1240"/>
      <c r="H75" s="1240"/>
      <c r="I75" s="1240"/>
      <c r="J75" s="1240"/>
      <c r="K75" s="1240"/>
      <c r="L75" s="1240"/>
      <c r="M75" s="1240"/>
      <c r="N75" s="1240"/>
      <c r="O75" s="1240"/>
      <c r="P75" s="1247">
        <f t="shared" si="7"/>
        <v>49</v>
      </c>
      <c r="Q75" s="1253" t="e">
        <f t="shared" ca="1" si="6"/>
        <v>#N/A</v>
      </c>
      <c r="R75" s="1247" t="str">
        <f>IFERROR(VLOOKUP(P75,RPCRepaymentDates[],1,FALSE),"")</f>
        <v/>
      </c>
      <c r="S75" s="1259">
        <f t="shared" si="2"/>
        <v>0</v>
      </c>
      <c r="T75" s="1247" t="str">
        <f>IFERROR(VLOOKUP(P75,RPCChargeCycleDates[],1,FALSE),"")</f>
        <v/>
      </c>
      <c r="U75" s="1248" t="str">
        <f>IFERROR(_xlfn.DAYS(T75,$Q$16)-SUM(U$26:U74),"")</f>
        <v/>
      </c>
      <c r="V75" s="1258">
        <f t="shared" ca="1" si="3"/>
        <v>0</v>
      </c>
      <c r="W75" s="1258">
        <f t="shared" ca="1" si="4"/>
        <v>0</v>
      </c>
      <c r="X75" s="1258" t="e">
        <f t="shared" ca="1" si="5"/>
        <v>#N/A</v>
      </c>
      <c r="Y75" s="1240"/>
      <c r="Z75" s="1240"/>
      <c r="AA75" s="1240"/>
      <c r="AB75" s="1240"/>
      <c r="AC75" s="1254" t="e">
        <f t="shared" si="9"/>
        <v>#NUM!</v>
      </c>
      <c r="AD75" s="1240"/>
      <c r="AE75" s="1254">
        <f t="shared" si="1"/>
        <v>1641</v>
      </c>
      <c r="AF75" s="1240"/>
      <c r="AG75" s="1240"/>
      <c r="AH75" s="1240"/>
      <c r="AI75" s="1240"/>
      <c r="AJ75" s="1240"/>
      <c r="AK75" s="1240"/>
      <c r="AL75" s="1240"/>
      <c r="AM75" s="1240"/>
      <c r="AN75" s="1240"/>
      <c r="AO75" s="1240"/>
      <c r="AP75" s="1240"/>
    </row>
    <row r="76" spans="1:42" ht="18.75" customHeight="1" x14ac:dyDescent="0.35">
      <c r="A76" s="1240"/>
      <c r="B76" s="1240"/>
      <c r="C76" s="1240"/>
      <c r="D76" s="1240"/>
      <c r="E76" s="1240"/>
      <c r="F76" s="1240"/>
      <c r="G76" s="1240"/>
      <c r="H76" s="1240"/>
      <c r="I76" s="1240"/>
      <c r="J76" s="1240"/>
      <c r="K76" s="1240"/>
      <c r="L76" s="1240"/>
      <c r="M76" s="1240"/>
      <c r="N76" s="1240"/>
      <c r="O76" s="1240"/>
      <c r="P76" s="1247">
        <f t="shared" si="7"/>
        <v>50</v>
      </c>
      <c r="Q76" s="1253" t="e">
        <f t="shared" ca="1" si="6"/>
        <v>#N/A</v>
      </c>
      <c r="R76" s="1247" t="str">
        <f>IFERROR(VLOOKUP(P76,RPCRepaymentDates[],1,FALSE),"")</f>
        <v/>
      </c>
      <c r="S76" s="1259">
        <f t="shared" si="2"/>
        <v>0</v>
      </c>
      <c r="T76" s="1247" t="str">
        <f>IFERROR(VLOOKUP(P76,RPCChargeCycleDates[],1,FALSE),"")</f>
        <v/>
      </c>
      <c r="U76" s="1248" t="str">
        <f>IFERROR(_xlfn.DAYS(T76,$Q$16)-SUM(U$26:U75),"")</f>
        <v/>
      </c>
      <c r="V76" s="1258">
        <f t="shared" ca="1" si="3"/>
        <v>0</v>
      </c>
      <c r="W76" s="1258">
        <f t="shared" ca="1" si="4"/>
        <v>0</v>
      </c>
      <c r="X76" s="1258" t="e">
        <f t="shared" ca="1" si="5"/>
        <v>#N/A</v>
      </c>
      <c r="Y76" s="1240"/>
      <c r="Z76" s="1240"/>
      <c r="AA76" s="1240"/>
      <c r="AB76" s="1240"/>
      <c r="AC76" s="1254" t="e">
        <f t="shared" si="9"/>
        <v>#NUM!</v>
      </c>
      <c r="AD76" s="1240"/>
      <c r="AE76" s="1254">
        <f t="shared" si="1"/>
        <v>1671</v>
      </c>
      <c r="AF76" s="1240"/>
      <c r="AG76" s="1240"/>
      <c r="AH76" s="1240"/>
      <c r="AI76" s="1240"/>
      <c r="AJ76" s="1240"/>
      <c r="AK76" s="1240"/>
      <c r="AL76" s="1240"/>
      <c r="AM76" s="1240"/>
      <c r="AN76" s="1240"/>
      <c r="AO76" s="1240"/>
      <c r="AP76" s="1240"/>
    </row>
    <row r="77" spans="1:42" ht="18.75" customHeight="1" x14ac:dyDescent="0.35">
      <c r="A77" s="1240"/>
      <c r="B77" s="1240"/>
      <c r="C77" s="1240"/>
      <c r="D77" s="1240"/>
      <c r="E77" s="1240"/>
      <c r="F77" s="1240"/>
      <c r="G77" s="1240"/>
      <c r="H77" s="1240"/>
      <c r="I77" s="1240"/>
      <c r="J77" s="1240"/>
      <c r="K77" s="1240"/>
      <c r="L77" s="1240"/>
      <c r="M77" s="1240"/>
      <c r="N77" s="1240"/>
      <c r="O77" s="1240"/>
      <c r="P77" s="1247">
        <f t="shared" si="7"/>
        <v>51</v>
      </c>
      <c r="Q77" s="1253" t="e">
        <f t="shared" ca="1" si="6"/>
        <v>#N/A</v>
      </c>
      <c r="R77" s="1247" t="str">
        <f>IFERROR(VLOOKUP(P77,RPCRepaymentDates[],1,FALSE),"")</f>
        <v/>
      </c>
      <c r="S77" s="1259">
        <f t="shared" si="2"/>
        <v>0</v>
      </c>
      <c r="T77" s="1247" t="str">
        <f>IFERROR(VLOOKUP(P77,RPCChargeCycleDates[],1,FALSE),"")</f>
        <v/>
      </c>
      <c r="U77" s="1248" t="str">
        <f>IFERROR(_xlfn.DAYS(T77,$Q$16)-SUM(U$26:U76),"")</f>
        <v/>
      </c>
      <c r="V77" s="1258">
        <f t="shared" ca="1" si="3"/>
        <v>0</v>
      </c>
      <c r="W77" s="1258">
        <f t="shared" ca="1" si="4"/>
        <v>0</v>
      </c>
      <c r="X77" s="1258" t="e">
        <f t="shared" ca="1" si="5"/>
        <v>#N/A</v>
      </c>
      <c r="Y77" s="1240"/>
      <c r="Z77" s="1240"/>
      <c r="AA77" s="1240"/>
      <c r="AB77" s="1240"/>
      <c r="AC77" s="1254" t="e">
        <f t="shared" si="9"/>
        <v>#NUM!</v>
      </c>
      <c r="AD77" s="1240"/>
      <c r="AE77" s="1254">
        <f t="shared" si="1"/>
        <v>1702</v>
      </c>
      <c r="AF77" s="1240"/>
      <c r="AG77" s="1240"/>
      <c r="AH77" s="1240"/>
      <c r="AI77" s="1240"/>
      <c r="AJ77" s="1240"/>
      <c r="AK77" s="1240"/>
      <c r="AL77" s="1240"/>
      <c r="AM77" s="1240"/>
      <c r="AN77" s="1240"/>
      <c r="AO77" s="1240"/>
      <c r="AP77" s="1240"/>
    </row>
    <row r="78" spans="1:42" ht="18.75" customHeight="1" x14ac:dyDescent="0.35">
      <c r="A78" s="1240"/>
      <c r="B78" s="1240"/>
      <c r="C78" s="1240"/>
      <c r="D78" s="1240"/>
      <c r="E78" s="1240"/>
      <c r="F78" s="1240"/>
      <c r="G78" s="1240"/>
      <c r="H78" s="1240"/>
      <c r="I78" s="1240"/>
      <c r="J78" s="1240"/>
      <c r="K78" s="1240"/>
      <c r="L78" s="1240"/>
      <c r="M78" s="1240"/>
      <c r="N78" s="1240"/>
      <c r="O78" s="1240"/>
      <c r="P78" s="1247">
        <f t="shared" si="7"/>
        <v>52</v>
      </c>
      <c r="Q78" s="1253" t="e">
        <f t="shared" ca="1" si="6"/>
        <v>#N/A</v>
      </c>
      <c r="R78" s="1247" t="str">
        <f>IFERROR(VLOOKUP(P78,RPCRepaymentDates[],1,FALSE),"")</f>
        <v/>
      </c>
      <c r="S78" s="1259">
        <f t="shared" si="2"/>
        <v>0</v>
      </c>
      <c r="T78" s="1247" t="str">
        <f>IFERROR(VLOOKUP(P78,RPCChargeCycleDates[],1,FALSE),"")</f>
        <v/>
      </c>
      <c r="U78" s="1248" t="str">
        <f>IFERROR(_xlfn.DAYS(T78,$Q$16)-SUM(U$26:U77),"")</f>
        <v/>
      </c>
      <c r="V78" s="1258">
        <f t="shared" ca="1" si="3"/>
        <v>0</v>
      </c>
      <c r="W78" s="1258">
        <f t="shared" ca="1" si="4"/>
        <v>0</v>
      </c>
      <c r="X78" s="1258" t="e">
        <f t="shared" ca="1" si="5"/>
        <v>#N/A</v>
      </c>
      <c r="Y78" s="1240"/>
      <c r="Z78" s="1240"/>
      <c r="AA78" s="1240"/>
      <c r="AB78" s="1240"/>
      <c r="AC78" s="1254" t="e">
        <f t="shared" si="9"/>
        <v>#NUM!</v>
      </c>
      <c r="AD78" s="1240"/>
      <c r="AE78" s="1254">
        <f t="shared" si="1"/>
        <v>1733</v>
      </c>
      <c r="AF78" s="1240"/>
      <c r="AG78" s="1240"/>
      <c r="AH78" s="1240"/>
      <c r="AI78" s="1240"/>
      <c r="AJ78" s="1240"/>
      <c r="AK78" s="1240"/>
      <c r="AL78" s="1240"/>
      <c r="AM78" s="1240"/>
      <c r="AN78" s="1240"/>
      <c r="AO78" s="1240"/>
      <c r="AP78" s="1240"/>
    </row>
    <row r="79" spans="1:42" ht="18.75" customHeight="1" x14ac:dyDescent="0.35">
      <c r="A79" s="1240"/>
      <c r="B79" s="1240"/>
      <c r="C79" s="1240"/>
      <c r="D79" s="1240"/>
      <c r="E79" s="1240"/>
      <c r="F79" s="1240"/>
      <c r="G79" s="1240"/>
      <c r="H79" s="1240"/>
      <c r="I79" s="1240"/>
      <c r="J79" s="1240"/>
      <c r="K79" s="1240"/>
      <c r="L79" s="1240"/>
      <c r="M79" s="1240"/>
      <c r="N79" s="1240"/>
      <c r="O79" s="1240"/>
      <c r="P79" s="1247">
        <f t="shared" si="7"/>
        <v>53</v>
      </c>
      <c r="Q79" s="1253" t="e">
        <f t="shared" ca="1" si="6"/>
        <v>#N/A</v>
      </c>
      <c r="R79" s="1247" t="str">
        <f>IFERROR(VLOOKUP(P79,RPCRepaymentDates[],1,FALSE),"")</f>
        <v/>
      </c>
      <c r="S79" s="1259">
        <f t="shared" si="2"/>
        <v>0</v>
      </c>
      <c r="T79" s="1247" t="str">
        <f>IFERROR(VLOOKUP(P79,RPCChargeCycleDates[],1,FALSE),"")</f>
        <v/>
      </c>
      <c r="U79" s="1248" t="str">
        <f>IFERROR(_xlfn.DAYS(T79,$Q$16)-SUM(U$26:U78),"")</f>
        <v/>
      </c>
      <c r="V79" s="1258">
        <f t="shared" ca="1" si="3"/>
        <v>0</v>
      </c>
      <c r="W79" s="1258">
        <f t="shared" ca="1" si="4"/>
        <v>0</v>
      </c>
      <c r="X79" s="1258" t="e">
        <f t="shared" ca="1" si="5"/>
        <v>#N/A</v>
      </c>
      <c r="Y79" s="1240"/>
      <c r="Z79" s="1240"/>
      <c r="AA79" s="1240"/>
      <c r="AB79" s="1240"/>
      <c r="AC79" s="1254" t="e">
        <f t="shared" si="9"/>
        <v>#NUM!</v>
      </c>
      <c r="AD79" s="1240"/>
      <c r="AE79" s="1254">
        <f t="shared" si="1"/>
        <v>1763</v>
      </c>
      <c r="AF79" s="1240"/>
      <c r="AG79" s="1240"/>
      <c r="AH79" s="1240"/>
      <c r="AI79" s="1240"/>
      <c r="AJ79" s="1240"/>
      <c r="AK79" s="1240"/>
      <c r="AL79" s="1240"/>
      <c r="AM79" s="1240"/>
      <c r="AN79" s="1240"/>
      <c r="AO79" s="1240"/>
      <c r="AP79" s="1240"/>
    </row>
    <row r="80" spans="1:42" ht="18.75" customHeight="1" x14ac:dyDescent="0.35">
      <c r="A80" s="1240"/>
      <c r="B80" s="1240"/>
      <c r="C80" s="1240"/>
      <c r="D80" s="1240"/>
      <c r="E80" s="1240"/>
      <c r="F80" s="1240"/>
      <c r="G80" s="1240"/>
      <c r="H80" s="1240"/>
      <c r="I80" s="1240"/>
      <c r="J80" s="1240"/>
      <c r="K80" s="1240"/>
      <c r="L80" s="1240"/>
      <c r="M80" s="1240"/>
      <c r="N80" s="1240"/>
      <c r="O80" s="1240"/>
      <c r="P80" s="1247">
        <f t="shared" si="7"/>
        <v>54</v>
      </c>
      <c r="Q80" s="1253" t="e">
        <f t="shared" ca="1" si="6"/>
        <v>#N/A</v>
      </c>
      <c r="R80" s="1247" t="str">
        <f>IFERROR(VLOOKUP(P80,RPCRepaymentDates[],1,FALSE),"")</f>
        <v/>
      </c>
      <c r="S80" s="1259">
        <f t="shared" si="2"/>
        <v>0</v>
      </c>
      <c r="T80" s="1247" t="str">
        <f>IFERROR(VLOOKUP(P80,RPCChargeCycleDates[],1,FALSE),"")</f>
        <v/>
      </c>
      <c r="U80" s="1248" t="str">
        <f>IFERROR(_xlfn.DAYS(T80,$Q$16)-SUM(U$26:U79),"")</f>
        <v/>
      </c>
      <c r="V80" s="1258">
        <f t="shared" ca="1" si="3"/>
        <v>0</v>
      </c>
      <c r="W80" s="1258">
        <f t="shared" ca="1" si="4"/>
        <v>0</v>
      </c>
      <c r="X80" s="1258" t="e">
        <f t="shared" ca="1" si="5"/>
        <v>#N/A</v>
      </c>
      <c r="Y80" s="1240"/>
      <c r="Z80" s="1240"/>
      <c r="AA80" s="1240"/>
      <c r="AB80" s="1240"/>
      <c r="AC80" s="1254" t="e">
        <f t="shared" si="9"/>
        <v>#NUM!</v>
      </c>
      <c r="AD80" s="1240"/>
      <c r="AE80" s="1254">
        <f t="shared" si="1"/>
        <v>1794</v>
      </c>
      <c r="AF80" s="1240"/>
      <c r="AG80" s="1240"/>
      <c r="AH80" s="1240"/>
      <c r="AI80" s="1240"/>
      <c r="AJ80" s="1240"/>
      <c r="AK80" s="1240"/>
      <c r="AL80" s="1240"/>
      <c r="AM80" s="1240"/>
      <c r="AN80" s="1240"/>
      <c r="AO80" s="1240"/>
      <c r="AP80" s="1240"/>
    </row>
    <row r="81" spans="1:42" ht="18.75" customHeight="1" x14ac:dyDescent="0.35">
      <c r="A81" s="1240"/>
      <c r="B81" s="1240"/>
      <c r="C81" s="1240"/>
      <c r="D81" s="1240"/>
      <c r="E81" s="1240"/>
      <c r="F81" s="1240"/>
      <c r="G81" s="1240"/>
      <c r="H81" s="1240"/>
      <c r="I81" s="1240"/>
      <c r="J81" s="1240"/>
      <c r="K81" s="1240"/>
      <c r="L81" s="1240"/>
      <c r="M81" s="1240"/>
      <c r="N81" s="1240"/>
      <c r="O81" s="1240"/>
      <c r="P81" s="1247">
        <f t="shared" si="7"/>
        <v>55</v>
      </c>
      <c r="Q81" s="1253" t="e">
        <f t="shared" ca="1" si="6"/>
        <v>#N/A</v>
      </c>
      <c r="R81" s="1247" t="str">
        <f>IFERROR(VLOOKUP(P81,RPCRepaymentDates[],1,FALSE),"")</f>
        <v/>
      </c>
      <c r="S81" s="1259">
        <f t="shared" si="2"/>
        <v>0</v>
      </c>
      <c r="T81" s="1247" t="str">
        <f>IFERROR(VLOOKUP(P81,RPCChargeCycleDates[],1,FALSE),"")</f>
        <v/>
      </c>
      <c r="U81" s="1248" t="str">
        <f>IFERROR(_xlfn.DAYS(T81,$Q$16)-SUM(U$26:U80),"")</f>
        <v/>
      </c>
      <c r="V81" s="1258">
        <f t="shared" ca="1" si="3"/>
        <v>0</v>
      </c>
      <c r="W81" s="1258">
        <f t="shared" ca="1" si="4"/>
        <v>0</v>
      </c>
      <c r="X81" s="1258" t="e">
        <f t="shared" ca="1" si="5"/>
        <v>#N/A</v>
      </c>
      <c r="Y81" s="1240"/>
      <c r="Z81" s="1240"/>
      <c r="AA81" s="1240"/>
      <c r="AB81" s="1240"/>
      <c r="AC81" s="1254" t="e">
        <f t="shared" si="9"/>
        <v>#NUM!</v>
      </c>
      <c r="AD81" s="1240"/>
      <c r="AE81" s="1254">
        <f t="shared" si="1"/>
        <v>1824</v>
      </c>
      <c r="AF81" s="1240"/>
      <c r="AG81" s="1240"/>
      <c r="AH81" s="1240"/>
      <c r="AI81" s="1240"/>
      <c r="AJ81" s="1240"/>
      <c r="AK81" s="1240"/>
      <c r="AL81" s="1240"/>
      <c r="AM81" s="1240"/>
      <c r="AN81" s="1240"/>
      <c r="AO81" s="1240"/>
      <c r="AP81" s="1240"/>
    </row>
    <row r="82" spans="1:42" ht="18.75" customHeight="1" x14ac:dyDescent="0.35">
      <c r="A82" s="1240"/>
      <c r="B82" s="1240"/>
      <c r="C82" s="1240"/>
      <c r="D82" s="1240"/>
      <c r="E82" s="1240"/>
      <c r="F82" s="1240"/>
      <c r="G82" s="1240"/>
      <c r="H82" s="1240"/>
      <c r="I82" s="1240"/>
      <c r="J82" s="1240"/>
      <c r="K82" s="1240"/>
      <c r="L82" s="1240"/>
      <c r="M82" s="1240"/>
      <c r="N82" s="1240"/>
      <c r="O82" s="1240"/>
      <c r="P82" s="1247">
        <f t="shared" si="7"/>
        <v>56</v>
      </c>
      <c r="Q82" s="1253" t="e">
        <f t="shared" ca="1" si="6"/>
        <v>#N/A</v>
      </c>
      <c r="R82" s="1247" t="str">
        <f>IFERROR(VLOOKUP(P82,RPCRepaymentDates[],1,FALSE),"")</f>
        <v/>
      </c>
      <c r="S82" s="1259">
        <f t="shared" si="2"/>
        <v>0</v>
      </c>
      <c r="T82" s="1247" t="str">
        <f>IFERROR(VLOOKUP(P82,RPCChargeCycleDates[],1,FALSE),"")</f>
        <v/>
      </c>
      <c r="U82" s="1248" t="str">
        <f>IFERROR(_xlfn.DAYS(T82,$Q$16)-SUM(U$26:U81),"")</f>
        <v/>
      </c>
      <c r="V82" s="1258">
        <f t="shared" ca="1" si="3"/>
        <v>0</v>
      </c>
      <c r="W82" s="1258">
        <f t="shared" ca="1" si="4"/>
        <v>0</v>
      </c>
      <c r="X82" s="1258" t="e">
        <f t="shared" ca="1" si="5"/>
        <v>#N/A</v>
      </c>
      <c r="Y82" s="1240"/>
      <c r="Z82" s="1240"/>
      <c r="AA82" s="1240"/>
      <c r="AB82" s="1240"/>
      <c r="AC82" s="1254" t="e">
        <f t="shared" si="9"/>
        <v>#NUM!</v>
      </c>
      <c r="AD82" s="1240"/>
      <c r="AE82" s="1254">
        <f t="shared" si="1"/>
        <v>1855</v>
      </c>
      <c r="AF82" s="1240"/>
      <c r="AG82" s="1240"/>
      <c r="AH82" s="1240"/>
      <c r="AI82" s="1240"/>
      <c r="AJ82" s="1240"/>
      <c r="AK82" s="1240"/>
      <c r="AL82" s="1240"/>
      <c r="AM82" s="1240"/>
      <c r="AN82" s="1240"/>
      <c r="AO82" s="1240"/>
      <c r="AP82" s="1240"/>
    </row>
    <row r="83" spans="1:42" ht="18.75" customHeight="1" x14ac:dyDescent="0.35">
      <c r="A83" s="1240"/>
      <c r="B83" s="1240"/>
      <c r="C83" s="1240"/>
      <c r="D83" s="1240"/>
      <c r="E83" s="1240"/>
      <c r="F83" s="1240"/>
      <c r="G83" s="1240"/>
      <c r="H83" s="1240"/>
      <c r="I83" s="1240"/>
      <c r="J83" s="1240"/>
      <c r="K83" s="1240"/>
      <c r="L83" s="1240"/>
      <c r="M83" s="1240"/>
      <c r="N83" s="1240"/>
      <c r="O83" s="1240"/>
      <c r="P83" s="1247">
        <f t="shared" si="7"/>
        <v>57</v>
      </c>
      <c r="Q83" s="1253" t="e">
        <f t="shared" ca="1" si="6"/>
        <v>#N/A</v>
      </c>
      <c r="R83" s="1247" t="str">
        <f>IFERROR(VLOOKUP(P83,RPCRepaymentDates[],1,FALSE),"")</f>
        <v/>
      </c>
      <c r="S83" s="1259">
        <f t="shared" si="2"/>
        <v>0</v>
      </c>
      <c r="T83" s="1247" t="str">
        <f>IFERROR(VLOOKUP(P83,RPCChargeCycleDates[],1,FALSE),"")</f>
        <v/>
      </c>
      <c r="U83" s="1248" t="str">
        <f>IFERROR(_xlfn.DAYS(T83,$Q$16)-SUM(U$26:U82),"")</f>
        <v/>
      </c>
      <c r="V83" s="1258">
        <f t="shared" ca="1" si="3"/>
        <v>0</v>
      </c>
      <c r="W83" s="1258">
        <f t="shared" ca="1" si="4"/>
        <v>0</v>
      </c>
      <c r="X83" s="1258" t="e">
        <f t="shared" ca="1" si="5"/>
        <v>#N/A</v>
      </c>
      <c r="Y83" s="1240"/>
      <c r="Z83" s="1240"/>
      <c r="AA83" s="1240"/>
      <c r="AB83" s="1240"/>
      <c r="AC83" s="1254" t="e">
        <f t="shared" si="9"/>
        <v>#NUM!</v>
      </c>
      <c r="AD83" s="1240"/>
      <c r="AE83" s="1254">
        <f t="shared" si="1"/>
        <v>1886</v>
      </c>
      <c r="AF83" s="1240"/>
      <c r="AG83" s="1240"/>
      <c r="AH83" s="1240"/>
      <c r="AI83" s="1240"/>
      <c r="AJ83" s="1240"/>
      <c r="AK83" s="1240"/>
      <c r="AL83" s="1240"/>
      <c r="AM83" s="1240"/>
      <c r="AN83" s="1240"/>
      <c r="AO83" s="1240"/>
      <c r="AP83" s="1240"/>
    </row>
    <row r="84" spans="1:42" ht="18.75" customHeight="1" x14ac:dyDescent="0.35">
      <c r="A84" s="1240"/>
      <c r="B84" s="1240"/>
      <c r="C84" s="1240"/>
      <c r="D84" s="1240"/>
      <c r="E84" s="1240"/>
      <c r="F84" s="1240"/>
      <c r="G84" s="1240"/>
      <c r="H84" s="1240"/>
      <c r="I84" s="1240"/>
      <c r="J84" s="1240"/>
      <c r="K84" s="1240"/>
      <c r="L84" s="1240"/>
      <c r="M84" s="1240"/>
      <c r="N84" s="1240"/>
      <c r="O84" s="1240"/>
      <c r="P84" s="1247">
        <f t="shared" si="7"/>
        <v>58</v>
      </c>
      <c r="Q84" s="1253" t="e">
        <f t="shared" ca="1" si="6"/>
        <v>#N/A</v>
      </c>
      <c r="R84" s="1247" t="str">
        <f>IFERROR(VLOOKUP(P84,RPCRepaymentDates[],1,FALSE),"")</f>
        <v/>
      </c>
      <c r="S84" s="1259">
        <f t="shared" si="2"/>
        <v>0</v>
      </c>
      <c r="T84" s="1247" t="str">
        <f>IFERROR(VLOOKUP(P84,RPCChargeCycleDates[],1,FALSE),"")</f>
        <v/>
      </c>
      <c r="U84" s="1248" t="str">
        <f>IFERROR(_xlfn.DAYS(T84,$Q$16)-SUM(U$26:U83),"")</f>
        <v/>
      </c>
      <c r="V84" s="1258">
        <f t="shared" ca="1" si="3"/>
        <v>0</v>
      </c>
      <c r="W84" s="1258">
        <f t="shared" ca="1" si="4"/>
        <v>0</v>
      </c>
      <c r="X84" s="1258" t="e">
        <f t="shared" ca="1" si="5"/>
        <v>#N/A</v>
      </c>
      <c r="Y84" s="1240"/>
      <c r="Z84" s="1240"/>
      <c r="AA84" s="1240"/>
      <c r="AB84" s="1240"/>
      <c r="AC84" s="1254" t="e">
        <f t="shared" si="9"/>
        <v>#NUM!</v>
      </c>
      <c r="AD84" s="1240"/>
      <c r="AE84" s="1254">
        <f t="shared" si="1"/>
        <v>1914</v>
      </c>
      <c r="AF84" s="1240"/>
      <c r="AG84" s="1240"/>
      <c r="AH84" s="1240"/>
      <c r="AI84" s="1240"/>
      <c r="AJ84" s="1240"/>
      <c r="AK84" s="1240"/>
      <c r="AL84" s="1240"/>
      <c r="AM84" s="1240"/>
      <c r="AN84" s="1240"/>
      <c r="AO84" s="1240"/>
      <c r="AP84" s="1240"/>
    </row>
    <row r="85" spans="1:42" ht="18.75" customHeight="1" x14ac:dyDescent="0.35">
      <c r="A85" s="1240"/>
      <c r="B85" s="1240"/>
      <c r="C85" s="1240"/>
      <c r="D85" s="1240"/>
      <c r="E85" s="1240"/>
      <c r="F85" s="1240"/>
      <c r="G85" s="1240"/>
      <c r="H85" s="1240"/>
      <c r="I85" s="1240"/>
      <c r="J85" s="1240"/>
      <c r="K85" s="1240"/>
      <c r="L85" s="1240"/>
      <c r="M85" s="1240"/>
      <c r="N85" s="1240"/>
      <c r="O85" s="1240"/>
      <c r="P85" s="1247">
        <f t="shared" si="7"/>
        <v>59</v>
      </c>
      <c r="Q85" s="1253" t="e">
        <f t="shared" ca="1" si="6"/>
        <v>#N/A</v>
      </c>
      <c r="R85" s="1247" t="str">
        <f>IFERROR(VLOOKUP(P85,RPCRepaymentDates[],1,FALSE),"")</f>
        <v/>
      </c>
      <c r="S85" s="1259">
        <f t="shared" si="2"/>
        <v>0</v>
      </c>
      <c r="T85" s="1247">
        <f>IFERROR(VLOOKUP(P85,RPCChargeCycleDates[],1,FALSE),"")</f>
        <v>59</v>
      </c>
      <c r="U85" s="1248">
        <f>IFERROR(_xlfn.DAYS(T85,$Q$16)-SUM(U$26:U84),"")</f>
        <v>28</v>
      </c>
      <c r="V85" s="1258">
        <f t="shared" ca="1" si="3"/>
        <v>0</v>
      </c>
      <c r="W85" s="1258">
        <f t="shared" ca="1" si="4"/>
        <v>0</v>
      </c>
      <c r="X85" s="1258" t="e">
        <f t="shared" ca="1" si="5"/>
        <v>#N/A</v>
      </c>
      <c r="Y85" s="1240"/>
      <c r="Z85" s="1240"/>
      <c r="AA85" s="1240"/>
      <c r="AB85" s="1240"/>
      <c r="AC85" s="1254" t="e">
        <f t="shared" si="9"/>
        <v>#NUM!</v>
      </c>
      <c r="AD85" s="1240"/>
      <c r="AE85" s="1254">
        <f t="shared" si="1"/>
        <v>1945</v>
      </c>
      <c r="AF85" s="1240"/>
      <c r="AG85" s="1240"/>
      <c r="AH85" s="1240"/>
      <c r="AI85" s="1240"/>
      <c r="AJ85" s="1240"/>
      <c r="AK85" s="1240"/>
      <c r="AL85" s="1240"/>
      <c r="AM85" s="1240"/>
      <c r="AN85" s="1240"/>
      <c r="AO85" s="1240"/>
      <c r="AP85" s="1240"/>
    </row>
    <row r="86" spans="1:42" ht="18.75" customHeight="1" x14ac:dyDescent="0.35">
      <c r="A86" s="1240"/>
      <c r="B86" s="1240"/>
      <c r="C86" s="1240"/>
      <c r="D86" s="1240"/>
      <c r="E86" s="1240"/>
      <c r="F86" s="1240"/>
      <c r="G86" s="1240"/>
      <c r="H86" s="1240"/>
      <c r="I86" s="1240"/>
      <c r="J86" s="1240"/>
      <c r="K86" s="1240"/>
      <c r="L86" s="1240"/>
      <c r="M86" s="1240"/>
      <c r="N86" s="1240"/>
      <c r="O86" s="1240"/>
      <c r="P86" s="1247">
        <f t="shared" si="7"/>
        <v>60</v>
      </c>
      <c r="Q86" s="1253" t="e">
        <f t="shared" ca="1" si="6"/>
        <v>#N/A</v>
      </c>
      <c r="R86" s="1247" t="str">
        <f>IFERROR(VLOOKUP(P86,RPCRepaymentDates[],1,FALSE),"")</f>
        <v/>
      </c>
      <c r="S86" s="1259">
        <f t="shared" si="2"/>
        <v>0</v>
      </c>
      <c r="T86" s="1247" t="str">
        <f>IFERROR(VLOOKUP(P86,RPCChargeCycleDates[],1,FALSE),"")</f>
        <v/>
      </c>
      <c r="U86" s="1248" t="str">
        <f>IFERROR(_xlfn.DAYS(T86,$Q$16)-SUM(U$26:U85),"")</f>
        <v/>
      </c>
      <c r="V86" s="1258">
        <f t="shared" ca="1" si="3"/>
        <v>0</v>
      </c>
      <c r="W86" s="1258">
        <f t="shared" ca="1" si="4"/>
        <v>0</v>
      </c>
      <c r="X86" s="1258" t="e">
        <f t="shared" ca="1" si="5"/>
        <v>#N/A</v>
      </c>
      <c r="Y86" s="1240"/>
      <c r="Z86" s="1240"/>
      <c r="AA86" s="1240"/>
      <c r="AB86" s="1240"/>
      <c r="AC86" s="1254" t="e">
        <f t="shared" si="9"/>
        <v>#NUM!</v>
      </c>
      <c r="AD86" s="1240"/>
      <c r="AE86" s="1254">
        <f t="shared" si="1"/>
        <v>1975</v>
      </c>
      <c r="AF86" s="1240"/>
      <c r="AG86" s="1240"/>
      <c r="AH86" s="1240"/>
      <c r="AI86" s="1240"/>
      <c r="AJ86" s="1240"/>
      <c r="AK86" s="1240"/>
      <c r="AL86" s="1240"/>
      <c r="AM86" s="1240"/>
      <c r="AN86" s="1240"/>
      <c r="AO86" s="1240"/>
      <c r="AP86" s="1240"/>
    </row>
    <row r="87" spans="1:42" ht="18.75" customHeight="1" x14ac:dyDescent="0.35">
      <c r="A87" s="1240"/>
      <c r="B87" s="1240"/>
      <c r="C87" s="1240"/>
      <c r="D87" s="1240"/>
      <c r="E87" s="1240"/>
      <c r="F87" s="1240"/>
      <c r="G87" s="1240"/>
      <c r="H87" s="1240"/>
      <c r="I87" s="1240"/>
      <c r="J87" s="1240"/>
      <c r="K87" s="1240"/>
      <c r="L87" s="1240"/>
      <c r="M87" s="1240"/>
      <c r="N87" s="1240"/>
      <c r="O87" s="1240"/>
      <c r="P87" s="1247">
        <f t="shared" si="7"/>
        <v>61</v>
      </c>
      <c r="Q87" s="1253" t="e">
        <f t="shared" ca="1" si="6"/>
        <v>#N/A</v>
      </c>
      <c r="R87" s="1247" t="str">
        <f>IFERROR(VLOOKUP(P87,RPCRepaymentDates[],1,FALSE),"")</f>
        <v/>
      </c>
      <c r="S87" s="1259">
        <f t="shared" si="2"/>
        <v>0</v>
      </c>
      <c r="T87" s="1247" t="str">
        <f>IFERROR(VLOOKUP(P87,RPCChargeCycleDates[],1,FALSE),"")</f>
        <v/>
      </c>
      <c r="U87" s="1248" t="str">
        <f>IFERROR(_xlfn.DAYS(T87,$Q$16)-SUM(U$26:U86),"")</f>
        <v/>
      </c>
      <c r="V87" s="1258">
        <f t="shared" ca="1" si="3"/>
        <v>0</v>
      </c>
      <c r="W87" s="1258">
        <f t="shared" ca="1" si="4"/>
        <v>0</v>
      </c>
      <c r="X87" s="1258" t="e">
        <f t="shared" ca="1" si="5"/>
        <v>#N/A</v>
      </c>
      <c r="Y87" s="1240"/>
      <c r="Z87" s="1240"/>
      <c r="AA87" s="1240"/>
      <c r="AB87" s="1240"/>
      <c r="AC87" s="1254" t="e">
        <f t="shared" si="9"/>
        <v>#NUM!</v>
      </c>
      <c r="AD87" s="1240"/>
      <c r="AE87" s="1254">
        <f t="shared" ref="AE87:AE142" si="10">EDATE(AE86,1)</f>
        <v>2006</v>
      </c>
      <c r="AF87" s="1240"/>
      <c r="AG87" s="1240"/>
      <c r="AH87" s="1240"/>
      <c r="AI87" s="1240"/>
      <c r="AJ87" s="1240"/>
      <c r="AK87" s="1240"/>
      <c r="AL87" s="1240"/>
      <c r="AM87" s="1240"/>
      <c r="AN87" s="1240"/>
      <c r="AO87" s="1240"/>
      <c r="AP87" s="1240"/>
    </row>
    <row r="88" spans="1:42" ht="18.75" customHeight="1" x14ac:dyDescent="0.35">
      <c r="A88" s="1240"/>
      <c r="B88" s="1240"/>
      <c r="C88" s="1240"/>
      <c r="D88" s="1240"/>
      <c r="E88" s="1240"/>
      <c r="F88" s="1240"/>
      <c r="G88" s="1240"/>
      <c r="H88" s="1240"/>
      <c r="I88" s="1240"/>
      <c r="J88" s="1240"/>
      <c r="K88" s="1240"/>
      <c r="L88" s="1240"/>
      <c r="M88" s="1240"/>
      <c r="N88" s="1240"/>
      <c r="O88" s="1240"/>
      <c r="P88" s="1247">
        <f t="shared" si="7"/>
        <v>62</v>
      </c>
      <c r="Q88" s="1253" t="e">
        <f t="shared" ca="1" si="6"/>
        <v>#N/A</v>
      </c>
      <c r="R88" s="1247" t="str">
        <f>IFERROR(VLOOKUP(P88,RPCRepaymentDates[],1,FALSE),"")</f>
        <v/>
      </c>
      <c r="S88" s="1259">
        <f t="shared" si="2"/>
        <v>0</v>
      </c>
      <c r="T88" s="1247" t="str">
        <f>IFERROR(VLOOKUP(P88,RPCChargeCycleDates[],1,FALSE),"")</f>
        <v/>
      </c>
      <c r="U88" s="1248" t="str">
        <f>IFERROR(_xlfn.DAYS(T88,$Q$16)-SUM(U$26:U87),"")</f>
        <v/>
      </c>
      <c r="V88" s="1258">
        <f t="shared" ca="1" si="3"/>
        <v>0</v>
      </c>
      <c r="W88" s="1258">
        <f t="shared" ca="1" si="4"/>
        <v>0</v>
      </c>
      <c r="X88" s="1258" t="e">
        <f t="shared" ca="1" si="5"/>
        <v>#N/A</v>
      </c>
      <c r="Y88" s="1240"/>
      <c r="Z88" s="1240"/>
      <c r="AA88" s="1240"/>
      <c r="AB88" s="1240"/>
      <c r="AC88" s="1254" t="e">
        <f t="shared" si="9"/>
        <v>#NUM!</v>
      </c>
      <c r="AD88" s="1240"/>
      <c r="AE88" s="1254">
        <f t="shared" si="10"/>
        <v>2036</v>
      </c>
      <c r="AF88" s="1240"/>
      <c r="AG88" s="1240"/>
      <c r="AH88" s="1240"/>
      <c r="AI88" s="1240"/>
      <c r="AJ88" s="1240"/>
      <c r="AK88" s="1240"/>
      <c r="AL88" s="1240"/>
      <c r="AM88" s="1240"/>
      <c r="AN88" s="1240"/>
      <c r="AO88" s="1240"/>
      <c r="AP88" s="1240"/>
    </row>
    <row r="89" spans="1:42" ht="18.75" customHeight="1" x14ac:dyDescent="0.35">
      <c r="A89" s="1240"/>
      <c r="B89" s="1240"/>
      <c r="C89" s="1240"/>
      <c r="D89" s="1240"/>
      <c r="E89" s="1240"/>
      <c r="F89" s="1240"/>
      <c r="G89" s="1240"/>
      <c r="H89" s="1240"/>
      <c r="I89" s="1240"/>
      <c r="J89" s="1240"/>
      <c r="K89" s="1240"/>
      <c r="L89" s="1240"/>
      <c r="M89" s="1240"/>
      <c r="N89" s="1240"/>
      <c r="O89" s="1240"/>
      <c r="P89" s="1247">
        <f t="shared" si="7"/>
        <v>63</v>
      </c>
      <c r="Q89" s="1253" t="e">
        <f t="shared" ca="1" si="6"/>
        <v>#N/A</v>
      </c>
      <c r="R89" s="1247" t="str">
        <f>IFERROR(VLOOKUP(P89,RPCRepaymentDates[],1,FALSE),"")</f>
        <v/>
      </c>
      <c r="S89" s="1259">
        <f t="shared" si="2"/>
        <v>0</v>
      </c>
      <c r="T89" s="1247" t="str">
        <f>IFERROR(VLOOKUP(P89,RPCChargeCycleDates[],1,FALSE),"")</f>
        <v/>
      </c>
      <c r="U89" s="1248" t="str">
        <f>IFERROR(_xlfn.DAYS(T89,$Q$16)-SUM(U$26:U88),"")</f>
        <v/>
      </c>
      <c r="V89" s="1258">
        <f t="shared" ca="1" si="3"/>
        <v>0</v>
      </c>
      <c r="W89" s="1258">
        <f t="shared" ca="1" si="4"/>
        <v>0</v>
      </c>
      <c r="X89" s="1258" t="e">
        <f t="shared" ca="1" si="5"/>
        <v>#N/A</v>
      </c>
      <c r="Y89" s="1240"/>
      <c r="Z89" s="1240"/>
      <c r="AA89" s="1240"/>
      <c r="AB89" s="1240"/>
      <c r="AC89" s="1254" t="e">
        <f t="shared" si="9"/>
        <v>#NUM!</v>
      </c>
      <c r="AD89" s="1240"/>
      <c r="AE89" s="1254">
        <f t="shared" si="10"/>
        <v>2067</v>
      </c>
      <c r="AF89" s="1240"/>
      <c r="AG89" s="1240"/>
      <c r="AH89" s="1240"/>
      <c r="AI89" s="1240"/>
      <c r="AJ89" s="1240"/>
      <c r="AK89" s="1240"/>
      <c r="AL89" s="1240"/>
      <c r="AM89" s="1240"/>
      <c r="AN89" s="1240"/>
      <c r="AO89" s="1240"/>
      <c r="AP89" s="1240"/>
    </row>
    <row r="90" spans="1:42" ht="18.75" customHeight="1" x14ac:dyDescent="0.35">
      <c r="A90" s="1240"/>
      <c r="B90" s="1240"/>
      <c r="C90" s="1240"/>
      <c r="D90" s="1240"/>
      <c r="E90" s="1240"/>
      <c r="F90" s="1240"/>
      <c r="G90" s="1240"/>
      <c r="H90" s="1240"/>
      <c r="I90" s="1240"/>
      <c r="J90" s="1240"/>
      <c r="K90" s="1240"/>
      <c r="L90" s="1240"/>
      <c r="M90" s="1240"/>
      <c r="N90" s="1240"/>
      <c r="O90" s="1240"/>
      <c r="P90" s="1247">
        <f t="shared" si="7"/>
        <v>64</v>
      </c>
      <c r="Q90" s="1253" t="e">
        <f t="shared" ca="1" si="6"/>
        <v>#N/A</v>
      </c>
      <c r="R90" s="1247" t="str">
        <f>IFERROR(VLOOKUP(P90,RPCRepaymentDates[],1,FALSE),"")</f>
        <v/>
      </c>
      <c r="S90" s="1259">
        <f t="shared" ref="S90:S153" si="11">IF(P90=R90,IF(R90&lt;RPCNextPaymentTransferDate,0,IF(OR(R90&lt;RPCPauseStartDate,R90&gt;RPCPauseEndDate),RPCCurrentRepayment,RPCPauseRepayment)),0)</f>
        <v>0</v>
      </c>
      <c r="T90" s="1247" t="str">
        <f>IFERROR(VLOOKUP(P90,RPCChargeCycleDates[],1,FALSE),"")</f>
        <v/>
      </c>
      <c r="U90" s="1248" t="str">
        <f>IFERROR(_xlfn.DAYS(T90,$Q$16)-SUM(U$26:U89),"")</f>
        <v/>
      </c>
      <c r="V90" s="1258">
        <f t="shared" ref="V90:V153" ca="1" si="12">IFERROR((Q90-S90)*(1/RPCDaysInYear)*RPCInterestRate,0)</f>
        <v>0</v>
      </c>
      <c r="W90" s="1258">
        <f t="shared" ref="W90:W153" ca="1" si="13">IFERROR(IF(T90=P90,SUM(OFFSET(V90,-U90+1,0,U90,1)),0),0)</f>
        <v>0</v>
      </c>
      <c r="X90" s="1258" t="e">
        <f t="shared" ref="X90:X153" ca="1" si="14">Q90-S90+W90</f>
        <v>#N/A</v>
      </c>
      <c r="Y90" s="1240"/>
      <c r="Z90" s="1240"/>
      <c r="AA90" s="1240"/>
      <c r="AB90" s="1240"/>
      <c r="AC90" s="1254" t="e">
        <f t="shared" si="9"/>
        <v>#NUM!</v>
      </c>
      <c r="AD90" s="1240"/>
      <c r="AE90" s="1254">
        <f t="shared" si="10"/>
        <v>2098</v>
      </c>
      <c r="AF90" s="1240"/>
      <c r="AG90" s="1240"/>
      <c r="AH90" s="1240"/>
      <c r="AI90" s="1240"/>
      <c r="AJ90" s="1240"/>
      <c r="AK90" s="1240"/>
      <c r="AL90" s="1240"/>
      <c r="AM90" s="1240"/>
      <c r="AN90" s="1240"/>
      <c r="AO90" s="1240"/>
      <c r="AP90" s="1240"/>
    </row>
    <row r="91" spans="1:42" ht="18.75" customHeight="1" x14ac:dyDescent="0.35">
      <c r="A91" s="1240"/>
      <c r="B91" s="1240"/>
      <c r="C91" s="1240"/>
      <c r="D91" s="1240"/>
      <c r="E91" s="1240"/>
      <c r="F91" s="1240"/>
      <c r="G91" s="1240"/>
      <c r="H91" s="1240"/>
      <c r="I91" s="1240"/>
      <c r="J91" s="1240"/>
      <c r="K91" s="1240"/>
      <c r="L91" s="1240"/>
      <c r="M91" s="1240"/>
      <c r="N91" s="1240"/>
      <c r="O91" s="1240"/>
      <c r="P91" s="1247">
        <f t="shared" si="7"/>
        <v>65</v>
      </c>
      <c r="Q91" s="1253" t="e">
        <f t="shared" ref="Q91:Q154" ca="1" si="15">X90</f>
        <v>#N/A</v>
      </c>
      <c r="R91" s="1247" t="str">
        <f>IFERROR(VLOOKUP(P91,RPCRepaymentDates[],1,FALSE),"")</f>
        <v/>
      </c>
      <c r="S91" s="1259">
        <f t="shared" si="11"/>
        <v>0</v>
      </c>
      <c r="T91" s="1247" t="str">
        <f>IFERROR(VLOOKUP(P91,RPCChargeCycleDates[],1,FALSE),"")</f>
        <v/>
      </c>
      <c r="U91" s="1248" t="str">
        <f>IFERROR(_xlfn.DAYS(T91,$Q$16)-SUM(U$26:U90),"")</f>
        <v/>
      </c>
      <c r="V91" s="1258">
        <f t="shared" ca="1" si="12"/>
        <v>0</v>
      </c>
      <c r="W91" s="1258">
        <f t="shared" ca="1" si="13"/>
        <v>0</v>
      </c>
      <c r="X91" s="1258" t="e">
        <f t="shared" ca="1" si="14"/>
        <v>#N/A</v>
      </c>
      <c r="Y91" s="1240"/>
      <c r="Z91" s="1240"/>
      <c r="AA91" s="1240"/>
      <c r="AB91" s="1240"/>
      <c r="AC91" s="1254" t="e">
        <f t="shared" si="9"/>
        <v>#NUM!</v>
      </c>
      <c r="AD91" s="1240"/>
      <c r="AE91" s="1254">
        <f t="shared" si="10"/>
        <v>2128</v>
      </c>
      <c r="AF91" s="1240"/>
      <c r="AG91" s="1240"/>
      <c r="AH91" s="1240"/>
      <c r="AI91" s="1240"/>
      <c r="AJ91" s="1240"/>
      <c r="AK91" s="1240"/>
      <c r="AL91" s="1240"/>
      <c r="AM91" s="1240"/>
      <c r="AN91" s="1240"/>
      <c r="AO91" s="1240"/>
      <c r="AP91" s="1240"/>
    </row>
    <row r="92" spans="1:42" ht="18.75" customHeight="1" x14ac:dyDescent="0.35">
      <c r="A92" s="1240"/>
      <c r="B92" s="1240"/>
      <c r="C92" s="1240"/>
      <c r="D92" s="1240"/>
      <c r="E92" s="1240"/>
      <c r="F92" s="1240"/>
      <c r="G92" s="1240"/>
      <c r="H92" s="1240"/>
      <c r="I92" s="1240"/>
      <c r="J92" s="1240"/>
      <c r="K92" s="1240"/>
      <c r="L92" s="1240"/>
      <c r="M92" s="1240"/>
      <c r="N92" s="1240"/>
      <c r="O92" s="1240"/>
      <c r="P92" s="1247">
        <f t="shared" ref="P92:P155" si="16">P91+1</f>
        <v>66</v>
      </c>
      <c r="Q92" s="1253" t="e">
        <f t="shared" ca="1" si="15"/>
        <v>#N/A</v>
      </c>
      <c r="R92" s="1247" t="str">
        <f>IFERROR(VLOOKUP(P92,RPCRepaymentDates[],1,FALSE),"")</f>
        <v/>
      </c>
      <c r="S92" s="1259">
        <f t="shared" si="11"/>
        <v>0</v>
      </c>
      <c r="T92" s="1247" t="str">
        <f>IFERROR(VLOOKUP(P92,RPCChargeCycleDates[],1,FALSE),"")</f>
        <v/>
      </c>
      <c r="U92" s="1248" t="str">
        <f>IFERROR(_xlfn.DAYS(T92,$Q$16)-SUM(U$26:U91),"")</f>
        <v/>
      </c>
      <c r="V92" s="1258">
        <f t="shared" ca="1" si="12"/>
        <v>0</v>
      </c>
      <c r="W92" s="1258">
        <f t="shared" ca="1" si="13"/>
        <v>0</v>
      </c>
      <c r="X92" s="1258" t="e">
        <f t="shared" ca="1" si="14"/>
        <v>#N/A</v>
      </c>
      <c r="Y92" s="1240"/>
      <c r="Z92" s="1240"/>
      <c r="AA92" s="1240"/>
      <c r="AB92" s="1240"/>
      <c r="AC92" s="1254" t="e">
        <f t="shared" si="9"/>
        <v>#NUM!</v>
      </c>
      <c r="AD92" s="1240"/>
      <c r="AE92" s="1254">
        <f t="shared" si="10"/>
        <v>2159</v>
      </c>
      <c r="AF92" s="1240"/>
      <c r="AG92" s="1240"/>
      <c r="AH92" s="1240"/>
      <c r="AI92" s="1240"/>
      <c r="AJ92" s="1240"/>
      <c r="AK92" s="1240"/>
      <c r="AL92" s="1240"/>
      <c r="AM92" s="1240"/>
      <c r="AN92" s="1240"/>
      <c r="AO92" s="1240"/>
      <c r="AP92" s="1240"/>
    </row>
    <row r="93" spans="1:42" ht="18.75" customHeight="1" x14ac:dyDescent="0.35">
      <c r="A93" s="1240"/>
      <c r="B93" s="1240"/>
      <c r="C93" s="1240"/>
      <c r="D93" s="1240"/>
      <c r="E93" s="1240"/>
      <c r="F93" s="1240"/>
      <c r="G93" s="1240"/>
      <c r="H93" s="1240"/>
      <c r="I93" s="1240"/>
      <c r="J93" s="1240"/>
      <c r="K93" s="1240"/>
      <c r="L93" s="1240"/>
      <c r="M93" s="1240"/>
      <c r="N93" s="1240"/>
      <c r="O93" s="1240"/>
      <c r="P93" s="1247">
        <f t="shared" si="16"/>
        <v>67</v>
      </c>
      <c r="Q93" s="1253" t="e">
        <f t="shared" ca="1" si="15"/>
        <v>#N/A</v>
      </c>
      <c r="R93" s="1247" t="str">
        <f>IFERROR(VLOOKUP(P93,RPCRepaymentDates[],1,FALSE),"")</f>
        <v/>
      </c>
      <c r="S93" s="1259">
        <f t="shared" si="11"/>
        <v>0</v>
      </c>
      <c r="T93" s="1247" t="str">
        <f>IFERROR(VLOOKUP(P93,RPCChargeCycleDates[],1,FALSE),"")</f>
        <v/>
      </c>
      <c r="U93" s="1248" t="str">
        <f>IFERROR(_xlfn.DAYS(T93,$Q$16)-SUM(U$26:U92),"")</f>
        <v/>
      </c>
      <c r="V93" s="1258">
        <f t="shared" ca="1" si="12"/>
        <v>0</v>
      </c>
      <c r="W93" s="1258">
        <f t="shared" ca="1" si="13"/>
        <v>0</v>
      </c>
      <c r="X93" s="1258" t="e">
        <f t="shared" ca="1" si="14"/>
        <v>#N/A</v>
      </c>
      <c r="Y93" s="1240"/>
      <c r="Z93" s="1240"/>
      <c r="AA93" s="1240"/>
      <c r="AB93" s="1240"/>
      <c r="AC93" s="1254" t="e">
        <f t="shared" si="9"/>
        <v>#NUM!</v>
      </c>
      <c r="AD93" s="1240"/>
      <c r="AE93" s="1254">
        <f t="shared" si="10"/>
        <v>2189</v>
      </c>
      <c r="AF93" s="1240"/>
      <c r="AG93" s="1240"/>
      <c r="AH93" s="1240"/>
      <c r="AI93" s="1240"/>
      <c r="AJ93" s="1240"/>
      <c r="AK93" s="1240"/>
      <c r="AL93" s="1240"/>
      <c r="AM93" s="1240"/>
      <c r="AN93" s="1240"/>
      <c r="AO93" s="1240"/>
      <c r="AP93" s="1240"/>
    </row>
    <row r="94" spans="1:42" ht="18.75" customHeight="1" x14ac:dyDescent="0.35">
      <c r="A94" s="1240"/>
      <c r="B94" s="1240"/>
      <c r="C94" s="1240"/>
      <c r="D94" s="1240"/>
      <c r="E94" s="1240"/>
      <c r="F94" s="1240"/>
      <c r="G94" s="1240"/>
      <c r="H94" s="1240"/>
      <c r="I94" s="1240"/>
      <c r="J94" s="1240"/>
      <c r="K94" s="1240"/>
      <c r="L94" s="1240"/>
      <c r="M94" s="1240"/>
      <c r="N94" s="1240"/>
      <c r="O94" s="1240"/>
      <c r="P94" s="1247">
        <f t="shared" si="16"/>
        <v>68</v>
      </c>
      <c r="Q94" s="1253" t="e">
        <f t="shared" ca="1" si="15"/>
        <v>#N/A</v>
      </c>
      <c r="R94" s="1247" t="str">
        <f>IFERROR(VLOOKUP(P94,RPCRepaymentDates[],1,FALSE),"")</f>
        <v/>
      </c>
      <c r="S94" s="1259">
        <f t="shared" si="11"/>
        <v>0</v>
      </c>
      <c r="T94" s="1247" t="str">
        <f>IFERROR(VLOOKUP(P94,RPCChargeCycleDates[],1,FALSE),"")</f>
        <v/>
      </c>
      <c r="U94" s="1248" t="str">
        <f>IFERROR(_xlfn.DAYS(T94,$Q$16)-SUM(U$26:U93),"")</f>
        <v/>
      </c>
      <c r="V94" s="1258">
        <f t="shared" ca="1" si="12"/>
        <v>0</v>
      </c>
      <c r="W94" s="1258">
        <f t="shared" ca="1" si="13"/>
        <v>0</v>
      </c>
      <c r="X94" s="1258" t="e">
        <f t="shared" ca="1" si="14"/>
        <v>#N/A</v>
      </c>
      <c r="Y94" s="1240"/>
      <c r="Z94" s="1240"/>
      <c r="AA94" s="1240"/>
      <c r="AB94" s="1240"/>
      <c r="AC94" s="1254" t="e">
        <f t="shared" si="9"/>
        <v>#NUM!</v>
      </c>
      <c r="AD94" s="1240"/>
      <c r="AE94" s="1254">
        <f t="shared" si="10"/>
        <v>2220</v>
      </c>
      <c r="AF94" s="1240"/>
      <c r="AG94" s="1240"/>
      <c r="AH94" s="1240"/>
      <c r="AI94" s="1240"/>
      <c r="AJ94" s="1240"/>
      <c r="AK94" s="1240"/>
      <c r="AL94" s="1240"/>
      <c r="AM94" s="1240"/>
      <c r="AN94" s="1240"/>
      <c r="AO94" s="1240"/>
      <c r="AP94" s="1240"/>
    </row>
    <row r="95" spans="1:42" ht="18.75" customHeight="1" x14ac:dyDescent="0.35">
      <c r="A95" s="1240"/>
      <c r="B95" s="1240"/>
      <c r="C95" s="1240"/>
      <c r="D95" s="1240"/>
      <c r="E95" s="1240"/>
      <c r="F95" s="1240"/>
      <c r="G95" s="1240"/>
      <c r="H95" s="1240"/>
      <c r="I95" s="1240"/>
      <c r="J95" s="1240"/>
      <c r="K95" s="1240"/>
      <c r="L95" s="1240"/>
      <c r="M95" s="1240"/>
      <c r="N95" s="1240"/>
      <c r="O95" s="1240"/>
      <c r="P95" s="1247">
        <f t="shared" si="16"/>
        <v>69</v>
      </c>
      <c r="Q95" s="1253" t="e">
        <f t="shared" ca="1" si="15"/>
        <v>#N/A</v>
      </c>
      <c r="R95" s="1247" t="str">
        <f>IFERROR(VLOOKUP(P95,RPCRepaymentDates[],1,FALSE),"")</f>
        <v/>
      </c>
      <c r="S95" s="1259">
        <f t="shared" si="11"/>
        <v>0</v>
      </c>
      <c r="T95" s="1247" t="str">
        <f>IFERROR(VLOOKUP(P95,RPCChargeCycleDates[],1,FALSE),"")</f>
        <v/>
      </c>
      <c r="U95" s="1248" t="str">
        <f>IFERROR(_xlfn.DAYS(T95,$Q$16)-SUM(U$26:U94),"")</f>
        <v/>
      </c>
      <c r="V95" s="1258">
        <f t="shared" ca="1" si="12"/>
        <v>0</v>
      </c>
      <c r="W95" s="1258">
        <f t="shared" ca="1" si="13"/>
        <v>0</v>
      </c>
      <c r="X95" s="1258" t="e">
        <f t="shared" ca="1" si="14"/>
        <v>#N/A</v>
      </c>
      <c r="Y95" s="1240"/>
      <c r="Z95" s="1240"/>
      <c r="AA95" s="1240"/>
      <c r="AB95" s="1240"/>
      <c r="AC95" s="1254" t="e">
        <f t="shared" si="9"/>
        <v>#NUM!</v>
      </c>
      <c r="AD95" s="1240"/>
      <c r="AE95" s="1254">
        <f t="shared" si="10"/>
        <v>2251</v>
      </c>
      <c r="AF95" s="1240"/>
      <c r="AG95" s="1240"/>
      <c r="AH95" s="1240"/>
      <c r="AI95" s="1240"/>
      <c r="AJ95" s="1240"/>
      <c r="AK95" s="1240"/>
      <c r="AL95" s="1240"/>
      <c r="AM95" s="1240"/>
      <c r="AN95" s="1240"/>
      <c r="AO95" s="1240"/>
      <c r="AP95" s="1240"/>
    </row>
    <row r="96" spans="1:42" ht="18.75" customHeight="1" x14ac:dyDescent="0.35">
      <c r="A96" s="1240"/>
      <c r="B96" s="1240"/>
      <c r="C96" s="1240"/>
      <c r="D96" s="1240"/>
      <c r="E96" s="1240"/>
      <c r="F96" s="1240"/>
      <c r="G96" s="1240"/>
      <c r="H96" s="1240"/>
      <c r="I96" s="1240"/>
      <c r="J96" s="1240"/>
      <c r="K96" s="1240"/>
      <c r="L96" s="1240"/>
      <c r="M96" s="1240"/>
      <c r="N96" s="1240"/>
      <c r="O96" s="1240"/>
      <c r="P96" s="1247">
        <f t="shared" si="16"/>
        <v>70</v>
      </c>
      <c r="Q96" s="1253" t="e">
        <f t="shared" ca="1" si="15"/>
        <v>#N/A</v>
      </c>
      <c r="R96" s="1247" t="str">
        <f>IFERROR(VLOOKUP(P96,RPCRepaymentDates[],1,FALSE),"")</f>
        <v/>
      </c>
      <c r="S96" s="1259">
        <f t="shared" si="11"/>
        <v>0</v>
      </c>
      <c r="T96" s="1247" t="str">
        <f>IFERROR(VLOOKUP(P96,RPCChargeCycleDates[],1,FALSE),"")</f>
        <v/>
      </c>
      <c r="U96" s="1248" t="str">
        <f>IFERROR(_xlfn.DAYS(T96,$Q$16)-SUM(U$26:U95),"")</f>
        <v/>
      </c>
      <c r="V96" s="1258">
        <f t="shared" ca="1" si="12"/>
        <v>0</v>
      </c>
      <c r="W96" s="1258">
        <f t="shared" ca="1" si="13"/>
        <v>0</v>
      </c>
      <c r="X96" s="1258" t="e">
        <f t="shared" ca="1" si="14"/>
        <v>#N/A</v>
      </c>
      <c r="Y96" s="1240"/>
      <c r="Z96" s="1240"/>
      <c r="AA96" s="1240"/>
      <c r="AB96" s="1240"/>
      <c r="AC96" s="1254" t="e">
        <f t="shared" si="9"/>
        <v>#NUM!</v>
      </c>
      <c r="AD96" s="1240"/>
      <c r="AE96" s="1254">
        <f t="shared" si="10"/>
        <v>2279</v>
      </c>
      <c r="AF96" s="1240"/>
      <c r="AG96" s="1240"/>
      <c r="AH96" s="1240"/>
      <c r="AI96" s="1240"/>
      <c r="AJ96" s="1240"/>
      <c r="AK96" s="1240"/>
      <c r="AL96" s="1240"/>
      <c r="AM96" s="1240"/>
      <c r="AN96" s="1240"/>
      <c r="AO96" s="1240"/>
      <c r="AP96" s="1240"/>
    </row>
    <row r="97" spans="1:42" ht="18.75" customHeight="1" x14ac:dyDescent="0.35">
      <c r="A97" s="1240"/>
      <c r="B97" s="1240"/>
      <c r="C97" s="1240"/>
      <c r="D97" s="1240"/>
      <c r="E97" s="1240"/>
      <c r="F97" s="1240"/>
      <c r="G97" s="1240"/>
      <c r="H97" s="1240"/>
      <c r="I97" s="1240"/>
      <c r="J97" s="1240"/>
      <c r="K97" s="1240"/>
      <c r="L97" s="1240"/>
      <c r="M97" s="1240"/>
      <c r="N97" s="1240"/>
      <c r="O97" s="1240"/>
      <c r="P97" s="1247">
        <f t="shared" si="16"/>
        <v>71</v>
      </c>
      <c r="Q97" s="1253" t="e">
        <f t="shared" ca="1" si="15"/>
        <v>#N/A</v>
      </c>
      <c r="R97" s="1247" t="str">
        <f>IFERROR(VLOOKUP(P97,RPCRepaymentDates[],1,FALSE),"")</f>
        <v/>
      </c>
      <c r="S97" s="1259">
        <f t="shared" si="11"/>
        <v>0</v>
      </c>
      <c r="T97" s="1247" t="str">
        <f>IFERROR(VLOOKUP(P97,RPCChargeCycleDates[],1,FALSE),"")</f>
        <v/>
      </c>
      <c r="U97" s="1248" t="str">
        <f>IFERROR(_xlfn.DAYS(T97,$Q$16)-SUM(U$26:U96),"")</f>
        <v/>
      </c>
      <c r="V97" s="1258">
        <f t="shared" ca="1" si="12"/>
        <v>0</v>
      </c>
      <c r="W97" s="1258">
        <f t="shared" ca="1" si="13"/>
        <v>0</v>
      </c>
      <c r="X97" s="1258" t="e">
        <f t="shared" ca="1" si="14"/>
        <v>#N/A</v>
      </c>
      <c r="Y97" s="1240"/>
      <c r="Z97" s="1240"/>
      <c r="AA97" s="1240"/>
      <c r="AB97" s="1240"/>
      <c r="AC97" s="1254" t="e">
        <f t="shared" si="9"/>
        <v>#NUM!</v>
      </c>
      <c r="AD97" s="1240"/>
      <c r="AE97" s="1254">
        <f t="shared" si="10"/>
        <v>2310</v>
      </c>
      <c r="AF97" s="1240"/>
      <c r="AG97" s="1240"/>
      <c r="AH97" s="1240"/>
      <c r="AI97" s="1240"/>
      <c r="AJ97" s="1240"/>
      <c r="AK97" s="1240"/>
      <c r="AL97" s="1240"/>
      <c r="AM97" s="1240"/>
      <c r="AN97" s="1240"/>
      <c r="AO97" s="1240"/>
      <c r="AP97" s="1240"/>
    </row>
    <row r="98" spans="1:42" ht="18.75" customHeight="1" x14ac:dyDescent="0.35">
      <c r="A98" s="1240"/>
      <c r="B98" s="1240"/>
      <c r="C98" s="1240"/>
      <c r="D98" s="1240"/>
      <c r="E98" s="1240"/>
      <c r="F98" s="1240"/>
      <c r="G98" s="1240"/>
      <c r="H98" s="1240"/>
      <c r="I98" s="1240"/>
      <c r="J98" s="1240"/>
      <c r="K98" s="1240"/>
      <c r="L98" s="1240"/>
      <c r="M98" s="1240"/>
      <c r="N98" s="1240"/>
      <c r="O98" s="1240"/>
      <c r="P98" s="1247">
        <f t="shared" si="16"/>
        <v>72</v>
      </c>
      <c r="Q98" s="1253" t="e">
        <f t="shared" ca="1" si="15"/>
        <v>#N/A</v>
      </c>
      <c r="R98" s="1247" t="str">
        <f>IFERROR(VLOOKUP(P98,RPCRepaymentDates[],1,FALSE),"")</f>
        <v/>
      </c>
      <c r="S98" s="1259">
        <f t="shared" si="11"/>
        <v>0</v>
      </c>
      <c r="T98" s="1247" t="str">
        <f>IFERROR(VLOOKUP(P98,RPCChargeCycleDates[],1,FALSE),"")</f>
        <v/>
      </c>
      <c r="U98" s="1248" t="str">
        <f>IFERROR(_xlfn.DAYS(T98,$Q$16)-SUM(U$26:U97),"")</f>
        <v/>
      </c>
      <c r="V98" s="1258">
        <f t="shared" ca="1" si="12"/>
        <v>0</v>
      </c>
      <c r="W98" s="1258">
        <f t="shared" ca="1" si="13"/>
        <v>0</v>
      </c>
      <c r="X98" s="1258" t="e">
        <f t="shared" ca="1" si="14"/>
        <v>#N/A</v>
      </c>
      <c r="Y98" s="1240"/>
      <c r="Z98" s="1240"/>
      <c r="AA98" s="1240"/>
      <c r="AB98" s="1240"/>
      <c r="AC98" s="1254" t="e">
        <f t="shared" si="9"/>
        <v>#NUM!</v>
      </c>
      <c r="AD98" s="1240"/>
      <c r="AE98" s="1254">
        <f t="shared" si="10"/>
        <v>2340</v>
      </c>
      <c r="AF98" s="1240"/>
      <c r="AG98" s="1240"/>
      <c r="AH98" s="1240"/>
      <c r="AI98" s="1240"/>
      <c r="AJ98" s="1240"/>
      <c r="AK98" s="1240"/>
      <c r="AL98" s="1240"/>
      <c r="AM98" s="1240"/>
      <c r="AN98" s="1240"/>
      <c r="AO98" s="1240"/>
      <c r="AP98" s="1240"/>
    </row>
    <row r="99" spans="1:42" ht="18.75" customHeight="1" x14ac:dyDescent="0.35">
      <c r="A99" s="1240"/>
      <c r="B99" s="1240"/>
      <c r="C99" s="1240"/>
      <c r="D99" s="1240"/>
      <c r="E99" s="1240"/>
      <c r="F99" s="1240"/>
      <c r="G99" s="1240"/>
      <c r="H99" s="1240"/>
      <c r="I99" s="1240"/>
      <c r="J99" s="1240"/>
      <c r="K99" s="1240"/>
      <c r="L99" s="1240"/>
      <c r="M99" s="1240"/>
      <c r="N99" s="1240"/>
      <c r="O99" s="1240"/>
      <c r="P99" s="1247">
        <f t="shared" si="16"/>
        <v>73</v>
      </c>
      <c r="Q99" s="1253" t="e">
        <f t="shared" ca="1" si="15"/>
        <v>#N/A</v>
      </c>
      <c r="R99" s="1247" t="str">
        <f>IFERROR(VLOOKUP(P99,RPCRepaymentDates[],1,FALSE),"")</f>
        <v/>
      </c>
      <c r="S99" s="1259">
        <f t="shared" si="11"/>
        <v>0</v>
      </c>
      <c r="T99" s="1247" t="str">
        <f>IFERROR(VLOOKUP(P99,RPCChargeCycleDates[],1,FALSE),"")</f>
        <v/>
      </c>
      <c r="U99" s="1248" t="str">
        <f>IFERROR(_xlfn.DAYS(T99,$Q$16)-SUM(U$26:U98),"")</f>
        <v/>
      </c>
      <c r="V99" s="1258">
        <f t="shared" ca="1" si="12"/>
        <v>0</v>
      </c>
      <c r="W99" s="1258">
        <f t="shared" ca="1" si="13"/>
        <v>0</v>
      </c>
      <c r="X99" s="1258" t="e">
        <f t="shared" ca="1" si="14"/>
        <v>#N/A</v>
      </c>
      <c r="Y99" s="1240"/>
      <c r="Z99" s="1240"/>
      <c r="AA99" s="1240"/>
      <c r="AB99" s="1240"/>
      <c r="AC99" s="1254" t="e">
        <f t="shared" si="9"/>
        <v>#NUM!</v>
      </c>
      <c r="AD99" s="1240"/>
      <c r="AE99" s="1254">
        <f t="shared" si="10"/>
        <v>2371</v>
      </c>
      <c r="AF99" s="1240"/>
      <c r="AG99" s="1240"/>
      <c r="AH99" s="1240"/>
      <c r="AI99" s="1240"/>
      <c r="AJ99" s="1240"/>
      <c r="AK99" s="1240"/>
      <c r="AL99" s="1240"/>
      <c r="AM99" s="1240"/>
      <c r="AN99" s="1240"/>
      <c r="AO99" s="1240"/>
      <c r="AP99" s="1240"/>
    </row>
    <row r="100" spans="1:42" ht="18.75" customHeight="1" x14ac:dyDescent="0.35">
      <c r="A100" s="1240"/>
      <c r="B100" s="1240"/>
      <c r="C100" s="1240"/>
      <c r="D100" s="1240"/>
      <c r="E100" s="1240"/>
      <c r="F100" s="1240"/>
      <c r="G100" s="1240"/>
      <c r="H100" s="1240"/>
      <c r="I100" s="1240"/>
      <c r="J100" s="1240"/>
      <c r="K100" s="1240"/>
      <c r="L100" s="1240"/>
      <c r="M100" s="1240"/>
      <c r="N100" s="1240"/>
      <c r="O100" s="1240"/>
      <c r="P100" s="1247">
        <f t="shared" si="16"/>
        <v>74</v>
      </c>
      <c r="Q100" s="1253" t="e">
        <f t="shared" ca="1" si="15"/>
        <v>#N/A</v>
      </c>
      <c r="R100" s="1247" t="str">
        <f>IFERROR(VLOOKUP(P100,RPCRepaymentDates[],1,FALSE),"")</f>
        <v/>
      </c>
      <c r="S100" s="1259">
        <f t="shared" si="11"/>
        <v>0</v>
      </c>
      <c r="T100" s="1247" t="str">
        <f>IFERROR(VLOOKUP(P100,RPCChargeCycleDates[],1,FALSE),"")</f>
        <v/>
      </c>
      <c r="U100" s="1248" t="str">
        <f>IFERROR(_xlfn.DAYS(T100,$Q$16)-SUM(U$26:U99),"")</f>
        <v/>
      </c>
      <c r="V100" s="1258">
        <f t="shared" ca="1" si="12"/>
        <v>0</v>
      </c>
      <c r="W100" s="1258">
        <f t="shared" ca="1" si="13"/>
        <v>0</v>
      </c>
      <c r="X100" s="1258" t="e">
        <f t="shared" ca="1" si="14"/>
        <v>#N/A</v>
      </c>
      <c r="Y100" s="1240"/>
      <c r="Z100" s="1240"/>
      <c r="AA100" s="1240"/>
      <c r="AB100" s="1240"/>
      <c r="AC100" s="1254" t="e">
        <f t="shared" si="9"/>
        <v>#NUM!</v>
      </c>
      <c r="AD100" s="1240"/>
      <c r="AE100" s="1254">
        <f t="shared" si="10"/>
        <v>2401</v>
      </c>
      <c r="AF100" s="1240"/>
      <c r="AG100" s="1240"/>
      <c r="AH100" s="1240"/>
      <c r="AI100" s="1240"/>
      <c r="AJ100" s="1240"/>
      <c r="AK100" s="1240"/>
      <c r="AL100" s="1240"/>
      <c r="AM100" s="1240"/>
      <c r="AN100" s="1240"/>
      <c r="AO100" s="1240"/>
      <c r="AP100" s="1240"/>
    </row>
    <row r="101" spans="1:42" ht="18.75" customHeight="1" x14ac:dyDescent="0.35">
      <c r="A101" s="1240"/>
      <c r="B101" s="1240"/>
      <c r="C101" s="1240"/>
      <c r="D101" s="1240"/>
      <c r="E101" s="1240"/>
      <c r="F101" s="1240"/>
      <c r="G101" s="1240"/>
      <c r="H101" s="1240"/>
      <c r="I101" s="1240"/>
      <c r="J101" s="1240"/>
      <c r="K101" s="1240"/>
      <c r="L101" s="1240"/>
      <c r="M101" s="1240"/>
      <c r="N101" s="1240"/>
      <c r="O101" s="1240"/>
      <c r="P101" s="1247">
        <f t="shared" si="16"/>
        <v>75</v>
      </c>
      <c r="Q101" s="1253" t="e">
        <f t="shared" ca="1" si="15"/>
        <v>#N/A</v>
      </c>
      <c r="R101" s="1247" t="str">
        <f>IFERROR(VLOOKUP(P101,RPCRepaymentDates[],1,FALSE),"")</f>
        <v/>
      </c>
      <c r="S101" s="1259">
        <f t="shared" si="11"/>
        <v>0</v>
      </c>
      <c r="T101" s="1247" t="str">
        <f>IFERROR(VLOOKUP(P101,RPCChargeCycleDates[],1,FALSE),"")</f>
        <v/>
      </c>
      <c r="U101" s="1248" t="str">
        <f>IFERROR(_xlfn.DAYS(T101,$Q$16)-SUM(U$26:U100),"")</f>
        <v/>
      </c>
      <c r="V101" s="1258">
        <f t="shared" ca="1" si="12"/>
        <v>0</v>
      </c>
      <c r="W101" s="1258">
        <f t="shared" ca="1" si="13"/>
        <v>0</v>
      </c>
      <c r="X101" s="1258" t="e">
        <f t="shared" ca="1" si="14"/>
        <v>#N/A</v>
      </c>
      <c r="Y101" s="1240"/>
      <c r="Z101" s="1240"/>
      <c r="AA101" s="1240"/>
      <c r="AB101" s="1240"/>
      <c r="AC101" s="1254" t="e">
        <f t="shared" si="9"/>
        <v>#NUM!</v>
      </c>
      <c r="AD101" s="1240"/>
      <c r="AE101" s="1254">
        <f t="shared" si="10"/>
        <v>2432</v>
      </c>
      <c r="AF101" s="1240"/>
      <c r="AG101" s="1240"/>
      <c r="AH101" s="1240"/>
      <c r="AI101" s="1240"/>
      <c r="AJ101" s="1240"/>
      <c r="AK101" s="1240"/>
      <c r="AL101" s="1240"/>
      <c r="AM101" s="1240"/>
      <c r="AN101" s="1240"/>
      <c r="AO101" s="1240"/>
      <c r="AP101" s="1240"/>
    </row>
    <row r="102" spans="1:42" ht="18.75" customHeight="1" x14ac:dyDescent="0.35">
      <c r="A102" s="1240"/>
      <c r="B102" s="1240"/>
      <c r="C102" s="1240"/>
      <c r="D102" s="1240"/>
      <c r="E102" s="1240"/>
      <c r="F102" s="1240"/>
      <c r="G102" s="1240"/>
      <c r="H102" s="1240"/>
      <c r="I102" s="1240"/>
      <c r="J102" s="1240"/>
      <c r="K102" s="1240"/>
      <c r="L102" s="1240"/>
      <c r="M102" s="1240"/>
      <c r="N102" s="1240"/>
      <c r="O102" s="1240"/>
      <c r="P102" s="1247">
        <f t="shared" si="16"/>
        <v>76</v>
      </c>
      <c r="Q102" s="1253" t="e">
        <f t="shared" ca="1" si="15"/>
        <v>#N/A</v>
      </c>
      <c r="R102" s="1247" t="str">
        <f>IFERROR(VLOOKUP(P102,RPCRepaymentDates[],1,FALSE),"")</f>
        <v/>
      </c>
      <c r="S102" s="1259">
        <f t="shared" si="11"/>
        <v>0</v>
      </c>
      <c r="T102" s="1247" t="str">
        <f>IFERROR(VLOOKUP(P102,RPCChargeCycleDates[],1,FALSE),"")</f>
        <v/>
      </c>
      <c r="U102" s="1248" t="str">
        <f>IFERROR(_xlfn.DAYS(T102,$Q$16)-SUM(U$26:U101),"")</f>
        <v/>
      </c>
      <c r="V102" s="1258">
        <f t="shared" ca="1" si="12"/>
        <v>0</v>
      </c>
      <c r="W102" s="1258">
        <f t="shared" ca="1" si="13"/>
        <v>0</v>
      </c>
      <c r="X102" s="1258" t="e">
        <f t="shared" ca="1" si="14"/>
        <v>#N/A</v>
      </c>
      <c r="Y102" s="1240"/>
      <c r="Z102" s="1240"/>
      <c r="AA102" s="1240"/>
      <c r="AB102" s="1240"/>
      <c r="AC102" s="1254" t="e">
        <f t="shared" si="9"/>
        <v>#NUM!</v>
      </c>
      <c r="AD102" s="1240"/>
      <c r="AE102" s="1254">
        <f t="shared" si="10"/>
        <v>2463</v>
      </c>
      <c r="AF102" s="1240"/>
      <c r="AG102" s="1240"/>
      <c r="AH102" s="1240"/>
      <c r="AI102" s="1240"/>
      <c r="AJ102" s="1240"/>
      <c r="AK102" s="1240"/>
      <c r="AL102" s="1240"/>
      <c r="AM102" s="1240"/>
      <c r="AN102" s="1240"/>
      <c r="AO102" s="1240"/>
      <c r="AP102" s="1240"/>
    </row>
    <row r="103" spans="1:42" ht="18.75" customHeight="1" x14ac:dyDescent="0.35">
      <c r="A103" s="1240"/>
      <c r="B103" s="1240"/>
      <c r="C103" s="1240"/>
      <c r="D103" s="1240"/>
      <c r="E103" s="1240"/>
      <c r="F103" s="1240"/>
      <c r="G103" s="1240"/>
      <c r="H103" s="1240"/>
      <c r="I103" s="1240"/>
      <c r="J103" s="1240"/>
      <c r="K103" s="1240"/>
      <c r="L103" s="1240"/>
      <c r="M103" s="1240"/>
      <c r="N103" s="1240"/>
      <c r="O103" s="1240"/>
      <c r="P103" s="1247">
        <f t="shared" si="16"/>
        <v>77</v>
      </c>
      <c r="Q103" s="1253" t="e">
        <f t="shared" ca="1" si="15"/>
        <v>#N/A</v>
      </c>
      <c r="R103" s="1247" t="str">
        <f>IFERROR(VLOOKUP(P103,RPCRepaymentDates[],1,FALSE),"")</f>
        <v/>
      </c>
      <c r="S103" s="1259">
        <f t="shared" si="11"/>
        <v>0</v>
      </c>
      <c r="T103" s="1247" t="str">
        <f>IFERROR(VLOOKUP(P103,RPCChargeCycleDates[],1,FALSE),"")</f>
        <v/>
      </c>
      <c r="U103" s="1248" t="str">
        <f>IFERROR(_xlfn.DAYS(T103,$Q$16)-SUM(U$26:U102),"")</f>
        <v/>
      </c>
      <c r="V103" s="1258">
        <f t="shared" ca="1" si="12"/>
        <v>0</v>
      </c>
      <c r="W103" s="1258">
        <f t="shared" ca="1" si="13"/>
        <v>0</v>
      </c>
      <c r="X103" s="1258" t="e">
        <f t="shared" ca="1" si="14"/>
        <v>#N/A</v>
      </c>
      <c r="Y103" s="1240"/>
      <c r="Z103" s="1240"/>
      <c r="AA103" s="1240"/>
      <c r="AB103" s="1240"/>
      <c r="AC103" s="1254" t="e">
        <f t="shared" si="9"/>
        <v>#NUM!</v>
      </c>
      <c r="AD103" s="1240"/>
      <c r="AE103" s="1254">
        <f t="shared" si="10"/>
        <v>2493</v>
      </c>
      <c r="AF103" s="1240"/>
      <c r="AG103" s="1240"/>
      <c r="AH103" s="1240"/>
      <c r="AI103" s="1240"/>
      <c r="AJ103" s="1240"/>
      <c r="AK103" s="1240"/>
      <c r="AL103" s="1240"/>
      <c r="AM103" s="1240"/>
      <c r="AN103" s="1240"/>
      <c r="AO103" s="1240"/>
      <c r="AP103" s="1240"/>
    </row>
    <row r="104" spans="1:42" ht="18.75" customHeight="1" x14ac:dyDescent="0.35">
      <c r="A104" s="1240"/>
      <c r="B104" s="1240"/>
      <c r="C104" s="1240"/>
      <c r="D104" s="1240"/>
      <c r="E104" s="1240"/>
      <c r="F104" s="1240"/>
      <c r="G104" s="1240"/>
      <c r="H104" s="1240"/>
      <c r="I104" s="1240"/>
      <c r="J104" s="1240"/>
      <c r="K104" s="1240"/>
      <c r="L104" s="1240"/>
      <c r="M104" s="1240"/>
      <c r="N104" s="1240"/>
      <c r="O104" s="1240"/>
      <c r="P104" s="1247">
        <f t="shared" si="16"/>
        <v>78</v>
      </c>
      <c r="Q104" s="1253" t="e">
        <f t="shared" ca="1" si="15"/>
        <v>#N/A</v>
      </c>
      <c r="R104" s="1247" t="str">
        <f>IFERROR(VLOOKUP(P104,RPCRepaymentDates[],1,FALSE),"")</f>
        <v/>
      </c>
      <c r="S104" s="1259">
        <f t="shared" si="11"/>
        <v>0</v>
      </c>
      <c r="T104" s="1247" t="str">
        <f>IFERROR(VLOOKUP(P104,RPCChargeCycleDates[],1,FALSE),"")</f>
        <v/>
      </c>
      <c r="U104" s="1248" t="str">
        <f>IFERROR(_xlfn.DAYS(T104,$Q$16)-SUM(U$26:U103),"")</f>
        <v/>
      </c>
      <c r="V104" s="1258">
        <f t="shared" ca="1" si="12"/>
        <v>0</v>
      </c>
      <c r="W104" s="1258">
        <f t="shared" ca="1" si="13"/>
        <v>0</v>
      </c>
      <c r="X104" s="1258" t="e">
        <f t="shared" ca="1" si="14"/>
        <v>#N/A</v>
      </c>
      <c r="Y104" s="1240"/>
      <c r="Z104" s="1240"/>
      <c r="AA104" s="1240"/>
      <c r="AB104" s="1240"/>
      <c r="AC104" s="1254" t="e">
        <f t="shared" si="9"/>
        <v>#NUM!</v>
      </c>
      <c r="AD104" s="1240"/>
      <c r="AE104" s="1254">
        <f t="shared" si="10"/>
        <v>2524</v>
      </c>
      <c r="AF104" s="1240"/>
      <c r="AG104" s="1240"/>
      <c r="AH104" s="1240"/>
      <c r="AI104" s="1240"/>
      <c r="AJ104" s="1240"/>
      <c r="AK104" s="1240"/>
      <c r="AL104" s="1240"/>
      <c r="AM104" s="1240"/>
      <c r="AN104" s="1240"/>
      <c r="AO104" s="1240"/>
      <c r="AP104" s="1240"/>
    </row>
    <row r="105" spans="1:42" ht="18.75" customHeight="1" x14ac:dyDescent="0.35">
      <c r="A105" s="1240"/>
      <c r="B105" s="1240"/>
      <c r="C105" s="1240"/>
      <c r="D105" s="1240"/>
      <c r="E105" s="1240"/>
      <c r="F105" s="1240"/>
      <c r="G105" s="1240"/>
      <c r="H105" s="1240"/>
      <c r="I105" s="1240"/>
      <c r="J105" s="1240"/>
      <c r="K105" s="1240"/>
      <c r="L105" s="1240"/>
      <c r="M105" s="1240"/>
      <c r="N105" s="1240"/>
      <c r="O105" s="1240"/>
      <c r="P105" s="1247">
        <f t="shared" si="16"/>
        <v>79</v>
      </c>
      <c r="Q105" s="1253" t="e">
        <f t="shared" ca="1" si="15"/>
        <v>#N/A</v>
      </c>
      <c r="R105" s="1247" t="str">
        <f>IFERROR(VLOOKUP(P105,RPCRepaymentDates[],1,FALSE),"")</f>
        <v/>
      </c>
      <c r="S105" s="1259">
        <f t="shared" si="11"/>
        <v>0</v>
      </c>
      <c r="T105" s="1247" t="str">
        <f>IFERROR(VLOOKUP(P105,RPCChargeCycleDates[],1,FALSE),"")</f>
        <v/>
      </c>
      <c r="U105" s="1248" t="str">
        <f>IFERROR(_xlfn.DAYS(T105,$Q$16)-SUM(U$26:U104),"")</f>
        <v/>
      </c>
      <c r="V105" s="1258">
        <f t="shared" ca="1" si="12"/>
        <v>0</v>
      </c>
      <c r="W105" s="1258">
        <f t="shared" ca="1" si="13"/>
        <v>0</v>
      </c>
      <c r="X105" s="1258" t="e">
        <f t="shared" ca="1" si="14"/>
        <v>#N/A</v>
      </c>
      <c r="Y105" s="1240"/>
      <c r="Z105" s="1240"/>
      <c r="AA105" s="1240"/>
      <c r="AB105" s="1240"/>
      <c r="AC105" s="1254" t="e">
        <f t="shared" si="9"/>
        <v>#NUM!</v>
      </c>
      <c r="AD105" s="1240"/>
      <c r="AE105" s="1254">
        <f t="shared" si="10"/>
        <v>2554</v>
      </c>
      <c r="AF105" s="1240"/>
      <c r="AG105" s="1240"/>
      <c r="AH105" s="1240"/>
      <c r="AI105" s="1240"/>
      <c r="AJ105" s="1240"/>
      <c r="AK105" s="1240"/>
      <c r="AL105" s="1240"/>
      <c r="AM105" s="1240"/>
      <c r="AN105" s="1240"/>
      <c r="AO105" s="1240"/>
      <c r="AP105" s="1240"/>
    </row>
    <row r="106" spans="1:42" ht="18.75" customHeight="1" x14ac:dyDescent="0.35">
      <c r="A106" s="1240"/>
      <c r="B106" s="1240"/>
      <c r="C106" s="1240"/>
      <c r="D106" s="1240"/>
      <c r="E106" s="1240"/>
      <c r="F106" s="1240"/>
      <c r="G106" s="1240"/>
      <c r="H106" s="1240"/>
      <c r="I106" s="1240"/>
      <c r="J106" s="1240"/>
      <c r="K106" s="1240"/>
      <c r="L106" s="1240"/>
      <c r="M106" s="1240"/>
      <c r="N106" s="1240"/>
      <c r="O106" s="1240"/>
      <c r="P106" s="1247">
        <f t="shared" si="16"/>
        <v>80</v>
      </c>
      <c r="Q106" s="1253" t="e">
        <f t="shared" ca="1" si="15"/>
        <v>#N/A</v>
      </c>
      <c r="R106" s="1247" t="str">
        <f>IFERROR(VLOOKUP(P106,RPCRepaymentDates[],1,FALSE),"")</f>
        <v/>
      </c>
      <c r="S106" s="1259">
        <f t="shared" si="11"/>
        <v>0</v>
      </c>
      <c r="T106" s="1247" t="str">
        <f>IFERROR(VLOOKUP(P106,RPCChargeCycleDates[],1,FALSE),"")</f>
        <v/>
      </c>
      <c r="U106" s="1248" t="str">
        <f>IFERROR(_xlfn.DAYS(T106,$Q$16)-SUM(U$26:U105),"")</f>
        <v/>
      </c>
      <c r="V106" s="1258">
        <f t="shared" ca="1" si="12"/>
        <v>0</v>
      </c>
      <c r="W106" s="1258">
        <f t="shared" ca="1" si="13"/>
        <v>0</v>
      </c>
      <c r="X106" s="1258" t="e">
        <f t="shared" ca="1" si="14"/>
        <v>#N/A</v>
      </c>
      <c r="Y106" s="1240"/>
      <c r="Z106" s="1240"/>
      <c r="AA106" s="1240"/>
      <c r="AB106" s="1240"/>
      <c r="AC106" s="1254" t="e">
        <f t="shared" si="9"/>
        <v>#NUM!</v>
      </c>
      <c r="AD106" s="1240"/>
      <c r="AE106" s="1254">
        <f t="shared" si="10"/>
        <v>2585</v>
      </c>
      <c r="AF106" s="1240"/>
      <c r="AG106" s="1240"/>
      <c r="AH106" s="1240"/>
      <c r="AI106" s="1240"/>
      <c r="AJ106" s="1240"/>
      <c r="AK106" s="1240"/>
      <c r="AL106" s="1240"/>
      <c r="AM106" s="1240"/>
      <c r="AN106" s="1240"/>
      <c r="AO106" s="1240"/>
      <c r="AP106" s="1240"/>
    </row>
    <row r="107" spans="1:42" ht="18.75" customHeight="1" x14ac:dyDescent="0.35">
      <c r="A107" s="1240"/>
      <c r="B107" s="1240"/>
      <c r="C107" s="1240"/>
      <c r="D107" s="1240"/>
      <c r="E107" s="1240"/>
      <c r="F107" s="1240"/>
      <c r="G107" s="1240"/>
      <c r="H107" s="1240"/>
      <c r="I107" s="1240"/>
      <c r="J107" s="1240"/>
      <c r="K107" s="1240"/>
      <c r="L107" s="1240"/>
      <c r="M107" s="1240"/>
      <c r="N107" s="1240"/>
      <c r="O107" s="1240"/>
      <c r="P107" s="1247">
        <f t="shared" si="16"/>
        <v>81</v>
      </c>
      <c r="Q107" s="1253" t="e">
        <f t="shared" ca="1" si="15"/>
        <v>#N/A</v>
      </c>
      <c r="R107" s="1247" t="str">
        <f>IFERROR(VLOOKUP(P107,RPCRepaymentDates[],1,FALSE),"")</f>
        <v/>
      </c>
      <c r="S107" s="1259">
        <f t="shared" si="11"/>
        <v>0</v>
      </c>
      <c r="T107" s="1247" t="str">
        <f>IFERROR(VLOOKUP(P107,RPCChargeCycleDates[],1,FALSE),"")</f>
        <v/>
      </c>
      <c r="U107" s="1248" t="str">
        <f>IFERROR(_xlfn.DAYS(T107,$Q$16)-SUM(U$26:U106),"")</f>
        <v/>
      </c>
      <c r="V107" s="1258">
        <f t="shared" ca="1" si="12"/>
        <v>0</v>
      </c>
      <c r="W107" s="1258">
        <f t="shared" ca="1" si="13"/>
        <v>0</v>
      </c>
      <c r="X107" s="1258" t="e">
        <f t="shared" ca="1" si="14"/>
        <v>#N/A</v>
      </c>
      <c r="Y107" s="1240"/>
      <c r="Z107" s="1240"/>
      <c r="AA107" s="1240"/>
      <c r="AB107" s="1240"/>
      <c r="AC107" s="1254" t="e">
        <f t="shared" si="9"/>
        <v>#NUM!</v>
      </c>
      <c r="AD107" s="1240"/>
      <c r="AE107" s="1254">
        <f t="shared" si="10"/>
        <v>2616</v>
      </c>
      <c r="AF107" s="1240"/>
      <c r="AG107" s="1240"/>
      <c r="AH107" s="1240"/>
      <c r="AI107" s="1240"/>
      <c r="AJ107" s="1240"/>
      <c r="AK107" s="1240"/>
      <c r="AL107" s="1240"/>
      <c r="AM107" s="1240"/>
      <c r="AN107" s="1240"/>
      <c r="AO107" s="1240"/>
      <c r="AP107" s="1240"/>
    </row>
    <row r="108" spans="1:42" ht="18.75" customHeight="1" x14ac:dyDescent="0.35">
      <c r="A108" s="1240"/>
      <c r="B108" s="1240"/>
      <c r="C108" s="1240"/>
      <c r="D108" s="1240"/>
      <c r="E108" s="1240"/>
      <c r="F108" s="1240"/>
      <c r="G108" s="1240"/>
      <c r="H108" s="1240"/>
      <c r="I108" s="1240"/>
      <c r="J108" s="1240"/>
      <c r="K108" s="1240"/>
      <c r="L108" s="1240"/>
      <c r="M108" s="1240"/>
      <c r="N108" s="1240"/>
      <c r="O108" s="1240"/>
      <c r="P108" s="1247">
        <f t="shared" si="16"/>
        <v>82</v>
      </c>
      <c r="Q108" s="1253" t="e">
        <f t="shared" ca="1" si="15"/>
        <v>#N/A</v>
      </c>
      <c r="R108" s="1247" t="str">
        <f>IFERROR(VLOOKUP(P108,RPCRepaymentDates[],1,FALSE),"")</f>
        <v/>
      </c>
      <c r="S108" s="1259">
        <f t="shared" si="11"/>
        <v>0</v>
      </c>
      <c r="T108" s="1247" t="str">
        <f>IFERROR(VLOOKUP(P108,RPCChargeCycleDates[],1,FALSE),"")</f>
        <v/>
      </c>
      <c r="U108" s="1248" t="str">
        <f>IFERROR(_xlfn.DAYS(T108,$Q$16)-SUM(U$26:U107),"")</f>
        <v/>
      </c>
      <c r="V108" s="1258">
        <f t="shared" ca="1" si="12"/>
        <v>0</v>
      </c>
      <c r="W108" s="1258">
        <f t="shared" ca="1" si="13"/>
        <v>0</v>
      </c>
      <c r="X108" s="1258" t="e">
        <f t="shared" ca="1" si="14"/>
        <v>#N/A</v>
      </c>
      <c r="Y108" s="1240"/>
      <c r="Z108" s="1240"/>
      <c r="AA108" s="1240"/>
      <c r="AB108" s="1240"/>
      <c r="AC108" s="1254" t="e">
        <f t="shared" si="9"/>
        <v>#NUM!</v>
      </c>
      <c r="AD108" s="1240"/>
      <c r="AE108" s="1254">
        <f t="shared" si="10"/>
        <v>2644</v>
      </c>
      <c r="AF108" s="1240"/>
      <c r="AG108" s="1240"/>
      <c r="AH108" s="1240"/>
      <c r="AI108" s="1240"/>
      <c r="AJ108" s="1240"/>
      <c r="AK108" s="1240"/>
      <c r="AL108" s="1240"/>
      <c r="AM108" s="1240"/>
      <c r="AN108" s="1240"/>
      <c r="AO108" s="1240"/>
      <c r="AP108" s="1240"/>
    </row>
    <row r="109" spans="1:42" ht="18.75" customHeight="1" x14ac:dyDescent="0.35">
      <c r="A109" s="1240"/>
      <c r="B109" s="1240"/>
      <c r="C109" s="1240"/>
      <c r="D109" s="1240"/>
      <c r="E109" s="1240"/>
      <c r="F109" s="1240"/>
      <c r="G109" s="1240"/>
      <c r="H109" s="1240"/>
      <c r="I109" s="1240"/>
      <c r="J109" s="1240"/>
      <c r="K109" s="1240"/>
      <c r="L109" s="1240"/>
      <c r="M109" s="1240"/>
      <c r="N109" s="1240"/>
      <c r="O109" s="1240"/>
      <c r="P109" s="1247">
        <f t="shared" si="16"/>
        <v>83</v>
      </c>
      <c r="Q109" s="1253" t="e">
        <f t="shared" ca="1" si="15"/>
        <v>#N/A</v>
      </c>
      <c r="R109" s="1247" t="str">
        <f>IFERROR(VLOOKUP(P109,RPCRepaymentDates[],1,FALSE),"")</f>
        <v/>
      </c>
      <c r="S109" s="1259">
        <f t="shared" si="11"/>
        <v>0</v>
      </c>
      <c r="T109" s="1247" t="str">
        <f>IFERROR(VLOOKUP(P109,RPCChargeCycleDates[],1,FALSE),"")</f>
        <v/>
      </c>
      <c r="U109" s="1248" t="str">
        <f>IFERROR(_xlfn.DAYS(T109,$Q$16)-SUM(U$26:U108),"")</f>
        <v/>
      </c>
      <c r="V109" s="1258">
        <f t="shared" ca="1" si="12"/>
        <v>0</v>
      </c>
      <c r="W109" s="1258">
        <f t="shared" ca="1" si="13"/>
        <v>0</v>
      </c>
      <c r="X109" s="1258" t="e">
        <f t="shared" ca="1" si="14"/>
        <v>#N/A</v>
      </c>
      <c r="Y109" s="1240"/>
      <c r="Z109" s="1240"/>
      <c r="AA109" s="1240"/>
      <c r="AB109" s="1240"/>
      <c r="AC109" s="1254" t="e">
        <f t="shared" si="9"/>
        <v>#NUM!</v>
      </c>
      <c r="AD109" s="1240"/>
      <c r="AE109" s="1254">
        <f t="shared" si="10"/>
        <v>2675</v>
      </c>
      <c r="AF109" s="1240"/>
      <c r="AG109" s="1240"/>
      <c r="AH109" s="1240"/>
      <c r="AI109" s="1240"/>
      <c r="AJ109" s="1240"/>
      <c r="AK109" s="1240"/>
      <c r="AL109" s="1240"/>
      <c r="AM109" s="1240"/>
      <c r="AN109" s="1240"/>
      <c r="AO109" s="1240"/>
      <c r="AP109" s="1240"/>
    </row>
    <row r="110" spans="1:42" ht="18.75" customHeight="1" x14ac:dyDescent="0.35">
      <c r="A110" s="1240"/>
      <c r="B110" s="1240"/>
      <c r="C110" s="1240"/>
      <c r="D110" s="1240"/>
      <c r="E110" s="1240"/>
      <c r="F110" s="1240"/>
      <c r="G110" s="1240"/>
      <c r="H110" s="1240"/>
      <c r="I110" s="1240"/>
      <c r="J110" s="1240"/>
      <c r="K110" s="1240"/>
      <c r="L110" s="1240"/>
      <c r="M110" s="1240"/>
      <c r="N110" s="1240"/>
      <c r="O110" s="1240"/>
      <c r="P110" s="1247">
        <f t="shared" si="16"/>
        <v>84</v>
      </c>
      <c r="Q110" s="1253" t="e">
        <f t="shared" ca="1" si="15"/>
        <v>#N/A</v>
      </c>
      <c r="R110" s="1247" t="str">
        <f>IFERROR(VLOOKUP(P110,RPCRepaymentDates[],1,FALSE),"")</f>
        <v/>
      </c>
      <c r="S110" s="1259">
        <f t="shared" si="11"/>
        <v>0</v>
      </c>
      <c r="T110" s="1247" t="str">
        <f>IFERROR(VLOOKUP(P110,RPCChargeCycleDates[],1,FALSE),"")</f>
        <v/>
      </c>
      <c r="U110" s="1248" t="str">
        <f>IFERROR(_xlfn.DAYS(T110,$Q$16)-SUM(U$26:U109),"")</f>
        <v/>
      </c>
      <c r="V110" s="1258">
        <f t="shared" ca="1" si="12"/>
        <v>0</v>
      </c>
      <c r="W110" s="1258">
        <f t="shared" ca="1" si="13"/>
        <v>0</v>
      </c>
      <c r="X110" s="1258" t="e">
        <f t="shared" ca="1" si="14"/>
        <v>#N/A</v>
      </c>
      <c r="Y110" s="1240"/>
      <c r="Z110" s="1240"/>
      <c r="AA110" s="1240"/>
      <c r="AB110" s="1240"/>
      <c r="AC110" s="1254" t="e">
        <f t="shared" si="9"/>
        <v>#NUM!</v>
      </c>
      <c r="AD110" s="1240"/>
      <c r="AE110" s="1254">
        <f t="shared" si="10"/>
        <v>2705</v>
      </c>
      <c r="AF110" s="1240"/>
      <c r="AG110" s="1240"/>
      <c r="AH110" s="1240"/>
      <c r="AI110" s="1240"/>
      <c r="AJ110" s="1240"/>
      <c r="AK110" s="1240"/>
      <c r="AL110" s="1240"/>
      <c r="AM110" s="1240"/>
      <c r="AN110" s="1240"/>
      <c r="AO110" s="1240"/>
      <c r="AP110" s="1240"/>
    </row>
    <row r="111" spans="1:42" ht="18.75" customHeight="1" x14ac:dyDescent="0.35">
      <c r="A111" s="1240"/>
      <c r="B111" s="1240"/>
      <c r="C111" s="1240"/>
      <c r="D111" s="1240"/>
      <c r="E111" s="1240"/>
      <c r="F111" s="1240"/>
      <c r="G111" s="1240"/>
      <c r="H111" s="1240"/>
      <c r="I111" s="1240"/>
      <c r="J111" s="1240"/>
      <c r="K111" s="1240"/>
      <c r="L111" s="1240"/>
      <c r="M111" s="1240"/>
      <c r="N111" s="1240"/>
      <c r="O111" s="1240"/>
      <c r="P111" s="1247">
        <f t="shared" si="16"/>
        <v>85</v>
      </c>
      <c r="Q111" s="1253" t="e">
        <f t="shared" ca="1" si="15"/>
        <v>#N/A</v>
      </c>
      <c r="R111" s="1247" t="str">
        <f>IFERROR(VLOOKUP(P111,RPCRepaymentDates[],1,FALSE),"")</f>
        <v/>
      </c>
      <c r="S111" s="1259">
        <f t="shared" si="11"/>
        <v>0</v>
      </c>
      <c r="T111" s="1247" t="str">
        <f>IFERROR(VLOOKUP(P111,RPCChargeCycleDates[],1,FALSE),"")</f>
        <v/>
      </c>
      <c r="U111" s="1248" t="str">
        <f>IFERROR(_xlfn.DAYS(T111,$Q$16)-SUM(U$26:U110),"")</f>
        <v/>
      </c>
      <c r="V111" s="1258">
        <f t="shared" ca="1" si="12"/>
        <v>0</v>
      </c>
      <c r="W111" s="1258">
        <f t="shared" ca="1" si="13"/>
        <v>0</v>
      </c>
      <c r="X111" s="1258" t="e">
        <f t="shared" ca="1" si="14"/>
        <v>#N/A</v>
      </c>
      <c r="Y111" s="1240"/>
      <c r="Z111" s="1240"/>
      <c r="AA111" s="1240"/>
      <c r="AB111" s="1240"/>
      <c r="AC111" s="1254" t="e">
        <f t="shared" si="9"/>
        <v>#NUM!</v>
      </c>
      <c r="AD111" s="1240"/>
      <c r="AE111" s="1254">
        <f t="shared" si="10"/>
        <v>2736</v>
      </c>
      <c r="AF111" s="1240"/>
      <c r="AG111" s="1240"/>
      <c r="AH111" s="1240"/>
      <c r="AI111" s="1240"/>
      <c r="AJ111" s="1240"/>
      <c r="AK111" s="1240"/>
      <c r="AL111" s="1240"/>
      <c r="AM111" s="1240"/>
      <c r="AN111" s="1240"/>
      <c r="AO111" s="1240"/>
      <c r="AP111" s="1240"/>
    </row>
    <row r="112" spans="1:42" ht="18.75" customHeight="1" x14ac:dyDescent="0.35">
      <c r="A112" s="1240"/>
      <c r="B112" s="1240"/>
      <c r="C112" s="1240"/>
      <c r="D112" s="1240"/>
      <c r="E112" s="1240"/>
      <c r="F112" s="1240"/>
      <c r="G112" s="1240"/>
      <c r="H112" s="1240"/>
      <c r="I112" s="1240"/>
      <c r="J112" s="1240"/>
      <c r="K112" s="1240"/>
      <c r="L112" s="1240"/>
      <c r="M112" s="1240"/>
      <c r="N112" s="1240"/>
      <c r="O112" s="1240"/>
      <c r="P112" s="1247">
        <f t="shared" si="16"/>
        <v>86</v>
      </c>
      <c r="Q112" s="1253" t="e">
        <f t="shared" ca="1" si="15"/>
        <v>#N/A</v>
      </c>
      <c r="R112" s="1247" t="str">
        <f>IFERROR(VLOOKUP(P112,RPCRepaymentDates[],1,FALSE),"")</f>
        <v/>
      </c>
      <c r="S112" s="1259">
        <f t="shared" si="11"/>
        <v>0</v>
      </c>
      <c r="T112" s="1247" t="str">
        <f>IFERROR(VLOOKUP(P112,RPCChargeCycleDates[],1,FALSE),"")</f>
        <v/>
      </c>
      <c r="U112" s="1248" t="str">
        <f>IFERROR(_xlfn.DAYS(T112,$Q$16)-SUM(U$26:U111),"")</f>
        <v/>
      </c>
      <c r="V112" s="1258">
        <f t="shared" ca="1" si="12"/>
        <v>0</v>
      </c>
      <c r="W112" s="1258">
        <f t="shared" ca="1" si="13"/>
        <v>0</v>
      </c>
      <c r="X112" s="1258" t="e">
        <f t="shared" ca="1" si="14"/>
        <v>#N/A</v>
      </c>
      <c r="Y112" s="1240"/>
      <c r="Z112" s="1240"/>
      <c r="AA112" s="1240"/>
      <c r="AB112" s="1240"/>
      <c r="AC112" s="1254" t="e">
        <f t="shared" si="9"/>
        <v>#NUM!</v>
      </c>
      <c r="AD112" s="1240"/>
      <c r="AE112" s="1254">
        <f t="shared" si="10"/>
        <v>2766</v>
      </c>
      <c r="AF112" s="1240"/>
      <c r="AG112" s="1240"/>
      <c r="AH112" s="1240"/>
      <c r="AI112" s="1240"/>
      <c r="AJ112" s="1240"/>
      <c r="AK112" s="1240"/>
      <c r="AL112" s="1240"/>
      <c r="AM112" s="1240"/>
      <c r="AN112" s="1240"/>
      <c r="AO112" s="1240"/>
      <c r="AP112" s="1240"/>
    </row>
    <row r="113" spans="1:42" ht="18.75" customHeight="1" x14ac:dyDescent="0.35">
      <c r="A113" s="1240"/>
      <c r="B113" s="1240"/>
      <c r="C113" s="1240"/>
      <c r="D113" s="1240"/>
      <c r="E113" s="1240"/>
      <c r="F113" s="1240"/>
      <c r="G113" s="1240"/>
      <c r="H113" s="1240"/>
      <c r="I113" s="1240"/>
      <c r="J113" s="1240"/>
      <c r="K113" s="1240"/>
      <c r="L113" s="1240"/>
      <c r="M113" s="1240"/>
      <c r="N113" s="1240"/>
      <c r="O113" s="1240"/>
      <c r="P113" s="1247">
        <f t="shared" si="16"/>
        <v>87</v>
      </c>
      <c r="Q113" s="1253" t="e">
        <f t="shared" ca="1" si="15"/>
        <v>#N/A</v>
      </c>
      <c r="R113" s="1247" t="str">
        <f>IFERROR(VLOOKUP(P113,RPCRepaymentDates[],1,FALSE),"")</f>
        <v/>
      </c>
      <c r="S113" s="1259">
        <f t="shared" si="11"/>
        <v>0</v>
      </c>
      <c r="T113" s="1247" t="str">
        <f>IFERROR(VLOOKUP(P113,RPCChargeCycleDates[],1,FALSE),"")</f>
        <v/>
      </c>
      <c r="U113" s="1248" t="str">
        <f>IFERROR(_xlfn.DAYS(T113,$Q$16)-SUM(U$26:U112),"")</f>
        <v/>
      </c>
      <c r="V113" s="1258">
        <f t="shared" ca="1" si="12"/>
        <v>0</v>
      </c>
      <c r="W113" s="1258">
        <f t="shared" ca="1" si="13"/>
        <v>0</v>
      </c>
      <c r="X113" s="1258" t="e">
        <f t="shared" ca="1" si="14"/>
        <v>#N/A</v>
      </c>
      <c r="Y113" s="1240"/>
      <c r="Z113" s="1240"/>
      <c r="AA113" s="1240"/>
      <c r="AB113" s="1240"/>
      <c r="AC113" s="1254" t="e">
        <f t="shared" si="9"/>
        <v>#NUM!</v>
      </c>
      <c r="AD113" s="1240"/>
      <c r="AE113" s="1254">
        <f t="shared" si="10"/>
        <v>2797</v>
      </c>
      <c r="AF113" s="1240"/>
      <c r="AG113" s="1240"/>
      <c r="AH113" s="1240"/>
      <c r="AI113" s="1240"/>
      <c r="AJ113" s="1240"/>
      <c r="AK113" s="1240"/>
      <c r="AL113" s="1240"/>
      <c r="AM113" s="1240"/>
      <c r="AN113" s="1240"/>
      <c r="AO113" s="1240"/>
      <c r="AP113" s="1240"/>
    </row>
    <row r="114" spans="1:42" ht="18.75" customHeight="1" x14ac:dyDescent="0.35">
      <c r="A114" s="1240"/>
      <c r="B114" s="1240"/>
      <c r="C114" s="1240"/>
      <c r="D114" s="1240"/>
      <c r="E114" s="1240"/>
      <c r="F114" s="1240"/>
      <c r="G114" s="1240"/>
      <c r="H114" s="1240"/>
      <c r="I114" s="1240"/>
      <c r="J114" s="1240"/>
      <c r="K114" s="1240"/>
      <c r="L114" s="1240"/>
      <c r="M114" s="1240"/>
      <c r="N114" s="1240"/>
      <c r="O114" s="1240"/>
      <c r="P114" s="1247">
        <f t="shared" si="16"/>
        <v>88</v>
      </c>
      <c r="Q114" s="1253" t="e">
        <f t="shared" ca="1" si="15"/>
        <v>#N/A</v>
      </c>
      <c r="R114" s="1247" t="str">
        <f>IFERROR(VLOOKUP(P114,RPCRepaymentDates[],1,FALSE),"")</f>
        <v/>
      </c>
      <c r="S114" s="1259">
        <f t="shared" si="11"/>
        <v>0</v>
      </c>
      <c r="T114" s="1247">
        <f>IFERROR(VLOOKUP(P114,RPCChargeCycleDates[],1,FALSE),"")</f>
        <v>88</v>
      </c>
      <c r="U114" s="1248">
        <f>IFERROR(_xlfn.DAYS(T114,$Q$16)-SUM(U$26:U113),"")</f>
        <v>29</v>
      </c>
      <c r="V114" s="1258">
        <f t="shared" ca="1" si="12"/>
        <v>0</v>
      </c>
      <c r="W114" s="1258">
        <f t="shared" ca="1" si="13"/>
        <v>0</v>
      </c>
      <c r="X114" s="1258" t="e">
        <f t="shared" ca="1" si="14"/>
        <v>#N/A</v>
      </c>
      <c r="Y114" s="1240"/>
      <c r="Z114" s="1240"/>
      <c r="AA114" s="1240"/>
      <c r="AB114" s="1240"/>
      <c r="AC114" s="1254" t="e">
        <f t="shared" si="9"/>
        <v>#NUM!</v>
      </c>
      <c r="AD114" s="1240"/>
      <c r="AE114" s="1254">
        <f t="shared" si="10"/>
        <v>2828</v>
      </c>
      <c r="AF114" s="1240"/>
      <c r="AG114" s="1240"/>
      <c r="AH114" s="1240"/>
      <c r="AI114" s="1240"/>
      <c r="AJ114" s="1240"/>
      <c r="AK114" s="1240"/>
      <c r="AL114" s="1240"/>
      <c r="AM114" s="1240"/>
      <c r="AN114" s="1240"/>
      <c r="AO114" s="1240"/>
      <c r="AP114" s="1240"/>
    </row>
    <row r="115" spans="1:42" ht="18.75" customHeight="1" x14ac:dyDescent="0.35">
      <c r="A115" s="1240"/>
      <c r="B115" s="1240"/>
      <c r="C115" s="1240"/>
      <c r="D115" s="1240"/>
      <c r="E115" s="1240"/>
      <c r="F115" s="1240"/>
      <c r="G115" s="1240"/>
      <c r="H115" s="1240"/>
      <c r="I115" s="1240"/>
      <c r="J115" s="1240"/>
      <c r="K115" s="1240"/>
      <c r="L115" s="1240"/>
      <c r="M115" s="1240"/>
      <c r="N115" s="1240"/>
      <c r="O115" s="1240"/>
      <c r="P115" s="1247">
        <f t="shared" si="16"/>
        <v>89</v>
      </c>
      <c r="Q115" s="1253" t="e">
        <f t="shared" ca="1" si="15"/>
        <v>#N/A</v>
      </c>
      <c r="R115" s="1247" t="str">
        <f>IFERROR(VLOOKUP(P115,RPCRepaymentDates[],1,FALSE),"")</f>
        <v/>
      </c>
      <c r="S115" s="1259">
        <f t="shared" si="11"/>
        <v>0</v>
      </c>
      <c r="T115" s="1247" t="str">
        <f>IFERROR(VLOOKUP(P115,RPCChargeCycleDates[],1,FALSE),"")</f>
        <v/>
      </c>
      <c r="U115" s="1248" t="str">
        <f>IFERROR(_xlfn.DAYS(T115,$Q$16)-SUM(U$26:U114),"")</f>
        <v/>
      </c>
      <c r="V115" s="1258">
        <f t="shared" ca="1" si="12"/>
        <v>0</v>
      </c>
      <c r="W115" s="1258">
        <f t="shared" ca="1" si="13"/>
        <v>0</v>
      </c>
      <c r="X115" s="1258" t="e">
        <f t="shared" ca="1" si="14"/>
        <v>#N/A</v>
      </c>
      <c r="Y115" s="1240"/>
      <c r="Z115" s="1240"/>
      <c r="AA115" s="1240"/>
      <c r="AB115" s="1240"/>
      <c r="AC115" s="1254" t="e">
        <f t="shared" si="9"/>
        <v>#NUM!</v>
      </c>
      <c r="AD115" s="1240"/>
      <c r="AE115" s="1254">
        <f t="shared" si="10"/>
        <v>2858</v>
      </c>
      <c r="AF115" s="1240"/>
      <c r="AG115" s="1240"/>
      <c r="AH115" s="1240"/>
      <c r="AI115" s="1240"/>
      <c r="AJ115" s="1240"/>
      <c r="AK115" s="1240"/>
      <c r="AL115" s="1240"/>
      <c r="AM115" s="1240"/>
      <c r="AN115" s="1240"/>
      <c r="AO115" s="1240"/>
      <c r="AP115" s="1240"/>
    </row>
    <row r="116" spans="1:42" ht="18.75" customHeight="1" x14ac:dyDescent="0.35">
      <c r="A116" s="1240"/>
      <c r="B116" s="1240"/>
      <c r="C116" s="1240"/>
      <c r="D116" s="1240"/>
      <c r="E116" s="1240"/>
      <c r="F116" s="1240"/>
      <c r="G116" s="1240"/>
      <c r="H116" s="1240"/>
      <c r="I116" s="1240"/>
      <c r="J116" s="1240"/>
      <c r="K116" s="1240"/>
      <c r="L116" s="1240"/>
      <c r="M116" s="1240"/>
      <c r="N116" s="1240"/>
      <c r="O116" s="1240"/>
      <c r="P116" s="1247">
        <f t="shared" si="16"/>
        <v>90</v>
      </c>
      <c r="Q116" s="1253" t="e">
        <f t="shared" ca="1" si="15"/>
        <v>#N/A</v>
      </c>
      <c r="R116" s="1247" t="str">
        <f>IFERROR(VLOOKUP(P116,RPCRepaymentDates[],1,FALSE),"")</f>
        <v/>
      </c>
      <c r="S116" s="1259">
        <f t="shared" si="11"/>
        <v>0</v>
      </c>
      <c r="T116" s="1247" t="str">
        <f>IFERROR(VLOOKUP(P116,RPCChargeCycleDates[],1,FALSE),"")</f>
        <v/>
      </c>
      <c r="U116" s="1248" t="str">
        <f>IFERROR(_xlfn.DAYS(T116,$Q$16)-SUM(U$26:U115),"")</f>
        <v/>
      </c>
      <c r="V116" s="1258">
        <f t="shared" ca="1" si="12"/>
        <v>0</v>
      </c>
      <c r="W116" s="1258">
        <f t="shared" ca="1" si="13"/>
        <v>0</v>
      </c>
      <c r="X116" s="1258" t="e">
        <f t="shared" ca="1" si="14"/>
        <v>#N/A</v>
      </c>
      <c r="Y116" s="1240"/>
      <c r="Z116" s="1240"/>
      <c r="AA116" s="1240"/>
      <c r="AB116" s="1240"/>
      <c r="AC116" s="1254" t="e">
        <f t="shared" si="9"/>
        <v>#NUM!</v>
      </c>
      <c r="AD116" s="1240"/>
      <c r="AE116" s="1254">
        <f t="shared" si="10"/>
        <v>2889</v>
      </c>
      <c r="AF116" s="1240"/>
      <c r="AG116" s="1240"/>
      <c r="AH116" s="1240"/>
      <c r="AI116" s="1240"/>
      <c r="AJ116" s="1240"/>
      <c r="AK116" s="1240"/>
      <c r="AL116" s="1240"/>
      <c r="AM116" s="1240"/>
      <c r="AN116" s="1240"/>
      <c r="AO116" s="1240"/>
      <c r="AP116" s="1240"/>
    </row>
    <row r="117" spans="1:42" ht="18.75" customHeight="1" x14ac:dyDescent="0.35">
      <c r="A117" s="1240"/>
      <c r="B117" s="1240"/>
      <c r="C117" s="1240"/>
      <c r="D117" s="1240"/>
      <c r="E117" s="1240"/>
      <c r="F117" s="1240"/>
      <c r="G117" s="1240"/>
      <c r="H117" s="1240"/>
      <c r="I117" s="1240"/>
      <c r="J117" s="1240"/>
      <c r="K117" s="1240"/>
      <c r="L117" s="1240"/>
      <c r="M117" s="1240"/>
      <c r="N117" s="1240"/>
      <c r="O117" s="1240"/>
      <c r="P117" s="1247">
        <f t="shared" si="16"/>
        <v>91</v>
      </c>
      <c r="Q117" s="1253" t="e">
        <f t="shared" ca="1" si="15"/>
        <v>#N/A</v>
      </c>
      <c r="R117" s="1247" t="str">
        <f>IFERROR(VLOOKUP(P117,RPCRepaymentDates[],1,FALSE),"")</f>
        <v/>
      </c>
      <c r="S117" s="1259">
        <f t="shared" si="11"/>
        <v>0</v>
      </c>
      <c r="T117" s="1247" t="str">
        <f>IFERROR(VLOOKUP(P117,RPCChargeCycleDates[],1,FALSE),"")</f>
        <v/>
      </c>
      <c r="U117" s="1248" t="str">
        <f>IFERROR(_xlfn.DAYS(T117,$Q$16)-SUM(U$26:U116),"")</f>
        <v/>
      </c>
      <c r="V117" s="1258">
        <f t="shared" ca="1" si="12"/>
        <v>0</v>
      </c>
      <c r="W117" s="1258">
        <f t="shared" ca="1" si="13"/>
        <v>0</v>
      </c>
      <c r="X117" s="1258" t="e">
        <f t="shared" ca="1" si="14"/>
        <v>#N/A</v>
      </c>
      <c r="Y117" s="1240"/>
      <c r="Z117" s="1240"/>
      <c r="AA117" s="1240"/>
      <c r="AB117" s="1240"/>
      <c r="AC117" s="1254" t="e">
        <f t="shared" si="9"/>
        <v>#NUM!</v>
      </c>
      <c r="AD117" s="1240"/>
      <c r="AE117" s="1254">
        <f t="shared" si="10"/>
        <v>2919</v>
      </c>
      <c r="AF117" s="1240"/>
      <c r="AG117" s="1240"/>
      <c r="AH117" s="1240"/>
      <c r="AI117" s="1240"/>
      <c r="AJ117" s="1240"/>
      <c r="AK117" s="1240"/>
      <c r="AL117" s="1240"/>
      <c r="AM117" s="1240"/>
      <c r="AN117" s="1240"/>
      <c r="AO117" s="1240"/>
      <c r="AP117" s="1240"/>
    </row>
    <row r="118" spans="1:42" ht="18.75" customHeight="1" x14ac:dyDescent="0.35">
      <c r="A118" s="1240"/>
      <c r="B118" s="1240"/>
      <c r="C118" s="1240"/>
      <c r="D118" s="1240"/>
      <c r="E118" s="1240"/>
      <c r="F118" s="1240"/>
      <c r="G118" s="1240"/>
      <c r="H118" s="1240"/>
      <c r="I118" s="1240"/>
      <c r="J118" s="1240"/>
      <c r="K118" s="1240"/>
      <c r="L118" s="1240"/>
      <c r="M118" s="1240"/>
      <c r="N118" s="1240"/>
      <c r="O118" s="1240"/>
      <c r="P118" s="1247">
        <f t="shared" si="16"/>
        <v>92</v>
      </c>
      <c r="Q118" s="1253" t="e">
        <f t="shared" ca="1" si="15"/>
        <v>#N/A</v>
      </c>
      <c r="R118" s="1247" t="str">
        <f>IFERROR(VLOOKUP(P118,RPCRepaymentDates[],1,FALSE),"")</f>
        <v/>
      </c>
      <c r="S118" s="1259">
        <f t="shared" si="11"/>
        <v>0</v>
      </c>
      <c r="T118" s="1247" t="str">
        <f>IFERROR(VLOOKUP(P118,RPCChargeCycleDates[],1,FALSE),"")</f>
        <v/>
      </c>
      <c r="U118" s="1248" t="str">
        <f>IFERROR(_xlfn.DAYS(T118,$Q$16)-SUM(U$26:U117),"")</f>
        <v/>
      </c>
      <c r="V118" s="1258">
        <f t="shared" ca="1" si="12"/>
        <v>0</v>
      </c>
      <c r="W118" s="1258">
        <f t="shared" ca="1" si="13"/>
        <v>0</v>
      </c>
      <c r="X118" s="1258" t="e">
        <f t="shared" ca="1" si="14"/>
        <v>#N/A</v>
      </c>
      <c r="Y118" s="1240"/>
      <c r="Z118" s="1240"/>
      <c r="AA118" s="1240"/>
      <c r="AB118" s="1240"/>
      <c r="AC118" s="1254" t="e">
        <f t="shared" si="9"/>
        <v>#NUM!</v>
      </c>
      <c r="AD118" s="1240"/>
      <c r="AE118" s="1254">
        <f t="shared" si="10"/>
        <v>2950</v>
      </c>
      <c r="AF118" s="1240"/>
      <c r="AG118" s="1240"/>
      <c r="AH118" s="1240"/>
      <c r="AI118" s="1240"/>
      <c r="AJ118" s="1240"/>
      <c r="AK118" s="1240"/>
      <c r="AL118" s="1240"/>
      <c r="AM118" s="1240"/>
      <c r="AN118" s="1240"/>
      <c r="AO118" s="1240"/>
      <c r="AP118" s="1240"/>
    </row>
    <row r="119" spans="1:42" ht="18.75" customHeight="1" x14ac:dyDescent="0.35">
      <c r="A119" s="1240"/>
      <c r="B119" s="1240"/>
      <c r="C119" s="1240"/>
      <c r="D119" s="1240"/>
      <c r="E119" s="1240"/>
      <c r="F119" s="1240"/>
      <c r="G119" s="1240"/>
      <c r="H119" s="1240"/>
      <c r="I119" s="1240"/>
      <c r="J119" s="1240"/>
      <c r="K119" s="1240"/>
      <c r="L119" s="1240"/>
      <c r="M119" s="1240"/>
      <c r="N119" s="1240"/>
      <c r="O119" s="1240"/>
      <c r="P119" s="1247">
        <f t="shared" si="16"/>
        <v>93</v>
      </c>
      <c r="Q119" s="1253" t="e">
        <f t="shared" ca="1" si="15"/>
        <v>#N/A</v>
      </c>
      <c r="R119" s="1247" t="str">
        <f>IFERROR(VLOOKUP(P119,RPCRepaymentDates[],1,FALSE),"")</f>
        <v/>
      </c>
      <c r="S119" s="1259">
        <f t="shared" si="11"/>
        <v>0</v>
      </c>
      <c r="T119" s="1247" t="str">
        <f>IFERROR(VLOOKUP(P119,RPCChargeCycleDates[],1,FALSE),"")</f>
        <v/>
      </c>
      <c r="U119" s="1248" t="str">
        <f>IFERROR(_xlfn.DAYS(T119,$Q$16)-SUM(U$26:U118),"")</f>
        <v/>
      </c>
      <c r="V119" s="1258">
        <f t="shared" ca="1" si="12"/>
        <v>0</v>
      </c>
      <c r="W119" s="1258">
        <f t="shared" ca="1" si="13"/>
        <v>0</v>
      </c>
      <c r="X119" s="1258" t="e">
        <f t="shared" ca="1" si="14"/>
        <v>#N/A</v>
      </c>
      <c r="Y119" s="1240"/>
      <c r="Z119" s="1240"/>
      <c r="AA119" s="1240"/>
      <c r="AB119" s="1240"/>
      <c r="AC119" s="1254" t="e">
        <f t="shared" si="9"/>
        <v>#NUM!</v>
      </c>
      <c r="AD119" s="1240"/>
      <c r="AE119" s="1254">
        <f t="shared" si="10"/>
        <v>2981</v>
      </c>
      <c r="AF119" s="1240"/>
      <c r="AG119" s="1240"/>
      <c r="AH119" s="1240"/>
      <c r="AI119" s="1240"/>
      <c r="AJ119" s="1240"/>
      <c r="AK119" s="1240"/>
      <c r="AL119" s="1240"/>
      <c r="AM119" s="1240"/>
      <c r="AN119" s="1240"/>
      <c r="AO119" s="1240"/>
      <c r="AP119" s="1240"/>
    </row>
    <row r="120" spans="1:42" ht="18.75" customHeight="1" x14ac:dyDescent="0.35">
      <c r="A120" s="1240"/>
      <c r="B120" s="1240"/>
      <c r="C120" s="1240"/>
      <c r="D120" s="1240"/>
      <c r="E120" s="1240"/>
      <c r="F120" s="1240"/>
      <c r="G120" s="1240"/>
      <c r="H120" s="1240"/>
      <c r="I120" s="1240"/>
      <c r="J120" s="1240"/>
      <c r="K120" s="1240"/>
      <c r="L120" s="1240"/>
      <c r="M120" s="1240"/>
      <c r="N120" s="1240"/>
      <c r="O120" s="1240"/>
      <c r="P120" s="1247">
        <f t="shared" si="16"/>
        <v>94</v>
      </c>
      <c r="Q120" s="1253" t="e">
        <f t="shared" ca="1" si="15"/>
        <v>#N/A</v>
      </c>
      <c r="R120" s="1247" t="str">
        <f>IFERROR(VLOOKUP(P120,RPCRepaymentDates[],1,FALSE),"")</f>
        <v/>
      </c>
      <c r="S120" s="1259">
        <f t="shared" si="11"/>
        <v>0</v>
      </c>
      <c r="T120" s="1247" t="str">
        <f>IFERROR(VLOOKUP(P120,RPCChargeCycleDates[],1,FALSE),"")</f>
        <v/>
      </c>
      <c r="U120" s="1248" t="str">
        <f>IFERROR(_xlfn.DAYS(T120,$Q$16)-SUM(U$26:U119),"")</f>
        <v/>
      </c>
      <c r="V120" s="1258">
        <f t="shared" ca="1" si="12"/>
        <v>0</v>
      </c>
      <c r="W120" s="1258">
        <f t="shared" ca="1" si="13"/>
        <v>0</v>
      </c>
      <c r="X120" s="1258" t="e">
        <f t="shared" ca="1" si="14"/>
        <v>#N/A</v>
      </c>
      <c r="Y120" s="1240"/>
      <c r="Z120" s="1240"/>
      <c r="AA120" s="1240"/>
      <c r="AB120" s="1240"/>
      <c r="AC120" s="1254" t="e">
        <f t="shared" si="9"/>
        <v>#NUM!</v>
      </c>
      <c r="AD120" s="1240"/>
      <c r="AE120" s="1254">
        <f t="shared" si="10"/>
        <v>3010</v>
      </c>
      <c r="AF120" s="1240"/>
      <c r="AG120" s="1240"/>
      <c r="AH120" s="1240"/>
      <c r="AI120" s="1240"/>
      <c r="AJ120" s="1240"/>
      <c r="AK120" s="1240"/>
      <c r="AL120" s="1240"/>
      <c r="AM120" s="1240"/>
      <c r="AN120" s="1240"/>
      <c r="AO120" s="1240"/>
      <c r="AP120" s="1240"/>
    </row>
    <row r="121" spans="1:42" ht="18.75" customHeight="1" x14ac:dyDescent="0.35">
      <c r="A121" s="1240"/>
      <c r="B121" s="1240"/>
      <c r="C121" s="1240"/>
      <c r="D121" s="1240"/>
      <c r="E121" s="1240"/>
      <c r="F121" s="1240"/>
      <c r="G121" s="1240"/>
      <c r="H121" s="1240"/>
      <c r="I121" s="1240"/>
      <c r="J121" s="1240"/>
      <c r="K121" s="1240"/>
      <c r="L121" s="1240"/>
      <c r="M121" s="1240"/>
      <c r="N121" s="1240"/>
      <c r="O121" s="1240"/>
      <c r="P121" s="1247">
        <f t="shared" si="16"/>
        <v>95</v>
      </c>
      <c r="Q121" s="1253" t="e">
        <f t="shared" ca="1" si="15"/>
        <v>#N/A</v>
      </c>
      <c r="R121" s="1247" t="str">
        <f>IFERROR(VLOOKUP(P121,RPCRepaymentDates[],1,FALSE),"")</f>
        <v/>
      </c>
      <c r="S121" s="1259">
        <f t="shared" si="11"/>
        <v>0</v>
      </c>
      <c r="T121" s="1247" t="str">
        <f>IFERROR(VLOOKUP(P121,RPCChargeCycleDates[],1,FALSE),"")</f>
        <v/>
      </c>
      <c r="U121" s="1248" t="str">
        <f>IFERROR(_xlfn.DAYS(T121,$Q$16)-SUM(U$26:U120),"")</f>
        <v/>
      </c>
      <c r="V121" s="1258">
        <f t="shared" ca="1" si="12"/>
        <v>0</v>
      </c>
      <c r="W121" s="1258">
        <f t="shared" ca="1" si="13"/>
        <v>0</v>
      </c>
      <c r="X121" s="1258" t="e">
        <f t="shared" ca="1" si="14"/>
        <v>#N/A</v>
      </c>
      <c r="Y121" s="1240"/>
      <c r="Z121" s="1240"/>
      <c r="AA121" s="1240"/>
      <c r="AB121" s="1240"/>
      <c r="AC121" s="1254" t="e">
        <f t="shared" si="9"/>
        <v>#NUM!</v>
      </c>
      <c r="AD121" s="1240"/>
      <c r="AE121" s="1254">
        <f t="shared" si="10"/>
        <v>3041</v>
      </c>
      <c r="AF121" s="1240"/>
      <c r="AG121" s="1240"/>
      <c r="AH121" s="1240"/>
      <c r="AI121" s="1240"/>
      <c r="AJ121" s="1240"/>
      <c r="AK121" s="1240"/>
      <c r="AL121" s="1240"/>
      <c r="AM121" s="1240"/>
      <c r="AN121" s="1240"/>
      <c r="AO121" s="1240"/>
      <c r="AP121" s="1240"/>
    </row>
    <row r="122" spans="1:42" ht="18.75" customHeight="1" x14ac:dyDescent="0.35">
      <c r="A122" s="1240"/>
      <c r="B122" s="1240"/>
      <c r="C122" s="1240"/>
      <c r="D122" s="1240"/>
      <c r="E122" s="1240"/>
      <c r="F122" s="1240"/>
      <c r="G122" s="1240"/>
      <c r="H122" s="1240"/>
      <c r="I122" s="1240"/>
      <c r="J122" s="1240"/>
      <c r="K122" s="1240"/>
      <c r="L122" s="1240"/>
      <c r="M122" s="1240"/>
      <c r="N122" s="1240"/>
      <c r="O122" s="1240"/>
      <c r="P122" s="1247">
        <f t="shared" si="16"/>
        <v>96</v>
      </c>
      <c r="Q122" s="1253" t="e">
        <f t="shared" ca="1" si="15"/>
        <v>#N/A</v>
      </c>
      <c r="R122" s="1247" t="str">
        <f>IFERROR(VLOOKUP(P122,RPCRepaymentDates[],1,FALSE),"")</f>
        <v/>
      </c>
      <c r="S122" s="1259">
        <f t="shared" si="11"/>
        <v>0</v>
      </c>
      <c r="T122" s="1247" t="str">
        <f>IFERROR(VLOOKUP(P122,RPCChargeCycleDates[],1,FALSE),"")</f>
        <v/>
      </c>
      <c r="U122" s="1248" t="str">
        <f>IFERROR(_xlfn.DAYS(T122,$Q$16)-SUM(U$26:U121),"")</f>
        <v/>
      </c>
      <c r="V122" s="1258">
        <f t="shared" ca="1" si="12"/>
        <v>0</v>
      </c>
      <c r="W122" s="1258">
        <f t="shared" ca="1" si="13"/>
        <v>0</v>
      </c>
      <c r="X122" s="1258" t="e">
        <f t="shared" ca="1" si="14"/>
        <v>#N/A</v>
      </c>
      <c r="Y122" s="1240"/>
      <c r="Z122" s="1240"/>
      <c r="AA122" s="1240"/>
      <c r="AB122" s="1240"/>
      <c r="AC122" s="1254" t="e">
        <f t="shared" si="9"/>
        <v>#NUM!</v>
      </c>
      <c r="AD122" s="1240"/>
      <c r="AE122" s="1254">
        <f t="shared" si="10"/>
        <v>3071</v>
      </c>
      <c r="AF122" s="1240"/>
      <c r="AG122" s="1240"/>
      <c r="AH122" s="1240"/>
      <c r="AI122" s="1240"/>
      <c r="AJ122" s="1240"/>
      <c r="AK122" s="1240"/>
      <c r="AL122" s="1240"/>
      <c r="AM122" s="1240"/>
      <c r="AN122" s="1240"/>
      <c r="AO122" s="1240"/>
      <c r="AP122" s="1240"/>
    </row>
    <row r="123" spans="1:42" ht="18.75" customHeight="1" x14ac:dyDescent="0.35">
      <c r="A123" s="1240"/>
      <c r="B123" s="1240"/>
      <c r="C123" s="1240"/>
      <c r="D123" s="1240"/>
      <c r="E123" s="1240"/>
      <c r="F123" s="1240"/>
      <c r="G123" s="1240"/>
      <c r="H123" s="1240"/>
      <c r="I123" s="1240"/>
      <c r="J123" s="1240"/>
      <c r="K123" s="1240"/>
      <c r="L123" s="1240"/>
      <c r="M123" s="1240"/>
      <c r="N123" s="1240"/>
      <c r="O123" s="1240"/>
      <c r="P123" s="1247">
        <f t="shared" si="16"/>
        <v>97</v>
      </c>
      <c r="Q123" s="1253" t="e">
        <f t="shared" ca="1" si="15"/>
        <v>#N/A</v>
      </c>
      <c r="R123" s="1247" t="str">
        <f>IFERROR(VLOOKUP(P123,RPCRepaymentDates[],1,FALSE),"")</f>
        <v/>
      </c>
      <c r="S123" s="1259">
        <f t="shared" si="11"/>
        <v>0</v>
      </c>
      <c r="T123" s="1247" t="str">
        <f>IFERROR(VLOOKUP(P123,RPCChargeCycleDates[],1,FALSE),"")</f>
        <v/>
      </c>
      <c r="U123" s="1248" t="str">
        <f>IFERROR(_xlfn.DAYS(T123,$Q$16)-SUM(U$26:U122),"")</f>
        <v/>
      </c>
      <c r="V123" s="1258">
        <f t="shared" ca="1" si="12"/>
        <v>0</v>
      </c>
      <c r="W123" s="1258">
        <f t="shared" ca="1" si="13"/>
        <v>0</v>
      </c>
      <c r="X123" s="1258" t="e">
        <f t="shared" ca="1" si="14"/>
        <v>#N/A</v>
      </c>
      <c r="Y123" s="1240"/>
      <c r="Z123" s="1240"/>
      <c r="AA123" s="1240"/>
      <c r="AB123" s="1240"/>
      <c r="AC123" s="1254" t="e">
        <f t="shared" si="9"/>
        <v>#NUM!</v>
      </c>
      <c r="AD123" s="1240"/>
      <c r="AE123" s="1254">
        <f t="shared" si="10"/>
        <v>3102</v>
      </c>
      <c r="AF123" s="1240"/>
      <c r="AG123" s="1240"/>
      <c r="AH123" s="1240"/>
      <c r="AI123" s="1240"/>
      <c r="AJ123" s="1240"/>
      <c r="AK123" s="1240"/>
      <c r="AL123" s="1240"/>
      <c r="AM123" s="1240"/>
      <c r="AN123" s="1240"/>
      <c r="AO123" s="1240"/>
      <c r="AP123" s="1240"/>
    </row>
    <row r="124" spans="1:42" ht="18.75" customHeight="1" x14ac:dyDescent="0.35">
      <c r="A124" s="1240"/>
      <c r="B124" s="1240"/>
      <c r="C124" s="1240"/>
      <c r="D124" s="1240"/>
      <c r="E124" s="1240"/>
      <c r="F124" s="1240"/>
      <c r="G124" s="1240"/>
      <c r="H124" s="1240"/>
      <c r="I124" s="1240"/>
      <c r="J124" s="1240"/>
      <c r="K124" s="1240"/>
      <c r="L124" s="1240"/>
      <c r="M124" s="1240"/>
      <c r="N124" s="1240"/>
      <c r="O124" s="1240"/>
      <c r="P124" s="1247">
        <f t="shared" si="16"/>
        <v>98</v>
      </c>
      <c r="Q124" s="1253" t="e">
        <f t="shared" ca="1" si="15"/>
        <v>#N/A</v>
      </c>
      <c r="R124" s="1247" t="str">
        <f>IFERROR(VLOOKUP(P124,RPCRepaymentDates[],1,FALSE),"")</f>
        <v/>
      </c>
      <c r="S124" s="1259">
        <f t="shared" si="11"/>
        <v>0</v>
      </c>
      <c r="T124" s="1247" t="str">
        <f>IFERROR(VLOOKUP(P124,RPCChargeCycleDates[],1,FALSE),"")</f>
        <v/>
      </c>
      <c r="U124" s="1248" t="str">
        <f>IFERROR(_xlfn.DAYS(T124,$Q$16)-SUM(U$26:U123),"")</f>
        <v/>
      </c>
      <c r="V124" s="1258">
        <f t="shared" ca="1" si="12"/>
        <v>0</v>
      </c>
      <c r="W124" s="1258">
        <f t="shared" ca="1" si="13"/>
        <v>0</v>
      </c>
      <c r="X124" s="1258" t="e">
        <f t="shared" ca="1" si="14"/>
        <v>#N/A</v>
      </c>
      <c r="Y124" s="1240"/>
      <c r="Z124" s="1240"/>
      <c r="AA124" s="1240"/>
      <c r="AB124" s="1240"/>
      <c r="AC124" s="1254" t="e">
        <f t="shared" si="9"/>
        <v>#NUM!</v>
      </c>
      <c r="AD124" s="1240"/>
      <c r="AE124" s="1254">
        <f t="shared" si="10"/>
        <v>3132</v>
      </c>
      <c r="AF124" s="1240"/>
      <c r="AG124" s="1240"/>
      <c r="AH124" s="1240"/>
      <c r="AI124" s="1240"/>
      <c r="AJ124" s="1240"/>
      <c r="AK124" s="1240"/>
      <c r="AL124" s="1240"/>
      <c r="AM124" s="1240"/>
      <c r="AN124" s="1240"/>
      <c r="AO124" s="1240"/>
      <c r="AP124" s="1240"/>
    </row>
    <row r="125" spans="1:42" ht="18.75" customHeight="1" x14ac:dyDescent="0.35">
      <c r="A125" s="1240"/>
      <c r="B125" s="1240"/>
      <c r="C125" s="1240"/>
      <c r="D125" s="1240"/>
      <c r="E125" s="1240"/>
      <c r="F125" s="1240"/>
      <c r="G125" s="1240"/>
      <c r="H125" s="1240"/>
      <c r="I125" s="1240"/>
      <c r="J125" s="1240"/>
      <c r="K125" s="1240"/>
      <c r="L125" s="1240"/>
      <c r="M125" s="1240"/>
      <c r="N125" s="1240"/>
      <c r="O125" s="1240"/>
      <c r="P125" s="1247">
        <f t="shared" si="16"/>
        <v>99</v>
      </c>
      <c r="Q125" s="1253" t="e">
        <f t="shared" ca="1" si="15"/>
        <v>#N/A</v>
      </c>
      <c r="R125" s="1247" t="str">
        <f>IFERROR(VLOOKUP(P125,RPCRepaymentDates[],1,FALSE),"")</f>
        <v/>
      </c>
      <c r="S125" s="1259">
        <f t="shared" si="11"/>
        <v>0</v>
      </c>
      <c r="T125" s="1247" t="str">
        <f>IFERROR(VLOOKUP(P125,RPCChargeCycleDates[],1,FALSE),"")</f>
        <v/>
      </c>
      <c r="U125" s="1248" t="str">
        <f>IFERROR(_xlfn.DAYS(T125,$Q$16)-SUM(U$26:U124),"")</f>
        <v/>
      </c>
      <c r="V125" s="1258">
        <f t="shared" ca="1" si="12"/>
        <v>0</v>
      </c>
      <c r="W125" s="1258">
        <f t="shared" ca="1" si="13"/>
        <v>0</v>
      </c>
      <c r="X125" s="1258" t="e">
        <f t="shared" ca="1" si="14"/>
        <v>#N/A</v>
      </c>
      <c r="Y125" s="1240"/>
      <c r="Z125" s="1240"/>
      <c r="AA125" s="1240"/>
      <c r="AB125" s="1240"/>
      <c r="AC125" s="1254" t="e">
        <f t="shared" si="9"/>
        <v>#NUM!</v>
      </c>
      <c r="AD125" s="1240"/>
      <c r="AE125" s="1254">
        <f t="shared" si="10"/>
        <v>3163</v>
      </c>
      <c r="AF125" s="1240"/>
      <c r="AG125" s="1240"/>
      <c r="AH125" s="1240"/>
      <c r="AI125" s="1240"/>
      <c r="AJ125" s="1240"/>
      <c r="AK125" s="1240"/>
      <c r="AL125" s="1240"/>
      <c r="AM125" s="1240"/>
      <c r="AN125" s="1240"/>
      <c r="AO125" s="1240"/>
      <c r="AP125" s="1240"/>
    </row>
    <row r="126" spans="1:42" ht="18.75" customHeight="1" x14ac:dyDescent="0.35">
      <c r="A126" s="1240"/>
      <c r="B126" s="1240"/>
      <c r="C126" s="1240"/>
      <c r="D126" s="1240"/>
      <c r="E126" s="1240"/>
      <c r="F126" s="1240"/>
      <c r="G126" s="1240"/>
      <c r="H126" s="1240"/>
      <c r="I126" s="1240"/>
      <c r="J126" s="1240"/>
      <c r="K126" s="1240"/>
      <c r="L126" s="1240"/>
      <c r="M126" s="1240"/>
      <c r="N126" s="1240"/>
      <c r="O126" s="1240"/>
      <c r="P126" s="1247">
        <f t="shared" si="16"/>
        <v>100</v>
      </c>
      <c r="Q126" s="1253" t="e">
        <f t="shared" ca="1" si="15"/>
        <v>#N/A</v>
      </c>
      <c r="R126" s="1247" t="str">
        <f>IFERROR(VLOOKUP(P126,RPCRepaymentDates[],1,FALSE),"")</f>
        <v/>
      </c>
      <c r="S126" s="1259">
        <f t="shared" si="11"/>
        <v>0</v>
      </c>
      <c r="T126" s="1247" t="str">
        <f>IFERROR(VLOOKUP(P126,RPCChargeCycleDates[],1,FALSE),"")</f>
        <v/>
      </c>
      <c r="U126" s="1248" t="str">
        <f>IFERROR(_xlfn.DAYS(T126,$Q$16)-SUM(U$26:U125),"")</f>
        <v/>
      </c>
      <c r="V126" s="1258">
        <f t="shared" ca="1" si="12"/>
        <v>0</v>
      </c>
      <c r="W126" s="1258">
        <f t="shared" ca="1" si="13"/>
        <v>0</v>
      </c>
      <c r="X126" s="1258" t="e">
        <f t="shared" ca="1" si="14"/>
        <v>#N/A</v>
      </c>
      <c r="Y126" s="1240"/>
      <c r="Z126" s="1240"/>
      <c r="AA126" s="1240"/>
      <c r="AB126" s="1240"/>
      <c r="AC126" s="1254" t="e">
        <f t="shared" si="9"/>
        <v>#NUM!</v>
      </c>
      <c r="AD126" s="1240"/>
      <c r="AE126" s="1254">
        <f t="shared" si="10"/>
        <v>3194</v>
      </c>
      <c r="AF126" s="1240"/>
      <c r="AG126" s="1240"/>
      <c r="AH126" s="1240"/>
      <c r="AI126" s="1240"/>
      <c r="AJ126" s="1240"/>
      <c r="AK126" s="1240"/>
      <c r="AL126" s="1240"/>
      <c r="AM126" s="1240"/>
      <c r="AN126" s="1240"/>
      <c r="AO126" s="1240"/>
      <c r="AP126" s="1240"/>
    </row>
    <row r="127" spans="1:42" ht="18.75" customHeight="1" x14ac:dyDescent="0.35">
      <c r="A127" s="1240"/>
      <c r="B127" s="1240"/>
      <c r="C127" s="1240"/>
      <c r="D127" s="1240"/>
      <c r="E127" s="1240"/>
      <c r="F127" s="1240"/>
      <c r="G127" s="1240"/>
      <c r="H127" s="1240"/>
      <c r="I127" s="1240"/>
      <c r="J127" s="1240"/>
      <c r="K127" s="1240"/>
      <c r="L127" s="1240"/>
      <c r="M127" s="1240"/>
      <c r="N127" s="1240"/>
      <c r="O127" s="1240"/>
      <c r="P127" s="1247">
        <f t="shared" si="16"/>
        <v>101</v>
      </c>
      <c r="Q127" s="1253" t="e">
        <f t="shared" ca="1" si="15"/>
        <v>#N/A</v>
      </c>
      <c r="R127" s="1247" t="str">
        <f>IFERROR(VLOOKUP(P127,RPCRepaymentDates[],1,FALSE),"")</f>
        <v/>
      </c>
      <c r="S127" s="1259">
        <f t="shared" si="11"/>
        <v>0</v>
      </c>
      <c r="T127" s="1247" t="str">
        <f>IFERROR(VLOOKUP(P127,RPCChargeCycleDates[],1,FALSE),"")</f>
        <v/>
      </c>
      <c r="U127" s="1248" t="str">
        <f>IFERROR(_xlfn.DAYS(T127,$Q$16)-SUM(U$26:U126),"")</f>
        <v/>
      </c>
      <c r="V127" s="1258">
        <f t="shared" ca="1" si="12"/>
        <v>0</v>
      </c>
      <c r="W127" s="1258">
        <f t="shared" ca="1" si="13"/>
        <v>0</v>
      </c>
      <c r="X127" s="1258" t="e">
        <f t="shared" ca="1" si="14"/>
        <v>#N/A</v>
      </c>
      <c r="Y127" s="1240"/>
      <c r="Z127" s="1240"/>
      <c r="AA127" s="1240"/>
      <c r="AB127" s="1240"/>
      <c r="AC127" s="1254" t="e">
        <f t="shared" ref="AC127:AC190" si="17">IF(RPCRepaymentFrequency="Monthly",EDATE(AC126,1),IF(RPCRepaymentFrequency="Fortnightly",AC126+14,AC126+7))</f>
        <v>#NUM!</v>
      </c>
      <c r="AD127" s="1240"/>
      <c r="AE127" s="1254">
        <f t="shared" si="10"/>
        <v>3224</v>
      </c>
      <c r="AF127" s="1240"/>
      <c r="AG127" s="1240"/>
      <c r="AH127" s="1240"/>
      <c r="AI127" s="1240"/>
      <c r="AJ127" s="1240"/>
      <c r="AK127" s="1240"/>
      <c r="AL127" s="1240"/>
      <c r="AM127" s="1240"/>
      <c r="AN127" s="1240"/>
      <c r="AO127" s="1240"/>
      <c r="AP127" s="1240"/>
    </row>
    <row r="128" spans="1:42" ht="18.75" customHeight="1" x14ac:dyDescent="0.35">
      <c r="A128" s="1240"/>
      <c r="B128" s="1240"/>
      <c r="C128" s="1240"/>
      <c r="D128" s="1240"/>
      <c r="E128" s="1240"/>
      <c r="F128" s="1240"/>
      <c r="G128" s="1240"/>
      <c r="H128" s="1240"/>
      <c r="I128" s="1240"/>
      <c r="J128" s="1240"/>
      <c r="K128" s="1240"/>
      <c r="L128" s="1240"/>
      <c r="M128" s="1240"/>
      <c r="N128" s="1240"/>
      <c r="O128" s="1240"/>
      <c r="P128" s="1247">
        <f t="shared" si="16"/>
        <v>102</v>
      </c>
      <c r="Q128" s="1253" t="e">
        <f t="shared" ca="1" si="15"/>
        <v>#N/A</v>
      </c>
      <c r="R128" s="1247" t="str">
        <f>IFERROR(VLOOKUP(P128,RPCRepaymentDates[],1,FALSE),"")</f>
        <v/>
      </c>
      <c r="S128" s="1259">
        <f t="shared" si="11"/>
        <v>0</v>
      </c>
      <c r="T128" s="1247" t="str">
        <f>IFERROR(VLOOKUP(P128,RPCChargeCycleDates[],1,FALSE),"")</f>
        <v/>
      </c>
      <c r="U128" s="1248" t="str">
        <f>IFERROR(_xlfn.DAYS(T128,$Q$16)-SUM(U$26:U127),"")</f>
        <v/>
      </c>
      <c r="V128" s="1258">
        <f t="shared" ca="1" si="12"/>
        <v>0</v>
      </c>
      <c r="W128" s="1258">
        <f t="shared" ca="1" si="13"/>
        <v>0</v>
      </c>
      <c r="X128" s="1258" t="e">
        <f t="shared" ca="1" si="14"/>
        <v>#N/A</v>
      </c>
      <c r="Y128" s="1240"/>
      <c r="Z128" s="1240"/>
      <c r="AA128" s="1240"/>
      <c r="AB128" s="1240"/>
      <c r="AC128" s="1254" t="e">
        <f t="shared" si="17"/>
        <v>#NUM!</v>
      </c>
      <c r="AD128" s="1240"/>
      <c r="AE128" s="1254">
        <f t="shared" si="10"/>
        <v>3255</v>
      </c>
      <c r="AF128" s="1240"/>
      <c r="AG128" s="1240"/>
      <c r="AH128" s="1240"/>
      <c r="AI128" s="1240"/>
      <c r="AJ128" s="1240"/>
      <c r="AK128" s="1240"/>
      <c r="AL128" s="1240"/>
      <c r="AM128" s="1240"/>
      <c r="AN128" s="1240"/>
      <c r="AO128" s="1240"/>
      <c r="AP128" s="1240"/>
    </row>
    <row r="129" spans="1:42" ht="18.75" customHeight="1" x14ac:dyDescent="0.35">
      <c r="A129" s="1240"/>
      <c r="B129" s="1240"/>
      <c r="C129" s="1240"/>
      <c r="D129" s="1240"/>
      <c r="E129" s="1240"/>
      <c r="F129" s="1240"/>
      <c r="G129" s="1240"/>
      <c r="H129" s="1240"/>
      <c r="I129" s="1240"/>
      <c r="J129" s="1240"/>
      <c r="K129" s="1240"/>
      <c r="L129" s="1240"/>
      <c r="M129" s="1240"/>
      <c r="N129" s="1240"/>
      <c r="O129" s="1240"/>
      <c r="P129" s="1247">
        <f t="shared" si="16"/>
        <v>103</v>
      </c>
      <c r="Q129" s="1253" t="e">
        <f t="shared" ca="1" si="15"/>
        <v>#N/A</v>
      </c>
      <c r="R129" s="1247" t="str">
        <f>IFERROR(VLOOKUP(P129,RPCRepaymentDates[],1,FALSE),"")</f>
        <v/>
      </c>
      <c r="S129" s="1259">
        <f t="shared" si="11"/>
        <v>0</v>
      </c>
      <c r="T129" s="1247" t="str">
        <f>IFERROR(VLOOKUP(P129,RPCChargeCycleDates[],1,FALSE),"")</f>
        <v/>
      </c>
      <c r="U129" s="1248" t="str">
        <f>IFERROR(_xlfn.DAYS(T129,$Q$16)-SUM(U$26:U128),"")</f>
        <v/>
      </c>
      <c r="V129" s="1258">
        <f t="shared" ca="1" si="12"/>
        <v>0</v>
      </c>
      <c r="W129" s="1258">
        <f t="shared" ca="1" si="13"/>
        <v>0</v>
      </c>
      <c r="X129" s="1258" t="e">
        <f t="shared" ca="1" si="14"/>
        <v>#N/A</v>
      </c>
      <c r="Y129" s="1240"/>
      <c r="Z129" s="1240"/>
      <c r="AA129" s="1240"/>
      <c r="AB129" s="1240"/>
      <c r="AC129" s="1254" t="e">
        <f t="shared" si="17"/>
        <v>#NUM!</v>
      </c>
      <c r="AD129" s="1240"/>
      <c r="AE129" s="1254">
        <f t="shared" si="10"/>
        <v>3285</v>
      </c>
      <c r="AF129" s="1240"/>
      <c r="AG129" s="1240"/>
      <c r="AH129" s="1240"/>
      <c r="AI129" s="1240"/>
      <c r="AJ129" s="1240"/>
      <c r="AK129" s="1240"/>
      <c r="AL129" s="1240"/>
      <c r="AM129" s="1240"/>
      <c r="AN129" s="1240"/>
      <c r="AO129" s="1240"/>
      <c r="AP129" s="1240"/>
    </row>
    <row r="130" spans="1:42" ht="18.75" customHeight="1" x14ac:dyDescent="0.35">
      <c r="A130" s="1240"/>
      <c r="B130" s="1240"/>
      <c r="C130" s="1240"/>
      <c r="D130" s="1240"/>
      <c r="E130" s="1240"/>
      <c r="F130" s="1240"/>
      <c r="G130" s="1240"/>
      <c r="H130" s="1240"/>
      <c r="I130" s="1240"/>
      <c r="J130" s="1240"/>
      <c r="K130" s="1240"/>
      <c r="L130" s="1240"/>
      <c r="M130" s="1240"/>
      <c r="N130" s="1240"/>
      <c r="O130" s="1240"/>
      <c r="P130" s="1247">
        <f t="shared" si="16"/>
        <v>104</v>
      </c>
      <c r="Q130" s="1253" t="e">
        <f t="shared" ca="1" si="15"/>
        <v>#N/A</v>
      </c>
      <c r="R130" s="1247" t="str">
        <f>IFERROR(VLOOKUP(P130,RPCRepaymentDates[],1,FALSE),"")</f>
        <v/>
      </c>
      <c r="S130" s="1259">
        <f t="shared" si="11"/>
        <v>0</v>
      </c>
      <c r="T130" s="1247" t="str">
        <f>IFERROR(VLOOKUP(P130,RPCChargeCycleDates[],1,FALSE),"")</f>
        <v/>
      </c>
      <c r="U130" s="1248" t="str">
        <f>IFERROR(_xlfn.DAYS(T130,$Q$16)-SUM(U$26:U129),"")</f>
        <v/>
      </c>
      <c r="V130" s="1258">
        <f t="shared" ca="1" si="12"/>
        <v>0</v>
      </c>
      <c r="W130" s="1258">
        <f t="shared" ca="1" si="13"/>
        <v>0</v>
      </c>
      <c r="X130" s="1258" t="e">
        <f t="shared" ca="1" si="14"/>
        <v>#N/A</v>
      </c>
      <c r="Y130" s="1240"/>
      <c r="Z130" s="1240"/>
      <c r="AA130" s="1240"/>
      <c r="AB130" s="1240"/>
      <c r="AC130" s="1254" t="e">
        <f t="shared" si="17"/>
        <v>#NUM!</v>
      </c>
      <c r="AD130" s="1240"/>
      <c r="AE130" s="1254">
        <f t="shared" si="10"/>
        <v>3316</v>
      </c>
      <c r="AF130" s="1240"/>
      <c r="AG130" s="1240"/>
      <c r="AH130" s="1240"/>
      <c r="AI130" s="1240"/>
      <c r="AJ130" s="1240"/>
      <c r="AK130" s="1240"/>
      <c r="AL130" s="1240"/>
      <c r="AM130" s="1240"/>
      <c r="AN130" s="1240"/>
      <c r="AO130" s="1240"/>
      <c r="AP130" s="1240"/>
    </row>
    <row r="131" spans="1:42" ht="18.75" customHeight="1" x14ac:dyDescent="0.35">
      <c r="A131" s="1240"/>
      <c r="B131" s="1240"/>
      <c r="C131" s="1240"/>
      <c r="D131" s="1240"/>
      <c r="E131" s="1240"/>
      <c r="F131" s="1240"/>
      <c r="G131" s="1240"/>
      <c r="H131" s="1240"/>
      <c r="I131" s="1240"/>
      <c r="J131" s="1240"/>
      <c r="K131" s="1240"/>
      <c r="L131" s="1240"/>
      <c r="M131" s="1240"/>
      <c r="N131" s="1240"/>
      <c r="O131" s="1240"/>
      <c r="P131" s="1247">
        <f t="shared" si="16"/>
        <v>105</v>
      </c>
      <c r="Q131" s="1253" t="e">
        <f t="shared" ca="1" si="15"/>
        <v>#N/A</v>
      </c>
      <c r="R131" s="1247" t="str">
        <f>IFERROR(VLOOKUP(P131,RPCRepaymentDates[],1,FALSE),"")</f>
        <v/>
      </c>
      <c r="S131" s="1259">
        <f t="shared" si="11"/>
        <v>0</v>
      </c>
      <c r="T131" s="1247" t="str">
        <f>IFERROR(VLOOKUP(P131,RPCChargeCycleDates[],1,FALSE),"")</f>
        <v/>
      </c>
      <c r="U131" s="1248" t="str">
        <f>IFERROR(_xlfn.DAYS(T131,$Q$16)-SUM(U$26:U130),"")</f>
        <v/>
      </c>
      <c r="V131" s="1258">
        <f t="shared" ca="1" si="12"/>
        <v>0</v>
      </c>
      <c r="W131" s="1258">
        <f t="shared" ca="1" si="13"/>
        <v>0</v>
      </c>
      <c r="X131" s="1258" t="e">
        <f t="shared" ca="1" si="14"/>
        <v>#N/A</v>
      </c>
      <c r="Y131" s="1240"/>
      <c r="Z131" s="1240"/>
      <c r="AA131" s="1240"/>
      <c r="AB131" s="1240"/>
      <c r="AC131" s="1254" t="e">
        <f t="shared" si="17"/>
        <v>#NUM!</v>
      </c>
      <c r="AD131" s="1240"/>
      <c r="AE131" s="1254">
        <f t="shared" si="10"/>
        <v>3347</v>
      </c>
      <c r="AF131" s="1240"/>
      <c r="AG131" s="1240"/>
      <c r="AH131" s="1240"/>
      <c r="AI131" s="1240"/>
      <c r="AJ131" s="1240"/>
      <c r="AK131" s="1240"/>
      <c r="AL131" s="1240"/>
      <c r="AM131" s="1240"/>
      <c r="AN131" s="1240"/>
      <c r="AO131" s="1240"/>
      <c r="AP131" s="1240"/>
    </row>
    <row r="132" spans="1:42" ht="18.75" customHeight="1" x14ac:dyDescent="0.35">
      <c r="A132" s="1240"/>
      <c r="B132" s="1240"/>
      <c r="C132" s="1240"/>
      <c r="D132" s="1240"/>
      <c r="E132" s="1240"/>
      <c r="F132" s="1240"/>
      <c r="G132" s="1240"/>
      <c r="H132" s="1240"/>
      <c r="I132" s="1240"/>
      <c r="J132" s="1240"/>
      <c r="K132" s="1240"/>
      <c r="L132" s="1240"/>
      <c r="M132" s="1240"/>
      <c r="N132" s="1240"/>
      <c r="O132" s="1240"/>
      <c r="P132" s="1247">
        <f t="shared" si="16"/>
        <v>106</v>
      </c>
      <c r="Q132" s="1253" t="e">
        <f t="shared" ca="1" si="15"/>
        <v>#N/A</v>
      </c>
      <c r="R132" s="1247" t="str">
        <f>IFERROR(VLOOKUP(P132,RPCRepaymentDates[],1,FALSE),"")</f>
        <v/>
      </c>
      <c r="S132" s="1259">
        <f t="shared" si="11"/>
        <v>0</v>
      </c>
      <c r="T132" s="1247" t="str">
        <f>IFERROR(VLOOKUP(P132,RPCChargeCycleDates[],1,FALSE),"")</f>
        <v/>
      </c>
      <c r="U132" s="1248" t="str">
        <f>IFERROR(_xlfn.DAYS(T132,$Q$16)-SUM(U$26:U131),"")</f>
        <v/>
      </c>
      <c r="V132" s="1258">
        <f t="shared" ca="1" si="12"/>
        <v>0</v>
      </c>
      <c r="W132" s="1258">
        <f t="shared" ca="1" si="13"/>
        <v>0</v>
      </c>
      <c r="X132" s="1258" t="e">
        <f t="shared" ca="1" si="14"/>
        <v>#N/A</v>
      </c>
      <c r="Y132" s="1240"/>
      <c r="Z132" s="1240"/>
      <c r="AA132" s="1240"/>
      <c r="AB132" s="1240"/>
      <c r="AC132" s="1254" t="e">
        <f t="shared" si="17"/>
        <v>#NUM!</v>
      </c>
      <c r="AD132" s="1240"/>
      <c r="AE132" s="1254">
        <f t="shared" si="10"/>
        <v>3375</v>
      </c>
      <c r="AF132" s="1240"/>
      <c r="AG132" s="1240"/>
      <c r="AH132" s="1240"/>
      <c r="AI132" s="1240"/>
      <c r="AJ132" s="1240"/>
      <c r="AK132" s="1240"/>
      <c r="AL132" s="1240"/>
      <c r="AM132" s="1240"/>
      <c r="AN132" s="1240"/>
      <c r="AO132" s="1240"/>
      <c r="AP132" s="1240"/>
    </row>
    <row r="133" spans="1:42" ht="18.75" customHeight="1" x14ac:dyDescent="0.35">
      <c r="A133" s="1240"/>
      <c r="B133" s="1240"/>
      <c r="C133" s="1240"/>
      <c r="D133" s="1240"/>
      <c r="E133" s="1240"/>
      <c r="F133" s="1240"/>
      <c r="G133" s="1240"/>
      <c r="H133" s="1240"/>
      <c r="I133" s="1240"/>
      <c r="J133" s="1240"/>
      <c r="K133" s="1240"/>
      <c r="L133" s="1240"/>
      <c r="M133" s="1240"/>
      <c r="N133" s="1240"/>
      <c r="O133" s="1240"/>
      <c r="P133" s="1247">
        <f t="shared" si="16"/>
        <v>107</v>
      </c>
      <c r="Q133" s="1253" t="e">
        <f t="shared" ca="1" si="15"/>
        <v>#N/A</v>
      </c>
      <c r="R133" s="1247" t="str">
        <f>IFERROR(VLOOKUP(P133,RPCRepaymentDates[],1,FALSE),"")</f>
        <v/>
      </c>
      <c r="S133" s="1259">
        <f t="shared" si="11"/>
        <v>0</v>
      </c>
      <c r="T133" s="1247" t="str">
        <f>IFERROR(VLOOKUP(P133,RPCChargeCycleDates[],1,FALSE),"")</f>
        <v/>
      </c>
      <c r="U133" s="1248" t="str">
        <f>IFERROR(_xlfn.DAYS(T133,$Q$16)-SUM(U$26:U132),"")</f>
        <v/>
      </c>
      <c r="V133" s="1258">
        <f t="shared" ca="1" si="12"/>
        <v>0</v>
      </c>
      <c r="W133" s="1258">
        <f t="shared" ca="1" si="13"/>
        <v>0</v>
      </c>
      <c r="X133" s="1258" t="e">
        <f t="shared" ca="1" si="14"/>
        <v>#N/A</v>
      </c>
      <c r="Y133" s="1240"/>
      <c r="Z133" s="1240"/>
      <c r="AA133" s="1240"/>
      <c r="AB133" s="1240"/>
      <c r="AC133" s="1254" t="e">
        <f t="shared" si="17"/>
        <v>#NUM!</v>
      </c>
      <c r="AD133" s="1240"/>
      <c r="AE133" s="1254">
        <f t="shared" si="10"/>
        <v>3406</v>
      </c>
      <c r="AF133" s="1240"/>
      <c r="AG133" s="1240"/>
      <c r="AH133" s="1240"/>
      <c r="AI133" s="1240"/>
      <c r="AJ133" s="1240"/>
      <c r="AK133" s="1240"/>
      <c r="AL133" s="1240"/>
      <c r="AM133" s="1240"/>
      <c r="AN133" s="1240"/>
      <c r="AO133" s="1240"/>
      <c r="AP133" s="1240"/>
    </row>
    <row r="134" spans="1:42" ht="18.75" customHeight="1" x14ac:dyDescent="0.35">
      <c r="A134" s="1240"/>
      <c r="B134" s="1240"/>
      <c r="C134" s="1240"/>
      <c r="D134" s="1240"/>
      <c r="E134" s="1240"/>
      <c r="F134" s="1240"/>
      <c r="G134" s="1240"/>
      <c r="H134" s="1240"/>
      <c r="I134" s="1240"/>
      <c r="J134" s="1240"/>
      <c r="K134" s="1240"/>
      <c r="L134" s="1240"/>
      <c r="M134" s="1240"/>
      <c r="N134" s="1240"/>
      <c r="O134" s="1240"/>
      <c r="P134" s="1247">
        <f t="shared" si="16"/>
        <v>108</v>
      </c>
      <c r="Q134" s="1253" t="e">
        <f t="shared" ca="1" si="15"/>
        <v>#N/A</v>
      </c>
      <c r="R134" s="1247" t="str">
        <f>IFERROR(VLOOKUP(P134,RPCRepaymentDates[],1,FALSE),"")</f>
        <v/>
      </c>
      <c r="S134" s="1259">
        <f t="shared" si="11"/>
        <v>0</v>
      </c>
      <c r="T134" s="1247" t="str">
        <f>IFERROR(VLOOKUP(P134,RPCChargeCycleDates[],1,FALSE),"")</f>
        <v/>
      </c>
      <c r="U134" s="1248" t="str">
        <f>IFERROR(_xlfn.DAYS(T134,$Q$16)-SUM(U$26:U133),"")</f>
        <v/>
      </c>
      <c r="V134" s="1258">
        <f t="shared" ca="1" si="12"/>
        <v>0</v>
      </c>
      <c r="W134" s="1258">
        <f t="shared" ca="1" si="13"/>
        <v>0</v>
      </c>
      <c r="X134" s="1258" t="e">
        <f t="shared" ca="1" si="14"/>
        <v>#N/A</v>
      </c>
      <c r="Y134" s="1240"/>
      <c r="Z134" s="1240"/>
      <c r="AA134" s="1240"/>
      <c r="AB134" s="1240"/>
      <c r="AC134" s="1254" t="e">
        <f t="shared" si="17"/>
        <v>#NUM!</v>
      </c>
      <c r="AD134" s="1240"/>
      <c r="AE134" s="1254">
        <f t="shared" si="10"/>
        <v>3436</v>
      </c>
      <c r="AF134" s="1240"/>
      <c r="AG134" s="1240"/>
      <c r="AH134" s="1240"/>
      <c r="AI134" s="1240"/>
      <c r="AJ134" s="1240"/>
      <c r="AK134" s="1240"/>
      <c r="AL134" s="1240"/>
      <c r="AM134" s="1240"/>
      <c r="AN134" s="1240"/>
      <c r="AO134" s="1240"/>
      <c r="AP134" s="1240"/>
    </row>
    <row r="135" spans="1:42" ht="18.75" customHeight="1" x14ac:dyDescent="0.35">
      <c r="A135" s="1240"/>
      <c r="B135" s="1240"/>
      <c r="C135" s="1240"/>
      <c r="D135" s="1240"/>
      <c r="E135" s="1240"/>
      <c r="F135" s="1240"/>
      <c r="G135" s="1240"/>
      <c r="H135" s="1240"/>
      <c r="I135" s="1240"/>
      <c r="J135" s="1240"/>
      <c r="K135" s="1240"/>
      <c r="L135" s="1240"/>
      <c r="M135" s="1240"/>
      <c r="N135" s="1240"/>
      <c r="O135" s="1240"/>
      <c r="P135" s="1247">
        <f t="shared" si="16"/>
        <v>109</v>
      </c>
      <c r="Q135" s="1253" t="e">
        <f t="shared" ca="1" si="15"/>
        <v>#N/A</v>
      </c>
      <c r="R135" s="1247" t="str">
        <f>IFERROR(VLOOKUP(P135,RPCRepaymentDates[],1,FALSE),"")</f>
        <v/>
      </c>
      <c r="S135" s="1259">
        <f t="shared" si="11"/>
        <v>0</v>
      </c>
      <c r="T135" s="1247" t="str">
        <f>IFERROR(VLOOKUP(P135,RPCChargeCycleDates[],1,FALSE),"")</f>
        <v/>
      </c>
      <c r="U135" s="1248" t="str">
        <f>IFERROR(_xlfn.DAYS(T135,$Q$16)-SUM(U$26:U134),"")</f>
        <v/>
      </c>
      <c r="V135" s="1258">
        <f t="shared" ca="1" si="12"/>
        <v>0</v>
      </c>
      <c r="W135" s="1258">
        <f t="shared" ca="1" si="13"/>
        <v>0</v>
      </c>
      <c r="X135" s="1258" t="e">
        <f t="shared" ca="1" si="14"/>
        <v>#N/A</v>
      </c>
      <c r="Y135" s="1240"/>
      <c r="Z135" s="1240"/>
      <c r="AA135" s="1240"/>
      <c r="AB135" s="1240"/>
      <c r="AC135" s="1254" t="e">
        <f t="shared" si="17"/>
        <v>#NUM!</v>
      </c>
      <c r="AD135" s="1240"/>
      <c r="AE135" s="1254">
        <f t="shared" si="10"/>
        <v>3467</v>
      </c>
      <c r="AF135" s="1240"/>
      <c r="AG135" s="1240"/>
      <c r="AH135" s="1240"/>
      <c r="AI135" s="1240"/>
      <c r="AJ135" s="1240"/>
      <c r="AK135" s="1240"/>
      <c r="AL135" s="1240"/>
      <c r="AM135" s="1240"/>
      <c r="AN135" s="1240"/>
      <c r="AO135" s="1240"/>
      <c r="AP135" s="1240"/>
    </row>
    <row r="136" spans="1:42" ht="18.75" customHeight="1" x14ac:dyDescent="0.35">
      <c r="A136" s="1240"/>
      <c r="B136" s="1240"/>
      <c r="C136" s="1240"/>
      <c r="D136" s="1240"/>
      <c r="E136" s="1240"/>
      <c r="F136" s="1240"/>
      <c r="G136" s="1240"/>
      <c r="H136" s="1240"/>
      <c r="I136" s="1240"/>
      <c r="J136" s="1240"/>
      <c r="K136" s="1240"/>
      <c r="L136" s="1240"/>
      <c r="M136" s="1240"/>
      <c r="N136" s="1240"/>
      <c r="O136" s="1240"/>
      <c r="P136" s="1247">
        <f t="shared" si="16"/>
        <v>110</v>
      </c>
      <c r="Q136" s="1253" t="e">
        <f t="shared" ca="1" si="15"/>
        <v>#N/A</v>
      </c>
      <c r="R136" s="1247" t="str">
        <f>IFERROR(VLOOKUP(P136,RPCRepaymentDates[],1,FALSE),"")</f>
        <v/>
      </c>
      <c r="S136" s="1259">
        <f t="shared" si="11"/>
        <v>0</v>
      </c>
      <c r="T136" s="1247" t="str">
        <f>IFERROR(VLOOKUP(P136,RPCChargeCycleDates[],1,FALSE),"")</f>
        <v/>
      </c>
      <c r="U136" s="1248" t="str">
        <f>IFERROR(_xlfn.DAYS(T136,$Q$16)-SUM(U$26:U135),"")</f>
        <v/>
      </c>
      <c r="V136" s="1258">
        <f t="shared" ca="1" si="12"/>
        <v>0</v>
      </c>
      <c r="W136" s="1258">
        <f t="shared" ca="1" si="13"/>
        <v>0</v>
      </c>
      <c r="X136" s="1258" t="e">
        <f t="shared" ca="1" si="14"/>
        <v>#N/A</v>
      </c>
      <c r="Y136" s="1240"/>
      <c r="Z136" s="1240"/>
      <c r="AA136" s="1240"/>
      <c r="AB136" s="1240"/>
      <c r="AC136" s="1254" t="e">
        <f t="shared" si="17"/>
        <v>#NUM!</v>
      </c>
      <c r="AD136" s="1240"/>
      <c r="AE136" s="1254">
        <f t="shared" si="10"/>
        <v>3497</v>
      </c>
      <c r="AF136" s="1240"/>
      <c r="AG136" s="1240"/>
      <c r="AH136" s="1240"/>
      <c r="AI136" s="1240"/>
      <c r="AJ136" s="1240"/>
      <c r="AK136" s="1240"/>
      <c r="AL136" s="1240"/>
      <c r="AM136" s="1240"/>
      <c r="AN136" s="1240"/>
      <c r="AO136" s="1240"/>
      <c r="AP136" s="1240"/>
    </row>
    <row r="137" spans="1:42" ht="18.75" customHeight="1" x14ac:dyDescent="0.35">
      <c r="A137" s="1240"/>
      <c r="B137" s="1240"/>
      <c r="C137" s="1240"/>
      <c r="D137" s="1240"/>
      <c r="E137" s="1240"/>
      <c r="F137" s="1240"/>
      <c r="G137" s="1240"/>
      <c r="H137" s="1240"/>
      <c r="I137" s="1240"/>
      <c r="J137" s="1240"/>
      <c r="K137" s="1240"/>
      <c r="L137" s="1240"/>
      <c r="M137" s="1240"/>
      <c r="N137" s="1240"/>
      <c r="O137" s="1240"/>
      <c r="P137" s="1247">
        <f t="shared" si="16"/>
        <v>111</v>
      </c>
      <c r="Q137" s="1253" t="e">
        <f t="shared" ca="1" si="15"/>
        <v>#N/A</v>
      </c>
      <c r="R137" s="1247" t="str">
        <f>IFERROR(VLOOKUP(P137,RPCRepaymentDates[],1,FALSE),"")</f>
        <v/>
      </c>
      <c r="S137" s="1259">
        <f t="shared" si="11"/>
        <v>0</v>
      </c>
      <c r="T137" s="1247" t="str">
        <f>IFERROR(VLOOKUP(P137,RPCChargeCycleDates[],1,FALSE),"")</f>
        <v/>
      </c>
      <c r="U137" s="1248" t="str">
        <f>IFERROR(_xlfn.DAYS(T137,$Q$16)-SUM(U$26:U136),"")</f>
        <v/>
      </c>
      <c r="V137" s="1258">
        <f t="shared" ca="1" si="12"/>
        <v>0</v>
      </c>
      <c r="W137" s="1258">
        <f t="shared" ca="1" si="13"/>
        <v>0</v>
      </c>
      <c r="X137" s="1258" t="e">
        <f t="shared" ca="1" si="14"/>
        <v>#N/A</v>
      </c>
      <c r="Y137" s="1240"/>
      <c r="Z137" s="1240"/>
      <c r="AA137" s="1240"/>
      <c r="AB137" s="1240"/>
      <c r="AC137" s="1254" t="e">
        <f t="shared" si="17"/>
        <v>#NUM!</v>
      </c>
      <c r="AD137" s="1240"/>
      <c r="AE137" s="1254">
        <f t="shared" si="10"/>
        <v>3528</v>
      </c>
      <c r="AF137" s="1240"/>
      <c r="AG137" s="1240"/>
      <c r="AH137" s="1240"/>
      <c r="AI137" s="1240"/>
      <c r="AJ137" s="1240"/>
      <c r="AK137" s="1240"/>
      <c r="AL137" s="1240"/>
      <c r="AM137" s="1240"/>
      <c r="AN137" s="1240"/>
      <c r="AO137" s="1240"/>
      <c r="AP137" s="1240"/>
    </row>
    <row r="138" spans="1:42" ht="18.75" customHeight="1" x14ac:dyDescent="0.35">
      <c r="A138" s="1240"/>
      <c r="B138" s="1240"/>
      <c r="C138" s="1240"/>
      <c r="D138" s="1240"/>
      <c r="E138" s="1240"/>
      <c r="F138" s="1240"/>
      <c r="G138" s="1240"/>
      <c r="H138" s="1240"/>
      <c r="I138" s="1240"/>
      <c r="J138" s="1240"/>
      <c r="K138" s="1240"/>
      <c r="L138" s="1240"/>
      <c r="M138" s="1240"/>
      <c r="N138" s="1240"/>
      <c r="O138" s="1240"/>
      <c r="P138" s="1247">
        <f t="shared" si="16"/>
        <v>112</v>
      </c>
      <c r="Q138" s="1253" t="e">
        <f t="shared" ca="1" si="15"/>
        <v>#N/A</v>
      </c>
      <c r="R138" s="1247" t="str">
        <f>IFERROR(VLOOKUP(P138,RPCRepaymentDates[],1,FALSE),"")</f>
        <v/>
      </c>
      <c r="S138" s="1259">
        <f t="shared" si="11"/>
        <v>0</v>
      </c>
      <c r="T138" s="1247" t="str">
        <f>IFERROR(VLOOKUP(P138,RPCChargeCycleDates[],1,FALSE),"")</f>
        <v/>
      </c>
      <c r="U138" s="1248" t="str">
        <f>IFERROR(_xlfn.DAYS(T138,$Q$16)-SUM(U$26:U137),"")</f>
        <v/>
      </c>
      <c r="V138" s="1258">
        <f t="shared" ca="1" si="12"/>
        <v>0</v>
      </c>
      <c r="W138" s="1258">
        <f t="shared" ca="1" si="13"/>
        <v>0</v>
      </c>
      <c r="X138" s="1258" t="e">
        <f t="shared" ca="1" si="14"/>
        <v>#N/A</v>
      </c>
      <c r="Y138" s="1240"/>
      <c r="Z138" s="1240"/>
      <c r="AA138" s="1240"/>
      <c r="AB138" s="1240"/>
      <c r="AC138" s="1254" t="e">
        <f t="shared" si="17"/>
        <v>#NUM!</v>
      </c>
      <c r="AD138" s="1240"/>
      <c r="AE138" s="1254">
        <f t="shared" si="10"/>
        <v>3559</v>
      </c>
      <c r="AF138" s="1240"/>
      <c r="AG138" s="1240"/>
      <c r="AH138" s="1240"/>
      <c r="AI138" s="1240"/>
      <c r="AJ138" s="1240"/>
      <c r="AK138" s="1240"/>
      <c r="AL138" s="1240"/>
      <c r="AM138" s="1240"/>
      <c r="AN138" s="1240"/>
      <c r="AO138" s="1240"/>
      <c r="AP138" s="1240"/>
    </row>
    <row r="139" spans="1:42" ht="18.75" customHeight="1" x14ac:dyDescent="0.35">
      <c r="A139" s="1240"/>
      <c r="B139" s="1240"/>
      <c r="C139" s="1240"/>
      <c r="D139" s="1240"/>
      <c r="E139" s="1240"/>
      <c r="F139" s="1240"/>
      <c r="G139" s="1240"/>
      <c r="H139" s="1240"/>
      <c r="I139" s="1240"/>
      <c r="J139" s="1240"/>
      <c r="K139" s="1240"/>
      <c r="L139" s="1240"/>
      <c r="M139" s="1240"/>
      <c r="N139" s="1240"/>
      <c r="O139" s="1240"/>
      <c r="P139" s="1247">
        <f t="shared" si="16"/>
        <v>113</v>
      </c>
      <c r="Q139" s="1253" t="e">
        <f t="shared" ca="1" si="15"/>
        <v>#N/A</v>
      </c>
      <c r="R139" s="1247" t="str">
        <f>IFERROR(VLOOKUP(P139,RPCRepaymentDates[],1,FALSE),"")</f>
        <v/>
      </c>
      <c r="S139" s="1259">
        <f t="shared" si="11"/>
        <v>0</v>
      </c>
      <c r="T139" s="1247" t="str">
        <f>IFERROR(VLOOKUP(P139,RPCChargeCycleDates[],1,FALSE),"")</f>
        <v/>
      </c>
      <c r="U139" s="1248" t="str">
        <f>IFERROR(_xlfn.DAYS(T139,$Q$16)-SUM(U$26:U138),"")</f>
        <v/>
      </c>
      <c r="V139" s="1258">
        <f t="shared" ca="1" si="12"/>
        <v>0</v>
      </c>
      <c r="W139" s="1258">
        <f t="shared" ca="1" si="13"/>
        <v>0</v>
      </c>
      <c r="X139" s="1258" t="e">
        <f t="shared" ca="1" si="14"/>
        <v>#N/A</v>
      </c>
      <c r="Y139" s="1240"/>
      <c r="Z139" s="1240"/>
      <c r="AA139" s="1240"/>
      <c r="AB139" s="1240"/>
      <c r="AC139" s="1254" t="e">
        <f t="shared" si="17"/>
        <v>#NUM!</v>
      </c>
      <c r="AD139" s="1240"/>
      <c r="AE139" s="1254">
        <f t="shared" si="10"/>
        <v>3589</v>
      </c>
      <c r="AF139" s="1240"/>
      <c r="AG139" s="1240"/>
      <c r="AH139" s="1240"/>
      <c r="AI139" s="1240"/>
      <c r="AJ139" s="1240"/>
      <c r="AK139" s="1240"/>
      <c r="AL139" s="1240"/>
      <c r="AM139" s="1240"/>
      <c r="AN139" s="1240"/>
      <c r="AO139" s="1240"/>
      <c r="AP139" s="1240"/>
    </row>
    <row r="140" spans="1:42" ht="18.75" customHeight="1" x14ac:dyDescent="0.35">
      <c r="A140" s="1240"/>
      <c r="B140" s="1240"/>
      <c r="C140" s="1240"/>
      <c r="D140" s="1240"/>
      <c r="E140" s="1240"/>
      <c r="F140" s="1240"/>
      <c r="G140" s="1240"/>
      <c r="H140" s="1240"/>
      <c r="I140" s="1240"/>
      <c r="J140" s="1240"/>
      <c r="K140" s="1240"/>
      <c r="L140" s="1240"/>
      <c r="M140" s="1240"/>
      <c r="N140" s="1240"/>
      <c r="O140" s="1240"/>
      <c r="P140" s="1247">
        <f t="shared" si="16"/>
        <v>114</v>
      </c>
      <c r="Q140" s="1253" t="e">
        <f t="shared" ca="1" si="15"/>
        <v>#N/A</v>
      </c>
      <c r="R140" s="1247" t="str">
        <f>IFERROR(VLOOKUP(P140,RPCRepaymentDates[],1,FALSE),"")</f>
        <v/>
      </c>
      <c r="S140" s="1259">
        <f t="shared" si="11"/>
        <v>0</v>
      </c>
      <c r="T140" s="1247" t="str">
        <f>IFERROR(VLOOKUP(P140,RPCChargeCycleDates[],1,FALSE),"")</f>
        <v/>
      </c>
      <c r="U140" s="1248" t="str">
        <f>IFERROR(_xlfn.DAYS(T140,$Q$16)-SUM(U$26:U139),"")</f>
        <v/>
      </c>
      <c r="V140" s="1258">
        <f t="shared" ca="1" si="12"/>
        <v>0</v>
      </c>
      <c r="W140" s="1258">
        <f t="shared" ca="1" si="13"/>
        <v>0</v>
      </c>
      <c r="X140" s="1258" t="e">
        <f t="shared" ca="1" si="14"/>
        <v>#N/A</v>
      </c>
      <c r="Y140" s="1240"/>
      <c r="Z140" s="1240"/>
      <c r="AA140" s="1240"/>
      <c r="AB140" s="1240"/>
      <c r="AC140" s="1254" t="e">
        <f t="shared" si="17"/>
        <v>#NUM!</v>
      </c>
      <c r="AD140" s="1240"/>
      <c r="AE140" s="1254">
        <f t="shared" si="10"/>
        <v>3620</v>
      </c>
      <c r="AF140" s="1240"/>
      <c r="AG140" s="1240"/>
      <c r="AH140" s="1240"/>
      <c r="AI140" s="1240"/>
      <c r="AJ140" s="1240"/>
      <c r="AK140" s="1240"/>
      <c r="AL140" s="1240"/>
      <c r="AM140" s="1240"/>
      <c r="AN140" s="1240"/>
      <c r="AO140" s="1240"/>
      <c r="AP140" s="1240"/>
    </row>
    <row r="141" spans="1:42" ht="18.75" customHeight="1" x14ac:dyDescent="0.35">
      <c r="A141" s="1240"/>
      <c r="B141" s="1240"/>
      <c r="C141" s="1240"/>
      <c r="D141" s="1240"/>
      <c r="E141" s="1240"/>
      <c r="F141" s="1240"/>
      <c r="G141" s="1240"/>
      <c r="H141" s="1240"/>
      <c r="I141" s="1240"/>
      <c r="J141" s="1240"/>
      <c r="K141" s="1240"/>
      <c r="L141" s="1240"/>
      <c r="M141" s="1240"/>
      <c r="N141" s="1240"/>
      <c r="O141" s="1240"/>
      <c r="P141" s="1247">
        <f t="shared" si="16"/>
        <v>115</v>
      </c>
      <c r="Q141" s="1253" t="e">
        <f t="shared" ca="1" si="15"/>
        <v>#N/A</v>
      </c>
      <c r="R141" s="1247" t="str">
        <f>IFERROR(VLOOKUP(P141,RPCRepaymentDates[],1,FALSE),"")</f>
        <v/>
      </c>
      <c r="S141" s="1259">
        <f t="shared" si="11"/>
        <v>0</v>
      </c>
      <c r="T141" s="1247" t="str">
        <f>IFERROR(VLOOKUP(P141,RPCChargeCycleDates[],1,FALSE),"")</f>
        <v/>
      </c>
      <c r="U141" s="1248" t="str">
        <f>IFERROR(_xlfn.DAYS(T141,$Q$16)-SUM(U$26:U140),"")</f>
        <v/>
      </c>
      <c r="V141" s="1258">
        <f t="shared" ca="1" si="12"/>
        <v>0</v>
      </c>
      <c r="W141" s="1258">
        <f t="shared" ca="1" si="13"/>
        <v>0</v>
      </c>
      <c r="X141" s="1258" t="e">
        <f t="shared" ca="1" si="14"/>
        <v>#N/A</v>
      </c>
      <c r="Y141" s="1240"/>
      <c r="Z141" s="1240"/>
      <c r="AA141" s="1240"/>
      <c r="AB141" s="1240"/>
      <c r="AC141" s="1254" t="e">
        <f t="shared" si="17"/>
        <v>#NUM!</v>
      </c>
      <c r="AD141" s="1240"/>
      <c r="AE141" s="1254">
        <f t="shared" si="10"/>
        <v>3650</v>
      </c>
      <c r="AF141" s="1240"/>
      <c r="AG141" s="1240"/>
      <c r="AH141" s="1240"/>
      <c r="AI141" s="1240"/>
      <c r="AJ141" s="1240"/>
      <c r="AK141" s="1240"/>
      <c r="AL141" s="1240"/>
      <c r="AM141" s="1240"/>
      <c r="AN141" s="1240"/>
      <c r="AO141" s="1240"/>
      <c r="AP141" s="1240"/>
    </row>
    <row r="142" spans="1:42" ht="18.75" customHeight="1" x14ac:dyDescent="0.35">
      <c r="A142" s="1240"/>
      <c r="B142" s="1240"/>
      <c r="C142" s="1240"/>
      <c r="D142" s="1240"/>
      <c r="E142" s="1240"/>
      <c r="F142" s="1240"/>
      <c r="G142" s="1240"/>
      <c r="H142" s="1240"/>
      <c r="I142" s="1240"/>
      <c r="J142" s="1240"/>
      <c r="K142" s="1240"/>
      <c r="L142" s="1240"/>
      <c r="M142" s="1240"/>
      <c r="N142" s="1240"/>
      <c r="O142" s="1240"/>
      <c r="P142" s="1247">
        <f t="shared" si="16"/>
        <v>116</v>
      </c>
      <c r="Q142" s="1253" t="e">
        <f t="shared" ca="1" si="15"/>
        <v>#N/A</v>
      </c>
      <c r="R142" s="1247" t="str">
        <f>IFERROR(VLOOKUP(P142,RPCRepaymentDates[],1,FALSE),"")</f>
        <v/>
      </c>
      <c r="S142" s="1259">
        <f t="shared" si="11"/>
        <v>0</v>
      </c>
      <c r="T142" s="1247" t="str">
        <f>IFERROR(VLOOKUP(P142,RPCChargeCycleDates[],1,FALSE),"")</f>
        <v/>
      </c>
      <c r="U142" s="1248" t="str">
        <f>IFERROR(_xlfn.DAYS(T142,$Q$16)-SUM(U$26:U141),"")</f>
        <v/>
      </c>
      <c r="V142" s="1258">
        <f t="shared" ca="1" si="12"/>
        <v>0</v>
      </c>
      <c r="W142" s="1258">
        <f t="shared" ca="1" si="13"/>
        <v>0</v>
      </c>
      <c r="X142" s="1258" t="e">
        <f t="shared" ca="1" si="14"/>
        <v>#N/A</v>
      </c>
      <c r="Y142" s="1240"/>
      <c r="Z142" s="1240"/>
      <c r="AA142" s="1240"/>
      <c r="AB142" s="1240"/>
      <c r="AC142" s="1254" t="e">
        <f t="shared" si="17"/>
        <v>#NUM!</v>
      </c>
      <c r="AD142" s="1240"/>
      <c r="AE142" s="1254">
        <f t="shared" si="10"/>
        <v>3681</v>
      </c>
      <c r="AF142" s="1240"/>
      <c r="AG142" s="1240"/>
      <c r="AH142" s="1240"/>
      <c r="AI142" s="1240"/>
      <c r="AJ142" s="1240"/>
      <c r="AK142" s="1240"/>
      <c r="AL142" s="1240"/>
      <c r="AM142" s="1240"/>
      <c r="AN142" s="1240"/>
      <c r="AO142" s="1240"/>
      <c r="AP142" s="1240"/>
    </row>
    <row r="143" spans="1:42" ht="18.75" customHeight="1" x14ac:dyDescent="0.35">
      <c r="A143" s="1240"/>
      <c r="B143" s="1240"/>
      <c r="C143" s="1240"/>
      <c r="D143" s="1240"/>
      <c r="E143" s="1240"/>
      <c r="F143" s="1240"/>
      <c r="G143" s="1240"/>
      <c r="H143" s="1240"/>
      <c r="I143" s="1240"/>
      <c r="J143" s="1240"/>
      <c r="K143" s="1240"/>
      <c r="L143" s="1240"/>
      <c r="M143" s="1240"/>
      <c r="N143" s="1240"/>
      <c r="O143" s="1240"/>
      <c r="P143" s="1247">
        <f t="shared" si="16"/>
        <v>117</v>
      </c>
      <c r="Q143" s="1253" t="e">
        <f t="shared" ca="1" si="15"/>
        <v>#N/A</v>
      </c>
      <c r="R143" s="1247" t="str">
        <f>IFERROR(VLOOKUP(P143,RPCRepaymentDates[],1,FALSE),"")</f>
        <v/>
      </c>
      <c r="S143" s="1259">
        <f t="shared" si="11"/>
        <v>0</v>
      </c>
      <c r="T143" s="1247" t="str">
        <f>IFERROR(VLOOKUP(P143,RPCChargeCycleDates[],1,FALSE),"")</f>
        <v/>
      </c>
      <c r="U143" s="1248" t="str">
        <f>IFERROR(_xlfn.DAYS(T143,$Q$16)-SUM(U$26:U142),"")</f>
        <v/>
      </c>
      <c r="V143" s="1258">
        <f t="shared" ca="1" si="12"/>
        <v>0</v>
      </c>
      <c r="W143" s="1258">
        <f t="shared" ca="1" si="13"/>
        <v>0</v>
      </c>
      <c r="X143" s="1258" t="e">
        <f t="shared" ca="1" si="14"/>
        <v>#N/A</v>
      </c>
      <c r="Y143" s="1240"/>
      <c r="Z143" s="1240"/>
      <c r="AA143" s="1240"/>
      <c r="AB143" s="1240"/>
      <c r="AC143" s="1254" t="e">
        <f t="shared" si="17"/>
        <v>#NUM!</v>
      </c>
      <c r="AD143" s="1240"/>
      <c r="AE143" s="1240"/>
      <c r="AF143" s="1240"/>
      <c r="AG143" s="1240"/>
      <c r="AH143" s="1240"/>
      <c r="AI143" s="1240"/>
      <c r="AJ143" s="1240"/>
      <c r="AK143" s="1240"/>
      <c r="AL143" s="1240"/>
      <c r="AM143" s="1240"/>
      <c r="AN143" s="1240"/>
      <c r="AO143" s="1240"/>
      <c r="AP143" s="1240"/>
    </row>
    <row r="144" spans="1:42" ht="18.75" customHeight="1" x14ac:dyDescent="0.35">
      <c r="A144" s="1240"/>
      <c r="B144" s="1240"/>
      <c r="C144" s="1240"/>
      <c r="D144" s="1240"/>
      <c r="E144" s="1240"/>
      <c r="F144" s="1240"/>
      <c r="G144" s="1240"/>
      <c r="H144" s="1240"/>
      <c r="I144" s="1240"/>
      <c r="J144" s="1240"/>
      <c r="K144" s="1240"/>
      <c r="L144" s="1240"/>
      <c r="M144" s="1240"/>
      <c r="N144" s="1240"/>
      <c r="O144" s="1240"/>
      <c r="P144" s="1247">
        <f t="shared" si="16"/>
        <v>118</v>
      </c>
      <c r="Q144" s="1253" t="e">
        <f t="shared" ca="1" si="15"/>
        <v>#N/A</v>
      </c>
      <c r="R144" s="1247" t="str">
        <f>IFERROR(VLOOKUP(P144,RPCRepaymentDates[],1,FALSE),"")</f>
        <v/>
      </c>
      <c r="S144" s="1259">
        <f t="shared" si="11"/>
        <v>0</v>
      </c>
      <c r="T144" s="1247" t="str">
        <f>IFERROR(VLOOKUP(P144,RPCChargeCycleDates[],1,FALSE),"")</f>
        <v/>
      </c>
      <c r="U144" s="1248" t="str">
        <f>IFERROR(_xlfn.DAYS(T144,$Q$16)-SUM(U$26:U143),"")</f>
        <v/>
      </c>
      <c r="V144" s="1258">
        <f t="shared" ca="1" si="12"/>
        <v>0</v>
      </c>
      <c r="W144" s="1258">
        <f t="shared" ca="1" si="13"/>
        <v>0</v>
      </c>
      <c r="X144" s="1258" t="e">
        <f t="shared" ca="1" si="14"/>
        <v>#N/A</v>
      </c>
      <c r="Y144" s="1240"/>
      <c r="Z144" s="1240"/>
      <c r="AA144" s="1240"/>
      <c r="AB144" s="1240"/>
      <c r="AC144" s="1254" t="e">
        <f t="shared" si="17"/>
        <v>#NUM!</v>
      </c>
      <c r="AD144" s="1240"/>
      <c r="AE144" s="1240"/>
      <c r="AF144" s="1240"/>
      <c r="AG144" s="1240"/>
      <c r="AH144" s="1240"/>
      <c r="AI144" s="1240"/>
      <c r="AJ144" s="1240"/>
      <c r="AK144" s="1240"/>
      <c r="AL144" s="1240"/>
      <c r="AM144" s="1240"/>
      <c r="AN144" s="1240"/>
      <c r="AO144" s="1240"/>
      <c r="AP144" s="1240"/>
    </row>
    <row r="145" spans="1:42" ht="18.75" customHeight="1" x14ac:dyDescent="0.35">
      <c r="A145" s="1240"/>
      <c r="B145" s="1240"/>
      <c r="C145" s="1240"/>
      <c r="D145" s="1240"/>
      <c r="E145" s="1240"/>
      <c r="F145" s="1240"/>
      <c r="G145" s="1240"/>
      <c r="H145" s="1240"/>
      <c r="I145" s="1240"/>
      <c r="J145" s="1240"/>
      <c r="K145" s="1240"/>
      <c r="L145" s="1240"/>
      <c r="M145" s="1240"/>
      <c r="N145" s="1240"/>
      <c r="O145" s="1240"/>
      <c r="P145" s="1247">
        <f t="shared" si="16"/>
        <v>119</v>
      </c>
      <c r="Q145" s="1253" t="e">
        <f t="shared" ca="1" si="15"/>
        <v>#N/A</v>
      </c>
      <c r="R145" s="1247" t="str">
        <f>IFERROR(VLOOKUP(P145,RPCRepaymentDates[],1,FALSE),"")</f>
        <v/>
      </c>
      <c r="S145" s="1259">
        <f t="shared" si="11"/>
        <v>0</v>
      </c>
      <c r="T145" s="1247">
        <f>IFERROR(VLOOKUP(P145,RPCChargeCycleDates[],1,FALSE),"")</f>
        <v>119</v>
      </c>
      <c r="U145" s="1248">
        <f>IFERROR(_xlfn.DAYS(T145,$Q$16)-SUM(U$26:U144),"")</f>
        <v>31</v>
      </c>
      <c r="V145" s="1258">
        <f t="shared" ca="1" si="12"/>
        <v>0</v>
      </c>
      <c r="W145" s="1258">
        <f t="shared" ca="1" si="13"/>
        <v>0</v>
      </c>
      <c r="X145" s="1258" t="e">
        <f t="shared" ca="1" si="14"/>
        <v>#N/A</v>
      </c>
      <c r="Y145" s="1240"/>
      <c r="Z145" s="1240"/>
      <c r="AA145" s="1240"/>
      <c r="AB145" s="1240"/>
      <c r="AC145" s="1254" t="e">
        <f t="shared" si="17"/>
        <v>#NUM!</v>
      </c>
      <c r="AD145" s="1240"/>
      <c r="AE145" s="1240"/>
      <c r="AF145" s="1240"/>
      <c r="AG145" s="1240"/>
      <c r="AH145" s="1240"/>
      <c r="AI145" s="1240"/>
      <c r="AJ145" s="1240"/>
      <c r="AK145" s="1240"/>
      <c r="AL145" s="1240"/>
      <c r="AM145" s="1240"/>
      <c r="AN145" s="1240"/>
      <c r="AO145" s="1240"/>
      <c r="AP145" s="1240"/>
    </row>
    <row r="146" spans="1:42" ht="18.75" customHeight="1" x14ac:dyDescent="0.35">
      <c r="A146" s="1240"/>
      <c r="B146" s="1240"/>
      <c r="C146" s="1240"/>
      <c r="D146" s="1240"/>
      <c r="E146" s="1240"/>
      <c r="F146" s="1240"/>
      <c r="G146" s="1240"/>
      <c r="H146" s="1240"/>
      <c r="I146" s="1240"/>
      <c r="J146" s="1240"/>
      <c r="K146" s="1240"/>
      <c r="L146" s="1240"/>
      <c r="M146" s="1240"/>
      <c r="N146" s="1240"/>
      <c r="O146" s="1240"/>
      <c r="P146" s="1247">
        <f t="shared" si="16"/>
        <v>120</v>
      </c>
      <c r="Q146" s="1253" t="e">
        <f t="shared" ca="1" si="15"/>
        <v>#N/A</v>
      </c>
      <c r="R146" s="1247" t="str">
        <f>IFERROR(VLOOKUP(P146,RPCRepaymentDates[],1,FALSE),"")</f>
        <v/>
      </c>
      <c r="S146" s="1259">
        <f t="shared" si="11"/>
        <v>0</v>
      </c>
      <c r="T146" s="1247" t="str">
        <f>IFERROR(VLOOKUP(P146,RPCChargeCycleDates[],1,FALSE),"")</f>
        <v/>
      </c>
      <c r="U146" s="1248" t="str">
        <f>IFERROR(_xlfn.DAYS(T146,$Q$16)-SUM(U$26:U145),"")</f>
        <v/>
      </c>
      <c r="V146" s="1258">
        <f t="shared" ca="1" si="12"/>
        <v>0</v>
      </c>
      <c r="W146" s="1258">
        <f t="shared" ca="1" si="13"/>
        <v>0</v>
      </c>
      <c r="X146" s="1258" t="e">
        <f t="shared" ca="1" si="14"/>
        <v>#N/A</v>
      </c>
      <c r="Y146" s="1240"/>
      <c r="Z146" s="1240"/>
      <c r="AA146" s="1240"/>
      <c r="AB146" s="1240"/>
      <c r="AC146" s="1254" t="e">
        <f t="shared" si="17"/>
        <v>#NUM!</v>
      </c>
      <c r="AD146" s="1240"/>
      <c r="AE146" s="1240"/>
      <c r="AF146" s="1240"/>
      <c r="AG146" s="1240"/>
      <c r="AH146" s="1240"/>
      <c r="AI146" s="1240"/>
      <c r="AJ146" s="1240"/>
      <c r="AK146" s="1240"/>
      <c r="AL146" s="1240"/>
      <c r="AM146" s="1240"/>
      <c r="AN146" s="1240"/>
      <c r="AO146" s="1240"/>
      <c r="AP146" s="1240"/>
    </row>
    <row r="147" spans="1:42" ht="18.75" customHeight="1" x14ac:dyDescent="0.35">
      <c r="A147" s="1240"/>
      <c r="B147" s="1240"/>
      <c r="C147" s="1240"/>
      <c r="D147" s="1240"/>
      <c r="E147" s="1240"/>
      <c r="F147" s="1240"/>
      <c r="G147" s="1240"/>
      <c r="H147" s="1240"/>
      <c r="I147" s="1240"/>
      <c r="J147" s="1240"/>
      <c r="K147" s="1240"/>
      <c r="L147" s="1240"/>
      <c r="M147" s="1240"/>
      <c r="N147" s="1240"/>
      <c r="O147" s="1240"/>
      <c r="P147" s="1247">
        <f t="shared" si="16"/>
        <v>121</v>
      </c>
      <c r="Q147" s="1253" t="e">
        <f t="shared" ca="1" si="15"/>
        <v>#N/A</v>
      </c>
      <c r="R147" s="1247" t="str">
        <f>IFERROR(VLOOKUP(P147,RPCRepaymentDates[],1,FALSE),"")</f>
        <v/>
      </c>
      <c r="S147" s="1259">
        <f t="shared" si="11"/>
        <v>0</v>
      </c>
      <c r="T147" s="1247" t="str">
        <f>IFERROR(VLOOKUP(P147,RPCChargeCycleDates[],1,FALSE),"")</f>
        <v/>
      </c>
      <c r="U147" s="1248" t="str">
        <f>IFERROR(_xlfn.DAYS(T147,$Q$16)-SUM(U$26:U146),"")</f>
        <v/>
      </c>
      <c r="V147" s="1258">
        <f t="shared" ca="1" si="12"/>
        <v>0</v>
      </c>
      <c r="W147" s="1258">
        <f t="shared" ca="1" si="13"/>
        <v>0</v>
      </c>
      <c r="X147" s="1258" t="e">
        <f t="shared" ca="1" si="14"/>
        <v>#N/A</v>
      </c>
      <c r="Y147" s="1240"/>
      <c r="Z147" s="1240"/>
      <c r="AA147" s="1240"/>
      <c r="AB147" s="1240"/>
      <c r="AC147" s="1254" t="e">
        <f t="shared" si="17"/>
        <v>#NUM!</v>
      </c>
      <c r="AD147" s="1240"/>
      <c r="AE147" s="1240"/>
      <c r="AF147" s="1240"/>
      <c r="AG147" s="1240"/>
      <c r="AH147" s="1240"/>
      <c r="AI147" s="1240"/>
      <c r="AJ147" s="1240"/>
      <c r="AK147" s="1240"/>
      <c r="AL147" s="1240"/>
      <c r="AM147" s="1240"/>
      <c r="AN147" s="1240"/>
      <c r="AO147" s="1240"/>
      <c r="AP147" s="1240"/>
    </row>
    <row r="148" spans="1:42" ht="18.75" customHeight="1" x14ac:dyDescent="0.35">
      <c r="A148" s="1240"/>
      <c r="B148" s="1240"/>
      <c r="C148" s="1240"/>
      <c r="D148" s="1240"/>
      <c r="E148" s="1240"/>
      <c r="F148" s="1240"/>
      <c r="G148" s="1240"/>
      <c r="H148" s="1240"/>
      <c r="I148" s="1240"/>
      <c r="J148" s="1240"/>
      <c r="K148" s="1240"/>
      <c r="L148" s="1240"/>
      <c r="M148" s="1240"/>
      <c r="N148" s="1240"/>
      <c r="O148" s="1240"/>
      <c r="P148" s="1247">
        <f t="shared" si="16"/>
        <v>122</v>
      </c>
      <c r="Q148" s="1253" t="e">
        <f t="shared" ca="1" si="15"/>
        <v>#N/A</v>
      </c>
      <c r="R148" s="1247" t="str">
        <f>IFERROR(VLOOKUP(P148,RPCRepaymentDates[],1,FALSE),"")</f>
        <v/>
      </c>
      <c r="S148" s="1259">
        <f t="shared" si="11"/>
        <v>0</v>
      </c>
      <c r="T148" s="1247" t="str">
        <f>IFERROR(VLOOKUP(P148,RPCChargeCycleDates[],1,FALSE),"")</f>
        <v/>
      </c>
      <c r="U148" s="1248" t="str">
        <f>IFERROR(_xlfn.DAYS(T148,$Q$16)-SUM(U$26:U147),"")</f>
        <v/>
      </c>
      <c r="V148" s="1258">
        <f t="shared" ca="1" si="12"/>
        <v>0</v>
      </c>
      <c r="W148" s="1258">
        <f t="shared" ca="1" si="13"/>
        <v>0</v>
      </c>
      <c r="X148" s="1258" t="e">
        <f t="shared" ca="1" si="14"/>
        <v>#N/A</v>
      </c>
      <c r="Y148" s="1240"/>
      <c r="Z148" s="1240"/>
      <c r="AA148" s="1240"/>
      <c r="AB148" s="1240"/>
      <c r="AC148" s="1254" t="e">
        <f t="shared" si="17"/>
        <v>#NUM!</v>
      </c>
      <c r="AD148" s="1240"/>
      <c r="AE148" s="1240"/>
      <c r="AF148" s="1240"/>
      <c r="AG148" s="1240"/>
      <c r="AH148" s="1240"/>
      <c r="AI148" s="1240"/>
      <c r="AJ148" s="1240"/>
      <c r="AK148" s="1240"/>
      <c r="AL148" s="1240"/>
      <c r="AM148" s="1240"/>
      <c r="AN148" s="1240"/>
      <c r="AO148" s="1240"/>
      <c r="AP148" s="1240"/>
    </row>
    <row r="149" spans="1:42" ht="18.75" customHeight="1" x14ac:dyDescent="0.35">
      <c r="A149" s="1240"/>
      <c r="B149" s="1240"/>
      <c r="C149" s="1240"/>
      <c r="D149" s="1240"/>
      <c r="E149" s="1240"/>
      <c r="F149" s="1240"/>
      <c r="G149" s="1240"/>
      <c r="H149" s="1240"/>
      <c r="I149" s="1240"/>
      <c r="J149" s="1240"/>
      <c r="K149" s="1240"/>
      <c r="L149" s="1240"/>
      <c r="M149" s="1240"/>
      <c r="N149" s="1240"/>
      <c r="O149" s="1240"/>
      <c r="P149" s="1247">
        <f t="shared" si="16"/>
        <v>123</v>
      </c>
      <c r="Q149" s="1253" t="e">
        <f t="shared" ca="1" si="15"/>
        <v>#N/A</v>
      </c>
      <c r="R149" s="1247" t="str">
        <f>IFERROR(VLOOKUP(P149,RPCRepaymentDates[],1,FALSE),"")</f>
        <v/>
      </c>
      <c r="S149" s="1259">
        <f t="shared" si="11"/>
        <v>0</v>
      </c>
      <c r="T149" s="1247" t="str">
        <f>IFERROR(VLOOKUP(P149,RPCChargeCycleDates[],1,FALSE),"")</f>
        <v/>
      </c>
      <c r="U149" s="1248" t="str">
        <f>IFERROR(_xlfn.DAYS(T149,$Q$16)-SUM(U$26:U148),"")</f>
        <v/>
      </c>
      <c r="V149" s="1258">
        <f t="shared" ca="1" si="12"/>
        <v>0</v>
      </c>
      <c r="W149" s="1258">
        <f t="shared" ca="1" si="13"/>
        <v>0</v>
      </c>
      <c r="X149" s="1258" t="e">
        <f t="shared" ca="1" si="14"/>
        <v>#N/A</v>
      </c>
      <c r="Y149" s="1240"/>
      <c r="Z149" s="1240"/>
      <c r="AA149" s="1240"/>
      <c r="AB149" s="1240"/>
      <c r="AC149" s="1254" t="e">
        <f t="shared" si="17"/>
        <v>#NUM!</v>
      </c>
      <c r="AD149" s="1240"/>
      <c r="AE149" s="1240"/>
      <c r="AF149" s="1240"/>
      <c r="AG149" s="1240"/>
      <c r="AH149" s="1240"/>
      <c r="AI149" s="1240"/>
      <c r="AJ149" s="1240"/>
      <c r="AK149" s="1240"/>
      <c r="AL149" s="1240"/>
      <c r="AM149" s="1240"/>
      <c r="AN149" s="1240"/>
      <c r="AO149" s="1240"/>
      <c r="AP149" s="1240"/>
    </row>
    <row r="150" spans="1:42" ht="18.75" customHeight="1" x14ac:dyDescent="0.35">
      <c r="A150" s="1240"/>
      <c r="B150" s="1240"/>
      <c r="C150" s="1240"/>
      <c r="D150" s="1240"/>
      <c r="E150" s="1240"/>
      <c r="F150" s="1240"/>
      <c r="G150" s="1240"/>
      <c r="H150" s="1240"/>
      <c r="I150" s="1240"/>
      <c r="J150" s="1240"/>
      <c r="K150" s="1240"/>
      <c r="L150" s="1240"/>
      <c r="M150" s="1240"/>
      <c r="N150" s="1240"/>
      <c r="O150" s="1240"/>
      <c r="P150" s="1247">
        <f t="shared" si="16"/>
        <v>124</v>
      </c>
      <c r="Q150" s="1253" t="e">
        <f t="shared" ca="1" si="15"/>
        <v>#N/A</v>
      </c>
      <c r="R150" s="1247" t="str">
        <f>IFERROR(VLOOKUP(P150,RPCRepaymentDates[],1,FALSE),"")</f>
        <v/>
      </c>
      <c r="S150" s="1259">
        <f t="shared" si="11"/>
        <v>0</v>
      </c>
      <c r="T150" s="1247" t="str">
        <f>IFERROR(VLOOKUP(P150,RPCChargeCycleDates[],1,FALSE),"")</f>
        <v/>
      </c>
      <c r="U150" s="1248" t="str">
        <f>IFERROR(_xlfn.DAYS(T150,$Q$16)-SUM(U$26:U149),"")</f>
        <v/>
      </c>
      <c r="V150" s="1258">
        <f t="shared" ca="1" si="12"/>
        <v>0</v>
      </c>
      <c r="W150" s="1258">
        <f t="shared" ca="1" si="13"/>
        <v>0</v>
      </c>
      <c r="X150" s="1258" t="e">
        <f t="shared" ca="1" si="14"/>
        <v>#N/A</v>
      </c>
      <c r="Y150" s="1240"/>
      <c r="Z150" s="1240"/>
      <c r="AA150" s="1240"/>
      <c r="AB150" s="1240"/>
      <c r="AC150" s="1254" t="e">
        <f t="shared" si="17"/>
        <v>#NUM!</v>
      </c>
      <c r="AD150" s="1240"/>
      <c r="AE150" s="1240"/>
      <c r="AF150" s="1240"/>
      <c r="AG150" s="1240"/>
      <c r="AH150" s="1240"/>
      <c r="AI150" s="1240"/>
      <c r="AJ150" s="1240"/>
      <c r="AK150" s="1240"/>
      <c r="AL150" s="1240"/>
      <c r="AM150" s="1240"/>
      <c r="AN150" s="1240"/>
      <c r="AO150" s="1240"/>
      <c r="AP150" s="1240"/>
    </row>
    <row r="151" spans="1:42" ht="18.75" customHeight="1" x14ac:dyDescent="0.35">
      <c r="A151" s="1240"/>
      <c r="B151" s="1240"/>
      <c r="C151" s="1240"/>
      <c r="D151" s="1240"/>
      <c r="E151" s="1240"/>
      <c r="F151" s="1240"/>
      <c r="G151" s="1240"/>
      <c r="H151" s="1240"/>
      <c r="I151" s="1240"/>
      <c r="J151" s="1240"/>
      <c r="K151" s="1240"/>
      <c r="L151" s="1240"/>
      <c r="M151" s="1240"/>
      <c r="N151" s="1240"/>
      <c r="O151" s="1240"/>
      <c r="P151" s="1247">
        <f t="shared" si="16"/>
        <v>125</v>
      </c>
      <c r="Q151" s="1253" t="e">
        <f t="shared" ca="1" si="15"/>
        <v>#N/A</v>
      </c>
      <c r="R151" s="1247" t="str">
        <f>IFERROR(VLOOKUP(P151,RPCRepaymentDates[],1,FALSE),"")</f>
        <v/>
      </c>
      <c r="S151" s="1259">
        <f t="shared" si="11"/>
        <v>0</v>
      </c>
      <c r="T151" s="1247" t="str">
        <f>IFERROR(VLOOKUP(P151,RPCChargeCycleDates[],1,FALSE),"")</f>
        <v/>
      </c>
      <c r="U151" s="1248" t="str">
        <f>IFERROR(_xlfn.DAYS(T151,$Q$16)-SUM(U$26:U150),"")</f>
        <v/>
      </c>
      <c r="V151" s="1258">
        <f t="shared" ca="1" si="12"/>
        <v>0</v>
      </c>
      <c r="W151" s="1258">
        <f t="shared" ca="1" si="13"/>
        <v>0</v>
      </c>
      <c r="X151" s="1258" t="e">
        <f t="shared" ca="1" si="14"/>
        <v>#N/A</v>
      </c>
      <c r="Y151" s="1240"/>
      <c r="Z151" s="1240"/>
      <c r="AA151" s="1240"/>
      <c r="AB151" s="1240"/>
      <c r="AC151" s="1254" t="e">
        <f t="shared" si="17"/>
        <v>#NUM!</v>
      </c>
      <c r="AD151" s="1240"/>
      <c r="AE151" s="1240"/>
      <c r="AF151" s="1240"/>
      <c r="AG151" s="1240"/>
      <c r="AH151" s="1240"/>
      <c r="AI151" s="1240"/>
      <c r="AJ151" s="1240"/>
      <c r="AK151" s="1240"/>
      <c r="AL151" s="1240"/>
      <c r="AM151" s="1240"/>
      <c r="AN151" s="1240"/>
      <c r="AO151" s="1240"/>
      <c r="AP151" s="1240"/>
    </row>
    <row r="152" spans="1:42" ht="18.75" customHeight="1" x14ac:dyDescent="0.35">
      <c r="A152" s="1240"/>
      <c r="B152" s="1240"/>
      <c r="C152" s="1240"/>
      <c r="D152" s="1240"/>
      <c r="E152" s="1240"/>
      <c r="F152" s="1240"/>
      <c r="G152" s="1240"/>
      <c r="H152" s="1240"/>
      <c r="I152" s="1240"/>
      <c r="J152" s="1240"/>
      <c r="K152" s="1240"/>
      <c r="L152" s="1240"/>
      <c r="M152" s="1240"/>
      <c r="N152" s="1240"/>
      <c r="O152" s="1240"/>
      <c r="P152" s="1247">
        <f t="shared" si="16"/>
        <v>126</v>
      </c>
      <c r="Q152" s="1253" t="e">
        <f t="shared" ca="1" si="15"/>
        <v>#N/A</v>
      </c>
      <c r="R152" s="1247" t="str">
        <f>IFERROR(VLOOKUP(P152,RPCRepaymentDates[],1,FALSE),"")</f>
        <v/>
      </c>
      <c r="S152" s="1259">
        <f t="shared" si="11"/>
        <v>0</v>
      </c>
      <c r="T152" s="1247" t="str">
        <f>IFERROR(VLOOKUP(P152,RPCChargeCycleDates[],1,FALSE),"")</f>
        <v/>
      </c>
      <c r="U152" s="1248" t="str">
        <f>IFERROR(_xlfn.DAYS(T152,$Q$16)-SUM(U$26:U151),"")</f>
        <v/>
      </c>
      <c r="V152" s="1258">
        <f t="shared" ca="1" si="12"/>
        <v>0</v>
      </c>
      <c r="W152" s="1258">
        <f t="shared" ca="1" si="13"/>
        <v>0</v>
      </c>
      <c r="X152" s="1258" t="e">
        <f t="shared" ca="1" si="14"/>
        <v>#N/A</v>
      </c>
      <c r="Y152" s="1240"/>
      <c r="Z152" s="1240"/>
      <c r="AA152" s="1240"/>
      <c r="AB152" s="1240"/>
      <c r="AC152" s="1254" t="e">
        <f t="shared" si="17"/>
        <v>#NUM!</v>
      </c>
      <c r="AD152" s="1240"/>
      <c r="AE152" s="1240"/>
      <c r="AF152" s="1240"/>
      <c r="AG152" s="1240"/>
      <c r="AH152" s="1240"/>
      <c r="AI152" s="1240"/>
      <c r="AJ152" s="1240"/>
      <c r="AK152" s="1240"/>
      <c r="AL152" s="1240"/>
      <c r="AM152" s="1240"/>
      <c r="AN152" s="1240"/>
      <c r="AO152" s="1240"/>
      <c r="AP152" s="1240"/>
    </row>
    <row r="153" spans="1:42" ht="18.75" customHeight="1" x14ac:dyDescent="0.35">
      <c r="A153" s="1240"/>
      <c r="B153" s="1240"/>
      <c r="C153" s="1240"/>
      <c r="D153" s="1240"/>
      <c r="E153" s="1240"/>
      <c r="F153" s="1240"/>
      <c r="G153" s="1240"/>
      <c r="H153" s="1240"/>
      <c r="I153" s="1240"/>
      <c r="J153" s="1240"/>
      <c r="K153" s="1240"/>
      <c r="L153" s="1240"/>
      <c r="M153" s="1240"/>
      <c r="N153" s="1240"/>
      <c r="O153" s="1240"/>
      <c r="P153" s="1247">
        <f t="shared" si="16"/>
        <v>127</v>
      </c>
      <c r="Q153" s="1253" t="e">
        <f t="shared" ca="1" si="15"/>
        <v>#N/A</v>
      </c>
      <c r="R153" s="1247" t="str">
        <f>IFERROR(VLOOKUP(P153,RPCRepaymentDates[],1,FALSE),"")</f>
        <v/>
      </c>
      <c r="S153" s="1259">
        <f t="shared" si="11"/>
        <v>0</v>
      </c>
      <c r="T153" s="1247" t="str">
        <f>IFERROR(VLOOKUP(P153,RPCChargeCycleDates[],1,FALSE),"")</f>
        <v/>
      </c>
      <c r="U153" s="1248" t="str">
        <f>IFERROR(_xlfn.DAYS(T153,$Q$16)-SUM(U$26:U152),"")</f>
        <v/>
      </c>
      <c r="V153" s="1258">
        <f t="shared" ca="1" si="12"/>
        <v>0</v>
      </c>
      <c r="W153" s="1258">
        <f t="shared" ca="1" si="13"/>
        <v>0</v>
      </c>
      <c r="X153" s="1258" t="e">
        <f t="shared" ca="1" si="14"/>
        <v>#N/A</v>
      </c>
      <c r="Y153" s="1240"/>
      <c r="Z153" s="1240"/>
      <c r="AA153" s="1240"/>
      <c r="AB153" s="1240"/>
      <c r="AC153" s="1254" t="e">
        <f t="shared" si="17"/>
        <v>#NUM!</v>
      </c>
      <c r="AD153" s="1240"/>
      <c r="AE153" s="1240"/>
      <c r="AF153" s="1240"/>
      <c r="AG153" s="1240"/>
      <c r="AH153" s="1240"/>
      <c r="AI153" s="1240"/>
      <c r="AJ153" s="1240"/>
      <c r="AK153" s="1240"/>
      <c r="AL153" s="1240"/>
      <c r="AM153" s="1240"/>
      <c r="AN153" s="1240"/>
      <c r="AO153" s="1240"/>
      <c r="AP153" s="1240"/>
    </row>
    <row r="154" spans="1:42" ht="18.75" customHeight="1" x14ac:dyDescent="0.35">
      <c r="A154" s="1240"/>
      <c r="B154" s="1240"/>
      <c r="C154" s="1240"/>
      <c r="D154" s="1240"/>
      <c r="E154" s="1240"/>
      <c r="F154" s="1240"/>
      <c r="G154" s="1240"/>
      <c r="H154" s="1240"/>
      <c r="I154" s="1240"/>
      <c r="J154" s="1240"/>
      <c r="K154" s="1240"/>
      <c r="L154" s="1240"/>
      <c r="M154" s="1240"/>
      <c r="N154" s="1240"/>
      <c r="O154" s="1240"/>
      <c r="P154" s="1247">
        <f t="shared" si="16"/>
        <v>128</v>
      </c>
      <c r="Q154" s="1253" t="e">
        <f t="shared" ca="1" si="15"/>
        <v>#N/A</v>
      </c>
      <c r="R154" s="1247" t="str">
        <f>IFERROR(VLOOKUP(P154,RPCRepaymentDates[],1,FALSE),"")</f>
        <v/>
      </c>
      <c r="S154" s="1259">
        <f t="shared" ref="S154:S217" si="18">IF(P154=R154,IF(R154&lt;RPCNextPaymentTransferDate,0,IF(OR(R154&lt;RPCPauseStartDate,R154&gt;RPCPauseEndDate),RPCCurrentRepayment,RPCPauseRepayment)),0)</f>
        <v>0</v>
      </c>
      <c r="T154" s="1247" t="str">
        <f>IFERROR(VLOOKUP(P154,RPCChargeCycleDates[],1,FALSE),"")</f>
        <v/>
      </c>
      <c r="U154" s="1248" t="str">
        <f>IFERROR(_xlfn.DAYS(T154,$Q$16)-SUM(U$26:U153),"")</f>
        <v/>
      </c>
      <c r="V154" s="1258">
        <f t="shared" ref="V154:V217" ca="1" si="19">IFERROR((Q154-S154)*(1/RPCDaysInYear)*RPCInterestRate,0)</f>
        <v>0</v>
      </c>
      <c r="W154" s="1258">
        <f t="shared" ref="W154:W217" ca="1" si="20">IFERROR(IF(T154=P154,SUM(OFFSET(V154,-U154+1,0,U154,1)),0),0)</f>
        <v>0</v>
      </c>
      <c r="X154" s="1258" t="e">
        <f t="shared" ref="X154:X217" ca="1" si="21">Q154-S154+W154</f>
        <v>#N/A</v>
      </c>
      <c r="Y154" s="1240"/>
      <c r="Z154" s="1240"/>
      <c r="AA154" s="1240"/>
      <c r="AB154" s="1240"/>
      <c r="AC154" s="1254" t="e">
        <f t="shared" si="17"/>
        <v>#NUM!</v>
      </c>
      <c r="AD154" s="1240"/>
      <c r="AE154" s="1240"/>
      <c r="AF154" s="1240"/>
      <c r="AG154" s="1240"/>
      <c r="AH154" s="1240"/>
      <c r="AI154" s="1240"/>
      <c r="AJ154" s="1240"/>
      <c r="AK154" s="1240"/>
      <c r="AL154" s="1240"/>
      <c r="AM154" s="1240"/>
      <c r="AN154" s="1240"/>
      <c r="AO154" s="1240"/>
      <c r="AP154" s="1240"/>
    </row>
    <row r="155" spans="1:42" ht="18.75" customHeight="1" x14ac:dyDescent="0.35">
      <c r="A155" s="1240"/>
      <c r="B155" s="1240"/>
      <c r="C155" s="1240"/>
      <c r="D155" s="1240"/>
      <c r="E155" s="1240"/>
      <c r="F155" s="1240"/>
      <c r="G155" s="1240"/>
      <c r="H155" s="1240"/>
      <c r="I155" s="1240"/>
      <c r="J155" s="1240"/>
      <c r="K155" s="1240"/>
      <c r="L155" s="1240"/>
      <c r="M155" s="1240"/>
      <c r="N155" s="1240"/>
      <c r="O155" s="1240"/>
      <c r="P155" s="1247">
        <f t="shared" si="16"/>
        <v>129</v>
      </c>
      <c r="Q155" s="1253" t="e">
        <f t="shared" ref="Q155:Q218" ca="1" si="22">X154</f>
        <v>#N/A</v>
      </c>
      <c r="R155" s="1247" t="str">
        <f>IFERROR(VLOOKUP(P155,RPCRepaymentDates[],1,FALSE),"")</f>
        <v/>
      </c>
      <c r="S155" s="1259">
        <f t="shared" si="18"/>
        <v>0</v>
      </c>
      <c r="T155" s="1247" t="str">
        <f>IFERROR(VLOOKUP(P155,RPCChargeCycleDates[],1,FALSE),"")</f>
        <v/>
      </c>
      <c r="U155" s="1248" t="str">
        <f>IFERROR(_xlfn.DAYS(T155,$Q$16)-SUM(U$26:U154),"")</f>
        <v/>
      </c>
      <c r="V155" s="1258">
        <f t="shared" ca="1" si="19"/>
        <v>0</v>
      </c>
      <c r="W155" s="1258">
        <f t="shared" ca="1" si="20"/>
        <v>0</v>
      </c>
      <c r="X155" s="1258" t="e">
        <f t="shared" ca="1" si="21"/>
        <v>#N/A</v>
      </c>
      <c r="Y155" s="1240"/>
      <c r="Z155" s="1240"/>
      <c r="AA155" s="1240"/>
      <c r="AB155" s="1240"/>
      <c r="AC155" s="1254" t="e">
        <f t="shared" si="17"/>
        <v>#NUM!</v>
      </c>
      <c r="AD155" s="1240"/>
      <c r="AE155" s="1240"/>
      <c r="AF155" s="1240"/>
      <c r="AG155" s="1240"/>
      <c r="AH155" s="1240"/>
      <c r="AI155" s="1240"/>
      <c r="AJ155" s="1240"/>
      <c r="AK155" s="1240"/>
      <c r="AL155" s="1240"/>
      <c r="AM155" s="1240"/>
      <c r="AN155" s="1240"/>
      <c r="AO155" s="1240"/>
      <c r="AP155" s="1240"/>
    </row>
    <row r="156" spans="1:42" ht="18.75" customHeight="1" x14ac:dyDescent="0.35">
      <c r="A156" s="1240"/>
      <c r="B156" s="1240"/>
      <c r="C156" s="1240"/>
      <c r="D156" s="1240"/>
      <c r="E156" s="1240"/>
      <c r="F156" s="1240"/>
      <c r="G156" s="1240"/>
      <c r="H156" s="1240"/>
      <c r="I156" s="1240"/>
      <c r="J156" s="1240"/>
      <c r="K156" s="1240"/>
      <c r="L156" s="1240"/>
      <c r="M156" s="1240"/>
      <c r="N156" s="1240"/>
      <c r="O156" s="1240"/>
      <c r="P156" s="1247">
        <f t="shared" ref="P156:P219" si="23">P155+1</f>
        <v>130</v>
      </c>
      <c r="Q156" s="1253" t="e">
        <f t="shared" ca="1" si="22"/>
        <v>#N/A</v>
      </c>
      <c r="R156" s="1247" t="str">
        <f>IFERROR(VLOOKUP(P156,RPCRepaymentDates[],1,FALSE),"")</f>
        <v/>
      </c>
      <c r="S156" s="1259">
        <f t="shared" si="18"/>
        <v>0</v>
      </c>
      <c r="T156" s="1247" t="str">
        <f>IFERROR(VLOOKUP(P156,RPCChargeCycleDates[],1,FALSE),"")</f>
        <v/>
      </c>
      <c r="U156" s="1248" t="str">
        <f>IFERROR(_xlfn.DAYS(T156,$Q$16)-SUM(U$26:U155),"")</f>
        <v/>
      </c>
      <c r="V156" s="1258">
        <f t="shared" ca="1" si="19"/>
        <v>0</v>
      </c>
      <c r="W156" s="1258">
        <f t="shared" ca="1" si="20"/>
        <v>0</v>
      </c>
      <c r="X156" s="1258" t="e">
        <f t="shared" ca="1" si="21"/>
        <v>#N/A</v>
      </c>
      <c r="Y156" s="1240"/>
      <c r="Z156" s="1240"/>
      <c r="AA156" s="1240"/>
      <c r="AB156" s="1240"/>
      <c r="AC156" s="1254" t="e">
        <f t="shared" si="17"/>
        <v>#NUM!</v>
      </c>
      <c r="AD156" s="1240"/>
      <c r="AE156" s="1240"/>
      <c r="AF156" s="1240"/>
      <c r="AG156" s="1240"/>
      <c r="AH156" s="1240"/>
      <c r="AI156" s="1240"/>
      <c r="AJ156" s="1240"/>
      <c r="AK156" s="1240"/>
      <c r="AL156" s="1240"/>
      <c r="AM156" s="1240"/>
      <c r="AN156" s="1240"/>
      <c r="AO156" s="1240"/>
      <c r="AP156" s="1240"/>
    </row>
    <row r="157" spans="1:42" ht="18.75" customHeight="1" x14ac:dyDescent="0.35">
      <c r="A157" s="1240"/>
      <c r="B157" s="1240"/>
      <c r="C157" s="1240"/>
      <c r="D157" s="1240"/>
      <c r="E157" s="1240"/>
      <c r="F157" s="1240"/>
      <c r="G157" s="1240"/>
      <c r="H157" s="1240"/>
      <c r="I157" s="1240"/>
      <c r="J157" s="1240"/>
      <c r="K157" s="1240"/>
      <c r="L157" s="1240"/>
      <c r="M157" s="1240"/>
      <c r="N157" s="1240"/>
      <c r="O157" s="1240"/>
      <c r="P157" s="1247">
        <f t="shared" si="23"/>
        <v>131</v>
      </c>
      <c r="Q157" s="1253" t="e">
        <f t="shared" ca="1" si="22"/>
        <v>#N/A</v>
      </c>
      <c r="R157" s="1247" t="str">
        <f>IFERROR(VLOOKUP(P157,RPCRepaymentDates[],1,FALSE),"")</f>
        <v/>
      </c>
      <c r="S157" s="1259">
        <f t="shared" si="18"/>
        <v>0</v>
      </c>
      <c r="T157" s="1247" t="str">
        <f>IFERROR(VLOOKUP(P157,RPCChargeCycleDates[],1,FALSE),"")</f>
        <v/>
      </c>
      <c r="U157" s="1248" t="str">
        <f>IFERROR(_xlfn.DAYS(T157,$Q$16)-SUM(U$26:U156),"")</f>
        <v/>
      </c>
      <c r="V157" s="1258">
        <f t="shared" ca="1" si="19"/>
        <v>0</v>
      </c>
      <c r="W157" s="1258">
        <f t="shared" ca="1" si="20"/>
        <v>0</v>
      </c>
      <c r="X157" s="1258" t="e">
        <f t="shared" ca="1" si="21"/>
        <v>#N/A</v>
      </c>
      <c r="Y157" s="1240"/>
      <c r="Z157" s="1240"/>
      <c r="AA157" s="1240"/>
      <c r="AB157" s="1240"/>
      <c r="AC157" s="1254" t="e">
        <f t="shared" si="17"/>
        <v>#NUM!</v>
      </c>
      <c r="AD157" s="1240"/>
      <c r="AE157" s="1240"/>
      <c r="AF157" s="1240"/>
      <c r="AG157" s="1240"/>
      <c r="AH157" s="1240"/>
      <c r="AI157" s="1240"/>
      <c r="AJ157" s="1240"/>
      <c r="AK157" s="1240"/>
      <c r="AL157" s="1240"/>
      <c r="AM157" s="1240"/>
      <c r="AN157" s="1240"/>
      <c r="AO157" s="1240"/>
      <c r="AP157" s="1240"/>
    </row>
    <row r="158" spans="1:42" ht="18.75" customHeight="1" x14ac:dyDescent="0.35">
      <c r="A158" s="1240"/>
      <c r="B158" s="1240"/>
      <c r="C158" s="1240"/>
      <c r="D158" s="1240"/>
      <c r="E158" s="1240"/>
      <c r="F158" s="1240"/>
      <c r="G158" s="1240"/>
      <c r="H158" s="1240"/>
      <c r="I158" s="1240"/>
      <c r="J158" s="1240"/>
      <c r="K158" s="1240"/>
      <c r="L158" s="1240"/>
      <c r="M158" s="1240"/>
      <c r="N158" s="1240"/>
      <c r="O158" s="1240"/>
      <c r="P158" s="1247">
        <f t="shared" si="23"/>
        <v>132</v>
      </c>
      <c r="Q158" s="1253" t="e">
        <f t="shared" ca="1" si="22"/>
        <v>#N/A</v>
      </c>
      <c r="R158" s="1247" t="str">
        <f>IFERROR(VLOOKUP(P158,RPCRepaymentDates[],1,FALSE),"")</f>
        <v/>
      </c>
      <c r="S158" s="1259">
        <f t="shared" si="18"/>
        <v>0</v>
      </c>
      <c r="T158" s="1247" t="str">
        <f>IFERROR(VLOOKUP(P158,RPCChargeCycleDates[],1,FALSE),"")</f>
        <v/>
      </c>
      <c r="U158" s="1248" t="str">
        <f>IFERROR(_xlfn.DAYS(T158,$Q$16)-SUM(U$26:U157),"")</f>
        <v/>
      </c>
      <c r="V158" s="1258">
        <f t="shared" ca="1" si="19"/>
        <v>0</v>
      </c>
      <c r="W158" s="1258">
        <f t="shared" ca="1" si="20"/>
        <v>0</v>
      </c>
      <c r="X158" s="1258" t="e">
        <f t="shared" ca="1" si="21"/>
        <v>#N/A</v>
      </c>
      <c r="Y158" s="1240"/>
      <c r="Z158" s="1240"/>
      <c r="AA158" s="1240"/>
      <c r="AB158" s="1240"/>
      <c r="AC158" s="1254" t="e">
        <f t="shared" si="17"/>
        <v>#NUM!</v>
      </c>
      <c r="AD158" s="1240"/>
      <c r="AE158" s="1240"/>
      <c r="AF158" s="1240"/>
      <c r="AG158" s="1240"/>
      <c r="AH158" s="1240"/>
      <c r="AI158" s="1240"/>
      <c r="AJ158" s="1240"/>
      <c r="AK158" s="1240"/>
      <c r="AL158" s="1240"/>
      <c r="AM158" s="1240"/>
      <c r="AN158" s="1240"/>
      <c r="AO158" s="1240"/>
      <c r="AP158" s="1240"/>
    </row>
    <row r="159" spans="1:42" ht="18.75" customHeight="1" x14ac:dyDescent="0.35">
      <c r="A159" s="1240"/>
      <c r="B159" s="1240"/>
      <c r="C159" s="1240"/>
      <c r="D159" s="1240"/>
      <c r="E159" s="1240"/>
      <c r="F159" s="1240"/>
      <c r="G159" s="1240"/>
      <c r="H159" s="1240"/>
      <c r="I159" s="1240"/>
      <c r="J159" s="1240"/>
      <c r="K159" s="1240"/>
      <c r="L159" s="1240"/>
      <c r="M159" s="1240"/>
      <c r="N159" s="1240"/>
      <c r="O159" s="1240"/>
      <c r="P159" s="1247">
        <f t="shared" si="23"/>
        <v>133</v>
      </c>
      <c r="Q159" s="1253" t="e">
        <f t="shared" ca="1" si="22"/>
        <v>#N/A</v>
      </c>
      <c r="R159" s="1247" t="str">
        <f>IFERROR(VLOOKUP(P159,RPCRepaymentDates[],1,FALSE),"")</f>
        <v/>
      </c>
      <c r="S159" s="1259">
        <f t="shared" si="18"/>
        <v>0</v>
      </c>
      <c r="T159" s="1247" t="str">
        <f>IFERROR(VLOOKUP(P159,RPCChargeCycleDates[],1,FALSE),"")</f>
        <v/>
      </c>
      <c r="U159" s="1248" t="str">
        <f>IFERROR(_xlfn.DAYS(T159,$Q$16)-SUM(U$26:U158),"")</f>
        <v/>
      </c>
      <c r="V159" s="1258">
        <f t="shared" ca="1" si="19"/>
        <v>0</v>
      </c>
      <c r="W159" s="1258">
        <f t="shared" ca="1" si="20"/>
        <v>0</v>
      </c>
      <c r="X159" s="1258" t="e">
        <f t="shared" ca="1" si="21"/>
        <v>#N/A</v>
      </c>
      <c r="Y159" s="1240"/>
      <c r="Z159" s="1240"/>
      <c r="AA159" s="1240"/>
      <c r="AB159" s="1240"/>
      <c r="AC159" s="1254" t="e">
        <f t="shared" si="17"/>
        <v>#NUM!</v>
      </c>
      <c r="AD159" s="1240"/>
      <c r="AE159" s="1240"/>
      <c r="AF159" s="1240"/>
      <c r="AG159" s="1240"/>
      <c r="AH159" s="1240"/>
      <c r="AI159" s="1240"/>
      <c r="AJ159" s="1240"/>
      <c r="AK159" s="1240"/>
      <c r="AL159" s="1240"/>
      <c r="AM159" s="1240"/>
      <c r="AN159" s="1240"/>
      <c r="AO159" s="1240"/>
      <c r="AP159" s="1240"/>
    </row>
    <row r="160" spans="1:42" ht="18.75" customHeight="1" x14ac:dyDescent="0.35">
      <c r="A160" s="1240"/>
      <c r="B160" s="1240"/>
      <c r="C160" s="1240"/>
      <c r="D160" s="1240"/>
      <c r="E160" s="1240"/>
      <c r="F160" s="1240"/>
      <c r="G160" s="1240"/>
      <c r="H160" s="1240"/>
      <c r="I160" s="1240"/>
      <c r="J160" s="1240"/>
      <c r="K160" s="1240"/>
      <c r="L160" s="1240"/>
      <c r="M160" s="1240"/>
      <c r="N160" s="1240"/>
      <c r="O160" s="1240"/>
      <c r="P160" s="1247">
        <f t="shared" si="23"/>
        <v>134</v>
      </c>
      <c r="Q160" s="1253" t="e">
        <f t="shared" ca="1" si="22"/>
        <v>#N/A</v>
      </c>
      <c r="R160" s="1247" t="str">
        <f>IFERROR(VLOOKUP(P160,RPCRepaymentDates[],1,FALSE),"")</f>
        <v/>
      </c>
      <c r="S160" s="1259">
        <f t="shared" si="18"/>
        <v>0</v>
      </c>
      <c r="T160" s="1247" t="str">
        <f>IFERROR(VLOOKUP(P160,RPCChargeCycleDates[],1,FALSE),"")</f>
        <v/>
      </c>
      <c r="U160" s="1248" t="str">
        <f>IFERROR(_xlfn.DAYS(T160,$Q$16)-SUM(U$26:U159),"")</f>
        <v/>
      </c>
      <c r="V160" s="1258">
        <f t="shared" ca="1" si="19"/>
        <v>0</v>
      </c>
      <c r="W160" s="1258">
        <f t="shared" ca="1" si="20"/>
        <v>0</v>
      </c>
      <c r="X160" s="1258" t="e">
        <f t="shared" ca="1" si="21"/>
        <v>#N/A</v>
      </c>
      <c r="Y160" s="1240"/>
      <c r="Z160" s="1240"/>
      <c r="AA160" s="1240"/>
      <c r="AB160" s="1240"/>
      <c r="AC160" s="1254" t="e">
        <f t="shared" si="17"/>
        <v>#NUM!</v>
      </c>
      <c r="AD160" s="1240"/>
      <c r="AE160" s="1240"/>
      <c r="AF160" s="1240"/>
      <c r="AG160" s="1240"/>
      <c r="AH160" s="1240"/>
      <c r="AI160" s="1240"/>
      <c r="AJ160" s="1240"/>
      <c r="AK160" s="1240"/>
      <c r="AL160" s="1240"/>
      <c r="AM160" s="1240"/>
      <c r="AN160" s="1240"/>
      <c r="AO160" s="1240"/>
      <c r="AP160" s="1240"/>
    </row>
    <row r="161" spans="1:42" ht="18.75" customHeight="1" x14ac:dyDescent="0.35">
      <c r="A161" s="1240"/>
      <c r="B161" s="1240"/>
      <c r="C161" s="1240"/>
      <c r="D161" s="1240"/>
      <c r="E161" s="1240"/>
      <c r="F161" s="1240"/>
      <c r="G161" s="1240"/>
      <c r="H161" s="1240"/>
      <c r="I161" s="1240"/>
      <c r="J161" s="1240"/>
      <c r="K161" s="1240"/>
      <c r="L161" s="1240"/>
      <c r="M161" s="1240"/>
      <c r="N161" s="1240"/>
      <c r="O161" s="1240"/>
      <c r="P161" s="1247">
        <f t="shared" si="23"/>
        <v>135</v>
      </c>
      <c r="Q161" s="1253" t="e">
        <f t="shared" ca="1" si="22"/>
        <v>#N/A</v>
      </c>
      <c r="R161" s="1247" t="str">
        <f>IFERROR(VLOOKUP(P161,RPCRepaymentDates[],1,FALSE),"")</f>
        <v/>
      </c>
      <c r="S161" s="1259">
        <f t="shared" si="18"/>
        <v>0</v>
      </c>
      <c r="T161" s="1247" t="str">
        <f>IFERROR(VLOOKUP(P161,RPCChargeCycleDates[],1,FALSE),"")</f>
        <v/>
      </c>
      <c r="U161" s="1248" t="str">
        <f>IFERROR(_xlfn.DAYS(T161,$Q$16)-SUM(U$26:U160),"")</f>
        <v/>
      </c>
      <c r="V161" s="1258">
        <f t="shared" ca="1" si="19"/>
        <v>0</v>
      </c>
      <c r="W161" s="1258">
        <f t="shared" ca="1" si="20"/>
        <v>0</v>
      </c>
      <c r="X161" s="1258" t="e">
        <f t="shared" ca="1" si="21"/>
        <v>#N/A</v>
      </c>
      <c r="Y161" s="1240"/>
      <c r="Z161" s="1240"/>
      <c r="AA161" s="1240"/>
      <c r="AB161" s="1240"/>
      <c r="AC161" s="1254" t="e">
        <f t="shared" si="17"/>
        <v>#NUM!</v>
      </c>
      <c r="AD161" s="1240"/>
      <c r="AE161" s="1240"/>
      <c r="AF161" s="1240"/>
      <c r="AG161" s="1240"/>
      <c r="AH161" s="1240"/>
      <c r="AI161" s="1240"/>
      <c r="AJ161" s="1240"/>
      <c r="AK161" s="1240"/>
      <c r="AL161" s="1240"/>
      <c r="AM161" s="1240"/>
      <c r="AN161" s="1240"/>
      <c r="AO161" s="1240"/>
      <c r="AP161" s="1240"/>
    </row>
    <row r="162" spans="1:42" ht="18.75" customHeight="1" x14ac:dyDescent="0.35">
      <c r="A162" s="1240"/>
      <c r="B162" s="1240"/>
      <c r="C162" s="1240"/>
      <c r="D162" s="1240"/>
      <c r="E162" s="1240"/>
      <c r="F162" s="1240"/>
      <c r="G162" s="1240"/>
      <c r="H162" s="1240"/>
      <c r="I162" s="1240"/>
      <c r="J162" s="1240"/>
      <c r="K162" s="1240"/>
      <c r="L162" s="1240"/>
      <c r="M162" s="1240"/>
      <c r="N162" s="1240"/>
      <c r="O162" s="1240"/>
      <c r="P162" s="1247">
        <f t="shared" si="23"/>
        <v>136</v>
      </c>
      <c r="Q162" s="1253" t="e">
        <f t="shared" ca="1" si="22"/>
        <v>#N/A</v>
      </c>
      <c r="R162" s="1247" t="str">
        <f>IFERROR(VLOOKUP(P162,RPCRepaymentDates[],1,FALSE),"")</f>
        <v/>
      </c>
      <c r="S162" s="1259">
        <f t="shared" si="18"/>
        <v>0</v>
      </c>
      <c r="T162" s="1247" t="str">
        <f>IFERROR(VLOOKUP(P162,RPCChargeCycleDates[],1,FALSE),"")</f>
        <v/>
      </c>
      <c r="U162" s="1248" t="str">
        <f>IFERROR(_xlfn.DAYS(T162,$Q$16)-SUM(U$26:U161),"")</f>
        <v/>
      </c>
      <c r="V162" s="1258">
        <f t="shared" ca="1" si="19"/>
        <v>0</v>
      </c>
      <c r="W162" s="1258">
        <f t="shared" ca="1" si="20"/>
        <v>0</v>
      </c>
      <c r="X162" s="1258" t="e">
        <f t="shared" ca="1" si="21"/>
        <v>#N/A</v>
      </c>
      <c r="Y162" s="1240"/>
      <c r="Z162" s="1240"/>
      <c r="AA162" s="1240"/>
      <c r="AB162" s="1240"/>
      <c r="AC162" s="1254" t="e">
        <f t="shared" si="17"/>
        <v>#NUM!</v>
      </c>
      <c r="AD162" s="1240"/>
      <c r="AE162" s="1240"/>
      <c r="AF162" s="1240"/>
      <c r="AG162" s="1240"/>
      <c r="AH162" s="1240"/>
      <c r="AI162" s="1240"/>
      <c r="AJ162" s="1240"/>
      <c r="AK162" s="1240"/>
      <c r="AL162" s="1240"/>
      <c r="AM162" s="1240"/>
      <c r="AN162" s="1240"/>
      <c r="AO162" s="1240"/>
      <c r="AP162" s="1240"/>
    </row>
    <row r="163" spans="1:42" ht="18.75" customHeight="1" x14ac:dyDescent="0.35">
      <c r="A163" s="1240"/>
      <c r="B163" s="1240"/>
      <c r="C163" s="1240"/>
      <c r="D163" s="1240"/>
      <c r="E163" s="1240"/>
      <c r="F163" s="1240"/>
      <c r="G163" s="1240"/>
      <c r="H163" s="1240"/>
      <c r="I163" s="1240"/>
      <c r="J163" s="1240"/>
      <c r="K163" s="1240"/>
      <c r="L163" s="1240"/>
      <c r="M163" s="1240"/>
      <c r="N163" s="1240"/>
      <c r="O163" s="1240"/>
      <c r="P163" s="1247">
        <f t="shared" si="23"/>
        <v>137</v>
      </c>
      <c r="Q163" s="1253" t="e">
        <f t="shared" ca="1" si="22"/>
        <v>#N/A</v>
      </c>
      <c r="R163" s="1247" t="str">
        <f>IFERROR(VLOOKUP(P163,RPCRepaymentDates[],1,FALSE),"")</f>
        <v/>
      </c>
      <c r="S163" s="1259">
        <f t="shared" si="18"/>
        <v>0</v>
      </c>
      <c r="T163" s="1247" t="str">
        <f>IFERROR(VLOOKUP(P163,RPCChargeCycleDates[],1,FALSE),"")</f>
        <v/>
      </c>
      <c r="U163" s="1248" t="str">
        <f>IFERROR(_xlfn.DAYS(T163,$Q$16)-SUM(U$26:U162),"")</f>
        <v/>
      </c>
      <c r="V163" s="1258">
        <f t="shared" ca="1" si="19"/>
        <v>0</v>
      </c>
      <c r="W163" s="1258">
        <f t="shared" ca="1" si="20"/>
        <v>0</v>
      </c>
      <c r="X163" s="1258" t="e">
        <f t="shared" ca="1" si="21"/>
        <v>#N/A</v>
      </c>
      <c r="Y163" s="1240"/>
      <c r="Z163" s="1240"/>
      <c r="AA163" s="1240"/>
      <c r="AB163" s="1240"/>
      <c r="AC163" s="1254" t="e">
        <f t="shared" si="17"/>
        <v>#NUM!</v>
      </c>
      <c r="AD163" s="1240"/>
      <c r="AE163" s="1240"/>
      <c r="AF163" s="1240"/>
      <c r="AG163" s="1240"/>
      <c r="AH163" s="1240"/>
      <c r="AI163" s="1240"/>
      <c r="AJ163" s="1240"/>
      <c r="AK163" s="1240"/>
      <c r="AL163" s="1240"/>
      <c r="AM163" s="1240"/>
      <c r="AN163" s="1240"/>
      <c r="AO163" s="1240"/>
      <c r="AP163" s="1240"/>
    </row>
    <row r="164" spans="1:42" ht="18.75" customHeight="1" x14ac:dyDescent="0.35">
      <c r="A164" s="1240"/>
      <c r="B164" s="1240"/>
      <c r="C164" s="1240"/>
      <c r="D164" s="1240"/>
      <c r="E164" s="1240"/>
      <c r="F164" s="1240"/>
      <c r="G164" s="1240"/>
      <c r="H164" s="1240"/>
      <c r="I164" s="1240"/>
      <c r="J164" s="1240"/>
      <c r="K164" s="1240"/>
      <c r="L164" s="1240"/>
      <c r="M164" s="1240"/>
      <c r="N164" s="1240"/>
      <c r="O164" s="1240"/>
      <c r="P164" s="1247">
        <f t="shared" si="23"/>
        <v>138</v>
      </c>
      <c r="Q164" s="1253" t="e">
        <f t="shared" ca="1" si="22"/>
        <v>#N/A</v>
      </c>
      <c r="R164" s="1247" t="str">
        <f>IFERROR(VLOOKUP(P164,RPCRepaymentDates[],1,FALSE),"")</f>
        <v/>
      </c>
      <c r="S164" s="1259">
        <f t="shared" si="18"/>
        <v>0</v>
      </c>
      <c r="T164" s="1247" t="str">
        <f>IFERROR(VLOOKUP(P164,RPCChargeCycleDates[],1,FALSE),"")</f>
        <v/>
      </c>
      <c r="U164" s="1248" t="str">
        <f>IFERROR(_xlfn.DAYS(T164,$Q$16)-SUM(U$26:U163),"")</f>
        <v/>
      </c>
      <c r="V164" s="1258">
        <f t="shared" ca="1" si="19"/>
        <v>0</v>
      </c>
      <c r="W164" s="1258">
        <f t="shared" ca="1" si="20"/>
        <v>0</v>
      </c>
      <c r="X164" s="1258" t="e">
        <f t="shared" ca="1" si="21"/>
        <v>#N/A</v>
      </c>
      <c r="Y164" s="1240"/>
      <c r="Z164" s="1240"/>
      <c r="AA164" s="1240"/>
      <c r="AB164" s="1240"/>
      <c r="AC164" s="1254" t="e">
        <f t="shared" si="17"/>
        <v>#NUM!</v>
      </c>
      <c r="AD164" s="1240"/>
      <c r="AE164" s="1240"/>
      <c r="AF164" s="1240"/>
      <c r="AG164" s="1240"/>
      <c r="AH164" s="1240"/>
      <c r="AI164" s="1240"/>
      <c r="AJ164" s="1240"/>
      <c r="AK164" s="1240"/>
      <c r="AL164" s="1240"/>
      <c r="AM164" s="1240"/>
      <c r="AN164" s="1240"/>
      <c r="AO164" s="1240"/>
      <c r="AP164" s="1240"/>
    </row>
    <row r="165" spans="1:42" ht="18.75" customHeight="1" x14ac:dyDescent="0.35">
      <c r="A165" s="1240"/>
      <c r="B165" s="1240"/>
      <c r="C165" s="1240"/>
      <c r="D165" s="1240"/>
      <c r="E165" s="1240"/>
      <c r="F165" s="1240"/>
      <c r="G165" s="1240"/>
      <c r="H165" s="1240"/>
      <c r="I165" s="1240"/>
      <c r="J165" s="1240"/>
      <c r="K165" s="1240"/>
      <c r="L165" s="1240"/>
      <c r="M165" s="1240"/>
      <c r="N165" s="1240"/>
      <c r="O165" s="1240"/>
      <c r="P165" s="1247">
        <f t="shared" si="23"/>
        <v>139</v>
      </c>
      <c r="Q165" s="1253" t="e">
        <f t="shared" ca="1" si="22"/>
        <v>#N/A</v>
      </c>
      <c r="R165" s="1247" t="str">
        <f>IFERROR(VLOOKUP(P165,RPCRepaymentDates[],1,FALSE),"")</f>
        <v/>
      </c>
      <c r="S165" s="1259">
        <f t="shared" si="18"/>
        <v>0</v>
      </c>
      <c r="T165" s="1247" t="str">
        <f>IFERROR(VLOOKUP(P165,RPCChargeCycleDates[],1,FALSE),"")</f>
        <v/>
      </c>
      <c r="U165" s="1248" t="str">
        <f>IFERROR(_xlfn.DAYS(T165,$Q$16)-SUM(U$26:U164),"")</f>
        <v/>
      </c>
      <c r="V165" s="1258">
        <f t="shared" ca="1" si="19"/>
        <v>0</v>
      </c>
      <c r="W165" s="1258">
        <f t="shared" ca="1" si="20"/>
        <v>0</v>
      </c>
      <c r="X165" s="1258" t="e">
        <f t="shared" ca="1" si="21"/>
        <v>#N/A</v>
      </c>
      <c r="Y165" s="1240"/>
      <c r="Z165" s="1240"/>
      <c r="AA165" s="1240"/>
      <c r="AB165" s="1240"/>
      <c r="AC165" s="1254" t="e">
        <f t="shared" si="17"/>
        <v>#NUM!</v>
      </c>
      <c r="AD165" s="1240"/>
      <c r="AE165" s="1240"/>
      <c r="AF165" s="1240"/>
      <c r="AG165" s="1240"/>
      <c r="AH165" s="1240"/>
      <c r="AI165" s="1240"/>
      <c r="AJ165" s="1240"/>
      <c r="AK165" s="1240"/>
      <c r="AL165" s="1240"/>
      <c r="AM165" s="1240"/>
      <c r="AN165" s="1240"/>
      <c r="AO165" s="1240"/>
      <c r="AP165" s="1240"/>
    </row>
    <row r="166" spans="1:42" ht="18.75" customHeight="1" x14ac:dyDescent="0.35">
      <c r="A166" s="1240"/>
      <c r="B166" s="1240"/>
      <c r="C166" s="1240"/>
      <c r="D166" s="1240"/>
      <c r="E166" s="1240"/>
      <c r="F166" s="1240"/>
      <c r="G166" s="1240"/>
      <c r="H166" s="1240"/>
      <c r="I166" s="1240"/>
      <c r="J166" s="1240"/>
      <c r="K166" s="1240"/>
      <c r="L166" s="1240"/>
      <c r="M166" s="1240"/>
      <c r="N166" s="1240"/>
      <c r="O166" s="1240"/>
      <c r="P166" s="1247">
        <f t="shared" si="23"/>
        <v>140</v>
      </c>
      <c r="Q166" s="1253" t="e">
        <f t="shared" ca="1" si="22"/>
        <v>#N/A</v>
      </c>
      <c r="R166" s="1247" t="str">
        <f>IFERROR(VLOOKUP(P166,RPCRepaymentDates[],1,FALSE),"")</f>
        <v/>
      </c>
      <c r="S166" s="1259">
        <f t="shared" si="18"/>
        <v>0</v>
      </c>
      <c r="T166" s="1247" t="str">
        <f>IFERROR(VLOOKUP(P166,RPCChargeCycleDates[],1,FALSE),"")</f>
        <v/>
      </c>
      <c r="U166" s="1248" t="str">
        <f>IFERROR(_xlfn.DAYS(T166,$Q$16)-SUM(U$26:U165),"")</f>
        <v/>
      </c>
      <c r="V166" s="1258">
        <f t="shared" ca="1" si="19"/>
        <v>0</v>
      </c>
      <c r="W166" s="1258">
        <f t="shared" ca="1" si="20"/>
        <v>0</v>
      </c>
      <c r="X166" s="1258" t="e">
        <f t="shared" ca="1" si="21"/>
        <v>#N/A</v>
      </c>
      <c r="Y166" s="1240"/>
      <c r="Z166" s="1240"/>
      <c r="AA166" s="1240"/>
      <c r="AB166" s="1240"/>
      <c r="AC166" s="1254" t="e">
        <f t="shared" si="17"/>
        <v>#NUM!</v>
      </c>
      <c r="AD166" s="1240"/>
      <c r="AE166" s="1240"/>
      <c r="AF166" s="1240"/>
      <c r="AG166" s="1240"/>
      <c r="AH166" s="1240"/>
      <c r="AI166" s="1240"/>
      <c r="AJ166" s="1240"/>
      <c r="AK166" s="1240"/>
      <c r="AL166" s="1240"/>
      <c r="AM166" s="1240"/>
      <c r="AN166" s="1240"/>
      <c r="AO166" s="1240"/>
      <c r="AP166" s="1240"/>
    </row>
    <row r="167" spans="1:42" ht="18.75" customHeight="1" x14ac:dyDescent="0.35">
      <c r="A167" s="1240"/>
      <c r="B167" s="1240"/>
      <c r="C167" s="1240"/>
      <c r="D167" s="1240"/>
      <c r="E167" s="1240"/>
      <c r="F167" s="1240"/>
      <c r="G167" s="1240"/>
      <c r="H167" s="1240"/>
      <c r="I167" s="1240"/>
      <c r="J167" s="1240"/>
      <c r="K167" s="1240"/>
      <c r="L167" s="1240"/>
      <c r="M167" s="1240"/>
      <c r="N167" s="1240"/>
      <c r="O167" s="1240"/>
      <c r="P167" s="1247">
        <f t="shared" si="23"/>
        <v>141</v>
      </c>
      <c r="Q167" s="1253" t="e">
        <f t="shared" ca="1" si="22"/>
        <v>#N/A</v>
      </c>
      <c r="R167" s="1247" t="str">
        <f>IFERROR(VLOOKUP(P167,RPCRepaymentDates[],1,FALSE),"")</f>
        <v/>
      </c>
      <c r="S167" s="1259">
        <f t="shared" si="18"/>
        <v>0</v>
      </c>
      <c r="T167" s="1247" t="str">
        <f>IFERROR(VLOOKUP(P167,RPCChargeCycleDates[],1,FALSE),"")</f>
        <v/>
      </c>
      <c r="U167" s="1248" t="str">
        <f>IFERROR(_xlfn.DAYS(T167,$Q$16)-SUM(U$26:U166),"")</f>
        <v/>
      </c>
      <c r="V167" s="1258">
        <f t="shared" ca="1" si="19"/>
        <v>0</v>
      </c>
      <c r="W167" s="1258">
        <f t="shared" ca="1" si="20"/>
        <v>0</v>
      </c>
      <c r="X167" s="1258" t="e">
        <f t="shared" ca="1" si="21"/>
        <v>#N/A</v>
      </c>
      <c r="Y167" s="1240"/>
      <c r="Z167" s="1240"/>
      <c r="AA167" s="1240"/>
      <c r="AB167" s="1240"/>
      <c r="AC167" s="1254" t="e">
        <f t="shared" si="17"/>
        <v>#NUM!</v>
      </c>
      <c r="AD167" s="1240"/>
      <c r="AE167" s="1240"/>
      <c r="AF167" s="1240"/>
      <c r="AG167" s="1240"/>
      <c r="AH167" s="1240"/>
      <c r="AI167" s="1240"/>
      <c r="AJ167" s="1240"/>
      <c r="AK167" s="1240"/>
      <c r="AL167" s="1240"/>
      <c r="AM167" s="1240"/>
      <c r="AN167" s="1240"/>
      <c r="AO167" s="1240"/>
      <c r="AP167" s="1240"/>
    </row>
    <row r="168" spans="1:42" ht="18.75" customHeight="1" x14ac:dyDescent="0.35">
      <c r="A168" s="1240"/>
      <c r="B168" s="1240"/>
      <c r="C168" s="1240"/>
      <c r="D168" s="1240"/>
      <c r="E168" s="1240"/>
      <c r="F168" s="1240"/>
      <c r="G168" s="1240"/>
      <c r="H168" s="1240"/>
      <c r="I168" s="1240"/>
      <c r="J168" s="1240"/>
      <c r="K168" s="1240"/>
      <c r="L168" s="1240"/>
      <c r="M168" s="1240"/>
      <c r="N168" s="1240"/>
      <c r="O168" s="1240"/>
      <c r="P168" s="1247">
        <f t="shared" si="23"/>
        <v>142</v>
      </c>
      <c r="Q168" s="1253" t="e">
        <f t="shared" ca="1" si="22"/>
        <v>#N/A</v>
      </c>
      <c r="R168" s="1247" t="str">
        <f>IFERROR(VLOOKUP(P168,RPCRepaymentDates[],1,FALSE),"")</f>
        <v/>
      </c>
      <c r="S168" s="1259">
        <f t="shared" si="18"/>
        <v>0</v>
      </c>
      <c r="T168" s="1247" t="str">
        <f>IFERROR(VLOOKUP(P168,RPCChargeCycleDates[],1,FALSE),"")</f>
        <v/>
      </c>
      <c r="U168" s="1248" t="str">
        <f>IFERROR(_xlfn.DAYS(T168,$Q$16)-SUM(U$26:U167),"")</f>
        <v/>
      </c>
      <c r="V168" s="1258">
        <f t="shared" ca="1" si="19"/>
        <v>0</v>
      </c>
      <c r="W168" s="1258">
        <f t="shared" ca="1" si="20"/>
        <v>0</v>
      </c>
      <c r="X168" s="1258" t="e">
        <f t="shared" ca="1" si="21"/>
        <v>#N/A</v>
      </c>
      <c r="Y168" s="1240"/>
      <c r="Z168" s="1240"/>
      <c r="AA168" s="1240"/>
      <c r="AB168" s="1240"/>
      <c r="AC168" s="1254" t="e">
        <f t="shared" si="17"/>
        <v>#NUM!</v>
      </c>
      <c r="AD168" s="1240"/>
      <c r="AE168" s="1240"/>
      <c r="AF168" s="1240"/>
      <c r="AG168" s="1240"/>
      <c r="AH168" s="1240"/>
      <c r="AI168" s="1240"/>
      <c r="AJ168" s="1240"/>
      <c r="AK168" s="1240"/>
      <c r="AL168" s="1240"/>
      <c r="AM168" s="1240"/>
      <c r="AN168" s="1240"/>
      <c r="AO168" s="1240"/>
      <c r="AP168" s="1240"/>
    </row>
    <row r="169" spans="1:42" ht="18.75" customHeight="1" x14ac:dyDescent="0.35">
      <c r="A169" s="1240"/>
      <c r="B169" s="1240"/>
      <c r="C169" s="1240"/>
      <c r="D169" s="1240"/>
      <c r="E169" s="1240"/>
      <c r="F169" s="1240"/>
      <c r="G169" s="1240"/>
      <c r="H169" s="1240"/>
      <c r="I169" s="1240"/>
      <c r="J169" s="1240"/>
      <c r="K169" s="1240"/>
      <c r="L169" s="1240"/>
      <c r="M169" s="1240"/>
      <c r="N169" s="1240"/>
      <c r="O169" s="1240"/>
      <c r="P169" s="1247">
        <f t="shared" si="23"/>
        <v>143</v>
      </c>
      <c r="Q169" s="1253" t="e">
        <f t="shared" ca="1" si="22"/>
        <v>#N/A</v>
      </c>
      <c r="R169" s="1247" t="str">
        <f>IFERROR(VLOOKUP(P169,RPCRepaymentDates[],1,FALSE),"")</f>
        <v/>
      </c>
      <c r="S169" s="1259">
        <f t="shared" si="18"/>
        <v>0</v>
      </c>
      <c r="T169" s="1247" t="str">
        <f>IFERROR(VLOOKUP(P169,RPCChargeCycleDates[],1,FALSE),"")</f>
        <v/>
      </c>
      <c r="U169" s="1248" t="str">
        <f>IFERROR(_xlfn.DAYS(T169,$Q$16)-SUM(U$26:U168),"")</f>
        <v/>
      </c>
      <c r="V169" s="1258">
        <f t="shared" ca="1" si="19"/>
        <v>0</v>
      </c>
      <c r="W169" s="1258">
        <f t="shared" ca="1" si="20"/>
        <v>0</v>
      </c>
      <c r="X169" s="1258" t="e">
        <f t="shared" ca="1" si="21"/>
        <v>#N/A</v>
      </c>
      <c r="Y169" s="1240"/>
      <c r="Z169" s="1240"/>
      <c r="AA169" s="1240"/>
      <c r="AB169" s="1240"/>
      <c r="AC169" s="1254" t="e">
        <f t="shared" si="17"/>
        <v>#NUM!</v>
      </c>
      <c r="AD169" s="1240"/>
      <c r="AE169" s="1240"/>
      <c r="AF169" s="1240"/>
      <c r="AG169" s="1240"/>
      <c r="AH169" s="1240"/>
      <c r="AI169" s="1240"/>
      <c r="AJ169" s="1240"/>
      <c r="AK169" s="1240"/>
      <c r="AL169" s="1240"/>
      <c r="AM169" s="1240"/>
      <c r="AN169" s="1240"/>
      <c r="AO169" s="1240"/>
      <c r="AP169" s="1240"/>
    </row>
    <row r="170" spans="1:42" ht="18.75" customHeight="1" x14ac:dyDescent="0.35">
      <c r="A170" s="1240"/>
      <c r="B170" s="1240"/>
      <c r="C170" s="1240"/>
      <c r="D170" s="1240"/>
      <c r="E170" s="1240"/>
      <c r="F170" s="1240"/>
      <c r="G170" s="1240"/>
      <c r="H170" s="1240"/>
      <c r="I170" s="1240"/>
      <c r="J170" s="1240"/>
      <c r="K170" s="1240"/>
      <c r="L170" s="1240"/>
      <c r="M170" s="1240"/>
      <c r="N170" s="1240"/>
      <c r="O170" s="1240"/>
      <c r="P170" s="1247">
        <f t="shared" si="23"/>
        <v>144</v>
      </c>
      <c r="Q170" s="1253" t="e">
        <f t="shared" ca="1" si="22"/>
        <v>#N/A</v>
      </c>
      <c r="R170" s="1247" t="str">
        <f>IFERROR(VLOOKUP(P170,RPCRepaymentDates[],1,FALSE),"")</f>
        <v/>
      </c>
      <c r="S170" s="1259">
        <f t="shared" si="18"/>
        <v>0</v>
      </c>
      <c r="T170" s="1247" t="str">
        <f>IFERROR(VLOOKUP(P170,RPCChargeCycleDates[],1,FALSE),"")</f>
        <v/>
      </c>
      <c r="U170" s="1248" t="str">
        <f>IFERROR(_xlfn.DAYS(T170,$Q$16)-SUM(U$26:U169),"")</f>
        <v/>
      </c>
      <c r="V170" s="1258">
        <f t="shared" ca="1" si="19"/>
        <v>0</v>
      </c>
      <c r="W170" s="1258">
        <f t="shared" ca="1" si="20"/>
        <v>0</v>
      </c>
      <c r="X170" s="1258" t="e">
        <f t="shared" ca="1" si="21"/>
        <v>#N/A</v>
      </c>
      <c r="Y170" s="1240"/>
      <c r="Z170" s="1240"/>
      <c r="AA170" s="1240"/>
      <c r="AB170" s="1240"/>
      <c r="AC170" s="1254" t="e">
        <f t="shared" si="17"/>
        <v>#NUM!</v>
      </c>
      <c r="AD170" s="1240"/>
      <c r="AE170" s="1240"/>
      <c r="AF170" s="1240"/>
      <c r="AG170" s="1240"/>
      <c r="AH170" s="1240"/>
      <c r="AI170" s="1240"/>
      <c r="AJ170" s="1240"/>
      <c r="AK170" s="1240"/>
      <c r="AL170" s="1240"/>
      <c r="AM170" s="1240"/>
      <c r="AN170" s="1240"/>
      <c r="AO170" s="1240"/>
      <c r="AP170" s="1240"/>
    </row>
    <row r="171" spans="1:42" ht="18.75" customHeight="1" x14ac:dyDescent="0.35">
      <c r="A171" s="1240"/>
      <c r="B171" s="1240"/>
      <c r="C171" s="1240"/>
      <c r="D171" s="1240"/>
      <c r="E171" s="1240"/>
      <c r="F171" s="1240"/>
      <c r="G171" s="1240"/>
      <c r="H171" s="1240"/>
      <c r="I171" s="1240"/>
      <c r="J171" s="1240"/>
      <c r="K171" s="1240"/>
      <c r="L171" s="1240"/>
      <c r="M171" s="1240"/>
      <c r="N171" s="1240"/>
      <c r="O171" s="1240"/>
      <c r="P171" s="1247">
        <f t="shared" si="23"/>
        <v>145</v>
      </c>
      <c r="Q171" s="1253" t="e">
        <f t="shared" ca="1" si="22"/>
        <v>#N/A</v>
      </c>
      <c r="R171" s="1247" t="str">
        <f>IFERROR(VLOOKUP(P171,RPCRepaymentDates[],1,FALSE),"")</f>
        <v/>
      </c>
      <c r="S171" s="1259">
        <f t="shared" si="18"/>
        <v>0</v>
      </c>
      <c r="T171" s="1247" t="str">
        <f>IFERROR(VLOOKUP(P171,RPCChargeCycleDates[],1,FALSE),"")</f>
        <v/>
      </c>
      <c r="U171" s="1248" t="str">
        <f>IFERROR(_xlfn.DAYS(T171,$Q$16)-SUM(U$26:U170),"")</f>
        <v/>
      </c>
      <c r="V171" s="1258">
        <f t="shared" ca="1" si="19"/>
        <v>0</v>
      </c>
      <c r="W171" s="1258">
        <f t="shared" ca="1" si="20"/>
        <v>0</v>
      </c>
      <c r="X171" s="1258" t="e">
        <f t="shared" ca="1" si="21"/>
        <v>#N/A</v>
      </c>
      <c r="Y171" s="1240"/>
      <c r="Z171" s="1240"/>
      <c r="AA171" s="1240"/>
      <c r="AB171" s="1240"/>
      <c r="AC171" s="1254" t="e">
        <f t="shared" si="17"/>
        <v>#NUM!</v>
      </c>
      <c r="AD171" s="1240"/>
      <c r="AE171" s="1240"/>
      <c r="AF171" s="1240"/>
      <c r="AG171" s="1240"/>
      <c r="AH171" s="1240"/>
      <c r="AI171" s="1240"/>
      <c r="AJ171" s="1240"/>
      <c r="AK171" s="1240"/>
      <c r="AL171" s="1240"/>
      <c r="AM171" s="1240"/>
      <c r="AN171" s="1240"/>
      <c r="AO171" s="1240"/>
      <c r="AP171" s="1240"/>
    </row>
    <row r="172" spans="1:42" ht="18.75" customHeight="1" x14ac:dyDescent="0.35">
      <c r="A172" s="1240"/>
      <c r="B172" s="1240"/>
      <c r="C172" s="1240"/>
      <c r="D172" s="1240"/>
      <c r="E172" s="1240"/>
      <c r="F172" s="1240"/>
      <c r="G172" s="1240"/>
      <c r="H172" s="1240"/>
      <c r="I172" s="1240"/>
      <c r="J172" s="1240"/>
      <c r="K172" s="1240"/>
      <c r="L172" s="1240"/>
      <c r="M172" s="1240"/>
      <c r="N172" s="1240"/>
      <c r="O172" s="1240"/>
      <c r="P172" s="1247">
        <f t="shared" si="23"/>
        <v>146</v>
      </c>
      <c r="Q172" s="1253" t="e">
        <f t="shared" ca="1" si="22"/>
        <v>#N/A</v>
      </c>
      <c r="R172" s="1247" t="str">
        <f>IFERROR(VLOOKUP(P172,RPCRepaymentDates[],1,FALSE),"")</f>
        <v/>
      </c>
      <c r="S172" s="1259">
        <f t="shared" si="18"/>
        <v>0</v>
      </c>
      <c r="T172" s="1247" t="str">
        <f>IFERROR(VLOOKUP(P172,RPCChargeCycleDates[],1,FALSE),"")</f>
        <v/>
      </c>
      <c r="U172" s="1248" t="str">
        <f>IFERROR(_xlfn.DAYS(T172,$Q$16)-SUM(U$26:U171),"")</f>
        <v/>
      </c>
      <c r="V172" s="1258">
        <f t="shared" ca="1" si="19"/>
        <v>0</v>
      </c>
      <c r="W172" s="1258">
        <f t="shared" ca="1" si="20"/>
        <v>0</v>
      </c>
      <c r="X172" s="1258" t="e">
        <f t="shared" ca="1" si="21"/>
        <v>#N/A</v>
      </c>
      <c r="Y172" s="1240"/>
      <c r="Z172" s="1240"/>
      <c r="AA172" s="1240"/>
      <c r="AB172" s="1240"/>
      <c r="AC172" s="1254" t="e">
        <f t="shared" si="17"/>
        <v>#NUM!</v>
      </c>
      <c r="AD172" s="1240"/>
      <c r="AE172" s="1240"/>
      <c r="AF172" s="1240"/>
      <c r="AG172" s="1240"/>
      <c r="AH172" s="1240"/>
      <c r="AI172" s="1240"/>
      <c r="AJ172" s="1240"/>
      <c r="AK172" s="1240"/>
      <c r="AL172" s="1240"/>
      <c r="AM172" s="1240"/>
      <c r="AN172" s="1240"/>
      <c r="AO172" s="1240"/>
      <c r="AP172" s="1240"/>
    </row>
    <row r="173" spans="1:42" ht="18.75" customHeight="1" x14ac:dyDescent="0.35">
      <c r="A173" s="1240"/>
      <c r="B173" s="1240"/>
      <c r="C173" s="1240"/>
      <c r="D173" s="1240"/>
      <c r="E173" s="1240"/>
      <c r="F173" s="1240"/>
      <c r="G173" s="1240"/>
      <c r="H173" s="1240"/>
      <c r="I173" s="1240"/>
      <c r="J173" s="1240"/>
      <c r="K173" s="1240"/>
      <c r="L173" s="1240"/>
      <c r="M173" s="1240"/>
      <c r="N173" s="1240"/>
      <c r="O173" s="1240"/>
      <c r="P173" s="1247">
        <f t="shared" si="23"/>
        <v>147</v>
      </c>
      <c r="Q173" s="1253" t="e">
        <f t="shared" ca="1" si="22"/>
        <v>#N/A</v>
      </c>
      <c r="R173" s="1247" t="str">
        <f>IFERROR(VLOOKUP(P173,RPCRepaymentDates[],1,FALSE),"")</f>
        <v/>
      </c>
      <c r="S173" s="1259">
        <f t="shared" si="18"/>
        <v>0</v>
      </c>
      <c r="T173" s="1247" t="str">
        <f>IFERROR(VLOOKUP(P173,RPCChargeCycleDates[],1,FALSE),"")</f>
        <v/>
      </c>
      <c r="U173" s="1248" t="str">
        <f>IFERROR(_xlfn.DAYS(T173,$Q$16)-SUM(U$26:U172),"")</f>
        <v/>
      </c>
      <c r="V173" s="1258">
        <f t="shared" ca="1" si="19"/>
        <v>0</v>
      </c>
      <c r="W173" s="1258">
        <f t="shared" ca="1" si="20"/>
        <v>0</v>
      </c>
      <c r="X173" s="1258" t="e">
        <f t="shared" ca="1" si="21"/>
        <v>#N/A</v>
      </c>
      <c r="Y173" s="1240"/>
      <c r="Z173" s="1240"/>
      <c r="AA173" s="1240"/>
      <c r="AB173" s="1240"/>
      <c r="AC173" s="1254" t="e">
        <f t="shared" si="17"/>
        <v>#NUM!</v>
      </c>
      <c r="AD173" s="1240"/>
      <c r="AE173" s="1240"/>
      <c r="AF173" s="1240"/>
      <c r="AG173" s="1240"/>
      <c r="AH173" s="1240"/>
      <c r="AI173" s="1240"/>
      <c r="AJ173" s="1240"/>
      <c r="AK173" s="1240"/>
      <c r="AL173" s="1240"/>
      <c r="AM173" s="1240"/>
      <c r="AN173" s="1240"/>
      <c r="AO173" s="1240"/>
      <c r="AP173" s="1240"/>
    </row>
    <row r="174" spans="1:42" ht="18.75" customHeight="1" x14ac:dyDescent="0.35">
      <c r="A174" s="1240"/>
      <c r="B174" s="1240"/>
      <c r="C174" s="1240"/>
      <c r="D174" s="1240"/>
      <c r="E174" s="1240"/>
      <c r="F174" s="1240"/>
      <c r="G174" s="1240"/>
      <c r="H174" s="1240"/>
      <c r="I174" s="1240"/>
      <c r="J174" s="1240"/>
      <c r="K174" s="1240"/>
      <c r="L174" s="1240"/>
      <c r="M174" s="1240"/>
      <c r="N174" s="1240"/>
      <c r="O174" s="1240"/>
      <c r="P174" s="1247">
        <f t="shared" si="23"/>
        <v>148</v>
      </c>
      <c r="Q174" s="1253" t="e">
        <f t="shared" ca="1" si="22"/>
        <v>#N/A</v>
      </c>
      <c r="R174" s="1247" t="str">
        <f>IFERROR(VLOOKUP(P174,RPCRepaymentDates[],1,FALSE),"")</f>
        <v/>
      </c>
      <c r="S174" s="1259">
        <f t="shared" si="18"/>
        <v>0</v>
      </c>
      <c r="T174" s="1247" t="str">
        <f>IFERROR(VLOOKUP(P174,RPCChargeCycleDates[],1,FALSE),"")</f>
        <v/>
      </c>
      <c r="U174" s="1248" t="str">
        <f>IFERROR(_xlfn.DAYS(T174,$Q$16)-SUM(U$26:U173),"")</f>
        <v/>
      </c>
      <c r="V174" s="1258">
        <f t="shared" ca="1" si="19"/>
        <v>0</v>
      </c>
      <c r="W174" s="1258">
        <f t="shared" ca="1" si="20"/>
        <v>0</v>
      </c>
      <c r="X174" s="1258" t="e">
        <f t="shared" ca="1" si="21"/>
        <v>#N/A</v>
      </c>
      <c r="Y174" s="1240"/>
      <c r="Z174" s="1240"/>
      <c r="AA174" s="1240"/>
      <c r="AB174" s="1240"/>
      <c r="AC174" s="1254" t="e">
        <f t="shared" si="17"/>
        <v>#NUM!</v>
      </c>
      <c r="AD174" s="1240"/>
      <c r="AE174" s="1240"/>
      <c r="AF174" s="1240"/>
      <c r="AG174" s="1240"/>
      <c r="AH174" s="1240"/>
      <c r="AI174" s="1240"/>
      <c r="AJ174" s="1240"/>
      <c r="AK174" s="1240"/>
      <c r="AL174" s="1240"/>
      <c r="AM174" s="1240"/>
      <c r="AN174" s="1240"/>
      <c r="AO174" s="1240"/>
      <c r="AP174" s="1240"/>
    </row>
    <row r="175" spans="1:42" ht="18.75" customHeight="1" x14ac:dyDescent="0.35">
      <c r="A175" s="1240"/>
      <c r="B175" s="1240"/>
      <c r="C175" s="1240"/>
      <c r="D175" s="1240"/>
      <c r="E175" s="1240"/>
      <c r="F175" s="1240"/>
      <c r="G175" s="1240"/>
      <c r="H175" s="1240"/>
      <c r="I175" s="1240"/>
      <c r="J175" s="1240"/>
      <c r="K175" s="1240"/>
      <c r="L175" s="1240"/>
      <c r="M175" s="1240"/>
      <c r="N175" s="1240"/>
      <c r="O175" s="1240"/>
      <c r="P175" s="1247">
        <f t="shared" si="23"/>
        <v>149</v>
      </c>
      <c r="Q175" s="1253" t="e">
        <f t="shared" ca="1" si="22"/>
        <v>#N/A</v>
      </c>
      <c r="R175" s="1247" t="str">
        <f>IFERROR(VLOOKUP(P175,RPCRepaymentDates[],1,FALSE),"")</f>
        <v/>
      </c>
      <c r="S175" s="1259">
        <f t="shared" si="18"/>
        <v>0</v>
      </c>
      <c r="T175" s="1247">
        <f>IFERROR(VLOOKUP(P175,RPCChargeCycleDates[],1,FALSE),"")</f>
        <v>149</v>
      </c>
      <c r="U175" s="1248">
        <f>IFERROR(_xlfn.DAYS(T175,$Q$16)-SUM(U$26:U174),"")</f>
        <v>30</v>
      </c>
      <c r="V175" s="1258">
        <f t="shared" ca="1" si="19"/>
        <v>0</v>
      </c>
      <c r="W175" s="1258">
        <f t="shared" ca="1" si="20"/>
        <v>0</v>
      </c>
      <c r="X175" s="1258" t="e">
        <f t="shared" ca="1" si="21"/>
        <v>#N/A</v>
      </c>
      <c r="Y175" s="1240"/>
      <c r="Z175" s="1240"/>
      <c r="AA175" s="1240"/>
      <c r="AB175" s="1240"/>
      <c r="AC175" s="1254" t="e">
        <f t="shared" si="17"/>
        <v>#NUM!</v>
      </c>
      <c r="AD175" s="1240"/>
      <c r="AE175" s="1240"/>
      <c r="AF175" s="1240"/>
      <c r="AG175" s="1240"/>
      <c r="AH175" s="1240"/>
      <c r="AI175" s="1240"/>
      <c r="AJ175" s="1240"/>
      <c r="AK175" s="1240"/>
      <c r="AL175" s="1240"/>
      <c r="AM175" s="1240"/>
      <c r="AN175" s="1240"/>
      <c r="AO175" s="1240"/>
      <c r="AP175" s="1240"/>
    </row>
    <row r="176" spans="1:42" ht="18.75" customHeight="1" x14ac:dyDescent="0.35">
      <c r="A176" s="1240"/>
      <c r="B176" s="1240"/>
      <c r="C176" s="1240"/>
      <c r="D176" s="1240"/>
      <c r="E176" s="1240"/>
      <c r="F176" s="1240"/>
      <c r="G176" s="1240"/>
      <c r="H176" s="1240"/>
      <c r="I176" s="1240"/>
      <c r="J176" s="1240"/>
      <c r="K176" s="1240"/>
      <c r="L176" s="1240"/>
      <c r="M176" s="1240"/>
      <c r="N176" s="1240"/>
      <c r="O176" s="1240"/>
      <c r="P176" s="1247">
        <f t="shared" si="23"/>
        <v>150</v>
      </c>
      <c r="Q176" s="1253" t="e">
        <f t="shared" ca="1" si="22"/>
        <v>#N/A</v>
      </c>
      <c r="R176" s="1247" t="str">
        <f>IFERROR(VLOOKUP(P176,RPCRepaymentDates[],1,FALSE),"")</f>
        <v/>
      </c>
      <c r="S176" s="1259">
        <f t="shared" si="18"/>
        <v>0</v>
      </c>
      <c r="T176" s="1247" t="str">
        <f>IFERROR(VLOOKUP(P176,RPCChargeCycleDates[],1,FALSE),"")</f>
        <v/>
      </c>
      <c r="U176" s="1248" t="str">
        <f>IFERROR(_xlfn.DAYS(T176,$Q$16)-SUM(U$26:U175),"")</f>
        <v/>
      </c>
      <c r="V176" s="1258">
        <f t="shared" ca="1" si="19"/>
        <v>0</v>
      </c>
      <c r="W176" s="1258">
        <f t="shared" ca="1" si="20"/>
        <v>0</v>
      </c>
      <c r="X176" s="1258" t="e">
        <f t="shared" ca="1" si="21"/>
        <v>#N/A</v>
      </c>
      <c r="Y176" s="1240"/>
      <c r="Z176" s="1240"/>
      <c r="AA176" s="1240"/>
      <c r="AB176" s="1240"/>
      <c r="AC176" s="1254" t="e">
        <f t="shared" si="17"/>
        <v>#NUM!</v>
      </c>
      <c r="AD176" s="1240"/>
      <c r="AE176" s="1240"/>
      <c r="AF176" s="1240"/>
      <c r="AG176" s="1240"/>
      <c r="AH176" s="1240"/>
      <c r="AI176" s="1240"/>
      <c r="AJ176" s="1240"/>
      <c r="AK176" s="1240"/>
      <c r="AL176" s="1240"/>
      <c r="AM176" s="1240"/>
      <c r="AN176" s="1240"/>
      <c r="AO176" s="1240"/>
      <c r="AP176" s="1240"/>
    </row>
    <row r="177" spans="1:42" ht="18.75" customHeight="1" x14ac:dyDescent="0.35">
      <c r="A177" s="1240"/>
      <c r="B177" s="1240"/>
      <c r="C177" s="1240"/>
      <c r="D177" s="1240"/>
      <c r="E177" s="1240"/>
      <c r="F177" s="1240"/>
      <c r="G177" s="1240"/>
      <c r="H177" s="1240"/>
      <c r="I177" s="1240"/>
      <c r="J177" s="1240"/>
      <c r="K177" s="1240"/>
      <c r="L177" s="1240"/>
      <c r="M177" s="1240"/>
      <c r="N177" s="1240"/>
      <c r="O177" s="1240"/>
      <c r="P177" s="1247">
        <f t="shared" si="23"/>
        <v>151</v>
      </c>
      <c r="Q177" s="1253" t="e">
        <f t="shared" ca="1" si="22"/>
        <v>#N/A</v>
      </c>
      <c r="R177" s="1247" t="str">
        <f>IFERROR(VLOOKUP(P177,RPCRepaymentDates[],1,FALSE),"")</f>
        <v/>
      </c>
      <c r="S177" s="1259">
        <f t="shared" si="18"/>
        <v>0</v>
      </c>
      <c r="T177" s="1247" t="str">
        <f>IFERROR(VLOOKUP(P177,RPCChargeCycleDates[],1,FALSE),"")</f>
        <v/>
      </c>
      <c r="U177" s="1248" t="str">
        <f>IFERROR(_xlfn.DAYS(T177,$Q$16)-SUM(U$26:U176),"")</f>
        <v/>
      </c>
      <c r="V177" s="1258">
        <f t="shared" ca="1" si="19"/>
        <v>0</v>
      </c>
      <c r="W177" s="1258">
        <f t="shared" ca="1" si="20"/>
        <v>0</v>
      </c>
      <c r="X177" s="1258" t="e">
        <f t="shared" ca="1" si="21"/>
        <v>#N/A</v>
      </c>
      <c r="Y177" s="1240"/>
      <c r="Z177" s="1240"/>
      <c r="AA177" s="1240"/>
      <c r="AB177" s="1240"/>
      <c r="AC177" s="1254" t="e">
        <f t="shared" si="17"/>
        <v>#NUM!</v>
      </c>
      <c r="AD177" s="1240"/>
      <c r="AE177" s="1240"/>
      <c r="AF177" s="1240"/>
      <c r="AG177" s="1240"/>
      <c r="AH177" s="1240"/>
      <c r="AI177" s="1240"/>
      <c r="AJ177" s="1240"/>
      <c r="AK177" s="1240"/>
      <c r="AL177" s="1240"/>
      <c r="AM177" s="1240"/>
      <c r="AN177" s="1240"/>
      <c r="AO177" s="1240"/>
      <c r="AP177" s="1240"/>
    </row>
    <row r="178" spans="1:42" ht="18.75" customHeight="1" x14ac:dyDescent="0.35">
      <c r="A178" s="1240"/>
      <c r="B178" s="1240"/>
      <c r="C178" s="1240"/>
      <c r="D178" s="1240"/>
      <c r="E178" s="1240"/>
      <c r="F178" s="1240"/>
      <c r="G178" s="1240"/>
      <c r="H178" s="1240"/>
      <c r="I178" s="1240"/>
      <c r="J178" s="1240"/>
      <c r="K178" s="1240"/>
      <c r="L178" s="1240"/>
      <c r="M178" s="1240"/>
      <c r="N178" s="1240"/>
      <c r="O178" s="1240"/>
      <c r="P178" s="1247">
        <f t="shared" si="23"/>
        <v>152</v>
      </c>
      <c r="Q178" s="1253" t="e">
        <f t="shared" ca="1" si="22"/>
        <v>#N/A</v>
      </c>
      <c r="R178" s="1247" t="str">
        <f>IFERROR(VLOOKUP(P178,RPCRepaymentDates[],1,FALSE),"")</f>
        <v/>
      </c>
      <c r="S178" s="1259">
        <f t="shared" si="18"/>
        <v>0</v>
      </c>
      <c r="T178" s="1247" t="str">
        <f>IFERROR(VLOOKUP(P178,RPCChargeCycleDates[],1,FALSE),"")</f>
        <v/>
      </c>
      <c r="U178" s="1248" t="str">
        <f>IFERROR(_xlfn.DAYS(T178,$Q$16)-SUM(U$26:U177),"")</f>
        <v/>
      </c>
      <c r="V178" s="1258">
        <f t="shared" ca="1" si="19"/>
        <v>0</v>
      </c>
      <c r="W178" s="1258">
        <f t="shared" ca="1" si="20"/>
        <v>0</v>
      </c>
      <c r="X178" s="1258" t="e">
        <f t="shared" ca="1" si="21"/>
        <v>#N/A</v>
      </c>
      <c r="Y178" s="1240"/>
      <c r="Z178" s="1240"/>
      <c r="AA178" s="1240"/>
      <c r="AB178" s="1240"/>
      <c r="AC178" s="1254" t="e">
        <f t="shared" si="17"/>
        <v>#NUM!</v>
      </c>
      <c r="AD178" s="1240"/>
      <c r="AE178" s="1240"/>
      <c r="AF178" s="1240"/>
      <c r="AG178" s="1240"/>
      <c r="AH178" s="1240"/>
      <c r="AI178" s="1240"/>
      <c r="AJ178" s="1240"/>
      <c r="AK178" s="1240"/>
      <c r="AL178" s="1240"/>
      <c r="AM178" s="1240"/>
      <c r="AN178" s="1240"/>
      <c r="AO178" s="1240"/>
      <c r="AP178" s="1240"/>
    </row>
    <row r="179" spans="1:42" ht="18.75" customHeight="1" x14ac:dyDescent="0.35">
      <c r="A179" s="1240"/>
      <c r="B179" s="1240"/>
      <c r="C179" s="1240"/>
      <c r="D179" s="1240"/>
      <c r="E179" s="1240"/>
      <c r="F179" s="1240"/>
      <c r="G179" s="1240"/>
      <c r="H179" s="1240"/>
      <c r="I179" s="1240"/>
      <c r="J179" s="1240"/>
      <c r="K179" s="1240"/>
      <c r="L179" s="1240"/>
      <c r="M179" s="1240"/>
      <c r="N179" s="1240"/>
      <c r="O179" s="1240"/>
      <c r="P179" s="1247">
        <f t="shared" si="23"/>
        <v>153</v>
      </c>
      <c r="Q179" s="1253" t="e">
        <f t="shared" ca="1" si="22"/>
        <v>#N/A</v>
      </c>
      <c r="R179" s="1247" t="str">
        <f>IFERROR(VLOOKUP(P179,RPCRepaymentDates[],1,FALSE),"")</f>
        <v/>
      </c>
      <c r="S179" s="1259">
        <f t="shared" si="18"/>
        <v>0</v>
      </c>
      <c r="T179" s="1247" t="str">
        <f>IFERROR(VLOOKUP(P179,RPCChargeCycleDates[],1,FALSE),"")</f>
        <v/>
      </c>
      <c r="U179" s="1248" t="str">
        <f>IFERROR(_xlfn.DAYS(T179,$Q$16)-SUM(U$26:U178),"")</f>
        <v/>
      </c>
      <c r="V179" s="1258">
        <f t="shared" ca="1" si="19"/>
        <v>0</v>
      </c>
      <c r="W179" s="1258">
        <f t="shared" ca="1" si="20"/>
        <v>0</v>
      </c>
      <c r="X179" s="1258" t="e">
        <f t="shared" ca="1" si="21"/>
        <v>#N/A</v>
      </c>
      <c r="Y179" s="1240"/>
      <c r="Z179" s="1240"/>
      <c r="AA179" s="1240"/>
      <c r="AB179" s="1240"/>
      <c r="AC179" s="1254" t="e">
        <f t="shared" si="17"/>
        <v>#NUM!</v>
      </c>
      <c r="AD179" s="1240"/>
      <c r="AE179" s="1240"/>
      <c r="AF179" s="1240"/>
      <c r="AG179" s="1240"/>
      <c r="AH179" s="1240"/>
      <c r="AI179" s="1240"/>
      <c r="AJ179" s="1240"/>
      <c r="AK179" s="1240"/>
      <c r="AL179" s="1240"/>
      <c r="AM179" s="1240"/>
      <c r="AN179" s="1240"/>
      <c r="AO179" s="1240"/>
      <c r="AP179" s="1240"/>
    </row>
    <row r="180" spans="1:42" ht="18.75" customHeight="1" x14ac:dyDescent="0.35">
      <c r="A180" s="1240"/>
      <c r="B180" s="1240"/>
      <c r="C180" s="1240"/>
      <c r="D180" s="1240"/>
      <c r="E180" s="1240"/>
      <c r="F180" s="1240"/>
      <c r="G180" s="1240"/>
      <c r="H180" s="1240"/>
      <c r="I180" s="1240"/>
      <c r="J180" s="1240"/>
      <c r="K180" s="1240"/>
      <c r="L180" s="1240"/>
      <c r="M180" s="1240"/>
      <c r="N180" s="1240"/>
      <c r="O180" s="1240"/>
      <c r="P180" s="1247">
        <f t="shared" si="23"/>
        <v>154</v>
      </c>
      <c r="Q180" s="1253" t="e">
        <f t="shared" ca="1" si="22"/>
        <v>#N/A</v>
      </c>
      <c r="R180" s="1247" t="str">
        <f>IFERROR(VLOOKUP(P180,RPCRepaymentDates[],1,FALSE),"")</f>
        <v/>
      </c>
      <c r="S180" s="1259">
        <f t="shared" si="18"/>
        <v>0</v>
      </c>
      <c r="T180" s="1247" t="str">
        <f>IFERROR(VLOOKUP(P180,RPCChargeCycleDates[],1,FALSE),"")</f>
        <v/>
      </c>
      <c r="U180" s="1248" t="str">
        <f>IFERROR(_xlfn.DAYS(T180,$Q$16)-SUM(U$26:U179),"")</f>
        <v/>
      </c>
      <c r="V180" s="1258">
        <f t="shared" ca="1" si="19"/>
        <v>0</v>
      </c>
      <c r="W180" s="1258">
        <f t="shared" ca="1" si="20"/>
        <v>0</v>
      </c>
      <c r="X180" s="1258" t="e">
        <f t="shared" ca="1" si="21"/>
        <v>#N/A</v>
      </c>
      <c r="Y180" s="1240"/>
      <c r="Z180" s="1240"/>
      <c r="AA180" s="1240"/>
      <c r="AB180" s="1240"/>
      <c r="AC180" s="1254" t="e">
        <f t="shared" si="17"/>
        <v>#NUM!</v>
      </c>
      <c r="AD180" s="1240"/>
      <c r="AE180" s="1240"/>
      <c r="AF180" s="1240"/>
      <c r="AG180" s="1240"/>
      <c r="AH180" s="1240"/>
      <c r="AI180" s="1240"/>
      <c r="AJ180" s="1240"/>
      <c r="AK180" s="1240"/>
      <c r="AL180" s="1240"/>
      <c r="AM180" s="1240"/>
      <c r="AN180" s="1240"/>
      <c r="AO180" s="1240"/>
      <c r="AP180" s="1240"/>
    </row>
    <row r="181" spans="1:42" ht="18.75" customHeight="1" x14ac:dyDescent="0.35">
      <c r="A181" s="1240"/>
      <c r="B181" s="1240"/>
      <c r="C181" s="1240"/>
      <c r="D181" s="1240"/>
      <c r="E181" s="1240"/>
      <c r="F181" s="1240"/>
      <c r="G181" s="1240"/>
      <c r="H181" s="1240"/>
      <c r="I181" s="1240"/>
      <c r="J181" s="1240"/>
      <c r="K181" s="1240"/>
      <c r="L181" s="1240"/>
      <c r="M181" s="1240"/>
      <c r="N181" s="1240"/>
      <c r="O181" s="1240"/>
      <c r="P181" s="1247">
        <f t="shared" si="23"/>
        <v>155</v>
      </c>
      <c r="Q181" s="1253" t="e">
        <f t="shared" ca="1" si="22"/>
        <v>#N/A</v>
      </c>
      <c r="R181" s="1247" t="str">
        <f>IFERROR(VLOOKUP(P181,RPCRepaymentDates[],1,FALSE),"")</f>
        <v/>
      </c>
      <c r="S181" s="1259">
        <f t="shared" si="18"/>
        <v>0</v>
      </c>
      <c r="T181" s="1247" t="str">
        <f>IFERROR(VLOOKUP(P181,RPCChargeCycleDates[],1,FALSE),"")</f>
        <v/>
      </c>
      <c r="U181" s="1248" t="str">
        <f>IFERROR(_xlfn.DAYS(T181,$Q$16)-SUM(U$26:U180),"")</f>
        <v/>
      </c>
      <c r="V181" s="1258">
        <f t="shared" ca="1" si="19"/>
        <v>0</v>
      </c>
      <c r="W181" s="1258">
        <f t="shared" ca="1" si="20"/>
        <v>0</v>
      </c>
      <c r="X181" s="1258" t="e">
        <f t="shared" ca="1" si="21"/>
        <v>#N/A</v>
      </c>
      <c r="Y181" s="1240"/>
      <c r="Z181" s="1240"/>
      <c r="AA181" s="1240"/>
      <c r="AB181" s="1240"/>
      <c r="AC181" s="1254" t="e">
        <f t="shared" si="17"/>
        <v>#NUM!</v>
      </c>
      <c r="AD181" s="1240"/>
      <c r="AE181" s="1240"/>
      <c r="AF181" s="1240"/>
      <c r="AG181" s="1240"/>
      <c r="AH181" s="1240"/>
      <c r="AI181" s="1240"/>
      <c r="AJ181" s="1240"/>
      <c r="AK181" s="1240"/>
      <c r="AL181" s="1240"/>
      <c r="AM181" s="1240"/>
      <c r="AN181" s="1240"/>
      <c r="AO181" s="1240"/>
      <c r="AP181" s="1240"/>
    </row>
    <row r="182" spans="1:42" ht="18.75" customHeight="1" x14ac:dyDescent="0.35">
      <c r="A182" s="1240"/>
      <c r="B182" s="1240"/>
      <c r="C182" s="1240"/>
      <c r="D182" s="1240"/>
      <c r="E182" s="1240"/>
      <c r="F182" s="1240"/>
      <c r="G182" s="1240"/>
      <c r="H182" s="1240"/>
      <c r="I182" s="1240"/>
      <c r="J182" s="1240"/>
      <c r="K182" s="1240"/>
      <c r="L182" s="1240"/>
      <c r="M182" s="1240"/>
      <c r="N182" s="1240"/>
      <c r="O182" s="1240"/>
      <c r="P182" s="1247">
        <f t="shared" si="23"/>
        <v>156</v>
      </c>
      <c r="Q182" s="1253" t="e">
        <f t="shared" ca="1" si="22"/>
        <v>#N/A</v>
      </c>
      <c r="R182" s="1247" t="str">
        <f>IFERROR(VLOOKUP(P182,RPCRepaymentDates[],1,FALSE),"")</f>
        <v/>
      </c>
      <c r="S182" s="1259">
        <f t="shared" si="18"/>
        <v>0</v>
      </c>
      <c r="T182" s="1247" t="str">
        <f>IFERROR(VLOOKUP(P182,RPCChargeCycleDates[],1,FALSE),"")</f>
        <v/>
      </c>
      <c r="U182" s="1248" t="str">
        <f>IFERROR(_xlfn.DAYS(T182,$Q$16)-SUM(U$26:U181),"")</f>
        <v/>
      </c>
      <c r="V182" s="1258">
        <f t="shared" ca="1" si="19"/>
        <v>0</v>
      </c>
      <c r="W182" s="1258">
        <f t="shared" ca="1" si="20"/>
        <v>0</v>
      </c>
      <c r="X182" s="1258" t="e">
        <f t="shared" ca="1" si="21"/>
        <v>#N/A</v>
      </c>
      <c r="Y182" s="1240"/>
      <c r="Z182" s="1240"/>
      <c r="AA182" s="1240"/>
      <c r="AB182" s="1240"/>
      <c r="AC182" s="1254" t="e">
        <f t="shared" si="17"/>
        <v>#NUM!</v>
      </c>
      <c r="AD182" s="1240"/>
      <c r="AE182" s="1240"/>
      <c r="AF182" s="1240"/>
      <c r="AG182" s="1240"/>
      <c r="AH182" s="1240"/>
      <c r="AI182" s="1240"/>
      <c r="AJ182" s="1240"/>
      <c r="AK182" s="1240"/>
      <c r="AL182" s="1240"/>
      <c r="AM182" s="1240"/>
      <c r="AN182" s="1240"/>
      <c r="AO182" s="1240"/>
      <c r="AP182" s="1240"/>
    </row>
    <row r="183" spans="1:42" ht="18.75" customHeight="1" x14ac:dyDescent="0.35">
      <c r="A183" s="1240"/>
      <c r="B183" s="1240"/>
      <c r="C183" s="1240"/>
      <c r="D183" s="1240"/>
      <c r="E183" s="1240"/>
      <c r="F183" s="1240"/>
      <c r="G183" s="1240"/>
      <c r="H183" s="1240"/>
      <c r="I183" s="1240"/>
      <c r="J183" s="1240"/>
      <c r="K183" s="1240"/>
      <c r="L183" s="1240"/>
      <c r="M183" s="1240"/>
      <c r="N183" s="1240"/>
      <c r="O183" s="1240"/>
      <c r="P183" s="1247">
        <f t="shared" si="23"/>
        <v>157</v>
      </c>
      <c r="Q183" s="1253" t="e">
        <f t="shared" ca="1" si="22"/>
        <v>#N/A</v>
      </c>
      <c r="R183" s="1247" t="str">
        <f>IFERROR(VLOOKUP(P183,RPCRepaymentDates[],1,FALSE),"")</f>
        <v/>
      </c>
      <c r="S183" s="1259">
        <f t="shared" si="18"/>
        <v>0</v>
      </c>
      <c r="T183" s="1247" t="str">
        <f>IFERROR(VLOOKUP(P183,RPCChargeCycleDates[],1,FALSE),"")</f>
        <v/>
      </c>
      <c r="U183" s="1248" t="str">
        <f>IFERROR(_xlfn.DAYS(T183,$Q$16)-SUM(U$26:U182),"")</f>
        <v/>
      </c>
      <c r="V183" s="1258">
        <f t="shared" ca="1" si="19"/>
        <v>0</v>
      </c>
      <c r="W183" s="1258">
        <f t="shared" ca="1" si="20"/>
        <v>0</v>
      </c>
      <c r="X183" s="1258" t="e">
        <f t="shared" ca="1" si="21"/>
        <v>#N/A</v>
      </c>
      <c r="Y183" s="1240"/>
      <c r="Z183" s="1240"/>
      <c r="AA183" s="1240"/>
      <c r="AB183" s="1240"/>
      <c r="AC183" s="1254" t="e">
        <f t="shared" si="17"/>
        <v>#NUM!</v>
      </c>
      <c r="AD183" s="1240"/>
      <c r="AE183" s="1240"/>
      <c r="AF183" s="1240"/>
      <c r="AG183" s="1240"/>
      <c r="AH183" s="1240"/>
      <c r="AI183" s="1240"/>
      <c r="AJ183" s="1240"/>
      <c r="AK183" s="1240"/>
      <c r="AL183" s="1240"/>
      <c r="AM183" s="1240"/>
      <c r="AN183" s="1240"/>
      <c r="AO183" s="1240"/>
      <c r="AP183" s="1240"/>
    </row>
    <row r="184" spans="1:42" ht="18.75" customHeight="1" x14ac:dyDescent="0.35">
      <c r="A184" s="1240"/>
      <c r="B184" s="1240"/>
      <c r="C184" s="1240"/>
      <c r="D184" s="1240"/>
      <c r="E184" s="1240"/>
      <c r="F184" s="1240"/>
      <c r="G184" s="1240"/>
      <c r="H184" s="1240"/>
      <c r="I184" s="1240"/>
      <c r="J184" s="1240"/>
      <c r="K184" s="1240"/>
      <c r="L184" s="1240"/>
      <c r="M184" s="1240"/>
      <c r="N184" s="1240"/>
      <c r="O184" s="1240"/>
      <c r="P184" s="1247">
        <f t="shared" si="23"/>
        <v>158</v>
      </c>
      <c r="Q184" s="1253" t="e">
        <f t="shared" ca="1" si="22"/>
        <v>#N/A</v>
      </c>
      <c r="R184" s="1247" t="str">
        <f>IFERROR(VLOOKUP(P184,RPCRepaymentDates[],1,FALSE),"")</f>
        <v/>
      </c>
      <c r="S184" s="1259">
        <f t="shared" si="18"/>
        <v>0</v>
      </c>
      <c r="T184" s="1247" t="str">
        <f>IFERROR(VLOOKUP(P184,RPCChargeCycleDates[],1,FALSE),"")</f>
        <v/>
      </c>
      <c r="U184" s="1248" t="str">
        <f>IFERROR(_xlfn.DAYS(T184,$Q$16)-SUM(U$26:U183),"")</f>
        <v/>
      </c>
      <c r="V184" s="1258">
        <f t="shared" ca="1" si="19"/>
        <v>0</v>
      </c>
      <c r="W184" s="1258">
        <f t="shared" ca="1" si="20"/>
        <v>0</v>
      </c>
      <c r="X184" s="1258" t="e">
        <f t="shared" ca="1" si="21"/>
        <v>#N/A</v>
      </c>
      <c r="Y184" s="1240"/>
      <c r="Z184" s="1240"/>
      <c r="AA184" s="1240"/>
      <c r="AB184" s="1240"/>
      <c r="AC184" s="1254" t="e">
        <f t="shared" si="17"/>
        <v>#NUM!</v>
      </c>
      <c r="AD184" s="1240"/>
      <c r="AE184" s="1240"/>
      <c r="AF184" s="1240"/>
      <c r="AG184" s="1240"/>
      <c r="AH184" s="1240"/>
      <c r="AI184" s="1240"/>
      <c r="AJ184" s="1240"/>
      <c r="AK184" s="1240"/>
      <c r="AL184" s="1240"/>
      <c r="AM184" s="1240"/>
      <c r="AN184" s="1240"/>
      <c r="AO184" s="1240"/>
      <c r="AP184" s="1240"/>
    </row>
    <row r="185" spans="1:42" ht="18.75" customHeight="1" x14ac:dyDescent="0.35">
      <c r="A185" s="1240"/>
      <c r="B185" s="1240"/>
      <c r="C185" s="1240"/>
      <c r="D185" s="1240"/>
      <c r="E185" s="1240"/>
      <c r="F185" s="1240"/>
      <c r="G185" s="1240"/>
      <c r="H185" s="1240"/>
      <c r="I185" s="1240"/>
      <c r="J185" s="1240"/>
      <c r="K185" s="1240"/>
      <c r="L185" s="1240"/>
      <c r="M185" s="1240"/>
      <c r="N185" s="1240"/>
      <c r="O185" s="1240"/>
      <c r="P185" s="1247">
        <f t="shared" si="23"/>
        <v>159</v>
      </c>
      <c r="Q185" s="1253" t="e">
        <f t="shared" ca="1" si="22"/>
        <v>#N/A</v>
      </c>
      <c r="R185" s="1247" t="str">
        <f>IFERROR(VLOOKUP(P185,RPCRepaymentDates[],1,FALSE),"")</f>
        <v/>
      </c>
      <c r="S185" s="1259">
        <f t="shared" si="18"/>
        <v>0</v>
      </c>
      <c r="T185" s="1247" t="str">
        <f>IFERROR(VLOOKUP(P185,RPCChargeCycleDates[],1,FALSE),"")</f>
        <v/>
      </c>
      <c r="U185" s="1248" t="str">
        <f>IFERROR(_xlfn.DAYS(T185,$Q$16)-SUM(U$26:U184),"")</f>
        <v/>
      </c>
      <c r="V185" s="1258">
        <f t="shared" ca="1" si="19"/>
        <v>0</v>
      </c>
      <c r="W185" s="1258">
        <f t="shared" ca="1" si="20"/>
        <v>0</v>
      </c>
      <c r="X185" s="1258" t="e">
        <f t="shared" ca="1" si="21"/>
        <v>#N/A</v>
      </c>
      <c r="Y185" s="1240"/>
      <c r="Z185" s="1240"/>
      <c r="AA185" s="1240"/>
      <c r="AB185" s="1240"/>
      <c r="AC185" s="1254" t="e">
        <f t="shared" si="17"/>
        <v>#NUM!</v>
      </c>
      <c r="AD185" s="1240"/>
      <c r="AE185" s="1240"/>
      <c r="AF185" s="1240"/>
      <c r="AG185" s="1240"/>
      <c r="AH185" s="1240"/>
      <c r="AI185" s="1240"/>
      <c r="AJ185" s="1240"/>
      <c r="AK185" s="1240"/>
      <c r="AL185" s="1240"/>
      <c r="AM185" s="1240"/>
      <c r="AN185" s="1240"/>
      <c r="AO185" s="1240"/>
      <c r="AP185" s="1240"/>
    </row>
    <row r="186" spans="1:42" ht="18.75" customHeight="1" x14ac:dyDescent="0.35">
      <c r="A186" s="1240"/>
      <c r="B186" s="1240"/>
      <c r="C186" s="1240"/>
      <c r="D186" s="1240"/>
      <c r="E186" s="1240"/>
      <c r="F186" s="1240"/>
      <c r="G186" s="1240"/>
      <c r="H186" s="1240"/>
      <c r="I186" s="1240"/>
      <c r="J186" s="1240"/>
      <c r="K186" s="1240"/>
      <c r="L186" s="1240"/>
      <c r="M186" s="1240"/>
      <c r="N186" s="1240"/>
      <c r="O186" s="1240"/>
      <c r="P186" s="1247">
        <f t="shared" si="23"/>
        <v>160</v>
      </c>
      <c r="Q186" s="1253" t="e">
        <f t="shared" ca="1" si="22"/>
        <v>#N/A</v>
      </c>
      <c r="R186" s="1247" t="str">
        <f>IFERROR(VLOOKUP(P186,RPCRepaymentDates[],1,FALSE),"")</f>
        <v/>
      </c>
      <c r="S186" s="1259">
        <f t="shared" si="18"/>
        <v>0</v>
      </c>
      <c r="T186" s="1247" t="str">
        <f>IFERROR(VLOOKUP(P186,RPCChargeCycleDates[],1,FALSE),"")</f>
        <v/>
      </c>
      <c r="U186" s="1248" t="str">
        <f>IFERROR(_xlfn.DAYS(T186,$Q$16)-SUM(U$26:U185),"")</f>
        <v/>
      </c>
      <c r="V186" s="1258">
        <f t="shared" ca="1" si="19"/>
        <v>0</v>
      </c>
      <c r="W186" s="1258">
        <f t="shared" ca="1" si="20"/>
        <v>0</v>
      </c>
      <c r="X186" s="1258" t="e">
        <f t="shared" ca="1" si="21"/>
        <v>#N/A</v>
      </c>
      <c r="Y186" s="1240"/>
      <c r="Z186" s="1240"/>
      <c r="AA186" s="1240"/>
      <c r="AB186" s="1240"/>
      <c r="AC186" s="1254" t="e">
        <f t="shared" si="17"/>
        <v>#NUM!</v>
      </c>
      <c r="AD186" s="1240"/>
      <c r="AE186" s="1240"/>
      <c r="AF186" s="1240"/>
      <c r="AG186" s="1240"/>
      <c r="AH186" s="1240"/>
      <c r="AI186" s="1240"/>
      <c r="AJ186" s="1240"/>
      <c r="AK186" s="1240"/>
      <c r="AL186" s="1240"/>
      <c r="AM186" s="1240"/>
      <c r="AN186" s="1240"/>
      <c r="AO186" s="1240"/>
      <c r="AP186" s="1240"/>
    </row>
    <row r="187" spans="1:42" ht="18.75" customHeight="1" x14ac:dyDescent="0.35">
      <c r="A187" s="1240"/>
      <c r="B187" s="1240"/>
      <c r="C187" s="1240"/>
      <c r="D187" s="1240"/>
      <c r="E187" s="1240"/>
      <c r="F187" s="1240"/>
      <c r="G187" s="1240"/>
      <c r="H187" s="1240"/>
      <c r="I187" s="1240"/>
      <c r="J187" s="1240"/>
      <c r="K187" s="1240"/>
      <c r="L187" s="1240"/>
      <c r="M187" s="1240"/>
      <c r="N187" s="1240"/>
      <c r="O187" s="1240"/>
      <c r="P187" s="1247">
        <f t="shared" si="23"/>
        <v>161</v>
      </c>
      <c r="Q187" s="1253" t="e">
        <f t="shared" ca="1" si="22"/>
        <v>#N/A</v>
      </c>
      <c r="R187" s="1247" t="str">
        <f>IFERROR(VLOOKUP(P187,RPCRepaymentDates[],1,FALSE),"")</f>
        <v/>
      </c>
      <c r="S187" s="1259">
        <f t="shared" si="18"/>
        <v>0</v>
      </c>
      <c r="T187" s="1247" t="str">
        <f>IFERROR(VLOOKUP(P187,RPCChargeCycleDates[],1,FALSE),"")</f>
        <v/>
      </c>
      <c r="U187" s="1248" t="str">
        <f>IFERROR(_xlfn.DAYS(T187,$Q$16)-SUM(U$26:U186),"")</f>
        <v/>
      </c>
      <c r="V187" s="1258">
        <f t="shared" ca="1" si="19"/>
        <v>0</v>
      </c>
      <c r="W187" s="1258">
        <f t="shared" ca="1" si="20"/>
        <v>0</v>
      </c>
      <c r="X187" s="1258" t="e">
        <f t="shared" ca="1" si="21"/>
        <v>#N/A</v>
      </c>
      <c r="Y187" s="1240"/>
      <c r="Z187" s="1240"/>
      <c r="AA187" s="1240"/>
      <c r="AB187" s="1240"/>
      <c r="AC187" s="1254" t="e">
        <f t="shared" si="17"/>
        <v>#NUM!</v>
      </c>
      <c r="AD187" s="1240"/>
      <c r="AE187" s="1240"/>
      <c r="AF187" s="1240"/>
      <c r="AG187" s="1240"/>
      <c r="AH187" s="1240"/>
      <c r="AI187" s="1240"/>
      <c r="AJ187" s="1240"/>
      <c r="AK187" s="1240"/>
      <c r="AL187" s="1240"/>
      <c r="AM187" s="1240"/>
      <c r="AN187" s="1240"/>
      <c r="AO187" s="1240"/>
      <c r="AP187" s="1240"/>
    </row>
    <row r="188" spans="1:42" ht="18.75" customHeight="1" x14ac:dyDescent="0.35">
      <c r="A188" s="1240"/>
      <c r="B188" s="1240"/>
      <c r="C188" s="1240"/>
      <c r="D188" s="1240"/>
      <c r="E188" s="1240"/>
      <c r="F188" s="1240"/>
      <c r="G188" s="1240"/>
      <c r="H188" s="1240"/>
      <c r="I188" s="1240"/>
      <c r="J188" s="1240"/>
      <c r="K188" s="1240"/>
      <c r="L188" s="1240"/>
      <c r="M188" s="1240"/>
      <c r="N188" s="1240"/>
      <c r="O188" s="1240"/>
      <c r="P188" s="1247">
        <f t="shared" si="23"/>
        <v>162</v>
      </c>
      <c r="Q188" s="1253" t="e">
        <f t="shared" ca="1" si="22"/>
        <v>#N/A</v>
      </c>
      <c r="R188" s="1247" t="str">
        <f>IFERROR(VLOOKUP(P188,RPCRepaymentDates[],1,FALSE),"")</f>
        <v/>
      </c>
      <c r="S188" s="1259">
        <f t="shared" si="18"/>
        <v>0</v>
      </c>
      <c r="T188" s="1247" t="str">
        <f>IFERROR(VLOOKUP(P188,RPCChargeCycleDates[],1,FALSE),"")</f>
        <v/>
      </c>
      <c r="U188" s="1248" t="str">
        <f>IFERROR(_xlfn.DAYS(T188,$Q$16)-SUM(U$26:U187),"")</f>
        <v/>
      </c>
      <c r="V188" s="1258">
        <f t="shared" ca="1" si="19"/>
        <v>0</v>
      </c>
      <c r="W188" s="1258">
        <f t="shared" ca="1" si="20"/>
        <v>0</v>
      </c>
      <c r="X188" s="1258" t="e">
        <f t="shared" ca="1" si="21"/>
        <v>#N/A</v>
      </c>
      <c r="Y188" s="1240"/>
      <c r="Z188" s="1240"/>
      <c r="AA188" s="1240"/>
      <c r="AB188" s="1240"/>
      <c r="AC188" s="1254" t="e">
        <f t="shared" si="17"/>
        <v>#NUM!</v>
      </c>
      <c r="AD188" s="1240"/>
      <c r="AE188" s="1240"/>
      <c r="AF188" s="1240"/>
      <c r="AG188" s="1240"/>
      <c r="AH188" s="1240"/>
      <c r="AI188" s="1240"/>
      <c r="AJ188" s="1240"/>
      <c r="AK188" s="1240"/>
      <c r="AL188" s="1240"/>
      <c r="AM188" s="1240"/>
      <c r="AN188" s="1240"/>
      <c r="AO188" s="1240"/>
      <c r="AP188" s="1240"/>
    </row>
    <row r="189" spans="1:42" ht="18.75" customHeight="1" x14ac:dyDescent="0.35">
      <c r="A189" s="1240"/>
      <c r="B189" s="1240"/>
      <c r="C189" s="1240"/>
      <c r="D189" s="1240"/>
      <c r="E189" s="1240"/>
      <c r="F189" s="1240"/>
      <c r="G189" s="1240"/>
      <c r="H189" s="1240"/>
      <c r="I189" s="1240"/>
      <c r="J189" s="1240"/>
      <c r="K189" s="1240"/>
      <c r="L189" s="1240"/>
      <c r="M189" s="1240"/>
      <c r="N189" s="1240"/>
      <c r="O189" s="1240"/>
      <c r="P189" s="1247">
        <f t="shared" si="23"/>
        <v>163</v>
      </c>
      <c r="Q189" s="1253" t="e">
        <f t="shared" ca="1" si="22"/>
        <v>#N/A</v>
      </c>
      <c r="R189" s="1247" t="str">
        <f>IFERROR(VLOOKUP(P189,RPCRepaymentDates[],1,FALSE),"")</f>
        <v/>
      </c>
      <c r="S189" s="1259">
        <f t="shared" si="18"/>
        <v>0</v>
      </c>
      <c r="T189" s="1247" t="str">
        <f>IFERROR(VLOOKUP(P189,RPCChargeCycleDates[],1,FALSE),"")</f>
        <v/>
      </c>
      <c r="U189" s="1248" t="str">
        <f>IFERROR(_xlfn.DAYS(T189,$Q$16)-SUM(U$26:U188),"")</f>
        <v/>
      </c>
      <c r="V189" s="1258">
        <f t="shared" ca="1" si="19"/>
        <v>0</v>
      </c>
      <c r="W189" s="1258">
        <f t="shared" ca="1" si="20"/>
        <v>0</v>
      </c>
      <c r="X189" s="1258" t="e">
        <f t="shared" ca="1" si="21"/>
        <v>#N/A</v>
      </c>
      <c r="Y189" s="1240"/>
      <c r="Z189" s="1240"/>
      <c r="AA189" s="1240"/>
      <c r="AB189" s="1240"/>
      <c r="AC189" s="1254" t="e">
        <f t="shared" si="17"/>
        <v>#NUM!</v>
      </c>
      <c r="AD189" s="1240"/>
      <c r="AE189" s="1240"/>
      <c r="AF189" s="1240"/>
      <c r="AG189" s="1240"/>
      <c r="AH189" s="1240"/>
      <c r="AI189" s="1240"/>
      <c r="AJ189" s="1240"/>
      <c r="AK189" s="1240"/>
      <c r="AL189" s="1240"/>
      <c r="AM189" s="1240"/>
      <c r="AN189" s="1240"/>
      <c r="AO189" s="1240"/>
      <c r="AP189" s="1240"/>
    </row>
    <row r="190" spans="1:42" ht="18.75" customHeight="1" x14ac:dyDescent="0.35">
      <c r="A190" s="1240"/>
      <c r="B190" s="1240"/>
      <c r="C190" s="1240"/>
      <c r="D190" s="1240"/>
      <c r="E190" s="1240"/>
      <c r="F190" s="1240"/>
      <c r="G190" s="1240"/>
      <c r="H190" s="1240"/>
      <c r="I190" s="1240"/>
      <c r="J190" s="1240"/>
      <c r="K190" s="1240"/>
      <c r="L190" s="1240"/>
      <c r="M190" s="1240"/>
      <c r="N190" s="1240"/>
      <c r="O190" s="1240"/>
      <c r="P190" s="1247">
        <f t="shared" si="23"/>
        <v>164</v>
      </c>
      <c r="Q190" s="1253" t="e">
        <f t="shared" ca="1" si="22"/>
        <v>#N/A</v>
      </c>
      <c r="R190" s="1247" t="str">
        <f>IFERROR(VLOOKUP(P190,RPCRepaymentDates[],1,FALSE),"")</f>
        <v/>
      </c>
      <c r="S190" s="1259">
        <f t="shared" si="18"/>
        <v>0</v>
      </c>
      <c r="T190" s="1247" t="str">
        <f>IFERROR(VLOOKUP(P190,RPCChargeCycleDates[],1,FALSE),"")</f>
        <v/>
      </c>
      <c r="U190" s="1248" t="str">
        <f>IFERROR(_xlfn.DAYS(T190,$Q$16)-SUM(U$26:U189),"")</f>
        <v/>
      </c>
      <c r="V190" s="1258">
        <f t="shared" ca="1" si="19"/>
        <v>0</v>
      </c>
      <c r="W190" s="1258">
        <f t="shared" ca="1" si="20"/>
        <v>0</v>
      </c>
      <c r="X190" s="1258" t="e">
        <f t="shared" ca="1" si="21"/>
        <v>#N/A</v>
      </c>
      <c r="Y190" s="1240"/>
      <c r="Z190" s="1240"/>
      <c r="AA190" s="1240"/>
      <c r="AB190" s="1240"/>
      <c r="AC190" s="1254" t="e">
        <f t="shared" si="17"/>
        <v>#NUM!</v>
      </c>
      <c r="AD190" s="1240"/>
      <c r="AE190" s="1240"/>
      <c r="AF190" s="1240"/>
      <c r="AG190" s="1240"/>
      <c r="AH190" s="1240"/>
      <c r="AI190" s="1240"/>
      <c r="AJ190" s="1240"/>
      <c r="AK190" s="1240"/>
      <c r="AL190" s="1240"/>
      <c r="AM190" s="1240"/>
      <c r="AN190" s="1240"/>
      <c r="AO190" s="1240"/>
      <c r="AP190" s="1240"/>
    </row>
    <row r="191" spans="1:42" ht="18.75" customHeight="1" x14ac:dyDescent="0.35">
      <c r="A191" s="1240"/>
      <c r="B191" s="1240"/>
      <c r="C191" s="1240"/>
      <c r="D191" s="1240"/>
      <c r="E191" s="1240"/>
      <c r="F191" s="1240"/>
      <c r="G191" s="1240"/>
      <c r="H191" s="1240"/>
      <c r="I191" s="1240"/>
      <c r="J191" s="1240"/>
      <c r="K191" s="1240"/>
      <c r="L191" s="1240"/>
      <c r="M191" s="1240"/>
      <c r="N191" s="1240"/>
      <c r="O191" s="1240"/>
      <c r="P191" s="1247">
        <f t="shared" si="23"/>
        <v>165</v>
      </c>
      <c r="Q191" s="1253" t="e">
        <f t="shared" ca="1" si="22"/>
        <v>#N/A</v>
      </c>
      <c r="R191" s="1247" t="str">
        <f>IFERROR(VLOOKUP(P191,RPCRepaymentDates[],1,FALSE),"")</f>
        <v/>
      </c>
      <c r="S191" s="1259">
        <f t="shared" si="18"/>
        <v>0</v>
      </c>
      <c r="T191" s="1247" t="str">
        <f>IFERROR(VLOOKUP(P191,RPCChargeCycleDates[],1,FALSE),"")</f>
        <v/>
      </c>
      <c r="U191" s="1248" t="str">
        <f>IFERROR(_xlfn.DAYS(T191,$Q$16)-SUM(U$26:U190),"")</f>
        <v/>
      </c>
      <c r="V191" s="1258">
        <f t="shared" ca="1" si="19"/>
        <v>0</v>
      </c>
      <c r="W191" s="1258">
        <f t="shared" ca="1" si="20"/>
        <v>0</v>
      </c>
      <c r="X191" s="1258" t="e">
        <f t="shared" ca="1" si="21"/>
        <v>#N/A</v>
      </c>
      <c r="Y191" s="1240"/>
      <c r="Z191" s="1240"/>
      <c r="AA191" s="1240"/>
      <c r="AB191" s="1240"/>
      <c r="AC191" s="1254" t="e">
        <f t="shared" ref="AC191:AC254" si="24">IF(RPCRepaymentFrequency="Monthly",EDATE(AC190,1),IF(RPCRepaymentFrequency="Fortnightly",AC190+14,AC190+7))</f>
        <v>#NUM!</v>
      </c>
      <c r="AD191" s="1240"/>
      <c r="AE191" s="1240"/>
      <c r="AF191" s="1240"/>
      <c r="AG191" s="1240"/>
      <c r="AH191" s="1240"/>
      <c r="AI191" s="1240"/>
      <c r="AJ191" s="1240"/>
      <c r="AK191" s="1240"/>
      <c r="AL191" s="1240"/>
      <c r="AM191" s="1240"/>
      <c r="AN191" s="1240"/>
      <c r="AO191" s="1240"/>
      <c r="AP191" s="1240"/>
    </row>
    <row r="192" spans="1:42" ht="18.75" customHeight="1" x14ac:dyDescent="0.35">
      <c r="A192" s="1240"/>
      <c r="B192" s="1240"/>
      <c r="C192" s="1240"/>
      <c r="D192" s="1240"/>
      <c r="E192" s="1240"/>
      <c r="F192" s="1240"/>
      <c r="G192" s="1240"/>
      <c r="H192" s="1240"/>
      <c r="I192" s="1240"/>
      <c r="J192" s="1240"/>
      <c r="K192" s="1240"/>
      <c r="L192" s="1240"/>
      <c r="M192" s="1240"/>
      <c r="N192" s="1240"/>
      <c r="O192" s="1240"/>
      <c r="P192" s="1247">
        <f t="shared" si="23"/>
        <v>166</v>
      </c>
      <c r="Q192" s="1253" t="e">
        <f t="shared" ca="1" si="22"/>
        <v>#N/A</v>
      </c>
      <c r="R192" s="1247" t="str">
        <f>IFERROR(VLOOKUP(P192,RPCRepaymentDates[],1,FALSE),"")</f>
        <v/>
      </c>
      <c r="S192" s="1259">
        <f t="shared" si="18"/>
        <v>0</v>
      </c>
      <c r="T192" s="1247" t="str">
        <f>IFERROR(VLOOKUP(P192,RPCChargeCycleDates[],1,FALSE),"")</f>
        <v/>
      </c>
      <c r="U192" s="1248" t="str">
        <f>IFERROR(_xlfn.DAYS(T192,$Q$16)-SUM(U$26:U191),"")</f>
        <v/>
      </c>
      <c r="V192" s="1258">
        <f t="shared" ca="1" si="19"/>
        <v>0</v>
      </c>
      <c r="W192" s="1258">
        <f t="shared" ca="1" si="20"/>
        <v>0</v>
      </c>
      <c r="X192" s="1258" t="e">
        <f t="shared" ca="1" si="21"/>
        <v>#N/A</v>
      </c>
      <c r="Y192" s="1240"/>
      <c r="Z192" s="1240"/>
      <c r="AA192" s="1240"/>
      <c r="AB192" s="1240"/>
      <c r="AC192" s="1254" t="e">
        <f t="shared" si="24"/>
        <v>#NUM!</v>
      </c>
      <c r="AD192" s="1240"/>
      <c r="AE192" s="1240"/>
      <c r="AF192" s="1240"/>
      <c r="AG192" s="1240"/>
      <c r="AH192" s="1240"/>
      <c r="AI192" s="1240"/>
      <c r="AJ192" s="1240"/>
      <c r="AK192" s="1240"/>
      <c r="AL192" s="1240"/>
      <c r="AM192" s="1240"/>
      <c r="AN192" s="1240"/>
      <c r="AO192" s="1240"/>
      <c r="AP192" s="1240"/>
    </row>
    <row r="193" spans="1:42" ht="18.75" customHeight="1" x14ac:dyDescent="0.35">
      <c r="A193" s="1240"/>
      <c r="B193" s="1240"/>
      <c r="C193" s="1240"/>
      <c r="D193" s="1240"/>
      <c r="E193" s="1240"/>
      <c r="F193" s="1240"/>
      <c r="G193" s="1240"/>
      <c r="H193" s="1240"/>
      <c r="I193" s="1240"/>
      <c r="J193" s="1240"/>
      <c r="K193" s="1240"/>
      <c r="L193" s="1240"/>
      <c r="M193" s="1240"/>
      <c r="N193" s="1240"/>
      <c r="O193" s="1240"/>
      <c r="P193" s="1247">
        <f t="shared" si="23"/>
        <v>167</v>
      </c>
      <c r="Q193" s="1253" t="e">
        <f t="shared" ca="1" si="22"/>
        <v>#N/A</v>
      </c>
      <c r="R193" s="1247" t="str">
        <f>IFERROR(VLOOKUP(P193,RPCRepaymentDates[],1,FALSE),"")</f>
        <v/>
      </c>
      <c r="S193" s="1259">
        <f t="shared" si="18"/>
        <v>0</v>
      </c>
      <c r="T193" s="1247" t="str">
        <f>IFERROR(VLOOKUP(P193,RPCChargeCycleDates[],1,FALSE),"")</f>
        <v/>
      </c>
      <c r="U193" s="1248" t="str">
        <f>IFERROR(_xlfn.DAYS(T193,$Q$16)-SUM(U$26:U192),"")</f>
        <v/>
      </c>
      <c r="V193" s="1258">
        <f t="shared" ca="1" si="19"/>
        <v>0</v>
      </c>
      <c r="W193" s="1258">
        <f t="shared" ca="1" si="20"/>
        <v>0</v>
      </c>
      <c r="X193" s="1258" t="e">
        <f t="shared" ca="1" si="21"/>
        <v>#N/A</v>
      </c>
      <c r="Y193" s="1240"/>
      <c r="Z193" s="1240"/>
      <c r="AA193" s="1240"/>
      <c r="AB193" s="1240"/>
      <c r="AC193" s="1254" t="e">
        <f t="shared" si="24"/>
        <v>#NUM!</v>
      </c>
      <c r="AD193" s="1240"/>
      <c r="AE193" s="1240"/>
      <c r="AF193" s="1240"/>
      <c r="AG193" s="1240"/>
      <c r="AH193" s="1240"/>
      <c r="AI193" s="1240"/>
      <c r="AJ193" s="1240"/>
      <c r="AK193" s="1240"/>
      <c r="AL193" s="1240"/>
      <c r="AM193" s="1240"/>
      <c r="AN193" s="1240"/>
      <c r="AO193" s="1240"/>
      <c r="AP193" s="1240"/>
    </row>
    <row r="194" spans="1:42" ht="18.75" customHeight="1" x14ac:dyDescent="0.35">
      <c r="A194" s="1240"/>
      <c r="B194" s="1240"/>
      <c r="C194" s="1240"/>
      <c r="D194" s="1240"/>
      <c r="E194" s="1240"/>
      <c r="F194" s="1240"/>
      <c r="G194" s="1240"/>
      <c r="H194" s="1240"/>
      <c r="I194" s="1240"/>
      <c r="J194" s="1240"/>
      <c r="K194" s="1240"/>
      <c r="L194" s="1240"/>
      <c r="M194" s="1240"/>
      <c r="N194" s="1240"/>
      <c r="O194" s="1240"/>
      <c r="P194" s="1247">
        <f t="shared" si="23"/>
        <v>168</v>
      </c>
      <c r="Q194" s="1253" t="e">
        <f t="shared" ca="1" si="22"/>
        <v>#N/A</v>
      </c>
      <c r="R194" s="1247" t="str">
        <f>IFERROR(VLOOKUP(P194,RPCRepaymentDates[],1,FALSE),"")</f>
        <v/>
      </c>
      <c r="S194" s="1259">
        <f t="shared" si="18"/>
        <v>0</v>
      </c>
      <c r="T194" s="1247" t="str">
        <f>IFERROR(VLOOKUP(P194,RPCChargeCycleDates[],1,FALSE),"")</f>
        <v/>
      </c>
      <c r="U194" s="1248" t="str">
        <f>IFERROR(_xlfn.DAYS(T194,$Q$16)-SUM(U$26:U193),"")</f>
        <v/>
      </c>
      <c r="V194" s="1258">
        <f t="shared" ca="1" si="19"/>
        <v>0</v>
      </c>
      <c r="W194" s="1258">
        <f t="shared" ca="1" si="20"/>
        <v>0</v>
      </c>
      <c r="X194" s="1258" t="e">
        <f t="shared" ca="1" si="21"/>
        <v>#N/A</v>
      </c>
      <c r="Y194" s="1240"/>
      <c r="Z194" s="1240"/>
      <c r="AA194" s="1240"/>
      <c r="AB194" s="1240"/>
      <c r="AC194" s="1254" t="e">
        <f t="shared" si="24"/>
        <v>#NUM!</v>
      </c>
      <c r="AD194" s="1240"/>
      <c r="AE194" s="1240"/>
      <c r="AF194" s="1240"/>
      <c r="AG194" s="1240"/>
      <c r="AH194" s="1240"/>
      <c r="AI194" s="1240"/>
      <c r="AJ194" s="1240"/>
      <c r="AK194" s="1240"/>
      <c r="AL194" s="1240"/>
      <c r="AM194" s="1240"/>
      <c r="AN194" s="1240"/>
      <c r="AO194" s="1240"/>
      <c r="AP194" s="1240"/>
    </row>
    <row r="195" spans="1:42" ht="18.75" customHeight="1" x14ac:dyDescent="0.35">
      <c r="A195" s="1240"/>
      <c r="B195" s="1240"/>
      <c r="C195" s="1240"/>
      <c r="D195" s="1240"/>
      <c r="E195" s="1240"/>
      <c r="F195" s="1240"/>
      <c r="G195" s="1240"/>
      <c r="H195" s="1240"/>
      <c r="I195" s="1240"/>
      <c r="J195" s="1240"/>
      <c r="K195" s="1240"/>
      <c r="L195" s="1240"/>
      <c r="M195" s="1240"/>
      <c r="N195" s="1240"/>
      <c r="O195" s="1240"/>
      <c r="P195" s="1247">
        <f t="shared" si="23"/>
        <v>169</v>
      </c>
      <c r="Q195" s="1253" t="e">
        <f t="shared" ca="1" si="22"/>
        <v>#N/A</v>
      </c>
      <c r="R195" s="1247" t="str">
        <f>IFERROR(VLOOKUP(P195,RPCRepaymentDates[],1,FALSE),"")</f>
        <v/>
      </c>
      <c r="S195" s="1259">
        <f t="shared" si="18"/>
        <v>0</v>
      </c>
      <c r="T195" s="1247" t="str">
        <f>IFERROR(VLOOKUP(P195,RPCChargeCycleDates[],1,FALSE),"")</f>
        <v/>
      </c>
      <c r="U195" s="1248" t="str">
        <f>IFERROR(_xlfn.DAYS(T195,$Q$16)-SUM(U$26:U194),"")</f>
        <v/>
      </c>
      <c r="V195" s="1258">
        <f t="shared" ca="1" si="19"/>
        <v>0</v>
      </c>
      <c r="W195" s="1258">
        <f t="shared" ca="1" si="20"/>
        <v>0</v>
      </c>
      <c r="X195" s="1258" t="e">
        <f t="shared" ca="1" si="21"/>
        <v>#N/A</v>
      </c>
      <c r="Y195" s="1240"/>
      <c r="Z195" s="1240"/>
      <c r="AA195" s="1240"/>
      <c r="AB195" s="1240"/>
      <c r="AC195" s="1254" t="e">
        <f t="shared" si="24"/>
        <v>#NUM!</v>
      </c>
      <c r="AD195" s="1240"/>
      <c r="AE195" s="1240"/>
      <c r="AF195" s="1240"/>
      <c r="AG195" s="1240"/>
      <c r="AH195" s="1240"/>
      <c r="AI195" s="1240"/>
      <c r="AJ195" s="1240"/>
      <c r="AK195" s="1240"/>
      <c r="AL195" s="1240"/>
      <c r="AM195" s="1240"/>
      <c r="AN195" s="1240"/>
      <c r="AO195" s="1240"/>
      <c r="AP195" s="1240"/>
    </row>
    <row r="196" spans="1:42" ht="18.75" customHeight="1" x14ac:dyDescent="0.35">
      <c r="A196" s="1240"/>
      <c r="B196" s="1240"/>
      <c r="C196" s="1240"/>
      <c r="D196" s="1240"/>
      <c r="E196" s="1240"/>
      <c r="F196" s="1240"/>
      <c r="G196" s="1240"/>
      <c r="H196" s="1240"/>
      <c r="I196" s="1240"/>
      <c r="J196" s="1240"/>
      <c r="K196" s="1240"/>
      <c r="L196" s="1240"/>
      <c r="M196" s="1240"/>
      <c r="N196" s="1240"/>
      <c r="O196" s="1240"/>
      <c r="P196" s="1247">
        <f t="shared" si="23"/>
        <v>170</v>
      </c>
      <c r="Q196" s="1253" t="e">
        <f t="shared" ca="1" si="22"/>
        <v>#N/A</v>
      </c>
      <c r="R196" s="1247" t="str">
        <f>IFERROR(VLOOKUP(P196,RPCRepaymentDates[],1,FALSE),"")</f>
        <v/>
      </c>
      <c r="S196" s="1259">
        <f t="shared" si="18"/>
        <v>0</v>
      </c>
      <c r="T196" s="1247" t="str">
        <f>IFERROR(VLOOKUP(P196,RPCChargeCycleDates[],1,FALSE),"")</f>
        <v/>
      </c>
      <c r="U196" s="1248" t="str">
        <f>IFERROR(_xlfn.DAYS(T196,$Q$16)-SUM(U$26:U195),"")</f>
        <v/>
      </c>
      <c r="V196" s="1258">
        <f t="shared" ca="1" si="19"/>
        <v>0</v>
      </c>
      <c r="W196" s="1258">
        <f t="shared" ca="1" si="20"/>
        <v>0</v>
      </c>
      <c r="X196" s="1258" t="e">
        <f t="shared" ca="1" si="21"/>
        <v>#N/A</v>
      </c>
      <c r="Y196" s="1240"/>
      <c r="Z196" s="1240"/>
      <c r="AA196" s="1240"/>
      <c r="AB196" s="1240"/>
      <c r="AC196" s="1254" t="e">
        <f t="shared" si="24"/>
        <v>#NUM!</v>
      </c>
      <c r="AD196" s="1240"/>
      <c r="AE196" s="1240"/>
      <c r="AF196" s="1240"/>
      <c r="AG196" s="1240"/>
      <c r="AH196" s="1240"/>
      <c r="AI196" s="1240"/>
      <c r="AJ196" s="1240"/>
      <c r="AK196" s="1240"/>
      <c r="AL196" s="1240"/>
      <c r="AM196" s="1240"/>
      <c r="AN196" s="1240"/>
      <c r="AO196" s="1240"/>
      <c r="AP196" s="1240"/>
    </row>
    <row r="197" spans="1:42" ht="18.75" customHeight="1" x14ac:dyDescent="0.35">
      <c r="A197" s="1240"/>
      <c r="B197" s="1240"/>
      <c r="C197" s="1240"/>
      <c r="D197" s="1240"/>
      <c r="E197" s="1240"/>
      <c r="F197" s="1240"/>
      <c r="G197" s="1240"/>
      <c r="H197" s="1240"/>
      <c r="I197" s="1240"/>
      <c r="J197" s="1240"/>
      <c r="K197" s="1240"/>
      <c r="L197" s="1240"/>
      <c r="M197" s="1240"/>
      <c r="N197" s="1240"/>
      <c r="O197" s="1240"/>
      <c r="P197" s="1247">
        <f t="shared" si="23"/>
        <v>171</v>
      </c>
      <c r="Q197" s="1253" t="e">
        <f t="shared" ca="1" si="22"/>
        <v>#N/A</v>
      </c>
      <c r="R197" s="1247" t="str">
        <f>IFERROR(VLOOKUP(P197,RPCRepaymentDates[],1,FALSE),"")</f>
        <v/>
      </c>
      <c r="S197" s="1259">
        <f t="shared" si="18"/>
        <v>0</v>
      </c>
      <c r="T197" s="1247" t="str">
        <f>IFERROR(VLOOKUP(P197,RPCChargeCycleDates[],1,FALSE),"")</f>
        <v/>
      </c>
      <c r="U197" s="1248" t="str">
        <f>IFERROR(_xlfn.DAYS(T197,$Q$16)-SUM(U$26:U196),"")</f>
        <v/>
      </c>
      <c r="V197" s="1258">
        <f t="shared" ca="1" si="19"/>
        <v>0</v>
      </c>
      <c r="W197" s="1258">
        <f t="shared" ca="1" si="20"/>
        <v>0</v>
      </c>
      <c r="X197" s="1258" t="e">
        <f t="shared" ca="1" si="21"/>
        <v>#N/A</v>
      </c>
      <c r="Y197" s="1240"/>
      <c r="Z197" s="1240"/>
      <c r="AA197" s="1240"/>
      <c r="AB197" s="1240"/>
      <c r="AC197" s="1254" t="e">
        <f t="shared" si="24"/>
        <v>#NUM!</v>
      </c>
      <c r="AD197" s="1240"/>
      <c r="AE197" s="1240"/>
      <c r="AF197" s="1240"/>
      <c r="AG197" s="1240"/>
      <c r="AH197" s="1240"/>
      <c r="AI197" s="1240"/>
      <c r="AJ197" s="1240"/>
      <c r="AK197" s="1240"/>
      <c r="AL197" s="1240"/>
      <c r="AM197" s="1240"/>
      <c r="AN197" s="1240"/>
      <c r="AO197" s="1240"/>
      <c r="AP197" s="1240"/>
    </row>
    <row r="198" spans="1:42" ht="18.75" customHeight="1" x14ac:dyDescent="0.35">
      <c r="A198" s="1240"/>
      <c r="B198" s="1240"/>
      <c r="C198" s="1240"/>
      <c r="D198" s="1240"/>
      <c r="E198" s="1240"/>
      <c r="F198" s="1240"/>
      <c r="G198" s="1240"/>
      <c r="H198" s="1240"/>
      <c r="I198" s="1240"/>
      <c r="J198" s="1240"/>
      <c r="K198" s="1240"/>
      <c r="L198" s="1240"/>
      <c r="M198" s="1240"/>
      <c r="N198" s="1240"/>
      <c r="O198" s="1240"/>
      <c r="P198" s="1247">
        <f t="shared" si="23"/>
        <v>172</v>
      </c>
      <c r="Q198" s="1253" t="e">
        <f t="shared" ca="1" si="22"/>
        <v>#N/A</v>
      </c>
      <c r="R198" s="1247" t="str">
        <f>IFERROR(VLOOKUP(P198,RPCRepaymentDates[],1,FALSE),"")</f>
        <v/>
      </c>
      <c r="S198" s="1259">
        <f t="shared" si="18"/>
        <v>0</v>
      </c>
      <c r="T198" s="1247" t="str">
        <f>IFERROR(VLOOKUP(P198,RPCChargeCycleDates[],1,FALSE),"")</f>
        <v/>
      </c>
      <c r="U198" s="1248" t="str">
        <f>IFERROR(_xlfn.DAYS(T198,$Q$16)-SUM(U$26:U197),"")</f>
        <v/>
      </c>
      <c r="V198" s="1258">
        <f t="shared" ca="1" si="19"/>
        <v>0</v>
      </c>
      <c r="W198" s="1258">
        <f t="shared" ca="1" si="20"/>
        <v>0</v>
      </c>
      <c r="X198" s="1258" t="e">
        <f t="shared" ca="1" si="21"/>
        <v>#N/A</v>
      </c>
      <c r="Y198" s="1240"/>
      <c r="Z198" s="1240"/>
      <c r="AA198" s="1240"/>
      <c r="AB198" s="1240"/>
      <c r="AC198" s="1254" t="e">
        <f t="shared" si="24"/>
        <v>#NUM!</v>
      </c>
      <c r="AD198" s="1240"/>
      <c r="AE198" s="1240"/>
      <c r="AF198" s="1240"/>
      <c r="AG198" s="1240"/>
      <c r="AH198" s="1240"/>
      <c r="AI198" s="1240"/>
      <c r="AJ198" s="1240"/>
      <c r="AK198" s="1240"/>
      <c r="AL198" s="1240"/>
      <c r="AM198" s="1240"/>
      <c r="AN198" s="1240"/>
      <c r="AO198" s="1240"/>
      <c r="AP198" s="1240"/>
    </row>
    <row r="199" spans="1:42" ht="18.75" customHeight="1" x14ac:dyDescent="0.35">
      <c r="A199" s="1240"/>
      <c r="B199" s="1240"/>
      <c r="C199" s="1240"/>
      <c r="D199" s="1240"/>
      <c r="E199" s="1240"/>
      <c r="F199" s="1240"/>
      <c r="G199" s="1240"/>
      <c r="H199" s="1240"/>
      <c r="I199" s="1240"/>
      <c r="J199" s="1240"/>
      <c r="K199" s="1240"/>
      <c r="L199" s="1240"/>
      <c r="M199" s="1240"/>
      <c r="N199" s="1240"/>
      <c r="O199" s="1240"/>
      <c r="P199" s="1247">
        <f t="shared" si="23"/>
        <v>173</v>
      </c>
      <c r="Q199" s="1253" t="e">
        <f t="shared" ca="1" si="22"/>
        <v>#N/A</v>
      </c>
      <c r="R199" s="1247" t="str">
        <f>IFERROR(VLOOKUP(P199,RPCRepaymentDates[],1,FALSE),"")</f>
        <v/>
      </c>
      <c r="S199" s="1259">
        <f t="shared" si="18"/>
        <v>0</v>
      </c>
      <c r="T199" s="1247" t="str">
        <f>IFERROR(VLOOKUP(P199,RPCChargeCycleDates[],1,FALSE),"")</f>
        <v/>
      </c>
      <c r="U199" s="1248" t="str">
        <f>IFERROR(_xlfn.DAYS(T199,$Q$16)-SUM(U$26:U198),"")</f>
        <v/>
      </c>
      <c r="V199" s="1258">
        <f t="shared" ca="1" si="19"/>
        <v>0</v>
      </c>
      <c r="W199" s="1258">
        <f t="shared" ca="1" si="20"/>
        <v>0</v>
      </c>
      <c r="X199" s="1258" t="e">
        <f t="shared" ca="1" si="21"/>
        <v>#N/A</v>
      </c>
      <c r="Y199" s="1240"/>
      <c r="Z199" s="1240"/>
      <c r="AA199" s="1240"/>
      <c r="AB199" s="1240"/>
      <c r="AC199" s="1254" t="e">
        <f t="shared" si="24"/>
        <v>#NUM!</v>
      </c>
      <c r="AD199" s="1240"/>
      <c r="AE199" s="1240"/>
      <c r="AF199" s="1240"/>
      <c r="AG199" s="1240"/>
      <c r="AH199" s="1240"/>
      <c r="AI199" s="1240"/>
      <c r="AJ199" s="1240"/>
      <c r="AK199" s="1240"/>
      <c r="AL199" s="1240"/>
      <c r="AM199" s="1240"/>
      <c r="AN199" s="1240"/>
      <c r="AO199" s="1240"/>
      <c r="AP199" s="1240"/>
    </row>
    <row r="200" spans="1:42" ht="18.75" customHeight="1" x14ac:dyDescent="0.35">
      <c r="A200" s="1240"/>
      <c r="B200" s="1240"/>
      <c r="C200" s="1240"/>
      <c r="D200" s="1240"/>
      <c r="E200" s="1240"/>
      <c r="F200" s="1240"/>
      <c r="G200" s="1240"/>
      <c r="H200" s="1240"/>
      <c r="I200" s="1240"/>
      <c r="J200" s="1240"/>
      <c r="K200" s="1240"/>
      <c r="L200" s="1240"/>
      <c r="M200" s="1240"/>
      <c r="N200" s="1240"/>
      <c r="O200" s="1240"/>
      <c r="P200" s="1247">
        <f t="shared" si="23"/>
        <v>174</v>
      </c>
      <c r="Q200" s="1253" t="e">
        <f t="shared" ca="1" si="22"/>
        <v>#N/A</v>
      </c>
      <c r="R200" s="1247" t="str">
        <f>IFERROR(VLOOKUP(P200,RPCRepaymentDates[],1,FALSE),"")</f>
        <v/>
      </c>
      <c r="S200" s="1259">
        <f t="shared" si="18"/>
        <v>0</v>
      </c>
      <c r="T200" s="1247" t="str">
        <f>IFERROR(VLOOKUP(P200,RPCChargeCycleDates[],1,FALSE),"")</f>
        <v/>
      </c>
      <c r="U200" s="1248" t="str">
        <f>IFERROR(_xlfn.DAYS(T200,$Q$16)-SUM(U$26:U199),"")</f>
        <v/>
      </c>
      <c r="V200" s="1258">
        <f t="shared" ca="1" si="19"/>
        <v>0</v>
      </c>
      <c r="W200" s="1258">
        <f t="shared" ca="1" si="20"/>
        <v>0</v>
      </c>
      <c r="X200" s="1258" t="e">
        <f t="shared" ca="1" si="21"/>
        <v>#N/A</v>
      </c>
      <c r="Y200" s="1240"/>
      <c r="Z200" s="1240"/>
      <c r="AA200" s="1240"/>
      <c r="AB200" s="1240"/>
      <c r="AC200" s="1254" t="e">
        <f t="shared" si="24"/>
        <v>#NUM!</v>
      </c>
      <c r="AD200" s="1240"/>
      <c r="AE200" s="1240"/>
      <c r="AF200" s="1240"/>
      <c r="AG200" s="1240"/>
      <c r="AH200" s="1240"/>
      <c r="AI200" s="1240"/>
      <c r="AJ200" s="1240"/>
      <c r="AK200" s="1240"/>
      <c r="AL200" s="1240"/>
      <c r="AM200" s="1240"/>
      <c r="AN200" s="1240"/>
      <c r="AO200" s="1240"/>
      <c r="AP200" s="1240"/>
    </row>
    <row r="201" spans="1:42" ht="18.75" customHeight="1" x14ac:dyDescent="0.35">
      <c r="A201" s="1240"/>
      <c r="B201" s="1240"/>
      <c r="C201" s="1240"/>
      <c r="D201" s="1240"/>
      <c r="E201" s="1240"/>
      <c r="F201" s="1240"/>
      <c r="G201" s="1240"/>
      <c r="H201" s="1240"/>
      <c r="I201" s="1240"/>
      <c r="J201" s="1240"/>
      <c r="K201" s="1240"/>
      <c r="L201" s="1240"/>
      <c r="M201" s="1240"/>
      <c r="N201" s="1240"/>
      <c r="O201" s="1240"/>
      <c r="P201" s="1247">
        <f t="shared" si="23"/>
        <v>175</v>
      </c>
      <c r="Q201" s="1253" t="e">
        <f t="shared" ca="1" si="22"/>
        <v>#N/A</v>
      </c>
      <c r="R201" s="1247" t="str">
        <f>IFERROR(VLOOKUP(P201,RPCRepaymentDates[],1,FALSE),"")</f>
        <v/>
      </c>
      <c r="S201" s="1259">
        <f t="shared" si="18"/>
        <v>0</v>
      </c>
      <c r="T201" s="1247" t="str">
        <f>IFERROR(VLOOKUP(P201,RPCChargeCycleDates[],1,FALSE),"")</f>
        <v/>
      </c>
      <c r="U201" s="1248" t="str">
        <f>IFERROR(_xlfn.DAYS(T201,$Q$16)-SUM(U$26:U200),"")</f>
        <v/>
      </c>
      <c r="V201" s="1258">
        <f t="shared" ca="1" si="19"/>
        <v>0</v>
      </c>
      <c r="W201" s="1258">
        <f t="shared" ca="1" si="20"/>
        <v>0</v>
      </c>
      <c r="X201" s="1258" t="e">
        <f t="shared" ca="1" si="21"/>
        <v>#N/A</v>
      </c>
      <c r="Y201" s="1240"/>
      <c r="Z201" s="1240"/>
      <c r="AA201" s="1240"/>
      <c r="AB201" s="1240"/>
      <c r="AC201" s="1254" t="e">
        <f t="shared" si="24"/>
        <v>#NUM!</v>
      </c>
      <c r="AD201" s="1240"/>
      <c r="AE201" s="1240"/>
      <c r="AF201" s="1240"/>
      <c r="AG201" s="1240"/>
      <c r="AH201" s="1240"/>
      <c r="AI201" s="1240"/>
      <c r="AJ201" s="1240"/>
      <c r="AK201" s="1240"/>
      <c r="AL201" s="1240"/>
      <c r="AM201" s="1240"/>
      <c r="AN201" s="1240"/>
      <c r="AO201" s="1240"/>
      <c r="AP201" s="1240"/>
    </row>
    <row r="202" spans="1:42" ht="18.75" customHeight="1" x14ac:dyDescent="0.35">
      <c r="A202" s="1240"/>
      <c r="B202" s="1240"/>
      <c r="C202" s="1240"/>
      <c r="D202" s="1240"/>
      <c r="E202" s="1240"/>
      <c r="F202" s="1240"/>
      <c r="G202" s="1240"/>
      <c r="H202" s="1240"/>
      <c r="I202" s="1240"/>
      <c r="J202" s="1240"/>
      <c r="K202" s="1240"/>
      <c r="L202" s="1240"/>
      <c r="M202" s="1240"/>
      <c r="N202" s="1240"/>
      <c r="O202" s="1240"/>
      <c r="P202" s="1247">
        <f t="shared" si="23"/>
        <v>176</v>
      </c>
      <c r="Q202" s="1253" t="e">
        <f t="shared" ca="1" si="22"/>
        <v>#N/A</v>
      </c>
      <c r="R202" s="1247" t="str">
        <f>IFERROR(VLOOKUP(P202,RPCRepaymentDates[],1,FALSE),"")</f>
        <v/>
      </c>
      <c r="S202" s="1259">
        <f t="shared" si="18"/>
        <v>0</v>
      </c>
      <c r="T202" s="1247" t="str">
        <f>IFERROR(VLOOKUP(P202,RPCChargeCycleDates[],1,FALSE),"")</f>
        <v/>
      </c>
      <c r="U202" s="1248" t="str">
        <f>IFERROR(_xlfn.DAYS(T202,$Q$16)-SUM(U$26:U201),"")</f>
        <v/>
      </c>
      <c r="V202" s="1258">
        <f t="shared" ca="1" si="19"/>
        <v>0</v>
      </c>
      <c r="W202" s="1258">
        <f t="shared" ca="1" si="20"/>
        <v>0</v>
      </c>
      <c r="X202" s="1258" t="e">
        <f t="shared" ca="1" si="21"/>
        <v>#N/A</v>
      </c>
      <c r="Y202" s="1240"/>
      <c r="Z202" s="1240"/>
      <c r="AA202" s="1240"/>
      <c r="AB202" s="1240"/>
      <c r="AC202" s="1254" t="e">
        <f t="shared" si="24"/>
        <v>#NUM!</v>
      </c>
      <c r="AD202" s="1240"/>
      <c r="AE202" s="1240"/>
      <c r="AF202" s="1240"/>
      <c r="AG202" s="1240"/>
      <c r="AH202" s="1240"/>
      <c r="AI202" s="1240"/>
      <c r="AJ202" s="1240"/>
      <c r="AK202" s="1240"/>
      <c r="AL202" s="1240"/>
      <c r="AM202" s="1240"/>
      <c r="AN202" s="1240"/>
      <c r="AO202" s="1240"/>
      <c r="AP202" s="1240"/>
    </row>
    <row r="203" spans="1:42" ht="18.75" customHeight="1" x14ac:dyDescent="0.35">
      <c r="A203" s="1240"/>
      <c r="B203" s="1240"/>
      <c r="C203" s="1240"/>
      <c r="D203" s="1240"/>
      <c r="E203" s="1240"/>
      <c r="F203" s="1240"/>
      <c r="G203" s="1240"/>
      <c r="H203" s="1240"/>
      <c r="I203" s="1240"/>
      <c r="J203" s="1240"/>
      <c r="K203" s="1240"/>
      <c r="L203" s="1240"/>
      <c r="M203" s="1240"/>
      <c r="N203" s="1240"/>
      <c r="O203" s="1240"/>
      <c r="P203" s="1247">
        <f t="shared" si="23"/>
        <v>177</v>
      </c>
      <c r="Q203" s="1253" t="e">
        <f t="shared" ca="1" si="22"/>
        <v>#N/A</v>
      </c>
      <c r="R203" s="1247" t="str">
        <f>IFERROR(VLOOKUP(P203,RPCRepaymentDates[],1,FALSE),"")</f>
        <v/>
      </c>
      <c r="S203" s="1259">
        <f t="shared" si="18"/>
        <v>0</v>
      </c>
      <c r="T203" s="1247" t="str">
        <f>IFERROR(VLOOKUP(P203,RPCChargeCycleDates[],1,FALSE),"")</f>
        <v/>
      </c>
      <c r="U203" s="1248" t="str">
        <f>IFERROR(_xlfn.DAYS(T203,$Q$16)-SUM(U$26:U202),"")</f>
        <v/>
      </c>
      <c r="V203" s="1258">
        <f t="shared" ca="1" si="19"/>
        <v>0</v>
      </c>
      <c r="W203" s="1258">
        <f t="shared" ca="1" si="20"/>
        <v>0</v>
      </c>
      <c r="X203" s="1258" t="e">
        <f t="shared" ca="1" si="21"/>
        <v>#N/A</v>
      </c>
      <c r="Y203" s="1240"/>
      <c r="Z203" s="1240"/>
      <c r="AA203" s="1240"/>
      <c r="AB203" s="1240"/>
      <c r="AC203" s="1254" t="e">
        <f t="shared" si="24"/>
        <v>#NUM!</v>
      </c>
      <c r="AD203" s="1240"/>
      <c r="AE203" s="1240"/>
      <c r="AF203" s="1240"/>
      <c r="AG203" s="1240"/>
      <c r="AH203" s="1240"/>
      <c r="AI203" s="1240"/>
      <c r="AJ203" s="1240"/>
      <c r="AK203" s="1240"/>
      <c r="AL203" s="1240"/>
      <c r="AM203" s="1240"/>
      <c r="AN203" s="1240"/>
      <c r="AO203" s="1240"/>
      <c r="AP203" s="1240"/>
    </row>
    <row r="204" spans="1:42" ht="18.75" customHeight="1" x14ac:dyDescent="0.35">
      <c r="A204" s="1240"/>
      <c r="B204" s="1240"/>
      <c r="C204" s="1240"/>
      <c r="D204" s="1240"/>
      <c r="E204" s="1240"/>
      <c r="F204" s="1240"/>
      <c r="G204" s="1240"/>
      <c r="H204" s="1240"/>
      <c r="I204" s="1240"/>
      <c r="J204" s="1240"/>
      <c r="K204" s="1240"/>
      <c r="L204" s="1240"/>
      <c r="M204" s="1240"/>
      <c r="N204" s="1240"/>
      <c r="O204" s="1240"/>
      <c r="P204" s="1247">
        <f t="shared" si="23"/>
        <v>178</v>
      </c>
      <c r="Q204" s="1253" t="e">
        <f t="shared" ca="1" si="22"/>
        <v>#N/A</v>
      </c>
      <c r="R204" s="1247" t="str">
        <f>IFERROR(VLOOKUP(P204,RPCRepaymentDates[],1,FALSE),"")</f>
        <v/>
      </c>
      <c r="S204" s="1259">
        <f t="shared" si="18"/>
        <v>0</v>
      </c>
      <c r="T204" s="1247" t="str">
        <f>IFERROR(VLOOKUP(P204,RPCChargeCycleDates[],1,FALSE),"")</f>
        <v/>
      </c>
      <c r="U204" s="1248" t="str">
        <f>IFERROR(_xlfn.DAYS(T204,$Q$16)-SUM(U$26:U203),"")</f>
        <v/>
      </c>
      <c r="V204" s="1258">
        <f t="shared" ca="1" si="19"/>
        <v>0</v>
      </c>
      <c r="W204" s="1258">
        <f t="shared" ca="1" si="20"/>
        <v>0</v>
      </c>
      <c r="X204" s="1258" t="e">
        <f t="shared" ca="1" si="21"/>
        <v>#N/A</v>
      </c>
      <c r="Y204" s="1240"/>
      <c r="Z204" s="1240"/>
      <c r="AA204" s="1240"/>
      <c r="AB204" s="1240"/>
      <c r="AC204" s="1254" t="e">
        <f t="shared" si="24"/>
        <v>#NUM!</v>
      </c>
      <c r="AD204" s="1240"/>
      <c r="AE204" s="1240"/>
      <c r="AF204" s="1240"/>
      <c r="AG204" s="1240"/>
      <c r="AH204" s="1240"/>
      <c r="AI204" s="1240"/>
      <c r="AJ204" s="1240"/>
      <c r="AK204" s="1240"/>
      <c r="AL204" s="1240"/>
      <c r="AM204" s="1240"/>
      <c r="AN204" s="1240"/>
      <c r="AO204" s="1240"/>
      <c r="AP204" s="1240"/>
    </row>
    <row r="205" spans="1:42" ht="18.75" customHeight="1" x14ac:dyDescent="0.35">
      <c r="A205" s="1240"/>
      <c r="B205" s="1240"/>
      <c r="C205" s="1240"/>
      <c r="D205" s="1240"/>
      <c r="E205" s="1240"/>
      <c r="F205" s="1240"/>
      <c r="G205" s="1240"/>
      <c r="H205" s="1240"/>
      <c r="I205" s="1240"/>
      <c r="J205" s="1240"/>
      <c r="K205" s="1240"/>
      <c r="L205" s="1240"/>
      <c r="M205" s="1240"/>
      <c r="N205" s="1240"/>
      <c r="O205" s="1240"/>
      <c r="P205" s="1247">
        <f t="shared" si="23"/>
        <v>179</v>
      </c>
      <c r="Q205" s="1253" t="e">
        <f t="shared" ca="1" si="22"/>
        <v>#N/A</v>
      </c>
      <c r="R205" s="1247" t="str">
        <f>IFERROR(VLOOKUP(P205,RPCRepaymentDates[],1,FALSE),"")</f>
        <v/>
      </c>
      <c r="S205" s="1259">
        <f t="shared" si="18"/>
        <v>0</v>
      </c>
      <c r="T205" s="1247" t="str">
        <f>IFERROR(VLOOKUP(P205,RPCChargeCycleDates[],1,FALSE),"")</f>
        <v/>
      </c>
      <c r="U205" s="1248" t="str">
        <f>IFERROR(_xlfn.DAYS(T205,$Q$16)-SUM(U$26:U204),"")</f>
        <v/>
      </c>
      <c r="V205" s="1258">
        <f t="shared" ca="1" si="19"/>
        <v>0</v>
      </c>
      <c r="W205" s="1258">
        <f t="shared" ca="1" si="20"/>
        <v>0</v>
      </c>
      <c r="X205" s="1258" t="e">
        <f t="shared" ca="1" si="21"/>
        <v>#N/A</v>
      </c>
      <c r="Y205" s="1240"/>
      <c r="Z205" s="1240"/>
      <c r="AA205" s="1240"/>
      <c r="AB205" s="1240"/>
      <c r="AC205" s="1254" t="e">
        <f t="shared" si="24"/>
        <v>#NUM!</v>
      </c>
      <c r="AD205" s="1240"/>
      <c r="AE205" s="1240"/>
      <c r="AF205" s="1240"/>
      <c r="AG205" s="1240"/>
      <c r="AH205" s="1240"/>
      <c r="AI205" s="1240"/>
      <c r="AJ205" s="1240"/>
      <c r="AK205" s="1240"/>
      <c r="AL205" s="1240"/>
      <c r="AM205" s="1240"/>
      <c r="AN205" s="1240"/>
      <c r="AO205" s="1240"/>
      <c r="AP205" s="1240"/>
    </row>
    <row r="206" spans="1:42" ht="18.75" customHeight="1" x14ac:dyDescent="0.35">
      <c r="A206" s="1240"/>
      <c r="B206" s="1240"/>
      <c r="C206" s="1240"/>
      <c r="D206" s="1240"/>
      <c r="E206" s="1240"/>
      <c r="F206" s="1240"/>
      <c r="G206" s="1240"/>
      <c r="H206" s="1240"/>
      <c r="I206" s="1240"/>
      <c r="J206" s="1240"/>
      <c r="K206" s="1240"/>
      <c r="L206" s="1240"/>
      <c r="M206" s="1240"/>
      <c r="N206" s="1240"/>
      <c r="O206" s="1240"/>
      <c r="P206" s="1247">
        <f t="shared" si="23"/>
        <v>180</v>
      </c>
      <c r="Q206" s="1253" t="e">
        <f t="shared" ca="1" si="22"/>
        <v>#N/A</v>
      </c>
      <c r="R206" s="1247" t="str">
        <f>IFERROR(VLOOKUP(P206,RPCRepaymentDates[],1,FALSE),"")</f>
        <v/>
      </c>
      <c r="S206" s="1259">
        <f t="shared" si="18"/>
        <v>0</v>
      </c>
      <c r="T206" s="1247">
        <f>IFERROR(VLOOKUP(P206,RPCChargeCycleDates[],1,FALSE),"")</f>
        <v>180</v>
      </c>
      <c r="U206" s="1248">
        <f>IFERROR(_xlfn.DAYS(T206,$Q$16)-SUM(U$26:U205),"")</f>
        <v>31</v>
      </c>
      <c r="V206" s="1258">
        <f t="shared" ca="1" si="19"/>
        <v>0</v>
      </c>
      <c r="W206" s="1258">
        <f t="shared" ca="1" si="20"/>
        <v>0</v>
      </c>
      <c r="X206" s="1258" t="e">
        <f t="shared" ca="1" si="21"/>
        <v>#N/A</v>
      </c>
      <c r="Y206" s="1240"/>
      <c r="Z206" s="1240"/>
      <c r="AA206" s="1240"/>
      <c r="AB206" s="1240"/>
      <c r="AC206" s="1254" t="e">
        <f t="shared" si="24"/>
        <v>#NUM!</v>
      </c>
      <c r="AD206" s="1240"/>
      <c r="AE206" s="1240"/>
      <c r="AF206" s="1240"/>
      <c r="AG206" s="1240"/>
      <c r="AH206" s="1240"/>
      <c r="AI206" s="1240"/>
      <c r="AJ206" s="1240"/>
      <c r="AK206" s="1240"/>
      <c r="AL206" s="1240"/>
      <c r="AM206" s="1240"/>
      <c r="AN206" s="1240"/>
      <c r="AO206" s="1240"/>
      <c r="AP206" s="1240"/>
    </row>
    <row r="207" spans="1:42" ht="18.75" customHeight="1" x14ac:dyDescent="0.35">
      <c r="A207" s="1240"/>
      <c r="B207" s="1240"/>
      <c r="C207" s="1240"/>
      <c r="D207" s="1240"/>
      <c r="E207" s="1240"/>
      <c r="F207" s="1240"/>
      <c r="G207" s="1240"/>
      <c r="H207" s="1240"/>
      <c r="I207" s="1240"/>
      <c r="J207" s="1240"/>
      <c r="K207" s="1240"/>
      <c r="L207" s="1240"/>
      <c r="M207" s="1240"/>
      <c r="N207" s="1240"/>
      <c r="O207" s="1240"/>
      <c r="P207" s="1247">
        <f t="shared" si="23"/>
        <v>181</v>
      </c>
      <c r="Q207" s="1253" t="e">
        <f t="shared" ca="1" si="22"/>
        <v>#N/A</v>
      </c>
      <c r="R207" s="1247" t="str">
        <f>IFERROR(VLOOKUP(P207,RPCRepaymentDates[],1,FALSE),"")</f>
        <v/>
      </c>
      <c r="S207" s="1259">
        <f t="shared" si="18"/>
        <v>0</v>
      </c>
      <c r="T207" s="1247" t="str">
        <f>IFERROR(VLOOKUP(P207,RPCChargeCycleDates[],1,FALSE),"")</f>
        <v/>
      </c>
      <c r="U207" s="1248" t="str">
        <f>IFERROR(_xlfn.DAYS(T207,$Q$16)-SUM(U$26:U206),"")</f>
        <v/>
      </c>
      <c r="V207" s="1258">
        <f t="shared" ca="1" si="19"/>
        <v>0</v>
      </c>
      <c r="W207" s="1258">
        <f t="shared" ca="1" si="20"/>
        <v>0</v>
      </c>
      <c r="X207" s="1258" t="e">
        <f t="shared" ca="1" si="21"/>
        <v>#N/A</v>
      </c>
      <c r="Y207" s="1240"/>
      <c r="Z207" s="1240"/>
      <c r="AA207" s="1240"/>
      <c r="AB207" s="1240"/>
      <c r="AC207" s="1254" t="e">
        <f t="shared" si="24"/>
        <v>#NUM!</v>
      </c>
      <c r="AD207" s="1240"/>
      <c r="AE207" s="1240"/>
      <c r="AF207" s="1240"/>
      <c r="AG207" s="1240"/>
      <c r="AH207" s="1240"/>
      <c r="AI207" s="1240"/>
      <c r="AJ207" s="1240"/>
      <c r="AK207" s="1240"/>
      <c r="AL207" s="1240"/>
      <c r="AM207" s="1240"/>
      <c r="AN207" s="1240"/>
      <c r="AO207" s="1240"/>
      <c r="AP207" s="1240"/>
    </row>
    <row r="208" spans="1:42" ht="18.75" customHeight="1" x14ac:dyDescent="0.35">
      <c r="A208" s="1240"/>
      <c r="B208" s="1240"/>
      <c r="C208" s="1240"/>
      <c r="D208" s="1240"/>
      <c r="E208" s="1240"/>
      <c r="F208" s="1240"/>
      <c r="G208" s="1240"/>
      <c r="H208" s="1240"/>
      <c r="I208" s="1240"/>
      <c r="J208" s="1240"/>
      <c r="K208" s="1240"/>
      <c r="L208" s="1240"/>
      <c r="M208" s="1240"/>
      <c r="N208" s="1240"/>
      <c r="O208" s="1240"/>
      <c r="P208" s="1247">
        <f t="shared" si="23"/>
        <v>182</v>
      </c>
      <c r="Q208" s="1253" t="e">
        <f t="shared" ca="1" si="22"/>
        <v>#N/A</v>
      </c>
      <c r="R208" s="1247" t="str">
        <f>IFERROR(VLOOKUP(P208,RPCRepaymentDates[],1,FALSE),"")</f>
        <v/>
      </c>
      <c r="S208" s="1259">
        <f t="shared" si="18"/>
        <v>0</v>
      </c>
      <c r="T208" s="1247" t="str">
        <f>IFERROR(VLOOKUP(P208,RPCChargeCycleDates[],1,FALSE),"")</f>
        <v/>
      </c>
      <c r="U208" s="1248" t="str">
        <f>IFERROR(_xlfn.DAYS(T208,$Q$16)-SUM(U$26:U207),"")</f>
        <v/>
      </c>
      <c r="V208" s="1258">
        <f t="shared" ca="1" si="19"/>
        <v>0</v>
      </c>
      <c r="W208" s="1258">
        <f t="shared" ca="1" si="20"/>
        <v>0</v>
      </c>
      <c r="X208" s="1258" t="e">
        <f t="shared" ca="1" si="21"/>
        <v>#N/A</v>
      </c>
      <c r="Y208" s="1240"/>
      <c r="Z208" s="1240"/>
      <c r="AA208" s="1240"/>
      <c r="AB208" s="1240"/>
      <c r="AC208" s="1254" t="e">
        <f t="shared" si="24"/>
        <v>#NUM!</v>
      </c>
      <c r="AD208" s="1240"/>
      <c r="AE208" s="1240"/>
      <c r="AF208" s="1240"/>
      <c r="AG208" s="1240"/>
      <c r="AH208" s="1240"/>
      <c r="AI208" s="1240"/>
      <c r="AJ208" s="1240"/>
      <c r="AK208" s="1240"/>
      <c r="AL208" s="1240"/>
      <c r="AM208" s="1240"/>
      <c r="AN208" s="1240"/>
      <c r="AO208" s="1240"/>
      <c r="AP208" s="1240"/>
    </row>
    <row r="209" spans="1:42" ht="18.75" customHeight="1" x14ac:dyDescent="0.35">
      <c r="A209" s="1240"/>
      <c r="B209" s="1240"/>
      <c r="C209" s="1240"/>
      <c r="D209" s="1240"/>
      <c r="E209" s="1240"/>
      <c r="F209" s="1240"/>
      <c r="G209" s="1240"/>
      <c r="H209" s="1240"/>
      <c r="I209" s="1240"/>
      <c r="J209" s="1240"/>
      <c r="K209" s="1240"/>
      <c r="L209" s="1240"/>
      <c r="M209" s="1240"/>
      <c r="N209" s="1240"/>
      <c r="O209" s="1240"/>
      <c r="P209" s="1247">
        <f t="shared" si="23"/>
        <v>183</v>
      </c>
      <c r="Q209" s="1253" t="e">
        <f t="shared" ca="1" si="22"/>
        <v>#N/A</v>
      </c>
      <c r="R209" s="1247" t="str">
        <f>IFERROR(VLOOKUP(P209,RPCRepaymentDates[],1,FALSE),"")</f>
        <v/>
      </c>
      <c r="S209" s="1259">
        <f t="shared" si="18"/>
        <v>0</v>
      </c>
      <c r="T209" s="1247" t="str">
        <f>IFERROR(VLOOKUP(P209,RPCChargeCycleDates[],1,FALSE),"")</f>
        <v/>
      </c>
      <c r="U209" s="1248" t="str">
        <f>IFERROR(_xlfn.DAYS(T209,$Q$16)-SUM(U$26:U208),"")</f>
        <v/>
      </c>
      <c r="V209" s="1258">
        <f t="shared" ca="1" si="19"/>
        <v>0</v>
      </c>
      <c r="W209" s="1258">
        <f t="shared" ca="1" si="20"/>
        <v>0</v>
      </c>
      <c r="X209" s="1258" t="e">
        <f t="shared" ca="1" si="21"/>
        <v>#N/A</v>
      </c>
      <c r="Y209" s="1240"/>
      <c r="Z209" s="1240"/>
      <c r="AA209" s="1240"/>
      <c r="AB209" s="1240"/>
      <c r="AC209" s="1254" t="e">
        <f t="shared" si="24"/>
        <v>#NUM!</v>
      </c>
      <c r="AD209" s="1240"/>
      <c r="AE209" s="1240"/>
      <c r="AF209" s="1240"/>
      <c r="AG209" s="1240"/>
      <c r="AH209" s="1240"/>
      <c r="AI209" s="1240"/>
      <c r="AJ209" s="1240"/>
      <c r="AK209" s="1240"/>
      <c r="AL209" s="1240"/>
      <c r="AM209" s="1240"/>
      <c r="AN209" s="1240"/>
      <c r="AO209" s="1240"/>
      <c r="AP209" s="1240"/>
    </row>
    <row r="210" spans="1:42" ht="18.75" customHeight="1" x14ac:dyDescent="0.35">
      <c r="A210" s="1240"/>
      <c r="B210" s="1240"/>
      <c r="C210" s="1240"/>
      <c r="D210" s="1240"/>
      <c r="E210" s="1240"/>
      <c r="F210" s="1240"/>
      <c r="G210" s="1240"/>
      <c r="H210" s="1240"/>
      <c r="I210" s="1240"/>
      <c r="J210" s="1240"/>
      <c r="K210" s="1240"/>
      <c r="L210" s="1240"/>
      <c r="M210" s="1240"/>
      <c r="N210" s="1240"/>
      <c r="O210" s="1240"/>
      <c r="P210" s="1247">
        <f t="shared" si="23"/>
        <v>184</v>
      </c>
      <c r="Q210" s="1253" t="e">
        <f t="shared" ca="1" si="22"/>
        <v>#N/A</v>
      </c>
      <c r="R210" s="1247" t="str">
        <f>IFERROR(VLOOKUP(P210,RPCRepaymentDates[],1,FALSE),"")</f>
        <v/>
      </c>
      <c r="S210" s="1259">
        <f t="shared" si="18"/>
        <v>0</v>
      </c>
      <c r="T210" s="1247" t="str">
        <f>IFERROR(VLOOKUP(P210,RPCChargeCycleDates[],1,FALSE),"")</f>
        <v/>
      </c>
      <c r="U210" s="1248" t="str">
        <f>IFERROR(_xlfn.DAYS(T210,$Q$16)-SUM(U$26:U209),"")</f>
        <v/>
      </c>
      <c r="V210" s="1258">
        <f t="shared" ca="1" si="19"/>
        <v>0</v>
      </c>
      <c r="W210" s="1258">
        <f t="shared" ca="1" si="20"/>
        <v>0</v>
      </c>
      <c r="X210" s="1258" t="e">
        <f t="shared" ca="1" si="21"/>
        <v>#N/A</v>
      </c>
      <c r="Y210" s="1240"/>
      <c r="Z210" s="1240"/>
      <c r="AA210" s="1240"/>
      <c r="AB210" s="1240"/>
      <c r="AC210" s="1254" t="e">
        <f t="shared" si="24"/>
        <v>#NUM!</v>
      </c>
      <c r="AD210" s="1240"/>
      <c r="AE210" s="1240"/>
      <c r="AF210" s="1240"/>
      <c r="AG210" s="1240"/>
      <c r="AH210" s="1240"/>
      <c r="AI210" s="1240"/>
      <c r="AJ210" s="1240"/>
      <c r="AK210" s="1240"/>
      <c r="AL210" s="1240"/>
      <c r="AM210" s="1240"/>
      <c r="AN210" s="1240"/>
      <c r="AO210" s="1240"/>
      <c r="AP210" s="1240"/>
    </row>
    <row r="211" spans="1:42" ht="18.75" customHeight="1" x14ac:dyDescent="0.35">
      <c r="A211" s="1240"/>
      <c r="B211" s="1240"/>
      <c r="C211" s="1240"/>
      <c r="D211" s="1240"/>
      <c r="E211" s="1240"/>
      <c r="F211" s="1240"/>
      <c r="G211" s="1240"/>
      <c r="H211" s="1240"/>
      <c r="I211" s="1240"/>
      <c r="J211" s="1240"/>
      <c r="K211" s="1240"/>
      <c r="L211" s="1240"/>
      <c r="M211" s="1240"/>
      <c r="N211" s="1240"/>
      <c r="O211" s="1240"/>
      <c r="P211" s="1247">
        <f t="shared" si="23"/>
        <v>185</v>
      </c>
      <c r="Q211" s="1253" t="e">
        <f t="shared" ca="1" si="22"/>
        <v>#N/A</v>
      </c>
      <c r="R211" s="1247" t="str">
        <f>IFERROR(VLOOKUP(P211,RPCRepaymentDates[],1,FALSE),"")</f>
        <v/>
      </c>
      <c r="S211" s="1259">
        <f t="shared" si="18"/>
        <v>0</v>
      </c>
      <c r="T211" s="1247" t="str">
        <f>IFERROR(VLOOKUP(P211,RPCChargeCycleDates[],1,FALSE),"")</f>
        <v/>
      </c>
      <c r="U211" s="1248" t="str">
        <f>IFERROR(_xlfn.DAYS(T211,$Q$16)-SUM(U$26:U210),"")</f>
        <v/>
      </c>
      <c r="V211" s="1258">
        <f t="shared" ca="1" si="19"/>
        <v>0</v>
      </c>
      <c r="W211" s="1258">
        <f t="shared" ca="1" si="20"/>
        <v>0</v>
      </c>
      <c r="X211" s="1258" t="e">
        <f t="shared" ca="1" si="21"/>
        <v>#N/A</v>
      </c>
      <c r="Y211" s="1240"/>
      <c r="Z211" s="1240"/>
      <c r="AA211" s="1240"/>
      <c r="AB211" s="1240"/>
      <c r="AC211" s="1254" t="e">
        <f t="shared" si="24"/>
        <v>#NUM!</v>
      </c>
      <c r="AD211" s="1240"/>
      <c r="AE211" s="1240"/>
      <c r="AF211" s="1240"/>
      <c r="AG211" s="1240"/>
      <c r="AH211" s="1240"/>
      <c r="AI211" s="1240"/>
      <c r="AJ211" s="1240"/>
      <c r="AK211" s="1240"/>
      <c r="AL211" s="1240"/>
      <c r="AM211" s="1240"/>
      <c r="AN211" s="1240"/>
      <c r="AO211" s="1240"/>
      <c r="AP211" s="1240"/>
    </row>
    <row r="212" spans="1:42" ht="18.75" customHeight="1" x14ac:dyDescent="0.35">
      <c r="A212" s="1240"/>
      <c r="B212" s="1240"/>
      <c r="C212" s="1240"/>
      <c r="D212" s="1240"/>
      <c r="E212" s="1240"/>
      <c r="F212" s="1240"/>
      <c r="G212" s="1240"/>
      <c r="H212" s="1240"/>
      <c r="I212" s="1240"/>
      <c r="J212" s="1240"/>
      <c r="K212" s="1240"/>
      <c r="L212" s="1240"/>
      <c r="M212" s="1240"/>
      <c r="N212" s="1240"/>
      <c r="O212" s="1240"/>
      <c r="P212" s="1247">
        <f t="shared" si="23"/>
        <v>186</v>
      </c>
      <c r="Q212" s="1253" t="e">
        <f t="shared" ca="1" si="22"/>
        <v>#N/A</v>
      </c>
      <c r="R212" s="1247" t="str">
        <f>IFERROR(VLOOKUP(P212,RPCRepaymentDates[],1,FALSE),"")</f>
        <v/>
      </c>
      <c r="S212" s="1259">
        <f t="shared" si="18"/>
        <v>0</v>
      </c>
      <c r="T212" s="1247" t="str">
        <f>IFERROR(VLOOKUP(P212,RPCChargeCycleDates[],1,FALSE),"")</f>
        <v/>
      </c>
      <c r="U212" s="1248" t="str">
        <f>IFERROR(_xlfn.DAYS(T212,$Q$16)-SUM(U$26:U211),"")</f>
        <v/>
      </c>
      <c r="V212" s="1258">
        <f t="shared" ca="1" si="19"/>
        <v>0</v>
      </c>
      <c r="W212" s="1258">
        <f t="shared" ca="1" si="20"/>
        <v>0</v>
      </c>
      <c r="X212" s="1258" t="e">
        <f t="shared" ca="1" si="21"/>
        <v>#N/A</v>
      </c>
      <c r="Y212" s="1240"/>
      <c r="Z212" s="1240"/>
      <c r="AA212" s="1240"/>
      <c r="AB212" s="1240"/>
      <c r="AC212" s="1254" t="e">
        <f t="shared" si="24"/>
        <v>#NUM!</v>
      </c>
      <c r="AD212" s="1240"/>
      <c r="AE212" s="1240"/>
      <c r="AF212" s="1240"/>
      <c r="AG212" s="1240"/>
      <c r="AH212" s="1240"/>
      <c r="AI212" s="1240"/>
      <c r="AJ212" s="1240"/>
      <c r="AK212" s="1240"/>
      <c r="AL212" s="1240"/>
      <c r="AM212" s="1240"/>
      <c r="AN212" s="1240"/>
      <c r="AO212" s="1240"/>
      <c r="AP212" s="1240"/>
    </row>
    <row r="213" spans="1:42" ht="18.75" customHeight="1" x14ac:dyDescent="0.35">
      <c r="A213" s="1240"/>
      <c r="B213" s="1240"/>
      <c r="C213" s="1240"/>
      <c r="D213" s="1240"/>
      <c r="E213" s="1240"/>
      <c r="F213" s="1240"/>
      <c r="G213" s="1240"/>
      <c r="H213" s="1240"/>
      <c r="I213" s="1240"/>
      <c r="J213" s="1240"/>
      <c r="K213" s="1240"/>
      <c r="L213" s="1240"/>
      <c r="M213" s="1240"/>
      <c r="N213" s="1240"/>
      <c r="O213" s="1240"/>
      <c r="P213" s="1247">
        <f t="shared" si="23"/>
        <v>187</v>
      </c>
      <c r="Q213" s="1253" t="e">
        <f t="shared" ca="1" si="22"/>
        <v>#N/A</v>
      </c>
      <c r="R213" s="1247" t="str">
        <f>IFERROR(VLOOKUP(P213,RPCRepaymentDates[],1,FALSE),"")</f>
        <v/>
      </c>
      <c r="S213" s="1259">
        <f t="shared" si="18"/>
        <v>0</v>
      </c>
      <c r="T213" s="1247" t="str">
        <f>IFERROR(VLOOKUP(P213,RPCChargeCycleDates[],1,FALSE),"")</f>
        <v/>
      </c>
      <c r="U213" s="1248" t="str">
        <f>IFERROR(_xlfn.DAYS(T213,$Q$16)-SUM(U$26:U212),"")</f>
        <v/>
      </c>
      <c r="V213" s="1258">
        <f t="shared" ca="1" si="19"/>
        <v>0</v>
      </c>
      <c r="W213" s="1258">
        <f t="shared" ca="1" si="20"/>
        <v>0</v>
      </c>
      <c r="X213" s="1258" t="e">
        <f t="shared" ca="1" si="21"/>
        <v>#N/A</v>
      </c>
      <c r="Y213" s="1240"/>
      <c r="Z213" s="1240"/>
      <c r="AA213" s="1240"/>
      <c r="AB213" s="1240"/>
      <c r="AC213" s="1254" t="e">
        <f t="shared" si="24"/>
        <v>#NUM!</v>
      </c>
      <c r="AD213" s="1240"/>
      <c r="AE213" s="1240"/>
      <c r="AF213" s="1240"/>
      <c r="AG213" s="1240"/>
      <c r="AH213" s="1240"/>
      <c r="AI213" s="1240"/>
      <c r="AJ213" s="1240"/>
      <c r="AK213" s="1240"/>
      <c r="AL213" s="1240"/>
      <c r="AM213" s="1240"/>
      <c r="AN213" s="1240"/>
      <c r="AO213" s="1240"/>
      <c r="AP213" s="1240"/>
    </row>
    <row r="214" spans="1:42" ht="18.75" customHeight="1" x14ac:dyDescent="0.35">
      <c r="A214" s="1240"/>
      <c r="B214" s="1240"/>
      <c r="C214" s="1240"/>
      <c r="D214" s="1240"/>
      <c r="E214" s="1240"/>
      <c r="F214" s="1240"/>
      <c r="G214" s="1240"/>
      <c r="H214" s="1240"/>
      <c r="I214" s="1240"/>
      <c r="J214" s="1240"/>
      <c r="K214" s="1240"/>
      <c r="L214" s="1240"/>
      <c r="M214" s="1240"/>
      <c r="N214" s="1240"/>
      <c r="O214" s="1240"/>
      <c r="P214" s="1247">
        <f t="shared" si="23"/>
        <v>188</v>
      </c>
      <c r="Q214" s="1253" t="e">
        <f t="shared" ca="1" si="22"/>
        <v>#N/A</v>
      </c>
      <c r="R214" s="1247" t="str">
        <f>IFERROR(VLOOKUP(P214,RPCRepaymentDates[],1,FALSE),"")</f>
        <v/>
      </c>
      <c r="S214" s="1259">
        <f t="shared" si="18"/>
        <v>0</v>
      </c>
      <c r="T214" s="1247" t="str">
        <f>IFERROR(VLOOKUP(P214,RPCChargeCycleDates[],1,FALSE),"")</f>
        <v/>
      </c>
      <c r="U214" s="1248" t="str">
        <f>IFERROR(_xlfn.DAYS(T214,$Q$16)-SUM(U$26:U213),"")</f>
        <v/>
      </c>
      <c r="V214" s="1258">
        <f t="shared" ca="1" si="19"/>
        <v>0</v>
      </c>
      <c r="W214" s="1258">
        <f t="shared" ca="1" si="20"/>
        <v>0</v>
      </c>
      <c r="X214" s="1258" t="e">
        <f t="shared" ca="1" si="21"/>
        <v>#N/A</v>
      </c>
      <c r="Y214" s="1240"/>
      <c r="Z214" s="1240"/>
      <c r="AA214" s="1240"/>
      <c r="AB214" s="1240"/>
      <c r="AC214" s="1254" t="e">
        <f t="shared" si="24"/>
        <v>#NUM!</v>
      </c>
      <c r="AD214" s="1240"/>
      <c r="AE214" s="1240"/>
      <c r="AF214" s="1240"/>
      <c r="AG214" s="1240"/>
      <c r="AH214" s="1240"/>
      <c r="AI214" s="1240"/>
      <c r="AJ214" s="1240"/>
      <c r="AK214" s="1240"/>
      <c r="AL214" s="1240"/>
      <c r="AM214" s="1240"/>
      <c r="AN214" s="1240"/>
      <c r="AO214" s="1240"/>
      <c r="AP214" s="1240"/>
    </row>
    <row r="215" spans="1:42" ht="18.75" customHeight="1" x14ac:dyDescent="0.35">
      <c r="A215" s="1240"/>
      <c r="B215" s="1240"/>
      <c r="C215" s="1240"/>
      <c r="D215" s="1240"/>
      <c r="E215" s="1240"/>
      <c r="F215" s="1240"/>
      <c r="G215" s="1240"/>
      <c r="H215" s="1240"/>
      <c r="I215" s="1240"/>
      <c r="J215" s="1240"/>
      <c r="K215" s="1240"/>
      <c r="L215" s="1240"/>
      <c r="M215" s="1240"/>
      <c r="N215" s="1240"/>
      <c r="O215" s="1240"/>
      <c r="P215" s="1247">
        <f t="shared" si="23"/>
        <v>189</v>
      </c>
      <c r="Q215" s="1253" t="e">
        <f t="shared" ca="1" si="22"/>
        <v>#N/A</v>
      </c>
      <c r="R215" s="1247" t="str">
        <f>IFERROR(VLOOKUP(P215,RPCRepaymentDates[],1,FALSE),"")</f>
        <v/>
      </c>
      <c r="S215" s="1259">
        <f t="shared" si="18"/>
        <v>0</v>
      </c>
      <c r="T215" s="1247" t="str">
        <f>IFERROR(VLOOKUP(P215,RPCChargeCycleDates[],1,FALSE),"")</f>
        <v/>
      </c>
      <c r="U215" s="1248" t="str">
        <f>IFERROR(_xlfn.DAYS(T215,$Q$16)-SUM(U$26:U214),"")</f>
        <v/>
      </c>
      <c r="V215" s="1258">
        <f t="shared" ca="1" si="19"/>
        <v>0</v>
      </c>
      <c r="W215" s="1258">
        <f t="shared" ca="1" si="20"/>
        <v>0</v>
      </c>
      <c r="X215" s="1258" t="e">
        <f t="shared" ca="1" si="21"/>
        <v>#N/A</v>
      </c>
      <c r="Y215" s="1240"/>
      <c r="Z215" s="1240"/>
      <c r="AA215" s="1240"/>
      <c r="AB215" s="1240"/>
      <c r="AC215" s="1254" t="e">
        <f t="shared" si="24"/>
        <v>#NUM!</v>
      </c>
      <c r="AD215" s="1240"/>
      <c r="AE215" s="1240"/>
      <c r="AF215" s="1240"/>
      <c r="AG215" s="1240"/>
      <c r="AH215" s="1240"/>
      <c r="AI215" s="1240"/>
      <c r="AJ215" s="1240"/>
      <c r="AK215" s="1240"/>
      <c r="AL215" s="1240"/>
      <c r="AM215" s="1240"/>
      <c r="AN215" s="1240"/>
      <c r="AO215" s="1240"/>
      <c r="AP215" s="1240"/>
    </row>
    <row r="216" spans="1:42" ht="18.75" customHeight="1" x14ac:dyDescent="0.35">
      <c r="A216" s="1240"/>
      <c r="B216" s="1240"/>
      <c r="C216" s="1240"/>
      <c r="D216" s="1240"/>
      <c r="E216" s="1240"/>
      <c r="F216" s="1240"/>
      <c r="G216" s="1240"/>
      <c r="H216" s="1240"/>
      <c r="I216" s="1240"/>
      <c r="J216" s="1240"/>
      <c r="K216" s="1240"/>
      <c r="L216" s="1240"/>
      <c r="M216" s="1240"/>
      <c r="N216" s="1240"/>
      <c r="O216" s="1240"/>
      <c r="P216" s="1247">
        <f t="shared" si="23"/>
        <v>190</v>
      </c>
      <c r="Q216" s="1253" t="e">
        <f t="shared" ca="1" si="22"/>
        <v>#N/A</v>
      </c>
      <c r="R216" s="1247" t="str">
        <f>IFERROR(VLOOKUP(P216,RPCRepaymentDates[],1,FALSE),"")</f>
        <v/>
      </c>
      <c r="S216" s="1259">
        <f t="shared" si="18"/>
        <v>0</v>
      </c>
      <c r="T216" s="1247" t="str">
        <f>IFERROR(VLOOKUP(P216,RPCChargeCycleDates[],1,FALSE),"")</f>
        <v/>
      </c>
      <c r="U216" s="1248" t="str">
        <f>IFERROR(_xlfn.DAYS(T216,$Q$16)-SUM(U$26:U215),"")</f>
        <v/>
      </c>
      <c r="V216" s="1258">
        <f t="shared" ca="1" si="19"/>
        <v>0</v>
      </c>
      <c r="W216" s="1258">
        <f t="shared" ca="1" si="20"/>
        <v>0</v>
      </c>
      <c r="X216" s="1258" t="e">
        <f t="shared" ca="1" si="21"/>
        <v>#N/A</v>
      </c>
      <c r="Y216" s="1240"/>
      <c r="Z216" s="1240"/>
      <c r="AA216" s="1240"/>
      <c r="AB216" s="1240"/>
      <c r="AC216" s="1254" t="e">
        <f t="shared" si="24"/>
        <v>#NUM!</v>
      </c>
      <c r="AD216" s="1240"/>
      <c r="AE216" s="1240"/>
      <c r="AF216" s="1240"/>
      <c r="AG216" s="1240"/>
      <c r="AH216" s="1240"/>
      <c r="AI216" s="1240"/>
      <c r="AJ216" s="1240"/>
      <c r="AK216" s="1240"/>
      <c r="AL216" s="1240"/>
      <c r="AM216" s="1240"/>
      <c r="AN216" s="1240"/>
      <c r="AO216" s="1240"/>
      <c r="AP216" s="1240"/>
    </row>
    <row r="217" spans="1:42" ht="18.75" customHeight="1" x14ac:dyDescent="0.35">
      <c r="A217" s="1240"/>
      <c r="B217" s="1240"/>
      <c r="C217" s="1240"/>
      <c r="D217" s="1240"/>
      <c r="E217" s="1240"/>
      <c r="F217" s="1240"/>
      <c r="G217" s="1240"/>
      <c r="H217" s="1240"/>
      <c r="I217" s="1240"/>
      <c r="J217" s="1240"/>
      <c r="K217" s="1240"/>
      <c r="L217" s="1240"/>
      <c r="M217" s="1240"/>
      <c r="N217" s="1240"/>
      <c r="O217" s="1240"/>
      <c r="P217" s="1247">
        <f t="shared" si="23"/>
        <v>191</v>
      </c>
      <c r="Q217" s="1253" t="e">
        <f t="shared" ca="1" si="22"/>
        <v>#N/A</v>
      </c>
      <c r="R217" s="1247" t="str">
        <f>IFERROR(VLOOKUP(P217,RPCRepaymentDates[],1,FALSE),"")</f>
        <v/>
      </c>
      <c r="S217" s="1259">
        <f t="shared" si="18"/>
        <v>0</v>
      </c>
      <c r="T217" s="1247" t="str">
        <f>IFERROR(VLOOKUP(P217,RPCChargeCycleDates[],1,FALSE),"")</f>
        <v/>
      </c>
      <c r="U217" s="1248" t="str">
        <f>IFERROR(_xlfn.DAYS(T217,$Q$16)-SUM(U$26:U216),"")</f>
        <v/>
      </c>
      <c r="V217" s="1258">
        <f t="shared" ca="1" si="19"/>
        <v>0</v>
      </c>
      <c r="W217" s="1258">
        <f t="shared" ca="1" si="20"/>
        <v>0</v>
      </c>
      <c r="X217" s="1258" t="e">
        <f t="shared" ca="1" si="21"/>
        <v>#N/A</v>
      </c>
      <c r="Y217" s="1240"/>
      <c r="Z217" s="1240"/>
      <c r="AA217" s="1240"/>
      <c r="AB217" s="1240"/>
      <c r="AC217" s="1254" t="e">
        <f t="shared" si="24"/>
        <v>#NUM!</v>
      </c>
      <c r="AD217" s="1240"/>
      <c r="AE217" s="1240"/>
      <c r="AF217" s="1240"/>
      <c r="AG217" s="1240"/>
      <c r="AH217" s="1240"/>
      <c r="AI217" s="1240"/>
      <c r="AJ217" s="1240"/>
      <c r="AK217" s="1240"/>
      <c r="AL217" s="1240"/>
      <c r="AM217" s="1240"/>
      <c r="AN217" s="1240"/>
      <c r="AO217" s="1240"/>
      <c r="AP217" s="1240"/>
    </row>
    <row r="218" spans="1:42" ht="18.75" customHeight="1" x14ac:dyDescent="0.35">
      <c r="A218" s="1240"/>
      <c r="B218" s="1240"/>
      <c r="C218" s="1240"/>
      <c r="D218" s="1240"/>
      <c r="E218" s="1240"/>
      <c r="F218" s="1240"/>
      <c r="G218" s="1240"/>
      <c r="H218" s="1240"/>
      <c r="I218" s="1240"/>
      <c r="J218" s="1240"/>
      <c r="K218" s="1240"/>
      <c r="L218" s="1240"/>
      <c r="M218" s="1240"/>
      <c r="N218" s="1240"/>
      <c r="O218" s="1240"/>
      <c r="P218" s="1247">
        <f t="shared" si="23"/>
        <v>192</v>
      </c>
      <c r="Q218" s="1253" t="e">
        <f t="shared" ca="1" si="22"/>
        <v>#N/A</v>
      </c>
      <c r="R218" s="1247" t="str">
        <f>IFERROR(VLOOKUP(P218,RPCRepaymentDates[],1,FALSE),"")</f>
        <v/>
      </c>
      <c r="S218" s="1259">
        <f t="shared" ref="S218:S281" si="25">IF(P218=R218,IF(R218&lt;RPCNextPaymentTransferDate,0,IF(OR(R218&lt;RPCPauseStartDate,R218&gt;RPCPauseEndDate),RPCCurrentRepayment,RPCPauseRepayment)),0)</f>
        <v>0</v>
      </c>
      <c r="T218" s="1247" t="str">
        <f>IFERROR(VLOOKUP(P218,RPCChargeCycleDates[],1,FALSE),"")</f>
        <v/>
      </c>
      <c r="U218" s="1248" t="str">
        <f>IFERROR(_xlfn.DAYS(T218,$Q$16)-SUM(U$26:U217),"")</f>
        <v/>
      </c>
      <c r="V218" s="1258">
        <f t="shared" ref="V218:V281" ca="1" si="26">IFERROR((Q218-S218)*(1/RPCDaysInYear)*RPCInterestRate,0)</f>
        <v>0</v>
      </c>
      <c r="W218" s="1258">
        <f t="shared" ref="W218:W281" ca="1" si="27">IFERROR(IF(T218=P218,SUM(OFFSET(V218,-U218+1,0,U218,1)),0),0)</f>
        <v>0</v>
      </c>
      <c r="X218" s="1258" t="e">
        <f t="shared" ref="X218:X281" ca="1" si="28">Q218-S218+W218</f>
        <v>#N/A</v>
      </c>
      <c r="Y218" s="1240"/>
      <c r="Z218" s="1240"/>
      <c r="AA218" s="1240"/>
      <c r="AB218" s="1240"/>
      <c r="AC218" s="1254" t="e">
        <f t="shared" si="24"/>
        <v>#NUM!</v>
      </c>
      <c r="AD218" s="1240"/>
      <c r="AE218" s="1240"/>
      <c r="AF218" s="1240"/>
      <c r="AG218" s="1240"/>
      <c r="AH218" s="1240"/>
      <c r="AI218" s="1240"/>
      <c r="AJ218" s="1240"/>
      <c r="AK218" s="1240"/>
      <c r="AL218" s="1240"/>
      <c r="AM218" s="1240"/>
      <c r="AN218" s="1240"/>
      <c r="AO218" s="1240"/>
      <c r="AP218" s="1240"/>
    </row>
    <row r="219" spans="1:42" ht="18.75" customHeight="1" x14ac:dyDescent="0.35">
      <c r="A219" s="1240"/>
      <c r="B219" s="1240"/>
      <c r="C219" s="1240"/>
      <c r="D219" s="1240"/>
      <c r="E219" s="1240"/>
      <c r="F219" s="1240"/>
      <c r="G219" s="1240"/>
      <c r="H219" s="1240"/>
      <c r="I219" s="1240"/>
      <c r="J219" s="1240"/>
      <c r="K219" s="1240"/>
      <c r="L219" s="1240"/>
      <c r="M219" s="1240"/>
      <c r="N219" s="1240"/>
      <c r="O219" s="1240"/>
      <c r="P219" s="1247">
        <f t="shared" si="23"/>
        <v>193</v>
      </c>
      <c r="Q219" s="1253" t="e">
        <f t="shared" ref="Q219:Q282" ca="1" si="29">X218</f>
        <v>#N/A</v>
      </c>
      <c r="R219" s="1247" t="str">
        <f>IFERROR(VLOOKUP(P219,RPCRepaymentDates[],1,FALSE),"")</f>
        <v/>
      </c>
      <c r="S219" s="1259">
        <f t="shared" si="25"/>
        <v>0</v>
      </c>
      <c r="T219" s="1247" t="str">
        <f>IFERROR(VLOOKUP(P219,RPCChargeCycleDates[],1,FALSE),"")</f>
        <v/>
      </c>
      <c r="U219" s="1248" t="str">
        <f>IFERROR(_xlfn.DAYS(T219,$Q$16)-SUM(U$26:U218),"")</f>
        <v/>
      </c>
      <c r="V219" s="1258">
        <f t="shared" ca="1" si="26"/>
        <v>0</v>
      </c>
      <c r="W219" s="1258">
        <f t="shared" ca="1" si="27"/>
        <v>0</v>
      </c>
      <c r="X219" s="1258" t="e">
        <f t="shared" ca="1" si="28"/>
        <v>#N/A</v>
      </c>
      <c r="Y219" s="1240"/>
      <c r="Z219" s="1240"/>
      <c r="AA219" s="1240"/>
      <c r="AB219" s="1240"/>
      <c r="AC219" s="1254" t="e">
        <f t="shared" si="24"/>
        <v>#NUM!</v>
      </c>
      <c r="AD219" s="1240"/>
      <c r="AE219" s="1240"/>
      <c r="AF219" s="1240"/>
      <c r="AG219" s="1240"/>
      <c r="AH219" s="1240"/>
      <c r="AI219" s="1240"/>
      <c r="AJ219" s="1240"/>
      <c r="AK219" s="1240"/>
      <c r="AL219" s="1240"/>
      <c r="AM219" s="1240"/>
      <c r="AN219" s="1240"/>
      <c r="AO219" s="1240"/>
      <c r="AP219" s="1240"/>
    </row>
    <row r="220" spans="1:42" ht="18.75" customHeight="1" x14ac:dyDescent="0.35">
      <c r="A220" s="1240"/>
      <c r="B220" s="1240"/>
      <c r="C220" s="1240"/>
      <c r="D220" s="1240"/>
      <c r="E220" s="1240"/>
      <c r="F220" s="1240"/>
      <c r="G220" s="1240"/>
      <c r="H220" s="1240"/>
      <c r="I220" s="1240"/>
      <c r="J220" s="1240"/>
      <c r="K220" s="1240"/>
      <c r="L220" s="1240"/>
      <c r="M220" s="1240"/>
      <c r="N220" s="1240"/>
      <c r="O220" s="1240"/>
      <c r="P220" s="1247">
        <f t="shared" ref="P220:P283" si="30">P219+1</f>
        <v>194</v>
      </c>
      <c r="Q220" s="1253" t="e">
        <f t="shared" ca="1" si="29"/>
        <v>#N/A</v>
      </c>
      <c r="R220" s="1247" t="str">
        <f>IFERROR(VLOOKUP(P220,RPCRepaymentDates[],1,FALSE),"")</f>
        <v/>
      </c>
      <c r="S220" s="1259">
        <f t="shared" si="25"/>
        <v>0</v>
      </c>
      <c r="T220" s="1247" t="str">
        <f>IFERROR(VLOOKUP(P220,RPCChargeCycleDates[],1,FALSE),"")</f>
        <v/>
      </c>
      <c r="U220" s="1248" t="str">
        <f>IFERROR(_xlfn.DAYS(T220,$Q$16)-SUM(U$26:U219),"")</f>
        <v/>
      </c>
      <c r="V220" s="1258">
        <f t="shared" ca="1" si="26"/>
        <v>0</v>
      </c>
      <c r="W220" s="1258">
        <f t="shared" ca="1" si="27"/>
        <v>0</v>
      </c>
      <c r="X220" s="1258" t="e">
        <f t="shared" ca="1" si="28"/>
        <v>#N/A</v>
      </c>
      <c r="Y220" s="1240"/>
      <c r="Z220" s="1240"/>
      <c r="AA220" s="1240"/>
      <c r="AB220" s="1240"/>
      <c r="AC220" s="1254" t="e">
        <f t="shared" si="24"/>
        <v>#NUM!</v>
      </c>
      <c r="AD220" s="1240"/>
      <c r="AE220" s="1240"/>
      <c r="AF220" s="1240"/>
      <c r="AG220" s="1240"/>
      <c r="AH220" s="1240"/>
      <c r="AI220" s="1240"/>
      <c r="AJ220" s="1240"/>
      <c r="AK220" s="1240"/>
      <c r="AL220" s="1240"/>
      <c r="AM220" s="1240"/>
      <c r="AN220" s="1240"/>
      <c r="AO220" s="1240"/>
      <c r="AP220" s="1240"/>
    </row>
    <row r="221" spans="1:42" ht="18.75" customHeight="1" x14ac:dyDescent="0.35">
      <c r="A221" s="1240"/>
      <c r="B221" s="1240"/>
      <c r="C221" s="1240"/>
      <c r="D221" s="1240"/>
      <c r="E221" s="1240"/>
      <c r="F221" s="1240"/>
      <c r="G221" s="1240"/>
      <c r="H221" s="1240"/>
      <c r="I221" s="1240"/>
      <c r="J221" s="1240"/>
      <c r="K221" s="1240"/>
      <c r="L221" s="1240"/>
      <c r="M221" s="1240"/>
      <c r="N221" s="1240"/>
      <c r="O221" s="1240"/>
      <c r="P221" s="1247">
        <f t="shared" si="30"/>
        <v>195</v>
      </c>
      <c r="Q221" s="1253" t="e">
        <f t="shared" ca="1" si="29"/>
        <v>#N/A</v>
      </c>
      <c r="R221" s="1247" t="str">
        <f>IFERROR(VLOOKUP(P221,RPCRepaymentDates[],1,FALSE),"")</f>
        <v/>
      </c>
      <c r="S221" s="1259">
        <f t="shared" si="25"/>
        <v>0</v>
      </c>
      <c r="T221" s="1247" t="str">
        <f>IFERROR(VLOOKUP(P221,RPCChargeCycleDates[],1,FALSE),"")</f>
        <v/>
      </c>
      <c r="U221" s="1248" t="str">
        <f>IFERROR(_xlfn.DAYS(T221,$Q$16)-SUM(U$26:U220),"")</f>
        <v/>
      </c>
      <c r="V221" s="1258">
        <f t="shared" ca="1" si="26"/>
        <v>0</v>
      </c>
      <c r="W221" s="1258">
        <f t="shared" ca="1" si="27"/>
        <v>0</v>
      </c>
      <c r="X221" s="1258" t="e">
        <f t="shared" ca="1" si="28"/>
        <v>#N/A</v>
      </c>
      <c r="Y221" s="1240"/>
      <c r="Z221" s="1240"/>
      <c r="AA221" s="1240"/>
      <c r="AB221" s="1240"/>
      <c r="AC221" s="1254" t="e">
        <f t="shared" si="24"/>
        <v>#NUM!</v>
      </c>
      <c r="AD221" s="1240"/>
      <c r="AE221" s="1240"/>
      <c r="AF221" s="1240"/>
      <c r="AG221" s="1240"/>
      <c r="AH221" s="1240"/>
      <c r="AI221" s="1240"/>
      <c r="AJ221" s="1240"/>
      <c r="AK221" s="1240"/>
      <c r="AL221" s="1240"/>
      <c r="AM221" s="1240"/>
      <c r="AN221" s="1240"/>
      <c r="AO221" s="1240"/>
      <c r="AP221" s="1240"/>
    </row>
    <row r="222" spans="1:42" ht="18.75" customHeight="1" x14ac:dyDescent="0.35">
      <c r="A222" s="1240"/>
      <c r="B222" s="1240"/>
      <c r="C222" s="1240"/>
      <c r="D222" s="1240"/>
      <c r="E222" s="1240"/>
      <c r="F222" s="1240"/>
      <c r="G222" s="1240"/>
      <c r="H222" s="1240"/>
      <c r="I222" s="1240"/>
      <c r="J222" s="1240"/>
      <c r="K222" s="1240"/>
      <c r="L222" s="1240"/>
      <c r="M222" s="1240"/>
      <c r="N222" s="1240"/>
      <c r="O222" s="1240"/>
      <c r="P222" s="1247">
        <f t="shared" si="30"/>
        <v>196</v>
      </c>
      <c r="Q222" s="1253" t="e">
        <f t="shared" ca="1" si="29"/>
        <v>#N/A</v>
      </c>
      <c r="R222" s="1247" t="str">
        <f>IFERROR(VLOOKUP(P222,RPCRepaymentDates[],1,FALSE),"")</f>
        <v/>
      </c>
      <c r="S222" s="1259">
        <f t="shared" si="25"/>
        <v>0</v>
      </c>
      <c r="T222" s="1247" t="str">
        <f>IFERROR(VLOOKUP(P222,RPCChargeCycleDates[],1,FALSE),"")</f>
        <v/>
      </c>
      <c r="U222" s="1248" t="str">
        <f>IFERROR(_xlfn.DAYS(T222,$Q$16)-SUM(U$26:U221),"")</f>
        <v/>
      </c>
      <c r="V222" s="1258">
        <f t="shared" ca="1" si="26"/>
        <v>0</v>
      </c>
      <c r="W222" s="1258">
        <f t="shared" ca="1" si="27"/>
        <v>0</v>
      </c>
      <c r="X222" s="1258" t="e">
        <f t="shared" ca="1" si="28"/>
        <v>#N/A</v>
      </c>
      <c r="Y222" s="1240"/>
      <c r="Z222" s="1240"/>
      <c r="AA222" s="1240"/>
      <c r="AB222" s="1240"/>
      <c r="AC222" s="1254" t="e">
        <f t="shared" si="24"/>
        <v>#NUM!</v>
      </c>
      <c r="AD222" s="1240"/>
      <c r="AE222" s="1240"/>
      <c r="AF222" s="1240"/>
      <c r="AG222" s="1240"/>
      <c r="AH222" s="1240"/>
      <c r="AI222" s="1240"/>
      <c r="AJ222" s="1240"/>
      <c r="AK222" s="1240"/>
      <c r="AL222" s="1240"/>
      <c r="AM222" s="1240"/>
      <c r="AN222" s="1240"/>
      <c r="AO222" s="1240"/>
      <c r="AP222" s="1240"/>
    </row>
    <row r="223" spans="1:42" ht="18.75" customHeight="1" x14ac:dyDescent="0.35">
      <c r="A223" s="1240"/>
      <c r="B223" s="1240"/>
      <c r="C223" s="1240"/>
      <c r="D223" s="1240"/>
      <c r="E223" s="1240"/>
      <c r="F223" s="1240"/>
      <c r="G223" s="1240"/>
      <c r="H223" s="1240"/>
      <c r="I223" s="1240"/>
      <c r="J223" s="1240"/>
      <c r="K223" s="1240"/>
      <c r="L223" s="1240"/>
      <c r="M223" s="1240"/>
      <c r="N223" s="1240"/>
      <c r="O223" s="1240"/>
      <c r="P223" s="1247">
        <f t="shared" si="30"/>
        <v>197</v>
      </c>
      <c r="Q223" s="1253" t="e">
        <f t="shared" ca="1" si="29"/>
        <v>#N/A</v>
      </c>
      <c r="R223" s="1247" t="str">
        <f>IFERROR(VLOOKUP(P223,RPCRepaymentDates[],1,FALSE),"")</f>
        <v/>
      </c>
      <c r="S223" s="1259">
        <f t="shared" si="25"/>
        <v>0</v>
      </c>
      <c r="T223" s="1247" t="str">
        <f>IFERROR(VLOOKUP(P223,RPCChargeCycleDates[],1,FALSE),"")</f>
        <v/>
      </c>
      <c r="U223" s="1248" t="str">
        <f>IFERROR(_xlfn.DAYS(T223,$Q$16)-SUM(U$26:U222),"")</f>
        <v/>
      </c>
      <c r="V223" s="1258">
        <f t="shared" ca="1" si="26"/>
        <v>0</v>
      </c>
      <c r="W223" s="1258">
        <f t="shared" ca="1" si="27"/>
        <v>0</v>
      </c>
      <c r="X223" s="1258" t="e">
        <f t="shared" ca="1" si="28"/>
        <v>#N/A</v>
      </c>
      <c r="Y223" s="1240"/>
      <c r="Z223" s="1240"/>
      <c r="AA223" s="1240"/>
      <c r="AB223" s="1240"/>
      <c r="AC223" s="1254" t="e">
        <f t="shared" si="24"/>
        <v>#NUM!</v>
      </c>
      <c r="AD223" s="1240"/>
      <c r="AE223" s="1240"/>
      <c r="AF223" s="1240"/>
      <c r="AG223" s="1240"/>
      <c r="AH223" s="1240"/>
      <c r="AI223" s="1240"/>
      <c r="AJ223" s="1240"/>
      <c r="AK223" s="1240"/>
      <c r="AL223" s="1240"/>
      <c r="AM223" s="1240"/>
      <c r="AN223" s="1240"/>
      <c r="AO223" s="1240"/>
      <c r="AP223" s="1240"/>
    </row>
    <row r="224" spans="1:42" ht="18.75" customHeight="1" x14ac:dyDescent="0.35">
      <c r="A224" s="1240"/>
      <c r="B224" s="1240"/>
      <c r="C224" s="1240"/>
      <c r="D224" s="1240"/>
      <c r="E224" s="1240"/>
      <c r="F224" s="1240"/>
      <c r="G224" s="1240"/>
      <c r="H224" s="1240"/>
      <c r="I224" s="1240"/>
      <c r="J224" s="1240"/>
      <c r="K224" s="1240"/>
      <c r="L224" s="1240"/>
      <c r="M224" s="1240"/>
      <c r="N224" s="1240"/>
      <c r="O224" s="1240"/>
      <c r="P224" s="1247">
        <f t="shared" si="30"/>
        <v>198</v>
      </c>
      <c r="Q224" s="1253" t="e">
        <f t="shared" ca="1" si="29"/>
        <v>#N/A</v>
      </c>
      <c r="R224" s="1247" t="str">
        <f>IFERROR(VLOOKUP(P224,RPCRepaymentDates[],1,FALSE),"")</f>
        <v/>
      </c>
      <c r="S224" s="1259">
        <f t="shared" si="25"/>
        <v>0</v>
      </c>
      <c r="T224" s="1247" t="str">
        <f>IFERROR(VLOOKUP(P224,RPCChargeCycleDates[],1,FALSE),"")</f>
        <v/>
      </c>
      <c r="U224" s="1248" t="str">
        <f>IFERROR(_xlfn.DAYS(T224,$Q$16)-SUM(U$26:U223),"")</f>
        <v/>
      </c>
      <c r="V224" s="1258">
        <f t="shared" ca="1" si="26"/>
        <v>0</v>
      </c>
      <c r="W224" s="1258">
        <f t="shared" ca="1" si="27"/>
        <v>0</v>
      </c>
      <c r="X224" s="1258" t="e">
        <f t="shared" ca="1" si="28"/>
        <v>#N/A</v>
      </c>
      <c r="Y224" s="1240"/>
      <c r="Z224" s="1240"/>
      <c r="AA224" s="1240"/>
      <c r="AB224" s="1240"/>
      <c r="AC224" s="1254" t="e">
        <f t="shared" si="24"/>
        <v>#NUM!</v>
      </c>
      <c r="AD224" s="1240"/>
      <c r="AE224" s="1240"/>
      <c r="AF224" s="1240"/>
      <c r="AG224" s="1240"/>
      <c r="AH224" s="1240"/>
      <c r="AI224" s="1240"/>
      <c r="AJ224" s="1240"/>
      <c r="AK224" s="1240"/>
      <c r="AL224" s="1240"/>
      <c r="AM224" s="1240"/>
      <c r="AN224" s="1240"/>
      <c r="AO224" s="1240"/>
      <c r="AP224" s="1240"/>
    </row>
    <row r="225" spans="1:42" ht="18.75" customHeight="1" x14ac:dyDescent="0.35">
      <c r="A225" s="1240"/>
      <c r="B225" s="1240"/>
      <c r="C225" s="1240"/>
      <c r="D225" s="1240"/>
      <c r="E225" s="1240"/>
      <c r="F225" s="1240"/>
      <c r="G225" s="1240"/>
      <c r="H225" s="1240"/>
      <c r="I225" s="1240"/>
      <c r="J225" s="1240"/>
      <c r="K225" s="1240"/>
      <c r="L225" s="1240"/>
      <c r="M225" s="1240"/>
      <c r="N225" s="1240"/>
      <c r="O225" s="1240"/>
      <c r="P225" s="1247">
        <f t="shared" si="30"/>
        <v>199</v>
      </c>
      <c r="Q225" s="1253" t="e">
        <f t="shared" ca="1" si="29"/>
        <v>#N/A</v>
      </c>
      <c r="R225" s="1247" t="str">
        <f>IFERROR(VLOOKUP(P225,RPCRepaymentDates[],1,FALSE),"")</f>
        <v/>
      </c>
      <c r="S225" s="1259">
        <f t="shared" si="25"/>
        <v>0</v>
      </c>
      <c r="T225" s="1247" t="str">
        <f>IFERROR(VLOOKUP(P225,RPCChargeCycleDates[],1,FALSE),"")</f>
        <v/>
      </c>
      <c r="U225" s="1248" t="str">
        <f>IFERROR(_xlfn.DAYS(T225,$Q$16)-SUM(U$26:U224),"")</f>
        <v/>
      </c>
      <c r="V225" s="1258">
        <f t="shared" ca="1" si="26"/>
        <v>0</v>
      </c>
      <c r="W225" s="1258">
        <f t="shared" ca="1" si="27"/>
        <v>0</v>
      </c>
      <c r="X225" s="1258" t="e">
        <f t="shared" ca="1" si="28"/>
        <v>#N/A</v>
      </c>
      <c r="Y225" s="1240"/>
      <c r="Z225" s="1240"/>
      <c r="AA225" s="1240"/>
      <c r="AB225" s="1240"/>
      <c r="AC225" s="1254" t="e">
        <f t="shared" si="24"/>
        <v>#NUM!</v>
      </c>
      <c r="AD225" s="1240"/>
      <c r="AE225" s="1240"/>
      <c r="AF225" s="1240"/>
      <c r="AG225" s="1240"/>
      <c r="AH225" s="1240"/>
      <c r="AI225" s="1240"/>
      <c r="AJ225" s="1240"/>
      <c r="AK225" s="1240"/>
      <c r="AL225" s="1240"/>
      <c r="AM225" s="1240"/>
      <c r="AN225" s="1240"/>
      <c r="AO225" s="1240"/>
      <c r="AP225" s="1240"/>
    </row>
    <row r="226" spans="1:42" ht="18.75" customHeight="1" x14ac:dyDescent="0.35">
      <c r="A226" s="1240"/>
      <c r="B226" s="1240"/>
      <c r="C226" s="1240"/>
      <c r="D226" s="1240"/>
      <c r="E226" s="1240"/>
      <c r="F226" s="1240"/>
      <c r="G226" s="1240"/>
      <c r="H226" s="1240"/>
      <c r="I226" s="1240"/>
      <c r="J226" s="1240"/>
      <c r="K226" s="1240"/>
      <c r="L226" s="1240"/>
      <c r="M226" s="1240"/>
      <c r="N226" s="1240"/>
      <c r="O226" s="1240"/>
      <c r="P226" s="1247">
        <f t="shared" si="30"/>
        <v>200</v>
      </c>
      <c r="Q226" s="1253" t="e">
        <f t="shared" ca="1" si="29"/>
        <v>#N/A</v>
      </c>
      <c r="R226" s="1247" t="str">
        <f>IFERROR(VLOOKUP(P226,RPCRepaymentDates[],1,FALSE),"")</f>
        <v/>
      </c>
      <c r="S226" s="1259">
        <f t="shared" si="25"/>
        <v>0</v>
      </c>
      <c r="T226" s="1247" t="str">
        <f>IFERROR(VLOOKUP(P226,RPCChargeCycleDates[],1,FALSE),"")</f>
        <v/>
      </c>
      <c r="U226" s="1248" t="str">
        <f>IFERROR(_xlfn.DAYS(T226,$Q$16)-SUM(U$26:U225),"")</f>
        <v/>
      </c>
      <c r="V226" s="1258">
        <f t="shared" ca="1" si="26"/>
        <v>0</v>
      </c>
      <c r="W226" s="1258">
        <f t="shared" ca="1" si="27"/>
        <v>0</v>
      </c>
      <c r="X226" s="1258" t="e">
        <f t="shared" ca="1" si="28"/>
        <v>#N/A</v>
      </c>
      <c r="Y226" s="1240"/>
      <c r="Z226" s="1240"/>
      <c r="AA226" s="1240"/>
      <c r="AB226" s="1240"/>
      <c r="AC226" s="1254" t="e">
        <f t="shared" si="24"/>
        <v>#NUM!</v>
      </c>
      <c r="AD226" s="1240"/>
      <c r="AE226" s="1240"/>
      <c r="AF226" s="1240"/>
      <c r="AG226" s="1240"/>
      <c r="AH226" s="1240"/>
      <c r="AI226" s="1240"/>
      <c r="AJ226" s="1240"/>
      <c r="AK226" s="1240"/>
      <c r="AL226" s="1240"/>
      <c r="AM226" s="1240"/>
      <c r="AN226" s="1240"/>
      <c r="AO226" s="1240"/>
      <c r="AP226" s="1240"/>
    </row>
    <row r="227" spans="1:42" ht="18.75" customHeight="1" x14ac:dyDescent="0.35">
      <c r="A227" s="1240"/>
      <c r="B227" s="1240"/>
      <c r="C227" s="1240"/>
      <c r="D227" s="1240"/>
      <c r="E227" s="1240"/>
      <c r="F227" s="1240"/>
      <c r="G227" s="1240"/>
      <c r="H227" s="1240"/>
      <c r="I227" s="1240"/>
      <c r="J227" s="1240"/>
      <c r="K227" s="1240"/>
      <c r="L227" s="1240"/>
      <c r="M227" s="1240"/>
      <c r="N227" s="1240"/>
      <c r="O227" s="1240"/>
      <c r="P227" s="1247">
        <f t="shared" si="30"/>
        <v>201</v>
      </c>
      <c r="Q227" s="1253" t="e">
        <f t="shared" ca="1" si="29"/>
        <v>#N/A</v>
      </c>
      <c r="R227" s="1247" t="str">
        <f>IFERROR(VLOOKUP(P227,RPCRepaymentDates[],1,FALSE),"")</f>
        <v/>
      </c>
      <c r="S227" s="1259">
        <f t="shared" si="25"/>
        <v>0</v>
      </c>
      <c r="T227" s="1247" t="str">
        <f>IFERROR(VLOOKUP(P227,RPCChargeCycleDates[],1,FALSE),"")</f>
        <v/>
      </c>
      <c r="U227" s="1248" t="str">
        <f>IFERROR(_xlfn.DAYS(T227,$Q$16)-SUM(U$26:U226),"")</f>
        <v/>
      </c>
      <c r="V227" s="1258">
        <f t="shared" ca="1" si="26"/>
        <v>0</v>
      </c>
      <c r="W227" s="1258">
        <f t="shared" ca="1" si="27"/>
        <v>0</v>
      </c>
      <c r="X227" s="1258" t="e">
        <f t="shared" ca="1" si="28"/>
        <v>#N/A</v>
      </c>
      <c r="Y227" s="1240"/>
      <c r="Z227" s="1240"/>
      <c r="AA227" s="1240"/>
      <c r="AB227" s="1240"/>
      <c r="AC227" s="1254" t="e">
        <f t="shared" si="24"/>
        <v>#NUM!</v>
      </c>
      <c r="AD227" s="1240"/>
      <c r="AE227" s="1240"/>
      <c r="AF227" s="1240"/>
      <c r="AG227" s="1240"/>
      <c r="AH227" s="1240"/>
      <c r="AI227" s="1240"/>
      <c r="AJ227" s="1240"/>
      <c r="AK227" s="1240"/>
      <c r="AL227" s="1240"/>
      <c r="AM227" s="1240"/>
      <c r="AN227" s="1240"/>
      <c r="AO227" s="1240"/>
      <c r="AP227" s="1240"/>
    </row>
    <row r="228" spans="1:42" ht="18.75" customHeight="1" x14ac:dyDescent="0.35">
      <c r="A228" s="1240"/>
      <c r="B228" s="1240"/>
      <c r="C228" s="1240"/>
      <c r="D228" s="1240"/>
      <c r="E228" s="1240"/>
      <c r="F228" s="1240"/>
      <c r="G228" s="1240"/>
      <c r="H228" s="1240"/>
      <c r="I228" s="1240"/>
      <c r="J228" s="1240"/>
      <c r="K228" s="1240"/>
      <c r="L228" s="1240"/>
      <c r="M228" s="1240"/>
      <c r="N228" s="1240"/>
      <c r="O228" s="1240"/>
      <c r="P228" s="1247">
        <f t="shared" si="30"/>
        <v>202</v>
      </c>
      <c r="Q228" s="1253" t="e">
        <f t="shared" ca="1" si="29"/>
        <v>#N/A</v>
      </c>
      <c r="R228" s="1247" t="str">
        <f>IFERROR(VLOOKUP(P228,RPCRepaymentDates[],1,FALSE),"")</f>
        <v/>
      </c>
      <c r="S228" s="1259">
        <f t="shared" si="25"/>
        <v>0</v>
      </c>
      <c r="T228" s="1247" t="str">
        <f>IFERROR(VLOOKUP(P228,RPCChargeCycleDates[],1,FALSE),"")</f>
        <v/>
      </c>
      <c r="U228" s="1248" t="str">
        <f>IFERROR(_xlfn.DAYS(T228,$Q$16)-SUM(U$26:U227),"")</f>
        <v/>
      </c>
      <c r="V228" s="1258">
        <f t="shared" ca="1" si="26"/>
        <v>0</v>
      </c>
      <c r="W228" s="1258">
        <f t="shared" ca="1" si="27"/>
        <v>0</v>
      </c>
      <c r="X228" s="1258" t="e">
        <f t="shared" ca="1" si="28"/>
        <v>#N/A</v>
      </c>
      <c r="Y228" s="1240"/>
      <c r="Z228" s="1240"/>
      <c r="AA228" s="1240"/>
      <c r="AB228" s="1240"/>
      <c r="AC228" s="1254" t="e">
        <f t="shared" si="24"/>
        <v>#NUM!</v>
      </c>
      <c r="AD228" s="1240"/>
      <c r="AE228" s="1240"/>
      <c r="AF228" s="1240"/>
      <c r="AG228" s="1240"/>
      <c r="AH228" s="1240"/>
      <c r="AI228" s="1240"/>
      <c r="AJ228" s="1240"/>
      <c r="AK228" s="1240"/>
      <c r="AL228" s="1240"/>
      <c r="AM228" s="1240"/>
      <c r="AN228" s="1240"/>
      <c r="AO228" s="1240"/>
      <c r="AP228" s="1240"/>
    </row>
    <row r="229" spans="1:42" ht="18.75" customHeight="1" x14ac:dyDescent="0.35">
      <c r="A229" s="1240"/>
      <c r="B229" s="1240"/>
      <c r="C229" s="1240"/>
      <c r="D229" s="1240"/>
      <c r="E229" s="1240"/>
      <c r="F229" s="1240"/>
      <c r="G229" s="1240"/>
      <c r="H229" s="1240"/>
      <c r="I229" s="1240"/>
      <c r="J229" s="1240"/>
      <c r="K229" s="1240"/>
      <c r="L229" s="1240"/>
      <c r="M229" s="1240"/>
      <c r="N229" s="1240"/>
      <c r="O229" s="1240"/>
      <c r="P229" s="1247">
        <f t="shared" si="30"/>
        <v>203</v>
      </c>
      <c r="Q229" s="1253" t="e">
        <f t="shared" ca="1" si="29"/>
        <v>#N/A</v>
      </c>
      <c r="R229" s="1247" t="str">
        <f>IFERROR(VLOOKUP(P229,RPCRepaymentDates[],1,FALSE),"")</f>
        <v/>
      </c>
      <c r="S229" s="1259">
        <f t="shared" si="25"/>
        <v>0</v>
      </c>
      <c r="T229" s="1247" t="str">
        <f>IFERROR(VLOOKUP(P229,RPCChargeCycleDates[],1,FALSE),"")</f>
        <v/>
      </c>
      <c r="U229" s="1248" t="str">
        <f>IFERROR(_xlfn.DAYS(T229,$Q$16)-SUM(U$26:U228),"")</f>
        <v/>
      </c>
      <c r="V229" s="1258">
        <f t="shared" ca="1" si="26"/>
        <v>0</v>
      </c>
      <c r="W229" s="1258">
        <f t="shared" ca="1" si="27"/>
        <v>0</v>
      </c>
      <c r="X229" s="1258" t="e">
        <f t="shared" ca="1" si="28"/>
        <v>#N/A</v>
      </c>
      <c r="Y229" s="1240"/>
      <c r="Z229" s="1240"/>
      <c r="AA229" s="1240"/>
      <c r="AB229" s="1240"/>
      <c r="AC229" s="1254" t="e">
        <f t="shared" si="24"/>
        <v>#NUM!</v>
      </c>
      <c r="AD229" s="1240"/>
      <c r="AE229" s="1240"/>
      <c r="AF229" s="1240"/>
      <c r="AG229" s="1240"/>
      <c r="AH229" s="1240"/>
      <c r="AI229" s="1240"/>
      <c r="AJ229" s="1240"/>
      <c r="AK229" s="1240"/>
      <c r="AL229" s="1240"/>
      <c r="AM229" s="1240"/>
      <c r="AN229" s="1240"/>
      <c r="AO229" s="1240"/>
      <c r="AP229" s="1240"/>
    </row>
    <row r="230" spans="1:42" ht="18.75" customHeight="1" x14ac:dyDescent="0.35">
      <c r="A230" s="1240"/>
      <c r="B230" s="1240"/>
      <c r="C230" s="1240"/>
      <c r="D230" s="1240"/>
      <c r="E230" s="1240"/>
      <c r="F230" s="1240"/>
      <c r="G230" s="1240"/>
      <c r="H230" s="1240"/>
      <c r="I230" s="1240"/>
      <c r="J230" s="1240"/>
      <c r="K230" s="1240"/>
      <c r="L230" s="1240"/>
      <c r="M230" s="1240"/>
      <c r="N230" s="1240"/>
      <c r="O230" s="1240"/>
      <c r="P230" s="1247">
        <f t="shared" si="30"/>
        <v>204</v>
      </c>
      <c r="Q230" s="1253" t="e">
        <f t="shared" ca="1" si="29"/>
        <v>#N/A</v>
      </c>
      <c r="R230" s="1247" t="str">
        <f>IFERROR(VLOOKUP(P230,RPCRepaymentDates[],1,FALSE),"")</f>
        <v/>
      </c>
      <c r="S230" s="1259">
        <f t="shared" si="25"/>
        <v>0</v>
      </c>
      <c r="T230" s="1247" t="str">
        <f>IFERROR(VLOOKUP(P230,RPCChargeCycleDates[],1,FALSE),"")</f>
        <v/>
      </c>
      <c r="U230" s="1248" t="str">
        <f>IFERROR(_xlfn.DAYS(T230,$Q$16)-SUM(U$26:U229),"")</f>
        <v/>
      </c>
      <c r="V230" s="1258">
        <f t="shared" ca="1" si="26"/>
        <v>0</v>
      </c>
      <c r="W230" s="1258">
        <f t="shared" ca="1" si="27"/>
        <v>0</v>
      </c>
      <c r="X230" s="1258" t="e">
        <f t="shared" ca="1" si="28"/>
        <v>#N/A</v>
      </c>
      <c r="Y230" s="1240"/>
      <c r="Z230" s="1240"/>
      <c r="AA230" s="1240"/>
      <c r="AB230" s="1240"/>
      <c r="AC230" s="1254" t="e">
        <f t="shared" si="24"/>
        <v>#NUM!</v>
      </c>
      <c r="AD230" s="1240"/>
      <c r="AE230" s="1240"/>
      <c r="AF230" s="1240"/>
      <c r="AG230" s="1240"/>
      <c r="AH230" s="1240"/>
      <c r="AI230" s="1240"/>
      <c r="AJ230" s="1240"/>
      <c r="AK230" s="1240"/>
      <c r="AL230" s="1240"/>
      <c r="AM230" s="1240"/>
      <c r="AN230" s="1240"/>
      <c r="AO230" s="1240"/>
      <c r="AP230" s="1240"/>
    </row>
    <row r="231" spans="1:42" ht="18.75" customHeight="1" x14ac:dyDescent="0.35">
      <c r="A231" s="1240"/>
      <c r="B231" s="1240"/>
      <c r="C231" s="1240"/>
      <c r="D231" s="1240"/>
      <c r="E231" s="1240"/>
      <c r="F231" s="1240"/>
      <c r="G231" s="1240"/>
      <c r="H231" s="1240"/>
      <c r="I231" s="1240"/>
      <c r="J231" s="1240"/>
      <c r="K231" s="1240"/>
      <c r="L231" s="1240"/>
      <c r="M231" s="1240"/>
      <c r="N231" s="1240"/>
      <c r="O231" s="1240"/>
      <c r="P231" s="1247">
        <f t="shared" si="30"/>
        <v>205</v>
      </c>
      <c r="Q231" s="1253" t="e">
        <f t="shared" ca="1" si="29"/>
        <v>#N/A</v>
      </c>
      <c r="R231" s="1247" t="str">
        <f>IFERROR(VLOOKUP(P231,RPCRepaymentDates[],1,FALSE),"")</f>
        <v/>
      </c>
      <c r="S231" s="1259">
        <f t="shared" si="25"/>
        <v>0</v>
      </c>
      <c r="T231" s="1247" t="str">
        <f>IFERROR(VLOOKUP(P231,RPCChargeCycleDates[],1,FALSE),"")</f>
        <v/>
      </c>
      <c r="U231" s="1248" t="str">
        <f>IFERROR(_xlfn.DAYS(T231,$Q$16)-SUM(U$26:U230),"")</f>
        <v/>
      </c>
      <c r="V231" s="1258">
        <f t="shared" ca="1" si="26"/>
        <v>0</v>
      </c>
      <c r="W231" s="1258">
        <f t="shared" ca="1" si="27"/>
        <v>0</v>
      </c>
      <c r="X231" s="1258" t="e">
        <f t="shared" ca="1" si="28"/>
        <v>#N/A</v>
      </c>
      <c r="Y231" s="1240"/>
      <c r="Z231" s="1240"/>
      <c r="AA231" s="1240"/>
      <c r="AB231" s="1240"/>
      <c r="AC231" s="1254" t="e">
        <f t="shared" si="24"/>
        <v>#NUM!</v>
      </c>
      <c r="AD231" s="1240"/>
      <c r="AE231" s="1240"/>
      <c r="AF231" s="1240"/>
      <c r="AG231" s="1240"/>
      <c r="AH231" s="1240"/>
      <c r="AI231" s="1240"/>
      <c r="AJ231" s="1240"/>
      <c r="AK231" s="1240"/>
      <c r="AL231" s="1240"/>
      <c r="AM231" s="1240"/>
      <c r="AN231" s="1240"/>
      <c r="AO231" s="1240"/>
      <c r="AP231" s="1240"/>
    </row>
    <row r="232" spans="1:42" ht="18.75" customHeight="1" x14ac:dyDescent="0.35">
      <c r="A232" s="1240"/>
      <c r="B232" s="1240"/>
      <c r="C232" s="1240"/>
      <c r="D232" s="1240"/>
      <c r="E232" s="1240"/>
      <c r="F232" s="1240"/>
      <c r="G232" s="1240"/>
      <c r="H232" s="1240"/>
      <c r="I232" s="1240"/>
      <c r="J232" s="1240"/>
      <c r="K232" s="1240"/>
      <c r="L232" s="1240"/>
      <c r="M232" s="1240"/>
      <c r="N232" s="1240"/>
      <c r="O232" s="1240"/>
      <c r="P232" s="1247">
        <f t="shared" si="30"/>
        <v>206</v>
      </c>
      <c r="Q232" s="1253" t="e">
        <f t="shared" ca="1" si="29"/>
        <v>#N/A</v>
      </c>
      <c r="R232" s="1247" t="str">
        <f>IFERROR(VLOOKUP(P232,RPCRepaymentDates[],1,FALSE),"")</f>
        <v/>
      </c>
      <c r="S232" s="1259">
        <f t="shared" si="25"/>
        <v>0</v>
      </c>
      <c r="T232" s="1247" t="str">
        <f>IFERROR(VLOOKUP(P232,RPCChargeCycleDates[],1,FALSE),"")</f>
        <v/>
      </c>
      <c r="U232" s="1248" t="str">
        <f>IFERROR(_xlfn.DAYS(T232,$Q$16)-SUM(U$26:U231),"")</f>
        <v/>
      </c>
      <c r="V232" s="1258">
        <f t="shared" ca="1" si="26"/>
        <v>0</v>
      </c>
      <c r="W232" s="1258">
        <f t="shared" ca="1" si="27"/>
        <v>0</v>
      </c>
      <c r="X232" s="1258" t="e">
        <f t="shared" ca="1" si="28"/>
        <v>#N/A</v>
      </c>
      <c r="Y232" s="1240"/>
      <c r="Z232" s="1240"/>
      <c r="AA232" s="1240"/>
      <c r="AB232" s="1240"/>
      <c r="AC232" s="1254" t="e">
        <f t="shared" si="24"/>
        <v>#NUM!</v>
      </c>
      <c r="AD232" s="1240"/>
      <c r="AE232" s="1240"/>
      <c r="AF232" s="1240"/>
      <c r="AG232" s="1240"/>
      <c r="AH232" s="1240"/>
      <c r="AI232" s="1240"/>
      <c r="AJ232" s="1240"/>
      <c r="AK232" s="1240"/>
      <c r="AL232" s="1240"/>
      <c r="AM232" s="1240"/>
      <c r="AN232" s="1240"/>
      <c r="AO232" s="1240"/>
      <c r="AP232" s="1240"/>
    </row>
    <row r="233" spans="1:42" ht="18.75" customHeight="1" x14ac:dyDescent="0.35">
      <c r="A233" s="1240"/>
      <c r="B233" s="1240"/>
      <c r="C233" s="1240"/>
      <c r="D233" s="1240"/>
      <c r="E233" s="1240"/>
      <c r="F233" s="1240"/>
      <c r="G233" s="1240"/>
      <c r="H233" s="1240"/>
      <c r="I233" s="1240"/>
      <c r="J233" s="1240"/>
      <c r="K233" s="1240"/>
      <c r="L233" s="1240"/>
      <c r="M233" s="1240"/>
      <c r="N233" s="1240"/>
      <c r="O233" s="1240"/>
      <c r="P233" s="1247">
        <f t="shared" si="30"/>
        <v>207</v>
      </c>
      <c r="Q233" s="1253" t="e">
        <f t="shared" ca="1" si="29"/>
        <v>#N/A</v>
      </c>
      <c r="R233" s="1247" t="str">
        <f>IFERROR(VLOOKUP(P233,RPCRepaymentDates[],1,FALSE),"")</f>
        <v/>
      </c>
      <c r="S233" s="1259">
        <f t="shared" si="25"/>
        <v>0</v>
      </c>
      <c r="T233" s="1247" t="str">
        <f>IFERROR(VLOOKUP(P233,RPCChargeCycleDates[],1,FALSE),"")</f>
        <v/>
      </c>
      <c r="U233" s="1248" t="str">
        <f>IFERROR(_xlfn.DAYS(T233,$Q$16)-SUM(U$26:U232),"")</f>
        <v/>
      </c>
      <c r="V233" s="1258">
        <f t="shared" ca="1" si="26"/>
        <v>0</v>
      </c>
      <c r="W233" s="1258">
        <f t="shared" ca="1" si="27"/>
        <v>0</v>
      </c>
      <c r="X233" s="1258" t="e">
        <f t="shared" ca="1" si="28"/>
        <v>#N/A</v>
      </c>
      <c r="Y233" s="1240"/>
      <c r="Z233" s="1240"/>
      <c r="AA233" s="1240"/>
      <c r="AB233" s="1240"/>
      <c r="AC233" s="1254" t="e">
        <f t="shared" si="24"/>
        <v>#NUM!</v>
      </c>
      <c r="AD233" s="1240"/>
      <c r="AE233" s="1240"/>
      <c r="AF233" s="1240"/>
      <c r="AG233" s="1240"/>
      <c r="AH233" s="1240"/>
      <c r="AI233" s="1240"/>
      <c r="AJ233" s="1240"/>
      <c r="AK233" s="1240"/>
      <c r="AL233" s="1240"/>
      <c r="AM233" s="1240"/>
      <c r="AN233" s="1240"/>
      <c r="AO233" s="1240"/>
      <c r="AP233" s="1240"/>
    </row>
    <row r="234" spans="1:42" ht="18.75" customHeight="1" x14ac:dyDescent="0.35">
      <c r="A234" s="1240"/>
      <c r="B234" s="1240"/>
      <c r="C234" s="1240"/>
      <c r="D234" s="1240"/>
      <c r="E234" s="1240"/>
      <c r="F234" s="1240"/>
      <c r="G234" s="1240"/>
      <c r="H234" s="1240"/>
      <c r="I234" s="1240"/>
      <c r="J234" s="1240"/>
      <c r="K234" s="1240"/>
      <c r="L234" s="1240"/>
      <c r="M234" s="1240"/>
      <c r="N234" s="1240"/>
      <c r="O234" s="1240"/>
      <c r="P234" s="1247">
        <f t="shared" si="30"/>
        <v>208</v>
      </c>
      <c r="Q234" s="1253" t="e">
        <f t="shared" ca="1" si="29"/>
        <v>#N/A</v>
      </c>
      <c r="R234" s="1247" t="str">
        <f>IFERROR(VLOOKUP(P234,RPCRepaymentDates[],1,FALSE),"")</f>
        <v/>
      </c>
      <c r="S234" s="1259">
        <f t="shared" si="25"/>
        <v>0</v>
      </c>
      <c r="T234" s="1247" t="str">
        <f>IFERROR(VLOOKUP(P234,RPCChargeCycleDates[],1,FALSE),"")</f>
        <v/>
      </c>
      <c r="U234" s="1248" t="str">
        <f>IFERROR(_xlfn.DAYS(T234,$Q$16)-SUM(U$26:U233),"")</f>
        <v/>
      </c>
      <c r="V234" s="1258">
        <f t="shared" ca="1" si="26"/>
        <v>0</v>
      </c>
      <c r="W234" s="1258">
        <f t="shared" ca="1" si="27"/>
        <v>0</v>
      </c>
      <c r="X234" s="1258" t="e">
        <f t="shared" ca="1" si="28"/>
        <v>#N/A</v>
      </c>
      <c r="Y234" s="1240"/>
      <c r="Z234" s="1240"/>
      <c r="AA234" s="1240"/>
      <c r="AB234" s="1240"/>
      <c r="AC234" s="1254" t="e">
        <f t="shared" si="24"/>
        <v>#NUM!</v>
      </c>
      <c r="AD234" s="1240"/>
      <c r="AE234" s="1240"/>
      <c r="AF234" s="1240"/>
      <c r="AG234" s="1240"/>
      <c r="AH234" s="1240"/>
      <c r="AI234" s="1240"/>
      <c r="AJ234" s="1240"/>
      <c r="AK234" s="1240"/>
      <c r="AL234" s="1240"/>
      <c r="AM234" s="1240"/>
      <c r="AN234" s="1240"/>
      <c r="AO234" s="1240"/>
      <c r="AP234" s="1240"/>
    </row>
    <row r="235" spans="1:42" ht="18.75" customHeight="1" x14ac:dyDescent="0.35">
      <c r="A235" s="1240"/>
      <c r="B235" s="1240"/>
      <c r="C235" s="1240"/>
      <c r="D235" s="1240"/>
      <c r="E235" s="1240"/>
      <c r="F235" s="1240"/>
      <c r="G235" s="1240"/>
      <c r="H235" s="1240"/>
      <c r="I235" s="1240"/>
      <c r="J235" s="1240"/>
      <c r="K235" s="1240"/>
      <c r="L235" s="1240"/>
      <c r="M235" s="1240"/>
      <c r="N235" s="1240"/>
      <c r="O235" s="1240"/>
      <c r="P235" s="1247">
        <f t="shared" si="30"/>
        <v>209</v>
      </c>
      <c r="Q235" s="1253" t="e">
        <f t="shared" ca="1" si="29"/>
        <v>#N/A</v>
      </c>
      <c r="R235" s="1247" t="str">
        <f>IFERROR(VLOOKUP(P235,RPCRepaymentDates[],1,FALSE),"")</f>
        <v/>
      </c>
      <c r="S235" s="1259">
        <f t="shared" si="25"/>
        <v>0</v>
      </c>
      <c r="T235" s="1247" t="str">
        <f>IFERROR(VLOOKUP(P235,RPCChargeCycleDates[],1,FALSE),"")</f>
        <v/>
      </c>
      <c r="U235" s="1248" t="str">
        <f>IFERROR(_xlfn.DAYS(T235,$Q$16)-SUM(U$26:U234),"")</f>
        <v/>
      </c>
      <c r="V235" s="1258">
        <f t="shared" ca="1" si="26"/>
        <v>0</v>
      </c>
      <c r="W235" s="1258">
        <f t="shared" ca="1" si="27"/>
        <v>0</v>
      </c>
      <c r="X235" s="1258" t="e">
        <f t="shared" ca="1" si="28"/>
        <v>#N/A</v>
      </c>
      <c r="Y235" s="1240"/>
      <c r="Z235" s="1240"/>
      <c r="AA235" s="1240"/>
      <c r="AB235" s="1240"/>
      <c r="AC235" s="1254" t="e">
        <f t="shared" si="24"/>
        <v>#NUM!</v>
      </c>
      <c r="AD235" s="1240"/>
      <c r="AE235" s="1240"/>
      <c r="AF235" s="1240"/>
      <c r="AG235" s="1240"/>
      <c r="AH235" s="1240"/>
      <c r="AI235" s="1240"/>
      <c r="AJ235" s="1240"/>
      <c r="AK235" s="1240"/>
      <c r="AL235" s="1240"/>
      <c r="AM235" s="1240"/>
      <c r="AN235" s="1240"/>
      <c r="AO235" s="1240"/>
      <c r="AP235" s="1240"/>
    </row>
    <row r="236" spans="1:42" ht="18.75" customHeight="1" x14ac:dyDescent="0.35">
      <c r="A236" s="1240"/>
      <c r="B236" s="1240"/>
      <c r="C236" s="1240"/>
      <c r="D236" s="1240"/>
      <c r="E236" s="1240"/>
      <c r="F236" s="1240"/>
      <c r="G236" s="1240"/>
      <c r="H236" s="1240"/>
      <c r="I236" s="1240"/>
      <c r="J236" s="1240"/>
      <c r="K236" s="1240"/>
      <c r="L236" s="1240"/>
      <c r="M236" s="1240"/>
      <c r="N236" s="1240"/>
      <c r="O236" s="1240"/>
      <c r="P236" s="1247">
        <f t="shared" si="30"/>
        <v>210</v>
      </c>
      <c r="Q236" s="1253" t="e">
        <f t="shared" ca="1" si="29"/>
        <v>#N/A</v>
      </c>
      <c r="R236" s="1247" t="str">
        <f>IFERROR(VLOOKUP(P236,RPCRepaymentDates[],1,FALSE),"")</f>
        <v/>
      </c>
      <c r="S236" s="1259">
        <f t="shared" si="25"/>
        <v>0</v>
      </c>
      <c r="T236" s="1247">
        <f>IFERROR(VLOOKUP(P236,RPCChargeCycleDates[],1,FALSE),"")</f>
        <v>210</v>
      </c>
      <c r="U236" s="1248">
        <f>IFERROR(_xlfn.DAYS(T236,$Q$16)-SUM(U$26:U235),"")</f>
        <v>30</v>
      </c>
      <c r="V236" s="1258">
        <f t="shared" ca="1" si="26"/>
        <v>0</v>
      </c>
      <c r="W236" s="1258">
        <f t="shared" ca="1" si="27"/>
        <v>0</v>
      </c>
      <c r="X236" s="1258" t="e">
        <f t="shared" ca="1" si="28"/>
        <v>#N/A</v>
      </c>
      <c r="Y236" s="1240"/>
      <c r="Z236" s="1240"/>
      <c r="AA236" s="1240"/>
      <c r="AB236" s="1240"/>
      <c r="AC236" s="1254" t="e">
        <f t="shared" si="24"/>
        <v>#NUM!</v>
      </c>
      <c r="AD236" s="1240"/>
      <c r="AE236" s="1240"/>
      <c r="AF236" s="1240"/>
      <c r="AG236" s="1240"/>
      <c r="AH236" s="1240"/>
      <c r="AI236" s="1240"/>
      <c r="AJ236" s="1240"/>
      <c r="AK236" s="1240"/>
      <c r="AL236" s="1240"/>
      <c r="AM236" s="1240"/>
      <c r="AN236" s="1240"/>
      <c r="AO236" s="1240"/>
      <c r="AP236" s="1240"/>
    </row>
    <row r="237" spans="1:42" ht="18.75" customHeight="1" x14ac:dyDescent="0.35">
      <c r="A237" s="1240"/>
      <c r="B237" s="1240"/>
      <c r="C237" s="1240"/>
      <c r="D237" s="1240"/>
      <c r="E237" s="1240"/>
      <c r="F237" s="1240"/>
      <c r="G237" s="1240"/>
      <c r="H237" s="1240"/>
      <c r="I237" s="1240"/>
      <c r="J237" s="1240"/>
      <c r="K237" s="1240"/>
      <c r="L237" s="1240"/>
      <c r="M237" s="1240"/>
      <c r="N237" s="1240"/>
      <c r="O237" s="1240"/>
      <c r="P237" s="1247">
        <f t="shared" si="30"/>
        <v>211</v>
      </c>
      <c r="Q237" s="1253" t="e">
        <f t="shared" ca="1" si="29"/>
        <v>#N/A</v>
      </c>
      <c r="R237" s="1247" t="str">
        <f>IFERROR(VLOOKUP(P237,RPCRepaymentDates[],1,FALSE),"")</f>
        <v/>
      </c>
      <c r="S237" s="1259">
        <f t="shared" si="25"/>
        <v>0</v>
      </c>
      <c r="T237" s="1247" t="str">
        <f>IFERROR(VLOOKUP(P237,RPCChargeCycleDates[],1,FALSE),"")</f>
        <v/>
      </c>
      <c r="U237" s="1248" t="str">
        <f>IFERROR(_xlfn.DAYS(T237,$Q$16)-SUM(U$26:U236),"")</f>
        <v/>
      </c>
      <c r="V237" s="1258">
        <f t="shared" ca="1" si="26"/>
        <v>0</v>
      </c>
      <c r="W237" s="1258">
        <f t="shared" ca="1" si="27"/>
        <v>0</v>
      </c>
      <c r="X237" s="1258" t="e">
        <f t="shared" ca="1" si="28"/>
        <v>#N/A</v>
      </c>
      <c r="Y237" s="1240"/>
      <c r="Z237" s="1240"/>
      <c r="AA237" s="1240"/>
      <c r="AB237" s="1240"/>
      <c r="AC237" s="1254" t="e">
        <f t="shared" si="24"/>
        <v>#NUM!</v>
      </c>
      <c r="AD237" s="1240"/>
      <c r="AE237" s="1240"/>
      <c r="AF237" s="1240"/>
      <c r="AG237" s="1240"/>
      <c r="AH237" s="1240"/>
      <c r="AI237" s="1240"/>
      <c r="AJ237" s="1240"/>
      <c r="AK237" s="1240"/>
      <c r="AL237" s="1240"/>
      <c r="AM237" s="1240"/>
      <c r="AN237" s="1240"/>
      <c r="AO237" s="1240"/>
      <c r="AP237" s="1240"/>
    </row>
    <row r="238" spans="1:42" ht="18.75" customHeight="1" x14ac:dyDescent="0.35">
      <c r="A238" s="1240"/>
      <c r="B238" s="1240"/>
      <c r="C238" s="1240"/>
      <c r="D238" s="1240"/>
      <c r="E238" s="1240"/>
      <c r="F238" s="1240"/>
      <c r="G238" s="1240"/>
      <c r="H238" s="1240"/>
      <c r="I238" s="1240"/>
      <c r="J238" s="1240"/>
      <c r="K238" s="1240"/>
      <c r="L238" s="1240"/>
      <c r="M238" s="1240"/>
      <c r="N238" s="1240"/>
      <c r="O238" s="1240"/>
      <c r="P238" s="1247">
        <f t="shared" si="30"/>
        <v>212</v>
      </c>
      <c r="Q238" s="1253" t="e">
        <f t="shared" ca="1" si="29"/>
        <v>#N/A</v>
      </c>
      <c r="R238" s="1247" t="str">
        <f>IFERROR(VLOOKUP(P238,RPCRepaymentDates[],1,FALSE),"")</f>
        <v/>
      </c>
      <c r="S238" s="1259">
        <f t="shared" si="25"/>
        <v>0</v>
      </c>
      <c r="T238" s="1247" t="str">
        <f>IFERROR(VLOOKUP(P238,RPCChargeCycleDates[],1,FALSE),"")</f>
        <v/>
      </c>
      <c r="U238" s="1248" t="str">
        <f>IFERROR(_xlfn.DAYS(T238,$Q$16)-SUM(U$26:U237),"")</f>
        <v/>
      </c>
      <c r="V238" s="1258">
        <f t="shared" ca="1" si="26"/>
        <v>0</v>
      </c>
      <c r="W238" s="1258">
        <f t="shared" ca="1" si="27"/>
        <v>0</v>
      </c>
      <c r="X238" s="1258" t="e">
        <f t="shared" ca="1" si="28"/>
        <v>#N/A</v>
      </c>
      <c r="Y238" s="1240"/>
      <c r="Z238" s="1240"/>
      <c r="AA238" s="1240"/>
      <c r="AB238" s="1240"/>
      <c r="AC238" s="1254" t="e">
        <f t="shared" si="24"/>
        <v>#NUM!</v>
      </c>
      <c r="AD238" s="1240"/>
      <c r="AE238" s="1240"/>
      <c r="AF238" s="1240"/>
      <c r="AG238" s="1240"/>
      <c r="AH238" s="1240"/>
      <c r="AI238" s="1240"/>
      <c r="AJ238" s="1240"/>
      <c r="AK238" s="1240"/>
      <c r="AL238" s="1240"/>
      <c r="AM238" s="1240"/>
      <c r="AN238" s="1240"/>
      <c r="AO238" s="1240"/>
      <c r="AP238" s="1240"/>
    </row>
    <row r="239" spans="1:42" ht="18.75" customHeight="1" x14ac:dyDescent="0.35">
      <c r="A239" s="1240"/>
      <c r="B239" s="1240"/>
      <c r="C239" s="1240"/>
      <c r="D239" s="1240"/>
      <c r="E239" s="1240"/>
      <c r="F239" s="1240"/>
      <c r="G239" s="1240"/>
      <c r="H239" s="1240"/>
      <c r="I239" s="1240"/>
      <c r="J239" s="1240"/>
      <c r="K239" s="1240"/>
      <c r="L239" s="1240"/>
      <c r="M239" s="1240"/>
      <c r="N239" s="1240"/>
      <c r="O239" s="1240"/>
      <c r="P239" s="1247">
        <f t="shared" si="30"/>
        <v>213</v>
      </c>
      <c r="Q239" s="1253" t="e">
        <f t="shared" ca="1" si="29"/>
        <v>#N/A</v>
      </c>
      <c r="R239" s="1247" t="str">
        <f>IFERROR(VLOOKUP(P239,RPCRepaymentDates[],1,FALSE),"")</f>
        <v/>
      </c>
      <c r="S239" s="1259">
        <f t="shared" si="25"/>
        <v>0</v>
      </c>
      <c r="T239" s="1247" t="str">
        <f>IFERROR(VLOOKUP(P239,RPCChargeCycleDates[],1,FALSE),"")</f>
        <v/>
      </c>
      <c r="U239" s="1248" t="str">
        <f>IFERROR(_xlfn.DAYS(T239,$Q$16)-SUM(U$26:U238),"")</f>
        <v/>
      </c>
      <c r="V239" s="1258">
        <f t="shared" ca="1" si="26"/>
        <v>0</v>
      </c>
      <c r="W239" s="1258">
        <f t="shared" ca="1" si="27"/>
        <v>0</v>
      </c>
      <c r="X239" s="1258" t="e">
        <f t="shared" ca="1" si="28"/>
        <v>#N/A</v>
      </c>
      <c r="Y239" s="1240"/>
      <c r="Z239" s="1240"/>
      <c r="AA239" s="1240"/>
      <c r="AB239" s="1240"/>
      <c r="AC239" s="1254" t="e">
        <f t="shared" si="24"/>
        <v>#NUM!</v>
      </c>
      <c r="AD239" s="1240"/>
      <c r="AE239" s="1240"/>
      <c r="AF239" s="1240"/>
      <c r="AG239" s="1240"/>
      <c r="AH239" s="1240"/>
      <c r="AI239" s="1240"/>
      <c r="AJ239" s="1240"/>
      <c r="AK239" s="1240"/>
      <c r="AL239" s="1240"/>
      <c r="AM239" s="1240"/>
      <c r="AN239" s="1240"/>
      <c r="AO239" s="1240"/>
      <c r="AP239" s="1240"/>
    </row>
    <row r="240" spans="1:42" ht="18.75" customHeight="1" x14ac:dyDescent="0.35">
      <c r="A240" s="1240"/>
      <c r="B240" s="1240"/>
      <c r="C240" s="1240"/>
      <c r="D240" s="1240"/>
      <c r="E240" s="1240"/>
      <c r="F240" s="1240"/>
      <c r="G240" s="1240"/>
      <c r="H240" s="1240"/>
      <c r="I240" s="1240"/>
      <c r="J240" s="1240"/>
      <c r="K240" s="1240"/>
      <c r="L240" s="1240"/>
      <c r="M240" s="1240"/>
      <c r="N240" s="1240"/>
      <c r="O240" s="1240"/>
      <c r="P240" s="1247">
        <f t="shared" si="30"/>
        <v>214</v>
      </c>
      <c r="Q240" s="1253" t="e">
        <f t="shared" ca="1" si="29"/>
        <v>#N/A</v>
      </c>
      <c r="R240" s="1247" t="str">
        <f>IFERROR(VLOOKUP(P240,RPCRepaymentDates[],1,FALSE),"")</f>
        <v/>
      </c>
      <c r="S240" s="1259">
        <f t="shared" si="25"/>
        <v>0</v>
      </c>
      <c r="T240" s="1247" t="str">
        <f>IFERROR(VLOOKUP(P240,RPCChargeCycleDates[],1,FALSE),"")</f>
        <v/>
      </c>
      <c r="U240" s="1248" t="str">
        <f>IFERROR(_xlfn.DAYS(T240,$Q$16)-SUM(U$26:U239),"")</f>
        <v/>
      </c>
      <c r="V240" s="1258">
        <f t="shared" ca="1" si="26"/>
        <v>0</v>
      </c>
      <c r="W240" s="1258">
        <f t="shared" ca="1" si="27"/>
        <v>0</v>
      </c>
      <c r="X240" s="1258" t="e">
        <f t="shared" ca="1" si="28"/>
        <v>#N/A</v>
      </c>
      <c r="Y240" s="1240"/>
      <c r="Z240" s="1240"/>
      <c r="AA240" s="1240"/>
      <c r="AB240" s="1240"/>
      <c r="AC240" s="1254" t="e">
        <f t="shared" si="24"/>
        <v>#NUM!</v>
      </c>
      <c r="AD240" s="1240"/>
      <c r="AE240" s="1240"/>
      <c r="AF240" s="1240"/>
      <c r="AG240" s="1240"/>
      <c r="AH240" s="1240"/>
      <c r="AI240" s="1240"/>
      <c r="AJ240" s="1240"/>
      <c r="AK240" s="1240"/>
      <c r="AL240" s="1240"/>
      <c r="AM240" s="1240"/>
      <c r="AN240" s="1240"/>
      <c r="AO240" s="1240"/>
      <c r="AP240" s="1240"/>
    </row>
    <row r="241" spans="1:42" ht="18.75" customHeight="1" x14ac:dyDescent="0.35">
      <c r="A241" s="1240"/>
      <c r="B241" s="1240"/>
      <c r="C241" s="1240"/>
      <c r="D241" s="1240"/>
      <c r="E241" s="1240"/>
      <c r="F241" s="1240"/>
      <c r="G241" s="1240"/>
      <c r="H241" s="1240"/>
      <c r="I241" s="1240"/>
      <c r="J241" s="1240"/>
      <c r="K241" s="1240"/>
      <c r="L241" s="1240"/>
      <c r="M241" s="1240"/>
      <c r="N241" s="1240"/>
      <c r="O241" s="1240"/>
      <c r="P241" s="1247">
        <f t="shared" si="30"/>
        <v>215</v>
      </c>
      <c r="Q241" s="1253" t="e">
        <f t="shared" ca="1" si="29"/>
        <v>#N/A</v>
      </c>
      <c r="R241" s="1247" t="str">
        <f>IFERROR(VLOOKUP(P241,RPCRepaymentDates[],1,FALSE),"")</f>
        <v/>
      </c>
      <c r="S241" s="1259">
        <f t="shared" si="25"/>
        <v>0</v>
      </c>
      <c r="T241" s="1247" t="str">
        <f>IFERROR(VLOOKUP(P241,RPCChargeCycleDates[],1,FALSE),"")</f>
        <v/>
      </c>
      <c r="U241" s="1248" t="str">
        <f>IFERROR(_xlfn.DAYS(T241,$Q$16)-SUM(U$26:U240),"")</f>
        <v/>
      </c>
      <c r="V241" s="1258">
        <f t="shared" ca="1" si="26"/>
        <v>0</v>
      </c>
      <c r="W241" s="1258">
        <f t="shared" ca="1" si="27"/>
        <v>0</v>
      </c>
      <c r="X241" s="1258" t="e">
        <f t="shared" ca="1" si="28"/>
        <v>#N/A</v>
      </c>
      <c r="Y241" s="1240"/>
      <c r="Z241" s="1240"/>
      <c r="AA241" s="1240"/>
      <c r="AB241" s="1240"/>
      <c r="AC241" s="1254" t="e">
        <f t="shared" si="24"/>
        <v>#NUM!</v>
      </c>
      <c r="AD241" s="1240"/>
      <c r="AE241" s="1240"/>
      <c r="AF241" s="1240"/>
      <c r="AG241" s="1240"/>
      <c r="AH241" s="1240"/>
      <c r="AI241" s="1240"/>
      <c r="AJ241" s="1240"/>
      <c r="AK241" s="1240"/>
      <c r="AL241" s="1240"/>
      <c r="AM241" s="1240"/>
      <c r="AN241" s="1240"/>
      <c r="AO241" s="1240"/>
      <c r="AP241" s="1240"/>
    </row>
    <row r="242" spans="1:42" ht="18.75" customHeight="1" x14ac:dyDescent="0.35">
      <c r="A242" s="1240"/>
      <c r="B242" s="1240"/>
      <c r="C242" s="1240"/>
      <c r="D242" s="1240"/>
      <c r="E242" s="1240"/>
      <c r="F242" s="1240"/>
      <c r="G242" s="1240"/>
      <c r="H242" s="1240"/>
      <c r="I242" s="1240"/>
      <c r="J242" s="1240"/>
      <c r="K242" s="1240"/>
      <c r="L242" s="1240"/>
      <c r="M242" s="1240"/>
      <c r="N242" s="1240"/>
      <c r="O242" s="1240"/>
      <c r="P242" s="1247">
        <f t="shared" si="30"/>
        <v>216</v>
      </c>
      <c r="Q242" s="1253" t="e">
        <f t="shared" ca="1" si="29"/>
        <v>#N/A</v>
      </c>
      <c r="R242" s="1247" t="str">
        <f>IFERROR(VLOOKUP(P242,RPCRepaymentDates[],1,FALSE),"")</f>
        <v/>
      </c>
      <c r="S242" s="1259">
        <f t="shared" si="25"/>
        <v>0</v>
      </c>
      <c r="T242" s="1247" t="str">
        <f>IFERROR(VLOOKUP(P242,RPCChargeCycleDates[],1,FALSE),"")</f>
        <v/>
      </c>
      <c r="U242" s="1248" t="str">
        <f>IFERROR(_xlfn.DAYS(T242,$Q$16)-SUM(U$26:U241),"")</f>
        <v/>
      </c>
      <c r="V242" s="1258">
        <f t="shared" ca="1" si="26"/>
        <v>0</v>
      </c>
      <c r="W242" s="1258">
        <f t="shared" ca="1" si="27"/>
        <v>0</v>
      </c>
      <c r="X242" s="1258" t="e">
        <f t="shared" ca="1" si="28"/>
        <v>#N/A</v>
      </c>
      <c r="Y242" s="1240"/>
      <c r="Z242" s="1240"/>
      <c r="AA242" s="1240"/>
      <c r="AB242" s="1240"/>
      <c r="AC242" s="1254" t="e">
        <f t="shared" si="24"/>
        <v>#NUM!</v>
      </c>
      <c r="AD242" s="1240"/>
      <c r="AE242" s="1240"/>
      <c r="AF242" s="1240"/>
      <c r="AG242" s="1240"/>
      <c r="AH242" s="1240"/>
      <c r="AI242" s="1240"/>
      <c r="AJ242" s="1240"/>
      <c r="AK242" s="1240"/>
      <c r="AL242" s="1240"/>
      <c r="AM242" s="1240"/>
      <c r="AN242" s="1240"/>
      <c r="AO242" s="1240"/>
      <c r="AP242" s="1240"/>
    </row>
    <row r="243" spans="1:42" ht="18.75" customHeight="1" x14ac:dyDescent="0.35">
      <c r="A243" s="1240"/>
      <c r="B243" s="1240"/>
      <c r="C243" s="1240"/>
      <c r="D243" s="1240"/>
      <c r="E243" s="1240"/>
      <c r="F243" s="1240"/>
      <c r="G243" s="1240"/>
      <c r="H243" s="1240"/>
      <c r="I243" s="1240"/>
      <c r="J243" s="1240"/>
      <c r="K243" s="1240"/>
      <c r="L243" s="1240"/>
      <c r="M243" s="1240"/>
      <c r="N243" s="1240"/>
      <c r="O243" s="1240"/>
      <c r="P243" s="1247">
        <f t="shared" si="30"/>
        <v>217</v>
      </c>
      <c r="Q243" s="1253" t="e">
        <f t="shared" ca="1" si="29"/>
        <v>#N/A</v>
      </c>
      <c r="R243" s="1247" t="str">
        <f>IFERROR(VLOOKUP(P243,RPCRepaymentDates[],1,FALSE),"")</f>
        <v/>
      </c>
      <c r="S243" s="1259">
        <f t="shared" si="25"/>
        <v>0</v>
      </c>
      <c r="T243" s="1247" t="str">
        <f>IFERROR(VLOOKUP(P243,RPCChargeCycleDates[],1,FALSE),"")</f>
        <v/>
      </c>
      <c r="U243" s="1248" t="str">
        <f>IFERROR(_xlfn.DAYS(T243,$Q$16)-SUM(U$26:U242),"")</f>
        <v/>
      </c>
      <c r="V243" s="1258">
        <f t="shared" ca="1" si="26"/>
        <v>0</v>
      </c>
      <c r="W243" s="1258">
        <f t="shared" ca="1" si="27"/>
        <v>0</v>
      </c>
      <c r="X243" s="1258" t="e">
        <f t="shared" ca="1" si="28"/>
        <v>#N/A</v>
      </c>
      <c r="Y243" s="1240"/>
      <c r="Z243" s="1240"/>
      <c r="AA243" s="1240"/>
      <c r="AB243" s="1240"/>
      <c r="AC243" s="1254" t="e">
        <f t="shared" si="24"/>
        <v>#NUM!</v>
      </c>
      <c r="AD243" s="1240"/>
      <c r="AE243" s="1240"/>
      <c r="AF243" s="1240"/>
      <c r="AG243" s="1240"/>
      <c r="AH243" s="1240"/>
      <c r="AI243" s="1240"/>
      <c r="AJ243" s="1240"/>
      <c r="AK243" s="1240"/>
      <c r="AL243" s="1240"/>
      <c r="AM243" s="1240"/>
      <c r="AN243" s="1240"/>
      <c r="AO243" s="1240"/>
      <c r="AP243" s="1240"/>
    </row>
    <row r="244" spans="1:42" ht="18.75" customHeight="1" x14ac:dyDescent="0.35">
      <c r="A244" s="1240"/>
      <c r="B244" s="1240"/>
      <c r="C244" s="1240"/>
      <c r="D244" s="1240"/>
      <c r="E244" s="1240"/>
      <c r="F244" s="1240"/>
      <c r="G244" s="1240"/>
      <c r="H244" s="1240"/>
      <c r="I244" s="1240"/>
      <c r="J244" s="1240"/>
      <c r="K244" s="1240"/>
      <c r="L244" s="1240"/>
      <c r="M244" s="1240"/>
      <c r="N244" s="1240"/>
      <c r="O244" s="1240"/>
      <c r="P244" s="1247">
        <f t="shared" si="30"/>
        <v>218</v>
      </c>
      <c r="Q244" s="1253" t="e">
        <f t="shared" ca="1" si="29"/>
        <v>#N/A</v>
      </c>
      <c r="R244" s="1247" t="str">
        <f>IFERROR(VLOOKUP(P244,RPCRepaymentDates[],1,FALSE),"")</f>
        <v/>
      </c>
      <c r="S244" s="1259">
        <f t="shared" si="25"/>
        <v>0</v>
      </c>
      <c r="T244" s="1247" t="str">
        <f>IFERROR(VLOOKUP(P244,RPCChargeCycleDates[],1,FALSE),"")</f>
        <v/>
      </c>
      <c r="U244" s="1248" t="str">
        <f>IFERROR(_xlfn.DAYS(T244,$Q$16)-SUM(U$26:U243),"")</f>
        <v/>
      </c>
      <c r="V244" s="1258">
        <f t="shared" ca="1" si="26"/>
        <v>0</v>
      </c>
      <c r="W244" s="1258">
        <f t="shared" ca="1" si="27"/>
        <v>0</v>
      </c>
      <c r="X244" s="1258" t="e">
        <f t="shared" ca="1" si="28"/>
        <v>#N/A</v>
      </c>
      <c r="Y244" s="1240"/>
      <c r="Z244" s="1240"/>
      <c r="AA244" s="1240"/>
      <c r="AB244" s="1240"/>
      <c r="AC244" s="1254" t="e">
        <f t="shared" si="24"/>
        <v>#NUM!</v>
      </c>
      <c r="AD244" s="1240"/>
      <c r="AE244" s="1240"/>
      <c r="AF244" s="1240"/>
      <c r="AG244" s="1240"/>
      <c r="AH244" s="1240"/>
      <c r="AI244" s="1240"/>
      <c r="AJ244" s="1240"/>
      <c r="AK244" s="1240"/>
      <c r="AL244" s="1240"/>
      <c r="AM244" s="1240"/>
      <c r="AN244" s="1240"/>
      <c r="AO244" s="1240"/>
      <c r="AP244" s="1240"/>
    </row>
    <row r="245" spans="1:42" ht="18.75" customHeight="1" x14ac:dyDescent="0.35">
      <c r="A245" s="1240"/>
      <c r="B245" s="1240"/>
      <c r="C245" s="1240"/>
      <c r="D245" s="1240"/>
      <c r="E245" s="1240"/>
      <c r="F245" s="1240"/>
      <c r="G245" s="1240"/>
      <c r="H245" s="1240"/>
      <c r="I245" s="1240"/>
      <c r="J245" s="1240"/>
      <c r="K245" s="1240"/>
      <c r="L245" s="1240"/>
      <c r="M245" s="1240"/>
      <c r="N245" s="1240"/>
      <c r="O245" s="1240"/>
      <c r="P245" s="1247">
        <f t="shared" si="30"/>
        <v>219</v>
      </c>
      <c r="Q245" s="1253" t="e">
        <f t="shared" ca="1" si="29"/>
        <v>#N/A</v>
      </c>
      <c r="R245" s="1247" t="str">
        <f>IFERROR(VLOOKUP(P245,RPCRepaymentDates[],1,FALSE),"")</f>
        <v/>
      </c>
      <c r="S245" s="1259">
        <f t="shared" si="25"/>
        <v>0</v>
      </c>
      <c r="T245" s="1247" t="str">
        <f>IFERROR(VLOOKUP(P245,RPCChargeCycleDates[],1,FALSE),"")</f>
        <v/>
      </c>
      <c r="U245" s="1248" t="str">
        <f>IFERROR(_xlfn.DAYS(T245,$Q$16)-SUM(U$26:U244),"")</f>
        <v/>
      </c>
      <c r="V245" s="1258">
        <f t="shared" ca="1" si="26"/>
        <v>0</v>
      </c>
      <c r="W245" s="1258">
        <f t="shared" ca="1" si="27"/>
        <v>0</v>
      </c>
      <c r="X245" s="1258" t="e">
        <f t="shared" ca="1" si="28"/>
        <v>#N/A</v>
      </c>
      <c r="Y245" s="1240"/>
      <c r="Z245" s="1240"/>
      <c r="AA245" s="1240"/>
      <c r="AB245" s="1240"/>
      <c r="AC245" s="1254" t="e">
        <f t="shared" si="24"/>
        <v>#NUM!</v>
      </c>
      <c r="AD245" s="1240"/>
      <c r="AE245" s="1240"/>
      <c r="AF245" s="1240"/>
      <c r="AG245" s="1240"/>
      <c r="AH245" s="1240"/>
      <c r="AI245" s="1240"/>
      <c r="AJ245" s="1240"/>
      <c r="AK245" s="1240"/>
      <c r="AL245" s="1240"/>
      <c r="AM245" s="1240"/>
      <c r="AN245" s="1240"/>
      <c r="AO245" s="1240"/>
      <c r="AP245" s="1240"/>
    </row>
    <row r="246" spans="1:42" ht="18.75" customHeight="1" x14ac:dyDescent="0.35">
      <c r="A246" s="1240"/>
      <c r="B246" s="1240"/>
      <c r="C246" s="1240"/>
      <c r="D246" s="1240"/>
      <c r="E246" s="1240"/>
      <c r="F246" s="1240"/>
      <c r="G246" s="1240"/>
      <c r="H246" s="1240"/>
      <c r="I246" s="1240"/>
      <c r="J246" s="1240"/>
      <c r="K246" s="1240"/>
      <c r="L246" s="1240"/>
      <c r="M246" s="1240"/>
      <c r="N246" s="1240"/>
      <c r="O246" s="1240"/>
      <c r="P246" s="1247">
        <f t="shared" si="30"/>
        <v>220</v>
      </c>
      <c r="Q246" s="1253" t="e">
        <f t="shared" ca="1" si="29"/>
        <v>#N/A</v>
      </c>
      <c r="R246" s="1247" t="str">
        <f>IFERROR(VLOOKUP(P246,RPCRepaymentDates[],1,FALSE),"")</f>
        <v/>
      </c>
      <c r="S246" s="1259">
        <f t="shared" si="25"/>
        <v>0</v>
      </c>
      <c r="T246" s="1247" t="str">
        <f>IFERROR(VLOOKUP(P246,RPCChargeCycleDates[],1,FALSE),"")</f>
        <v/>
      </c>
      <c r="U246" s="1248" t="str">
        <f>IFERROR(_xlfn.DAYS(T246,$Q$16)-SUM(U$26:U245),"")</f>
        <v/>
      </c>
      <c r="V246" s="1258">
        <f t="shared" ca="1" si="26"/>
        <v>0</v>
      </c>
      <c r="W246" s="1258">
        <f t="shared" ca="1" si="27"/>
        <v>0</v>
      </c>
      <c r="X246" s="1258" t="e">
        <f t="shared" ca="1" si="28"/>
        <v>#N/A</v>
      </c>
      <c r="Y246" s="1240"/>
      <c r="Z246" s="1240"/>
      <c r="AA246" s="1240"/>
      <c r="AB246" s="1240"/>
      <c r="AC246" s="1254" t="e">
        <f t="shared" si="24"/>
        <v>#NUM!</v>
      </c>
      <c r="AD246" s="1240"/>
      <c r="AE246" s="1240"/>
      <c r="AF246" s="1240"/>
      <c r="AG246" s="1240"/>
      <c r="AH246" s="1240"/>
      <c r="AI246" s="1240"/>
      <c r="AJ246" s="1240"/>
      <c r="AK246" s="1240"/>
      <c r="AL246" s="1240"/>
      <c r="AM246" s="1240"/>
      <c r="AN246" s="1240"/>
      <c r="AO246" s="1240"/>
      <c r="AP246" s="1240"/>
    </row>
    <row r="247" spans="1:42" ht="18.75" customHeight="1" x14ac:dyDescent="0.35">
      <c r="A247" s="1240"/>
      <c r="B247" s="1240"/>
      <c r="C247" s="1240"/>
      <c r="D247" s="1240"/>
      <c r="E247" s="1240"/>
      <c r="F247" s="1240"/>
      <c r="G247" s="1240"/>
      <c r="H247" s="1240"/>
      <c r="I247" s="1240"/>
      <c r="J247" s="1240"/>
      <c r="K247" s="1240"/>
      <c r="L247" s="1240"/>
      <c r="M247" s="1240"/>
      <c r="N247" s="1240"/>
      <c r="O247" s="1240"/>
      <c r="P247" s="1247">
        <f t="shared" si="30"/>
        <v>221</v>
      </c>
      <c r="Q247" s="1253" t="e">
        <f t="shared" ca="1" si="29"/>
        <v>#N/A</v>
      </c>
      <c r="R247" s="1247" t="str">
        <f>IFERROR(VLOOKUP(P247,RPCRepaymentDates[],1,FALSE),"")</f>
        <v/>
      </c>
      <c r="S247" s="1259">
        <f t="shared" si="25"/>
        <v>0</v>
      </c>
      <c r="T247" s="1247" t="str">
        <f>IFERROR(VLOOKUP(P247,RPCChargeCycleDates[],1,FALSE),"")</f>
        <v/>
      </c>
      <c r="U247" s="1248" t="str">
        <f>IFERROR(_xlfn.DAYS(T247,$Q$16)-SUM(U$26:U246),"")</f>
        <v/>
      </c>
      <c r="V247" s="1258">
        <f t="shared" ca="1" si="26"/>
        <v>0</v>
      </c>
      <c r="W247" s="1258">
        <f t="shared" ca="1" si="27"/>
        <v>0</v>
      </c>
      <c r="X247" s="1258" t="e">
        <f t="shared" ca="1" si="28"/>
        <v>#N/A</v>
      </c>
      <c r="Y247" s="1240"/>
      <c r="Z247" s="1240"/>
      <c r="AA247" s="1240"/>
      <c r="AB247" s="1240"/>
      <c r="AC247" s="1254" t="e">
        <f t="shared" si="24"/>
        <v>#NUM!</v>
      </c>
      <c r="AD247" s="1240"/>
      <c r="AE247" s="1240"/>
      <c r="AF247" s="1240"/>
      <c r="AG247" s="1240"/>
      <c r="AH247" s="1240"/>
      <c r="AI247" s="1240"/>
      <c r="AJ247" s="1240"/>
      <c r="AK247" s="1240"/>
      <c r="AL247" s="1240"/>
      <c r="AM247" s="1240"/>
      <c r="AN247" s="1240"/>
      <c r="AO247" s="1240"/>
      <c r="AP247" s="1240"/>
    </row>
    <row r="248" spans="1:42" ht="18.75" customHeight="1" x14ac:dyDescent="0.35">
      <c r="A248" s="1240"/>
      <c r="B248" s="1240"/>
      <c r="C248" s="1240"/>
      <c r="D248" s="1240"/>
      <c r="E248" s="1240"/>
      <c r="F248" s="1240"/>
      <c r="G248" s="1240"/>
      <c r="H248" s="1240"/>
      <c r="I248" s="1240"/>
      <c r="J248" s="1240"/>
      <c r="K248" s="1240"/>
      <c r="L248" s="1240"/>
      <c r="M248" s="1240"/>
      <c r="N248" s="1240"/>
      <c r="O248" s="1240"/>
      <c r="P248" s="1247">
        <f t="shared" si="30"/>
        <v>222</v>
      </c>
      <c r="Q248" s="1253" t="e">
        <f t="shared" ca="1" si="29"/>
        <v>#N/A</v>
      </c>
      <c r="R248" s="1247" t="str">
        <f>IFERROR(VLOOKUP(P248,RPCRepaymentDates[],1,FALSE),"")</f>
        <v/>
      </c>
      <c r="S248" s="1259">
        <f t="shared" si="25"/>
        <v>0</v>
      </c>
      <c r="T248" s="1247" t="str">
        <f>IFERROR(VLOOKUP(P248,RPCChargeCycleDates[],1,FALSE),"")</f>
        <v/>
      </c>
      <c r="U248" s="1248" t="str">
        <f>IFERROR(_xlfn.DAYS(T248,$Q$16)-SUM(U$26:U247),"")</f>
        <v/>
      </c>
      <c r="V248" s="1258">
        <f t="shared" ca="1" si="26"/>
        <v>0</v>
      </c>
      <c r="W248" s="1258">
        <f t="shared" ca="1" si="27"/>
        <v>0</v>
      </c>
      <c r="X248" s="1258" t="e">
        <f t="shared" ca="1" si="28"/>
        <v>#N/A</v>
      </c>
      <c r="Y248" s="1240"/>
      <c r="Z248" s="1240"/>
      <c r="AA248" s="1240"/>
      <c r="AB248" s="1240"/>
      <c r="AC248" s="1254" t="e">
        <f t="shared" si="24"/>
        <v>#NUM!</v>
      </c>
      <c r="AD248" s="1240"/>
      <c r="AE248" s="1240"/>
      <c r="AF248" s="1240"/>
      <c r="AG248" s="1240"/>
      <c r="AH248" s="1240"/>
      <c r="AI248" s="1240"/>
      <c r="AJ248" s="1240"/>
      <c r="AK248" s="1240"/>
      <c r="AL248" s="1240"/>
      <c r="AM248" s="1240"/>
      <c r="AN248" s="1240"/>
      <c r="AO248" s="1240"/>
      <c r="AP248" s="1240"/>
    </row>
    <row r="249" spans="1:42" ht="18.75" customHeight="1" x14ac:dyDescent="0.35">
      <c r="A249" s="1240"/>
      <c r="B249" s="1240"/>
      <c r="C249" s="1240"/>
      <c r="D249" s="1240"/>
      <c r="E249" s="1240"/>
      <c r="F249" s="1240"/>
      <c r="G249" s="1240"/>
      <c r="H249" s="1240"/>
      <c r="I249" s="1240"/>
      <c r="J249" s="1240"/>
      <c r="K249" s="1240"/>
      <c r="L249" s="1240"/>
      <c r="M249" s="1240"/>
      <c r="N249" s="1240"/>
      <c r="O249" s="1240"/>
      <c r="P249" s="1247">
        <f t="shared" si="30"/>
        <v>223</v>
      </c>
      <c r="Q249" s="1253" t="e">
        <f t="shared" ca="1" si="29"/>
        <v>#N/A</v>
      </c>
      <c r="R249" s="1247" t="str">
        <f>IFERROR(VLOOKUP(P249,RPCRepaymentDates[],1,FALSE),"")</f>
        <v/>
      </c>
      <c r="S249" s="1259">
        <f t="shared" si="25"/>
        <v>0</v>
      </c>
      <c r="T249" s="1247" t="str">
        <f>IFERROR(VLOOKUP(P249,RPCChargeCycleDates[],1,FALSE),"")</f>
        <v/>
      </c>
      <c r="U249" s="1248" t="str">
        <f>IFERROR(_xlfn.DAYS(T249,$Q$16)-SUM(U$26:U248),"")</f>
        <v/>
      </c>
      <c r="V249" s="1258">
        <f t="shared" ca="1" si="26"/>
        <v>0</v>
      </c>
      <c r="W249" s="1258">
        <f t="shared" ca="1" si="27"/>
        <v>0</v>
      </c>
      <c r="X249" s="1258" t="e">
        <f t="shared" ca="1" si="28"/>
        <v>#N/A</v>
      </c>
      <c r="Y249" s="1240"/>
      <c r="Z249" s="1240"/>
      <c r="AA249" s="1240"/>
      <c r="AB249" s="1240"/>
      <c r="AC249" s="1254" t="e">
        <f t="shared" si="24"/>
        <v>#NUM!</v>
      </c>
      <c r="AD249" s="1240"/>
      <c r="AE249" s="1240"/>
      <c r="AF249" s="1240"/>
      <c r="AG249" s="1240"/>
      <c r="AH249" s="1240"/>
      <c r="AI249" s="1240"/>
      <c r="AJ249" s="1240"/>
      <c r="AK249" s="1240"/>
      <c r="AL249" s="1240"/>
      <c r="AM249" s="1240"/>
      <c r="AN249" s="1240"/>
      <c r="AO249" s="1240"/>
      <c r="AP249" s="1240"/>
    </row>
    <row r="250" spans="1:42" ht="18.75" customHeight="1" x14ac:dyDescent="0.35">
      <c r="A250" s="1240"/>
      <c r="B250" s="1240"/>
      <c r="C250" s="1240"/>
      <c r="D250" s="1240"/>
      <c r="E250" s="1240"/>
      <c r="F250" s="1240"/>
      <c r="G250" s="1240"/>
      <c r="H250" s="1240"/>
      <c r="I250" s="1240"/>
      <c r="J250" s="1240"/>
      <c r="K250" s="1240"/>
      <c r="L250" s="1240"/>
      <c r="M250" s="1240"/>
      <c r="N250" s="1240"/>
      <c r="O250" s="1240"/>
      <c r="P250" s="1247">
        <f t="shared" si="30"/>
        <v>224</v>
      </c>
      <c r="Q250" s="1253" t="e">
        <f t="shared" ca="1" si="29"/>
        <v>#N/A</v>
      </c>
      <c r="R250" s="1247" t="str">
        <f>IFERROR(VLOOKUP(P250,RPCRepaymentDates[],1,FALSE),"")</f>
        <v/>
      </c>
      <c r="S250" s="1259">
        <f t="shared" si="25"/>
        <v>0</v>
      </c>
      <c r="T250" s="1247" t="str">
        <f>IFERROR(VLOOKUP(P250,RPCChargeCycleDates[],1,FALSE),"")</f>
        <v/>
      </c>
      <c r="U250" s="1248" t="str">
        <f>IFERROR(_xlfn.DAYS(T250,$Q$16)-SUM(U$26:U249),"")</f>
        <v/>
      </c>
      <c r="V250" s="1258">
        <f t="shared" ca="1" si="26"/>
        <v>0</v>
      </c>
      <c r="W250" s="1258">
        <f t="shared" ca="1" si="27"/>
        <v>0</v>
      </c>
      <c r="X250" s="1258" t="e">
        <f t="shared" ca="1" si="28"/>
        <v>#N/A</v>
      </c>
      <c r="Y250" s="1240"/>
      <c r="Z250" s="1240"/>
      <c r="AA250" s="1240"/>
      <c r="AB250" s="1240"/>
      <c r="AC250" s="1254" t="e">
        <f t="shared" si="24"/>
        <v>#NUM!</v>
      </c>
      <c r="AD250" s="1240"/>
      <c r="AE250" s="1240"/>
      <c r="AF250" s="1240"/>
      <c r="AG250" s="1240"/>
      <c r="AH250" s="1240"/>
      <c r="AI250" s="1240"/>
      <c r="AJ250" s="1240"/>
      <c r="AK250" s="1240"/>
      <c r="AL250" s="1240"/>
      <c r="AM250" s="1240"/>
      <c r="AN250" s="1240"/>
      <c r="AO250" s="1240"/>
      <c r="AP250" s="1240"/>
    </row>
    <row r="251" spans="1:42" ht="18.75" customHeight="1" x14ac:dyDescent="0.35">
      <c r="A251" s="1240"/>
      <c r="B251" s="1240"/>
      <c r="C251" s="1240"/>
      <c r="D251" s="1240"/>
      <c r="E251" s="1240"/>
      <c r="F251" s="1240"/>
      <c r="G251" s="1240"/>
      <c r="H251" s="1240"/>
      <c r="I251" s="1240"/>
      <c r="J251" s="1240"/>
      <c r="K251" s="1240"/>
      <c r="L251" s="1240"/>
      <c r="M251" s="1240"/>
      <c r="N251" s="1240"/>
      <c r="O251" s="1240"/>
      <c r="P251" s="1247">
        <f t="shared" si="30"/>
        <v>225</v>
      </c>
      <c r="Q251" s="1253" t="e">
        <f t="shared" ca="1" si="29"/>
        <v>#N/A</v>
      </c>
      <c r="R251" s="1247" t="str">
        <f>IFERROR(VLOOKUP(P251,RPCRepaymentDates[],1,FALSE),"")</f>
        <v/>
      </c>
      <c r="S251" s="1259">
        <f t="shared" si="25"/>
        <v>0</v>
      </c>
      <c r="T251" s="1247" t="str">
        <f>IFERROR(VLOOKUP(P251,RPCChargeCycleDates[],1,FALSE),"")</f>
        <v/>
      </c>
      <c r="U251" s="1248" t="str">
        <f>IFERROR(_xlfn.DAYS(T251,$Q$16)-SUM(U$26:U250),"")</f>
        <v/>
      </c>
      <c r="V251" s="1258">
        <f t="shared" ca="1" si="26"/>
        <v>0</v>
      </c>
      <c r="W251" s="1258">
        <f t="shared" ca="1" si="27"/>
        <v>0</v>
      </c>
      <c r="X251" s="1258" t="e">
        <f t="shared" ca="1" si="28"/>
        <v>#N/A</v>
      </c>
      <c r="Y251" s="1240"/>
      <c r="Z251" s="1240"/>
      <c r="AA251" s="1240"/>
      <c r="AB251" s="1240"/>
      <c r="AC251" s="1254" t="e">
        <f t="shared" si="24"/>
        <v>#NUM!</v>
      </c>
      <c r="AD251" s="1240"/>
      <c r="AE251" s="1240"/>
      <c r="AF251" s="1240"/>
      <c r="AG251" s="1240"/>
      <c r="AH251" s="1240"/>
      <c r="AI251" s="1240"/>
      <c r="AJ251" s="1240"/>
      <c r="AK251" s="1240"/>
      <c r="AL251" s="1240"/>
      <c r="AM251" s="1240"/>
      <c r="AN251" s="1240"/>
      <c r="AO251" s="1240"/>
      <c r="AP251" s="1240"/>
    </row>
    <row r="252" spans="1:42" ht="18.75" customHeight="1" x14ac:dyDescent="0.35">
      <c r="A252" s="1240"/>
      <c r="B252" s="1240"/>
      <c r="C252" s="1240"/>
      <c r="D252" s="1240"/>
      <c r="E252" s="1240"/>
      <c r="F252" s="1240"/>
      <c r="G252" s="1240"/>
      <c r="H252" s="1240"/>
      <c r="I252" s="1240"/>
      <c r="J252" s="1240"/>
      <c r="K252" s="1240"/>
      <c r="L252" s="1240"/>
      <c r="M252" s="1240"/>
      <c r="N252" s="1240"/>
      <c r="O252" s="1240"/>
      <c r="P252" s="1247">
        <f t="shared" si="30"/>
        <v>226</v>
      </c>
      <c r="Q252" s="1253" t="e">
        <f t="shared" ca="1" si="29"/>
        <v>#N/A</v>
      </c>
      <c r="R252" s="1247" t="str">
        <f>IFERROR(VLOOKUP(P252,RPCRepaymentDates[],1,FALSE),"")</f>
        <v/>
      </c>
      <c r="S252" s="1259">
        <f t="shared" si="25"/>
        <v>0</v>
      </c>
      <c r="T252" s="1247" t="str">
        <f>IFERROR(VLOOKUP(P252,RPCChargeCycleDates[],1,FALSE),"")</f>
        <v/>
      </c>
      <c r="U252" s="1248" t="str">
        <f>IFERROR(_xlfn.DAYS(T252,$Q$16)-SUM(U$26:U251),"")</f>
        <v/>
      </c>
      <c r="V252" s="1258">
        <f t="shared" ca="1" si="26"/>
        <v>0</v>
      </c>
      <c r="W252" s="1258">
        <f t="shared" ca="1" si="27"/>
        <v>0</v>
      </c>
      <c r="X252" s="1258" t="e">
        <f t="shared" ca="1" si="28"/>
        <v>#N/A</v>
      </c>
      <c r="Y252" s="1240"/>
      <c r="Z252" s="1240"/>
      <c r="AA252" s="1240"/>
      <c r="AB252" s="1240"/>
      <c r="AC252" s="1254" t="e">
        <f t="shared" si="24"/>
        <v>#NUM!</v>
      </c>
      <c r="AD252" s="1240"/>
      <c r="AE252" s="1240"/>
      <c r="AF252" s="1240"/>
      <c r="AG252" s="1240"/>
      <c r="AH252" s="1240"/>
      <c r="AI252" s="1240"/>
      <c r="AJ252" s="1240"/>
      <c r="AK252" s="1240"/>
      <c r="AL252" s="1240"/>
      <c r="AM252" s="1240"/>
      <c r="AN252" s="1240"/>
      <c r="AO252" s="1240"/>
      <c r="AP252" s="1240"/>
    </row>
    <row r="253" spans="1:42" ht="18.75" customHeight="1" x14ac:dyDescent="0.35">
      <c r="A253" s="1240"/>
      <c r="B253" s="1240"/>
      <c r="C253" s="1240"/>
      <c r="D253" s="1240"/>
      <c r="E253" s="1240"/>
      <c r="F253" s="1240"/>
      <c r="G253" s="1240"/>
      <c r="H253" s="1240"/>
      <c r="I253" s="1240"/>
      <c r="J253" s="1240"/>
      <c r="K253" s="1240"/>
      <c r="L253" s="1240"/>
      <c r="M253" s="1240"/>
      <c r="N253" s="1240"/>
      <c r="O253" s="1240"/>
      <c r="P253" s="1247">
        <f t="shared" si="30"/>
        <v>227</v>
      </c>
      <c r="Q253" s="1253" t="e">
        <f t="shared" ca="1" si="29"/>
        <v>#N/A</v>
      </c>
      <c r="R253" s="1247" t="str">
        <f>IFERROR(VLOOKUP(P253,RPCRepaymentDates[],1,FALSE),"")</f>
        <v/>
      </c>
      <c r="S253" s="1259">
        <f t="shared" si="25"/>
        <v>0</v>
      </c>
      <c r="T253" s="1247" t="str">
        <f>IFERROR(VLOOKUP(P253,RPCChargeCycleDates[],1,FALSE),"")</f>
        <v/>
      </c>
      <c r="U253" s="1248" t="str">
        <f>IFERROR(_xlfn.DAYS(T253,$Q$16)-SUM(U$26:U252),"")</f>
        <v/>
      </c>
      <c r="V253" s="1258">
        <f t="shared" ca="1" si="26"/>
        <v>0</v>
      </c>
      <c r="W253" s="1258">
        <f t="shared" ca="1" si="27"/>
        <v>0</v>
      </c>
      <c r="X253" s="1258" t="e">
        <f t="shared" ca="1" si="28"/>
        <v>#N/A</v>
      </c>
      <c r="Y253" s="1240"/>
      <c r="Z253" s="1240"/>
      <c r="AA253" s="1240"/>
      <c r="AB253" s="1240"/>
      <c r="AC253" s="1254" t="e">
        <f t="shared" si="24"/>
        <v>#NUM!</v>
      </c>
      <c r="AD253" s="1240"/>
      <c r="AE253" s="1240"/>
      <c r="AF253" s="1240"/>
      <c r="AG253" s="1240"/>
      <c r="AH253" s="1240"/>
      <c r="AI253" s="1240"/>
      <c r="AJ253" s="1240"/>
      <c r="AK253" s="1240"/>
      <c r="AL253" s="1240"/>
      <c r="AM253" s="1240"/>
      <c r="AN253" s="1240"/>
      <c r="AO253" s="1240"/>
      <c r="AP253" s="1240"/>
    </row>
    <row r="254" spans="1:42" ht="18.75" customHeight="1" x14ac:dyDescent="0.35">
      <c r="A254" s="1240"/>
      <c r="B254" s="1240"/>
      <c r="C254" s="1240"/>
      <c r="D254" s="1240"/>
      <c r="E254" s="1240"/>
      <c r="F254" s="1240"/>
      <c r="G254" s="1240"/>
      <c r="H254" s="1240"/>
      <c r="I254" s="1240"/>
      <c r="J254" s="1240"/>
      <c r="K254" s="1240"/>
      <c r="L254" s="1240"/>
      <c r="M254" s="1240"/>
      <c r="N254" s="1240"/>
      <c r="O254" s="1240"/>
      <c r="P254" s="1247">
        <f t="shared" si="30"/>
        <v>228</v>
      </c>
      <c r="Q254" s="1253" t="e">
        <f t="shared" ca="1" si="29"/>
        <v>#N/A</v>
      </c>
      <c r="R254" s="1247" t="str">
        <f>IFERROR(VLOOKUP(P254,RPCRepaymentDates[],1,FALSE),"")</f>
        <v/>
      </c>
      <c r="S254" s="1259">
        <f t="shared" si="25"/>
        <v>0</v>
      </c>
      <c r="T254" s="1247" t="str">
        <f>IFERROR(VLOOKUP(P254,RPCChargeCycleDates[],1,FALSE),"")</f>
        <v/>
      </c>
      <c r="U254" s="1248" t="str">
        <f>IFERROR(_xlfn.DAYS(T254,$Q$16)-SUM(U$26:U253),"")</f>
        <v/>
      </c>
      <c r="V254" s="1258">
        <f t="shared" ca="1" si="26"/>
        <v>0</v>
      </c>
      <c r="W254" s="1258">
        <f t="shared" ca="1" si="27"/>
        <v>0</v>
      </c>
      <c r="X254" s="1258" t="e">
        <f t="shared" ca="1" si="28"/>
        <v>#N/A</v>
      </c>
      <c r="Y254" s="1240"/>
      <c r="Z254" s="1240"/>
      <c r="AA254" s="1240"/>
      <c r="AB254" s="1240"/>
      <c r="AC254" s="1254" t="e">
        <f t="shared" si="24"/>
        <v>#NUM!</v>
      </c>
      <c r="AD254" s="1240"/>
      <c r="AE254" s="1240"/>
      <c r="AF254" s="1240"/>
      <c r="AG254" s="1240"/>
      <c r="AH254" s="1240"/>
      <c r="AI254" s="1240"/>
      <c r="AJ254" s="1240"/>
      <c r="AK254" s="1240"/>
      <c r="AL254" s="1240"/>
      <c r="AM254" s="1240"/>
      <c r="AN254" s="1240"/>
      <c r="AO254" s="1240"/>
      <c r="AP254" s="1240"/>
    </row>
    <row r="255" spans="1:42" ht="18.75" customHeight="1" x14ac:dyDescent="0.35">
      <c r="A255" s="1240"/>
      <c r="B255" s="1240"/>
      <c r="C255" s="1240"/>
      <c r="D255" s="1240"/>
      <c r="E255" s="1240"/>
      <c r="F255" s="1240"/>
      <c r="G255" s="1240"/>
      <c r="H255" s="1240"/>
      <c r="I255" s="1240"/>
      <c r="J255" s="1240"/>
      <c r="K255" s="1240"/>
      <c r="L255" s="1240"/>
      <c r="M255" s="1240"/>
      <c r="N255" s="1240"/>
      <c r="O255" s="1240"/>
      <c r="P255" s="1247">
        <f t="shared" si="30"/>
        <v>229</v>
      </c>
      <c r="Q255" s="1253" t="e">
        <f t="shared" ca="1" si="29"/>
        <v>#N/A</v>
      </c>
      <c r="R255" s="1247" t="str">
        <f>IFERROR(VLOOKUP(P255,RPCRepaymentDates[],1,FALSE),"")</f>
        <v/>
      </c>
      <c r="S255" s="1259">
        <f t="shared" si="25"/>
        <v>0</v>
      </c>
      <c r="T255" s="1247" t="str">
        <f>IFERROR(VLOOKUP(P255,RPCChargeCycleDates[],1,FALSE),"")</f>
        <v/>
      </c>
      <c r="U255" s="1248" t="str">
        <f>IFERROR(_xlfn.DAYS(T255,$Q$16)-SUM(U$26:U254),"")</f>
        <v/>
      </c>
      <c r="V255" s="1258">
        <f t="shared" ca="1" si="26"/>
        <v>0</v>
      </c>
      <c r="W255" s="1258">
        <f t="shared" ca="1" si="27"/>
        <v>0</v>
      </c>
      <c r="X255" s="1258" t="e">
        <f t="shared" ca="1" si="28"/>
        <v>#N/A</v>
      </c>
      <c r="Y255" s="1240"/>
      <c r="Z255" s="1240"/>
      <c r="AA255" s="1240"/>
      <c r="AB255" s="1240"/>
      <c r="AC255" s="1254" t="e">
        <f t="shared" ref="AC255:AC318" si="31">IF(RPCRepaymentFrequency="Monthly",EDATE(AC254,1),IF(RPCRepaymentFrequency="Fortnightly",AC254+14,AC254+7))</f>
        <v>#NUM!</v>
      </c>
      <c r="AD255" s="1240"/>
      <c r="AE255" s="1240"/>
      <c r="AF255" s="1240"/>
      <c r="AG255" s="1240"/>
      <c r="AH255" s="1240"/>
      <c r="AI255" s="1240"/>
      <c r="AJ255" s="1240"/>
      <c r="AK255" s="1240"/>
      <c r="AL255" s="1240"/>
      <c r="AM255" s="1240"/>
      <c r="AN255" s="1240"/>
      <c r="AO255" s="1240"/>
      <c r="AP255" s="1240"/>
    </row>
    <row r="256" spans="1:42" ht="18.75" customHeight="1" x14ac:dyDescent="0.35">
      <c r="A256" s="1240"/>
      <c r="B256" s="1240"/>
      <c r="C256" s="1240"/>
      <c r="D256" s="1240"/>
      <c r="E256" s="1240"/>
      <c r="F256" s="1240"/>
      <c r="G256" s="1240"/>
      <c r="H256" s="1240"/>
      <c r="I256" s="1240"/>
      <c r="J256" s="1240"/>
      <c r="K256" s="1240"/>
      <c r="L256" s="1240"/>
      <c r="M256" s="1240"/>
      <c r="N256" s="1240"/>
      <c r="O256" s="1240"/>
      <c r="P256" s="1247">
        <f t="shared" si="30"/>
        <v>230</v>
      </c>
      <c r="Q256" s="1253" t="e">
        <f t="shared" ca="1" si="29"/>
        <v>#N/A</v>
      </c>
      <c r="R256" s="1247" t="str">
        <f>IFERROR(VLOOKUP(P256,RPCRepaymentDates[],1,FALSE),"")</f>
        <v/>
      </c>
      <c r="S256" s="1259">
        <f t="shared" si="25"/>
        <v>0</v>
      </c>
      <c r="T256" s="1247" t="str">
        <f>IFERROR(VLOOKUP(P256,RPCChargeCycleDates[],1,FALSE),"")</f>
        <v/>
      </c>
      <c r="U256" s="1248" t="str">
        <f>IFERROR(_xlfn.DAYS(T256,$Q$16)-SUM(U$26:U255),"")</f>
        <v/>
      </c>
      <c r="V256" s="1258">
        <f t="shared" ca="1" si="26"/>
        <v>0</v>
      </c>
      <c r="W256" s="1258">
        <f t="shared" ca="1" si="27"/>
        <v>0</v>
      </c>
      <c r="X256" s="1258" t="e">
        <f t="shared" ca="1" si="28"/>
        <v>#N/A</v>
      </c>
      <c r="Y256" s="1240"/>
      <c r="Z256" s="1240"/>
      <c r="AA256" s="1240"/>
      <c r="AB256" s="1240"/>
      <c r="AC256" s="1254" t="e">
        <f t="shared" si="31"/>
        <v>#NUM!</v>
      </c>
      <c r="AD256" s="1240"/>
      <c r="AE256" s="1240"/>
      <c r="AF256" s="1240"/>
      <c r="AG256" s="1240"/>
      <c r="AH256" s="1240"/>
      <c r="AI256" s="1240"/>
      <c r="AJ256" s="1240"/>
      <c r="AK256" s="1240"/>
      <c r="AL256" s="1240"/>
      <c r="AM256" s="1240"/>
      <c r="AN256" s="1240"/>
      <c r="AO256" s="1240"/>
      <c r="AP256" s="1240"/>
    </row>
    <row r="257" spans="1:42" ht="18.75" customHeight="1" x14ac:dyDescent="0.35">
      <c r="A257" s="1240"/>
      <c r="B257" s="1240"/>
      <c r="C257" s="1240"/>
      <c r="D257" s="1240"/>
      <c r="E257" s="1240"/>
      <c r="F257" s="1240"/>
      <c r="G257" s="1240"/>
      <c r="H257" s="1240"/>
      <c r="I257" s="1240"/>
      <c r="J257" s="1240"/>
      <c r="K257" s="1240"/>
      <c r="L257" s="1240"/>
      <c r="M257" s="1240"/>
      <c r="N257" s="1240"/>
      <c r="O257" s="1240"/>
      <c r="P257" s="1247">
        <f t="shared" si="30"/>
        <v>231</v>
      </c>
      <c r="Q257" s="1253" t="e">
        <f t="shared" ca="1" si="29"/>
        <v>#N/A</v>
      </c>
      <c r="R257" s="1247" t="str">
        <f>IFERROR(VLOOKUP(P257,RPCRepaymentDates[],1,FALSE),"")</f>
        <v/>
      </c>
      <c r="S257" s="1259">
        <f t="shared" si="25"/>
        <v>0</v>
      </c>
      <c r="T257" s="1247" t="str">
        <f>IFERROR(VLOOKUP(P257,RPCChargeCycleDates[],1,FALSE),"")</f>
        <v/>
      </c>
      <c r="U257" s="1248" t="str">
        <f>IFERROR(_xlfn.DAYS(T257,$Q$16)-SUM(U$26:U256),"")</f>
        <v/>
      </c>
      <c r="V257" s="1258">
        <f t="shared" ca="1" si="26"/>
        <v>0</v>
      </c>
      <c r="W257" s="1258">
        <f t="shared" ca="1" si="27"/>
        <v>0</v>
      </c>
      <c r="X257" s="1258" t="e">
        <f t="shared" ca="1" si="28"/>
        <v>#N/A</v>
      </c>
      <c r="Y257" s="1240"/>
      <c r="Z257" s="1240"/>
      <c r="AA257" s="1240"/>
      <c r="AB257" s="1240"/>
      <c r="AC257" s="1254" t="e">
        <f t="shared" si="31"/>
        <v>#NUM!</v>
      </c>
      <c r="AD257" s="1240"/>
      <c r="AE257" s="1240"/>
      <c r="AF257" s="1240"/>
      <c r="AG257" s="1240"/>
      <c r="AH257" s="1240"/>
      <c r="AI257" s="1240"/>
      <c r="AJ257" s="1240"/>
      <c r="AK257" s="1240"/>
      <c r="AL257" s="1240"/>
      <c r="AM257" s="1240"/>
      <c r="AN257" s="1240"/>
      <c r="AO257" s="1240"/>
      <c r="AP257" s="1240"/>
    </row>
    <row r="258" spans="1:42" ht="18.75" customHeight="1" x14ac:dyDescent="0.35">
      <c r="A258" s="1240"/>
      <c r="B258" s="1240"/>
      <c r="C258" s="1240"/>
      <c r="D258" s="1240"/>
      <c r="E258" s="1240"/>
      <c r="F258" s="1240"/>
      <c r="G258" s="1240"/>
      <c r="H258" s="1240"/>
      <c r="I258" s="1240"/>
      <c r="J258" s="1240"/>
      <c r="K258" s="1240"/>
      <c r="L258" s="1240"/>
      <c r="M258" s="1240"/>
      <c r="N258" s="1240"/>
      <c r="O258" s="1240"/>
      <c r="P258" s="1247">
        <f t="shared" si="30"/>
        <v>232</v>
      </c>
      <c r="Q258" s="1253" t="e">
        <f t="shared" ca="1" si="29"/>
        <v>#N/A</v>
      </c>
      <c r="R258" s="1247" t="str">
        <f>IFERROR(VLOOKUP(P258,RPCRepaymentDates[],1,FALSE),"")</f>
        <v/>
      </c>
      <c r="S258" s="1259">
        <f t="shared" si="25"/>
        <v>0</v>
      </c>
      <c r="T258" s="1247" t="str">
        <f>IFERROR(VLOOKUP(P258,RPCChargeCycleDates[],1,FALSE),"")</f>
        <v/>
      </c>
      <c r="U258" s="1248" t="str">
        <f>IFERROR(_xlfn.DAYS(T258,$Q$16)-SUM(U$26:U257),"")</f>
        <v/>
      </c>
      <c r="V258" s="1258">
        <f t="shared" ca="1" si="26"/>
        <v>0</v>
      </c>
      <c r="W258" s="1258">
        <f t="shared" ca="1" si="27"/>
        <v>0</v>
      </c>
      <c r="X258" s="1258" t="e">
        <f t="shared" ca="1" si="28"/>
        <v>#N/A</v>
      </c>
      <c r="Y258" s="1240"/>
      <c r="Z258" s="1240"/>
      <c r="AA258" s="1240"/>
      <c r="AB258" s="1240"/>
      <c r="AC258" s="1254" t="e">
        <f t="shared" si="31"/>
        <v>#NUM!</v>
      </c>
      <c r="AD258" s="1240"/>
      <c r="AE258" s="1240"/>
      <c r="AF258" s="1240"/>
      <c r="AG258" s="1240"/>
      <c r="AH258" s="1240"/>
      <c r="AI258" s="1240"/>
      <c r="AJ258" s="1240"/>
      <c r="AK258" s="1240"/>
      <c r="AL258" s="1240"/>
      <c r="AM258" s="1240"/>
      <c r="AN258" s="1240"/>
      <c r="AO258" s="1240"/>
      <c r="AP258" s="1240"/>
    </row>
    <row r="259" spans="1:42" ht="18.75" customHeight="1" x14ac:dyDescent="0.35">
      <c r="A259" s="1240"/>
      <c r="B259" s="1240"/>
      <c r="C259" s="1240"/>
      <c r="D259" s="1240"/>
      <c r="E259" s="1240"/>
      <c r="F259" s="1240"/>
      <c r="G259" s="1240"/>
      <c r="H259" s="1240"/>
      <c r="I259" s="1240"/>
      <c r="J259" s="1240"/>
      <c r="K259" s="1240"/>
      <c r="L259" s="1240"/>
      <c r="M259" s="1240"/>
      <c r="N259" s="1240"/>
      <c r="O259" s="1240"/>
      <c r="P259" s="1247">
        <f t="shared" si="30"/>
        <v>233</v>
      </c>
      <c r="Q259" s="1253" t="e">
        <f t="shared" ca="1" si="29"/>
        <v>#N/A</v>
      </c>
      <c r="R259" s="1247" t="str">
        <f>IFERROR(VLOOKUP(P259,RPCRepaymentDates[],1,FALSE),"")</f>
        <v/>
      </c>
      <c r="S259" s="1259">
        <f t="shared" si="25"/>
        <v>0</v>
      </c>
      <c r="T259" s="1247" t="str">
        <f>IFERROR(VLOOKUP(P259,RPCChargeCycleDates[],1,FALSE),"")</f>
        <v/>
      </c>
      <c r="U259" s="1248" t="str">
        <f>IFERROR(_xlfn.DAYS(T259,$Q$16)-SUM(U$26:U258),"")</f>
        <v/>
      </c>
      <c r="V259" s="1258">
        <f t="shared" ca="1" si="26"/>
        <v>0</v>
      </c>
      <c r="W259" s="1258">
        <f t="shared" ca="1" si="27"/>
        <v>0</v>
      </c>
      <c r="X259" s="1258" t="e">
        <f t="shared" ca="1" si="28"/>
        <v>#N/A</v>
      </c>
      <c r="Y259" s="1240"/>
      <c r="Z259" s="1240"/>
      <c r="AA259" s="1240"/>
      <c r="AB259" s="1240"/>
      <c r="AC259" s="1254" t="e">
        <f t="shared" si="31"/>
        <v>#NUM!</v>
      </c>
      <c r="AD259" s="1240"/>
      <c r="AE259" s="1240"/>
      <c r="AF259" s="1240"/>
      <c r="AG259" s="1240"/>
      <c r="AH259" s="1240"/>
      <c r="AI259" s="1240"/>
      <c r="AJ259" s="1240"/>
      <c r="AK259" s="1240"/>
      <c r="AL259" s="1240"/>
      <c r="AM259" s="1240"/>
      <c r="AN259" s="1240"/>
      <c r="AO259" s="1240"/>
      <c r="AP259" s="1240"/>
    </row>
    <row r="260" spans="1:42" ht="18.75" customHeight="1" x14ac:dyDescent="0.35">
      <c r="A260" s="1240"/>
      <c r="B260" s="1240"/>
      <c r="C260" s="1240"/>
      <c r="D260" s="1240"/>
      <c r="E260" s="1240"/>
      <c r="F260" s="1240"/>
      <c r="G260" s="1240"/>
      <c r="H260" s="1240"/>
      <c r="I260" s="1240"/>
      <c r="J260" s="1240"/>
      <c r="K260" s="1240"/>
      <c r="L260" s="1240"/>
      <c r="M260" s="1240"/>
      <c r="N260" s="1240"/>
      <c r="O260" s="1240"/>
      <c r="P260" s="1247">
        <f t="shared" si="30"/>
        <v>234</v>
      </c>
      <c r="Q260" s="1253" t="e">
        <f t="shared" ca="1" si="29"/>
        <v>#N/A</v>
      </c>
      <c r="R260" s="1247" t="str">
        <f>IFERROR(VLOOKUP(P260,RPCRepaymentDates[],1,FALSE),"")</f>
        <v/>
      </c>
      <c r="S260" s="1259">
        <f t="shared" si="25"/>
        <v>0</v>
      </c>
      <c r="T260" s="1247" t="str">
        <f>IFERROR(VLOOKUP(P260,RPCChargeCycleDates[],1,FALSE),"")</f>
        <v/>
      </c>
      <c r="U260" s="1248" t="str">
        <f>IFERROR(_xlfn.DAYS(T260,$Q$16)-SUM(U$26:U259),"")</f>
        <v/>
      </c>
      <c r="V260" s="1258">
        <f t="shared" ca="1" si="26"/>
        <v>0</v>
      </c>
      <c r="W260" s="1258">
        <f t="shared" ca="1" si="27"/>
        <v>0</v>
      </c>
      <c r="X260" s="1258" t="e">
        <f t="shared" ca="1" si="28"/>
        <v>#N/A</v>
      </c>
      <c r="Y260" s="1240"/>
      <c r="Z260" s="1240"/>
      <c r="AA260" s="1240"/>
      <c r="AB260" s="1240"/>
      <c r="AC260" s="1254" t="e">
        <f t="shared" si="31"/>
        <v>#NUM!</v>
      </c>
      <c r="AD260" s="1240"/>
      <c r="AE260" s="1240"/>
      <c r="AF260" s="1240"/>
      <c r="AG260" s="1240"/>
      <c r="AH260" s="1240"/>
      <c r="AI260" s="1240"/>
      <c r="AJ260" s="1240"/>
      <c r="AK260" s="1240"/>
      <c r="AL260" s="1240"/>
      <c r="AM260" s="1240"/>
      <c r="AN260" s="1240"/>
      <c r="AO260" s="1240"/>
      <c r="AP260" s="1240"/>
    </row>
    <row r="261" spans="1:42" ht="18.75" customHeight="1" x14ac:dyDescent="0.35">
      <c r="A261" s="1240"/>
      <c r="B261" s="1240"/>
      <c r="C261" s="1240"/>
      <c r="D261" s="1240"/>
      <c r="E261" s="1240"/>
      <c r="F261" s="1240"/>
      <c r="G261" s="1240"/>
      <c r="H261" s="1240"/>
      <c r="I261" s="1240"/>
      <c r="J261" s="1240"/>
      <c r="K261" s="1240"/>
      <c r="L261" s="1240"/>
      <c r="M261" s="1240"/>
      <c r="N261" s="1240"/>
      <c r="O261" s="1240"/>
      <c r="P261" s="1247">
        <f t="shared" si="30"/>
        <v>235</v>
      </c>
      <c r="Q261" s="1253" t="e">
        <f t="shared" ca="1" si="29"/>
        <v>#N/A</v>
      </c>
      <c r="R261" s="1247" t="str">
        <f>IFERROR(VLOOKUP(P261,RPCRepaymentDates[],1,FALSE),"")</f>
        <v/>
      </c>
      <c r="S261" s="1259">
        <f t="shared" si="25"/>
        <v>0</v>
      </c>
      <c r="T261" s="1247" t="str">
        <f>IFERROR(VLOOKUP(P261,RPCChargeCycleDates[],1,FALSE),"")</f>
        <v/>
      </c>
      <c r="U261" s="1248" t="str">
        <f>IFERROR(_xlfn.DAYS(T261,$Q$16)-SUM(U$26:U260),"")</f>
        <v/>
      </c>
      <c r="V261" s="1258">
        <f t="shared" ca="1" si="26"/>
        <v>0</v>
      </c>
      <c r="W261" s="1258">
        <f t="shared" ca="1" si="27"/>
        <v>0</v>
      </c>
      <c r="X261" s="1258" t="e">
        <f t="shared" ca="1" si="28"/>
        <v>#N/A</v>
      </c>
      <c r="Y261" s="1240"/>
      <c r="Z261" s="1240"/>
      <c r="AA261" s="1240"/>
      <c r="AB261" s="1240"/>
      <c r="AC261" s="1254" t="e">
        <f t="shared" si="31"/>
        <v>#NUM!</v>
      </c>
      <c r="AD261" s="1240"/>
      <c r="AE261" s="1240"/>
      <c r="AF261" s="1240"/>
      <c r="AG261" s="1240"/>
      <c r="AH261" s="1240"/>
      <c r="AI261" s="1240"/>
      <c r="AJ261" s="1240"/>
      <c r="AK261" s="1240"/>
      <c r="AL261" s="1240"/>
      <c r="AM261" s="1240"/>
      <c r="AN261" s="1240"/>
      <c r="AO261" s="1240"/>
      <c r="AP261" s="1240"/>
    </row>
    <row r="262" spans="1:42" ht="18.75" customHeight="1" x14ac:dyDescent="0.35">
      <c r="A262" s="1240"/>
      <c r="B262" s="1240"/>
      <c r="C262" s="1240"/>
      <c r="D262" s="1240"/>
      <c r="E262" s="1240"/>
      <c r="F262" s="1240"/>
      <c r="G262" s="1240"/>
      <c r="H262" s="1240"/>
      <c r="I262" s="1240"/>
      <c r="J262" s="1240"/>
      <c r="K262" s="1240"/>
      <c r="L262" s="1240"/>
      <c r="M262" s="1240"/>
      <c r="N262" s="1240"/>
      <c r="O262" s="1240"/>
      <c r="P262" s="1247">
        <f t="shared" si="30"/>
        <v>236</v>
      </c>
      <c r="Q262" s="1253" t="e">
        <f t="shared" ca="1" si="29"/>
        <v>#N/A</v>
      </c>
      <c r="R262" s="1247" t="str">
        <f>IFERROR(VLOOKUP(P262,RPCRepaymentDates[],1,FALSE),"")</f>
        <v/>
      </c>
      <c r="S262" s="1259">
        <f t="shared" si="25"/>
        <v>0</v>
      </c>
      <c r="T262" s="1247" t="str">
        <f>IFERROR(VLOOKUP(P262,RPCChargeCycleDates[],1,FALSE),"")</f>
        <v/>
      </c>
      <c r="U262" s="1248" t="str">
        <f>IFERROR(_xlfn.DAYS(T262,$Q$16)-SUM(U$26:U261),"")</f>
        <v/>
      </c>
      <c r="V262" s="1258">
        <f t="shared" ca="1" si="26"/>
        <v>0</v>
      </c>
      <c r="W262" s="1258">
        <f t="shared" ca="1" si="27"/>
        <v>0</v>
      </c>
      <c r="X262" s="1258" t="e">
        <f t="shared" ca="1" si="28"/>
        <v>#N/A</v>
      </c>
      <c r="Y262" s="1240"/>
      <c r="Z262" s="1240"/>
      <c r="AA262" s="1240"/>
      <c r="AB262" s="1240"/>
      <c r="AC262" s="1254" t="e">
        <f t="shared" si="31"/>
        <v>#NUM!</v>
      </c>
      <c r="AD262" s="1240"/>
      <c r="AE262" s="1240"/>
      <c r="AF262" s="1240"/>
      <c r="AG262" s="1240"/>
      <c r="AH262" s="1240"/>
      <c r="AI262" s="1240"/>
      <c r="AJ262" s="1240"/>
      <c r="AK262" s="1240"/>
      <c r="AL262" s="1240"/>
      <c r="AM262" s="1240"/>
      <c r="AN262" s="1240"/>
      <c r="AO262" s="1240"/>
      <c r="AP262" s="1240"/>
    </row>
    <row r="263" spans="1:42" ht="18.75" customHeight="1" x14ac:dyDescent="0.35">
      <c r="A263" s="1240"/>
      <c r="B263" s="1240"/>
      <c r="C263" s="1240"/>
      <c r="D263" s="1240"/>
      <c r="E263" s="1240"/>
      <c r="F263" s="1240"/>
      <c r="G263" s="1240"/>
      <c r="H263" s="1240"/>
      <c r="I263" s="1240"/>
      <c r="J263" s="1240"/>
      <c r="K263" s="1240"/>
      <c r="L263" s="1240"/>
      <c r="M263" s="1240"/>
      <c r="N263" s="1240"/>
      <c r="O263" s="1240"/>
      <c r="P263" s="1247">
        <f t="shared" si="30"/>
        <v>237</v>
      </c>
      <c r="Q263" s="1253" t="e">
        <f t="shared" ca="1" si="29"/>
        <v>#N/A</v>
      </c>
      <c r="R263" s="1247" t="str">
        <f>IFERROR(VLOOKUP(P263,RPCRepaymentDates[],1,FALSE),"")</f>
        <v/>
      </c>
      <c r="S263" s="1259">
        <f t="shared" si="25"/>
        <v>0</v>
      </c>
      <c r="T263" s="1247" t="str">
        <f>IFERROR(VLOOKUP(P263,RPCChargeCycleDates[],1,FALSE),"")</f>
        <v/>
      </c>
      <c r="U263" s="1248" t="str">
        <f>IFERROR(_xlfn.DAYS(T263,$Q$16)-SUM(U$26:U262),"")</f>
        <v/>
      </c>
      <c r="V263" s="1258">
        <f t="shared" ca="1" si="26"/>
        <v>0</v>
      </c>
      <c r="W263" s="1258">
        <f t="shared" ca="1" si="27"/>
        <v>0</v>
      </c>
      <c r="X263" s="1258" t="e">
        <f t="shared" ca="1" si="28"/>
        <v>#N/A</v>
      </c>
      <c r="Y263" s="1240"/>
      <c r="Z263" s="1240"/>
      <c r="AA263" s="1240"/>
      <c r="AB263" s="1240"/>
      <c r="AC263" s="1254" t="e">
        <f t="shared" si="31"/>
        <v>#NUM!</v>
      </c>
      <c r="AD263" s="1240"/>
      <c r="AE263" s="1240"/>
      <c r="AF263" s="1240"/>
      <c r="AG263" s="1240"/>
      <c r="AH263" s="1240"/>
      <c r="AI263" s="1240"/>
      <c r="AJ263" s="1240"/>
      <c r="AK263" s="1240"/>
      <c r="AL263" s="1240"/>
      <c r="AM263" s="1240"/>
      <c r="AN263" s="1240"/>
      <c r="AO263" s="1240"/>
      <c r="AP263" s="1240"/>
    </row>
    <row r="264" spans="1:42" ht="18.75" customHeight="1" x14ac:dyDescent="0.35">
      <c r="A264" s="1240"/>
      <c r="B264" s="1240"/>
      <c r="C264" s="1240"/>
      <c r="D264" s="1240"/>
      <c r="E264" s="1240"/>
      <c r="F264" s="1240"/>
      <c r="G264" s="1240"/>
      <c r="H264" s="1240"/>
      <c r="I264" s="1240"/>
      <c r="J264" s="1240"/>
      <c r="K264" s="1240"/>
      <c r="L264" s="1240"/>
      <c r="M264" s="1240"/>
      <c r="N264" s="1240"/>
      <c r="O264" s="1240"/>
      <c r="P264" s="1247">
        <f t="shared" si="30"/>
        <v>238</v>
      </c>
      <c r="Q264" s="1253" t="e">
        <f t="shared" ca="1" si="29"/>
        <v>#N/A</v>
      </c>
      <c r="R264" s="1247" t="str">
        <f>IFERROR(VLOOKUP(P264,RPCRepaymentDates[],1,FALSE),"")</f>
        <v/>
      </c>
      <c r="S264" s="1259">
        <f t="shared" si="25"/>
        <v>0</v>
      </c>
      <c r="T264" s="1247" t="str">
        <f>IFERROR(VLOOKUP(P264,RPCChargeCycleDates[],1,FALSE),"")</f>
        <v/>
      </c>
      <c r="U264" s="1248" t="str">
        <f>IFERROR(_xlfn.DAYS(T264,$Q$16)-SUM(U$26:U263),"")</f>
        <v/>
      </c>
      <c r="V264" s="1258">
        <f t="shared" ca="1" si="26"/>
        <v>0</v>
      </c>
      <c r="W264" s="1258">
        <f t="shared" ca="1" si="27"/>
        <v>0</v>
      </c>
      <c r="X264" s="1258" t="e">
        <f t="shared" ca="1" si="28"/>
        <v>#N/A</v>
      </c>
      <c r="Y264" s="1240"/>
      <c r="Z264" s="1240"/>
      <c r="AA264" s="1240"/>
      <c r="AB264" s="1240"/>
      <c r="AC264" s="1254" t="e">
        <f t="shared" si="31"/>
        <v>#NUM!</v>
      </c>
      <c r="AD264" s="1240"/>
      <c r="AE264" s="1240"/>
      <c r="AF264" s="1240"/>
      <c r="AG264" s="1240"/>
      <c r="AH264" s="1240"/>
      <c r="AI264" s="1240"/>
      <c r="AJ264" s="1240"/>
      <c r="AK264" s="1240"/>
      <c r="AL264" s="1240"/>
      <c r="AM264" s="1240"/>
      <c r="AN264" s="1240"/>
      <c r="AO264" s="1240"/>
      <c r="AP264" s="1240"/>
    </row>
    <row r="265" spans="1:42" ht="18.75" customHeight="1" x14ac:dyDescent="0.35">
      <c r="A265" s="1240"/>
      <c r="B265" s="1240"/>
      <c r="C265" s="1240"/>
      <c r="D265" s="1240"/>
      <c r="E265" s="1240"/>
      <c r="F265" s="1240"/>
      <c r="G265" s="1240"/>
      <c r="H265" s="1240"/>
      <c r="I265" s="1240"/>
      <c r="J265" s="1240"/>
      <c r="K265" s="1240"/>
      <c r="L265" s="1240"/>
      <c r="M265" s="1240"/>
      <c r="N265" s="1240"/>
      <c r="O265" s="1240"/>
      <c r="P265" s="1247">
        <f t="shared" si="30"/>
        <v>239</v>
      </c>
      <c r="Q265" s="1253" t="e">
        <f t="shared" ca="1" si="29"/>
        <v>#N/A</v>
      </c>
      <c r="R265" s="1247" t="str">
        <f>IFERROR(VLOOKUP(P265,RPCRepaymentDates[],1,FALSE),"")</f>
        <v/>
      </c>
      <c r="S265" s="1259">
        <f t="shared" si="25"/>
        <v>0</v>
      </c>
      <c r="T265" s="1247" t="str">
        <f>IFERROR(VLOOKUP(P265,RPCChargeCycleDates[],1,FALSE),"")</f>
        <v/>
      </c>
      <c r="U265" s="1248" t="str">
        <f>IFERROR(_xlfn.DAYS(T265,$Q$16)-SUM(U$26:U264),"")</f>
        <v/>
      </c>
      <c r="V265" s="1258">
        <f t="shared" ca="1" si="26"/>
        <v>0</v>
      </c>
      <c r="W265" s="1258">
        <f t="shared" ca="1" si="27"/>
        <v>0</v>
      </c>
      <c r="X265" s="1258" t="e">
        <f t="shared" ca="1" si="28"/>
        <v>#N/A</v>
      </c>
      <c r="Y265" s="1240"/>
      <c r="Z265" s="1240"/>
      <c r="AA265" s="1240"/>
      <c r="AB265" s="1240"/>
      <c r="AC265" s="1254" t="e">
        <f t="shared" si="31"/>
        <v>#NUM!</v>
      </c>
      <c r="AD265" s="1240"/>
      <c r="AE265" s="1240"/>
      <c r="AF265" s="1240"/>
      <c r="AG265" s="1240"/>
      <c r="AH265" s="1240"/>
      <c r="AI265" s="1240"/>
      <c r="AJ265" s="1240"/>
      <c r="AK265" s="1240"/>
      <c r="AL265" s="1240"/>
      <c r="AM265" s="1240"/>
      <c r="AN265" s="1240"/>
      <c r="AO265" s="1240"/>
      <c r="AP265" s="1240"/>
    </row>
    <row r="266" spans="1:42" ht="18.75" customHeight="1" x14ac:dyDescent="0.35">
      <c r="A266" s="1240"/>
      <c r="B266" s="1240"/>
      <c r="C266" s="1240"/>
      <c r="D266" s="1240"/>
      <c r="E266" s="1240"/>
      <c r="F266" s="1240"/>
      <c r="G266" s="1240"/>
      <c r="H266" s="1240"/>
      <c r="I266" s="1240"/>
      <c r="J266" s="1240"/>
      <c r="K266" s="1240"/>
      <c r="L266" s="1240"/>
      <c r="M266" s="1240"/>
      <c r="N266" s="1240"/>
      <c r="O266" s="1240"/>
      <c r="P266" s="1247">
        <f t="shared" si="30"/>
        <v>240</v>
      </c>
      <c r="Q266" s="1253" t="e">
        <f t="shared" ca="1" si="29"/>
        <v>#N/A</v>
      </c>
      <c r="R266" s="1247" t="str">
        <f>IFERROR(VLOOKUP(P266,RPCRepaymentDates[],1,FALSE),"")</f>
        <v/>
      </c>
      <c r="S266" s="1259">
        <f t="shared" si="25"/>
        <v>0</v>
      </c>
      <c r="T266" s="1247" t="str">
        <f>IFERROR(VLOOKUP(P266,RPCChargeCycleDates[],1,FALSE),"")</f>
        <v/>
      </c>
      <c r="U266" s="1248" t="str">
        <f>IFERROR(_xlfn.DAYS(T266,$Q$16)-SUM(U$26:U265),"")</f>
        <v/>
      </c>
      <c r="V266" s="1258">
        <f t="shared" ca="1" si="26"/>
        <v>0</v>
      </c>
      <c r="W266" s="1258">
        <f t="shared" ca="1" si="27"/>
        <v>0</v>
      </c>
      <c r="X266" s="1258" t="e">
        <f t="shared" ca="1" si="28"/>
        <v>#N/A</v>
      </c>
      <c r="Y266" s="1240"/>
      <c r="Z266" s="1240"/>
      <c r="AA266" s="1240"/>
      <c r="AB266" s="1240"/>
      <c r="AC266" s="1254" t="e">
        <f t="shared" si="31"/>
        <v>#NUM!</v>
      </c>
      <c r="AD266" s="1240"/>
      <c r="AE266" s="1240"/>
      <c r="AF266" s="1240"/>
      <c r="AG266" s="1240"/>
      <c r="AH266" s="1240"/>
      <c r="AI266" s="1240"/>
      <c r="AJ266" s="1240"/>
      <c r="AK266" s="1240"/>
      <c r="AL266" s="1240"/>
      <c r="AM266" s="1240"/>
      <c r="AN266" s="1240"/>
      <c r="AO266" s="1240"/>
      <c r="AP266" s="1240"/>
    </row>
    <row r="267" spans="1:42" ht="18.75" customHeight="1" x14ac:dyDescent="0.35">
      <c r="A267" s="1240"/>
      <c r="B267" s="1240"/>
      <c r="C267" s="1240"/>
      <c r="D267" s="1240"/>
      <c r="E267" s="1240"/>
      <c r="F267" s="1240"/>
      <c r="G267" s="1240"/>
      <c r="H267" s="1240"/>
      <c r="I267" s="1240"/>
      <c r="J267" s="1240"/>
      <c r="K267" s="1240"/>
      <c r="L267" s="1240"/>
      <c r="M267" s="1240"/>
      <c r="N267" s="1240"/>
      <c r="O267" s="1240"/>
      <c r="P267" s="1247">
        <f t="shared" si="30"/>
        <v>241</v>
      </c>
      <c r="Q267" s="1253" t="e">
        <f t="shared" ca="1" si="29"/>
        <v>#N/A</v>
      </c>
      <c r="R267" s="1247" t="str">
        <f>IFERROR(VLOOKUP(P267,RPCRepaymentDates[],1,FALSE),"")</f>
        <v/>
      </c>
      <c r="S267" s="1259">
        <f t="shared" si="25"/>
        <v>0</v>
      </c>
      <c r="T267" s="1247">
        <f>IFERROR(VLOOKUP(P267,RPCChargeCycleDates[],1,FALSE),"")</f>
        <v>241</v>
      </c>
      <c r="U267" s="1248">
        <f>IFERROR(_xlfn.DAYS(T267,$Q$16)-SUM(U$26:U266),"")</f>
        <v>31</v>
      </c>
      <c r="V267" s="1258">
        <f t="shared" ca="1" si="26"/>
        <v>0</v>
      </c>
      <c r="W267" s="1258">
        <f t="shared" ca="1" si="27"/>
        <v>0</v>
      </c>
      <c r="X267" s="1258" t="e">
        <f t="shared" ca="1" si="28"/>
        <v>#N/A</v>
      </c>
      <c r="Y267" s="1240"/>
      <c r="Z267" s="1240"/>
      <c r="AA267" s="1240"/>
      <c r="AB267" s="1240"/>
      <c r="AC267" s="1254" t="e">
        <f t="shared" si="31"/>
        <v>#NUM!</v>
      </c>
      <c r="AD267" s="1240"/>
      <c r="AE267" s="1240"/>
      <c r="AF267" s="1240"/>
      <c r="AG267" s="1240"/>
      <c r="AH267" s="1240"/>
      <c r="AI267" s="1240"/>
      <c r="AJ267" s="1240"/>
      <c r="AK267" s="1240"/>
      <c r="AL267" s="1240"/>
      <c r="AM267" s="1240"/>
      <c r="AN267" s="1240"/>
      <c r="AO267" s="1240"/>
      <c r="AP267" s="1240"/>
    </row>
    <row r="268" spans="1:42" ht="18.75" customHeight="1" x14ac:dyDescent="0.35">
      <c r="A268" s="1240"/>
      <c r="B268" s="1240"/>
      <c r="C268" s="1240"/>
      <c r="D268" s="1240"/>
      <c r="E268" s="1240"/>
      <c r="F268" s="1240"/>
      <c r="G268" s="1240"/>
      <c r="H268" s="1240"/>
      <c r="I268" s="1240"/>
      <c r="J268" s="1240"/>
      <c r="K268" s="1240"/>
      <c r="L268" s="1240"/>
      <c r="M268" s="1240"/>
      <c r="N268" s="1240"/>
      <c r="O268" s="1240"/>
      <c r="P268" s="1247">
        <f t="shared" si="30"/>
        <v>242</v>
      </c>
      <c r="Q268" s="1253" t="e">
        <f t="shared" ca="1" si="29"/>
        <v>#N/A</v>
      </c>
      <c r="R268" s="1247" t="str">
        <f>IFERROR(VLOOKUP(P268,RPCRepaymentDates[],1,FALSE),"")</f>
        <v/>
      </c>
      <c r="S268" s="1259">
        <f t="shared" si="25"/>
        <v>0</v>
      </c>
      <c r="T268" s="1247" t="str">
        <f>IFERROR(VLOOKUP(P268,RPCChargeCycleDates[],1,FALSE),"")</f>
        <v/>
      </c>
      <c r="U268" s="1248" t="str">
        <f>IFERROR(_xlfn.DAYS(T268,$Q$16)-SUM(U$26:U267),"")</f>
        <v/>
      </c>
      <c r="V268" s="1258">
        <f t="shared" ca="1" si="26"/>
        <v>0</v>
      </c>
      <c r="W268" s="1258">
        <f t="shared" ca="1" si="27"/>
        <v>0</v>
      </c>
      <c r="X268" s="1258" t="e">
        <f t="shared" ca="1" si="28"/>
        <v>#N/A</v>
      </c>
      <c r="Y268" s="1240"/>
      <c r="Z268" s="1240"/>
      <c r="AA268" s="1240"/>
      <c r="AB268" s="1240"/>
      <c r="AC268" s="1254" t="e">
        <f t="shared" si="31"/>
        <v>#NUM!</v>
      </c>
      <c r="AD268" s="1240"/>
      <c r="AE268" s="1240"/>
      <c r="AF268" s="1240"/>
      <c r="AG268" s="1240"/>
      <c r="AH268" s="1240"/>
      <c r="AI268" s="1240"/>
      <c r="AJ268" s="1240"/>
      <c r="AK268" s="1240"/>
      <c r="AL268" s="1240"/>
      <c r="AM268" s="1240"/>
      <c r="AN268" s="1240"/>
      <c r="AO268" s="1240"/>
      <c r="AP268" s="1240"/>
    </row>
    <row r="269" spans="1:42" ht="18.75" customHeight="1" x14ac:dyDescent="0.35">
      <c r="A269" s="1240"/>
      <c r="B269" s="1240"/>
      <c r="C269" s="1240"/>
      <c r="D269" s="1240"/>
      <c r="E269" s="1240"/>
      <c r="F269" s="1240"/>
      <c r="G269" s="1240"/>
      <c r="H269" s="1240"/>
      <c r="I269" s="1240"/>
      <c r="J269" s="1240"/>
      <c r="K269" s="1240"/>
      <c r="L269" s="1240"/>
      <c r="M269" s="1240"/>
      <c r="N269" s="1240"/>
      <c r="O269" s="1240"/>
      <c r="P269" s="1247">
        <f t="shared" si="30"/>
        <v>243</v>
      </c>
      <c r="Q269" s="1253" t="e">
        <f t="shared" ca="1" si="29"/>
        <v>#N/A</v>
      </c>
      <c r="R269" s="1247" t="str">
        <f>IFERROR(VLOOKUP(P269,RPCRepaymentDates[],1,FALSE),"")</f>
        <v/>
      </c>
      <c r="S269" s="1259">
        <f t="shared" si="25"/>
        <v>0</v>
      </c>
      <c r="T269" s="1247" t="str">
        <f>IFERROR(VLOOKUP(P269,RPCChargeCycleDates[],1,FALSE),"")</f>
        <v/>
      </c>
      <c r="U269" s="1248" t="str">
        <f>IFERROR(_xlfn.DAYS(T269,$Q$16)-SUM(U$26:U268),"")</f>
        <v/>
      </c>
      <c r="V269" s="1258">
        <f t="shared" ca="1" si="26"/>
        <v>0</v>
      </c>
      <c r="W269" s="1258">
        <f t="shared" ca="1" si="27"/>
        <v>0</v>
      </c>
      <c r="X269" s="1258" t="e">
        <f t="shared" ca="1" si="28"/>
        <v>#N/A</v>
      </c>
      <c r="Y269" s="1240"/>
      <c r="Z269" s="1240"/>
      <c r="AA269" s="1240"/>
      <c r="AB269" s="1240"/>
      <c r="AC269" s="1254" t="e">
        <f t="shared" si="31"/>
        <v>#NUM!</v>
      </c>
      <c r="AD269" s="1240"/>
      <c r="AE269" s="1240"/>
      <c r="AF269" s="1240"/>
      <c r="AG269" s="1240"/>
      <c r="AH269" s="1240"/>
      <c r="AI269" s="1240"/>
      <c r="AJ269" s="1240"/>
      <c r="AK269" s="1240"/>
      <c r="AL269" s="1240"/>
      <c r="AM269" s="1240"/>
      <c r="AN269" s="1240"/>
      <c r="AO269" s="1240"/>
      <c r="AP269" s="1240"/>
    </row>
    <row r="270" spans="1:42" ht="18.75" customHeight="1" x14ac:dyDescent="0.35">
      <c r="A270" s="1240"/>
      <c r="B270" s="1240"/>
      <c r="C270" s="1240"/>
      <c r="D270" s="1240"/>
      <c r="E270" s="1240"/>
      <c r="F270" s="1240"/>
      <c r="G270" s="1240"/>
      <c r="H270" s="1240"/>
      <c r="I270" s="1240"/>
      <c r="J270" s="1240"/>
      <c r="K270" s="1240"/>
      <c r="L270" s="1240"/>
      <c r="M270" s="1240"/>
      <c r="N270" s="1240"/>
      <c r="O270" s="1240"/>
      <c r="P270" s="1247">
        <f t="shared" si="30"/>
        <v>244</v>
      </c>
      <c r="Q270" s="1253" t="e">
        <f t="shared" ca="1" si="29"/>
        <v>#N/A</v>
      </c>
      <c r="R270" s="1247" t="str">
        <f>IFERROR(VLOOKUP(P270,RPCRepaymentDates[],1,FALSE),"")</f>
        <v/>
      </c>
      <c r="S270" s="1259">
        <f t="shared" si="25"/>
        <v>0</v>
      </c>
      <c r="T270" s="1247" t="str">
        <f>IFERROR(VLOOKUP(P270,RPCChargeCycleDates[],1,FALSE),"")</f>
        <v/>
      </c>
      <c r="U270" s="1248" t="str">
        <f>IFERROR(_xlfn.DAYS(T270,$Q$16)-SUM(U$26:U269),"")</f>
        <v/>
      </c>
      <c r="V270" s="1258">
        <f t="shared" ca="1" si="26"/>
        <v>0</v>
      </c>
      <c r="W270" s="1258">
        <f t="shared" ca="1" si="27"/>
        <v>0</v>
      </c>
      <c r="X270" s="1258" t="e">
        <f t="shared" ca="1" si="28"/>
        <v>#N/A</v>
      </c>
      <c r="Y270" s="1240"/>
      <c r="Z270" s="1240"/>
      <c r="AA270" s="1240"/>
      <c r="AB270" s="1240"/>
      <c r="AC270" s="1254" t="e">
        <f t="shared" si="31"/>
        <v>#NUM!</v>
      </c>
      <c r="AD270" s="1240"/>
      <c r="AE270" s="1240"/>
      <c r="AF270" s="1240"/>
      <c r="AG270" s="1240"/>
      <c r="AH270" s="1240"/>
      <c r="AI270" s="1240"/>
      <c r="AJ270" s="1240"/>
      <c r="AK270" s="1240"/>
      <c r="AL270" s="1240"/>
      <c r="AM270" s="1240"/>
      <c r="AN270" s="1240"/>
      <c r="AO270" s="1240"/>
      <c r="AP270" s="1240"/>
    </row>
    <row r="271" spans="1:42" ht="18.75" customHeight="1" x14ac:dyDescent="0.35">
      <c r="A271" s="1240"/>
      <c r="B271" s="1240"/>
      <c r="C271" s="1240"/>
      <c r="D271" s="1240"/>
      <c r="E271" s="1240"/>
      <c r="F271" s="1240"/>
      <c r="G271" s="1240"/>
      <c r="H271" s="1240"/>
      <c r="I271" s="1240"/>
      <c r="J271" s="1240"/>
      <c r="K271" s="1240"/>
      <c r="L271" s="1240"/>
      <c r="M271" s="1240"/>
      <c r="N271" s="1240"/>
      <c r="O271" s="1240"/>
      <c r="P271" s="1247">
        <f t="shared" si="30"/>
        <v>245</v>
      </c>
      <c r="Q271" s="1253" t="e">
        <f t="shared" ca="1" si="29"/>
        <v>#N/A</v>
      </c>
      <c r="R271" s="1247" t="str">
        <f>IFERROR(VLOOKUP(P271,RPCRepaymentDates[],1,FALSE),"")</f>
        <v/>
      </c>
      <c r="S271" s="1259">
        <f t="shared" si="25"/>
        <v>0</v>
      </c>
      <c r="T271" s="1247" t="str">
        <f>IFERROR(VLOOKUP(P271,RPCChargeCycleDates[],1,FALSE),"")</f>
        <v/>
      </c>
      <c r="U271" s="1248" t="str">
        <f>IFERROR(_xlfn.DAYS(T271,$Q$16)-SUM(U$26:U270),"")</f>
        <v/>
      </c>
      <c r="V271" s="1258">
        <f t="shared" ca="1" si="26"/>
        <v>0</v>
      </c>
      <c r="W271" s="1258">
        <f t="shared" ca="1" si="27"/>
        <v>0</v>
      </c>
      <c r="X271" s="1258" t="e">
        <f t="shared" ca="1" si="28"/>
        <v>#N/A</v>
      </c>
      <c r="Y271" s="1240"/>
      <c r="Z271" s="1240"/>
      <c r="AA271" s="1240"/>
      <c r="AB271" s="1240"/>
      <c r="AC271" s="1254" t="e">
        <f t="shared" si="31"/>
        <v>#NUM!</v>
      </c>
      <c r="AD271" s="1240"/>
      <c r="AE271" s="1240"/>
      <c r="AF271" s="1240"/>
      <c r="AG271" s="1240"/>
      <c r="AH271" s="1240"/>
      <c r="AI271" s="1240"/>
      <c r="AJ271" s="1240"/>
      <c r="AK271" s="1240"/>
      <c r="AL271" s="1240"/>
      <c r="AM271" s="1240"/>
      <c r="AN271" s="1240"/>
      <c r="AO271" s="1240"/>
      <c r="AP271" s="1240"/>
    </row>
    <row r="272" spans="1:42" ht="18.75" customHeight="1" x14ac:dyDescent="0.35">
      <c r="A272" s="1240"/>
      <c r="B272" s="1240"/>
      <c r="C272" s="1240"/>
      <c r="D272" s="1240"/>
      <c r="E272" s="1240"/>
      <c r="F272" s="1240"/>
      <c r="G272" s="1240"/>
      <c r="H272" s="1240"/>
      <c r="I272" s="1240"/>
      <c r="J272" s="1240"/>
      <c r="K272" s="1240"/>
      <c r="L272" s="1240"/>
      <c r="M272" s="1240"/>
      <c r="N272" s="1240"/>
      <c r="O272" s="1240"/>
      <c r="P272" s="1247">
        <f t="shared" si="30"/>
        <v>246</v>
      </c>
      <c r="Q272" s="1253" t="e">
        <f t="shared" ca="1" si="29"/>
        <v>#N/A</v>
      </c>
      <c r="R272" s="1247" t="str">
        <f>IFERROR(VLOOKUP(P272,RPCRepaymentDates[],1,FALSE),"")</f>
        <v/>
      </c>
      <c r="S272" s="1259">
        <f t="shared" si="25"/>
        <v>0</v>
      </c>
      <c r="T272" s="1247" t="str">
        <f>IFERROR(VLOOKUP(P272,RPCChargeCycleDates[],1,FALSE),"")</f>
        <v/>
      </c>
      <c r="U272" s="1248" t="str">
        <f>IFERROR(_xlfn.DAYS(T272,$Q$16)-SUM(U$26:U271),"")</f>
        <v/>
      </c>
      <c r="V272" s="1258">
        <f t="shared" ca="1" si="26"/>
        <v>0</v>
      </c>
      <c r="W272" s="1258">
        <f t="shared" ca="1" si="27"/>
        <v>0</v>
      </c>
      <c r="X272" s="1258" t="e">
        <f t="shared" ca="1" si="28"/>
        <v>#N/A</v>
      </c>
      <c r="Y272" s="1240"/>
      <c r="Z272" s="1240"/>
      <c r="AA272" s="1240"/>
      <c r="AB272" s="1240"/>
      <c r="AC272" s="1254" t="e">
        <f t="shared" si="31"/>
        <v>#NUM!</v>
      </c>
      <c r="AD272" s="1240"/>
      <c r="AE272" s="1240"/>
      <c r="AF272" s="1240"/>
      <c r="AG272" s="1240"/>
      <c r="AH272" s="1240"/>
      <c r="AI272" s="1240"/>
      <c r="AJ272" s="1240"/>
      <c r="AK272" s="1240"/>
      <c r="AL272" s="1240"/>
      <c r="AM272" s="1240"/>
      <c r="AN272" s="1240"/>
      <c r="AO272" s="1240"/>
      <c r="AP272" s="1240"/>
    </row>
    <row r="273" spans="1:42" ht="18.75" customHeight="1" x14ac:dyDescent="0.35">
      <c r="A273" s="1240"/>
      <c r="B273" s="1240"/>
      <c r="C273" s="1240"/>
      <c r="D273" s="1240"/>
      <c r="E273" s="1240"/>
      <c r="F273" s="1240"/>
      <c r="G273" s="1240"/>
      <c r="H273" s="1240"/>
      <c r="I273" s="1240"/>
      <c r="J273" s="1240"/>
      <c r="K273" s="1240"/>
      <c r="L273" s="1240"/>
      <c r="M273" s="1240"/>
      <c r="N273" s="1240"/>
      <c r="O273" s="1240"/>
      <c r="P273" s="1247">
        <f t="shared" si="30"/>
        <v>247</v>
      </c>
      <c r="Q273" s="1253" t="e">
        <f t="shared" ca="1" si="29"/>
        <v>#N/A</v>
      </c>
      <c r="R273" s="1247" t="str">
        <f>IFERROR(VLOOKUP(P273,RPCRepaymentDates[],1,FALSE),"")</f>
        <v/>
      </c>
      <c r="S273" s="1259">
        <f t="shared" si="25"/>
        <v>0</v>
      </c>
      <c r="T273" s="1247" t="str">
        <f>IFERROR(VLOOKUP(P273,RPCChargeCycleDates[],1,FALSE),"")</f>
        <v/>
      </c>
      <c r="U273" s="1248" t="str">
        <f>IFERROR(_xlfn.DAYS(T273,$Q$16)-SUM(U$26:U272),"")</f>
        <v/>
      </c>
      <c r="V273" s="1258">
        <f t="shared" ca="1" si="26"/>
        <v>0</v>
      </c>
      <c r="W273" s="1258">
        <f t="shared" ca="1" si="27"/>
        <v>0</v>
      </c>
      <c r="X273" s="1258" t="e">
        <f t="shared" ca="1" si="28"/>
        <v>#N/A</v>
      </c>
      <c r="Y273" s="1240"/>
      <c r="Z273" s="1240"/>
      <c r="AA273" s="1240"/>
      <c r="AB273" s="1240"/>
      <c r="AC273" s="1254" t="e">
        <f t="shared" si="31"/>
        <v>#NUM!</v>
      </c>
      <c r="AD273" s="1240"/>
      <c r="AE273" s="1240"/>
      <c r="AF273" s="1240"/>
      <c r="AG273" s="1240"/>
      <c r="AH273" s="1240"/>
      <c r="AI273" s="1240"/>
      <c r="AJ273" s="1240"/>
      <c r="AK273" s="1240"/>
      <c r="AL273" s="1240"/>
      <c r="AM273" s="1240"/>
      <c r="AN273" s="1240"/>
      <c r="AO273" s="1240"/>
      <c r="AP273" s="1240"/>
    </row>
    <row r="274" spans="1:42" ht="18.75" customHeight="1" x14ac:dyDescent="0.35">
      <c r="A274" s="1240"/>
      <c r="B274" s="1240"/>
      <c r="C274" s="1240"/>
      <c r="D274" s="1240"/>
      <c r="E274" s="1240"/>
      <c r="F274" s="1240"/>
      <c r="G274" s="1240"/>
      <c r="H274" s="1240"/>
      <c r="I274" s="1240"/>
      <c r="J274" s="1240"/>
      <c r="K274" s="1240"/>
      <c r="L274" s="1240"/>
      <c r="M274" s="1240"/>
      <c r="N274" s="1240"/>
      <c r="O274" s="1240"/>
      <c r="P274" s="1247">
        <f t="shared" si="30"/>
        <v>248</v>
      </c>
      <c r="Q274" s="1253" t="e">
        <f t="shared" ca="1" si="29"/>
        <v>#N/A</v>
      </c>
      <c r="R274" s="1247" t="str">
        <f>IFERROR(VLOOKUP(P274,RPCRepaymentDates[],1,FALSE),"")</f>
        <v/>
      </c>
      <c r="S274" s="1259">
        <f t="shared" si="25"/>
        <v>0</v>
      </c>
      <c r="T274" s="1247" t="str">
        <f>IFERROR(VLOOKUP(P274,RPCChargeCycleDates[],1,FALSE),"")</f>
        <v/>
      </c>
      <c r="U274" s="1248" t="str">
        <f>IFERROR(_xlfn.DAYS(T274,$Q$16)-SUM(U$26:U273),"")</f>
        <v/>
      </c>
      <c r="V274" s="1258">
        <f t="shared" ca="1" si="26"/>
        <v>0</v>
      </c>
      <c r="W274" s="1258">
        <f t="shared" ca="1" si="27"/>
        <v>0</v>
      </c>
      <c r="X274" s="1258" t="e">
        <f t="shared" ca="1" si="28"/>
        <v>#N/A</v>
      </c>
      <c r="Y274" s="1240"/>
      <c r="Z274" s="1240"/>
      <c r="AA274" s="1240"/>
      <c r="AB274" s="1240"/>
      <c r="AC274" s="1254" t="e">
        <f t="shared" si="31"/>
        <v>#NUM!</v>
      </c>
      <c r="AD274" s="1240"/>
      <c r="AE274" s="1240"/>
      <c r="AF274" s="1240"/>
      <c r="AG274" s="1240"/>
      <c r="AH274" s="1240"/>
      <c r="AI274" s="1240"/>
      <c r="AJ274" s="1240"/>
      <c r="AK274" s="1240"/>
      <c r="AL274" s="1240"/>
      <c r="AM274" s="1240"/>
      <c r="AN274" s="1240"/>
      <c r="AO274" s="1240"/>
      <c r="AP274" s="1240"/>
    </row>
    <row r="275" spans="1:42" ht="18.75" customHeight="1" x14ac:dyDescent="0.35">
      <c r="A275" s="1240"/>
      <c r="B275" s="1240"/>
      <c r="C275" s="1240"/>
      <c r="D275" s="1240"/>
      <c r="E275" s="1240"/>
      <c r="F275" s="1240"/>
      <c r="G275" s="1240"/>
      <c r="H275" s="1240"/>
      <c r="I275" s="1240"/>
      <c r="J275" s="1240"/>
      <c r="K275" s="1240"/>
      <c r="L275" s="1240"/>
      <c r="M275" s="1240"/>
      <c r="N275" s="1240"/>
      <c r="O275" s="1240"/>
      <c r="P275" s="1247">
        <f t="shared" si="30"/>
        <v>249</v>
      </c>
      <c r="Q275" s="1253" t="e">
        <f t="shared" ca="1" si="29"/>
        <v>#N/A</v>
      </c>
      <c r="R275" s="1247" t="str">
        <f>IFERROR(VLOOKUP(P275,RPCRepaymentDates[],1,FALSE),"")</f>
        <v/>
      </c>
      <c r="S275" s="1259">
        <f t="shared" si="25"/>
        <v>0</v>
      </c>
      <c r="T275" s="1247" t="str">
        <f>IFERROR(VLOOKUP(P275,RPCChargeCycleDates[],1,FALSE),"")</f>
        <v/>
      </c>
      <c r="U275" s="1248" t="str">
        <f>IFERROR(_xlfn.DAYS(T275,$Q$16)-SUM(U$26:U274),"")</f>
        <v/>
      </c>
      <c r="V275" s="1258">
        <f t="shared" ca="1" si="26"/>
        <v>0</v>
      </c>
      <c r="W275" s="1258">
        <f t="shared" ca="1" si="27"/>
        <v>0</v>
      </c>
      <c r="X275" s="1258" t="e">
        <f t="shared" ca="1" si="28"/>
        <v>#N/A</v>
      </c>
      <c r="Y275" s="1240"/>
      <c r="Z275" s="1240"/>
      <c r="AA275" s="1240"/>
      <c r="AB275" s="1240"/>
      <c r="AC275" s="1254" t="e">
        <f t="shared" si="31"/>
        <v>#NUM!</v>
      </c>
      <c r="AD275" s="1240"/>
      <c r="AE275" s="1240"/>
      <c r="AF275" s="1240"/>
      <c r="AG275" s="1240"/>
      <c r="AH275" s="1240"/>
      <c r="AI275" s="1240"/>
      <c r="AJ275" s="1240"/>
      <c r="AK275" s="1240"/>
      <c r="AL275" s="1240"/>
      <c r="AM275" s="1240"/>
      <c r="AN275" s="1240"/>
      <c r="AO275" s="1240"/>
      <c r="AP275" s="1240"/>
    </row>
    <row r="276" spans="1:42" ht="18.75" customHeight="1" x14ac:dyDescent="0.35">
      <c r="A276" s="1240"/>
      <c r="B276" s="1240"/>
      <c r="C276" s="1240"/>
      <c r="D276" s="1240"/>
      <c r="E276" s="1240"/>
      <c r="F276" s="1240"/>
      <c r="G276" s="1240"/>
      <c r="H276" s="1240"/>
      <c r="I276" s="1240"/>
      <c r="J276" s="1240"/>
      <c r="K276" s="1240"/>
      <c r="L276" s="1240"/>
      <c r="M276" s="1240"/>
      <c r="N276" s="1240"/>
      <c r="O276" s="1240"/>
      <c r="P276" s="1247">
        <f t="shared" si="30"/>
        <v>250</v>
      </c>
      <c r="Q276" s="1253" t="e">
        <f t="shared" ca="1" si="29"/>
        <v>#N/A</v>
      </c>
      <c r="R276" s="1247" t="str">
        <f>IFERROR(VLOOKUP(P276,RPCRepaymentDates[],1,FALSE),"")</f>
        <v/>
      </c>
      <c r="S276" s="1259">
        <f t="shared" si="25"/>
        <v>0</v>
      </c>
      <c r="T276" s="1247" t="str">
        <f>IFERROR(VLOOKUP(P276,RPCChargeCycleDates[],1,FALSE),"")</f>
        <v/>
      </c>
      <c r="U276" s="1248" t="str">
        <f>IFERROR(_xlfn.DAYS(T276,$Q$16)-SUM(U$26:U275),"")</f>
        <v/>
      </c>
      <c r="V276" s="1258">
        <f t="shared" ca="1" si="26"/>
        <v>0</v>
      </c>
      <c r="W276" s="1258">
        <f t="shared" ca="1" si="27"/>
        <v>0</v>
      </c>
      <c r="X276" s="1258" t="e">
        <f t="shared" ca="1" si="28"/>
        <v>#N/A</v>
      </c>
      <c r="Y276" s="1240"/>
      <c r="Z276" s="1240"/>
      <c r="AA276" s="1240"/>
      <c r="AB276" s="1240"/>
      <c r="AC276" s="1254" t="e">
        <f t="shared" si="31"/>
        <v>#NUM!</v>
      </c>
      <c r="AD276" s="1240"/>
      <c r="AE276" s="1240"/>
      <c r="AF276" s="1240"/>
      <c r="AG276" s="1240"/>
      <c r="AH276" s="1240"/>
      <c r="AI276" s="1240"/>
      <c r="AJ276" s="1240"/>
      <c r="AK276" s="1240"/>
      <c r="AL276" s="1240"/>
      <c r="AM276" s="1240"/>
      <c r="AN276" s="1240"/>
      <c r="AO276" s="1240"/>
      <c r="AP276" s="1240"/>
    </row>
    <row r="277" spans="1:42" ht="18.75" customHeight="1" x14ac:dyDescent="0.35">
      <c r="A277" s="1240"/>
      <c r="B277" s="1240"/>
      <c r="C277" s="1240"/>
      <c r="D277" s="1240"/>
      <c r="E277" s="1240"/>
      <c r="F277" s="1240"/>
      <c r="G277" s="1240"/>
      <c r="H277" s="1240"/>
      <c r="I277" s="1240"/>
      <c r="J277" s="1240"/>
      <c r="K277" s="1240"/>
      <c r="L277" s="1240"/>
      <c r="M277" s="1240"/>
      <c r="N277" s="1240"/>
      <c r="O277" s="1240"/>
      <c r="P277" s="1247">
        <f t="shared" si="30"/>
        <v>251</v>
      </c>
      <c r="Q277" s="1253" t="e">
        <f t="shared" ca="1" si="29"/>
        <v>#N/A</v>
      </c>
      <c r="R277" s="1247" t="str">
        <f>IFERROR(VLOOKUP(P277,RPCRepaymentDates[],1,FALSE),"")</f>
        <v/>
      </c>
      <c r="S277" s="1259">
        <f t="shared" si="25"/>
        <v>0</v>
      </c>
      <c r="T277" s="1247" t="str">
        <f>IFERROR(VLOOKUP(P277,RPCChargeCycleDates[],1,FALSE),"")</f>
        <v/>
      </c>
      <c r="U277" s="1248" t="str">
        <f>IFERROR(_xlfn.DAYS(T277,$Q$16)-SUM(U$26:U276),"")</f>
        <v/>
      </c>
      <c r="V277" s="1258">
        <f t="shared" ca="1" si="26"/>
        <v>0</v>
      </c>
      <c r="W277" s="1258">
        <f t="shared" ca="1" si="27"/>
        <v>0</v>
      </c>
      <c r="X277" s="1258" t="e">
        <f t="shared" ca="1" si="28"/>
        <v>#N/A</v>
      </c>
      <c r="Y277" s="1240"/>
      <c r="Z277" s="1240"/>
      <c r="AA277" s="1240"/>
      <c r="AB277" s="1240"/>
      <c r="AC277" s="1254" t="e">
        <f t="shared" si="31"/>
        <v>#NUM!</v>
      </c>
      <c r="AD277" s="1240"/>
      <c r="AE277" s="1240"/>
      <c r="AF277" s="1240"/>
      <c r="AG277" s="1240"/>
      <c r="AH277" s="1240"/>
      <c r="AI277" s="1240"/>
      <c r="AJ277" s="1240"/>
      <c r="AK277" s="1240"/>
      <c r="AL277" s="1240"/>
      <c r="AM277" s="1240"/>
      <c r="AN277" s="1240"/>
      <c r="AO277" s="1240"/>
      <c r="AP277" s="1240"/>
    </row>
    <row r="278" spans="1:42" ht="18.75" customHeight="1" x14ac:dyDescent="0.35">
      <c r="A278" s="1240"/>
      <c r="B278" s="1240"/>
      <c r="C278" s="1240"/>
      <c r="D278" s="1240"/>
      <c r="E278" s="1240"/>
      <c r="F278" s="1240"/>
      <c r="G278" s="1240"/>
      <c r="H278" s="1240"/>
      <c r="I278" s="1240"/>
      <c r="J278" s="1240"/>
      <c r="K278" s="1240"/>
      <c r="L278" s="1240"/>
      <c r="M278" s="1240"/>
      <c r="N278" s="1240"/>
      <c r="O278" s="1240"/>
      <c r="P278" s="1247">
        <f t="shared" si="30"/>
        <v>252</v>
      </c>
      <c r="Q278" s="1253" t="e">
        <f t="shared" ca="1" si="29"/>
        <v>#N/A</v>
      </c>
      <c r="R278" s="1247" t="str">
        <f>IFERROR(VLOOKUP(P278,RPCRepaymentDates[],1,FALSE),"")</f>
        <v/>
      </c>
      <c r="S278" s="1259">
        <f t="shared" si="25"/>
        <v>0</v>
      </c>
      <c r="T278" s="1247" t="str">
        <f>IFERROR(VLOOKUP(P278,RPCChargeCycleDates[],1,FALSE),"")</f>
        <v/>
      </c>
      <c r="U278" s="1248" t="str">
        <f>IFERROR(_xlfn.DAYS(T278,$Q$16)-SUM(U$26:U277),"")</f>
        <v/>
      </c>
      <c r="V278" s="1258">
        <f t="shared" ca="1" si="26"/>
        <v>0</v>
      </c>
      <c r="W278" s="1258">
        <f t="shared" ca="1" si="27"/>
        <v>0</v>
      </c>
      <c r="X278" s="1258" t="e">
        <f t="shared" ca="1" si="28"/>
        <v>#N/A</v>
      </c>
      <c r="Y278" s="1240"/>
      <c r="Z278" s="1240"/>
      <c r="AA278" s="1240"/>
      <c r="AB278" s="1240"/>
      <c r="AC278" s="1254" t="e">
        <f t="shared" si="31"/>
        <v>#NUM!</v>
      </c>
      <c r="AD278" s="1240"/>
      <c r="AE278" s="1240"/>
      <c r="AF278" s="1240"/>
      <c r="AG278" s="1240"/>
      <c r="AH278" s="1240"/>
      <c r="AI278" s="1240"/>
      <c r="AJ278" s="1240"/>
      <c r="AK278" s="1240"/>
      <c r="AL278" s="1240"/>
      <c r="AM278" s="1240"/>
      <c r="AN278" s="1240"/>
      <c r="AO278" s="1240"/>
      <c r="AP278" s="1240"/>
    </row>
    <row r="279" spans="1:42" ht="18.75" customHeight="1" x14ac:dyDescent="0.35">
      <c r="A279" s="1240"/>
      <c r="B279" s="1240"/>
      <c r="C279" s="1240"/>
      <c r="D279" s="1240"/>
      <c r="E279" s="1240"/>
      <c r="F279" s="1240"/>
      <c r="G279" s="1240"/>
      <c r="H279" s="1240"/>
      <c r="I279" s="1240"/>
      <c r="J279" s="1240"/>
      <c r="K279" s="1240"/>
      <c r="L279" s="1240"/>
      <c r="M279" s="1240"/>
      <c r="N279" s="1240"/>
      <c r="O279" s="1240"/>
      <c r="P279" s="1247">
        <f t="shared" si="30"/>
        <v>253</v>
      </c>
      <c r="Q279" s="1253" t="e">
        <f t="shared" ca="1" si="29"/>
        <v>#N/A</v>
      </c>
      <c r="R279" s="1247" t="str">
        <f>IFERROR(VLOOKUP(P279,RPCRepaymentDates[],1,FALSE),"")</f>
        <v/>
      </c>
      <c r="S279" s="1259">
        <f t="shared" si="25"/>
        <v>0</v>
      </c>
      <c r="T279" s="1247" t="str">
        <f>IFERROR(VLOOKUP(P279,RPCChargeCycleDates[],1,FALSE),"")</f>
        <v/>
      </c>
      <c r="U279" s="1248" t="str">
        <f>IFERROR(_xlfn.DAYS(T279,$Q$16)-SUM(U$26:U278),"")</f>
        <v/>
      </c>
      <c r="V279" s="1258">
        <f t="shared" ca="1" si="26"/>
        <v>0</v>
      </c>
      <c r="W279" s="1258">
        <f t="shared" ca="1" si="27"/>
        <v>0</v>
      </c>
      <c r="X279" s="1258" t="e">
        <f t="shared" ca="1" si="28"/>
        <v>#N/A</v>
      </c>
      <c r="Y279" s="1240"/>
      <c r="Z279" s="1240"/>
      <c r="AA279" s="1240"/>
      <c r="AB279" s="1240"/>
      <c r="AC279" s="1254" t="e">
        <f t="shared" si="31"/>
        <v>#NUM!</v>
      </c>
      <c r="AD279" s="1240"/>
      <c r="AE279" s="1240"/>
      <c r="AF279" s="1240"/>
      <c r="AG279" s="1240"/>
      <c r="AH279" s="1240"/>
      <c r="AI279" s="1240"/>
      <c r="AJ279" s="1240"/>
      <c r="AK279" s="1240"/>
      <c r="AL279" s="1240"/>
      <c r="AM279" s="1240"/>
      <c r="AN279" s="1240"/>
      <c r="AO279" s="1240"/>
      <c r="AP279" s="1240"/>
    </row>
    <row r="280" spans="1:42" ht="18.75" customHeight="1" x14ac:dyDescent="0.35">
      <c r="A280" s="1240"/>
      <c r="B280" s="1240"/>
      <c r="C280" s="1240"/>
      <c r="D280" s="1240"/>
      <c r="E280" s="1240"/>
      <c r="F280" s="1240"/>
      <c r="G280" s="1240"/>
      <c r="H280" s="1240"/>
      <c r="I280" s="1240"/>
      <c r="J280" s="1240"/>
      <c r="K280" s="1240"/>
      <c r="L280" s="1240"/>
      <c r="M280" s="1240"/>
      <c r="N280" s="1240"/>
      <c r="O280" s="1240"/>
      <c r="P280" s="1247">
        <f t="shared" si="30"/>
        <v>254</v>
      </c>
      <c r="Q280" s="1253" t="e">
        <f t="shared" ca="1" si="29"/>
        <v>#N/A</v>
      </c>
      <c r="R280" s="1247" t="str">
        <f>IFERROR(VLOOKUP(P280,RPCRepaymentDates[],1,FALSE),"")</f>
        <v/>
      </c>
      <c r="S280" s="1259">
        <f t="shared" si="25"/>
        <v>0</v>
      </c>
      <c r="T280" s="1247" t="str">
        <f>IFERROR(VLOOKUP(P280,RPCChargeCycleDates[],1,FALSE),"")</f>
        <v/>
      </c>
      <c r="U280" s="1248" t="str">
        <f>IFERROR(_xlfn.DAYS(T280,$Q$16)-SUM(U$26:U279),"")</f>
        <v/>
      </c>
      <c r="V280" s="1258">
        <f t="shared" ca="1" si="26"/>
        <v>0</v>
      </c>
      <c r="W280" s="1258">
        <f t="shared" ca="1" si="27"/>
        <v>0</v>
      </c>
      <c r="X280" s="1258" t="e">
        <f t="shared" ca="1" si="28"/>
        <v>#N/A</v>
      </c>
      <c r="Y280" s="1240"/>
      <c r="Z280" s="1240"/>
      <c r="AA280" s="1240"/>
      <c r="AB280" s="1240"/>
      <c r="AC280" s="1254" t="e">
        <f t="shared" si="31"/>
        <v>#NUM!</v>
      </c>
      <c r="AD280" s="1240"/>
      <c r="AE280" s="1240"/>
      <c r="AF280" s="1240"/>
      <c r="AG280" s="1240"/>
      <c r="AH280" s="1240"/>
      <c r="AI280" s="1240"/>
      <c r="AJ280" s="1240"/>
      <c r="AK280" s="1240"/>
      <c r="AL280" s="1240"/>
      <c r="AM280" s="1240"/>
      <c r="AN280" s="1240"/>
      <c r="AO280" s="1240"/>
      <c r="AP280" s="1240"/>
    </row>
    <row r="281" spans="1:42" ht="18.75" customHeight="1" x14ac:dyDescent="0.35">
      <c r="A281" s="1240"/>
      <c r="B281" s="1240"/>
      <c r="C281" s="1240"/>
      <c r="D281" s="1240"/>
      <c r="E281" s="1240"/>
      <c r="F281" s="1240"/>
      <c r="G281" s="1240"/>
      <c r="H281" s="1240"/>
      <c r="I281" s="1240"/>
      <c r="J281" s="1240"/>
      <c r="K281" s="1240"/>
      <c r="L281" s="1240"/>
      <c r="M281" s="1240"/>
      <c r="N281" s="1240"/>
      <c r="O281" s="1240"/>
      <c r="P281" s="1247">
        <f t="shared" si="30"/>
        <v>255</v>
      </c>
      <c r="Q281" s="1253" t="e">
        <f t="shared" ca="1" si="29"/>
        <v>#N/A</v>
      </c>
      <c r="R281" s="1247" t="str">
        <f>IFERROR(VLOOKUP(P281,RPCRepaymentDates[],1,FALSE),"")</f>
        <v/>
      </c>
      <c r="S281" s="1259">
        <f t="shared" si="25"/>
        <v>0</v>
      </c>
      <c r="T281" s="1247" t="str">
        <f>IFERROR(VLOOKUP(P281,RPCChargeCycleDates[],1,FALSE),"")</f>
        <v/>
      </c>
      <c r="U281" s="1248" t="str">
        <f>IFERROR(_xlfn.DAYS(T281,$Q$16)-SUM(U$26:U280),"")</f>
        <v/>
      </c>
      <c r="V281" s="1258">
        <f t="shared" ca="1" si="26"/>
        <v>0</v>
      </c>
      <c r="W281" s="1258">
        <f t="shared" ca="1" si="27"/>
        <v>0</v>
      </c>
      <c r="X281" s="1258" t="e">
        <f t="shared" ca="1" si="28"/>
        <v>#N/A</v>
      </c>
      <c r="Y281" s="1240"/>
      <c r="Z281" s="1240"/>
      <c r="AA281" s="1240"/>
      <c r="AB281" s="1240"/>
      <c r="AC281" s="1254" t="e">
        <f t="shared" si="31"/>
        <v>#NUM!</v>
      </c>
      <c r="AD281" s="1240"/>
      <c r="AE281" s="1240"/>
      <c r="AF281" s="1240"/>
      <c r="AG281" s="1240"/>
      <c r="AH281" s="1240"/>
      <c r="AI281" s="1240"/>
      <c r="AJ281" s="1240"/>
      <c r="AK281" s="1240"/>
      <c r="AL281" s="1240"/>
      <c r="AM281" s="1240"/>
      <c r="AN281" s="1240"/>
      <c r="AO281" s="1240"/>
      <c r="AP281" s="1240"/>
    </row>
    <row r="282" spans="1:42" ht="18.75" customHeight="1" x14ac:dyDescent="0.35">
      <c r="A282" s="1240"/>
      <c r="B282" s="1240"/>
      <c r="C282" s="1240"/>
      <c r="D282" s="1240"/>
      <c r="E282" s="1240"/>
      <c r="F282" s="1240"/>
      <c r="G282" s="1240"/>
      <c r="H282" s="1240"/>
      <c r="I282" s="1240"/>
      <c r="J282" s="1240"/>
      <c r="K282" s="1240"/>
      <c r="L282" s="1240"/>
      <c r="M282" s="1240"/>
      <c r="N282" s="1240"/>
      <c r="O282" s="1240"/>
      <c r="P282" s="1247">
        <f t="shared" si="30"/>
        <v>256</v>
      </c>
      <c r="Q282" s="1253" t="e">
        <f t="shared" ca="1" si="29"/>
        <v>#N/A</v>
      </c>
      <c r="R282" s="1247" t="str">
        <f>IFERROR(VLOOKUP(P282,RPCRepaymentDates[],1,FALSE),"")</f>
        <v/>
      </c>
      <c r="S282" s="1259">
        <f t="shared" ref="S282:S345" si="32">IF(P282=R282,IF(R282&lt;RPCNextPaymentTransferDate,0,IF(OR(R282&lt;RPCPauseStartDate,R282&gt;RPCPauseEndDate),RPCCurrentRepayment,RPCPauseRepayment)),0)</f>
        <v>0</v>
      </c>
      <c r="T282" s="1247" t="str">
        <f>IFERROR(VLOOKUP(P282,RPCChargeCycleDates[],1,FALSE),"")</f>
        <v/>
      </c>
      <c r="U282" s="1248" t="str">
        <f>IFERROR(_xlfn.DAYS(T282,$Q$16)-SUM(U$26:U281),"")</f>
        <v/>
      </c>
      <c r="V282" s="1258">
        <f t="shared" ref="V282:V345" ca="1" si="33">IFERROR((Q282-S282)*(1/RPCDaysInYear)*RPCInterestRate,0)</f>
        <v>0</v>
      </c>
      <c r="W282" s="1258">
        <f t="shared" ref="W282:W345" ca="1" si="34">IFERROR(IF(T282=P282,SUM(OFFSET(V282,-U282+1,0,U282,1)),0),0)</f>
        <v>0</v>
      </c>
      <c r="X282" s="1258" t="e">
        <f t="shared" ref="X282:X345" ca="1" si="35">Q282-S282+W282</f>
        <v>#N/A</v>
      </c>
      <c r="Y282" s="1240"/>
      <c r="Z282" s="1240"/>
      <c r="AA282" s="1240"/>
      <c r="AB282" s="1240"/>
      <c r="AC282" s="1254" t="e">
        <f t="shared" si="31"/>
        <v>#NUM!</v>
      </c>
      <c r="AD282" s="1240"/>
      <c r="AE282" s="1240"/>
      <c r="AF282" s="1240"/>
      <c r="AG282" s="1240"/>
      <c r="AH282" s="1240"/>
      <c r="AI282" s="1240"/>
      <c r="AJ282" s="1240"/>
      <c r="AK282" s="1240"/>
      <c r="AL282" s="1240"/>
      <c r="AM282" s="1240"/>
      <c r="AN282" s="1240"/>
      <c r="AO282" s="1240"/>
      <c r="AP282" s="1240"/>
    </row>
    <row r="283" spans="1:42" ht="18.75" customHeight="1" x14ac:dyDescent="0.35">
      <c r="A283" s="1240"/>
      <c r="B283" s="1240"/>
      <c r="C283" s="1240"/>
      <c r="D283" s="1240"/>
      <c r="E283" s="1240"/>
      <c r="F283" s="1240"/>
      <c r="G283" s="1240"/>
      <c r="H283" s="1240"/>
      <c r="I283" s="1240"/>
      <c r="J283" s="1240"/>
      <c r="K283" s="1240"/>
      <c r="L283" s="1240"/>
      <c r="M283" s="1240"/>
      <c r="N283" s="1240"/>
      <c r="O283" s="1240"/>
      <c r="P283" s="1247">
        <f t="shared" si="30"/>
        <v>257</v>
      </c>
      <c r="Q283" s="1253" t="e">
        <f t="shared" ref="Q283:Q346" ca="1" si="36">X282</f>
        <v>#N/A</v>
      </c>
      <c r="R283" s="1247" t="str">
        <f>IFERROR(VLOOKUP(P283,RPCRepaymentDates[],1,FALSE),"")</f>
        <v/>
      </c>
      <c r="S283" s="1259">
        <f t="shared" si="32"/>
        <v>0</v>
      </c>
      <c r="T283" s="1247" t="str">
        <f>IFERROR(VLOOKUP(P283,RPCChargeCycleDates[],1,FALSE),"")</f>
        <v/>
      </c>
      <c r="U283" s="1248" t="str">
        <f>IFERROR(_xlfn.DAYS(T283,$Q$16)-SUM(U$26:U282),"")</f>
        <v/>
      </c>
      <c r="V283" s="1258">
        <f t="shared" ca="1" si="33"/>
        <v>0</v>
      </c>
      <c r="W283" s="1258">
        <f t="shared" ca="1" si="34"/>
        <v>0</v>
      </c>
      <c r="X283" s="1258" t="e">
        <f t="shared" ca="1" si="35"/>
        <v>#N/A</v>
      </c>
      <c r="Y283" s="1240"/>
      <c r="Z283" s="1240"/>
      <c r="AA283" s="1240"/>
      <c r="AB283" s="1240"/>
      <c r="AC283" s="1254" t="e">
        <f t="shared" si="31"/>
        <v>#NUM!</v>
      </c>
      <c r="AD283" s="1240"/>
      <c r="AE283" s="1240"/>
      <c r="AF283" s="1240"/>
      <c r="AG283" s="1240"/>
      <c r="AH283" s="1240"/>
      <c r="AI283" s="1240"/>
      <c r="AJ283" s="1240"/>
      <c r="AK283" s="1240"/>
      <c r="AL283" s="1240"/>
      <c r="AM283" s="1240"/>
      <c r="AN283" s="1240"/>
      <c r="AO283" s="1240"/>
      <c r="AP283" s="1240"/>
    </row>
    <row r="284" spans="1:42" ht="18.75" customHeight="1" x14ac:dyDescent="0.35">
      <c r="A284" s="1240"/>
      <c r="B284" s="1240"/>
      <c r="C284" s="1240"/>
      <c r="D284" s="1240"/>
      <c r="E284" s="1240"/>
      <c r="F284" s="1240"/>
      <c r="G284" s="1240"/>
      <c r="H284" s="1240"/>
      <c r="I284" s="1240"/>
      <c r="J284" s="1240"/>
      <c r="K284" s="1240"/>
      <c r="L284" s="1240"/>
      <c r="M284" s="1240"/>
      <c r="N284" s="1240"/>
      <c r="O284" s="1240"/>
      <c r="P284" s="1247">
        <f t="shared" ref="P284:P347" si="37">P283+1</f>
        <v>258</v>
      </c>
      <c r="Q284" s="1253" t="e">
        <f t="shared" ca="1" si="36"/>
        <v>#N/A</v>
      </c>
      <c r="R284" s="1247" t="str">
        <f>IFERROR(VLOOKUP(P284,RPCRepaymentDates[],1,FALSE),"")</f>
        <v/>
      </c>
      <c r="S284" s="1259">
        <f t="shared" si="32"/>
        <v>0</v>
      </c>
      <c r="T284" s="1247" t="str">
        <f>IFERROR(VLOOKUP(P284,RPCChargeCycleDates[],1,FALSE),"")</f>
        <v/>
      </c>
      <c r="U284" s="1248" t="str">
        <f>IFERROR(_xlfn.DAYS(T284,$Q$16)-SUM(U$26:U283),"")</f>
        <v/>
      </c>
      <c r="V284" s="1258">
        <f t="shared" ca="1" si="33"/>
        <v>0</v>
      </c>
      <c r="W284" s="1258">
        <f t="shared" ca="1" si="34"/>
        <v>0</v>
      </c>
      <c r="X284" s="1258" t="e">
        <f t="shared" ca="1" si="35"/>
        <v>#N/A</v>
      </c>
      <c r="Y284" s="1240"/>
      <c r="Z284" s="1240"/>
      <c r="AA284" s="1240"/>
      <c r="AB284" s="1240"/>
      <c r="AC284" s="1254" t="e">
        <f t="shared" si="31"/>
        <v>#NUM!</v>
      </c>
      <c r="AD284" s="1240"/>
      <c r="AE284" s="1240"/>
      <c r="AF284" s="1240"/>
      <c r="AG284" s="1240"/>
      <c r="AH284" s="1240"/>
      <c r="AI284" s="1240"/>
      <c r="AJ284" s="1240"/>
      <c r="AK284" s="1240"/>
      <c r="AL284" s="1240"/>
      <c r="AM284" s="1240"/>
      <c r="AN284" s="1240"/>
      <c r="AO284" s="1240"/>
      <c r="AP284" s="1240"/>
    </row>
    <row r="285" spans="1:42" ht="18.75" customHeight="1" x14ac:dyDescent="0.35">
      <c r="A285" s="1240"/>
      <c r="B285" s="1240"/>
      <c r="C285" s="1240"/>
      <c r="D285" s="1240"/>
      <c r="E285" s="1240"/>
      <c r="F285" s="1240"/>
      <c r="G285" s="1240"/>
      <c r="H285" s="1240"/>
      <c r="I285" s="1240"/>
      <c r="J285" s="1240"/>
      <c r="K285" s="1240"/>
      <c r="L285" s="1240"/>
      <c r="M285" s="1240"/>
      <c r="N285" s="1240"/>
      <c r="O285" s="1240"/>
      <c r="P285" s="1247">
        <f t="shared" si="37"/>
        <v>259</v>
      </c>
      <c r="Q285" s="1253" t="e">
        <f t="shared" ca="1" si="36"/>
        <v>#N/A</v>
      </c>
      <c r="R285" s="1247" t="str">
        <f>IFERROR(VLOOKUP(P285,RPCRepaymentDates[],1,FALSE),"")</f>
        <v/>
      </c>
      <c r="S285" s="1259">
        <f t="shared" si="32"/>
        <v>0</v>
      </c>
      <c r="T285" s="1247" t="str">
        <f>IFERROR(VLOOKUP(P285,RPCChargeCycleDates[],1,FALSE),"")</f>
        <v/>
      </c>
      <c r="U285" s="1248" t="str">
        <f>IFERROR(_xlfn.DAYS(T285,$Q$16)-SUM(U$26:U284),"")</f>
        <v/>
      </c>
      <c r="V285" s="1258">
        <f t="shared" ca="1" si="33"/>
        <v>0</v>
      </c>
      <c r="W285" s="1258">
        <f t="shared" ca="1" si="34"/>
        <v>0</v>
      </c>
      <c r="X285" s="1258" t="e">
        <f t="shared" ca="1" si="35"/>
        <v>#N/A</v>
      </c>
      <c r="Y285" s="1240"/>
      <c r="Z285" s="1240"/>
      <c r="AA285" s="1240"/>
      <c r="AB285" s="1240"/>
      <c r="AC285" s="1254" t="e">
        <f t="shared" si="31"/>
        <v>#NUM!</v>
      </c>
      <c r="AD285" s="1240"/>
      <c r="AE285" s="1240"/>
      <c r="AF285" s="1240"/>
      <c r="AG285" s="1240"/>
      <c r="AH285" s="1240"/>
      <c r="AI285" s="1240"/>
      <c r="AJ285" s="1240"/>
      <c r="AK285" s="1240"/>
      <c r="AL285" s="1240"/>
      <c r="AM285" s="1240"/>
      <c r="AN285" s="1240"/>
      <c r="AO285" s="1240"/>
      <c r="AP285" s="1240"/>
    </row>
    <row r="286" spans="1:42" ht="18.75" customHeight="1" x14ac:dyDescent="0.35">
      <c r="A286" s="1240"/>
      <c r="B286" s="1240"/>
      <c r="C286" s="1240"/>
      <c r="D286" s="1240"/>
      <c r="E286" s="1240"/>
      <c r="F286" s="1240"/>
      <c r="G286" s="1240"/>
      <c r="H286" s="1240"/>
      <c r="I286" s="1240"/>
      <c r="J286" s="1240"/>
      <c r="K286" s="1240"/>
      <c r="L286" s="1240"/>
      <c r="M286" s="1240"/>
      <c r="N286" s="1240"/>
      <c r="O286" s="1240"/>
      <c r="P286" s="1247">
        <f t="shared" si="37"/>
        <v>260</v>
      </c>
      <c r="Q286" s="1253" t="e">
        <f t="shared" ca="1" si="36"/>
        <v>#N/A</v>
      </c>
      <c r="R286" s="1247" t="str">
        <f>IFERROR(VLOOKUP(P286,RPCRepaymentDates[],1,FALSE),"")</f>
        <v/>
      </c>
      <c r="S286" s="1259">
        <f t="shared" si="32"/>
        <v>0</v>
      </c>
      <c r="T286" s="1247" t="str">
        <f>IFERROR(VLOOKUP(P286,RPCChargeCycleDates[],1,FALSE),"")</f>
        <v/>
      </c>
      <c r="U286" s="1248" t="str">
        <f>IFERROR(_xlfn.DAYS(T286,$Q$16)-SUM(U$26:U285),"")</f>
        <v/>
      </c>
      <c r="V286" s="1258">
        <f t="shared" ca="1" si="33"/>
        <v>0</v>
      </c>
      <c r="W286" s="1258">
        <f t="shared" ca="1" si="34"/>
        <v>0</v>
      </c>
      <c r="X286" s="1258" t="e">
        <f t="shared" ca="1" si="35"/>
        <v>#N/A</v>
      </c>
      <c r="Y286" s="1240"/>
      <c r="Z286" s="1240"/>
      <c r="AA286" s="1240"/>
      <c r="AB286" s="1240"/>
      <c r="AC286" s="1254" t="e">
        <f t="shared" si="31"/>
        <v>#NUM!</v>
      </c>
      <c r="AD286" s="1240"/>
      <c r="AE286" s="1240"/>
      <c r="AF286" s="1240"/>
      <c r="AG286" s="1240"/>
      <c r="AH286" s="1240"/>
      <c r="AI286" s="1240"/>
      <c r="AJ286" s="1240"/>
      <c r="AK286" s="1240"/>
      <c r="AL286" s="1240"/>
      <c r="AM286" s="1240"/>
      <c r="AN286" s="1240"/>
      <c r="AO286" s="1240"/>
      <c r="AP286" s="1240"/>
    </row>
    <row r="287" spans="1:42" ht="18.75" customHeight="1" x14ac:dyDescent="0.35">
      <c r="A287" s="1240"/>
      <c r="B287" s="1240"/>
      <c r="C287" s="1240"/>
      <c r="D287" s="1240"/>
      <c r="E287" s="1240"/>
      <c r="F287" s="1240"/>
      <c r="G287" s="1240"/>
      <c r="H287" s="1240"/>
      <c r="I287" s="1240"/>
      <c r="J287" s="1240"/>
      <c r="K287" s="1240"/>
      <c r="L287" s="1240"/>
      <c r="M287" s="1240"/>
      <c r="N287" s="1240"/>
      <c r="O287" s="1240"/>
      <c r="P287" s="1247">
        <f t="shared" si="37"/>
        <v>261</v>
      </c>
      <c r="Q287" s="1253" t="e">
        <f t="shared" ca="1" si="36"/>
        <v>#N/A</v>
      </c>
      <c r="R287" s="1247" t="str">
        <f>IFERROR(VLOOKUP(P287,RPCRepaymentDates[],1,FALSE),"")</f>
        <v/>
      </c>
      <c r="S287" s="1259">
        <f t="shared" si="32"/>
        <v>0</v>
      </c>
      <c r="T287" s="1247" t="str">
        <f>IFERROR(VLOOKUP(P287,RPCChargeCycleDates[],1,FALSE),"")</f>
        <v/>
      </c>
      <c r="U287" s="1248" t="str">
        <f>IFERROR(_xlfn.DAYS(T287,$Q$16)-SUM(U$26:U286),"")</f>
        <v/>
      </c>
      <c r="V287" s="1258">
        <f t="shared" ca="1" si="33"/>
        <v>0</v>
      </c>
      <c r="W287" s="1258">
        <f t="shared" ca="1" si="34"/>
        <v>0</v>
      </c>
      <c r="X287" s="1258" t="e">
        <f t="shared" ca="1" si="35"/>
        <v>#N/A</v>
      </c>
      <c r="Y287" s="1240"/>
      <c r="Z287" s="1240"/>
      <c r="AA287" s="1240"/>
      <c r="AB287" s="1240"/>
      <c r="AC287" s="1254" t="e">
        <f t="shared" si="31"/>
        <v>#NUM!</v>
      </c>
      <c r="AD287" s="1240"/>
      <c r="AE287" s="1240"/>
      <c r="AF287" s="1240"/>
      <c r="AG287" s="1240"/>
      <c r="AH287" s="1240"/>
      <c r="AI287" s="1240"/>
      <c r="AJ287" s="1240"/>
      <c r="AK287" s="1240"/>
      <c r="AL287" s="1240"/>
      <c r="AM287" s="1240"/>
      <c r="AN287" s="1240"/>
      <c r="AO287" s="1240"/>
      <c r="AP287" s="1240"/>
    </row>
    <row r="288" spans="1:42" ht="18.75" customHeight="1" x14ac:dyDescent="0.35">
      <c r="A288" s="1240"/>
      <c r="B288" s="1240"/>
      <c r="C288" s="1240"/>
      <c r="D288" s="1240"/>
      <c r="E288" s="1240"/>
      <c r="F288" s="1240"/>
      <c r="G288" s="1240"/>
      <c r="H288" s="1240"/>
      <c r="I288" s="1240"/>
      <c r="J288" s="1240"/>
      <c r="K288" s="1240"/>
      <c r="L288" s="1240"/>
      <c r="M288" s="1240"/>
      <c r="N288" s="1240"/>
      <c r="O288" s="1240"/>
      <c r="P288" s="1247">
        <f t="shared" si="37"/>
        <v>262</v>
      </c>
      <c r="Q288" s="1253" t="e">
        <f t="shared" ca="1" si="36"/>
        <v>#N/A</v>
      </c>
      <c r="R288" s="1247" t="str">
        <f>IFERROR(VLOOKUP(P288,RPCRepaymentDates[],1,FALSE),"")</f>
        <v/>
      </c>
      <c r="S288" s="1259">
        <f t="shared" si="32"/>
        <v>0</v>
      </c>
      <c r="T288" s="1247" t="str">
        <f>IFERROR(VLOOKUP(P288,RPCChargeCycleDates[],1,FALSE),"")</f>
        <v/>
      </c>
      <c r="U288" s="1248" t="str">
        <f>IFERROR(_xlfn.DAYS(T288,$Q$16)-SUM(U$26:U287),"")</f>
        <v/>
      </c>
      <c r="V288" s="1258">
        <f t="shared" ca="1" si="33"/>
        <v>0</v>
      </c>
      <c r="W288" s="1258">
        <f t="shared" ca="1" si="34"/>
        <v>0</v>
      </c>
      <c r="X288" s="1258" t="e">
        <f t="shared" ca="1" si="35"/>
        <v>#N/A</v>
      </c>
      <c r="Y288" s="1240"/>
      <c r="Z288" s="1240"/>
      <c r="AA288" s="1240"/>
      <c r="AB288" s="1240"/>
      <c r="AC288" s="1254" t="e">
        <f t="shared" si="31"/>
        <v>#NUM!</v>
      </c>
      <c r="AD288" s="1240"/>
      <c r="AE288" s="1240"/>
      <c r="AF288" s="1240"/>
      <c r="AG288" s="1240"/>
      <c r="AH288" s="1240"/>
      <c r="AI288" s="1240"/>
      <c r="AJ288" s="1240"/>
      <c r="AK288" s="1240"/>
      <c r="AL288" s="1240"/>
      <c r="AM288" s="1240"/>
      <c r="AN288" s="1240"/>
      <c r="AO288" s="1240"/>
      <c r="AP288" s="1240"/>
    </row>
    <row r="289" spans="1:42" ht="18.75" customHeight="1" x14ac:dyDescent="0.35">
      <c r="A289" s="1240"/>
      <c r="B289" s="1240"/>
      <c r="C289" s="1240"/>
      <c r="D289" s="1240"/>
      <c r="E289" s="1240"/>
      <c r="F289" s="1240"/>
      <c r="G289" s="1240"/>
      <c r="H289" s="1240"/>
      <c r="I289" s="1240"/>
      <c r="J289" s="1240"/>
      <c r="K289" s="1240"/>
      <c r="L289" s="1240"/>
      <c r="M289" s="1240"/>
      <c r="N289" s="1240"/>
      <c r="O289" s="1240"/>
      <c r="P289" s="1247">
        <f t="shared" si="37"/>
        <v>263</v>
      </c>
      <c r="Q289" s="1253" t="e">
        <f t="shared" ca="1" si="36"/>
        <v>#N/A</v>
      </c>
      <c r="R289" s="1247" t="str">
        <f>IFERROR(VLOOKUP(P289,RPCRepaymentDates[],1,FALSE),"")</f>
        <v/>
      </c>
      <c r="S289" s="1259">
        <f t="shared" si="32"/>
        <v>0</v>
      </c>
      <c r="T289" s="1247" t="str">
        <f>IFERROR(VLOOKUP(P289,RPCChargeCycleDates[],1,FALSE),"")</f>
        <v/>
      </c>
      <c r="U289" s="1248" t="str">
        <f>IFERROR(_xlfn.DAYS(T289,$Q$16)-SUM(U$26:U288),"")</f>
        <v/>
      </c>
      <c r="V289" s="1258">
        <f t="shared" ca="1" si="33"/>
        <v>0</v>
      </c>
      <c r="W289" s="1258">
        <f t="shared" ca="1" si="34"/>
        <v>0</v>
      </c>
      <c r="X289" s="1258" t="e">
        <f t="shared" ca="1" si="35"/>
        <v>#N/A</v>
      </c>
      <c r="Y289" s="1240"/>
      <c r="Z289" s="1240"/>
      <c r="AA289" s="1240"/>
      <c r="AB289" s="1240"/>
      <c r="AC289" s="1254" t="e">
        <f t="shared" si="31"/>
        <v>#NUM!</v>
      </c>
      <c r="AD289" s="1240"/>
      <c r="AE289" s="1240"/>
      <c r="AF289" s="1240"/>
      <c r="AG289" s="1240"/>
      <c r="AH289" s="1240"/>
      <c r="AI289" s="1240"/>
      <c r="AJ289" s="1240"/>
      <c r="AK289" s="1240"/>
      <c r="AL289" s="1240"/>
      <c r="AM289" s="1240"/>
      <c r="AN289" s="1240"/>
      <c r="AO289" s="1240"/>
      <c r="AP289" s="1240"/>
    </row>
    <row r="290" spans="1:42" ht="18.75" customHeight="1" x14ac:dyDescent="0.35">
      <c r="A290" s="1240"/>
      <c r="B290" s="1240"/>
      <c r="C290" s="1240"/>
      <c r="D290" s="1240"/>
      <c r="E290" s="1240"/>
      <c r="F290" s="1240"/>
      <c r="G290" s="1240"/>
      <c r="H290" s="1240"/>
      <c r="I290" s="1240"/>
      <c r="J290" s="1240"/>
      <c r="K290" s="1240"/>
      <c r="L290" s="1240"/>
      <c r="M290" s="1240"/>
      <c r="N290" s="1240"/>
      <c r="O290" s="1240"/>
      <c r="P290" s="1247">
        <f t="shared" si="37"/>
        <v>264</v>
      </c>
      <c r="Q290" s="1253" t="e">
        <f t="shared" ca="1" si="36"/>
        <v>#N/A</v>
      </c>
      <c r="R290" s="1247" t="str">
        <f>IFERROR(VLOOKUP(P290,RPCRepaymentDates[],1,FALSE),"")</f>
        <v/>
      </c>
      <c r="S290" s="1259">
        <f t="shared" si="32"/>
        <v>0</v>
      </c>
      <c r="T290" s="1247" t="str">
        <f>IFERROR(VLOOKUP(P290,RPCChargeCycleDates[],1,FALSE),"")</f>
        <v/>
      </c>
      <c r="U290" s="1248" t="str">
        <f>IFERROR(_xlfn.DAYS(T290,$Q$16)-SUM(U$26:U289),"")</f>
        <v/>
      </c>
      <c r="V290" s="1258">
        <f t="shared" ca="1" si="33"/>
        <v>0</v>
      </c>
      <c r="W290" s="1258">
        <f t="shared" ca="1" si="34"/>
        <v>0</v>
      </c>
      <c r="X290" s="1258" t="e">
        <f t="shared" ca="1" si="35"/>
        <v>#N/A</v>
      </c>
      <c r="Y290" s="1240"/>
      <c r="Z290" s="1240"/>
      <c r="AA290" s="1240"/>
      <c r="AB290" s="1240"/>
      <c r="AC290" s="1254" t="e">
        <f t="shared" si="31"/>
        <v>#NUM!</v>
      </c>
      <c r="AD290" s="1240"/>
      <c r="AE290" s="1240"/>
      <c r="AF290" s="1240"/>
      <c r="AG290" s="1240"/>
      <c r="AH290" s="1240"/>
      <c r="AI290" s="1240"/>
      <c r="AJ290" s="1240"/>
      <c r="AK290" s="1240"/>
      <c r="AL290" s="1240"/>
      <c r="AM290" s="1240"/>
      <c r="AN290" s="1240"/>
      <c r="AO290" s="1240"/>
      <c r="AP290" s="1240"/>
    </row>
    <row r="291" spans="1:42" ht="18.75" customHeight="1" x14ac:dyDescent="0.35">
      <c r="A291" s="1240"/>
      <c r="B291" s="1240"/>
      <c r="C291" s="1240"/>
      <c r="D291" s="1240"/>
      <c r="E291" s="1240"/>
      <c r="F291" s="1240"/>
      <c r="G291" s="1240"/>
      <c r="H291" s="1240"/>
      <c r="I291" s="1240"/>
      <c r="J291" s="1240"/>
      <c r="K291" s="1240"/>
      <c r="L291" s="1240"/>
      <c r="M291" s="1240"/>
      <c r="N291" s="1240"/>
      <c r="O291" s="1240"/>
      <c r="P291" s="1247">
        <f t="shared" si="37"/>
        <v>265</v>
      </c>
      <c r="Q291" s="1253" t="e">
        <f t="shared" ca="1" si="36"/>
        <v>#N/A</v>
      </c>
      <c r="R291" s="1247" t="str">
        <f>IFERROR(VLOOKUP(P291,RPCRepaymentDates[],1,FALSE),"")</f>
        <v/>
      </c>
      <c r="S291" s="1259">
        <f t="shared" si="32"/>
        <v>0</v>
      </c>
      <c r="T291" s="1247" t="str">
        <f>IFERROR(VLOOKUP(P291,RPCChargeCycleDates[],1,FALSE),"")</f>
        <v/>
      </c>
      <c r="U291" s="1248" t="str">
        <f>IFERROR(_xlfn.DAYS(T291,$Q$16)-SUM(U$26:U290),"")</f>
        <v/>
      </c>
      <c r="V291" s="1258">
        <f t="shared" ca="1" si="33"/>
        <v>0</v>
      </c>
      <c r="W291" s="1258">
        <f t="shared" ca="1" si="34"/>
        <v>0</v>
      </c>
      <c r="X291" s="1258" t="e">
        <f t="shared" ca="1" si="35"/>
        <v>#N/A</v>
      </c>
      <c r="Y291" s="1240"/>
      <c r="Z291" s="1240"/>
      <c r="AA291" s="1240"/>
      <c r="AB291" s="1240"/>
      <c r="AC291" s="1254" t="e">
        <f t="shared" si="31"/>
        <v>#NUM!</v>
      </c>
      <c r="AD291" s="1240"/>
      <c r="AE291" s="1240"/>
      <c r="AF291" s="1240"/>
      <c r="AG291" s="1240"/>
      <c r="AH291" s="1240"/>
      <c r="AI291" s="1240"/>
      <c r="AJ291" s="1240"/>
      <c r="AK291" s="1240"/>
      <c r="AL291" s="1240"/>
      <c r="AM291" s="1240"/>
      <c r="AN291" s="1240"/>
      <c r="AO291" s="1240"/>
      <c r="AP291" s="1240"/>
    </row>
    <row r="292" spans="1:42" ht="18.75" customHeight="1" x14ac:dyDescent="0.35">
      <c r="A292" s="1240"/>
      <c r="B292" s="1240"/>
      <c r="C292" s="1240"/>
      <c r="D292" s="1240"/>
      <c r="E292" s="1240"/>
      <c r="F292" s="1240"/>
      <c r="G292" s="1240"/>
      <c r="H292" s="1240"/>
      <c r="I292" s="1240"/>
      <c r="J292" s="1240"/>
      <c r="K292" s="1240"/>
      <c r="L292" s="1240"/>
      <c r="M292" s="1240"/>
      <c r="N292" s="1240"/>
      <c r="O292" s="1240"/>
      <c r="P292" s="1247">
        <f t="shared" si="37"/>
        <v>266</v>
      </c>
      <c r="Q292" s="1253" t="e">
        <f t="shared" ca="1" si="36"/>
        <v>#N/A</v>
      </c>
      <c r="R292" s="1247" t="str">
        <f>IFERROR(VLOOKUP(P292,RPCRepaymentDates[],1,FALSE),"")</f>
        <v/>
      </c>
      <c r="S292" s="1259">
        <f t="shared" si="32"/>
        <v>0</v>
      </c>
      <c r="T292" s="1247" t="str">
        <f>IFERROR(VLOOKUP(P292,RPCChargeCycleDates[],1,FALSE),"")</f>
        <v/>
      </c>
      <c r="U292" s="1248" t="str">
        <f>IFERROR(_xlfn.DAYS(T292,$Q$16)-SUM(U$26:U291),"")</f>
        <v/>
      </c>
      <c r="V292" s="1258">
        <f t="shared" ca="1" si="33"/>
        <v>0</v>
      </c>
      <c r="W292" s="1258">
        <f t="shared" ca="1" si="34"/>
        <v>0</v>
      </c>
      <c r="X292" s="1258" t="e">
        <f t="shared" ca="1" si="35"/>
        <v>#N/A</v>
      </c>
      <c r="Y292" s="1240"/>
      <c r="Z292" s="1240"/>
      <c r="AA292" s="1240"/>
      <c r="AB292" s="1240"/>
      <c r="AC292" s="1254" t="e">
        <f t="shared" si="31"/>
        <v>#NUM!</v>
      </c>
      <c r="AD292" s="1240"/>
      <c r="AE292" s="1240"/>
      <c r="AF292" s="1240"/>
      <c r="AG292" s="1240"/>
      <c r="AH292" s="1240"/>
      <c r="AI292" s="1240"/>
      <c r="AJ292" s="1240"/>
      <c r="AK292" s="1240"/>
      <c r="AL292" s="1240"/>
      <c r="AM292" s="1240"/>
      <c r="AN292" s="1240"/>
      <c r="AO292" s="1240"/>
      <c r="AP292" s="1240"/>
    </row>
    <row r="293" spans="1:42" ht="18.75" customHeight="1" x14ac:dyDescent="0.35">
      <c r="A293" s="1240"/>
      <c r="B293" s="1240"/>
      <c r="C293" s="1240"/>
      <c r="D293" s="1240"/>
      <c r="E293" s="1240"/>
      <c r="F293" s="1240"/>
      <c r="G293" s="1240"/>
      <c r="H293" s="1240"/>
      <c r="I293" s="1240"/>
      <c r="J293" s="1240"/>
      <c r="K293" s="1240"/>
      <c r="L293" s="1240"/>
      <c r="M293" s="1240"/>
      <c r="N293" s="1240"/>
      <c r="O293" s="1240"/>
      <c r="P293" s="1247">
        <f t="shared" si="37"/>
        <v>267</v>
      </c>
      <c r="Q293" s="1253" t="e">
        <f t="shared" ca="1" si="36"/>
        <v>#N/A</v>
      </c>
      <c r="R293" s="1247" t="str">
        <f>IFERROR(VLOOKUP(P293,RPCRepaymentDates[],1,FALSE),"")</f>
        <v/>
      </c>
      <c r="S293" s="1259">
        <f t="shared" si="32"/>
        <v>0</v>
      </c>
      <c r="T293" s="1247" t="str">
        <f>IFERROR(VLOOKUP(P293,RPCChargeCycleDates[],1,FALSE),"")</f>
        <v/>
      </c>
      <c r="U293" s="1248" t="str">
        <f>IFERROR(_xlfn.DAYS(T293,$Q$16)-SUM(U$26:U292),"")</f>
        <v/>
      </c>
      <c r="V293" s="1258">
        <f t="shared" ca="1" si="33"/>
        <v>0</v>
      </c>
      <c r="W293" s="1258">
        <f t="shared" ca="1" si="34"/>
        <v>0</v>
      </c>
      <c r="X293" s="1258" t="e">
        <f t="shared" ca="1" si="35"/>
        <v>#N/A</v>
      </c>
      <c r="Y293" s="1240"/>
      <c r="Z293" s="1240"/>
      <c r="AA293" s="1240"/>
      <c r="AB293" s="1240"/>
      <c r="AC293" s="1254" t="e">
        <f t="shared" si="31"/>
        <v>#NUM!</v>
      </c>
      <c r="AD293" s="1240"/>
      <c r="AE293" s="1240"/>
      <c r="AF293" s="1240"/>
      <c r="AG293" s="1240"/>
      <c r="AH293" s="1240"/>
      <c r="AI293" s="1240"/>
      <c r="AJ293" s="1240"/>
      <c r="AK293" s="1240"/>
      <c r="AL293" s="1240"/>
      <c r="AM293" s="1240"/>
      <c r="AN293" s="1240"/>
      <c r="AO293" s="1240"/>
      <c r="AP293" s="1240"/>
    </row>
    <row r="294" spans="1:42" ht="18.75" customHeight="1" x14ac:dyDescent="0.35">
      <c r="A294" s="1240"/>
      <c r="B294" s="1240"/>
      <c r="C294" s="1240"/>
      <c r="D294" s="1240"/>
      <c r="E294" s="1240"/>
      <c r="F294" s="1240"/>
      <c r="G294" s="1240"/>
      <c r="H294" s="1240"/>
      <c r="I294" s="1240"/>
      <c r="J294" s="1240"/>
      <c r="K294" s="1240"/>
      <c r="L294" s="1240"/>
      <c r="M294" s="1240"/>
      <c r="N294" s="1240"/>
      <c r="O294" s="1240"/>
      <c r="P294" s="1247">
        <f t="shared" si="37"/>
        <v>268</v>
      </c>
      <c r="Q294" s="1253" t="e">
        <f t="shared" ca="1" si="36"/>
        <v>#N/A</v>
      </c>
      <c r="R294" s="1247" t="str">
        <f>IFERROR(VLOOKUP(P294,RPCRepaymentDates[],1,FALSE),"")</f>
        <v/>
      </c>
      <c r="S294" s="1259">
        <f t="shared" si="32"/>
        <v>0</v>
      </c>
      <c r="T294" s="1247" t="str">
        <f>IFERROR(VLOOKUP(P294,RPCChargeCycleDates[],1,FALSE),"")</f>
        <v/>
      </c>
      <c r="U294" s="1248" t="str">
        <f>IFERROR(_xlfn.DAYS(T294,$Q$16)-SUM(U$26:U293),"")</f>
        <v/>
      </c>
      <c r="V294" s="1258">
        <f t="shared" ca="1" si="33"/>
        <v>0</v>
      </c>
      <c r="W294" s="1258">
        <f t="shared" ca="1" si="34"/>
        <v>0</v>
      </c>
      <c r="X294" s="1258" t="e">
        <f t="shared" ca="1" si="35"/>
        <v>#N/A</v>
      </c>
      <c r="Y294" s="1240"/>
      <c r="Z294" s="1240"/>
      <c r="AA294" s="1240"/>
      <c r="AB294" s="1240"/>
      <c r="AC294" s="1254" t="e">
        <f t="shared" si="31"/>
        <v>#NUM!</v>
      </c>
      <c r="AD294" s="1240"/>
      <c r="AE294" s="1240"/>
      <c r="AF294" s="1240"/>
      <c r="AG294" s="1240"/>
      <c r="AH294" s="1240"/>
      <c r="AI294" s="1240"/>
      <c r="AJ294" s="1240"/>
      <c r="AK294" s="1240"/>
      <c r="AL294" s="1240"/>
      <c r="AM294" s="1240"/>
      <c r="AN294" s="1240"/>
      <c r="AO294" s="1240"/>
      <c r="AP294" s="1240"/>
    </row>
    <row r="295" spans="1:42" ht="18.75" customHeight="1" x14ac:dyDescent="0.35">
      <c r="A295" s="1240"/>
      <c r="B295" s="1240"/>
      <c r="C295" s="1240"/>
      <c r="D295" s="1240"/>
      <c r="E295" s="1240"/>
      <c r="F295" s="1240"/>
      <c r="G295" s="1240"/>
      <c r="H295" s="1240"/>
      <c r="I295" s="1240"/>
      <c r="J295" s="1240"/>
      <c r="K295" s="1240"/>
      <c r="L295" s="1240"/>
      <c r="M295" s="1240"/>
      <c r="N295" s="1240"/>
      <c r="O295" s="1240"/>
      <c r="P295" s="1247">
        <f t="shared" si="37"/>
        <v>269</v>
      </c>
      <c r="Q295" s="1253" t="e">
        <f t="shared" ca="1" si="36"/>
        <v>#N/A</v>
      </c>
      <c r="R295" s="1247" t="str">
        <f>IFERROR(VLOOKUP(P295,RPCRepaymentDates[],1,FALSE),"")</f>
        <v/>
      </c>
      <c r="S295" s="1259">
        <f t="shared" si="32"/>
        <v>0</v>
      </c>
      <c r="T295" s="1247" t="str">
        <f>IFERROR(VLOOKUP(P295,RPCChargeCycleDates[],1,FALSE),"")</f>
        <v/>
      </c>
      <c r="U295" s="1248" t="str">
        <f>IFERROR(_xlfn.DAYS(T295,$Q$16)-SUM(U$26:U294),"")</f>
        <v/>
      </c>
      <c r="V295" s="1258">
        <f t="shared" ca="1" si="33"/>
        <v>0</v>
      </c>
      <c r="W295" s="1258">
        <f t="shared" ca="1" si="34"/>
        <v>0</v>
      </c>
      <c r="X295" s="1258" t="e">
        <f t="shared" ca="1" si="35"/>
        <v>#N/A</v>
      </c>
      <c r="Y295" s="1240"/>
      <c r="Z295" s="1240"/>
      <c r="AA295" s="1240"/>
      <c r="AB295" s="1240"/>
      <c r="AC295" s="1254" t="e">
        <f t="shared" si="31"/>
        <v>#NUM!</v>
      </c>
      <c r="AD295" s="1240"/>
      <c r="AE295" s="1240"/>
      <c r="AF295" s="1240"/>
      <c r="AG295" s="1240"/>
      <c r="AH295" s="1240"/>
      <c r="AI295" s="1240"/>
      <c r="AJ295" s="1240"/>
      <c r="AK295" s="1240"/>
      <c r="AL295" s="1240"/>
      <c r="AM295" s="1240"/>
      <c r="AN295" s="1240"/>
      <c r="AO295" s="1240"/>
      <c r="AP295" s="1240"/>
    </row>
    <row r="296" spans="1:42" ht="18.75" customHeight="1" x14ac:dyDescent="0.35">
      <c r="A296" s="1240"/>
      <c r="B296" s="1240"/>
      <c r="C296" s="1240"/>
      <c r="D296" s="1240"/>
      <c r="E296" s="1240"/>
      <c r="F296" s="1240"/>
      <c r="G296" s="1240"/>
      <c r="H296" s="1240"/>
      <c r="I296" s="1240"/>
      <c r="J296" s="1240"/>
      <c r="K296" s="1240"/>
      <c r="L296" s="1240"/>
      <c r="M296" s="1240"/>
      <c r="N296" s="1240"/>
      <c r="O296" s="1240"/>
      <c r="P296" s="1247">
        <f t="shared" si="37"/>
        <v>270</v>
      </c>
      <c r="Q296" s="1253" t="e">
        <f t="shared" ca="1" si="36"/>
        <v>#N/A</v>
      </c>
      <c r="R296" s="1247" t="str">
        <f>IFERROR(VLOOKUP(P296,RPCRepaymentDates[],1,FALSE),"")</f>
        <v/>
      </c>
      <c r="S296" s="1259">
        <f t="shared" si="32"/>
        <v>0</v>
      </c>
      <c r="T296" s="1247" t="str">
        <f>IFERROR(VLOOKUP(P296,RPCChargeCycleDates[],1,FALSE),"")</f>
        <v/>
      </c>
      <c r="U296" s="1248" t="str">
        <f>IFERROR(_xlfn.DAYS(T296,$Q$16)-SUM(U$26:U295),"")</f>
        <v/>
      </c>
      <c r="V296" s="1258">
        <f t="shared" ca="1" si="33"/>
        <v>0</v>
      </c>
      <c r="W296" s="1258">
        <f t="shared" ca="1" si="34"/>
        <v>0</v>
      </c>
      <c r="X296" s="1258" t="e">
        <f t="shared" ca="1" si="35"/>
        <v>#N/A</v>
      </c>
      <c r="Y296" s="1240"/>
      <c r="Z296" s="1240"/>
      <c r="AA296" s="1240"/>
      <c r="AB296" s="1240"/>
      <c r="AC296" s="1254" t="e">
        <f t="shared" si="31"/>
        <v>#NUM!</v>
      </c>
      <c r="AD296" s="1240"/>
      <c r="AE296" s="1240"/>
      <c r="AF296" s="1240"/>
      <c r="AG296" s="1240"/>
      <c r="AH296" s="1240"/>
      <c r="AI296" s="1240"/>
      <c r="AJ296" s="1240"/>
      <c r="AK296" s="1240"/>
      <c r="AL296" s="1240"/>
      <c r="AM296" s="1240"/>
      <c r="AN296" s="1240"/>
      <c r="AO296" s="1240"/>
      <c r="AP296" s="1240"/>
    </row>
    <row r="297" spans="1:42" ht="18.75" customHeight="1" x14ac:dyDescent="0.35">
      <c r="A297" s="1240"/>
      <c r="B297" s="1240"/>
      <c r="C297" s="1240"/>
      <c r="D297" s="1240"/>
      <c r="E297" s="1240"/>
      <c r="F297" s="1240"/>
      <c r="G297" s="1240"/>
      <c r="H297" s="1240"/>
      <c r="I297" s="1240"/>
      <c r="J297" s="1240"/>
      <c r="K297" s="1240"/>
      <c r="L297" s="1240"/>
      <c r="M297" s="1240"/>
      <c r="N297" s="1240"/>
      <c r="O297" s="1240"/>
      <c r="P297" s="1247">
        <f t="shared" si="37"/>
        <v>271</v>
      </c>
      <c r="Q297" s="1253" t="e">
        <f t="shared" ca="1" si="36"/>
        <v>#N/A</v>
      </c>
      <c r="R297" s="1247" t="str">
        <f>IFERROR(VLOOKUP(P297,RPCRepaymentDates[],1,FALSE),"")</f>
        <v/>
      </c>
      <c r="S297" s="1259">
        <f t="shared" si="32"/>
        <v>0</v>
      </c>
      <c r="T297" s="1247" t="str">
        <f>IFERROR(VLOOKUP(P297,RPCChargeCycleDates[],1,FALSE),"")</f>
        <v/>
      </c>
      <c r="U297" s="1248" t="str">
        <f>IFERROR(_xlfn.DAYS(T297,$Q$16)-SUM(U$26:U296),"")</f>
        <v/>
      </c>
      <c r="V297" s="1258">
        <f t="shared" ca="1" si="33"/>
        <v>0</v>
      </c>
      <c r="W297" s="1258">
        <f t="shared" ca="1" si="34"/>
        <v>0</v>
      </c>
      <c r="X297" s="1258" t="e">
        <f t="shared" ca="1" si="35"/>
        <v>#N/A</v>
      </c>
      <c r="Y297" s="1240"/>
      <c r="Z297" s="1240"/>
      <c r="AA297" s="1240"/>
      <c r="AB297" s="1240"/>
      <c r="AC297" s="1254" t="e">
        <f t="shared" si="31"/>
        <v>#NUM!</v>
      </c>
      <c r="AD297" s="1240"/>
      <c r="AE297" s="1240"/>
      <c r="AF297" s="1240"/>
      <c r="AG297" s="1240"/>
      <c r="AH297" s="1240"/>
      <c r="AI297" s="1240"/>
      <c r="AJ297" s="1240"/>
      <c r="AK297" s="1240"/>
      <c r="AL297" s="1240"/>
      <c r="AM297" s="1240"/>
      <c r="AN297" s="1240"/>
      <c r="AO297" s="1240"/>
      <c r="AP297" s="1240"/>
    </row>
    <row r="298" spans="1:42" ht="18.75" customHeight="1" x14ac:dyDescent="0.35">
      <c r="A298" s="1240"/>
      <c r="B298" s="1240"/>
      <c r="C298" s="1240"/>
      <c r="D298" s="1240"/>
      <c r="E298" s="1240"/>
      <c r="F298" s="1240"/>
      <c r="G298" s="1240"/>
      <c r="H298" s="1240"/>
      <c r="I298" s="1240"/>
      <c r="J298" s="1240"/>
      <c r="K298" s="1240"/>
      <c r="L298" s="1240"/>
      <c r="M298" s="1240"/>
      <c r="N298" s="1240"/>
      <c r="O298" s="1240"/>
      <c r="P298" s="1247">
        <f t="shared" si="37"/>
        <v>272</v>
      </c>
      <c r="Q298" s="1253" t="e">
        <f t="shared" ca="1" si="36"/>
        <v>#N/A</v>
      </c>
      <c r="R298" s="1247" t="str">
        <f>IFERROR(VLOOKUP(P298,RPCRepaymentDates[],1,FALSE),"")</f>
        <v/>
      </c>
      <c r="S298" s="1259">
        <f t="shared" si="32"/>
        <v>0</v>
      </c>
      <c r="T298" s="1247">
        <f>IFERROR(VLOOKUP(P298,RPCChargeCycleDates[],1,FALSE),"")</f>
        <v>272</v>
      </c>
      <c r="U298" s="1248">
        <f>IFERROR(_xlfn.DAYS(T298,$Q$16)-SUM(U$26:U297),"")</f>
        <v>31</v>
      </c>
      <c r="V298" s="1258">
        <f t="shared" ca="1" si="33"/>
        <v>0</v>
      </c>
      <c r="W298" s="1258">
        <f t="shared" ca="1" si="34"/>
        <v>0</v>
      </c>
      <c r="X298" s="1258" t="e">
        <f t="shared" ca="1" si="35"/>
        <v>#N/A</v>
      </c>
      <c r="Y298" s="1240"/>
      <c r="Z298" s="1240"/>
      <c r="AA298" s="1240"/>
      <c r="AB298" s="1240"/>
      <c r="AC298" s="1254" t="e">
        <f t="shared" si="31"/>
        <v>#NUM!</v>
      </c>
      <c r="AD298" s="1240"/>
      <c r="AE298" s="1240"/>
      <c r="AF298" s="1240"/>
      <c r="AG298" s="1240"/>
      <c r="AH298" s="1240"/>
      <c r="AI298" s="1240"/>
      <c r="AJ298" s="1240"/>
      <c r="AK298" s="1240"/>
      <c r="AL298" s="1240"/>
      <c r="AM298" s="1240"/>
      <c r="AN298" s="1240"/>
      <c r="AO298" s="1240"/>
      <c r="AP298" s="1240"/>
    </row>
    <row r="299" spans="1:42" ht="18.75" customHeight="1" x14ac:dyDescent="0.35">
      <c r="A299" s="1240"/>
      <c r="B299" s="1240"/>
      <c r="C299" s="1240"/>
      <c r="D299" s="1240"/>
      <c r="E299" s="1240"/>
      <c r="F299" s="1240"/>
      <c r="G299" s="1240"/>
      <c r="H299" s="1240"/>
      <c r="I299" s="1240"/>
      <c r="J299" s="1240"/>
      <c r="K299" s="1240"/>
      <c r="L299" s="1240"/>
      <c r="M299" s="1240"/>
      <c r="N299" s="1240"/>
      <c r="O299" s="1240"/>
      <c r="P299" s="1247">
        <f t="shared" si="37"/>
        <v>273</v>
      </c>
      <c r="Q299" s="1253" t="e">
        <f t="shared" ca="1" si="36"/>
        <v>#N/A</v>
      </c>
      <c r="R299" s="1247" t="str">
        <f>IFERROR(VLOOKUP(P299,RPCRepaymentDates[],1,FALSE),"")</f>
        <v/>
      </c>
      <c r="S299" s="1259">
        <f t="shared" si="32"/>
        <v>0</v>
      </c>
      <c r="T299" s="1247" t="str">
        <f>IFERROR(VLOOKUP(P299,RPCChargeCycleDates[],1,FALSE),"")</f>
        <v/>
      </c>
      <c r="U299" s="1248" t="str">
        <f>IFERROR(_xlfn.DAYS(T299,$Q$16)-SUM(U$26:U298),"")</f>
        <v/>
      </c>
      <c r="V299" s="1258">
        <f t="shared" ca="1" si="33"/>
        <v>0</v>
      </c>
      <c r="W299" s="1258">
        <f t="shared" ca="1" si="34"/>
        <v>0</v>
      </c>
      <c r="X299" s="1258" t="e">
        <f t="shared" ca="1" si="35"/>
        <v>#N/A</v>
      </c>
      <c r="Y299" s="1240"/>
      <c r="Z299" s="1240"/>
      <c r="AA299" s="1240"/>
      <c r="AB299" s="1240"/>
      <c r="AC299" s="1254" t="e">
        <f t="shared" si="31"/>
        <v>#NUM!</v>
      </c>
      <c r="AD299" s="1240"/>
      <c r="AE299" s="1240"/>
      <c r="AF299" s="1240"/>
      <c r="AG299" s="1240"/>
      <c r="AH299" s="1240"/>
      <c r="AI299" s="1240"/>
      <c r="AJ299" s="1240"/>
      <c r="AK299" s="1240"/>
      <c r="AL299" s="1240"/>
      <c r="AM299" s="1240"/>
      <c r="AN299" s="1240"/>
      <c r="AO299" s="1240"/>
      <c r="AP299" s="1240"/>
    </row>
    <row r="300" spans="1:42" ht="18.75" customHeight="1" x14ac:dyDescent="0.35">
      <c r="A300" s="1240"/>
      <c r="B300" s="1240"/>
      <c r="C300" s="1240"/>
      <c r="D300" s="1240"/>
      <c r="E300" s="1240"/>
      <c r="F300" s="1240"/>
      <c r="G300" s="1240"/>
      <c r="H300" s="1240"/>
      <c r="I300" s="1240"/>
      <c r="J300" s="1240"/>
      <c r="K300" s="1240"/>
      <c r="L300" s="1240"/>
      <c r="M300" s="1240"/>
      <c r="N300" s="1240"/>
      <c r="O300" s="1240"/>
      <c r="P300" s="1247">
        <f t="shared" si="37"/>
        <v>274</v>
      </c>
      <c r="Q300" s="1253" t="e">
        <f t="shared" ca="1" si="36"/>
        <v>#N/A</v>
      </c>
      <c r="R300" s="1247" t="str">
        <f>IFERROR(VLOOKUP(P300,RPCRepaymentDates[],1,FALSE),"")</f>
        <v/>
      </c>
      <c r="S300" s="1259">
        <f t="shared" si="32"/>
        <v>0</v>
      </c>
      <c r="T300" s="1247" t="str">
        <f>IFERROR(VLOOKUP(P300,RPCChargeCycleDates[],1,FALSE),"")</f>
        <v/>
      </c>
      <c r="U300" s="1248" t="str">
        <f>IFERROR(_xlfn.DAYS(T300,$Q$16)-SUM(U$26:U299),"")</f>
        <v/>
      </c>
      <c r="V300" s="1258">
        <f t="shared" ca="1" si="33"/>
        <v>0</v>
      </c>
      <c r="W300" s="1258">
        <f t="shared" ca="1" si="34"/>
        <v>0</v>
      </c>
      <c r="X300" s="1258" t="e">
        <f t="shared" ca="1" si="35"/>
        <v>#N/A</v>
      </c>
      <c r="Y300" s="1240"/>
      <c r="Z300" s="1240"/>
      <c r="AA300" s="1240"/>
      <c r="AB300" s="1240"/>
      <c r="AC300" s="1254" t="e">
        <f t="shared" si="31"/>
        <v>#NUM!</v>
      </c>
      <c r="AD300" s="1240"/>
      <c r="AE300" s="1240"/>
      <c r="AF300" s="1240"/>
      <c r="AG300" s="1240"/>
      <c r="AH300" s="1240"/>
      <c r="AI300" s="1240"/>
      <c r="AJ300" s="1240"/>
      <c r="AK300" s="1240"/>
      <c r="AL300" s="1240"/>
      <c r="AM300" s="1240"/>
      <c r="AN300" s="1240"/>
      <c r="AO300" s="1240"/>
      <c r="AP300" s="1240"/>
    </row>
    <row r="301" spans="1:42" ht="18.75" customHeight="1" x14ac:dyDescent="0.35">
      <c r="A301" s="1240"/>
      <c r="B301" s="1240"/>
      <c r="C301" s="1240"/>
      <c r="D301" s="1240"/>
      <c r="E301" s="1240"/>
      <c r="F301" s="1240"/>
      <c r="G301" s="1240"/>
      <c r="H301" s="1240"/>
      <c r="I301" s="1240"/>
      <c r="J301" s="1240"/>
      <c r="K301" s="1240"/>
      <c r="L301" s="1240"/>
      <c r="M301" s="1240"/>
      <c r="N301" s="1240"/>
      <c r="O301" s="1240"/>
      <c r="P301" s="1247">
        <f t="shared" si="37"/>
        <v>275</v>
      </c>
      <c r="Q301" s="1253" t="e">
        <f t="shared" ca="1" si="36"/>
        <v>#N/A</v>
      </c>
      <c r="R301" s="1247" t="str">
        <f>IFERROR(VLOOKUP(P301,RPCRepaymentDates[],1,FALSE),"")</f>
        <v/>
      </c>
      <c r="S301" s="1259">
        <f t="shared" si="32"/>
        <v>0</v>
      </c>
      <c r="T301" s="1247" t="str">
        <f>IFERROR(VLOOKUP(P301,RPCChargeCycleDates[],1,FALSE),"")</f>
        <v/>
      </c>
      <c r="U301" s="1248" t="str">
        <f>IFERROR(_xlfn.DAYS(T301,$Q$16)-SUM(U$26:U300),"")</f>
        <v/>
      </c>
      <c r="V301" s="1258">
        <f t="shared" ca="1" si="33"/>
        <v>0</v>
      </c>
      <c r="W301" s="1258">
        <f t="shared" ca="1" si="34"/>
        <v>0</v>
      </c>
      <c r="X301" s="1258" t="e">
        <f t="shared" ca="1" si="35"/>
        <v>#N/A</v>
      </c>
      <c r="Y301" s="1240"/>
      <c r="Z301" s="1240"/>
      <c r="AA301" s="1240"/>
      <c r="AB301" s="1240"/>
      <c r="AC301" s="1254" t="e">
        <f t="shared" si="31"/>
        <v>#NUM!</v>
      </c>
      <c r="AD301" s="1240"/>
      <c r="AE301" s="1240"/>
      <c r="AF301" s="1240"/>
      <c r="AG301" s="1240"/>
      <c r="AH301" s="1240"/>
      <c r="AI301" s="1240"/>
      <c r="AJ301" s="1240"/>
      <c r="AK301" s="1240"/>
      <c r="AL301" s="1240"/>
      <c r="AM301" s="1240"/>
      <c r="AN301" s="1240"/>
      <c r="AO301" s="1240"/>
      <c r="AP301" s="1240"/>
    </row>
    <row r="302" spans="1:42" ht="18.75" customHeight="1" x14ac:dyDescent="0.35">
      <c r="A302" s="1240"/>
      <c r="B302" s="1240"/>
      <c r="C302" s="1240"/>
      <c r="D302" s="1240"/>
      <c r="E302" s="1240"/>
      <c r="F302" s="1240"/>
      <c r="G302" s="1240"/>
      <c r="H302" s="1240"/>
      <c r="I302" s="1240"/>
      <c r="J302" s="1240"/>
      <c r="K302" s="1240"/>
      <c r="L302" s="1240"/>
      <c r="M302" s="1240"/>
      <c r="N302" s="1240"/>
      <c r="O302" s="1240"/>
      <c r="P302" s="1247">
        <f t="shared" si="37"/>
        <v>276</v>
      </c>
      <c r="Q302" s="1253" t="e">
        <f t="shared" ca="1" si="36"/>
        <v>#N/A</v>
      </c>
      <c r="R302" s="1247" t="str">
        <f>IFERROR(VLOOKUP(P302,RPCRepaymentDates[],1,FALSE),"")</f>
        <v/>
      </c>
      <c r="S302" s="1259">
        <f t="shared" si="32"/>
        <v>0</v>
      </c>
      <c r="T302" s="1247" t="str">
        <f>IFERROR(VLOOKUP(P302,RPCChargeCycleDates[],1,FALSE),"")</f>
        <v/>
      </c>
      <c r="U302" s="1248" t="str">
        <f>IFERROR(_xlfn.DAYS(T302,$Q$16)-SUM(U$26:U301),"")</f>
        <v/>
      </c>
      <c r="V302" s="1258">
        <f t="shared" ca="1" si="33"/>
        <v>0</v>
      </c>
      <c r="W302" s="1258">
        <f t="shared" ca="1" si="34"/>
        <v>0</v>
      </c>
      <c r="X302" s="1258" t="e">
        <f t="shared" ca="1" si="35"/>
        <v>#N/A</v>
      </c>
      <c r="Y302" s="1240"/>
      <c r="Z302" s="1240"/>
      <c r="AA302" s="1240"/>
      <c r="AB302" s="1240"/>
      <c r="AC302" s="1254" t="e">
        <f t="shared" si="31"/>
        <v>#NUM!</v>
      </c>
      <c r="AD302" s="1240"/>
      <c r="AE302" s="1240"/>
      <c r="AF302" s="1240"/>
      <c r="AG302" s="1240"/>
      <c r="AH302" s="1240"/>
      <c r="AI302" s="1240"/>
      <c r="AJ302" s="1240"/>
      <c r="AK302" s="1240"/>
      <c r="AL302" s="1240"/>
      <c r="AM302" s="1240"/>
      <c r="AN302" s="1240"/>
      <c r="AO302" s="1240"/>
      <c r="AP302" s="1240"/>
    </row>
    <row r="303" spans="1:42" ht="18.75" customHeight="1" x14ac:dyDescent="0.35">
      <c r="A303" s="1240"/>
      <c r="B303" s="1240"/>
      <c r="C303" s="1240"/>
      <c r="D303" s="1240"/>
      <c r="E303" s="1240"/>
      <c r="F303" s="1240"/>
      <c r="G303" s="1240"/>
      <c r="H303" s="1240"/>
      <c r="I303" s="1240"/>
      <c r="J303" s="1240"/>
      <c r="K303" s="1240"/>
      <c r="L303" s="1240"/>
      <c r="M303" s="1240"/>
      <c r="N303" s="1240"/>
      <c r="O303" s="1240"/>
      <c r="P303" s="1247">
        <f t="shared" si="37"/>
        <v>277</v>
      </c>
      <c r="Q303" s="1253" t="e">
        <f t="shared" ca="1" si="36"/>
        <v>#N/A</v>
      </c>
      <c r="R303" s="1247" t="str">
        <f>IFERROR(VLOOKUP(P303,RPCRepaymentDates[],1,FALSE),"")</f>
        <v/>
      </c>
      <c r="S303" s="1259">
        <f t="shared" si="32"/>
        <v>0</v>
      </c>
      <c r="T303" s="1247" t="str">
        <f>IFERROR(VLOOKUP(P303,RPCChargeCycleDates[],1,FALSE),"")</f>
        <v/>
      </c>
      <c r="U303" s="1248" t="str">
        <f>IFERROR(_xlfn.DAYS(T303,$Q$16)-SUM(U$26:U302),"")</f>
        <v/>
      </c>
      <c r="V303" s="1258">
        <f t="shared" ca="1" si="33"/>
        <v>0</v>
      </c>
      <c r="W303" s="1258">
        <f t="shared" ca="1" si="34"/>
        <v>0</v>
      </c>
      <c r="X303" s="1258" t="e">
        <f t="shared" ca="1" si="35"/>
        <v>#N/A</v>
      </c>
      <c r="Y303" s="1240"/>
      <c r="Z303" s="1240"/>
      <c r="AA303" s="1240"/>
      <c r="AB303" s="1240"/>
      <c r="AC303" s="1254" t="e">
        <f t="shared" si="31"/>
        <v>#NUM!</v>
      </c>
      <c r="AD303" s="1240"/>
      <c r="AE303" s="1240"/>
      <c r="AF303" s="1240"/>
      <c r="AG303" s="1240"/>
      <c r="AH303" s="1240"/>
      <c r="AI303" s="1240"/>
      <c r="AJ303" s="1240"/>
      <c r="AK303" s="1240"/>
      <c r="AL303" s="1240"/>
      <c r="AM303" s="1240"/>
      <c r="AN303" s="1240"/>
      <c r="AO303" s="1240"/>
      <c r="AP303" s="1240"/>
    </row>
    <row r="304" spans="1:42" ht="18.75" customHeight="1" x14ac:dyDescent="0.35">
      <c r="A304" s="1240"/>
      <c r="B304" s="1240"/>
      <c r="C304" s="1240"/>
      <c r="D304" s="1240"/>
      <c r="E304" s="1240"/>
      <c r="F304" s="1240"/>
      <c r="G304" s="1240"/>
      <c r="H304" s="1240"/>
      <c r="I304" s="1240"/>
      <c r="J304" s="1240"/>
      <c r="K304" s="1240"/>
      <c r="L304" s="1240"/>
      <c r="M304" s="1240"/>
      <c r="N304" s="1240"/>
      <c r="O304" s="1240"/>
      <c r="P304" s="1247">
        <f t="shared" si="37"/>
        <v>278</v>
      </c>
      <c r="Q304" s="1253" t="e">
        <f t="shared" ca="1" si="36"/>
        <v>#N/A</v>
      </c>
      <c r="R304" s="1247" t="str">
        <f>IFERROR(VLOOKUP(P304,RPCRepaymentDates[],1,FALSE),"")</f>
        <v/>
      </c>
      <c r="S304" s="1259">
        <f t="shared" si="32"/>
        <v>0</v>
      </c>
      <c r="T304" s="1247" t="str">
        <f>IFERROR(VLOOKUP(P304,RPCChargeCycleDates[],1,FALSE),"")</f>
        <v/>
      </c>
      <c r="U304" s="1248" t="str">
        <f>IFERROR(_xlfn.DAYS(T304,$Q$16)-SUM(U$26:U303),"")</f>
        <v/>
      </c>
      <c r="V304" s="1258">
        <f t="shared" ca="1" si="33"/>
        <v>0</v>
      </c>
      <c r="W304" s="1258">
        <f t="shared" ca="1" si="34"/>
        <v>0</v>
      </c>
      <c r="X304" s="1258" t="e">
        <f t="shared" ca="1" si="35"/>
        <v>#N/A</v>
      </c>
      <c r="Y304" s="1240"/>
      <c r="Z304" s="1240"/>
      <c r="AA304" s="1240"/>
      <c r="AB304" s="1240"/>
      <c r="AC304" s="1254" t="e">
        <f t="shared" si="31"/>
        <v>#NUM!</v>
      </c>
      <c r="AD304" s="1240"/>
      <c r="AE304" s="1240"/>
      <c r="AF304" s="1240"/>
      <c r="AG304" s="1240"/>
      <c r="AH304" s="1240"/>
      <c r="AI304" s="1240"/>
      <c r="AJ304" s="1240"/>
      <c r="AK304" s="1240"/>
      <c r="AL304" s="1240"/>
      <c r="AM304" s="1240"/>
      <c r="AN304" s="1240"/>
      <c r="AO304" s="1240"/>
      <c r="AP304" s="1240"/>
    </row>
    <row r="305" spans="1:42" ht="18.75" customHeight="1" x14ac:dyDescent="0.35">
      <c r="A305" s="1240"/>
      <c r="B305" s="1240"/>
      <c r="C305" s="1240"/>
      <c r="D305" s="1240"/>
      <c r="E305" s="1240"/>
      <c r="F305" s="1240"/>
      <c r="G305" s="1240"/>
      <c r="H305" s="1240"/>
      <c r="I305" s="1240"/>
      <c r="J305" s="1240"/>
      <c r="K305" s="1240"/>
      <c r="L305" s="1240"/>
      <c r="M305" s="1240"/>
      <c r="N305" s="1240"/>
      <c r="O305" s="1240"/>
      <c r="P305" s="1247">
        <f t="shared" si="37"/>
        <v>279</v>
      </c>
      <c r="Q305" s="1253" t="e">
        <f t="shared" ca="1" si="36"/>
        <v>#N/A</v>
      </c>
      <c r="R305" s="1247" t="str">
        <f>IFERROR(VLOOKUP(P305,RPCRepaymentDates[],1,FALSE),"")</f>
        <v/>
      </c>
      <c r="S305" s="1259">
        <f t="shared" si="32"/>
        <v>0</v>
      </c>
      <c r="T305" s="1247" t="str">
        <f>IFERROR(VLOOKUP(P305,RPCChargeCycleDates[],1,FALSE),"")</f>
        <v/>
      </c>
      <c r="U305" s="1248" t="str">
        <f>IFERROR(_xlfn.DAYS(T305,$Q$16)-SUM(U$26:U304),"")</f>
        <v/>
      </c>
      <c r="V305" s="1258">
        <f t="shared" ca="1" si="33"/>
        <v>0</v>
      </c>
      <c r="W305" s="1258">
        <f t="shared" ca="1" si="34"/>
        <v>0</v>
      </c>
      <c r="X305" s="1258" t="e">
        <f t="shared" ca="1" si="35"/>
        <v>#N/A</v>
      </c>
      <c r="Y305" s="1240"/>
      <c r="Z305" s="1240"/>
      <c r="AA305" s="1240"/>
      <c r="AB305" s="1240"/>
      <c r="AC305" s="1254" t="e">
        <f t="shared" si="31"/>
        <v>#NUM!</v>
      </c>
      <c r="AD305" s="1240"/>
      <c r="AE305" s="1240"/>
      <c r="AF305" s="1240"/>
      <c r="AG305" s="1240"/>
      <c r="AH305" s="1240"/>
      <c r="AI305" s="1240"/>
      <c r="AJ305" s="1240"/>
      <c r="AK305" s="1240"/>
      <c r="AL305" s="1240"/>
      <c r="AM305" s="1240"/>
      <c r="AN305" s="1240"/>
      <c r="AO305" s="1240"/>
      <c r="AP305" s="1240"/>
    </row>
    <row r="306" spans="1:42" ht="18.75" customHeight="1" x14ac:dyDescent="0.35">
      <c r="A306" s="1240"/>
      <c r="B306" s="1240"/>
      <c r="C306" s="1240"/>
      <c r="D306" s="1240"/>
      <c r="E306" s="1240"/>
      <c r="F306" s="1240"/>
      <c r="G306" s="1240"/>
      <c r="H306" s="1240"/>
      <c r="I306" s="1240"/>
      <c r="J306" s="1240"/>
      <c r="K306" s="1240"/>
      <c r="L306" s="1240"/>
      <c r="M306" s="1240"/>
      <c r="N306" s="1240"/>
      <c r="O306" s="1240"/>
      <c r="P306" s="1247">
        <f t="shared" si="37"/>
        <v>280</v>
      </c>
      <c r="Q306" s="1253" t="e">
        <f t="shared" ca="1" si="36"/>
        <v>#N/A</v>
      </c>
      <c r="R306" s="1247" t="str">
        <f>IFERROR(VLOOKUP(P306,RPCRepaymentDates[],1,FALSE),"")</f>
        <v/>
      </c>
      <c r="S306" s="1259">
        <f t="shared" si="32"/>
        <v>0</v>
      </c>
      <c r="T306" s="1247" t="str">
        <f>IFERROR(VLOOKUP(P306,RPCChargeCycleDates[],1,FALSE),"")</f>
        <v/>
      </c>
      <c r="U306" s="1248" t="str">
        <f>IFERROR(_xlfn.DAYS(T306,$Q$16)-SUM(U$26:U305),"")</f>
        <v/>
      </c>
      <c r="V306" s="1258">
        <f t="shared" ca="1" si="33"/>
        <v>0</v>
      </c>
      <c r="W306" s="1258">
        <f t="shared" ca="1" si="34"/>
        <v>0</v>
      </c>
      <c r="X306" s="1258" t="e">
        <f t="shared" ca="1" si="35"/>
        <v>#N/A</v>
      </c>
      <c r="Y306" s="1240"/>
      <c r="Z306" s="1240"/>
      <c r="AA306" s="1240"/>
      <c r="AB306" s="1240"/>
      <c r="AC306" s="1254" t="e">
        <f t="shared" si="31"/>
        <v>#NUM!</v>
      </c>
      <c r="AD306" s="1240"/>
      <c r="AE306" s="1240"/>
      <c r="AF306" s="1240"/>
      <c r="AG306" s="1240"/>
      <c r="AH306" s="1240"/>
      <c r="AI306" s="1240"/>
      <c r="AJ306" s="1240"/>
      <c r="AK306" s="1240"/>
      <c r="AL306" s="1240"/>
      <c r="AM306" s="1240"/>
      <c r="AN306" s="1240"/>
      <c r="AO306" s="1240"/>
      <c r="AP306" s="1240"/>
    </row>
    <row r="307" spans="1:42" ht="18.75" customHeight="1" x14ac:dyDescent="0.35">
      <c r="A307" s="1240"/>
      <c r="B307" s="1240"/>
      <c r="C307" s="1240"/>
      <c r="D307" s="1240"/>
      <c r="E307" s="1240"/>
      <c r="F307" s="1240"/>
      <c r="G307" s="1240"/>
      <c r="H307" s="1240"/>
      <c r="I307" s="1240"/>
      <c r="J307" s="1240"/>
      <c r="K307" s="1240"/>
      <c r="L307" s="1240"/>
      <c r="M307" s="1240"/>
      <c r="N307" s="1240"/>
      <c r="O307" s="1240"/>
      <c r="P307" s="1247">
        <f t="shared" si="37"/>
        <v>281</v>
      </c>
      <c r="Q307" s="1253" t="e">
        <f t="shared" ca="1" si="36"/>
        <v>#N/A</v>
      </c>
      <c r="R307" s="1247" t="str">
        <f>IFERROR(VLOOKUP(P307,RPCRepaymentDates[],1,FALSE),"")</f>
        <v/>
      </c>
      <c r="S307" s="1259">
        <f t="shared" si="32"/>
        <v>0</v>
      </c>
      <c r="T307" s="1247" t="str">
        <f>IFERROR(VLOOKUP(P307,RPCChargeCycleDates[],1,FALSE),"")</f>
        <v/>
      </c>
      <c r="U307" s="1248" t="str">
        <f>IFERROR(_xlfn.DAYS(T307,$Q$16)-SUM(U$26:U306),"")</f>
        <v/>
      </c>
      <c r="V307" s="1258">
        <f t="shared" ca="1" si="33"/>
        <v>0</v>
      </c>
      <c r="W307" s="1258">
        <f t="shared" ca="1" si="34"/>
        <v>0</v>
      </c>
      <c r="X307" s="1258" t="e">
        <f t="shared" ca="1" si="35"/>
        <v>#N/A</v>
      </c>
      <c r="Y307" s="1240"/>
      <c r="Z307" s="1240"/>
      <c r="AA307" s="1240"/>
      <c r="AB307" s="1240"/>
      <c r="AC307" s="1254" t="e">
        <f t="shared" si="31"/>
        <v>#NUM!</v>
      </c>
      <c r="AD307" s="1240"/>
      <c r="AE307" s="1240"/>
      <c r="AF307" s="1240"/>
      <c r="AG307" s="1240"/>
      <c r="AH307" s="1240"/>
      <c r="AI307" s="1240"/>
      <c r="AJ307" s="1240"/>
      <c r="AK307" s="1240"/>
      <c r="AL307" s="1240"/>
      <c r="AM307" s="1240"/>
      <c r="AN307" s="1240"/>
      <c r="AO307" s="1240"/>
      <c r="AP307" s="1240"/>
    </row>
    <row r="308" spans="1:42" ht="18.75" customHeight="1" x14ac:dyDescent="0.35">
      <c r="A308" s="1240"/>
      <c r="B308" s="1240"/>
      <c r="C308" s="1240"/>
      <c r="D308" s="1240"/>
      <c r="E308" s="1240"/>
      <c r="F308" s="1240"/>
      <c r="G308" s="1240"/>
      <c r="H308" s="1240"/>
      <c r="I308" s="1240"/>
      <c r="J308" s="1240"/>
      <c r="K308" s="1240"/>
      <c r="L308" s="1240"/>
      <c r="M308" s="1240"/>
      <c r="N308" s="1240"/>
      <c r="O308" s="1240"/>
      <c r="P308" s="1247">
        <f t="shared" si="37"/>
        <v>282</v>
      </c>
      <c r="Q308" s="1253" t="e">
        <f t="shared" ca="1" si="36"/>
        <v>#N/A</v>
      </c>
      <c r="R308" s="1247" t="str">
        <f>IFERROR(VLOOKUP(P308,RPCRepaymentDates[],1,FALSE),"")</f>
        <v/>
      </c>
      <c r="S308" s="1259">
        <f t="shared" si="32"/>
        <v>0</v>
      </c>
      <c r="T308" s="1247" t="str">
        <f>IFERROR(VLOOKUP(P308,RPCChargeCycleDates[],1,FALSE),"")</f>
        <v/>
      </c>
      <c r="U308" s="1248" t="str">
        <f>IFERROR(_xlfn.DAYS(T308,$Q$16)-SUM(U$26:U307),"")</f>
        <v/>
      </c>
      <c r="V308" s="1258">
        <f t="shared" ca="1" si="33"/>
        <v>0</v>
      </c>
      <c r="W308" s="1258">
        <f t="shared" ca="1" si="34"/>
        <v>0</v>
      </c>
      <c r="X308" s="1258" t="e">
        <f t="shared" ca="1" si="35"/>
        <v>#N/A</v>
      </c>
      <c r="Y308" s="1240"/>
      <c r="Z308" s="1240"/>
      <c r="AA308" s="1240"/>
      <c r="AB308" s="1240"/>
      <c r="AC308" s="1254" t="e">
        <f t="shared" si="31"/>
        <v>#NUM!</v>
      </c>
      <c r="AD308" s="1240"/>
      <c r="AE308" s="1240"/>
      <c r="AF308" s="1240"/>
      <c r="AG308" s="1240"/>
      <c r="AH308" s="1240"/>
      <c r="AI308" s="1240"/>
      <c r="AJ308" s="1240"/>
      <c r="AK308" s="1240"/>
      <c r="AL308" s="1240"/>
      <c r="AM308" s="1240"/>
      <c r="AN308" s="1240"/>
      <c r="AO308" s="1240"/>
      <c r="AP308" s="1240"/>
    </row>
    <row r="309" spans="1:42" ht="18.75" customHeight="1" x14ac:dyDescent="0.35">
      <c r="A309" s="1240"/>
      <c r="B309" s="1240"/>
      <c r="C309" s="1240"/>
      <c r="D309" s="1240"/>
      <c r="E309" s="1240"/>
      <c r="F309" s="1240"/>
      <c r="G309" s="1240"/>
      <c r="H309" s="1240"/>
      <c r="I309" s="1240"/>
      <c r="J309" s="1240"/>
      <c r="K309" s="1240"/>
      <c r="L309" s="1240"/>
      <c r="M309" s="1240"/>
      <c r="N309" s="1240"/>
      <c r="O309" s="1240"/>
      <c r="P309" s="1247">
        <f t="shared" si="37"/>
        <v>283</v>
      </c>
      <c r="Q309" s="1253" t="e">
        <f t="shared" ca="1" si="36"/>
        <v>#N/A</v>
      </c>
      <c r="R309" s="1247" t="str">
        <f>IFERROR(VLOOKUP(P309,RPCRepaymentDates[],1,FALSE),"")</f>
        <v/>
      </c>
      <c r="S309" s="1259">
        <f t="shared" si="32"/>
        <v>0</v>
      </c>
      <c r="T309" s="1247" t="str">
        <f>IFERROR(VLOOKUP(P309,RPCChargeCycleDates[],1,FALSE),"")</f>
        <v/>
      </c>
      <c r="U309" s="1248" t="str">
        <f>IFERROR(_xlfn.DAYS(T309,$Q$16)-SUM(U$26:U308),"")</f>
        <v/>
      </c>
      <c r="V309" s="1258">
        <f t="shared" ca="1" si="33"/>
        <v>0</v>
      </c>
      <c r="W309" s="1258">
        <f t="shared" ca="1" si="34"/>
        <v>0</v>
      </c>
      <c r="X309" s="1258" t="e">
        <f t="shared" ca="1" si="35"/>
        <v>#N/A</v>
      </c>
      <c r="Y309" s="1240"/>
      <c r="Z309" s="1240"/>
      <c r="AA309" s="1240"/>
      <c r="AB309" s="1240"/>
      <c r="AC309" s="1254" t="e">
        <f t="shared" si="31"/>
        <v>#NUM!</v>
      </c>
      <c r="AD309" s="1240"/>
      <c r="AE309" s="1240"/>
      <c r="AF309" s="1240"/>
      <c r="AG309" s="1240"/>
      <c r="AH309" s="1240"/>
      <c r="AI309" s="1240"/>
      <c r="AJ309" s="1240"/>
      <c r="AK309" s="1240"/>
      <c r="AL309" s="1240"/>
      <c r="AM309" s="1240"/>
      <c r="AN309" s="1240"/>
      <c r="AO309" s="1240"/>
      <c r="AP309" s="1240"/>
    </row>
    <row r="310" spans="1:42" ht="18.75" customHeight="1" x14ac:dyDescent="0.35">
      <c r="A310" s="1240"/>
      <c r="B310" s="1240"/>
      <c r="C310" s="1240"/>
      <c r="D310" s="1240"/>
      <c r="E310" s="1240"/>
      <c r="F310" s="1240"/>
      <c r="G310" s="1240"/>
      <c r="H310" s="1240"/>
      <c r="I310" s="1240"/>
      <c r="J310" s="1240"/>
      <c r="K310" s="1240"/>
      <c r="L310" s="1240"/>
      <c r="M310" s="1240"/>
      <c r="N310" s="1240"/>
      <c r="O310" s="1240"/>
      <c r="P310" s="1247">
        <f t="shared" si="37"/>
        <v>284</v>
      </c>
      <c r="Q310" s="1253" t="e">
        <f t="shared" ca="1" si="36"/>
        <v>#N/A</v>
      </c>
      <c r="R310" s="1247" t="str">
        <f>IFERROR(VLOOKUP(P310,RPCRepaymentDates[],1,FALSE),"")</f>
        <v/>
      </c>
      <c r="S310" s="1259">
        <f t="shared" si="32"/>
        <v>0</v>
      </c>
      <c r="T310" s="1247" t="str">
        <f>IFERROR(VLOOKUP(P310,RPCChargeCycleDates[],1,FALSE),"")</f>
        <v/>
      </c>
      <c r="U310" s="1248" t="str">
        <f>IFERROR(_xlfn.DAYS(T310,$Q$16)-SUM(U$26:U309),"")</f>
        <v/>
      </c>
      <c r="V310" s="1258">
        <f t="shared" ca="1" si="33"/>
        <v>0</v>
      </c>
      <c r="W310" s="1258">
        <f t="shared" ca="1" si="34"/>
        <v>0</v>
      </c>
      <c r="X310" s="1258" t="e">
        <f t="shared" ca="1" si="35"/>
        <v>#N/A</v>
      </c>
      <c r="Y310" s="1240"/>
      <c r="Z310" s="1240"/>
      <c r="AA310" s="1240"/>
      <c r="AB310" s="1240"/>
      <c r="AC310" s="1254" t="e">
        <f t="shared" si="31"/>
        <v>#NUM!</v>
      </c>
      <c r="AD310" s="1240"/>
      <c r="AE310" s="1240"/>
      <c r="AF310" s="1240"/>
      <c r="AG310" s="1240"/>
      <c r="AH310" s="1240"/>
      <c r="AI310" s="1240"/>
      <c r="AJ310" s="1240"/>
      <c r="AK310" s="1240"/>
      <c r="AL310" s="1240"/>
      <c r="AM310" s="1240"/>
      <c r="AN310" s="1240"/>
      <c r="AO310" s="1240"/>
      <c r="AP310" s="1240"/>
    </row>
    <row r="311" spans="1:42" ht="18.75" customHeight="1" x14ac:dyDescent="0.35">
      <c r="A311" s="1240"/>
      <c r="B311" s="1240"/>
      <c r="C311" s="1240"/>
      <c r="D311" s="1240"/>
      <c r="E311" s="1240"/>
      <c r="F311" s="1240"/>
      <c r="G311" s="1240"/>
      <c r="H311" s="1240"/>
      <c r="I311" s="1240"/>
      <c r="J311" s="1240"/>
      <c r="K311" s="1240"/>
      <c r="L311" s="1240"/>
      <c r="M311" s="1240"/>
      <c r="N311" s="1240"/>
      <c r="O311" s="1240"/>
      <c r="P311" s="1247">
        <f t="shared" si="37"/>
        <v>285</v>
      </c>
      <c r="Q311" s="1253" t="e">
        <f t="shared" ca="1" si="36"/>
        <v>#N/A</v>
      </c>
      <c r="R311" s="1247" t="str">
        <f>IFERROR(VLOOKUP(P311,RPCRepaymentDates[],1,FALSE),"")</f>
        <v/>
      </c>
      <c r="S311" s="1259">
        <f t="shared" si="32"/>
        <v>0</v>
      </c>
      <c r="T311" s="1247" t="str">
        <f>IFERROR(VLOOKUP(P311,RPCChargeCycleDates[],1,FALSE),"")</f>
        <v/>
      </c>
      <c r="U311" s="1248" t="str">
        <f>IFERROR(_xlfn.DAYS(T311,$Q$16)-SUM(U$26:U310),"")</f>
        <v/>
      </c>
      <c r="V311" s="1258">
        <f t="shared" ca="1" si="33"/>
        <v>0</v>
      </c>
      <c r="W311" s="1258">
        <f t="shared" ca="1" si="34"/>
        <v>0</v>
      </c>
      <c r="X311" s="1258" t="e">
        <f t="shared" ca="1" si="35"/>
        <v>#N/A</v>
      </c>
      <c r="Y311" s="1240"/>
      <c r="Z311" s="1240"/>
      <c r="AA311" s="1240"/>
      <c r="AB311" s="1240"/>
      <c r="AC311" s="1254" t="e">
        <f t="shared" si="31"/>
        <v>#NUM!</v>
      </c>
      <c r="AD311" s="1240"/>
      <c r="AE311" s="1240"/>
      <c r="AF311" s="1240"/>
      <c r="AG311" s="1240"/>
      <c r="AH311" s="1240"/>
      <c r="AI311" s="1240"/>
      <c r="AJ311" s="1240"/>
      <c r="AK311" s="1240"/>
      <c r="AL311" s="1240"/>
      <c r="AM311" s="1240"/>
      <c r="AN311" s="1240"/>
      <c r="AO311" s="1240"/>
      <c r="AP311" s="1240"/>
    </row>
    <row r="312" spans="1:42" ht="18.75" customHeight="1" x14ac:dyDescent="0.35">
      <c r="A312" s="1240"/>
      <c r="B312" s="1240"/>
      <c r="C312" s="1240"/>
      <c r="D312" s="1240"/>
      <c r="E312" s="1240"/>
      <c r="F312" s="1240"/>
      <c r="G312" s="1240"/>
      <c r="H312" s="1240"/>
      <c r="I312" s="1240"/>
      <c r="J312" s="1240"/>
      <c r="K312" s="1240"/>
      <c r="L312" s="1240"/>
      <c r="M312" s="1240"/>
      <c r="N312" s="1240"/>
      <c r="O312" s="1240"/>
      <c r="P312" s="1247">
        <f t="shared" si="37"/>
        <v>286</v>
      </c>
      <c r="Q312" s="1253" t="e">
        <f t="shared" ca="1" si="36"/>
        <v>#N/A</v>
      </c>
      <c r="R312" s="1247" t="str">
        <f>IFERROR(VLOOKUP(P312,RPCRepaymentDates[],1,FALSE),"")</f>
        <v/>
      </c>
      <c r="S312" s="1259">
        <f t="shared" si="32"/>
        <v>0</v>
      </c>
      <c r="T312" s="1247" t="str">
        <f>IFERROR(VLOOKUP(P312,RPCChargeCycleDates[],1,FALSE),"")</f>
        <v/>
      </c>
      <c r="U312" s="1248" t="str">
        <f>IFERROR(_xlfn.DAYS(T312,$Q$16)-SUM(U$26:U311),"")</f>
        <v/>
      </c>
      <c r="V312" s="1258">
        <f t="shared" ca="1" si="33"/>
        <v>0</v>
      </c>
      <c r="W312" s="1258">
        <f t="shared" ca="1" si="34"/>
        <v>0</v>
      </c>
      <c r="X312" s="1258" t="e">
        <f t="shared" ca="1" si="35"/>
        <v>#N/A</v>
      </c>
      <c r="Y312" s="1240"/>
      <c r="Z312" s="1240"/>
      <c r="AA312" s="1240"/>
      <c r="AB312" s="1240"/>
      <c r="AC312" s="1254" t="e">
        <f t="shared" si="31"/>
        <v>#NUM!</v>
      </c>
      <c r="AD312" s="1240"/>
      <c r="AE312" s="1240"/>
      <c r="AF312" s="1240"/>
      <c r="AG312" s="1240"/>
      <c r="AH312" s="1240"/>
      <c r="AI312" s="1240"/>
      <c r="AJ312" s="1240"/>
      <c r="AK312" s="1240"/>
      <c r="AL312" s="1240"/>
      <c r="AM312" s="1240"/>
      <c r="AN312" s="1240"/>
      <c r="AO312" s="1240"/>
      <c r="AP312" s="1240"/>
    </row>
    <row r="313" spans="1:42" ht="18.75" customHeight="1" x14ac:dyDescent="0.35">
      <c r="A313" s="1240"/>
      <c r="B313" s="1240"/>
      <c r="C313" s="1240"/>
      <c r="D313" s="1240"/>
      <c r="E313" s="1240"/>
      <c r="F313" s="1240"/>
      <c r="G313" s="1240"/>
      <c r="H313" s="1240"/>
      <c r="I313" s="1240"/>
      <c r="J313" s="1240"/>
      <c r="K313" s="1240"/>
      <c r="L313" s="1240"/>
      <c r="M313" s="1240"/>
      <c r="N313" s="1240"/>
      <c r="O313" s="1240"/>
      <c r="P313" s="1247">
        <f t="shared" si="37"/>
        <v>287</v>
      </c>
      <c r="Q313" s="1253" t="e">
        <f t="shared" ca="1" si="36"/>
        <v>#N/A</v>
      </c>
      <c r="R313" s="1247" t="str">
        <f>IFERROR(VLOOKUP(P313,RPCRepaymentDates[],1,FALSE),"")</f>
        <v/>
      </c>
      <c r="S313" s="1259">
        <f t="shared" si="32"/>
        <v>0</v>
      </c>
      <c r="T313" s="1247" t="str">
        <f>IFERROR(VLOOKUP(P313,RPCChargeCycleDates[],1,FALSE),"")</f>
        <v/>
      </c>
      <c r="U313" s="1248" t="str">
        <f>IFERROR(_xlfn.DAYS(T313,$Q$16)-SUM(U$26:U312),"")</f>
        <v/>
      </c>
      <c r="V313" s="1258">
        <f t="shared" ca="1" si="33"/>
        <v>0</v>
      </c>
      <c r="W313" s="1258">
        <f t="shared" ca="1" si="34"/>
        <v>0</v>
      </c>
      <c r="X313" s="1258" t="e">
        <f t="shared" ca="1" si="35"/>
        <v>#N/A</v>
      </c>
      <c r="Y313" s="1240"/>
      <c r="Z313" s="1240"/>
      <c r="AA313" s="1240"/>
      <c r="AB313" s="1240"/>
      <c r="AC313" s="1254" t="e">
        <f t="shared" si="31"/>
        <v>#NUM!</v>
      </c>
      <c r="AD313" s="1240"/>
      <c r="AE313" s="1240"/>
      <c r="AF313" s="1240"/>
      <c r="AG313" s="1240"/>
      <c r="AH313" s="1240"/>
      <c r="AI313" s="1240"/>
      <c r="AJ313" s="1240"/>
      <c r="AK313" s="1240"/>
      <c r="AL313" s="1240"/>
      <c r="AM313" s="1240"/>
      <c r="AN313" s="1240"/>
      <c r="AO313" s="1240"/>
      <c r="AP313" s="1240"/>
    </row>
    <row r="314" spans="1:42" ht="18.75" customHeight="1" x14ac:dyDescent="0.35">
      <c r="A314" s="1240"/>
      <c r="B314" s="1240"/>
      <c r="C314" s="1240"/>
      <c r="D314" s="1240"/>
      <c r="E314" s="1240"/>
      <c r="F314" s="1240"/>
      <c r="G314" s="1240"/>
      <c r="H314" s="1240"/>
      <c r="I314" s="1240"/>
      <c r="J314" s="1240"/>
      <c r="K314" s="1240"/>
      <c r="L314" s="1240"/>
      <c r="M314" s="1240"/>
      <c r="N314" s="1240"/>
      <c r="O314" s="1240"/>
      <c r="P314" s="1247">
        <f t="shared" si="37"/>
        <v>288</v>
      </c>
      <c r="Q314" s="1253" t="e">
        <f t="shared" ca="1" si="36"/>
        <v>#N/A</v>
      </c>
      <c r="R314" s="1247" t="str">
        <f>IFERROR(VLOOKUP(P314,RPCRepaymentDates[],1,FALSE),"")</f>
        <v/>
      </c>
      <c r="S314" s="1259">
        <f t="shared" si="32"/>
        <v>0</v>
      </c>
      <c r="T314" s="1247" t="str">
        <f>IFERROR(VLOOKUP(P314,RPCChargeCycleDates[],1,FALSE),"")</f>
        <v/>
      </c>
      <c r="U314" s="1248" t="str">
        <f>IFERROR(_xlfn.DAYS(T314,$Q$16)-SUM(U$26:U313),"")</f>
        <v/>
      </c>
      <c r="V314" s="1258">
        <f t="shared" ca="1" si="33"/>
        <v>0</v>
      </c>
      <c r="W314" s="1258">
        <f t="shared" ca="1" si="34"/>
        <v>0</v>
      </c>
      <c r="X314" s="1258" t="e">
        <f t="shared" ca="1" si="35"/>
        <v>#N/A</v>
      </c>
      <c r="Y314" s="1240"/>
      <c r="Z314" s="1240"/>
      <c r="AA314" s="1240"/>
      <c r="AB314" s="1240"/>
      <c r="AC314" s="1254" t="e">
        <f t="shared" si="31"/>
        <v>#NUM!</v>
      </c>
      <c r="AD314" s="1240"/>
      <c r="AE314" s="1240"/>
      <c r="AF314" s="1240"/>
      <c r="AG314" s="1240"/>
      <c r="AH314" s="1240"/>
      <c r="AI314" s="1240"/>
      <c r="AJ314" s="1240"/>
      <c r="AK314" s="1240"/>
      <c r="AL314" s="1240"/>
      <c r="AM314" s="1240"/>
      <c r="AN314" s="1240"/>
      <c r="AO314" s="1240"/>
      <c r="AP314" s="1240"/>
    </row>
    <row r="315" spans="1:42" ht="18.75" customHeight="1" x14ac:dyDescent="0.35">
      <c r="A315" s="1240"/>
      <c r="B315" s="1240"/>
      <c r="C315" s="1240"/>
      <c r="D315" s="1240"/>
      <c r="E315" s="1240"/>
      <c r="F315" s="1240"/>
      <c r="G315" s="1240"/>
      <c r="H315" s="1240"/>
      <c r="I315" s="1240"/>
      <c r="J315" s="1240"/>
      <c r="K315" s="1240"/>
      <c r="L315" s="1240"/>
      <c r="M315" s="1240"/>
      <c r="N315" s="1240"/>
      <c r="O315" s="1240"/>
      <c r="P315" s="1247">
        <f t="shared" si="37"/>
        <v>289</v>
      </c>
      <c r="Q315" s="1253" t="e">
        <f t="shared" ca="1" si="36"/>
        <v>#N/A</v>
      </c>
      <c r="R315" s="1247" t="str">
        <f>IFERROR(VLOOKUP(P315,RPCRepaymentDates[],1,FALSE),"")</f>
        <v/>
      </c>
      <c r="S315" s="1259">
        <f t="shared" si="32"/>
        <v>0</v>
      </c>
      <c r="T315" s="1247" t="str">
        <f>IFERROR(VLOOKUP(P315,RPCChargeCycleDates[],1,FALSE),"")</f>
        <v/>
      </c>
      <c r="U315" s="1248" t="str">
        <f>IFERROR(_xlfn.DAYS(T315,$Q$16)-SUM(U$26:U314),"")</f>
        <v/>
      </c>
      <c r="V315" s="1258">
        <f t="shared" ca="1" si="33"/>
        <v>0</v>
      </c>
      <c r="W315" s="1258">
        <f t="shared" ca="1" si="34"/>
        <v>0</v>
      </c>
      <c r="X315" s="1258" t="e">
        <f t="shared" ca="1" si="35"/>
        <v>#N/A</v>
      </c>
      <c r="Y315" s="1240"/>
      <c r="Z315" s="1240"/>
      <c r="AA315" s="1240"/>
      <c r="AB315" s="1240"/>
      <c r="AC315" s="1254" t="e">
        <f t="shared" si="31"/>
        <v>#NUM!</v>
      </c>
      <c r="AD315" s="1240"/>
      <c r="AE315" s="1240"/>
      <c r="AF315" s="1240"/>
      <c r="AG315" s="1240"/>
      <c r="AH315" s="1240"/>
      <c r="AI315" s="1240"/>
      <c r="AJ315" s="1240"/>
      <c r="AK315" s="1240"/>
      <c r="AL315" s="1240"/>
      <c r="AM315" s="1240"/>
      <c r="AN315" s="1240"/>
      <c r="AO315" s="1240"/>
      <c r="AP315" s="1240"/>
    </row>
    <row r="316" spans="1:42" ht="18.75" customHeight="1" x14ac:dyDescent="0.35">
      <c r="A316" s="1240"/>
      <c r="B316" s="1240"/>
      <c r="C316" s="1240"/>
      <c r="D316" s="1240"/>
      <c r="E316" s="1240"/>
      <c r="F316" s="1240"/>
      <c r="G316" s="1240"/>
      <c r="H316" s="1240"/>
      <c r="I316" s="1240"/>
      <c r="J316" s="1240"/>
      <c r="K316" s="1240"/>
      <c r="L316" s="1240"/>
      <c r="M316" s="1240"/>
      <c r="N316" s="1240"/>
      <c r="O316" s="1240"/>
      <c r="P316" s="1247">
        <f t="shared" si="37"/>
        <v>290</v>
      </c>
      <c r="Q316" s="1253" t="e">
        <f t="shared" ca="1" si="36"/>
        <v>#N/A</v>
      </c>
      <c r="R316" s="1247" t="str">
        <f>IFERROR(VLOOKUP(P316,RPCRepaymentDates[],1,FALSE),"")</f>
        <v/>
      </c>
      <c r="S316" s="1259">
        <f t="shared" si="32"/>
        <v>0</v>
      </c>
      <c r="T316" s="1247" t="str">
        <f>IFERROR(VLOOKUP(P316,RPCChargeCycleDates[],1,FALSE),"")</f>
        <v/>
      </c>
      <c r="U316" s="1248" t="str">
        <f>IFERROR(_xlfn.DAYS(T316,$Q$16)-SUM(U$26:U315),"")</f>
        <v/>
      </c>
      <c r="V316" s="1258">
        <f t="shared" ca="1" si="33"/>
        <v>0</v>
      </c>
      <c r="W316" s="1258">
        <f t="shared" ca="1" si="34"/>
        <v>0</v>
      </c>
      <c r="X316" s="1258" t="e">
        <f t="shared" ca="1" si="35"/>
        <v>#N/A</v>
      </c>
      <c r="Y316" s="1240"/>
      <c r="Z316" s="1240"/>
      <c r="AA316" s="1240"/>
      <c r="AB316" s="1240"/>
      <c r="AC316" s="1254" t="e">
        <f t="shared" si="31"/>
        <v>#NUM!</v>
      </c>
      <c r="AD316" s="1240"/>
      <c r="AE316" s="1240"/>
      <c r="AF316" s="1240"/>
      <c r="AG316" s="1240"/>
      <c r="AH316" s="1240"/>
      <c r="AI316" s="1240"/>
      <c r="AJ316" s="1240"/>
      <c r="AK316" s="1240"/>
      <c r="AL316" s="1240"/>
      <c r="AM316" s="1240"/>
      <c r="AN316" s="1240"/>
      <c r="AO316" s="1240"/>
      <c r="AP316" s="1240"/>
    </row>
    <row r="317" spans="1:42" ht="18.75" customHeight="1" x14ac:dyDescent="0.35">
      <c r="A317" s="1240"/>
      <c r="B317" s="1240"/>
      <c r="C317" s="1240"/>
      <c r="D317" s="1240"/>
      <c r="E317" s="1240"/>
      <c r="F317" s="1240"/>
      <c r="G317" s="1240"/>
      <c r="H317" s="1240"/>
      <c r="I317" s="1240"/>
      <c r="J317" s="1240"/>
      <c r="K317" s="1240"/>
      <c r="L317" s="1240"/>
      <c r="M317" s="1240"/>
      <c r="N317" s="1240"/>
      <c r="O317" s="1240"/>
      <c r="P317" s="1247">
        <f t="shared" si="37"/>
        <v>291</v>
      </c>
      <c r="Q317" s="1253" t="e">
        <f t="shared" ca="1" si="36"/>
        <v>#N/A</v>
      </c>
      <c r="R317" s="1247" t="str">
        <f>IFERROR(VLOOKUP(P317,RPCRepaymentDates[],1,FALSE),"")</f>
        <v/>
      </c>
      <c r="S317" s="1259">
        <f t="shared" si="32"/>
        <v>0</v>
      </c>
      <c r="T317" s="1247" t="str">
        <f>IFERROR(VLOOKUP(P317,RPCChargeCycleDates[],1,FALSE),"")</f>
        <v/>
      </c>
      <c r="U317" s="1248" t="str">
        <f>IFERROR(_xlfn.DAYS(T317,$Q$16)-SUM(U$26:U316),"")</f>
        <v/>
      </c>
      <c r="V317" s="1258">
        <f t="shared" ca="1" si="33"/>
        <v>0</v>
      </c>
      <c r="W317" s="1258">
        <f t="shared" ca="1" si="34"/>
        <v>0</v>
      </c>
      <c r="X317" s="1258" t="e">
        <f t="shared" ca="1" si="35"/>
        <v>#N/A</v>
      </c>
      <c r="Y317" s="1240"/>
      <c r="Z317" s="1240"/>
      <c r="AA317" s="1240"/>
      <c r="AB317" s="1240"/>
      <c r="AC317" s="1254" t="e">
        <f t="shared" si="31"/>
        <v>#NUM!</v>
      </c>
      <c r="AD317" s="1240"/>
      <c r="AE317" s="1240"/>
      <c r="AF317" s="1240"/>
      <c r="AG317" s="1240"/>
      <c r="AH317" s="1240"/>
      <c r="AI317" s="1240"/>
      <c r="AJ317" s="1240"/>
      <c r="AK317" s="1240"/>
      <c r="AL317" s="1240"/>
      <c r="AM317" s="1240"/>
      <c r="AN317" s="1240"/>
      <c r="AO317" s="1240"/>
      <c r="AP317" s="1240"/>
    </row>
    <row r="318" spans="1:42" ht="18.75" customHeight="1" x14ac:dyDescent="0.35">
      <c r="A318" s="1240"/>
      <c r="B318" s="1240"/>
      <c r="C318" s="1240"/>
      <c r="D318" s="1240"/>
      <c r="E318" s="1240"/>
      <c r="F318" s="1240"/>
      <c r="G318" s="1240"/>
      <c r="H318" s="1240"/>
      <c r="I318" s="1240"/>
      <c r="J318" s="1240"/>
      <c r="K318" s="1240"/>
      <c r="L318" s="1240"/>
      <c r="M318" s="1240"/>
      <c r="N318" s="1240"/>
      <c r="O318" s="1240"/>
      <c r="P318" s="1247">
        <f t="shared" si="37"/>
        <v>292</v>
      </c>
      <c r="Q318" s="1253" t="e">
        <f t="shared" ca="1" si="36"/>
        <v>#N/A</v>
      </c>
      <c r="R318" s="1247" t="str">
        <f>IFERROR(VLOOKUP(P318,RPCRepaymentDates[],1,FALSE),"")</f>
        <v/>
      </c>
      <c r="S318" s="1259">
        <f t="shared" si="32"/>
        <v>0</v>
      </c>
      <c r="T318" s="1247" t="str">
        <f>IFERROR(VLOOKUP(P318,RPCChargeCycleDates[],1,FALSE),"")</f>
        <v/>
      </c>
      <c r="U318" s="1248" t="str">
        <f>IFERROR(_xlfn.DAYS(T318,$Q$16)-SUM(U$26:U317),"")</f>
        <v/>
      </c>
      <c r="V318" s="1258">
        <f t="shared" ca="1" si="33"/>
        <v>0</v>
      </c>
      <c r="W318" s="1258">
        <f t="shared" ca="1" si="34"/>
        <v>0</v>
      </c>
      <c r="X318" s="1258" t="e">
        <f t="shared" ca="1" si="35"/>
        <v>#N/A</v>
      </c>
      <c r="Y318" s="1240"/>
      <c r="Z318" s="1240"/>
      <c r="AA318" s="1240"/>
      <c r="AB318" s="1240"/>
      <c r="AC318" s="1254" t="e">
        <f t="shared" si="31"/>
        <v>#NUM!</v>
      </c>
      <c r="AD318" s="1240"/>
      <c r="AE318" s="1240"/>
      <c r="AF318" s="1240"/>
      <c r="AG318" s="1240"/>
      <c r="AH318" s="1240"/>
      <c r="AI318" s="1240"/>
      <c r="AJ318" s="1240"/>
      <c r="AK318" s="1240"/>
      <c r="AL318" s="1240"/>
      <c r="AM318" s="1240"/>
      <c r="AN318" s="1240"/>
      <c r="AO318" s="1240"/>
      <c r="AP318" s="1240"/>
    </row>
    <row r="319" spans="1:42" ht="18.75" customHeight="1" x14ac:dyDescent="0.35">
      <c r="A319" s="1240"/>
      <c r="B319" s="1240"/>
      <c r="C319" s="1240"/>
      <c r="D319" s="1240"/>
      <c r="E319" s="1240"/>
      <c r="F319" s="1240"/>
      <c r="G319" s="1240"/>
      <c r="H319" s="1240"/>
      <c r="I319" s="1240"/>
      <c r="J319" s="1240"/>
      <c r="K319" s="1240"/>
      <c r="L319" s="1240"/>
      <c r="M319" s="1240"/>
      <c r="N319" s="1240"/>
      <c r="O319" s="1240"/>
      <c r="P319" s="1247">
        <f t="shared" si="37"/>
        <v>293</v>
      </c>
      <c r="Q319" s="1253" t="e">
        <f t="shared" ca="1" si="36"/>
        <v>#N/A</v>
      </c>
      <c r="R319" s="1247" t="str">
        <f>IFERROR(VLOOKUP(P319,RPCRepaymentDates[],1,FALSE),"")</f>
        <v/>
      </c>
      <c r="S319" s="1259">
        <f t="shared" si="32"/>
        <v>0</v>
      </c>
      <c r="T319" s="1247" t="str">
        <f>IFERROR(VLOOKUP(P319,RPCChargeCycleDates[],1,FALSE),"")</f>
        <v/>
      </c>
      <c r="U319" s="1248" t="str">
        <f>IFERROR(_xlfn.DAYS(T319,$Q$16)-SUM(U$26:U318),"")</f>
        <v/>
      </c>
      <c r="V319" s="1258">
        <f t="shared" ca="1" si="33"/>
        <v>0</v>
      </c>
      <c r="W319" s="1258">
        <f t="shared" ca="1" si="34"/>
        <v>0</v>
      </c>
      <c r="X319" s="1258" t="e">
        <f t="shared" ca="1" si="35"/>
        <v>#N/A</v>
      </c>
      <c r="Y319" s="1240"/>
      <c r="Z319" s="1240"/>
      <c r="AA319" s="1240"/>
      <c r="AB319" s="1240"/>
      <c r="AC319" s="1254" t="e">
        <f t="shared" ref="AC319:AC382" si="38">IF(RPCRepaymentFrequency="Monthly",EDATE(AC318,1),IF(RPCRepaymentFrequency="Fortnightly",AC318+14,AC318+7))</f>
        <v>#NUM!</v>
      </c>
      <c r="AD319" s="1240"/>
      <c r="AE319" s="1240"/>
      <c r="AF319" s="1240"/>
      <c r="AG319" s="1240"/>
      <c r="AH319" s="1240"/>
      <c r="AI319" s="1240"/>
      <c r="AJ319" s="1240"/>
      <c r="AK319" s="1240"/>
      <c r="AL319" s="1240"/>
      <c r="AM319" s="1240"/>
      <c r="AN319" s="1240"/>
      <c r="AO319" s="1240"/>
      <c r="AP319" s="1240"/>
    </row>
    <row r="320" spans="1:42" ht="18.75" customHeight="1" x14ac:dyDescent="0.35">
      <c r="A320" s="1240"/>
      <c r="B320" s="1240"/>
      <c r="C320" s="1240"/>
      <c r="D320" s="1240"/>
      <c r="E320" s="1240"/>
      <c r="F320" s="1240"/>
      <c r="G320" s="1240"/>
      <c r="H320" s="1240"/>
      <c r="I320" s="1240"/>
      <c r="J320" s="1240"/>
      <c r="K320" s="1240"/>
      <c r="L320" s="1240"/>
      <c r="M320" s="1240"/>
      <c r="N320" s="1240"/>
      <c r="O320" s="1240"/>
      <c r="P320" s="1247">
        <f t="shared" si="37"/>
        <v>294</v>
      </c>
      <c r="Q320" s="1253" t="e">
        <f t="shared" ca="1" si="36"/>
        <v>#N/A</v>
      </c>
      <c r="R320" s="1247" t="str">
        <f>IFERROR(VLOOKUP(P320,RPCRepaymentDates[],1,FALSE),"")</f>
        <v/>
      </c>
      <c r="S320" s="1259">
        <f t="shared" si="32"/>
        <v>0</v>
      </c>
      <c r="T320" s="1247" t="str">
        <f>IFERROR(VLOOKUP(P320,RPCChargeCycleDates[],1,FALSE),"")</f>
        <v/>
      </c>
      <c r="U320" s="1248" t="str">
        <f>IFERROR(_xlfn.DAYS(T320,$Q$16)-SUM(U$26:U319),"")</f>
        <v/>
      </c>
      <c r="V320" s="1258">
        <f t="shared" ca="1" si="33"/>
        <v>0</v>
      </c>
      <c r="W320" s="1258">
        <f t="shared" ca="1" si="34"/>
        <v>0</v>
      </c>
      <c r="X320" s="1258" t="e">
        <f t="shared" ca="1" si="35"/>
        <v>#N/A</v>
      </c>
      <c r="Y320" s="1240"/>
      <c r="Z320" s="1240"/>
      <c r="AA320" s="1240"/>
      <c r="AB320" s="1240"/>
      <c r="AC320" s="1254" t="e">
        <f t="shared" si="38"/>
        <v>#NUM!</v>
      </c>
      <c r="AD320" s="1240"/>
      <c r="AE320" s="1240"/>
      <c r="AF320" s="1240"/>
      <c r="AG320" s="1240"/>
      <c r="AH320" s="1240"/>
      <c r="AI320" s="1240"/>
      <c r="AJ320" s="1240"/>
      <c r="AK320" s="1240"/>
      <c r="AL320" s="1240"/>
      <c r="AM320" s="1240"/>
      <c r="AN320" s="1240"/>
      <c r="AO320" s="1240"/>
      <c r="AP320" s="1240"/>
    </row>
    <row r="321" spans="1:42" ht="18.75" customHeight="1" x14ac:dyDescent="0.35">
      <c r="A321" s="1240"/>
      <c r="B321" s="1240"/>
      <c r="C321" s="1240"/>
      <c r="D321" s="1240"/>
      <c r="E321" s="1240"/>
      <c r="F321" s="1240"/>
      <c r="G321" s="1240"/>
      <c r="H321" s="1240"/>
      <c r="I321" s="1240"/>
      <c r="J321" s="1240"/>
      <c r="K321" s="1240"/>
      <c r="L321" s="1240"/>
      <c r="M321" s="1240"/>
      <c r="N321" s="1240"/>
      <c r="O321" s="1240"/>
      <c r="P321" s="1247">
        <f t="shared" si="37"/>
        <v>295</v>
      </c>
      <c r="Q321" s="1253" t="e">
        <f t="shared" ca="1" si="36"/>
        <v>#N/A</v>
      </c>
      <c r="R321" s="1247" t="str">
        <f>IFERROR(VLOOKUP(P321,RPCRepaymentDates[],1,FALSE),"")</f>
        <v/>
      </c>
      <c r="S321" s="1259">
        <f t="shared" si="32"/>
        <v>0</v>
      </c>
      <c r="T321" s="1247" t="str">
        <f>IFERROR(VLOOKUP(P321,RPCChargeCycleDates[],1,FALSE),"")</f>
        <v/>
      </c>
      <c r="U321" s="1248" t="str">
        <f>IFERROR(_xlfn.DAYS(T321,$Q$16)-SUM(U$26:U320),"")</f>
        <v/>
      </c>
      <c r="V321" s="1258">
        <f t="shared" ca="1" si="33"/>
        <v>0</v>
      </c>
      <c r="W321" s="1258">
        <f t="shared" ca="1" si="34"/>
        <v>0</v>
      </c>
      <c r="X321" s="1258" t="e">
        <f t="shared" ca="1" si="35"/>
        <v>#N/A</v>
      </c>
      <c r="Y321" s="1240"/>
      <c r="Z321" s="1240"/>
      <c r="AA321" s="1240"/>
      <c r="AB321" s="1240"/>
      <c r="AC321" s="1254" t="e">
        <f t="shared" si="38"/>
        <v>#NUM!</v>
      </c>
      <c r="AD321" s="1240"/>
      <c r="AE321" s="1240"/>
      <c r="AF321" s="1240"/>
      <c r="AG321" s="1240"/>
      <c r="AH321" s="1240"/>
      <c r="AI321" s="1240"/>
      <c r="AJ321" s="1240"/>
      <c r="AK321" s="1240"/>
      <c r="AL321" s="1240"/>
      <c r="AM321" s="1240"/>
      <c r="AN321" s="1240"/>
      <c r="AO321" s="1240"/>
      <c r="AP321" s="1240"/>
    </row>
    <row r="322" spans="1:42" ht="18.75" customHeight="1" x14ac:dyDescent="0.35">
      <c r="A322" s="1240"/>
      <c r="B322" s="1240"/>
      <c r="C322" s="1240"/>
      <c r="D322" s="1240"/>
      <c r="E322" s="1240"/>
      <c r="F322" s="1240"/>
      <c r="G322" s="1240"/>
      <c r="H322" s="1240"/>
      <c r="I322" s="1240"/>
      <c r="J322" s="1240"/>
      <c r="K322" s="1240"/>
      <c r="L322" s="1240"/>
      <c r="M322" s="1240"/>
      <c r="N322" s="1240"/>
      <c r="O322" s="1240"/>
      <c r="P322" s="1247">
        <f t="shared" si="37"/>
        <v>296</v>
      </c>
      <c r="Q322" s="1253" t="e">
        <f t="shared" ca="1" si="36"/>
        <v>#N/A</v>
      </c>
      <c r="R322" s="1247" t="str">
        <f>IFERROR(VLOOKUP(P322,RPCRepaymentDates[],1,FALSE),"")</f>
        <v/>
      </c>
      <c r="S322" s="1259">
        <f t="shared" si="32"/>
        <v>0</v>
      </c>
      <c r="T322" s="1247" t="str">
        <f>IFERROR(VLOOKUP(P322,RPCChargeCycleDates[],1,FALSE),"")</f>
        <v/>
      </c>
      <c r="U322" s="1248" t="str">
        <f>IFERROR(_xlfn.DAYS(T322,$Q$16)-SUM(U$26:U321),"")</f>
        <v/>
      </c>
      <c r="V322" s="1258">
        <f t="shared" ca="1" si="33"/>
        <v>0</v>
      </c>
      <c r="W322" s="1258">
        <f t="shared" ca="1" si="34"/>
        <v>0</v>
      </c>
      <c r="X322" s="1258" t="e">
        <f t="shared" ca="1" si="35"/>
        <v>#N/A</v>
      </c>
      <c r="Y322" s="1240"/>
      <c r="Z322" s="1240"/>
      <c r="AA322" s="1240"/>
      <c r="AB322" s="1240"/>
      <c r="AC322" s="1254" t="e">
        <f t="shared" si="38"/>
        <v>#NUM!</v>
      </c>
      <c r="AD322" s="1240"/>
      <c r="AE322" s="1240"/>
      <c r="AF322" s="1240"/>
      <c r="AG322" s="1240"/>
      <c r="AH322" s="1240"/>
      <c r="AI322" s="1240"/>
      <c r="AJ322" s="1240"/>
      <c r="AK322" s="1240"/>
      <c r="AL322" s="1240"/>
      <c r="AM322" s="1240"/>
      <c r="AN322" s="1240"/>
      <c r="AO322" s="1240"/>
      <c r="AP322" s="1240"/>
    </row>
    <row r="323" spans="1:42" ht="18.75" customHeight="1" x14ac:dyDescent="0.35">
      <c r="A323" s="1240"/>
      <c r="B323" s="1240"/>
      <c r="C323" s="1240"/>
      <c r="D323" s="1240"/>
      <c r="E323" s="1240"/>
      <c r="F323" s="1240"/>
      <c r="G323" s="1240"/>
      <c r="H323" s="1240"/>
      <c r="I323" s="1240"/>
      <c r="J323" s="1240"/>
      <c r="K323" s="1240"/>
      <c r="L323" s="1240"/>
      <c r="M323" s="1240"/>
      <c r="N323" s="1240"/>
      <c r="O323" s="1240"/>
      <c r="P323" s="1247">
        <f t="shared" si="37"/>
        <v>297</v>
      </c>
      <c r="Q323" s="1253" t="e">
        <f t="shared" ca="1" si="36"/>
        <v>#N/A</v>
      </c>
      <c r="R323" s="1247" t="str">
        <f>IFERROR(VLOOKUP(P323,RPCRepaymentDates[],1,FALSE),"")</f>
        <v/>
      </c>
      <c r="S323" s="1259">
        <f t="shared" si="32"/>
        <v>0</v>
      </c>
      <c r="T323" s="1247" t="str">
        <f>IFERROR(VLOOKUP(P323,RPCChargeCycleDates[],1,FALSE),"")</f>
        <v/>
      </c>
      <c r="U323" s="1248" t="str">
        <f>IFERROR(_xlfn.DAYS(T323,$Q$16)-SUM(U$26:U322),"")</f>
        <v/>
      </c>
      <c r="V323" s="1258">
        <f t="shared" ca="1" si="33"/>
        <v>0</v>
      </c>
      <c r="W323" s="1258">
        <f t="shared" ca="1" si="34"/>
        <v>0</v>
      </c>
      <c r="X323" s="1258" t="e">
        <f t="shared" ca="1" si="35"/>
        <v>#N/A</v>
      </c>
      <c r="Y323" s="1240"/>
      <c r="Z323" s="1240"/>
      <c r="AA323" s="1240"/>
      <c r="AB323" s="1240"/>
      <c r="AC323" s="1254" t="e">
        <f t="shared" si="38"/>
        <v>#NUM!</v>
      </c>
      <c r="AD323" s="1240"/>
      <c r="AE323" s="1240"/>
      <c r="AF323" s="1240"/>
      <c r="AG323" s="1240"/>
      <c r="AH323" s="1240"/>
      <c r="AI323" s="1240"/>
      <c r="AJ323" s="1240"/>
      <c r="AK323" s="1240"/>
      <c r="AL323" s="1240"/>
      <c r="AM323" s="1240"/>
      <c r="AN323" s="1240"/>
      <c r="AO323" s="1240"/>
      <c r="AP323" s="1240"/>
    </row>
    <row r="324" spans="1:42" ht="18.75" customHeight="1" x14ac:dyDescent="0.35">
      <c r="A324" s="1240"/>
      <c r="B324" s="1240"/>
      <c r="C324" s="1240"/>
      <c r="D324" s="1240"/>
      <c r="E324" s="1240"/>
      <c r="F324" s="1240"/>
      <c r="G324" s="1240"/>
      <c r="H324" s="1240"/>
      <c r="I324" s="1240"/>
      <c r="J324" s="1240"/>
      <c r="K324" s="1240"/>
      <c r="L324" s="1240"/>
      <c r="M324" s="1240"/>
      <c r="N324" s="1240"/>
      <c r="O324" s="1240"/>
      <c r="P324" s="1247">
        <f t="shared" si="37"/>
        <v>298</v>
      </c>
      <c r="Q324" s="1253" t="e">
        <f t="shared" ca="1" si="36"/>
        <v>#N/A</v>
      </c>
      <c r="R324" s="1247" t="str">
        <f>IFERROR(VLOOKUP(P324,RPCRepaymentDates[],1,FALSE),"")</f>
        <v/>
      </c>
      <c r="S324" s="1259">
        <f t="shared" si="32"/>
        <v>0</v>
      </c>
      <c r="T324" s="1247" t="str">
        <f>IFERROR(VLOOKUP(P324,RPCChargeCycleDates[],1,FALSE),"")</f>
        <v/>
      </c>
      <c r="U324" s="1248" t="str">
        <f>IFERROR(_xlfn.DAYS(T324,$Q$16)-SUM(U$26:U323),"")</f>
        <v/>
      </c>
      <c r="V324" s="1258">
        <f t="shared" ca="1" si="33"/>
        <v>0</v>
      </c>
      <c r="W324" s="1258">
        <f t="shared" ca="1" si="34"/>
        <v>0</v>
      </c>
      <c r="X324" s="1258" t="e">
        <f t="shared" ca="1" si="35"/>
        <v>#N/A</v>
      </c>
      <c r="Y324" s="1240"/>
      <c r="Z324" s="1240"/>
      <c r="AA324" s="1240"/>
      <c r="AB324" s="1240"/>
      <c r="AC324" s="1254" t="e">
        <f t="shared" si="38"/>
        <v>#NUM!</v>
      </c>
      <c r="AD324" s="1240"/>
      <c r="AE324" s="1240"/>
      <c r="AF324" s="1240"/>
      <c r="AG324" s="1240"/>
      <c r="AH324" s="1240"/>
      <c r="AI324" s="1240"/>
      <c r="AJ324" s="1240"/>
      <c r="AK324" s="1240"/>
      <c r="AL324" s="1240"/>
      <c r="AM324" s="1240"/>
      <c r="AN324" s="1240"/>
      <c r="AO324" s="1240"/>
      <c r="AP324" s="1240"/>
    </row>
    <row r="325" spans="1:42" ht="18.75" customHeight="1" x14ac:dyDescent="0.35">
      <c r="A325" s="1240"/>
      <c r="B325" s="1240"/>
      <c r="C325" s="1240"/>
      <c r="D325" s="1240"/>
      <c r="E325" s="1240"/>
      <c r="F325" s="1240"/>
      <c r="G325" s="1240"/>
      <c r="H325" s="1240"/>
      <c r="I325" s="1240"/>
      <c r="J325" s="1240"/>
      <c r="K325" s="1240"/>
      <c r="L325" s="1240"/>
      <c r="M325" s="1240"/>
      <c r="N325" s="1240"/>
      <c r="O325" s="1240"/>
      <c r="P325" s="1247">
        <f t="shared" si="37"/>
        <v>299</v>
      </c>
      <c r="Q325" s="1253" t="e">
        <f t="shared" ca="1" si="36"/>
        <v>#N/A</v>
      </c>
      <c r="R325" s="1247" t="str">
        <f>IFERROR(VLOOKUP(P325,RPCRepaymentDates[],1,FALSE),"")</f>
        <v/>
      </c>
      <c r="S325" s="1259">
        <f t="shared" si="32"/>
        <v>0</v>
      </c>
      <c r="T325" s="1247" t="str">
        <f>IFERROR(VLOOKUP(P325,RPCChargeCycleDates[],1,FALSE),"")</f>
        <v/>
      </c>
      <c r="U325" s="1248" t="str">
        <f>IFERROR(_xlfn.DAYS(T325,$Q$16)-SUM(U$26:U324),"")</f>
        <v/>
      </c>
      <c r="V325" s="1258">
        <f t="shared" ca="1" si="33"/>
        <v>0</v>
      </c>
      <c r="W325" s="1258">
        <f t="shared" ca="1" si="34"/>
        <v>0</v>
      </c>
      <c r="X325" s="1258" t="e">
        <f t="shared" ca="1" si="35"/>
        <v>#N/A</v>
      </c>
      <c r="Y325" s="1240"/>
      <c r="Z325" s="1240"/>
      <c r="AA325" s="1240"/>
      <c r="AB325" s="1240"/>
      <c r="AC325" s="1254" t="e">
        <f t="shared" si="38"/>
        <v>#NUM!</v>
      </c>
      <c r="AD325" s="1240"/>
      <c r="AE325" s="1240"/>
      <c r="AF325" s="1240"/>
      <c r="AG325" s="1240"/>
      <c r="AH325" s="1240"/>
      <c r="AI325" s="1240"/>
      <c r="AJ325" s="1240"/>
      <c r="AK325" s="1240"/>
      <c r="AL325" s="1240"/>
      <c r="AM325" s="1240"/>
      <c r="AN325" s="1240"/>
      <c r="AO325" s="1240"/>
      <c r="AP325" s="1240"/>
    </row>
    <row r="326" spans="1:42" ht="18.75" customHeight="1" x14ac:dyDescent="0.35">
      <c r="A326" s="1240"/>
      <c r="B326" s="1240"/>
      <c r="C326" s="1240"/>
      <c r="D326" s="1240"/>
      <c r="E326" s="1240"/>
      <c r="F326" s="1240"/>
      <c r="G326" s="1240"/>
      <c r="H326" s="1240"/>
      <c r="I326" s="1240"/>
      <c r="J326" s="1240"/>
      <c r="K326" s="1240"/>
      <c r="L326" s="1240"/>
      <c r="M326" s="1240"/>
      <c r="N326" s="1240"/>
      <c r="O326" s="1240"/>
      <c r="P326" s="1247">
        <f t="shared" si="37"/>
        <v>300</v>
      </c>
      <c r="Q326" s="1253" t="e">
        <f t="shared" ca="1" si="36"/>
        <v>#N/A</v>
      </c>
      <c r="R326" s="1247" t="str">
        <f>IFERROR(VLOOKUP(P326,RPCRepaymentDates[],1,FALSE),"")</f>
        <v/>
      </c>
      <c r="S326" s="1259">
        <f t="shared" si="32"/>
        <v>0</v>
      </c>
      <c r="T326" s="1247" t="str">
        <f>IFERROR(VLOOKUP(P326,RPCChargeCycleDates[],1,FALSE),"")</f>
        <v/>
      </c>
      <c r="U326" s="1248" t="str">
        <f>IFERROR(_xlfn.DAYS(T326,$Q$16)-SUM(U$26:U325),"")</f>
        <v/>
      </c>
      <c r="V326" s="1258">
        <f t="shared" ca="1" si="33"/>
        <v>0</v>
      </c>
      <c r="W326" s="1258">
        <f t="shared" ca="1" si="34"/>
        <v>0</v>
      </c>
      <c r="X326" s="1258" t="e">
        <f t="shared" ca="1" si="35"/>
        <v>#N/A</v>
      </c>
      <c r="Y326" s="1240"/>
      <c r="Z326" s="1240"/>
      <c r="AA326" s="1240"/>
      <c r="AB326" s="1240"/>
      <c r="AC326" s="1254" t="e">
        <f t="shared" si="38"/>
        <v>#NUM!</v>
      </c>
      <c r="AD326" s="1240"/>
      <c r="AE326" s="1240"/>
      <c r="AF326" s="1240"/>
      <c r="AG326" s="1240"/>
      <c r="AH326" s="1240"/>
      <c r="AI326" s="1240"/>
      <c r="AJ326" s="1240"/>
      <c r="AK326" s="1240"/>
      <c r="AL326" s="1240"/>
      <c r="AM326" s="1240"/>
      <c r="AN326" s="1240"/>
      <c r="AO326" s="1240"/>
      <c r="AP326" s="1240"/>
    </row>
    <row r="327" spans="1:42" ht="18.75" customHeight="1" x14ac:dyDescent="0.35">
      <c r="A327" s="1240"/>
      <c r="B327" s="1240"/>
      <c r="C327" s="1240"/>
      <c r="D327" s="1240"/>
      <c r="E327" s="1240"/>
      <c r="F327" s="1240"/>
      <c r="G327" s="1240"/>
      <c r="H327" s="1240"/>
      <c r="I327" s="1240"/>
      <c r="J327" s="1240"/>
      <c r="K327" s="1240"/>
      <c r="L327" s="1240"/>
      <c r="M327" s="1240"/>
      <c r="N327" s="1240"/>
      <c r="O327" s="1240"/>
      <c r="P327" s="1247">
        <f t="shared" si="37"/>
        <v>301</v>
      </c>
      <c r="Q327" s="1253" t="e">
        <f t="shared" ca="1" si="36"/>
        <v>#N/A</v>
      </c>
      <c r="R327" s="1247" t="str">
        <f>IFERROR(VLOOKUP(P327,RPCRepaymentDates[],1,FALSE),"")</f>
        <v/>
      </c>
      <c r="S327" s="1259">
        <f t="shared" si="32"/>
        <v>0</v>
      </c>
      <c r="T327" s="1247" t="str">
        <f>IFERROR(VLOOKUP(P327,RPCChargeCycleDates[],1,FALSE),"")</f>
        <v/>
      </c>
      <c r="U327" s="1248" t="str">
        <f>IFERROR(_xlfn.DAYS(T327,$Q$16)-SUM(U$26:U326),"")</f>
        <v/>
      </c>
      <c r="V327" s="1258">
        <f t="shared" ca="1" si="33"/>
        <v>0</v>
      </c>
      <c r="W327" s="1258">
        <f t="shared" ca="1" si="34"/>
        <v>0</v>
      </c>
      <c r="X327" s="1258" t="e">
        <f t="shared" ca="1" si="35"/>
        <v>#N/A</v>
      </c>
      <c r="Y327" s="1240"/>
      <c r="Z327" s="1240"/>
      <c r="AA327" s="1240"/>
      <c r="AB327" s="1240"/>
      <c r="AC327" s="1254" t="e">
        <f t="shared" si="38"/>
        <v>#NUM!</v>
      </c>
      <c r="AD327" s="1240"/>
      <c r="AE327" s="1240"/>
      <c r="AF327" s="1240"/>
      <c r="AG327" s="1240"/>
      <c r="AH327" s="1240"/>
      <c r="AI327" s="1240"/>
      <c r="AJ327" s="1240"/>
      <c r="AK327" s="1240"/>
      <c r="AL327" s="1240"/>
      <c r="AM327" s="1240"/>
      <c r="AN327" s="1240"/>
      <c r="AO327" s="1240"/>
      <c r="AP327" s="1240"/>
    </row>
    <row r="328" spans="1:42" ht="18.75" customHeight="1" x14ac:dyDescent="0.35">
      <c r="A328" s="1240"/>
      <c r="B328" s="1240"/>
      <c r="C328" s="1240"/>
      <c r="D328" s="1240"/>
      <c r="E328" s="1240"/>
      <c r="F328" s="1240"/>
      <c r="G328" s="1240"/>
      <c r="H328" s="1240"/>
      <c r="I328" s="1240"/>
      <c r="J328" s="1240"/>
      <c r="K328" s="1240"/>
      <c r="L328" s="1240"/>
      <c r="M328" s="1240"/>
      <c r="N328" s="1240"/>
      <c r="O328" s="1240"/>
      <c r="P328" s="1247">
        <f t="shared" si="37"/>
        <v>302</v>
      </c>
      <c r="Q328" s="1253" t="e">
        <f t="shared" ca="1" si="36"/>
        <v>#N/A</v>
      </c>
      <c r="R328" s="1247" t="str">
        <f>IFERROR(VLOOKUP(P328,RPCRepaymentDates[],1,FALSE),"")</f>
        <v/>
      </c>
      <c r="S328" s="1259">
        <f t="shared" si="32"/>
        <v>0</v>
      </c>
      <c r="T328" s="1247">
        <f>IFERROR(VLOOKUP(P328,RPCChargeCycleDates[],1,FALSE),"")</f>
        <v>302</v>
      </c>
      <c r="U328" s="1248">
        <f>IFERROR(_xlfn.DAYS(T328,$Q$16)-SUM(U$26:U327),"")</f>
        <v>30</v>
      </c>
      <c r="V328" s="1258">
        <f t="shared" ca="1" si="33"/>
        <v>0</v>
      </c>
      <c r="W328" s="1258">
        <f t="shared" ca="1" si="34"/>
        <v>0</v>
      </c>
      <c r="X328" s="1258" t="e">
        <f t="shared" ca="1" si="35"/>
        <v>#N/A</v>
      </c>
      <c r="Y328" s="1240"/>
      <c r="Z328" s="1240"/>
      <c r="AA328" s="1240"/>
      <c r="AB328" s="1240"/>
      <c r="AC328" s="1254" t="e">
        <f t="shared" si="38"/>
        <v>#NUM!</v>
      </c>
      <c r="AD328" s="1240"/>
      <c r="AE328" s="1240"/>
      <c r="AF328" s="1240"/>
      <c r="AG328" s="1240"/>
      <c r="AH328" s="1240"/>
      <c r="AI328" s="1240"/>
      <c r="AJ328" s="1240"/>
      <c r="AK328" s="1240"/>
      <c r="AL328" s="1240"/>
      <c r="AM328" s="1240"/>
      <c r="AN328" s="1240"/>
      <c r="AO328" s="1240"/>
      <c r="AP328" s="1240"/>
    </row>
    <row r="329" spans="1:42" ht="18.75" customHeight="1" x14ac:dyDescent="0.35">
      <c r="A329" s="1240"/>
      <c r="B329" s="1240"/>
      <c r="C329" s="1240"/>
      <c r="D329" s="1240"/>
      <c r="E329" s="1240"/>
      <c r="F329" s="1240"/>
      <c r="G329" s="1240"/>
      <c r="H329" s="1240"/>
      <c r="I329" s="1240"/>
      <c r="J329" s="1240"/>
      <c r="K329" s="1240"/>
      <c r="L329" s="1240"/>
      <c r="M329" s="1240"/>
      <c r="N329" s="1240"/>
      <c r="O329" s="1240"/>
      <c r="P329" s="1247">
        <f t="shared" si="37"/>
        <v>303</v>
      </c>
      <c r="Q329" s="1253" t="e">
        <f t="shared" ca="1" si="36"/>
        <v>#N/A</v>
      </c>
      <c r="R329" s="1247" t="str">
        <f>IFERROR(VLOOKUP(P329,RPCRepaymentDates[],1,FALSE),"")</f>
        <v/>
      </c>
      <c r="S329" s="1259">
        <f t="shared" si="32"/>
        <v>0</v>
      </c>
      <c r="T329" s="1247" t="str">
        <f>IFERROR(VLOOKUP(P329,RPCChargeCycleDates[],1,FALSE),"")</f>
        <v/>
      </c>
      <c r="U329" s="1248" t="str">
        <f>IFERROR(_xlfn.DAYS(T329,$Q$16)-SUM(U$26:U328),"")</f>
        <v/>
      </c>
      <c r="V329" s="1258">
        <f t="shared" ca="1" si="33"/>
        <v>0</v>
      </c>
      <c r="W329" s="1258">
        <f t="shared" ca="1" si="34"/>
        <v>0</v>
      </c>
      <c r="X329" s="1258" t="e">
        <f t="shared" ca="1" si="35"/>
        <v>#N/A</v>
      </c>
      <c r="Y329" s="1240"/>
      <c r="Z329" s="1240"/>
      <c r="AA329" s="1240"/>
      <c r="AB329" s="1240"/>
      <c r="AC329" s="1254" t="e">
        <f t="shared" si="38"/>
        <v>#NUM!</v>
      </c>
      <c r="AD329" s="1240"/>
      <c r="AE329" s="1240"/>
      <c r="AF329" s="1240"/>
      <c r="AG329" s="1240"/>
      <c r="AH329" s="1240"/>
      <c r="AI329" s="1240"/>
      <c r="AJ329" s="1240"/>
      <c r="AK329" s="1240"/>
      <c r="AL329" s="1240"/>
      <c r="AM329" s="1240"/>
      <c r="AN329" s="1240"/>
      <c r="AO329" s="1240"/>
      <c r="AP329" s="1240"/>
    </row>
    <row r="330" spans="1:42" ht="18.75" customHeight="1" x14ac:dyDescent="0.35">
      <c r="A330" s="1240"/>
      <c r="B330" s="1240"/>
      <c r="C330" s="1240"/>
      <c r="D330" s="1240"/>
      <c r="E330" s="1240"/>
      <c r="F330" s="1240"/>
      <c r="G330" s="1240"/>
      <c r="H330" s="1240"/>
      <c r="I330" s="1240"/>
      <c r="J330" s="1240"/>
      <c r="K330" s="1240"/>
      <c r="L330" s="1240"/>
      <c r="M330" s="1240"/>
      <c r="N330" s="1240"/>
      <c r="O330" s="1240"/>
      <c r="P330" s="1247">
        <f t="shared" si="37"/>
        <v>304</v>
      </c>
      <c r="Q330" s="1253" t="e">
        <f t="shared" ca="1" si="36"/>
        <v>#N/A</v>
      </c>
      <c r="R330" s="1247" t="str">
        <f>IFERROR(VLOOKUP(P330,RPCRepaymentDates[],1,FALSE),"")</f>
        <v/>
      </c>
      <c r="S330" s="1259">
        <f t="shared" si="32"/>
        <v>0</v>
      </c>
      <c r="T330" s="1247" t="str">
        <f>IFERROR(VLOOKUP(P330,RPCChargeCycleDates[],1,FALSE),"")</f>
        <v/>
      </c>
      <c r="U330" s="1248" t="str">
        <f>IFERROR(_xlfn.DAYS(T330,$Q$16)-SUM(U$26:U329),"")</f>
        <v/>
      </c>
      <c r="V330" s="1258">
        <f t="shared" ca="1" si="33"/>
        <v>0</v>
      </c>
      <c r="W330" s="1258">
        <f t="shared" ca="1" si="34"/>
        <v>0</v>
      </c>
      <c r="X330" s="1258" t="e">
        <f t="shared" ca="1" si="35"/>
        <v>#N/A</v>
      </c>
      <c r="Y330" s="1240"/>
      <c r="Z330" s="1240"/>
      <c r="AA330" s="1240"/>
      <c r="AB330" s="1240"/>
      <c r="AC330" s="1254" t="e">
        <f t="shared" si="38"/>
        <v>#NUM!</v>
      </c>
      <c r="AD330" s="1240"/>
      <c r="AE330" s="1240"/>
      <c r="AF330" s="1240"/>
      <c r="AG330" s="1240"/>
      <c r="AH330" s="1240"/>
      <c r="AI330" s="1240"/>
      <c r="AJ330" s="1240"/>
      <c r="AK330" s="1240"/>
      <c r="AL330" s="1240"/>
      <c r="AM330" s="1240"/>
      <c r="AN330" s="1240"/>
      <c r="AO330" s="1240"/>
      <c r="AP330" s="1240"/>
    </row>
    <row r="331" spans="1:42" ht="18.75" customHeight="1" x14ac:dyDescent="0.35">
      <c r="A331" s="1240"/>
      <c r="B331" s="1240"/>
      <c r="C331" s="1240"/>
      <c r="D331" s="1240"/>
      <c r="E331" s="1240"/>
      <c r="F331" s="1240"/>
      <c r="G331" s="1240"/>
      <c r="H331" s="1240"/>
      <c r="I331" s="1240"/>
      <c r="J331" s="1240"/>
      <c r="K331" s="1240"/>
      <c r="L331" s="1240"/>
      <c r="M331" s="1240"/>
      <c r="N331" s="1240"/>
      <c r="O331" s="1240"/>
      <c r="P331" s="1247">
        <f t="shared" si="37"/>
        <v>305</v>
      </c>
      <c r="Q331" s="1253" t="e">
        <f t="shared" ca="1" si="36"/>
        <v>#N/A</v>
      </c>
      <c r="R331" s="1247" t="str">
        <f>IFERROR(VLOOKUP(P331,RPCRepaymentDates[],1,FALSE),"")</f>
        <v/>
      </c>
      <c r="S331" s="1259">
        <f t="shared" si="32"/>
        <v>0</v>
      </c>
      <c r="T331" s="1247" t="str">
        <f>IFERROR(VLOOKUP(P331,RPCChargeCycleDates[],1,FALSE),"")</f>
        <v/>
      </c>
      <c r="U331" s="1248" t="str">
        <f>IFERROR(_xlfn.DAYS(T331,$Q$16)-SUM(U$26:U330),"")</f>
        <v/>
      </c>
      <c r="V331" s="1258">
        <f t="shared" ca="1" si="33"/>
        <v>0</v>
      </c>
      <c r="W331" s="1258">
        <f t="shared" ca="1" si="34"/>
        <v>0</v>
      </c>
      <c r="X331" s="1258" t="e">
        <f t="shared" ca="1" si="35"/>
        <v>#N/A</v>
      </c>
      <c r="Y331" s="1240"/>
      <c r="Z331" s="1240"/>
      <c r="AA331" s="1240"/>
      <c r="AB331" s="1240"/>
      <c r="AC331" s="1254" t="e">
        <f t="shared" si="38"/>
        <v>#NUM!</v>
      </c>
      <c r="AD331" s="1240"/>
      <c r="AE331" s="1240"/>
      <c r="AF331" s="1240"/>
      <c r="AG331" s="1240"/>
      <c r="AH331" s="1240"/>
      <c r="AI331" s="1240"/>
      <c r="AJ331" s="1240"/>
      <c r="AK331" s="1240"/>
      <c r="AL331" s="1240"/>
      <c r="AM331" s="1240"/>
      <c r="AN331" s="1240"/>
      <c r="AO331" s="1240"/>
      <c r="AP331" s="1240"/>
    </row>
    <row r="332" spans="1:42" ht="18.75" customHeight="1" x14ac:dyDescent="0.35">
      <c r="A332" s="1240"/>
      <c r="B332" s="1240"/>
      <c r="C332" s="1240"/>
      <c r="D332" s="1240"/>
      <c r="E332" s="1240"/>
      <c r="F332" s="1240"/>
      <c r="G332" s="1240"/>
      <c r="H332" s="1240"/>
      <c r="I332" s="1240"/>
      <c r="J332" s="1240"/>
      <c r="K332" s="1240"/>
      <c r="L332" s="1240"/>
      <c r="M332" s="1240"/>
      <c r="N332" s="1240"/>
      <c r="O332" s="1240"/>
      <c r="P332" s="1247">
        <f t="shared" si="37"/>
        <v>306</v>
      </c>
      <c r="Q332" s="1253" t="e">
        <f t="shared" ca="1" si="36"/>
        <v>#N/A</v>
      </c>
      <c r="R332" s="1247" t="str">
        <f>IFERROR(VLOOKUP(P332,RPCRepaymentDates[],1,FALSE),"")</f>
        <v/>
      </c>
      <c r="S332" s="1259">
        <f t="shared" si="32"/>
        <v>0</v>
      </c>
      <c r="T332" s="1247" t="str">
        <f>IFERROR(VLOOKUP(P332,RPCChargeCycleDates[],1,FALSE),"")</f>
        <v/>
      </c>
      <c r="U332" s="1248" t="str">
        <f>IFERROR(_xlfn.DAYS(T332,$Q$16)-SUM(U$26:U331),"")</f>
        <v/>
      </c>
      <c r="V332" s="1258">
        <f t="shared" ca="1" si="33"/>
        <v>0</v>
      </c>
      <c r="W332" s="1258">
        <f t="shared" ca="1" si="34"/>
        <v>0</v>
      </c>
      <c r="X332" s="1258" t="e">
        <f t="shared" ca="1" si="35"/>
        <v>#N/A</v>
      </c>
      <c r="Y332" s="1240"/>
      <c r="Z332" s="1240"/>
      <c r="AA332" s="1240"/>
      <c r="AB332" s="1240"/>
      <c r="AC332" s="1254" t="e">
        <f t="shared" si="38"/>
        <v>#NUM!</v>
      </c>
      <c r="AD332" s="1240"/>
      <c r="AE332" s="1240"/>
      <c r="AF332" s="1240"/>
      <c r="AG332" s="1240"/>
      <c r="AH332" s="1240"/>
      <c r="AI332" s="1240"/>
      <c r="AJ332" s="1240"/>
      <c r="AK332" s="1240"/>
      <c r="AL332" s="1240"/>
      <c r="AM332" s="1240"/>
      <c r="AN332" s="1240"/>
      <c r="AO332" s="1240"/>
      <c r="AP332" s="1240"/>
    </row>
    <row r="333" spans="1:42" ht="18.75" customHeight="1" x14ac:dyDescent="0.35">
      <c r="A333" s="1240"/>
      <c r="B333" s="1240"/>
      <c r="C333" s="1240"/>
      <c r="D333" s="1240"/>
      <c r="E333" s="1240"/>
      <c r="F333" s="1240"/>
      <c r="G333" s="1240"/>
      <c r="H333" s="1240"/>
      <c r="I333" s="1240"/>
      <c r="J333" s="1240"/>
      <c r="K333" s="1240"/>
      <c r="L333" s="1240"/>
      <c r="M333" s="1240"/>
      <c r="N333" s="1240"/>
      <c r="O333" s="1240"/>
      <c r="P333" s="1247">
        <f t="shared" si="37"/>
        <v>307</v>
      </c>
      <c r="Q333" s="1253" t="e">
        <f t="shared" ca="1" si="36"/>
        <v>#N/A</v>
      </c>
      <c r="R333" s="1247" t="str">
        <f>IFERROR(VLOOKUP(P333,RPCRepaymentDates[],1,FALSE),"")</f>
        <v/>
      </c>
      <c r="S333" s="1259">
        <f t="shared" si="32"/>
        <v>0</v>
      </c>
      <c r="T333" s="1247" t="str">
        <f>IFERROR(VLOOKUP(P333,RPCChargeCycleDates[],1,FALSE),"")</f>
        <v/>
      </c>
      <c r="U333" s="1248" t="str">
        <f>IFERROR(_xlfn.DAYS(T333,$Q$16)-SUM(U$26:U332),"")</f>
        <v/>
      </c>
      <c r="V333" s="1258">
        <f t="shared" ca="1" si="33"/>
        <v>0</v>
      </c>
      <c r="W333" s="1258">
        <f t="shared" ca="1" si="34"/>
        <v>0</v>
      </c>
      <c r="X333" s="1258" t="e">
        <f t="shared" ca="1" si="35"/>
        <v>#N/A</v>
      </c>
      <c r="Y333" s="1240"/>
      <c r="Z333" s="1240"/>
      <c r="AA333" s="1240"/>
      <c r="AB333" s="1240"/>
      <c r="AC333" s="1254" t="e">
        <f t="shared" si="38"/>
        <v>#NUM!</v>
      </c>
      <c r="AD333" s="1240"/>
      <c r="AE333" s="1240"/>
      <c r="AF333" s="1240"/>
      <c r="AG333" s="1240"/>
      <c r="AH333" s="1240"/>
      <c r="AI333" s="1240"/>
      <c r="AJ333" s="1240"/>
      <c r="AK333" s="1240"/>
      <c r="AL333" s="1240"/>
      <c r="AM333" s="1240"/>
      <c r="AN333" s="1240"/>
      <c r="AO333" s="1240"/>
      <c r="AP333" s="1240"/>
    </row>
    <row r="334" spans="1:42" ht="18.75" customHeight="1" x14ac:dyDescent="0.35">
      <c r="A334" s="1240"/>
      <c r="B334" s="1240"/>
      <c r="C334" s="1240"/>
      <c r="D334" s="1240"/>
      <c r="E334" s="1240"/>
      <c r="F334" s="1240"/>
      <c r="G334" s="1240"/>
      <c r="H334" s="1240"/>
      <c r="I334" s="1240"/>
      <c r="J334" s="1240"/>
      <c r="K334" s="1240"/>
      <c r="L334" s="1240"/>
      <c r="M334" s="1240"/>
      <c r="N334" s="1240"/>
      <c r="O334" s="1240"/>
      <c r="P334" s="1247">
        <f t="shared" si="37"/>
        <v>308</v>
      </c>
      <c r="Q334" s="1253" t="e">
        <f t="shared" ca="1" si="36"/>
        <v>#N/A</v>
      </c>
      <c r="R334" s="1247" t="str">
        <f>IFERROR(VLOOKUP(P334,RPCRepaymentDates[],1,FALSE),"")</f>
        <v/>
      </c>
      <c r="S334" s="1259">
        <f t="shared" si="32"/>
        <v>0</v>
      </c>
      <c r="T334" s="1247" t="str">
        <f>IFERROR(VLOOKUP(P334,RPCChargeCycleDates[],1,FALSE),"")</f>
        <v/>
      </c>
      <c r="U334" s="1248" t="str">
        <f>IFERROR(_xlfn.DAYS(T334,$Q$16)-SUM(U$26:U333),"")</f>
        <v/>
      </c>
      <c r="V334" s="1258">
        <f t="shared" ca="1" si="33"/>
        <v>0</v>
      </c>
      <c r="W334" s="1258">
        <f t="shared" ca="1" si="34"/>
        <v>0</v>
      </c>
      <c r="X334" s="1258" t="e">
        <f t="shared" ca="1" si="35"/>
        <v>#N/A</v>
      </c>
      <c r="Y334" s="1240"/>
      <c r="Z334" s="1240"/>
      <c r="AA334" s="1240"/>
      <c r="AB334" s="1240"/>
      <c r="AC334" s="1254" t="e">
        <f t="shared" si="38"/>
        <v>#NUM!</v>
      </c>
      <c r="AD334" s="1240"/>
      <c r="AE334" s="1240"/>
      <c r="AF334" s="1240"/>
      <c r="AG334" s="1240"/>
      <c r="AH334" s="1240"/>
      <c r="AI334" s="1240"/>
      <c r="AJ334" s="1240"/>
      <c r="AK334" s="1240"/>
      <c r="AL334" s="1240"/>
      <c r="AM334" s="1240"/>
      <c r="AN334" s="1240"/>
      <c r="AO334" s="1240"/>
      <c r="AP334" s="1240"/>
    </row>
    <row r="335" spans="1:42" ht="18.75" customHeight="1" x14ac:dyDescent="0.35">
      <c r="A335" s="1240"/>
      <c r="B335" s="1240"/>
      <c r="C335" s="1240"/>
      <c r="D335" s="1240"/>
      <c r="E335" s="1240"/>
      <c r="F335" s="1240"/>
      <c r="G335" s="1240"/>
      <c r="H335" s="1240"/>
      <c r="I335" s="1240"/>
      <c r="J335" s="1240"/>
      <c r="K335" s="1240"/>
      <c r="L335" s="1240"/>
      <c r="M335" s="1240"/>
      <c r="N335" s="1240"/>
      <c r="O335" s="1240"/>
      <c r="P335" s="1247">
        <f t="shared" si="37"/>
        <v>309</v>
      </c>
      <c r="Q335" s="1253" t="e">
        <f t="shared" ca="1" si="36"/>
        <v>#N/A</v>
      </c>
      <c r="R335" s="1247" t="str">
        <f>IFERROR(VLOOKUP(P335,RPCRepaymentDates[],1,FALSE),"")</f>
        <v/>
      </c>
      <c r="S335" s="1259">
        <f t="shared" si="32"/>
        <v>0</v>
      </c>
      <c r="T335" s="1247" t="str">
        <f>IFERROR(VLOOKUP(P335,RPCChargeCycleDates[],1,FALSE),"")</f>
        <v/>
      </c>
      <c r="U335" s="1248" t="str">
        <f>IFERROR(_xlfn.DAYS(T335,$Q$16)-SUM(U$26:U334),"")</f>
        <v/>
      </c>
      <c r="V335" s="1258">
        <f t="shared" ca="1" si="33"/>
        <v>0</v>
      </c>
      <c r="W335" s="1258">
        <f t="shared" ca="1" si="34"/>
        <v>0</v>
      </c>
      <c r="X335" s="1258" t="e">
        <f t="shared" ca="1" si="35"/>
        <v>#N/A</v>
      </c>
      <c r="Y335" s="1240"/>
      <c r="Z335" s="1240"/>
      <c r="AA335" s="1240"/>
      <c r="AB335" s="1240"/>
      <c r="AC335" s="1254" t="e">
        <f t="shared" si="38"/>
        <v>#NUM!</v>
      </c>
      <c r="AD335" s="1240"/>
      <c r="AE335" s="1240"/>
      <c r="AF335" s="1240"/>
      <c r="AG335" s="1240"/>
      <c r="AH335" s="1240"/>
      <c r="AI335" s="1240"/>
      <c r="AJ335" s="1240"/>
      <c r="AK335" s="1240"/>
      <c r="AL335" s="1240"/>
      <c r="AM335" s="1240"/>
      <c r="AN335" s="1240"/>
      <c r="AO335" s="1240"/>
      <c r="AP335" s="1240"/>
    </row>
    <row r="336" spans="1:42" ht="18.75" customHeight="1" x14ac:dyDescent="0.35">
      <c r="A336" s="1240"/>
      <c r="B336" s="1240"/>
      <c r="C336" s="1240"/>
      <c r="D336" s="1240"/>
      <c r="E336" s="1240"/>
      <c r="F336" s="1240"/>
      <c r="G336" s="1240"/>
      <c r="H336" s="1240"/>
      <c r="I336" s="1240"/>
      <c r="J336" s="1240"/>
      <c r="K336" s="1240"/>
      <c r="L336" s="1240"/>
      <c r="M336" s="1240"/>
      <c r="N336" s="1240"/>
      <c r="O336" s="1240"/>
      <c r="P336" s="1247">
        <f t="shared" si="37"/>
        <v>310</v>
      </c>
      <c r="Q336" s="1253" t="e">
        <f t="shared" ca="1" si="36"/>
        <v>#N/A</v>
      </c>
      <c r="R336" s="1247" t="str">
        <f>IFERROR(VLOOKUP(P336,RPCRepaymentDates[],1,FALSE),"")</f>
        <v/>
      </c>
      <c r="S336" s="1259">
        <f t="shared" si="32"/>
        <v>0</v>
      </c>
      <c r="T336" s="1247" t="str">
        <f>IFERROR(VLOOKUP(P336,RPCChargeCycleDates[],1,FALSE),"")</f>
        <v/>
      </c>
      <c r="U336" s="1248" t="str">
        <f>IFERROR(_xlfn.DAYS(T336,$Q$16)-SUM(U$26:U335),"")</f>
        <v/>
      </c>
      <c r="V336" s="1258">
        <f t="shared" ca="1" si="33"/>
        <v>0</v>
      </c>
      <c r="W336" s="1258">
        <f t="shared" ca="1" si="34"/>
        <v>0</v>
      </c>
      <c r="X336" s="1258" t="e">
        <f t="shared" ca="1" si="35"/>
        <v>#N/A</v>
      </c>
      <c r="Y336" s="1240"/>
      <c r="Z336" s="1240"/>
      <c r="AA336" s="1240"/>
      <c r="AB336" s="1240"/>
      <c r="AC336" s="1254" t="e">
        <f t="shared" si="38"/>
        <v>#NUM!</v>
      </c>
      <c r="AD336" s="1240"/>
      <c r="AE336" s="1240"/>
      <c r="AF336" s="1240"/>
      <c r="AG336" s="1240"/>
      <c r="AH336" s="1240"/>
      <c r="AI336" s="1240"/>
      <c r="AJ336" s="1240"/>
      <c r="AK336" s="1240"/>
      <c r="AL336" s="1240"/>
      <c r="AM336" s="1240"/>
      <c r="AN336" s="1240"/>
      <c r="AO336" s="1240"/>
      <c r="AP336" s="1240"/>
    </row>
    <row r="337" spans="1:42" ht="18.75" customHeight="1" x14ac:dyDescent="0.35">
      <c r="A337" s="1240"/>
      <c r="B337" s="1240"/>
      <c r="C337" s="1240"/>
      <c r="D337" s="1240"/>
      <c r="E337" s="1240"/>
      <c r="F337" s="1240"/>
      <c r="G337" s="1240"/>
      <c r="H337" s="1240"/>
      <c r="I337" s="1240"/>
      <c r="J337" s="1240"/>
      <c r="K337" s="1240"/>
      <c r="L337" s="1240"/>
      <c r="M337" s="1240"/>
      <c r="N337" s="1240"/>
      <c r="O337" s="1240"/>
      <c r="P337" s="1247">
        <f t="shared" si="37"/>
        <v>311</v>
      </c>
      <c r="Q337" s="1253" t="e">
        <f t="shared" ca="1" si="36"/>
        <v>#N/A</v>
      </c>
      <c r="R337" s="1247" t="str">
        <f>IFERROR(VLOOKUP(P337,RPCRepaymentDates[],1,FALSE),"")</f>
        <v/>
      </c>
      <c r="S337" s="1259">
        <f t="shared" si="32"/>
        <v>0</v>
      </c>
      <c r="T337" s="1247" t="str">
        <f>IFERROR(VLOOKUP(P337,RPCChargeCycleDates[],1,FALSE),"")</f>
        <v/>
      </c>
      <c r="U337" s="1248" t="str">
        <f>IFERROR(_xlfn.DAYS(T337,$Q$16)-SUM(U$26:U336),"")</f>
        <v/>
      </c>
      <c r="V337" s="1258">
        <f t="shared" ca="1" si="33"/>
        <v>0</v>
      </c>
      <c r="W337" s="1258">
        <f t="shared" ca="1" si="34"/>
        <v>0</v>
      </c>
      <c r="X337" s="1258" t="e">
        <f t="shared" ca="1" si="35"/>
        <v>#N/A</v>
      </c>
      <c r="Y337" s="1240"/>
      <c r="Z337" s="1240"/>
      <c r="AA337" s="1240"/>
      <c r="AB337" s="1240"/>
      <c r="AC337" s="1254" t="e">
        <f t="shared" si="38"/>
        <v>#NUM!</v>
      </c>
      <c r="AD337" s="1240"/>
      <c r="AE337" s="1240"/>
      <c r="AF337" s="1240"/>
      <c r="AG337" s="1240"/>
      <c r="AH337" s="1240"/>
      <c r="AI337" s="1240"/>
      <c r="AJ337" s="1240"/>
      <c r="AK337" s="1240"/>
      <c r="AL337" s="1240"/>
      <c r="AM337" s="1240"/>
      <c r="AN337" s="1240"/>
      <c r="AO337" s="1240"/>
      <c r="AP337" s="1240"/>
    </row>
    <row r="338" spans="1:42" ht="18.75" customHeight="1" x14ac:dyDescent="0.35">
      <c r="A338" s="1240"/>
      <c r="B338" s="1240"/>
      <c r="C338" s="1240"/>
      <c r="D338" s="1240"/>
      <c r="E338" s="1240"/>
      <c r="F338" s="1240"/>
      <c r="G338" s="1240"/>
      <c r="H338" s="1240"/>
      <c r="I338" s="1240"/>
      <c r="J338" s="1240"/>
      <c r="K338" s="1240"/>
      <c r="L338" s="1240"/>
      <c r="M338" s="1240"/>
      <c r="N338" s="1240"/>
      <c r="O338" s="1240"/>
      <c r="P338" s="1247">
        <f t="shared" si="37"/>
        <v>312</v>
      </c>
      <c r="Q338" s="1253" t="e">
        <f t="shared" ca="1" si="36"/>
        <v>#N/A</v>
      </c>
      <c r="R338" s="1247" t="str">
        <f>IFERROR(VLOOKUP(P338,RPCRepaymentDates[],1,FALSE),"")</f>
        <v/>
      </c>
      <c r="S338" s="1259">
        <f t="shared" si="32"/>
        <v>0</v>
      </c>
      <c r="T338" s="1247" t="str">
        <f>IFERROR(VLOOKUP(P338,RPCChargeCycleDates[],1,FALSE),"")</f>
        <v/>
      </c>
      <c r="U338" s="1248" t="str">
        <f>IFERROR(_xlfn.DAYS(T338,$Q$16)-SUM(U$26:U337),"")</f>
        <v/>
      </c>
      <c r="V338" s="1258">
        <f t="shared" ca="1" si="33"/>
        <v>0</v>
      </c>
      <c r="W338" s="1258">
        <f t="shared" ca="1" si="34"/>
        <v>0</v>
      </c>
      <c r="X338" s="1258" t="e">
        <f t="shared" ca="1" si="35"/>
        <v>#N/A</v>
      </c>
      <c r="Y338" s="1240"/>
      <c r="Z338" s="1240"/>
      <c r="AA338" s="1240"/>
      <c r="AB338" s="1240"/>
      <c r="AC338" s="1254" t="e">
        <f t="shared" si="38"/>
        <v>#NUM!</v>
      </c>
      <c r="AD338" s="1240"/>
      <c r="AE338" s="1240"/>
      <c r="AF338" s="1240"/>
      <c r="AG338" s="1240"/>
      <c r="AH338" s="1240"/>
      <c r="AI338" s="1240"/>
      <c r="AJ338" s="1240"/>
      <c r="AK338" s="1240"/>
      <c r="AL338" s="1240"/>
      <c r="AM338" s="1240"/>
      <c r="AN338" s="1240"/>
      <c r="AO338" s="1240"/>
      <c r="AP338" s="1240"/>
    </row>
    <row r="339" spans="1:42" ht="18.75" customHeight="1" x14ac:dyDescent="0.35">
      <c r="A339" s="1240"/>
      <c r="B339" s="1240"/>
      <c r="C339" s="1240"/>
      <c r="D339" s="1240"/>
      <c r="E339" s="1240"/>
      <c r="F339" s="1240"/>
      <c r="G339" s="1240"/>
      <c r="H339" s="1240"/>
      <c r="I339" s="1240"/>
      <c r="J339" s="1240"/>
      <c r="K339" s="1240"/>
      <c r="L339" s="1240"/>
      <c r="M339" s="1240"/>
      <c r="N339" s="1240"/>
      <c r="O339" s="1240"/>
      <c r="P339" s="1247">
        <f t="shared" si="37"/>
        <v>313</v>
      </c>
      <c r="Q339" s="1253" t="e">
        <f t="shared" ca="1" si="36"/>
        <v>#N/A</v>
      </c>
      <c r="R339" s="1247" t="str">
        <f>IFERROR(VLOOKUP(P339,RPCRepaymentDates[],1,FALSE),"")</f>
        <v/>
      </c>
      <c r="S339" s="1259">
        <f t="shared" si="32"/>
        <v>0</v>
      </c>
      <c r="T339" s="1247" t="str">
        <f>IFERROR(VLOOKUP(P339,RPCChargeCycleDates[],1,FALSE),"")</f>
        <v/>
      </c>
      <c r="U339" s="1248" t="str">
        <f>IFERROR(_xlfn.DAYS(T339,$Q$16)-SUM(U$26:U338),"")</f>
        <v/>
      </c>
      <c r="V339" s="1258">
        <f t="shared" ca="1" si="33"/>
        <v>0</v>
      </c>
      <c r="W339" s="1258">
        <f t="shared" ca="1" si="34"/>
        <v>0</v>
      </c>
      <c r="X339" s="1258" t="e">
        <f t="shared" ca="1" si="35"/>
        <v>#N/A</v>
      </c>
      <c r="Y339" s="1240"/>
      <c r="Z339" s="1240"/>
      <c r="AA339" s="1240"/>
      <c r="AB339" s="1240"/>
      <c r="AC339" s="1254" t="e">
        <f t="shared" si="38"/>
        <v>#NUM!</v>
      </c>
      <c r="AD339" s="1240"/>
      <c r="AE339" s="1240"/>
      <c r="AF339" s="1240"/>
      <c r="AG339" s="1240"/>
      <c r="AH339" s="1240"/>
      <c r="AI339" s="1240"/>
      <c r="AJ339" s="1240"/>
      <c r="AK339" s="1240"/>
      <c r="AL339" s="1240"/>
      <c r="AM339" s="1240"/>
      <c r="AN339" s="1240"/>
      <c r="AO339" s="1240"/>
      <c r="AP339" s="1240"/>
    </row>
    <row r="340" spans="1:42" ht="18.75" customHeight="1" x14ac:dyDescent="0.35">
      <c r="A340" s="1240"/>
      <c r="B340" s="1240"/>
      <c r="C340" s="1240"/>
      <c r="D340" s="1240"/>
      <c r="E340" s="1240"/>
      <c r="F340" s="1240"/>
      <c r="G340" s="1240"/>
      <c r="H340" s="1240"/>
      <c r="I340" s="1240"/>
      <c r="J340" s="1240"/>
      <c r="K340" s="1240"/>
      <c r="L340" s="1240"/>
      <c r="M340" s="1240"/>
      <c r="N340" s="1240"/>
      <c r="O340" s="1240"/>
      <c r="P340" s="1247">
        <f t="shared" si="37"/>
        <v>314</v>
      </c>
      <c r="Q340" s="1253" t="e">
        <f t="shared" ca="1" si="36"/>
        <v>#N/A</v>
      </c>
      <c r="R340" s="1247" t="str">
        <f>IFERROR(VLOOKUP(P340,RPCRepaymentDates[],1,FALSE),"")</f>
        <v/>
      </c>
      <c r="S340" s="1259">
        <f t="shared" si="32"/>
        <v>0</v>
      </c>
      <c r="T340" s="1247" t="str">
        <f>IFERROR(VLOOKUP(P340,RPCChargeCycleDates[],1,FALSE),"")</f>
        <v/>
      </c>
      <c r="U340" s="1248" t="str">
        <f>IFERROR(_xlfn.DAYS(T340,$Q$16)-SUM(U$26:U339),"")</f>
        <v/>
      </c>
      <c r="V340" s="1258">
        <f t="shared" ca="1" si="33"/>
        <v>0</v>
      </c>
      <c r="W340" s="1258">
        <f t="shared" ca="1" si="34"/>
        <v>0</v>
      </c>
      <c r="X340" s="1258" t="e">
        <f t="shared" ca="1" si="35"/>
        <v>#N/A</v>
      </c>
      <c r="Y340" s="1240"/>
      <c r="Z340" s="1240"/>
      <c r="AA340" s="1240"/>
      <c r="AB340" s="1240"/>
      <c r="AC340" s="1254" t="e">
        <f t="shared" si="38"/>
        <v>#NUM!</v>
      </c>
      <c r="AD340" s="1240"/>
      <c r="AE340" s="1240"/>
      <c r="AF340" s="1240"/>
      <c r="AG340" s="1240"/>
      <c r="AH340" s="1240"/>
      <c r="AI340" s="1240"/>
      <c r="AJ340" s="1240"/>
      <c r="AK340" s="1240"/>
      <c r="AL340" s="1240"/>
      <c r="AM340" s="1240"/>
      <c r="AN340" s="1240"/>
      <c r="AO340" s="1240"/>
      <c r="AP340" s="1240"/>
    </row>
    <row r="341" spans="1:42" ht="18.75" customHeight="1" x14ac:dyDescent="0.35">
      <c r="A341" s="1240"/>
      <c r="B341" s="1240"/>
      <c r="C341" s="1240"/>
      <c r="D341" s="1240"/>
      <c r="E341" s="1240"/>
      <c r="F341" s="1240"/>
      <c r="G341" s="1240"/>
      <c r="H341" s="1240"/>
      <c r="I341" s="1240"/>
      <c r="J341" s="1240"/>
      <c r="K341" s="1240"/>
      <c r="L341" s="1240"/>
      <c r="M341" s="1240"/>
      <c r="N341" s="1240"/>
      <c r="O341" s="1240"/>
      <c r="P341" s="1247">
        <f t="shared" si="37"/>
        <v>315</v>
      </c>
      <c r="Q341" s="1253" t="e">
        <f t="shared" ca="1" si="36"/>
        <v>#N/A</v>
      </c>
      <c r="R341" s="1247" t="str">
        <f>IFERROR(VLOOKUP(P341,RPCRepaymentDates[],1,FALSE),"")</f>
        <v/>
      </c>
      <c r="S341" s="1259">
        <f t="shared" si="32"/>
        <v>0</v>
      </c>
      <c r="T341" s="1247" t="str">
        <f>IFERROR(VLOOKUP(P341,RPCChargeCycleDates[],1,FALSE),"")</f>
        <v/>
      </c>
      <c r="U341" s="1248" t="str">
        <f>IFERROR(_xlfn.DAYS(T341,$Q$16)-SUM(U$26:U340),"")</f>
        <v/>
      </c>
      <c r="V341" s="1258">
        <f t="shared" ca="1" si="33"/>
        <v>0</v>
      </c>
      <c r="W341" s="1258">
        <f t="shared" ca="1" si="34"/>
        <v>0</v>
      </c>
      <c r="X341" s="1258" t="e">
        <f t="shared" ca="1" si="35"/>
        <v>#N/A</v>
      </c>
      <c r="Y341" s="1240"/>
      <c r="Z341" s="1240"/>
      <c r="AA341" s="1240"/>
      <c r="AB341" s="1240"/>
      <c r="AC341" s="1254" t="e">
        <f t="shared" si="38"/>
        <v>#NUM!</v>
      </c>
      <c r="AD341" s="1240"/>
      <c r="AE341" s="1240"/>
      <c r="AF341" s="1240"/>
      <c r="AG341" s="1240"/>
      <c r="AH341" s="1240"/>
      <c r="AI341" s="1240"/>
      <c r="AJ341" s="1240"/>
      <c r="AK341" s="1240"/>
      <c r="AL341" s="1240"/>
      <c r="AM341" s="1240"/>
      <c r="AN341" s="1240"/>
      <c r="AO341" s="1240"/>
      <c r="AP341" s="1240"/>
    </row>
    <row r="342" spans="1:42" ht="18.75" customHeight="1" x14ac:dyDescent="0.35">
      <c r="A342" s="1240"/>
      <c r="B342" s="1240"/>
      <c r="C342" s="1240"/>
      <c r="D342" s="1240"/>
      <c r="E342" s="1240"/>
      <c r="F342" s="1240"/>
      <c r="G342" s="1240"/>
      <c r="H342" s="1240"/>
      <c r="I342" s="1240"/>
      <c r="J342" s="1240"/>
      <c r="K342" s="1240"/>
      <c r="L342" s="1240"/>
      <c r="M342" s="1240"/>
      <c r="N342" s="1240"/>
      <c r="O342" s="1240"/>
      <c r="P342" s="1247">
        <f t="shared" si="37"/>
        <v>316</v>
      </c>
      <c r="Q342" s="1253" t="e">
        <f t="shared" ca="1" si="36"/>
        <v>#N/A</v>
      </c>
      <c r="R342" s="1247" t="str">
        <f>IFERROR(VLOOKUP(P342,RPCRepaymentDates[],1,FALSE),"")</f>
        <v/>
      </c>
      <c r="S342" s="1259">
        <f t="shared" si="32"/>
        <v>0</v>
      </c>
      <c r="T342" s="1247" t="str">
        <f>IFERROR(VLOOKUP(P342,RPCChargeCycleDates[],1,FALSE),"")</f>
        <v/>
      </c>
      <c r="U342" s="1248" t="str">
        <f>IFERROR(_xlfn.DAYS(T342,$Q$16)-SUM(U$26:U341),"")</f>
        <v/>
      </c>
      <c r="V342" s="1258">
        <f t="shared" ca="1" si="33"/>
        <v>0</v>
      </c>
      <c r="W342" s="1258">
        <f t="shared" ca="1" si="34"/>
        <v>0</v>
      </c>
      <c r="X342" s="1258" t="e">
        <f t="shared" ca="1" si="35"/>
        <v>#N/A</v>
      </c>
      <c r="Y342" s="1240"/>
      <c r="Z342" s="1240"/>
      <c r="AA342" s="1240"/>
      <c r="AB342" s="1240"/>
      <c r="AC342" s="1254" t="e">
        <f t="shared" si="38"/>
        <v>#NUM!</v>
      </c>
      <c r="AD342" s="1240"/>
      <c r="AE342" s="1240"/>
      <c r="AF342" s="1240"/>
      <c r="AG342" s="1240"/>
      <c r="AH342" s="1240"/>
      <c r="AI342" s="1240"/>
      <c r="AJ342" s="1240"/>
      <c r="AK342" s="1240"/>
      <c r="AL342" s="1240"/>
      <c r="AM342" s="1240"/>
      <c r="AN342" s="1240"/>
      <c r="AO342" s="1240"/>
      <c r="AP342" s="1240"/>
    </row>
    <row r="343" spans="1:42" ht="18.75" customHeight="1" x14ac:dyDescent="0.35">
      <c r="A343" s="1240"/>
      <c r="B343" s="1240"/>
      <c r="C343" s="1240"/>
      <c r="D343" s="1240"/>
      <c r="E343" s="1240"/>
      <c r="F343" s="1240"/>
      <c r="G343" s="1240"/>
      <c r="H343" s="1240"/>
      <c r="I343" s="1240"/>
      <c r="J343" s="1240"/>
      <c r="K343" s="1240"/>
      <c r="L343" s="1240"/>
      <c r="M343" s="1240"/>
      <c r="N343" s="1240"/>
      <c r="O343" s="1240"/>
      <c r="P343" s="1247">
        <f t="shared" si="37"/>
        <v>317</v>
      </c>
      <c r="Q343" s="1253" t="e">
        <f t="shared" ca="1" si="36"/>
        <v>#N/A</v>
      </c>
      <c r="R343" s="1247" t="str">
        <f>IFERROR(VLOOKUP(P343,RPCRepaymentDates[],1,FALSE),"")</f>
        <v/>
      </c>
      <c r="S343" s="1259">
        <f t="shared" si="32"/>
        <v>0</v>
      </c>
      <c r="T343" s="1247" t="str">
        <f>IFERROR(VLOOKUP(P343,RPCChargeCycleDates[],1,FALSE),"")</f>
        <v/>
      </c>
      <c r="U343" s="1248" t="str">
        <f>IFERROR(_xlfn.DAYS(T343,$Q$16)-SUM(U$26:U342),"")</f>
        <v/>
      </c>
      <c r="V343" s="1258">
        <f t="shared" ca="1" si="33"/>
        <v>0</v>
      </c>
      <c r="W343" s="1258">
        <f t="shared" ca="1" si="34"/>
        <v>0</v>
      </c>
      <c r="X343" s="1258" t="e">
        <f t="shared" ca="1" si="35"/>
        <v>#N/A</v>
      </c>
      <c r="Y343" s="1240"/>
      <c r="Z343" s="1240"/>
      <c r="AA343" s="1240"/>
      <c r="AB343" s="1240"/>
      <c r="AC343" s="1254" t="e">
        <f t="shared" si="38"/>
        <v>#NUM!</v>
      </c>
      <c r="AD343" s="1240"/>
      <c r="AE343" s="1240"/>
      <c r="AF343" s="1240"/>
      <c r="AG343" s="1240"/>
      <c r="AH343" s="1240"/>
      <c r="AI343" s="1240"/>
      <c r="AJ343" s="1240"/>
      <c r="AK343" s="1240"/>
      <c r="AL343" s="1240"/>
      <c r="AM343" s="1240"/>
      <c r="AN343" s="1240"/>
      <c r="AO343" s="1240"/>
      <c r="AP343" s="1240"/>
    </row>
    <row r="344" spans="1:42" ht="18.75" customHeight="1" x14ac:dyDescent="0.35">
      <c r="A344" s="1240"/>
      <c r="B344" s="1240"/>
      <c r="C344" s="1240"/>
      <c r="D344" s="1240"/>
      <c r="E344" s="1240"/>
      <c r="F344" s="1240"/>
      <c r="G344" s="1240"/>
      <c r="H344" s="1240"/>
      <c r="I344" s="1240"/>
      <c r="J344" s="1240"/>
      <c r="K344" s="1240"/>
      <c r="L344" s="1240"/>
      <c r="M344" s="1240"/>
      <c r="N344" s="1240"/>
      <c r="O344" s="1240"/>
      <c r="P344" s="1247">
        <f t="shared" si="37"/>
        <v>318</v>
      </c>
      <c r="Q344" s="1253" t="e">
        <f t="shared" ca="1" si="36"/>
        <v>#N/A</v>
      </c>
      <c r="R344" s="1247" t="str">
        <f>IFERROR(VLOOKUP(P344,RPCRepaymentDates[],1,FALSE),"")</f>
        <v/>
      </c>
      <c r="S344" s="1259">
        <f t="shared" si="32"/>
        <v>0</v>
      </c>
      <c r="T344" s="1247" t="str">
        <f>IFERROR(VLOOKUP(P344,RPCChargeCycleDates[],1,FALSE),"")</f>
        <v/>
      </c>
      <c r="U344" s="1248" t="str">
        <f>IFERROR(_xlfn.DAYS(T344,$Q$16)-SUM(U$26:U343),"")</f>
        <v/>
      </c>
      <c r="V344" s="1258">
        <f t="shared" ca="1" si="33"/>
        <v>0</v>
      </c>
      <c r="W344" s="1258">
        <f t="shared" ca="1" si="34"/>
        <v>0</v>
      </c>
      <c r="X344" s="1258" t="e">
        <f t="shared" ca="1" si="35"/>
        <v>#N/A</v>
      </c>
      <c r="Y344" s="1240"/>
      <c r="Z344" s="1240"/>
      <c r="AA344" s="1240"/>
      <c r="AB344" s="1240"/>
      <c r="AC344" s="1254" t="e">
        <f t="shared" si="38"/>
        <v>#NUM!</v>
      </c>
      <c r="AD344" s="1240"/>
      <c r="AE344" s="1240"/>
      <c r="AF344" s="1240"/>
      <c r="AG344" s="1240"/>
      <c r="AH344" s="1240"/>
      <c r="AI344" s="1240"/>
      <c r="AJ344" s="1240"/>
      <c r="AK344" s="1240"/>
      <c r="AL344" s="1240"/>
      <c r="AM344" s="1240"/>
      <c r="AN344" s="1240"/>
      <c r="AO344" s="1240"/>
      <c r="AP344" s="1240"/>
    </row>
    <row r="345" spans="1:42" ht="18.75" customHeight="1" x14ac:dyDescent="0.35">
      <c r="A345" s="1240"/>
      <c r="B345" s="1240"/>
      <c r="C345" s="1240"/>
      <c r="D345" s="1240"/>
      <c r="E345" s="1240"/>
      <c r="F345" s="1240"/>
      <c r="G345" s="1240"/>
      <c r="H345" s="1240"/>
      <c r="I345" s="1240"/>
      <c r="J345" s="1240"/>
      <c r="K345" s="1240"/>
      <c r="L345" s="1240"/>
      <c r="M345" s="1240"/>
      <c r="N345" s="1240"/>
      <c r="O345" s="1240"/>
      <c r="P345" s="1247">
        <f t="shared" si="37"/>
        <v>319</v>
      </c>
      <c r="Q345" s="1253" t="e">
        <f t="shared" ca="1" si="36"/>
        <v>#N/A</v>
      </c>
      <c r="R345" s="1247" t="str">
        <f>IFERROR(VLOOKUP(P345,RPCRepaymentDates[],1,FALSE),"")</f>
        <v/>
      </c>
      <c r="S345" s="1259">
        <f t="shared" si="32"/>
        <v>0</v>
      </c>
      <c r="T345" s="1247" t="str">
        <f>IFERROR(VLOOKUP(P345,RPCChargeCycleDates[],1,FALSE),"")</f>
        <v/>
      </c>
      <c r="U345" s="1248" t="str">
        <f>IFERROR(_xlfn.DAYS(T345,$Q$16)-SUM(U$26:U344),"")</f>
        <v/>
      </c>
      <c r="V345" s="1258">
        <f t="shared" ca="1" si="33"/>
        <v>0</v>
      </c>
      <c r="W345" s="1258">
        <f t="shared" ca="1" si="34"/>
        <v>0</v>
      </c>
      <c r="X345" s="1258" t="e">
        <f t="shared" ca="1" si="35"/>
        <v>#N/A</v>
      </c>
      <c r="Y345" s="1240"/>
      <c r="Z345" s="1240"/>
      <c r="AA345" s="1240"/>
      <c r="AB345" s="1240"/>
      <c r="AC345" s="1254" t="e">
        <f t="shared" si="38"/>
        <v>#NUM!</v>
      </c>
      <c r="AD345" s="1240"/>
      <c r="AE345" s="1240"/>
      <c r="AF345" s="1240"/>
      <c r="AG345" s="1240"/>
      <c r="AH345" s="1240"/>
      <c r="AI345" s="1240"/>
      <c r="AJ345" s="1240"/>
      <c r="AK345" s="1240"/>
      <c r="AL345" s="1240"/>
      <c r="AM345" s="1240"/>
      <c r="AN345" s="1240"/>
      <c r="AO345" s="1240"/>
      <c r="AP345" s="1240"/>
    </row>
    <row r="346" spans="1:42" ht="18.75" customHeight="1" x14ac:dyDescent="0.35">
      <c r="A346" s="1240"/>
      <c r="B346" s="1240"/>
      <c r="C346" s="1240"/>
      <c r="D346" s="1240"/>
      <c r="E346" s="1240"/>
      <c r="F346" s="1240"/>
      <c r="G346" s="1240"/>
      <c r="H346" s="1240"/>
      <c r="I346" s="1240"/>
      <c r="J346" s="1240"/>
      <c r="K346" s="1240"/>
      <c r="L346" s="1240"/>
      <c r="M346" s="1240"/>
      <c r="N346" s="1240"/>
      <c r="O346" s="1240"/>
      <c r="P346" s="1247">
        <f t="shared" si="37"/>
        <v>320</v>
      </c>
      <c r="Q346" s="1253" t="e">
        <f t="shared" ca="1" si="36"/>
        <v>#N/A</v>
      </c>
      <c r="R346" s="1247" t="str">
        <f>IFERROR(VLOOKUP(P346,RPCRepaymentDates[],1,FALSE),"")</f>
        <v/>
      </c>
      <c r="S346" s="1259">
        <f t="shared" ref="S346:S409" si="39">IF(P346=R346,IF(R346&lt;RPCNextPaymentTransferDate,0,IF(OR(R346&lt;RPCPauseStartDate,R346&gt;RPCPauseEndDate),RPCCurrentRepayment,RPCPauseRepayment)),0)</f>
        <v>0</v>
      </c>
      <c r="T346" s="1247" t="str">
        <f>IFERROR(VLOOKUP(P346,RPCChargeCycleDates[],1,FALSE),"")</f>
        <v/>
      </c>
      <c r="U346" s="1248" t="str">
        <f>IFERROR(_xlfn.DAYS(T346,$Q$16)-SUM(U$26:U345),"")</f>
        <v/>
      </c>
      <c r="V346" s="1258">
        <f t="shared" ref="V346:V409" ca="1" si="40">IFERROR((Q346-S346)*(1/RPCDaysInYear)*RPCInterestRate,0)</f>
        <v>0</v>
      </c>
      <c r="W346" s="1258">
        <f t="shared" ref="W346:W409" ca="1" si="41">IFERROR(IF(T346=P346,SUM(OFFSET(V346,-U346+1,0,U346,1)),0),0)</f>
        <v>0</v>
      </c>
      <c r="X346" s="1258" t="e">
        <f t="shared" ref="X346:X409" ca="1" si="42">Q346-S346+W346</f>
        <v>#N/A</v>
      </c>
      <c r="Y346" s="1240"/>
      <c r="Z346" s="1240"/>
      <c r="AA346" s="1240"/>
      <c r="AB346" s="1240"/>
      <c r="AC346" s="1254" t="e">
        <f t="shared" si="38"/>
        <v>#NUM!</v>
      </c>
      <c r="AD346" s="1240"/>
      <c r="AE346" s="1240"/>
      <c r="AF346" s="1240"/>
      <c r="AG346" s="1240"/>
      <c r="AH346" s="1240"/>
      <c r="AI346" s="1240"/>
      <c r="AJ346" s="1240"/>
      <c r="AK346" s="1240"/>
      <c r="AL346" s="1240"/>
      <c r="AM346" s="1240"/>
      <c r="AN346" s="1240"/>
      <c r="AO346" s="1240"/>
      <c r="AP346" s="1240"/>
    </row>
    <row r="347" spans="1:42" ht="18.75" customHeight="1" x14ac:dyDescent="0.35">
      <c r="A347" s="1240"/>
      <c r="B347" s="1240"/>
      <c r="C347" s="1240"/>
      <c r="D347" s="1240"/>
      <c r="E347" s="1240"/>
      <c r="F347" s="1240"/>
      <c r="G347" s="1240"/>
      <c r="H347" s="1240"/>
      <c r="I347" s="1240"/>
      <c r="J347" s="1240"/>
      <c r="K347" s="1240"/>
      <c r="L347" s="1240"/>
      <c r="M347" s="1240"/>
      <c r="N347" s="1240"/>
      <c r="O347" s="1240"/>
      <c r="P347" s="1247">
        <f t="shared" si="37"/>
        <v>321</v>
      </c>
      <c r="Q347" s="1253" t="e">
        <f t="shared" ref="Q347:Q410" ca="1" si="43">X346</f>
        <v>#N/A</v>
      </c>
      <c r="R347" s="1247" t="str">
        <f>IFERROR(VLOOKUP(P347,RPCRepaymentDates[],1,FALSE),"")</f>
        <v/>
      </c>
      <c r="S347" s="1259">
        <f t="shared" si="39"/>
        <v>0</v>
      </c>
      <c r="T347" s="1247" t="str">
        <f>IFERROR(VLOOKUP(P347,RPCChargeCycleDates[],1,FALSE),"")</f>
        <v/>
      </c>
      <c r="U347" s="1248" t="str">
        <f>IFERROR(_xlfn.DAYS(T347,$Q$16)-SUM(U$26:U346),"")</f>
        <v/>
      </c>
      <c r="V347" s="1258">
        <f t="shared" ca="1" si="40"/>
        <v>0</v>
      </c>
      <c r="W347" s="1258">
        <f t="shared" ca="1" si="41"/>
        <v>0</v>
      </c>
      <c r="X347" s="1258" t="e">
        <f t="shared" ca="1" si="42"/>
        <v>#N/A</v>
      </c>
      <c r="Y347" s="1240"/>
      <c r="Z347" s="1240"/>
      <c r="AA347" s="1240"/>
      <c r="AB347" s="1240"/>
      <c r="AC347" s="1254" t="e">
        <f t="shared" si="38"/>
        <v>#NUM!</v>
      </c>
      <c r="AD347" s="1240"/>
      <c r="AE347" s="1240"/>
      <c r="AF347" s="1240"/>
      <c r="AG347" s="1240"/>
      <c r="AH347" s="1240"/>
      <c r="AI347" s="1240"/>
      <c r="AJ347" s="1240"/>
      <c r="AK347" s="1240"/>
      <c r="AL347" s="1240"/>
      <c r="AM347" s="1240"/>
      <c r="AN347" s="1240"/>
      <c r="AO347" s="1240"/>
      <c r="AP347" s="1240"/>
    </row>
    <row r="348" spans="1:42" ht="18.75" customHeight="1" x14ac:dyDescent="0.35">
      <c r="A348" s="1240"/>
      <c r="B348" s="1240"/>
      <c r="C348" s="1240"/>
      <c r="D348" s="1240"/>
      <c r="E348" s="1240"/>
      <c r="F348" s="1240"/>
      <c r="G348" s="1240"/>
      <c r="H348" s="1240"/>
      <c r="I348" s="1240"/>
      <c r="J348" s="1240"/>
      <c r="K348" s="1240"/>
      <c r="L348" s="1240"/>
      <c r="M348" s="1240"/>
      <c r="N348" s="1240"/>
      <c r="O348" s="1240"/>
      <c r="P348" s="1247">
        <f t="shared" ref="P348:P411" si="44">P347+1</f>
        <v>322</v>
      </c>
      <c r="Q348" s="1253" t="e">
        <f t="shared" ca="1" si="43"/>
        <v>#N/A</v>
      </c>
      <c r="R348" s="1247" t="str">
        <f>IFERROR(VLOOKUP(P348,RPCRepaymentDates[],1,FALSE),"")</f>
        <v/>
      </c>
      <c r="S348" s="1259">
        <f t="shared" si="39"/>
        <v>0</v>
      </c>
      <c r="T348" s="1247" t="str">
        <f>IFERROR(VLOOKUP(P348,RPCChargeCycleDates[],1,FALSE),"")</f>
        <v/>
      </c>
      <c r="U348" s="1248" t="str">
        <f>IFERROR(_xlfn.DAYS(T348,$Q$16)-SUM(U$26:U347),"")</f>
        <v/>
      </c>
      <c r="V348" s="1258">
        <f t="shared" ca="1" si="40"/>
        <v>0</v>
      </c>
      <c r="W348" s="1258">
        <f t="shared" ca="1" si="41"/>
        <v>0</v>
      </c>
      <c r="X348" s="1258" t="e">
        <f t="shared" ca="1" si="42"/>
        <v>#N/A</v>
      </c>
      <c r="Y348" s="1240"/>
      <c r="Z348" s="1240"/>
      <c r="AA348" s="1240"/>
      <c r="AB348" s="1240"/>
      <c r="AC348" s="1254" t="e">
        <f t="shared" si="38"/>
        <v>#NUM!</v>
      </c>
      <c r="AD348" s="1240"/>
      <c r="AE348" s="1240"/>
      <c r="AF348" s="1240"/>
      <c r="AG348" s="1240"/>
      <c r="AH348" s="1240"/>
      <c r="AI348" s="1240"/>
      <c r="AJ348" s="1240"/>
      <c r="AK348" s="1240"/>
      <c r="AL348" s="1240"/>
      <c r="AM348" s="1240"/>
      <c r="AN348" s="1240"/>
      <c r="AO348" s="1240"/>
      <c r="AP348" s="1240"/>
    </row>
    <row r="349" spans="1:42" ht="18.75" customHeight="1" x14ac:dyDescent="0.35">
      <c r="A349" s="1240"/>
      <c r="B349" s="1240"/>
      <c r="C349" s="1240"/>
      <c r="D349" s="1240"/>
      <c r="E349" s="1240"/>
      <c r="F349" s="1240"/>
      <c r="G349" s="1240"/>
      <c r="H349" s="1240"/>
      <c r="I349" s="1240"/>
      <c r="J349" s="1240"/>
      <c r="K349" s="1240"/>
      <c r="L349" s="1240"/>
      <c r="M349" s="1240"/>
      <c r="N349" s="1240"/>
      <c r="O349" s="1240"/>
      <c r="P349" s="1247">
        <f t="shared" si="44"/>
        <v>323</v>
      </c>
      <c r="Q349" s="1253" t="e">
        <f t="shared" ca="1" si="43"/>
        <v>#N/A</v>
      </c>
      <c r="R349" s="1247" t="str">
        <f>IFERROR(VLOOKUP(P349,RPCRepaymentDates[],1,FALSE),"")</f>
        <v/>
      </c>
      <c r="S349" s="1259">
        <f t="shared" si="39"/>
        <v>0</v>
      </c>
      <c r="T349" s="1247" t="str">
        <f>IFERROR(VLOOKUP(P349,RPCChargeCycleDates[],1,FALSE),"")</f>
        <v/>
      </c>
      <c r="U349" s="1248" t="str">
        <f>IFERROR(_xlfn.DAYS(T349,$Q$16)-SUM(U$26:U348),"")</f>
        <v/>
      </c>
      <c r="V349" s="1258">
        <f t="shared" ca="1" si="40"/>
        <v>0</v>
      </c>
      <c r="W349" s="1258">
        <f t="shared" ca="1" si="41"/>
        <v>0</v>
      </c>
      <c r="X349" s="1258" t="e">
        <f t="shared" ca="1" si="42"/>
        <v>#N/A</v>
      </c>
      <c r="Y349" s="1240"/>
      <c r="Z349" s="1240"/>
      <c r="AA349" s="1240"/>
      <c r="AB349" s="1240"/>
      <c r="AC349" s="1254" t="e">
        <f t="shared" si="38"/>
        <v>#NUM!</v>
      </c>
      <c r="AD349" s="1240"/>
      <c r="AE349" s="1240"/>
      <c r="AF349" s="1240"/>
      <c r="AG349" s="1240"/>
      <c r="AH349" s="1240"/>
      <c r="AI349" s="1240"/>
      <c r="AJ349" s="1240"/>
      <c r="AK349" s="1240"/>
      <c r="AL349" s="1240"/>
      <c r="AM349" s="1240"/>
      <c r="AN349" s="1240"/>
      <c r="AO349" s="1240"/>
      <c r="AP349" s="1240"/>
    </row>
    <row r="350" spans="1:42" ht="18.75" customHeight="1" x14ac:dyDescent="0.35">
      <c r="A350" s="1240"/>
      <c r="B350" s="1240"/>
      <c r="C350" s="1240"/>
      <c r="D350" s="1240"/>
      <c r="E350" s="1240"/>
      <c r="F350" s="1240"/>
      <c r="G350" s="1240"/>
      <c r="H350" s="1240"/>
      <c r="I350" s="1240"/>
      <c r="J350" s="1240"/>
      <c r="K350" s="1240"/>
      <c r="L350" s="1240"/>
      <c r="M350" s="1240"/>
      <c r="N350" s="1240"/>
      <c r="O350" s="1240"/>
      <c r="P350" s="1247">
        <f t="shared" si="44"/>
        <v>324</v>
      </c>
      <c r="Q350" s="1253" t="e">
        <f t="shared" ca="1" si="43"/>
        <v>#N/A</v>
      </c>
      <c r="R350" s="1247" t="str">
        <f>IFERROR(VLOOKUP(P350,RPCRepaymentDates[],1,FALSE),"")</f>
        <v/>
      </c>
      <c r="S350" s="1259">
        <f t="shared" si="39"/>
        <v>0</v>
      </c>
      <c r="T350" s="1247" t="str">
        <f>IFERROR(VLOOKUP(P350,RPCChargeCycleDates[],1,FALSE),"")</f>
        <v/>
      </c>
      <c r="U350" s="1248" t="str">
        <f>IFERROR(_xlfn.DAYS(T350,$Q$16)-SUM(U$26:U349),"")</f>
        <v/>
      </c>
      <c r="V350" s="1258">
        <f t="shared" ca="1" si="40"/>
        <v>0</v>
      </c>
      <c r="W350" s="1258">
        <f t="shared" ca="1" si="41"/>
        <v>0</v>
      </c>
      <c r="X350" s="1258" t="e">
        <f t="shared" ca="1" si="42"/>
        <v>#N/A</v>
      </c>
      <c r="Y350" s="1240"/>
      <c r="Z350" s="1240"/>
      <c r="AA350" s="1240"/>
      <c r="AB350" s="1240"/>
      <c r="AC350" s="1254" t="e">
        <f t="shared" si="38"/>
        <v>#NUM!</v>
      </c>
      <c r="AD350" s="1240"/>
      <c r="AE350" s="1240"/>
      <c r="AF350" s="1240"/>
      <c r="AG350" s="1240"/>
      <c r="AH350" s="1240"/>
      <c r="AI350" s="1240"/>
      <c r="AJ350" s="1240"/>
      <c r="AK350" s="1240"/>
      <c r="AL350" s="1240"/>
      <c r="AM350" s="1240"/>
      <c r="AN350" s="1240"/>
      <c r="AO350" s="1240"/>
      <c r="AP350" s="1240"/>
    </row>
    <row r="351" spans="1:42" ht="18.75" customHeight="1" x14ac:dyDescent="0.35">
      <c r="A351" s="1240"/>
      <c r="B351" s="1240"/>
      <c r="C351" s="1240"/>
      <c r="D351" s="1240"/>
      <c r="E351" s="1240"/>
      <c r="F351" s="1240"/>
      <c r="G351" s="1240"/>
      <c r="H351" s="1240"/>
      <c r="I351" s="1240"/>
      <c r="J351" s="1240"/>
      <c r="K351" s="1240"/>
      <c r="L351" s="1240"/>
      <c r="M351" s="1240"/>
      <c r="N351" s="1240"/>
      <c r="O351" s="1240"/>
      <c r="P351" s="1247">
        <f t="shared" si="44"/>
        <v>325</v>
      </c>
      <c r="Q351" s="1253" t="e">
        <f t="shared" ca="1" si="43"/>
        <v>#N/A</v>
      </c>
      <c r="R351" s="1247" t="str">
        <f>IFERROR(VLOOKUP(P351,RPCRepaymentDates[],1,FALSE),"")</f>
        <v/>
      </c>
      <c r="S351" s="1259">
        <f t="shared" si="39"/>
        <v>0</v>
      </c>
      <c r="T351" s="1247" t="str">
        <f>IFERROR(VLOOKUP(P351,RPCChargeCycleDates[],1,FALSE),"")</f>
        <v/>
      </c>
      <c r="U351" s="1248" t="str">
        <f>IFERROR(_xlfn.DAYS(T351,$Q$16)-SUM(U$26:U350),"")</f>
        <v/>
      </c>
      <c r="V351" s="1258">
        <f t="shared" ca="1" si="40"/>
        <v>0</v>
      </c>
      <c r="W351" s="1258">
        <f t="shared" ca="1" si="41"/>
        <v>0</v>
      </c>
      <c r="X351" s="1258" t="e">
        <f t="shared" ca="1" si="42"/>
        <v>#N/A</v>
      </c>
      <c r="Y351" s="1240"/>
      <c r="Z351" s="1240"/>
      <c r="AA351" s="1240"/>
      <c r="AB351" s="1240"/>
      <c r="AC351" s="1254" t="e">
        <f t="shared" si="38"/>
        <v>#NUM!</v>
      </c>
      <c r="AD351" s="1240"/>
      <c r="AE351" s="1240"/>
      <c r="AF351" s="1240"/>
      <c r="AG351" s="1240"/>
      <c r="AH351" s="1240"/>
      <c r="AI351" s="1240"/>
      <c r="AJ351" s="1240"/>
      <c r="AK351" s="1240"/>
      <c r="AL351" s="1240"/>
      <c r="AM351" s="1240"/>
      <c r="AN351" s="1240"/>
      <c r="AO351" s="1240"/>
      <c r="AP351" s="1240"/>
    </row>
    <row r="352" spans="1:42" ht="18.75" customHeight="1" x14ac:dyDescent="0.35">
      <c r="A352" s="1240"/>
      <c r="B352" s="1240"/>
      <c r="C352" s="1240"/>
      <c r="D352" s="1240"/>
      <c r="E352" s="1240"/>
      <c r="F352" s="1240"/>
      <c r="G352" s="1240"/>
      <c r="H352" s="1240"/>
      <c r="I352" s="1240"/>
      <c r="J352" s="1240"/>
      <c r="K352" s="1240"/>
      <c r="L352" s="1240"/>
      <c r="M352" s="1240"/>
      <c r="N352" s="1240"/>
      <c r="O352" s="1240"/>
      <c r="P352" s="1247">
        <f t="shared" si="44"/>
        <v>326</v>
      </c>
      <c r="Q352" s="1253" t="e">
        <f t="shared" ca="1" si="43"/>
        <v>#N/A</v>
      </c>
      <c r="R352" s="1247" t="str">
        <f>IFERROR(VLOOKUP(P352,RPCRepaymentDates[],1,FALSE),"")</f>
        <v/>
      </c>
      <c r="S352" s="1259">
        <f t="shared" si="39"/>
        <v>0</v>
      </c>
      <c r="T352" s="1247" t="str">
        <f>IFERROR(VLOOKUP(P352,RPCChargeCycleDates[],1,FALSE),"")</f>
        <v/>
      </c>
      <c r="U352" s="1248" t="str">
        <f>IFERROR(_xlfn.DAYS(T352,$Q$16)-SUM(U$26:U351),"")</f>
        <v/>
      </c>
      <c r="V352" s="1258">
        <f t="shared" ca="1" si="40"/>
        <v>0</v>
      </c>
      <c r="W352" s="1258">
        <f t="shared" ca="1" si="41"/>
        <v>0</v>
      </c>
      <c r="X352" s="1258" t="e">
        <f t="shared" ca="1" si="42"/>
        <v>#N/A</v>
      </c>
      <c r="Y352" s="1240"/>
      <c r="Z352" s="1240"/>
      <c r="AA352" s="1240"/>
      <c r="AB352" s="1240"/>
      <c r="AC352" s="1254" t="e">
        <f t="shared" si="38"/>
        <v>#NUM!</v>
      </c>
      <c r="AD352" s="1240"/>
      <c r="AE352" s="1240"/>
      <c r="AF352" s="1240"/>
      <c r="AG352" s="1240"/>
      <c r="AH352" s="1240"/>
      <c r="AI352" s="1240"/>
      <c r="AJ352" s="1240"/>
      <c r="AK352" s="1240"/>
      <c r="AL352" s="1240"/>
      <c r="AM352" s="1240"/>
      <c r="AN352" s="1240"/>
      <c r="AO352" s="1240"/>
      <c r="AP352" s="1240"/>
    </row>
    <row r="353" spans="1:42" ht="18.75" customHeight="1" x14ac:dyDescent="0.35">
      <c r="A353" s="1240"/>
      <c r="B353" s="1240"/>
      <c r="C353" s="1240"/>
      <c r="D353" s="1240"/>
      <c r="E353" s="1240"/>
      <c r="F353" s="1240"/>
      <c r="G353" s="1240"/>
      <c r="H353" s="1240"/>
      <c r="I353" s="1240"/>
      <c r="J353" s="1240"/>
      <c r="K353" s="1240"/>
      <c r="L353" s="1240"/>
      <c r="M353" s="1240"/>
      <c r="N353" s="1240"/>
      <c r="O353" s="1240"/>
      <c r="P353" s="1247">
        <f t="shared" si="44"/>
        <v>327</v>
      </c>
      <c r="Q353" s="1253" t="e">
        <f t="shared" ca="1" si="43"/>
        <v>#N/A</v>
      </c>
      <c r="R353" s="1247" t="str">
        <f>IFERROR(VLOOKUP(P353,RPCRepaymentDates[],1,FALSE),"")</f>
        <v/>
      </c>
      <c r="S353" s="1259">
        <f t="shared" si="39"/>
        <v>0</v>
      </c>
      <c r="T353" s="1247" t="str">
        <f>IFERROR(VLOOKUP(P353,RPCChargeCycleDates[],1,FALSE),"")</f>
        <v/>
      </c>
      <c r="U353" s="1248" t="str">
        <f>IFERROR(_xlfn.DAYS(T353,$Q$16)-SUM(U$26:U352),"")</f>
        <v/>
      </c>
      <c r="V353" s="1258">
        <f t="shared" ca="1" si="40"/>
        <v>0</v>
      </c>
      <c r="W353" s="1258">
        <f t="shared" ca="1" si="41"/>
        <v>0</v>
      </c>
      <c r="X353" s="1258" t="e">
        <f t="shared" ca="1" si="42"/>
        <v>#N/A</v>
      </c>
      <c r="Y353" s="1240"/>
      <c r="Z353" s="1240"/>
      <c r="AA353" s="1240"/>
      <c r="AB353" s="1240"/>
      <c r="AC353" s="1254" t="e">
        <f t="shared" si="38"/>
        <v>#NUM!</v>
      </c>
      <c r="AD353" s="1240"/>
      <c r="AE353" s="1240"/>
      <c r="AF353" s="1240"/>
      <c r="AG353" s="1240"/>
      <c r="AH353" s="1240"/>
      <c r="AI353" s="1240"/>
      <c r="AJ353" s="1240"/>
      <c r="AK353" s="1240"/>
      <c r="AL353" s="1240"/>
      <c r="AM353" s="1240"/>
      <c r="AN353" s="1240"/>
      <c r="AO353" s="1240"/>
      <c r="AP353" s="1240"/>
    </row>
    <row r="354" spans="1:42" ht="18.75" customHeight="1" x14ac:dyDescent="0.35">
      <c r="A354" s="1240"/>
      <c r="B354" s="1240"/>
      <c r="C354" s="1240"/>
      <c r="D354" s="1240"/>
      <c r="E354" s="1240"/>
      <c r="F354" s="1240"/>
      <c r="G354" s="1240"/>
      <c r="H354" s="1240"/>
      <c r="I354" s="1240"/>
      <c r="J354" s="1240"/>
      <c r="K354" s="1240"/>
      <c r="L354" s="1240"/>
      <c r="M354" s="1240"/>
      <c r="N354" s="1240"/>
      <c r="O354" s="1240"/>
      <c r="P354" s="1247">
        <f t="shared" si="44"/>
        <v>328</v>
      </c>
      <c r="Q354" s="1253" t="e">
        <f t="shared" ca="1" si="43"/>
        <v>#N/A</v>
      </c>
      <c r="R354" s="1247" t="str">
        <f>IFERROR(VLOOKUP(P354,RPCRepaymentDates[],1,FALSE),"")</f>
        <v/>
      </c>
      <c r="S354" s="1259">
        <f t="shared" si="39"/>
        <v>0</v>
      </c>
      <c r="T354" s="1247" t="str">
        <f>IFERROR(VLOOKUP(P354,RPCChargeCycleDates[],1,FALSE),"")</f>
        <v/>
      </c>
      <c r="U354" s="1248" t="str">
        <f>IFERROR(_xlfn.DAYS(T354,$Q$16)-SUM(U$26:U353),"")</f>
        <v/>
      </c>
      <c r="V354" s="1258">
        <f t="shared" ca="1" si="40"/>
        <v>0</v>
      </c>
      <c r="W354" s="1258">
        <f t="shared" ca="1" si="41"/>
        <v>0</v>
      </c>
      <c r="X354" s="1258" t="e">
        <f t="shared" ca="1" si="42"/>
        <v>#N/A</v>
      </c>
      <c r="Y354" s="1240"/>
      <c r="Z354" s="1240"/>
      <c r="AA354" s="1240"/>
      <c r="AB354" s="1240"/>
      <c r="AC354" s="1254" t="e">
        <f t="shared" si="38"/>
        <v>#NUM!</v>
      </c>
      <c r="AD354" s="1240"/>
      <c r="AE354" s="1240"/>
      <c r="AF354" s="1240"/>
      <c r="AG354" s="1240"/>
      <c r="AH354" s="1240"/>
      <c r="AI354" s="1240"/>
      <c r="AJ354" s="1240"/>
      <c r="AK354" s="1240"/>
      <c r="AL354" s="1240"/>
      <c r="AM354" s="1240"/>
      <c r="AN354" s="1240"/>
      <c r="AO354" s="1240"/>
      <c r="AP354" s="1240"/>
    </row>
    <row r="355" spans="1:42" ht="18.75" customHeight="1" x14ac:dyDescent="0.35">
      <c r="A355" s="1240"/>
      <c r="B355" s="1240"/>
      <c r="C355" s="1240"/>
      <c r="D355" s="1240"/>
      <c r="E355" s="1240"/>
      <c r="F355" s="1240"/>
      <c r="G355" s="1240"/>
      <c r="H355" s="1240"/>
      <c r="I355" s="1240"/>
      <c r="J355" s="1240"/>
      <c r="K355" s="1240"/>
      <c r="L355" s="1240"/>
      <c r="M355" s="1240"/>
      <c r="N355" s="1240"/>
      <c r="O355" s="1240"/>
      <c r="P355" s="1247">
        <f t="shared" si="44"/>
        <v>329</v>
      </c>
      <c r="Q355" s="1253" t="e">
        <f t="shared" ca="1" si="43"/>
        <v>#N/A</v>
      </c>
      <c r="R355" s="1247" t="str">
        <f>IFERROR(VLOOKUP(P355,RPCRepaymentDates[],1,FALSE),"")</f>
        <v/>
      </c>
      <c r="S355" s="1259">
        <f t="shared" si="39"/>
        <v>0</v>
      </c>
      <c r="T355" s="1247" t="str">
        <f>IFERROR(VLOOKUP(P355,RPCChargeCycleDates[],1,FALSE),"")</f>
        <v/>
      </c>
      <c r="U355" s="1248" t="str">
        <f>IFERROR(_xlfn.DAYS(T355,$Q$16)-SUM(U$26:U354),"")</f>
        <v/>
      </c>
      <c r="V355" s="1258">
        <f t="shared" ca="1" si="40"/>
        <v>0</v>
      </c>
      <c r="W355" s="1258">
        <f t="shared" ca="1" si="41"/>
        <v>0</v>
      </c>
      <c r="X355" s="1258" t="e">
        <f t="shared" ca="1" si="42"/>
        <v>#N/A</v>
      </c>
      <c r="Y355" s="1240"/>
      <c r="Z355" s="1240"/>
      <c r="AA355" s="1240"/>
      <c r="AB355" s="1240"/>
      <c r="AC355" s="1254" t="e">
        <f t="shared" si="38"/>
        <v>#NUM!</v>
      </c>
      <c r="AD355" s="1240"/>
      <c r="AE355" s="1240"/>
      <c r="AF355" s="1240"/>
      <c r="AG355" s="1240"/>
      <c r="AH355" s="1240"/>
      <c r="AI355" s="1240"/>
      <c r="AJ355" s="1240"/>
      <c r="AK355" s="1240"/>
      <c r="AL355" s="1240"/>
      <c r="AM355" s="1240"/>
      <c r="AN355" s="1240"/>
      <c r="AO355" s="1240"/>
      <c r="AP355" s="1240"/>
    </row>
    <row r="356" spans="1:42" ht="18.75" customHeight="1" x14ac:dyDescent="0.35">
      <c r="A356" s="1240"/>
      <c r="B356" s="1240"/>
      <c r="C356" s="1240"/>
      <c r="D356" s="1240"/>
      <c r="E356" s="1240"/>
      <c r="F356" s="1240"/>
      <c r="G356" s="1240"/>
      <c r="H356" s="1240"/>
      <c r="I356" s="1240"/>
      <c r="J356" s="1240"/>
      <c r="K356" s="1240"/>
      <c r="L356" s="1240"/>
      <c r="M356" s="1240"/>
      <c r="N356" s="1240"/>
      <c r="O356" s="1240"/>
      <c r="P356" s="1247">
        <f t="shared" si="44"/>
        <v>330</v>
      </c>
      <c r="Q356" s="1253" t="e">
        <f t="shared" ca="1" si="43"/>
        <v>#N/A</v>
      </c>
      <c r="R356" s="1247" t="str">
        <f>IFERROR(VLOOKUP(P356,RPCRepaymentDates[],1,FALSE),"")</f>
        <v/>
      </c>
      <c r="S356" s="1259">
        <f t="shared" si="39"/>
        <v>0</v>
      </c>
      <c r="T356" s="1247" t="str">
        <f>IFERROR(VLOOKUP(P356,RPCChargeCycleDates[],1,FALSE),"")</f>
        <v/>
      </c>
      <c r="U356" s="1248" t="str">
        <f>IFERROR(_xlfn.DAYS(T356,$Q$16)-SUM(U$26:U355),"")</f>
        <v/>
      </c>
      <c r="V356" s="1258">
        <f t="shared" ca="1" si="40"/>
        <v>0</v>
      </c>
      <c r="W356" s="1258">
        <f t="shared" ca="1" si="41"/>
        <v>0</v>
      </c>
      <c r="X356" s="1258" t="e">
        <f t="shared" ca="1" si="42"/>
        <v>#N/A</v>
      </c>
      <c r="Y356" s="1240"/>
      <c r="Z356" s="1240"/>
      <c r="AA356" s="1240"/>
      <c r="AB356" s="1240"/>
      <c r="AC356" s="1254" t="e">
        <f t="shared" si="38"/>
        <v>#NUM!</v>
      </c>
      <c r="AD356" s="1240"/>
      <c r="AE356" s="1240"/>
      <c r="AF356" s="1240"/>
      <c r="AG356" s="1240"/>
      <c r="AH356" s="1240"/>
      <c r="AI356" s="1240"/>
      <c r="AJ356" s="1240"/>
      <c r="AK356" s="1240"/>
      <c r="AL356" s="1240"/>
      <c r="AM356" s="1240"/>
      <c r="AN356" s="1240"/>
      <c r="AO356" s="1240"/>
      <c r="AP356" s="1240"/>
    </row>
    <row r="357" spans="1:42" ht="18.75" customHeight="1" x14ac:dyDescent="0.35">
      <c r="A357" s="1240"/>
      <c r="B357" s="1240"/>
      <c r="C357" s="1240"/>
      <c r="D357" s="1240"/>
      <c r="E357" s="1240"/>
      <c r="F357" s="1240"/>
      <c r="G357" s="1240"/>
      <c r="H357" s="1240"/>
      <c r="I357" s="1240"/>
      <c r="J357" s="1240"/>
      <c r="K357" s="1240"/>
      <c r="L357" s="1240"/>
      <c r="M357" s="1240"/>
      <c r="N357" s="1240"/>
      <c r="O357" s="1240"/>
      <c r="P357" s="1247">
        <f t="shared" si="44"/>
        <v>331</v>
      </c>
      <c r="Q357" s="1253" t="e">
        <f t="shared" ca="1" si="43"/>
        <v>#N/A</v>
      </c>
      <c r="R357" s="1247" t="str">
        <f>IFERROR(VLOOKUP(P357,RPCRepaymentDates[],1,FALSE),"")</f>
        <v/>
      </c>
      <c r="S357" s="1259">
        <f t="shared" si="39"/>
        <v>0</v>
      </c>
      <c r="T357" s="1247" t="str">
        <f>IFERROR(VLOOKUP(P357,RPCChargeCycleDates[],1,FALSE),"")</f>
        <v/>
      </c>
      <c r="U357" s="1248" t="str">
        <f>IFERROR(_xlfn.DAYS(T357,$Q$16)-SUM(U$26:U356),"")</f>
        <v/>
      </c>
      <c r="V357" s="1258">
        <f t="shared" ca="1" si="40"/>
        <v>0</v>
      </c>
      <c r="W357" s="1258">
        <f t="shared" ca="1" si="41"/>
        <v>0</v>
      </c>
      <c r="X357" s="1258" t="e">
        <f t="shared" ca="1" si="42"/>
        <v>#N/A</v>
      </c>
      <c r="Y357" s="1240"/>
      <c r="Z357" s="1240"/>
      <c r="AA357" s="1240"/>
      <c r="AB357" s="1240"/>
      <c r="AC357" s="1254" t="e">
        <f t="shared" si="38"/>
        <v>#NUM!</v>
      </c>
      <c r="AD357" s="1240"/>
      <c r="AE357" s="1240"/>
      <c r="AF357" s="1240"/>
      <c r="AG357" s="1240"/>
      <c r="AH357" s="1240"/>
      <c r="AI357" s="1240"/>
      <c r="AJ357" s="1240"/>
      <c r="AK357" s="1240"/>
      <c r="AL357" s="1240"/>
      <c r="AM357" s="1240"/>
      <c r="AN357" s="1240"/>
      <c r="AO357" s="1240"/>
      <c r="AP357" s="1240"/>
    </row>
    <row r="358" spans="1:42" ht="18.75" customHeight="1" x14ac:dyDescent="0.35">
      <c r="A358" s="1240"/>
      <c r="B358" s="1240"/>
      <c r="C358" s="1240"/>
      <c r="D358" s="1240"/>
      <c r="E358" s="1240"/>
      <c r="F358" s="1240"/>
      <c r="G358" s="1240"/>
      <c r="H358" s="1240"/>
      <c r="I358" s="1240"/>
      <c r="J358" s="1240"/>
      <c r="K358" s="1240"/>
      <c r="L358" s="1240"/>
      <c r="M358" s="1240"/>
      <c r="N358" s="1240"/>
      <c r="O358" s="1240"/>
      <c r="P358" s="1247">
        <f t="shared" si="44"/>
        <v>332</v>
      </c>
      <c r="Q358" s="1253" t="e">
        <f t="shared" ca="1" si="43"/>
        <v>#N/A</v>
      </c>
      <c r="R358" s="1247" t="str">
        <f>IFERROR(VLOOKUP(P358,RPCRepaymentDates[],1,FALSE),"")</f>
        <v/>
      </c>
      <c r="S358" s="1259">
        <f t="shared" si="39"/>
        <v>0</v>
      </c>
      <c r="T358" s="1247" t="str">
        <f>IFERROR(VLOOKUP(P358,RPCChargeCycleDates[],1,FALSE),"")</f>
        <v/>
      </c>
      <c r="U358" s="1248" t="str">
        <f>IFERROR(_xlfn.DAYS(T358,$Q$16)-SUM(U$26:U357),"")</f>
        <v/>
      </c>
      <c r="V358" s="1258">
        <f t="shared" ca="1" si="40"/>
        <v>0</v>
      </c>
      <c r="W358" s="1258">
        <f t="shared" ca="1" si="41"/>
        <v>0</v>
      </c>
      <c r="X358" s="1258" t="e">
        <f t="shared" ca="1" si="42"/>
        <v>#N/A</v>
      </c>
      <c r="Y358" s="1240"/>
      <c r="Z358" s="1240"/>
      <c r="AA358" s="1240"/>
      <c r="AB358" s="1240"/>
      <c r="AC358" s="1254" t="e">
        <f t="shared" si="38"/>
        <v>#NUM!</v>
      </c>
      <c r="AD358" s="1240"/>
      <c r="AE358" s="1240"/>
      <c r="AF358" s="1240"/>
      <c r="AG358" s="1240"/>
      <c r="AH358" s="1240"/>
      <c r="AI358" s="1240"/>
      <c r="AJ358" s="1240"/>
      <c r="AK358" s="1240"/>
      <c r="AL358" s="1240"/>
      <c r="AM358" s="1240"/>
      <c r="AN358" s="1240"/>
      <c r="AO358" s="1240"/>
      <c r="AP358" s="1240"/>
    </row>
    <row r="359" spans="1:42" ht="18.75" customHeight="1" x14ac:dyDescent="0.35">
      <c r="A359" s="1240"/>
      <c r="B359" s="1240"/>
      <c r="C359" s="1240"/>
      <c r="D359" s="1240"/>
      <c r="E359" s="1240"/>
      <c r="F359" s="1240"/>
      <c r="G359" s="1240"/>
      <c r="H359" s="1240"/>
      <c r="I359" s="1240"/>
      <c r="J359" s="1240"/>
      <c r="K359" s="1240"/>
      <c r="L359" s="1240"/>
      <c r="M359" s="1240"/>
      <c r="N359" s="1240"/>
      <c r="O359" s="1240"/>
      <c r="P359" s="1247">
        <f t="shared" si="44"/>
        <v>333</v>
      </c>
      <c r="Q359" s="1253" t="e">
        <f t="shared" ca="1" si="43"/>
        <v>#N/A</v>
      </c>
      <c r="R359" s="1247" t="str">
        <f>IFERROR(VLOOKUP(P359,RPCRepaymentDates[],1,FALSE),"")</f>
        <v/>
      </c>
      <c r="S359" s="1259">
        <f t="shared" si="39"/>
        <v>0</v>
      </c>
      <c r="T359" s="1247">
        <f>IFERROR(VLOOKUP(P359,RPCChargeCycleDates[],1,FALSE),"")</f>
        <v>333</v>
      </c>
      <c r="U359" s="1248">
        <f>IFERROR(_xlfn.DAYS(T359,$Q$16)-SUM(U$26:U358),"")</f>
        <v>31</v>
      </c>
      <c r="V359" s="1258">
        <f t="shared" ca="1" si="40"/>
        <v>0</v>
      </c>
      <c r="W359" s="1258">
        <f t="shared" ca="1" si="41"/>
        <v>0</v>
      </c>
      <c r="X359" s="1258" t="e">
        <f t="shared" ca="1" si="42"/>
        <v>#N/A</v>
      </c>
      <c r="Y359" s="1240"/>
      <c r="Z359" s="1240"/>
      <c r="AA359" s="1240"/>
      <c r="AB359" s="1240"/>
      <c r="AC359" s="1254" t="e">
        <f t="shared" si="38"/>
        <v>#NUM!</v>
      </c>
      <c r="AD359" s="1240"/>
      <c r="AE359" s="1240"/>
      <c r="AF359" s="1240"/>
      <c r="AG359" s="1240"/>
      <c r="AH359" s="1240"/>
      <c r="AI359" s="1240"/>
      <c r="AJ359" s="1240"/>
      <c r="AK359" s="1240"/>
      <c r="AL359" s="1240"/>
      <c r="AM359" s="1240"/>
      <c r="AN359" s="1240"/>
      <c r="AO359" s="1240"/>
      <c r="AP359" s="1240"/>
    </row>
    <row r="360" spans="1:42" ht="18.75" customHeight="1" x14ac:dyDescent="0.35">
      <c r="A360" s="1240"/>
      <c r="B360" s="1240"/>
      <c r="C360" s="1240"/>
      <c r="D360" s="1240"/>
      <c r="E360" s="1240"/>
      <c r="F360" s="1240"/>
      <c r="G360" s="1240"/>
      <c r="H360" s="1240"/>
      <c r="I360" s="1240"/>
      <c r="J360" s="1240"/>
      <c r="K360" s="1240"/>
      <c r="L360" s="1240"/>
      <c r="M360" s="1240"/>
      <c r="N360" s="1240"/>
      <c r="O360" s="1240"/>
      <c r="P360" s="1247">
        <f t="shared" si="44"/>
        <v>334</v>
      </c>
      <c r="Q360" s="1253" t="e">
        <f t="shared" ca="1" si="43"/>
        <v>#N/A</v>
      </c>
      <c r="R360" s="1247" t="str">
        <f>IFERROR(VLOOKUP(P360,RPCRepaymentDates[],1,FALSE),"")</f>
        <v/>
      </c>
      <c r="S360" s="1259">
        <f t="shared" si="39"/>
        <v>0</v>
      </c>
      <c r="T360" s="1247" t="str">
        <f>IFERROR(VLOOKUP(P360,RPCChargeCycleDates[],1,FALSE),"")</f>
        <v/>
      </c>
      <c r="U360" s="1248" t="str">
        <f>IFERROR(_xlfn.DAYS(T360,$Q$16)-SUM(U$26:U359),"")</f>
        <v/>
      </c>
      <c r="V360" s="1258">
        <f t="shared" ca="1" si="40"/>
        <v>0</v>
      </c>
      <c r="W360" s="1258">
        <f t="shared" ca="1" si="41"/>
        <v>0</v>
      </c>
      <c r="X360" s="1258" t="e">
        <f t="shared" ca="1" si="42"/>
        <v>#N/A</v>
      </c>
      <c r="Y360" s="1240"/>
      <c r="Z360" s="1240"/>
      <c r="AA360" s="1240"/>
      <c r="AB360" s="1240"/>
      <c r="AC360" s="1254" t="e">
        <f t="shared" si="38"/>
        <v>#NUM!</v>
      </c>
      <c r="AD360" s="1240"/>
      <c r="AE360" s="1240"/>
      <c r="AF360" s="1240"/>
      <c r="AG360" s="1240"/>
      <c r="AH360" s="1240"/>
      <c r="AI360" s="1240"/>
      <c r="AJ360" s="1240"/>
      <c r="AK360" s="1240"/>
      <c r="AL360" s="1240"/>
      <c r="AM360" s="1240"/>
      <c r="AN360" s="1240"/>
      <c r="AO360" s="1240"/>
      <c r="AP360" s="1240"/>
    </row>
    <row r="361" spans="1:42" ht="18.75" customHeight="1" x14ac:dyDescent="0.35">
      <c r="A361" s="1240"/>
      <c r="B361" s="1240"/>
      <c r="C361" s="1240"/>
      <c r="D361" s="1240"/>
      <c r="E361" s="1240"/>
      <c r="F361" s="1240"/>
      <c r="G361" s="1240"/>
      <c r="H361" s="1240"/>
      <c r="I361" s="1240"/>
      <c r="J361" s="1240"/>
      <c r="K361" s="1240"/>
      <c r="L361" s="1240"/>
      <c r="M361" s="1240"/>
      <c r="N361" s="1240"/>
      <c r="O361" s="1240"/>
      <c r="P361" s="1247">
        <f t="shared" si="44"/>
        <v>335</v>
      </c>
      <c r="Q361" s="1253" t="e">
        <f t="shared" ca="1" si="43"/>
        <v>#N/A</v>
      </c>
      <c r="R361" s="1247" t="str">
        <f>IFERROR(VLOOKUP(P361,RPCRepaymentDates[],1,FALSE),"")</f>
        <v/>
      </c>
      <c r="S361" s="1259">
        <f t="shared" si="39"/>
        <v>0</v>
      </c>
      <c r="T361" s="1247" t="str">
        <f>IFERROR(VLOOKUP(P361,RPCChargeCycleDates[],1,FALSE),"")</f>
        <v/>
      </c>
      <c r="U361" s="1248" t="str">
        <f>IFERROR(_xlfn.DAYS(T361,$Q$16)-SUM(U$26:U360),"")</f>
        <v/>
      </c>
      <c r="V361" s="1258">
        <f t="shared" ca="1" si="40"/>
        <v>0</v>
      </c>
      <c r="W361" s="1258">
        <f t="shared" ca="1" si="41"/>
        <v>0</v>
      </c>
      <c r="X361" s="1258" t="e">
        <f t="shared" ca="1" si="42"/>
        <v>#N/A</v>
      </c>
      <c r="Y361" s="1240"/>
      <c r="Z361" s="1240"/>
      <c r="AA361" s="1240"/>
      <c r="AB361" s="1240"/>
      <c r="AC361" s="1254" t="e">
        <f t="shared" si="38"/>
        <v>#NUM!</v>
      </c>
      <c r="AD361" s="1240"/>
      <c r="AE361" s="1240"/>
      <c r="AF361" s="1240"/>
      <c r="AG361" s="1240"/>
      <c r="AH361" s="1240"/>
      <c r="AI361" s="1240"/>
      <c r="AJ361" s="1240"/>
      <c r="AK361" s="1240"/>
      <c r="AL361" s="1240"/>
      <c r="AM361" s="1240"/>
      <c r="AN361" s="1240"/>
      <c r="AO361" s="1240"/>
      <c r="AP361" s="1240"/>
    </row>
    <row r="362" spans="1:42" ht="18.75" customHeight="1" x14ac:dyDescent="0.35">
      <c r="A362" s="1240"/>
      <c r="B362" s="1240"/>
      <c r="C362" s="1240"/>
      <c r="D362" s="1240"/>
      <c r="E362" s="1240"/>
      <c r="F362" s="1240"/>
      <c r="G362" s="1240"/>
      <c r="H362" s="1240"/>
      <c r="I362" s="1240"/>
      <c r="J362" s="1240"/>
      <c r="K362" s="1240"/>
      <c r="L362" s="1240"/>
      <c r="M362" s="1240"/>
      <c r="N362" s="1240"/>
      <c r="O362" s="1240"/>
      <c r="P362" s="1247">
        <f t="shared" si="44"/>
        <v>336</v>
      </c>
      <c r="Q362" s="1253" t="e">
        <f t="shared" ca="1" si="43"/>
        <v>#N/A</v>
      </c>
      <c r="R362" s="1247" t="str">
        <f>IFERROR(VLOOKUP(P362,RPCRepaymentDates[],1,FALSE),"")</f>
        <v/>
      </c>
      <c r="S362" s="1259">
        <f t="shared" si="39"/>
        <v>0</v>
      </c>
      <c r="T362" s="1247" t="str">
        <f>IFERROR(VLOOKUP(P362,RPCChargeCycleDates[],1,FALSE),"")</f>
        <v/>
      </c>
      <c r="U362" s="1248" t="str">
        <f>IFERROR(_xlfn.DAYS(T362,$Q$16)-SUM(U$26:U361),"")</f>
        <v/>
      </c>
      <c r="V362" s="1258">
        <f t="shared" ca="1" si="40"/>
        <v>0</v>
      </c>
      <c r="W362" s="1258">
        <f t="shared" ca="1" si="41"/>
        <v>0</v>
      </c>
      <c r="X362" s="1258" t="e">
        <f t="shared" ca="1" si="42"/>
        <v>#N/A</v>
      </c>
      <c r="Y362" s="1240"/>
      <c r="Z362" s="1240"/>
      <c r="AA362" s="1240"/>
      <c r="AB362" s="1240"/>
      <c r="AC362" s="1254" t="e">
        <f t="shared" si="38"/>
        <v>#NUM!</v>
      </c>
      <c r="AD362" s="1240"/>
      <c r="AE362" s="1240"/>
      <c r="AF362" s="1240"/>
      <c r="AG362" s="1240"/>
      <c r="AH362" s="1240"/>
      <c r="AI362" s="1240"/>
      <c r="AJ362" s="1240"/>
      <c r="AK362" s="1240"/>
      <c r="AL362" s="1240"/>
      <c r="AM362" s="1240"/>
      <c r="AN362" s="1240"/>
      <c r="AO362" s="1240"/>
      <c r="AP362" s="1240"/>
    </row>
    <row r="363" spans="1:42" ht="18.75" customHeight="1" x14ac:dyDescent="0.35">
      <c r="A363" s="1240"/>
      <c r="B363" s="1240"/>
      <c r="C363" s="1240"/>
      <c r="D363" s="1240"/>
      <c r="E363" s="1240"/>
      <c r="F363" s="1240"/>
      <c r="G363" s="1240"/>
      <c r="H363" s="1240"/>
      <c r="I363" s="1240"/>
      <c r="J363" s="1240"/>
      <c r="K363" s="1240"/>
      <c r="L363" s="1240"/>
      <c r="M363" s="1240"/>
      <c r="N363" s="1240"/>
      <c r="O363" s="1240"/>
      <c r="P363" s="1247">
        <f t="shared" si="44"/>
        <v>337</v>
      </c>
      <c r="Q363" s="1253" t="e">
        <f t="shared" ca="1" si="43"/>
        <v>#N/A</v>
      </c>
      <c r="R363" s="1247" t="str">
        <f>IFERROR(VLOOKUP(P363,RPCRepaymentDates[],1,FALSE),"")</f>
        <v/>
      </c>
      <c r="S363" s="1259">
        <f t="shared" si="39"/>
        <v>0</v>
      </c>
      <c r="T363" s="1247" t="str">
        <f>IFERROR(VLOOKUP(P363,RPCChargeCycleDates[],1,FALSE),"")</f>
        <v/>
      </c>
      <c r="U363" s="1248" t="str">
        <f>IFERROR(_xlfn.DAYS(T363,$Q$16)-SUM(U$26:U362),"")</f>
        <v/>
      </c>
      <c r="V363" s="1258">
        <f t="shared" ca="1" si="40"/>
        <v>0</v>
      </c>
      <c r="W363" s="1258">
        <f t="shared" ca="1" si="41"/>
        <v>0</v>
      </c>
      <c r="X363" s="1258" t="e">
        <f t="shared" ca="1" si="42"/>
        <v>#N/A</v>
      </c>
      <c r="Y363" s="1240"/>
      <c r="Z363" s="1240"/>
      <c r="AA363" s="1240"/>
      <c r="AB363" s="1240"/>
      <c r="AC363" s="1254" t="e">
        <f t="shared" si="38"/>
        <v>#NUM!</v>
      </c>
      <c r="AD363" s="1240"/>
      <c r="AE363" s="1240"/>
      <c r="AF363" s="1240"/>
      <c r="AG363" s="1240"/>
      <c r="AH363" s="1240"/>
      <c r="AI363" s="1240"/>
      <c r="AJ363" s="1240"/>
      <c r="AK363" s="1240"/>
      <c r="AL363" s="1240"/>
      <c r="AM363" s="1240"/>
      <c r="AN363" s="1240"/>
      <c r="AO363" s="1240"/>
      <c r="AP363" s="1240"/>
    </row>
    <row r="364" spans="1:42" ht="18.75" customHeight="1" x14ac:dyDescent="0.35">
      <c r="A364" s="1240"/>
      <c r="B364" s="1240"/>
      <c r="C364" s="1240"/>
      <c r="D364" s="1240"/>
      <c r="E364" s="1240"/>
      <c r="F364" s="1240"/>
      <c r="G364" s="1240"/>
      <c r="H364" s="1240"/>
      <c r="I364" s="1240"/>
      <c r="J364" s="1240"/>
      <c r="K364" s="1240"/>
      <c r="L364" s="1240"/>
      <c r="M364" s="1240"/>
      <c r="N364" s="1240"/>
      <c r="O364" s="1240"/>
      <c r="P364" s="1247">
        <f t="shared" si="44"/>
        <v>338</v>
      </c>
      <c r="Q364" s="1253" t="e">
        <f t="shared" ca="1" si="43"/>
        <v>#N/A</v>
      </c>
      <c r="R364" s="1247" t="str">
        <f>IFERROR(VLOOKUP(P364,RPCRepaymentDates[],1,FALSE),"")</f>
        <v/>
      </c>
      <c r="S364" s="1259">
        <f t="shared" si="39"/>
        <v>0</v>
      </c>
      <c r="T364" s="1247" t="str">
        <f>IFERROR(VLOOKUP(P364,RPCChargeCycleDates[],1,FALSE),"")</f>
        <v/>
      </c>
      <c r="U364" s="1248" t="str">
        <f>IFERROR(_xlfn.DAYS(T364,$Q$16)-SUM(U$26:U363),"")</f>
        <v/>
      </c>
      <c r="V364" s="1258">
        <f t="shared" ca="1" si="40"/>
        <v>0</v>
      </c>
      <c r="W364" s="1258">
        <f t="shared" ca="1" si="41"/>
        <v>0</v>
      </c>
      <c r="X364" s="1258" t="e">
        <f t="shared" ca="1" si="42"/>
        <v>#N/A</v>
      </c>
      <c r="Y364" s="1240"/>
      <c r="Z364" s="1240"/>
      <c r="AA364" s="1240"/>
      <c r="AB364" s="1240"/>
      <c r="AC364" s="1254" t="e">
        <f t="shared" si="38"/>
        <v>#NUM!</v>
      </c>
      <c r="AD364" s="1240"/>
      <c r="AE364" s="1240"/>
      <c r="AF364" s="1240"/>
      <c r="AG364" s="1240"/>
      <c r="AH364" s="1240"/>
      <c r="AI364" s="1240"/>
      <c r="AJ364" s="1240"/>
      <c r="AK364" s="1240"/>
      <c r="AL364" s="1240"/>
      <c r="AM364" s="1240"/>
      <c r="AN364" s="1240"/>
      <c r="AO364" s="1240"/>
      <c r="AP364" s="1240"/>
    </row>
    <row r="365" spans="1:42" ht="18.75" customHeight="1" x14ac:dyDescent="0.35">
      <c r="A365" s="1240"/>
      <c r="B365" s="1240"/>
      <c r="C365" s="1240"/>
      <c r="D365" s="1240"/>
      <c r="E365" s="1240"/>
      <c r="F365" s="1240"/>
      <c r="G365" s="1240"/>
      <c r="H365" s="1240"/>
      <c r="I365" s="1240"/>
      <c r="J365" s="1240"/>
      <c r="K365" s="1240"/>
      <c r="L365" s="1240"/>
      <c r="M365" s="1240"/>
      <c r="N365" s="1240"/>
      <c r="O365" s="1240"/>
      <c r="P365" s="1247">
        <f t="shared" si="44"/>
        <v>339</v>
      </c>
      <c r="Q365" s="1253" t="e">
        <f t="shared" ca="1" si="43"/>
        <v>#N/A</v>
      </c>
      <c r="R365" s="1247" t="str">
        <f>IFERROR(VLOOKUP(P365,RPCRepaymentDates[],1,FALSE),"")</f>
        <v/>
      </c>
      <c r="S365" s="1259">
        <f t="shared" si="39"/>
        <v>0</v>
      </c>
      <c r="T365" s="1247" t="str">
        <f>IFERROR(VLOOKUP(P365,RPCChargeCycleDates[],1,FALSE),"")</f>
        <v/>
      </c>
      <c r="U365" s="1248" t="str">
        <f>IFERROR(_xlfn.DAYS(T365,$Q$16)-SUM(U$26:U364),"")</f>
        <v/>
      </c>
      <c r="V365" s="1258">
        <f t="shared" ca="1" si="40"/>
        <v>0</v>
      </c>
      <c r="W365" s="1258">
        <f t="shared" ca="1" si="41"/>
        <v>0</v>
      </c>
      <c r="X365" s="1258" t="e">
        <f t="shared" ca="1" si="42"/>
        <v>#N/A</v>
      </c>
      <c r="Y365" s="1240"/>
      <c r="Z365" s="1240"/>
      <c r="AA365" s="1240"/>
      <c r="AB365" s="1240"/>
      <c r="AC365" s="1254" t="e">
        <f t="shared" si="38"/>
        <v>#NUM!</v>
      </c>
      <c r="AD365" s="1240"/>
      <c r="AE365" s="1240"/>
      <c r="AF365" s="1240"/>
      <c r="AG365" s="1240"/>
      <c r="AH365" s="1240"/>
      <c r="AI365" s="1240"/>
      <c r="AJ365" s="1240"/>
      <c r="AK365" s="1240"/>
      <c r="AL365" s="1240"/>
      <c r="AM365" s="1240"/>
      <c r="AN365" s="1240"/>
      <c r="AO365" s="1240"/>
      <c r="AP365" s="1240"/>
    </row>
    <row r="366" spans="1:42" ht="18.75" customHeight="1" x14ac:dyDescent="0.35">
      <c r="A366" s="1240"/>
      <c r="B366" s="1240"/>
      <c r="C366" s="1240"/>
      <c r="D366" s="1240"/>
      <c r="E366" s="1240"/>
      <c r="F366" s="1240"/>
      <c r="G366" s="1240"/>
      <c r="H366" s="1240"/>
      <c r="I366" s="1240"/>
      <c r="J366" s="1240"/>
      <c r="K366" s="1240"/>
      <c r="L366" s="1240"/>
      <c r="M366" s="1240"/>
      <c r="N366" s="1240"/>
      <c r="O366" s="1240"/>
      <c r="P366" s="1247">
        <f t="shared" si="44"/>
        <v>340</v>
      </c>
      <c r="Q366" s="1253" t="e">
        <f t="shared" ca="1" si="43"/>
        <v>#N/A</v>
      </c>
      <c r="R366" s="1247" t="str">
        <f>IFERROR(VLOOKUP(P366,RPCRepaymentDates[],1,FALSE),"")</f>
        <v/>
      </c>
      <c r="S366" s="1259">
        <f t="shared" si="39"/>
        <v>0</v>
      </c>
      <c r="T366" s="1247" t="str">
        <f>IFERROR(VLOOKUP(P366,RPCChargeCycleDates[],1,FALSE),"")</f>
        <v/>
      </c>
      <c r="U366" s="1248" t="str">
        <f>IFERROR(_xlfn.DAYS(T366,$Q$16)-SUM(U$26:U365),"")</f>
        <v/>
      </c>
      <c r="V366" s="1258">
        <f t="shared" ca="1" si="40"/>
        <v>0</v>
      </c>
      <c r="W366" s="1258">
        <f t="shared" ca="1" si="41"/>
        <v>0</v>
      </c>
      <c r="X366" s="1258" t="e">
        <f t="shared" ca="1" si="42"/>
        <v>#N/A</v>
      </c>
      <c r="Y366" s="1240"/>
      <c r="Z366" s="1240"/>
      <c r="AA366" s="1240"/>
      <c r="AB366" s="1240"/>
      <c r="AC366" s="1254" t="e">
        <f t="shared" si="38"/>
        <v>#NUM!</v>
      </c>
      <c r="AD366" s="1240"/>
      <c r="AE366" s="1240"/>
      <c r="AF366" s="1240"/>
      <c r="AG366" s="1240"/>
      <c r="AH366" s="1240"/>
      <c r="AI366" s="1240"/>
      <c r="AJ366" s="1240"/>
      <c r="AK366" s="1240"/>
      <c r="AL366" s="1240"/>
      <c r="AM366" s="1240"/>
      <c r="AN366" s="1240"/>
      <c r="AO366" s="1240"/>
      <c r="AP366" s="1240"/>
    </row>
    <row r="367" spans="1:42" ht="18.75" customHeight="1" x14ac:dyDescent="0.35">
      <c r="A367" s="1240"/>
      <c r="B367" s="1240"/>
      <c r="C367" s="1240"/>
      <c r="D367" s="1240"/>
      <c r="E367" s="1240"/>
      <c r="F367" s="1240"/>
      <c r="G367" s="1240"/>
      <c r="H367" s="1240"/>
      <c r="I367" s="1240"/>
      <c r="J367" s="1240"/>
      <c r="K367" s="1240"/>
      <c r="L367" s="1240"/>
      <c r="M367" s="1240"/>
      <c r="N367" s="1240"/>
      <c r="O367" s="1240"/>
      <c r="P367" s="1247">
        <f t="shared" si="44"/>
        <v>341</v>
      </c>
      <c r="Q367" s="1253" t="e">
        <f t="shared" ca="1" si="43"/>
        <v>#N/A</v>
      </c>
      <c r="R367" s="1247" t="str">
        <f>IFERROR(VLOOKUP(P367,RPCRepaymentDates[],1,FALSE),"")</f>
        <v/>
      </c>
      <c r="S367" s="1259">
        <f t="shared" si="39"/>
        <v>0</v>
      </c>
      <c r="T367" s="1247" t="str">
        <f>IFERROR(VLOOKUP(P367,RPCChargeCycleDates[],1,FALSE),"")</f>
        <v/>
      </c>
      <c r="U367" s="1248" t="str">
        <f>IFERROR(_xlfn.DAYS(T367,$Q$16)-SUM(U$26:U366),"")</f>
        <v/>
      </c>
      <c r="V367" s="1258">
        <f t="shared" ca="1" si="40"/>
        <v>0</v>
      </c>
      <c r="W367" s="1258">
        <f t="shared" ca="1" si="41"/>
        <v>0</v>
      </c>
      <c r="X367" s="1258" t="e">
        <f t="shared" ca="1" si="42"/>
        <v>#N/A</v>
      </c>
      <c r="Y367" s="1240"/>
      <c r="Z367" s="1240"/>
      <c r="AA367" s="1240"/>
      <c r="AB367" s="1240"/>
      <c r="AC367" s="1254" t="e">
        <f t="shared" si="38"/>
        <v>#NUM!</v>
      </c>
      <c r="AD367" s="1240"/>
      <c r="AE367" s="1240"/>
      <c r="AF367" s="1240"/>
      <c r="AG367" s="1240"/>
      <c r="AH367" s="1240"/>
      <c r="AI367" s="1240"/>
      <c r="AJ367" s="1240"/>
      <c r="AK367" s="1240"/>
      <c r="AL367" s="1240"/>
      <c r="AM367" s="1240"/>
      <c r="AN367" s="1240"/>
      <c r="AO367" s="1240"/>
      <c r="AP367" s="1240"/>
    </row>
    <row r="368" spans="1:42" ht="18.75" customHeight="1" x14ac:dyDescent="0.35">
      <c r="A368" s="1240"/>
      <c r="B368" s="1240"/>
      <c r="C368" s="1240"/>
      <c r="D368" s="1240"/>
      <c r="E368" s="1240"/>
      <c r="F368" s="1240"/>
      <c r="G368" s="1240"/>
      <c r="H368" s="1240"/>
      <c r="I368" s="1240"/>
      <c r="J368" s="1240"/>
      <c r="K368" s="1240"/>
      <c r="L368" s="1240"/>
      <c r="M368" s="1240"/>
      <c r="N368" s="1240"/>
      <c r="O368" s="1240"/>
      <c r="P368" s="1247">
        <f t="shared" si="44"/>
        <v>342</v>
      </c>
      <c r="Q368" s="1253" t="e">
        <f t="shared" ca="1" si="43"/>
        <v>#N/A</v>
      </c>
      <c r="R368" s="1247" t="str">
        <f>IFERROR(VLOOKUP(P368,RPCRepaymentDates[],1,FALSE),"")</f>
        <v/>
      </c>
      <c r="S368" s="1259">
        <f t="shared" si="39"/>
        <v>0</v>
      </c>
      <c r="T368" s="1247" t="str">
        <f>IFERROR(VLOOKUP(P368,RPCChargeCycleDates[],1,FALSE),"")</f>
        <v/>
      </c>
      <c r="U368" s="1248" t="str">
        <f>IFERROR(_xlfn.DAYS(T368,$Q$16)-SUM(U$26:U367),"")</f>
        <v/>
      </c>
      <c r="V368" s="1258">
        <f t="shared" ca="1" si="40"/>
        <v>0</v>
      </c>
      <c r="W368" s="1258">
        <f t="shared" ca="1" si="41"/>
        <v>0</v>
      </c>
      <c r="X368" s="1258" t="e">
        <f t="shared" ca="1" si="42"/>
        <v>#N/A</v>
      </c>
      <c r="Y368" s="1240"/>
      <c r="Z368" s="1240"/>
      <c r="AA368" s="1240"/>
      <c r="AB368" s="1240"/>
      <c r="AC368" s="1254" t="e">
        <f t="shared" si="38"/>
        <v>#NUM!</v>
      </c>
      <c r="AD368" s="1240"/>
      <c r="AE368" s="1240"/>
      <c r="AF368" s="1240"/>
      <c r="AG368" s="1240"/>
      <c r="AH368" s="1240"/>
      <c r="AI368" s="1240"/>
      <c r="AJ368" s="1240"/>
      <c r="AK368" s="1240"/>
      <c r="AL368" s="1240"/>
      <c r="AM368" s="1240"/>
      <c r="AN368" s="1240"/>
      <c r="AO368" s="1240"/>
      <c r="AP368" s="1240"/>
    </row>
    <row r="369" spans="1:42" ht="18.75" customHeight="1" x14ac:dyDescent="0.35">
      <c r="A369" s="1240"/>
      <c r="B369" s="1240"/>
      <c r="C369" s="1240"/>
      <c r="D369" s="1240"/>
      <c r="E369" s="1240"/>
      <c r="F369" s="1240"/>
      <c r="G369" s="1240"/>
      <c r="H369" s="1240"/>
      <c r="I369" s="1240"/>
      <c r="J369" s="1240"/>
      <c r="K369" s="1240"/>
      <c r="L369" s="1240"/>
      <c r="M369" s="1240"/>
      <c r="N369" s="1240"/>
      <c r="O369" s="1240"/>
      <c r="P369" s="1247">
        <f t="shared" si="44"/>
        <v>343</v>
      </c>
      <c r="Q369" s="1253" t="e">
        <f t="shared" ca="1" si="43"/>
        <v>#N/A</v>
      </c>
      <c r="R369" s="1247" t="str">
        <f>IFERROR(VLOOKUP(P369,RPCRepaymentDates[],1,FALSE),"")</f>
        <v/>
      </c>
      <c r="S369" s="1259">
        <f t="shared" si="39"/>
        <v>0</v>
      </c>
      <c r="T369" s="1247" t="str">
        <f>IFERROR(VLOOKUP(P369,RPCChargeCycleDates[],1,FALSE),"")</f>
        <v/>
      </c>
      <c r="U369" s="1248" t="str">
        <f>IFERROR(_xlfn.DAYS(T369,$Q$16)-SUM(U$26:U368),"")</f>
        <v/>
      </c>
      <c r="V369" s="1258">
        <f t="shared" ca="1" si="40"/>
        <v>0</v>
      </c>
      <c r="W369" s="1258">
        <f t="shared" ca="1" si="41"/>
        <v>0</v>
      </c>
      <c r="X369" s="1258" t="e">
        <f t="shared" ca="1" si="42"/>
        <v>#N/A</v>
      </c>
      <c r="Y369" s="1240"/>
      <c r="Z369" s="1240"/>
      <c r="AA369" s="1240"/>
      <c r="AB369" s="1240"/>
      <c r="AC369" s="1254" t="e">
        <f t="shared" si="38"/>
        <v>#NUM!</v>
      </c>
      <c r="AD369" s="1240"/>
      <c r="AE369" s="1240"/>
      <c r="AF369" s="1240"/>
      <c r="AG369" s="1240"/>
      <c r="AH369" s="1240"/>
      <c r="AI369" s="1240"/>
      <c r="AJ369" s="1240"/>
      <c r="AK369" s="1240"/>
      <c r="AL369" s="1240"/>
      <c r="AM369" s="1240"/>
      <c r="AN369" s="1240"/>
      <c r="AO369" s="1240"/>
      <c r="AP369" s="1240"/>
    </row>
    <row r="370" spans="1:42" ht="18.75" customHeight="1" x14ac:dyDescent="0.35">
      <c r="A370" s="1240"/>
      <c r="B370" s="1240"/>
      <c r="C370" s="1240"/>
      <c r="D370" s="1240"/>
      <c r="E370" s="1240"/>
      <c r="F370" s="1240"/>
      <c r="G370" s="1240"/>
      <c r="H370" s="1240"/>
      <c r="I370" s="1240"/>
      <c r="J370" s="1240"/>
      <c r="K370" s="1240"/>
      <c r="L370" s="1240"/>
      <c r="M370" s="1240"/>
      <c r="N370" s="1240"/>
      <c r="O370" s="1240"/>
      <c r="P370" s="1247">
        <f t="shared" si="44"/>
        <v>344</v>
      </c>
      <c r="Q370" s="1253" t="e">
        <f t="shared" ca="1" si="43"/>
        <v>#N/A</v>
      </c>
      <c r="R370" s="1247" t="str">
        <f>IFERROR(VLOOKUP(P370,RPCRepaymentDates[],1,FALSE),"")</f>
        <v/>
      </c>
      <c r="S370" s="1259">
        <f t="shared" si="39"/>
        <v>0</v>
      </c>
      <c r="T370" s="1247" t="str">
        <f>IFERROR(VLOOKUP(P370,RPCChargeCycleDates[],1,FALSE),"")</f>
        <v/>
      </c>
      <c r="U370" s="1248" t="str">
        <f>IFERROR(_xlfn.DAYS(T370,$Q$16)-SUM(U$26:U369),"")</f>
        <v/>
      </c>
      <c r="V370" s="1258">
        <f t="shared" ca="1" si="40"/>
        <v>0</v>
      </c>
      <c r="W370" s="1258">
        <f t="shared" ca="1" si="41"/>
        <v>0</v>
      </c>
      <c r="X370" s="1258" t="e">
        <f t="shared" ca="1" si="42"/>
        <v>#N/A</v>
      </c>
      <c r="Y370" s="1240"/>
      <c r="Z370" s="1240"/>
      <c r="AA370" s="1240"/>
      <c r="AB370" s="1240"/>
      <c r="AC370" s="1254" t="e">
        <f t="shared" si="38"/>
        <v>#NUM!</v>
      </c>
      <c r="AD370" s="1240"/>
      <c r="AE370" s="1240"/>
      <c r="AF370" s="1240"/>
      <c r="AG370" s="1240"/>
      <c r="AH370" s="1240"/>
      <c r="AI370" s="1240"/>
      <c r="AJ370" s="1240"/>
      <c r="AK370" s="1240"/>
      <c r="AL370" s="1240"/>
      <c r="AM370" s="1240"/>
      <c r="AN370" s="1240"/>
      <c r="AO370" s="1240"/>
      <c r="AP370" s="1240"/>
    </row>
    <row r="371" spans="1:42" ht="18.75" customHeight="1" x14ac:dyDescent="0.35">
      <c r="A371" s="1240"/>
      <c r="B371" s="1240"/>
      <c r="C371" s="1240"/>
      <c r="D371" s="1240"/>
      <c r="E371" s="1240"/>
      <c r="F371" s="1240"/>
      <c r="G371" s="1240"/>
      <c r="H371" s="1240"/>
      <c r="I371" s="1240"/>
      <c r="J371" s="1240"/>
      <c r="K371" s="1240"/>
      <c r="L371" s="1240"/>
      <c r="M371" s="1240"/>
      <c r="N371" s="1240"/>
      <c r="O371" s="1240"/>
      <c r="P371" s="1247">
        <f t="shared" si="44"/>
        <v>345</v>
      </c>
      <c r="Q371" s="1253" t="e">
        <f t="shared" ca="1" si="43"/>
        <v>#N/A</v>
      </c>
      <c r="R371" s="1247" t="str">
        <f>IFERROR(VLOOKUP(P371,RPCRepaymentDates[],1,FALSE),"")</f>
        <v/>
      </c>
      <c r="S371" s="1259">
        <f t="shared" si="39"/>
        <v>0</v>
      </c>
      <c r="T371" s="1247" t="str">
        <f>IFERROR(VLOOKUP(P371,RPCChargeCycleDates[],1,FALSE),"")</f>
        <v/>
      </c>
      <c r="U371" s="1248" t="str">
        <f>IFERROR(_xlfn.DAYS(T371,$Q$16)-SUM(U$26:U370),"")</f>
        <v/>
      </c>
      <c r="V371" s="1258">
        <f t="shared" ca="1" si="40"/>
        <v>0</v>
      </c>
      <c r="W371" s="1258">
        <f t="shared" ca="1" si="41"/>
        <v>0</v>
      </c>
      <c r="X371" s="1258" t="e">
        <f t="shared" ca="1" si="42"/>
        <v>#N/A</v>
      </c>
      <c r="Y371" s="1240"/>
      <c r="Z371" s="1240"/>
      <c r="AA371" s="1240"/>
      <c r="AB371" s="1240"/>
      <c r="AC371" s="1254" t="e">
        <f t="shared" si="38"/>
        <v>#NUM!</v>
      </c>
      <c r="AD371" s="1240"/>
      <c r="AE371" s="1240"/>
      <c r="AF371" s="1240"/>
      <c r="AG371" s="1240"/>
      <c r="AH371" s="1240"/>
      <c r="AI371" s="1240"/>
      <c r="AJ371" s="1240"/>
      <c r="AK371" s="1240"/>
      <c r="AL371" s="1240"/>
      <c r="AM371" s="1240"/>
      <c r="AN371" s="1240"/>
      <c r="AO371" s="1240"/>
      <c r="AP371" s="1240"/>
    </row>
    <row r="372" spans="1:42" ht="18.75" customHeight="1" x14ac:dyDescent="0.35">
      <c r="A372" s="1240"/>
      <c r="B372" s="1240"/>
      <c r="C372" s="1240"/>
      <c r="D372" s="1240"/>
      <c r="E372" s="1240"/>
      <c r="F372" s="1240"/>
      <c r="G372" s="1240"/>
      <c r="H372" s="1240"/>
      <c r="I372" s="1240"/>
      <c r="J372" s="1240"/>
      <c r="K372" s="1240"/>
      <c r="L372" s="1240"/>
      <c r="M372" s="1240"/>
      <c r="N372" s="1240"/>
      <c r="O372" s="1240"/>
      <c r="P372" s="1247">
        <f t="shared" si="44"/>
        <v>346</v>
      </c>
      <c r="Q372" s="1253" t="e">
        <f t="shared" ca="1" si="43"/>
        <v>#N/A</v>
      </c>
      <c r="R372" s="1247" t="str">
        <f>IFERROR(VLOOKUP(P372,RPCRepaymentDates[],1,FALSE),"")</f>
        <v/>
      </c>
      <c r="S372" s="1259">
        <f t="shared" si="39"/>
        <v>0</v>
      </c>
      <c r="T372" s="1247" t="str">
        <f>IFERROR(VLOOKUP(P372,RPCChargeCycleDates[],1,FALSE),"")</f>
        <v/>
      </c>
      <c r="U372" s="1248" t="str">
        <f>IFERROR(_xlfn.DAYS(T372,$Q$16)-SUM(U$26:U371),"")</f>
        <v/>
      </c>
      <c r="V372" s="1258">
        <f t="shared" ca="1" si="40"/>
        <v>0</v>
      </c>
      <c r="W372" s="1258">
        <f t="shared" ca="1" si="41"/>
        <v>0</v>
      </c>
      <c r="X372" s="1258" t="e">
        <f t="shared" ca="1" si="42"/>
        <v>#N/A</v>
      </c>
      <c r="Y372" s="1240"/>
      <c r="Z372" s="1240"/>
      <c r="AA372" s="1240"/>
      <c r="AB372" s="1240"/>
      <c r="AC372" s="1254" t="e">
        <f t="shared" si="38"/>
        <v>#NUM!</v>
      </c>
      <c r="AD372" s="1240"/>
      <c r="AE372" s="1240"/>
      <c r="AF372" s="1240"/>
      <c r="AG372" s="1240"/>
      <c r="AH372" s="1240"/>
      <c r="AI372" s="1240"/>
      <c r="AJ372" s="1240"/>
      <c r="AK372" s="1240"/>
      <c r="AL372" s="1240"/>
      <c r="AM372" s="1240"/>
      <c r="AN372" s="1240"/>
      <c r="AO372" s="1240"/>
      <c r="AP372" s="1240"/>
    </row>
    <row r="373" spans="1:42" ht="18.75" customHeight="1" x14ac:dyDescent="0.35">
      <c r="A373" s="1240"/>
      <c r="B373" s="1240"/>
      <c r="C373" s="1240"/>
      <c r="D373" s="1240"/>
      <c r="E373" s="1240"/>
      <c r="F373" s="1240"/>
      <c r="G373" s="1240"/>
      <c r="H373" s="1240"/>
      <c r="I373" s="1240"/>
      <c r="J373" s="1240"/>
      <c r="K373" s="1240"/>
      <c r="L373" s="1240"/>
      <c r="M373" s="1240"/>
      <c r="N373" s="1240"/>
      <c r="O373" s="1240"/>
      <c r="P373" s="1247">
        <f t="shared" si="44"/>
        <v>347</v>
      </c>
      <c r="Q373" s="1253" t="e">
        <f t="shared" ca="1" si="43"/>
        <v>#N/A</v>
      </c>
      <c r="R373" s="1247" t="str">
        <f>IFERROR(VLOOKUP(P373,RPCRepaymentDates[],1,FALSE),"")</f>
        <v/>
      </c>
      <c r="S373" s="1259">
        <f t="shared" si="39"/>
        <v>0</v>
      </c>
      <c r="T373" s="1247" t="str">
        <f>IFERROR(VLOOKUP(P373,RPCChargeCycleDates[],1,FALSE),"")</f>
        <v/>
      </c>
      <c r="U373" s="1248" t="str">
        <f>IFERROR(_xlfn.DAYS(T373,$Q$16)-SUM(U$26:U372),"")</f>
        <v/>
      </c>
      <c r="V373" s="1258">
        <f t="shared" ca="1" si="40"/>
        <v>0</v>
      </c>
      <c r="W373" s="1258">
        <f t="shared" ca="1" si="41"/>
        <v>0</v>
      </c>
      <c r="X373" s="1258" t="e">
        <f t="shared" ca="1" si="42"/>
        <v>#N/A</v>
      </c>
      <c r="Y373" s="1240"/>
      <c r="Z373" s="1240"/>
      <c r="AA373" s="1240"/>
      <c r="AB373" s="1240"/>
      <c r="AC373" s="1254" t="e">
        <f t="shared" si="38"/>
        <v>#NUM!</v>
      </c>
      <c r="AD373" s="1240"/>
      <c r="AE373" s="1240"/>
      <c r="AF373" s="1240"/>
      <c r="AG373" s="1240"/>
      <c r="AH373" s="1240"/>
      <c r="AI373" s="1240"/>
      <c r="AJ373" s="1240"/>
      <c r="AK373" s="1240"/>
      <c r="AL373" s="1240"/>
      <c r="AM373" s="1240"/>
      <c r="AN373" s="1240"/>
      <c r="AO373" s="1240"/>
      <c r="AP373" s="1240"/>
    </row>
    <row r="374" spans="1:42" ht="18.75" customHeight="1" x14ac:dyDescent="0.35">
      <c r="A374" s="1240"/>
      <c r="B374" s="1240"/>
      <c r="C374" s="1240"/>
      <c r="D374" s="1240"/>
      <c r="E374" s="1240"/>
      <c r="F374" s="1240"/>
      <c r="G374" s="1240"/>
      <c r="H374" s="1240"/>
      <c r="I374" s="1240"/>
      <c r="J374" s="1240"/>
      <c r="K374" s="1240"/>
      <c r="L374" s="1240"/>
      <c r="M374" s="1240"/>
      <c r="N374" s="1240"/>
      <c r="O374" s="1240"/>
      <c r="P374" s="1247">
        <f t="shared" si="44"/>
        <v>348</v>
      </c>
      <c r="Q374" s="1253" t="e">
        <f t="shared" ca="1" si="43"/>
        <v>#N/A</v>
      </c>
      <c r="R374" s="1247" t="str">
        <f>IFERROR(VLOOKUP(P374,RPCRepaymentDates[],1,FALSE),"")</f>
        <v/>
      </c>
      <c r="S374" s="1259">
        <f t="shared" si="39"/>
        <v>0</v>
      </c>
      <c r="T374" s="1247" t="str">
        <f>IFERROR(VLOOKUP(P374,RPCChargeCycleDates[],1,FALSE),"")</f>
        <v/>
      </c>
      <c r="U374" s="1248" t="str">
        <f>IFERROR(_xlfn.DAYS(T374,$Q$16)-SUM(U$26:U373),"")</f>
        <v/>
      </c>
      <c r="V374" s="1258">
        <f t="shared" ca="1" si="40"/>
        <v>0</v>
      </c>
      <c r="W374" s="1258">
        <f t="shared" ca="1" si="41"/>
        <v>0</v>
      </c>
      <c r="X374" s="1258" t="e">
        <f t="shared" ca="1" si="42"/>
        <v>#N/A</v>
      </c>
      <c r="Y374" s="1240"/>
      <c r="Z374" s="1240"/>
      <c r="AA374" s="1240"/>
      <c r="AB374" s="1240"/>
      <c r="AC374" s="1254" t="e">
        <f t="shared" si="38"/>
        <v>#NUM!</v>
      </c>
      <c r="AD374" s="1240"/>
      <c r="AE374" s="1240"/>
      <c r="AF374" s="1240"/>
      <c r="AG374" s="1240"/>
      <c r="AH374" s="1240"/>
      <c r="AI374" s="1240"/>
      <c r="AJ374" s="1240"/>
      <c r="AK374" s="1240"/>
      <c r="AL374" s="1240"/>
      <c r="AM374" s="1240"/>
      <c r="AN374" s="1240"/>
      <c r="AO374" s="1240"/>
      <c r="AP374" s="1240"/>
    </row>
    <row r="375" spans="1:42" ht="18.75" customHeight="1" x14ac:dyDescent="0.35">
      <c r="A375" s="1240"/>
      <c r="B375" s="1240"/>
      <c r="C375" s="1240"/>
      <c r="D375" s="1240"/>
      <c r="E375" s="1240"/>
      <c r="F375" s="1240"/>
      <c r="G375" s="1240"/>
      <c r="H375" s="1240"/>
      <c r="I375" s="1240"/>
      <c r="J375" s="1240"/>
      <c r="K375" s="1240"/>
      <c r="L375" s="1240"/>
      <c r="M375" s="1240"/>
      <c r="N375" s="1240"/>
      <c r="O375" s="1240"/>
      <c r="P375" s="1247">
        <f t="shared" si="44"/>
        <v>349</v>
      </c>
      <c r="Q375" s="1253" t="e">
        <f t="shared" ca="1" si="43"/>
        <v>#N/A</v>
      </c>
      <c r="R375" s="1247" t="str">
        <f>IFERROR(VLOOKUP(P375,RPCRepaymentDates[],1,FALSE),"")</f>
        <v/>
      </c>
      <c r="S375" s="1259">
        <f t="shared" si="39"/>
        <v>0</v>
      </c>
      <c r="T375" s="1247" t="str">
        <f>IFERROR(VLOOKUP(P375,RPCChargeCycleDates[],1,FALSE),"")</f>
        <v/>
      </c>
      <c r="U375" s="1248" t="str">
        <f>IFERROR(_xlfn.DAYS(T375,$Q$16)-SUM(U$26:U374),"")</f>
        <v/>
      </c>
      <c r="V375" s="1258">
        <f t="shared" ca="1" si="40"/>
        <v>0</v>
      </c>
      <c r="W375" s="1258">
        <f t="shared" ca="1" si="41"/>
        <v>0</v>
      </c>
      <c r="X375" s="1258" t="e">
        <f t="shared" ca="1" si="42"/>
        <v>#N/A</v>
      </c>
      <c r="Y375" s="1240"/>
      <c r="Z375" s="1240"/>
      <c r="AA375" s="1240"/>
      <c r="AB375" s="1240"/>
      <c r="AC375" s="1254" t="e">
        <f t="shared" si="38"/>
        <v>#NUM!</v>
      </c>
      <c r="AD375" s="1240"/>
      <c r="AE375" s="1240"/>
      <c r="AF375" s="1240"/>
      <c r="AG375" s="1240"/>
      <c r="AH375" s="1240"/>
      <c r="AI375" s="1240"/>
      <c r="AJ375" s="1240"/>
      <c r="AK375" s="1240"/>
      <c r="AL375" s="1240"/>
      <c r="AM375" s="1240"/>
      <c r="AN375" s="1240"/>
      <c r="AO375" s="1240"/>
      <c r="AP375" s="1240"/>
    </row>
    <row r="376" spans="1:42" ht="18.75" customHeight="1" x14ac:dyDescent="0.35">
      <c r="A376" s="1240"/>
      <c r="B376" s="1240"/>
      <c r="C376" s="1240"/>
      <c r="D376" s="1240"/>
      <c r="E376" s="1240"/>
      <c r="F376" s="1240"/>
      <c r="G376" s="1240"/>
      <c r="H376" s="1240"/>
      <c r="I376" s="1240"/>
      <c r="J376" s="1240"/>
      <c r="K376" s="1240"/>
      <c r="L376" s="1240"/>
      <c r="M376" s="1240"/>
      <c r="N376" s="1240"/>
      <c r="O376" s="1240"/>
      <c r="P376" s="1247">
        <f t="shared" si="44"/>
        <v>350</v>
      </c>
      <c r="Q376" s="1253" t="e">
        <f t="shared" ca="1" si="43"/>
        <v>#N/A</v>
      </c>
      <c r="R376" s="1247" t="str">
        <f>IFERROR(VLOOKUP(P376,RPCRepaymentDates[],1,FALSE),"")</f>
        <v/>
      </c>
      <c r="S376" s="1259">
        <f t="shared" si="39"/>
        <v>0</v>
      </c>
      <c r="T376" s="1247" t="str">
        <f>IFERROR(VLOOKUP(P376,RPCChargeCycleDates[],1,FALSE),"")</f>
        <v/>
      </c>
      <c r="U376" s="1248" t="str">
        <f>IFERROR(_xlfn.DAYS(T376,$Q$16)-SUM(U$26:U375),"")</f>
        <v/>
      </c>
      <c r="V376" s="1258">
        <f t="shared" ca="1" si="40"/>
        <v>0</v>
      </c>
      <c r="W376" s="1258">
        <f t="shared" ca="1" si="41"/>
        <v>0</v>
      </c>
      <c r="X376" s="1258" t="e">
        <f t="shared" ca="1" si="42"/>
        <v>#N/A</v>
      </c>
      <c r="Y376" s="1240"/>
      <c r="Z376" s="1240"/>
      <c r="AA376" s="1240"/>
      <c r="AB376" s="1240"/>
      <c r="AC376" s="1254" t="e">
        <f t="shared" si="38"/>
        <v>#NUM!</v>
      </c>
      <c r="AD376" s="1240"/>
      <c r="AE376" s="1240"/>
      <c r="AF376" s="1240"/>
      <c r="AG376" s="1240"/>
      <c r="AH376" s="1240"/>
      <c r="AI376" s="1240"/>
      <c r="AJ376" s="1240"/>
      <c r="AK376" s="1240"/>
      <c r="AL376" s="1240"/>
      <c r="AM376" s="1240"/>
      <c r="AN376" s="1240"/>
      <c r="AO376" s="1240"/>
      <c r="AP376" s="1240"/>
    </row>
    <row r="377" spans="1:42" ht="18.75" customHeight="1" x14ac:dyDescent="0.35">
      <c r="A377" s="1240"/>
      <c r="B377" s="1240"/>
      <c r="C377" s="1240"/>
      <c r="D377" s="1240"/>
      <c r="E377" s="1240"/>
      <c r="F377" s="1240"/>
      <c r="G377" s="1240"/>
      <c r="H377" s="1240"/>
      <c r="I377" s="1240"/>
      <c r="J377" s="1240"/>
      <c r="K377" s="1240"/>
      <c r="L377" s="1240"/>
      <c r="M377" s="1240"/>
      <c r="N377" s="1240"/>
      <c r="O377" s="1240"/>
      <c r="P377" s="1247">
        <f t="shared" si="44"/>
        <v>351</v>
      </c>
      <c r="Q377" s="1253" t="e">
        <f t="shared" ca="1" si="43"/>
        <v>#N/A</v>
      </c>
      <c r="R377" s="1247" t="str">
        <f>IFERROR(VLOOKUP(P377,RPCRepaymentDates[],1,FALSE),"")</f>
        <v/>
      </c>
      <c r="S377" s="1259">
        <f t="shared" si="39"/>
        <v>0</v>
      </c>
      <c r="T377" s="1247" t="str">
        <f>IFERROR(VLOOKUP(P377,RPCChargeCycleDates[],1,FALSE),"")</f>
        <v/>
      </c>
      <c r="U377" s="1248" t="str">
        <f>IFERROR(_xlfn.DAYS(T377,$Q$16)-SUM(U$26:U376),"")</f>
        <v/>
      </c>
      <c r="V377" s="1258">
        <f t="shared" ca="1" si="40"/>
        <v>0</v>
      </c>
      <c r="W377" s="1258">
        <f t="shared" ca="1" si="41"/>
        <v>0</v>
      </c>
      <c r="X377" s="1258" t="e">
        <f t="shared" ca="1" si="42"/>
        <v>#N/A</v>
      </c>
      <c r="Y377" s="1240"/>
      <c r="Z377" s="1240"/>
      <c r="AA377" s="1240"/>
      <c r="AB377" s="1240"/>
      <c r="AC377" s="1254" t="e">
        <f t="shared" si="38"/>
        <v>#NUM!</v>
      </c>
      <c r="AD377" s="1240"/>
      <c r="AE377" s="1240"/>
      <c r="AF377" s="1240"/>
      <c r="AG377" s="1240"/>
      <c r="AH377" s="1240"/>
      <c r="AI377" s="1240"/>
      <c r="AJ377" s="1240"/>
      <c r="AK377" s="1240"/>
      <c r="AL377" s="1240"/>
      <c r="AM377" s="1240"/>
      <c r="AN377" s="1240"/>
      <c r="AO377" s="1240"/>
      <c r="AP377" s="1240"/>
    </row>
    <row r="378" spans="1:42" ht="18.75" customHeight="1" x14ac:dyDescent="0.35">
      <c r="A378" s="1240"/>
      <c r="B378" s="1240"/>
      <c r="C378" s="1240"/>
      <c r="D378" s="1240"/>
      <c r="E378" s="1240"/>
      <c r="F378" s="1240"/>
      <c r="G378" s="1240"/>
      <c r="H378" s="1240"/>
      <c r="I378" s="1240"/>
      <c r="J378" s="1240"/>
      <c r="K378" s="1240"/>
      <c r="L378" s="1240"/>
      <c r="M378" s="1240"/>
      <c r="N378" s="1240"/>
      <c r="O378" s="1240"/>
      <c r="P378" s="1247">
        <f t="shared" si="44"/>
        <v>352</v>
      </c>
      <c r="Q378" s="1253" t="e">
        <f t="shared" ca="1" si="43"/>
        <v>#N/A</v>
      </c>
      <c r="R378" s="1247" t="str">
        <f>IFERROR(VLOOKUP(P378,RPCRepaymentDates[],1,FALSE),"")</f>
        <v/>
      </c>
      <c r="S378" s="1259">
        <f t="shared" si="39"/>
        <v>0</v>
      </c>
      <c r="T378" s="1247" t="str">
        <f>IFERROR(VLOOKUP(P378,RPCChargeCycleDates[],1,FALSE),"")</f>
        <v/>
      </c>
      <c r="U378" s="1248" t="str">
        <f>IFERROR(_xlfn.DAYS(T378,$Q$16)-SUM(U$26:U377),"")</f>
        <v/>
      </c>
      <c r="V378" s="1258">
        <f t="shared" ca="1" si="40"/>
        <v>0</v>
      </c>
      <c r="W378" s="1258">
        <f t="shared" ca="1" si="41"/>
        <v>0</v>
      </c>
      <c r="X378" s="1258" t="e">
        <f t="shared" ca="1" si="42"/>
        <v>#N/A</v>
      </c>
      <c r="Y378" s="1240"/>
      <c r="Z378" s="1240"/>
      <c r="AA378" s="1240"/>
      <c r="AB378" s="1240"/>
      <c r="AC378" s="1254" t="e">
        <f t="shared" si="38"/>
        <v>#NUM!</v>
      </c>
      <c r="AD378" s="1240"/>
      <c r="AE378" s="1240"/>
      <c r="AF378" s="1240"/>
      <c r="AG378" s="1240"/>
      <c r="AH378" s="1240"/>
      <c r="AI378" s="1240"/>
      <c r="AJ378" s="1240"/>
      <c r="AK378" s="1240"/>
      <c r="AL378" s="1240"/>
      <c r="AM378" s="1240"/>
      <c r="AN378" s="1240"/>
      <c r="AO378" s="1240"/>
      <c r="AP378" s="1240"/>
    </row>
    <row r="379" spans="1:42" ht="18.75" customHeight="1" x14ac:dyDescent="0.35">
      <c r="A379" s="1240"/>
      <c r="B379" s="1240"/>
      <c r="C379" s="1240"/>
      <c r="D379" s="1240"/>
      <c r="E379" s="1240"/>
      <c r="F379" s="1240"/>
      <c r="G379" s="1240"/>
      <c r="H379" s="1240"/>
      <c r="I379" s="1240"/>
      <c r="J379" s="1240"/>
      <c r="K379" s="1240"/>
      <c r="L379" s="1240"/>
      <c r="M379" s="1240"/>
      <c r="N379" s="1240"/>
      <c r="O379" s="1240"/>
      <c r="P379" s="1247">
        <f t="shared" si="44"/>
        <v>353</v>
      </c>
      <c r="Q379" s="1253" t="e">
        <f t="shared" ca="1" si="43"/>
        <v>#N/A</v>
      </c>
      <c r="R379" s="1247" t="str">
        <f>IFERROR(VLOOKUP(P379,RPCRepaymentDates[],1,FALSE),"")</f>
        <v/>
      </c>
      <c r="S379" s="1259">
        <f t="shared" si="39"/>
        <v>0</v>
      </c>
      <c r="T379" s="1247" t="str">
        <f>IFERROR(VLOOKUP(P379,RPCChargeCycleDates[],1,FALSE),"")</f>
        <v/>
      </c>
      <c r="U379" s="1248" t="str">
        <f>IFERROR(_xlfn.DAYS(T379,$Q$16)-SUM(U$26:U378),"")</f>
        <v/>
      </c>
      <c r="V379" s="1258">
        <f t="shared" ca="1" si="40"/>
        <v>0</v>
      </c>
      <c r="W379" s="1258">
        <f t="shared" ca="1" si="41"/>
        <v>0</v>
      </c>
      <c r="X379" s="1258" t="e">
        <f t="shared" ca="1" si="42"/>
        <v>#N/A</v>
      </c>
      <c r="Y379" s="1240"/>
      <c r="Z379" s="1240"/>
      <c r="AA379" s="1240"/>
      <c r="AB379" s="1240"/>
      <c r="AC379" s="1254" t="e">
        <f t="shared" si="38"/>
        <v>#NUM!</v>
      </c>
      <c r="AD379" s="1240"/>
      <c r="AE379" s="1240"/>
      <c r="AF379" s="1240"/>
      <c r="AG379" s="1240"/>
      <c r="AH379" s="1240"/>
      <c r="AI379" s="1240"/>
      <c r="AJ379" s="1240"/>
      <c r="AK379" s="1240"/>
      <c r="AL379" s="1240"/>
      <c r="AM379" s="1240"/>
      <c r="AN379" s="1240"/>
      <c r="AO379" s="1240"/>
      <c r="AP379" s="1240"/>
    </row>
    <row r="380" spans="1:42" ht="18.75" customHeight="1" x14ac:dyDescent="0.35">
      <c r="A380" s="1240"/>
      <c r="B380" s="1240"/>
      <c r="C380" s="1240"/>
      <c r="D380" s="1240"/>
      <c r="E380" s="1240"/>
      <c r="F380" s="1240"/>
      <c r="G380" s="1240"/>
      <c r="H380" s="1240"/>
      <c r="I380" s="1240"/>
      <c r="J380" s="1240"/>
      <c r="K380" s="1240"/>
      <c r="L380" s="1240"/>
      <c r="M380" s="1240"/>
      <c r="N380" s="1240"/>
      <c r="O380" s="1240"/>
      <c r="P380" s="1247">
        <f t="shared" si="44"/>
        <v>354</v>
      </c>
      <c r="Q380" s="1253" t="e">
        <f t="shared" ca="1" si="43"/>
        <v>#N/A</v>
      </c>
      <c r="R380" s="1247" t="str">
        <f>IFERROR(VLOOKUP(P380,RPCRepaymentDates[],1,FALSE),"")</f>
        <v/>
      </c>
      <c r="S380" s="1259">
        <f t="shared" si="39"/>
        <v>0</v>
      </c>
      <c r="T380" s="1247" t="str">
        <f>IFERROR(VLOOKUP(P380,RPCChargeCycleDates[],1,FALSE),"")</f>
        <v/>
      </c>
      <c r="U380" s="1248" t="str">
        <f>IFERROR(_xlfn.DAYS(T380,$Q$16)-SUM(U$26:U379),"")</f>
        <v/>
      </c>
      <c r="V380" s="1258">
        <f t="shared" ca="1" si="40"/>
        <v>0</v>
      </c>
      <c r="W380" s="1258">
        <f t="shared" ca="1" si="41"/>
        <v>0</v>
      </c>
      <c r="X380" s="1258" t="e">
        <f t="shared" ca="1" si="42"/>
        <v>#N/A</v>
      </c>
      <c r="Y380" s="1240"/>
      <c r="Z380" s="1240"/>
      <c r="AA380" s="1240"/>
      <c r="AB380" s="1240"/>
      <c r="AC380" s="1254" t="e">
        <f t="shared" si="38"/>
        <v>#NUM!</v>
      </c>
      <c r="AD380" s="1240"/>
      <c r="AE380" s="1240"/>
      <c r="AF380" s="1240"/>
      <c r="AG380" s="1240"/>
      <c r="AH380" s="1240"/>
      <c r="AI380" s="1240"/>
      <c r="AJ380" s="1240"/>
      <c r="AK380" s="1240"/>
      <c r="AL380" s="1240"/>
      <c r="AM380" s="1240"/>
      <c r="AN380" s="1240"/>
      <c r="AO380" s="1240"/>
      <c r="AP380" s="1240"/>
    </row>
    <row r="381" spans="1:42" ht="18.75" customHeight="1" x14ac:dyDescent="0.35">
      <c r="A381" s="1240"/>
      <c r="B381" s="1240"/>
      <c r="C381" s="1240"/>
      <c r="D381" s="1240"/>
      <c r="E381" s="1240"/>
      <c r="F381" s="1240"/>
      <c r="G381" s="1240"/>
      <c r="H381" s="1240"/>
      <c r="I381" s="1240"/>
      <c r="J381" s="1240"/>
      <c r="K381" s="1240"/>
      <c r="L381" s="1240"/>
      <c r="M381" s="1240"/>
      <c r="N381" s="1240"/>
      <c r="O381" s="1240"/>
      <c r="P381" s="1247">
        <f t="shared" si="44"/>
        <v>355</v>
      </c>
      <c r="Q381" s="1253" t="e">
        <f t="shared" ca="1" si="43"/>
        <v>#N/A</v>
      </c>
      <c r="R381" s="1247" t="str">
        <f>IFERROR(VLOOKUP(P381,RPCRepaymentDates[],1,FALSE),"")</f>
        <v/>
      </c>
      <c r="S381" s="1259">
        <f t="shared" si="39"/>
        <v>0</v>
      </c>
      <c r="T381" s="1247" t="str">
        <f>IFERROR(VLOOKUP(P381,RPCChargeCycleDates[],1,FALSE),"")</f>
        <v/>
      </c>
      <c r="U381" s="1248" t="str">
        <f>IFERROR(_xlfn.DAYS(T381,$Q$16)-SUM(U$26:U380),"")</f>
        <v/>
      </c>
      <c r="V381" s="1258">
        <f t="shared" ca="1" si="40"/>
        <v>0</v>
      </c>
      <c r="W381" s="1258">
        <f t="shared" ca="1" si="41"/>
        <v>0</v>
      </c>
      <c r="X381" s="1258" t="e">
        <f t="shared" ca="1" si="42"/>
        <v>#N/A</v>
      </c>
      <c r="Y381" s="1240"/>
      <c r="Z381" s="1240"/>
      <c r="AA381" s="1240"/>
      <c r="AB381" s="1240"/>
      <c r="AC381" s="1254" t="e">
        <f t="shared" si="38"/>
        <v>#NUM!</v>
      </c>
      <c r="AD381" s="1240"/>
      <c r="AE381" s="1240"/>
      <c r="AF381" s="1240"/>
      <c r="AG381" s="1240"/>
      <c r="AH381" s="1240"/>
      <c r="AI381" s="1240"/>
      <c r="AJ381" s="1240"/>
      <c r="AK381" s="1240"/>
      <c r="AL381" s="1240"/>
      <c r="AM381" s="1240"/>
      <c r="AN381" s="1240"/>
      <c r="AO381" s="1240"/>
      <c r="AP381" s="1240"/>
    </row>
    <row r="382" spans="1:42" ht="18.75" customHeight="1" x14ac:dyDescent="0.35">
      <c r="A382" s="1240"/>
      <c r="B382" s="1240"/>
      <c r="C382" s="1240"/>
      <c r="D382" s="1240"/>
      <c r="E382" s="1240"/>
      <c r="F382" s="1240"/>
      <c r="G382" s="1240"/>
      <c r="H382" s="1240"/>
      <c r="I382" s="1240"/>
      <c r="J382" s="1240"/>
      <c r="K382" s="1240"/>
      <c r="L382" s="1240"/>
      <c r="M382" s="1240"/>
      <c r="N382" s="1240"/>
      <c r="O382" s="1240"/>
      <c r="P382" s="1247">
        <f t="shared" si="44"/>
        <v>356</v>
      </c>
      <c r="Q382" s="1253" t="e">
        <f t="shared" ca="1" si="43"/>
        <v>#N/A</v>
      </c>
      <c r="R382" s="1247" t="str">
        <f>IFERROR(VLOOKUP(P382,RPCRepaymentDates[],1,FALSE),"")</f>
        <v/>
      </c>
      <c r="S382" s="1259">
        <f t="shared" si="39"/>
        <v>0</v>
      </c>
      <c r="T382" s="1247" t="str">
        <f>IFERROR(VLOOKUP(P382,RPCChargeCycleDates[],1,FALSE),"")</f>
        <v/>
      </c>
      <c r="U382" s="1248" t="str">
        <f>IFERROR(_xlfn.DAYS(T382,$Q$16)-SUM(U$26:U381),"")</f>
        <v/>
      </c>
      <c r="V382" s="1258">
        <f t="shared" ca="1" si="40"/>
        <v>0</v>
      </c>
      <c r="W382" s="1258">
        <f t="shared" ca="1" si="41"/>
        <v>0</v>
      </c>
      <c r="X382" s="1258" t="e">
        <f t="shared" ca="1" si="42"/>
        <v>#N/A</v>
      </c>
      <c r="Y382" s="1240"/>
      <c r="Z382" s="1240"/>
      <c r="AA382" s="1240"/>
      <c r="AB382" s="1240"/>
      <c r="AC382" s="1254" t="e">
        <f t="shared" si="38"/>
        <v>#NUM!</v>
      </c>
      <c r="AD382" s="1240"/>
      <c r="AE382" s="1240"/>
      <c r="AF382" s="1240"/>
      <c r="AG382" s="1240"/>
      <c r="AH382" s="1240"/>
      <c r="AI382" s="1240"/>
      <c r="AJ382" s="1240"/>
      <c r="AK382" s="1240"/>
      <c r="AL382" s="1240"/>
      <c r="AM382" s="1240"/>
      <c r="AN382" s="1240"/>
      <c r="AO382" s="1240"/>
      <c r="AP382" s="1240"/>
    </row>
    <row r="383" spans="1:42" ht="18.75" customHeight="1" x14ac:dyDescent="0.35">
      <c r="A383" s="1240"/>
      <c r="B383" s="1240"/>
      <c r="C383" s="1240"/>
      <c r="D383" s="1240"/>
      <c r="E383" s="1240"/>
      <c r="F383" s="1240"/>
      <c r="G383" s="1240"/>
      <c r="H383" s="1240"/>
      <c r="I383" s="1240"/>
      <c r="J383" s="1240"/>
      <c r="K383" s="1240"/>
      <c r="L383" s="1240"/>
      <c r="M383" s="1240"/>
      <c r="N383" s="1240"/>
      <c r="O383" s="1240"/>
      <c r="P383" s="1247">
        <f t="shared" si="44"/>
        <v>357</v>
      </c>
      <c r="Q383" s="1253" t="e">
        <f t="shared" ca="1" si="43"/>
        <v>#N/A</v>
      </c>
      <c r="R383" s="1247" t="str">
        <f>IFERROR(VLOOKUP(P383,RPCRepaymentDates[],1,FALSE),"")</f>
        <v/>
      </c>
      <c r="S383" s="1259">
        <f t="shared" si="39"/>
        <v>0</v>
      </c>
      <c r="T383" s="1247" t="str">
        <f>IFERROR(VLOOKUP(P383,RPCChargeCycleDates[],1,FALSE),"")</f>
        <v/>
      </c>
      <c r="U383" s="1248" t="str">
        <f>IFERROR(_xlfn.DAYS(T383,$Q$16)-SUM(U$26:U382),"")</f>
        <v/>
      </c>
      <c r="V383" s="1258">
        <f t="shared" ca="1" si="40"/>
        <v>0</v>
      </c>
      <c r="W383" s="1258">
        <f t="shared" ca="1" si="41"/>
        <v>0</v>
      </c>
      <c r="X383" s="1258" t="e">
        <f t="shared" ca="1" si="42"/>
        <v>#N/A</v>
      </c>
      <c r="Y383" s="1240"/>
      <c r="Z383" s="1240"/>
      <c r="AA383" s="1240"/>
      <c r="AB383" s="1240"/>
      <c r="AC383" s="1254" t="e">
        <f t="shared" ref="AC383:AC446" si="45">IF(RPCRepaymentFrequency="Monthly",EDATE(AC382,1),IF(RPCRepaymentFrequency="Fortnightly",AC382+14,AC382+7))</f>
        <v>#NUM!</v>
      </c>
      <c r="AD383" s="1240"/>
      <c r="AE383" s="1240"/>
      <c r="AF383" s="1240"/>
      <c r="AG383" s="1240"/>
      <c r="AH383" s="1240"/>
      <c r="AI383" s="1240"/>
      <c r="AJ383" s="1240"/>
      <c r="AK383" s="1240"/>
      <c r="AL383" s="1240"/>
      <c r="AM383" s="1240"/>
      <c r="AN383" s="1240"/>
      <c r="AO383" s="1240"/>
      <c r="AP383" s="1240"/>
    </row>
    <row r="384" spans="1:42" ht="18.75" customHeight="1" x14ac:dyDescent="0.35">
      <c r="A384" s="1240"/>
      <c r="B384" s="1240"/>
      <c r="C384" s="1240"/>
      <c r="D384" s="1240"/>
      <c r="E384" s="1240"/>
      <c r="F384" s="1240"/>
      <c r="G384" s="1240"/>
      <c r="H384" s="1240"/>
      <c r="I384" s="1240"/>
      <c r="J384" s="1240"/>
      <c r="K384" s="1240"/>
      <c r="L384" s="1240"/>
      <c r="M384" s="1240"/>
      <c r="N384" s="1240"/>
      <c r="O384" s="1240"/>
      <c r="P384" s="1247">
        <f t="shared" si="44"/>
        <v>358</v>
      </c>
      <c r="Q384" s="1253" t="e">
        <f t="shared" ca="1" si="43"/>
        <v>#N/A</v>
      </c>
      <c r="R384" s="1247" t="str">
        <f>IFERROR(VLOOKUP(P384,RPCRepaymentDates[],1,FALSE),"")</f>
        <v/>
      </c>
      <c r="S384" s="1259">
        <f t="shared" si="39"/>
        <v>0</v>
      </c>
      <c r="T384" s="1247" t="str">
        <f>IFERROR(VLOOKUP(P384,RPCChargeCycleDates[],1,FALSE),"")</f>
        <v/>
      </c>
      <c r="U384" s="1248" t="str">
        <f>IFERROR(_xlfn.DAYS(T384,$Q$16)-SUM(U$26:U383),"")</f>
        <v/>
      </c>
      <c r="V384" s="1258">
        <f t="shared" ca="1" si="40"/>
        <v>0</v>
      </c>
      <c r="W384" s="1258">
        <f t="shared" ca="1" si="41"/>
        <v>0</v>
      </c>
      <c r="X384" s="1258" t="e">
        <f t="shared" ca="1" si="42"/>
        <v>#N/A</v>
      </c>
      <c r="Y384" s="1240"/>
      <c r="Z384" s="1240"/>
      <c r="AA384" s="1240"/>
      <c r="AB384" s="1240"/>
      <c r="AC384" s="1254" t="e">
        <f t="shared" si="45"/>
        <v>#NUM!</v>
      </c>
      <c r="AD384" s="1240"/>
      <c r="AE384" s="1240"/>
      <c r="AF384" s="1240"/>
      <c r="AG384" s="1240"/>
      <c r="AH384" s="1240"/>
      <c r="AI384" s="1240"/>
      <c r="AJ384" s="1240"/>
      <c r="AK384" s="1240"/>
      <c r="AL384" s="1240"/>
      <c r="AM384" s="1240"/>
      <c r="AN384" s="1240"/>
      <c r="AO384" s="1240"/>
      <c r="AP384" s="1240"/>
    </row>
    <row r="385" spans="1:42" ht="18.75" customHeight="1" x14ac:dyDescent="0.35">
      <c r="A385" s="1240"/>
      <c r="B385" s="1240"/>
      <c r="C385" s="1240"/>
      <c r="D385" s="1240"/>
      <c r="E385" s="1240"/>
      <c r="F385" s="1240"/>
      <c r="G385" s="1240"/>
      <c r="H385" s="1240"/>
      <c r="I385" s="1240"/>
      <c r="J385" s="1240"/>
      <c r="K385" s="1240"/>
      <c r="L385" s="1240"/>
      <c r="M385" s="1240"/>
      <c r="N385" s="1240"/>
      <c r="O385" s="1240"/>
      <c r="P385" s="1247">
        <f t="shared" si="44"/>
        <v>359</v>
      </c>
      <c r="Q385" s="1253" t="e">
        <f t="shared" ca="1" si="43"/>
        <v>#N/A</v>
      </c>
      <c r="R385" s="1247" t="str">
        <f>IFERROR(VLOOKUP(P385,RPCRepaymentDates[],1,FALSE),"")</f>
        <v/>
      </c>
      <c r="S385" s="1259">
        <f t="shared" si="39"/>
        <v>0</v>
      </c>
      <c r="T385" s="1247" t="str">
        <f>IFERROR(VLOOKUP(P385,RPCChargeCycleDates[],1,FALSE),"")</f>
        <v/>
      </c>
      <c r="U385" s="1248" t="str">
        <f>IFERROR(_xlfn.DAYS(T385,$Q$16)-SUM(U$26:U384),"")</f>
        <v/>
      </c>
      <c r="V385" s="1258">
        <f t="shared" ca="1" si="40"/>
        <v>0</v>
      </c>
      <c r="W385" s="1258">
        <f t="shared" ca="1" si="41"/>
        <v>0</v>
      </c>
      <c r="X385" s="1258" t="e">
        <f t="shared" ca="1" si="42"/>
        <v>#N/A</v>
      </c>
      <c r="Y385" s="1240"/>
      <c r="Z385" s="1240"/>
      <c r="AA385" s="1240"/>
      <c r="AB385" s="1240"/>
      <c r="AC385" s="1254" t="e">
        <f t="shared" si="45"/>
        <v>#NUM!</v>
      </c>
      <c r="AD385" s="1240"/>
      <c r="AE385" s="1240"/>
      <c r="AF385" s="1240"/>
      <c r="AG385" s="1240"/>
      <c r="AH385" s="1240"/>
      <c r="AI385" s="1240"/>
      <c r="AJ385" s="1240"/>
      <c r="AK385" s="1240"/>
      <c r="AL385" s="1240"/>
      <c r="AM385" s="1240"/>
      <c r="AN385" s="1240"/>
      <c r="AO385" s="1240"/>
      <c r="AP385" s="1240"/>
    </row>
    <row r="386" spans="1:42" ht="18.75" customHeight="1" x14ac:dyDescent="0.35">
      <c r="A386" s="1240"/>
      <c r="B386" s="1240"/>
      <c r="C386" s="1240"/>
      <c r="D386" s="1240"/>
      <c r="E386" s="1240"/>
      <c r="F386" s="1240"/>
      <c r="G386" s="1240"/>
      <c r="H386" s="1240"/>
      <c r="I386" s="1240"/>
      <c r="J386" s="1240"/>
      <c r="K386" s="1240"/>
      <c r="L386" s="1240"/>
      <c r="M386" s="1240"/>
      <c r="N386" s="1240"/>
      <c r="O386" s="1240"/>
      <c r="P386" s="1247">
        <f t="shared" si="44"/>
        <v>360</v>
      </c>
      <c r="Q386" s="1253" t="e">
        <f t="shared" ca="1" si="43"/>
        <v>#N/A</v>
      </c>
      <c r="R386" s="1247" t="str">
        <f>IFERROR(VLOOKUP(P386,RPCRepaymentDates[],1,FALSE),"")</f>
        <v/>
      </c>
      <c r="S386" s="1259">
        <f t="shared" si="39"/>
        <v>0</v>
      </c>
      <c r="T386" s="1247" t="str">
        <f>IFERROR(VLOOKUP(P386,RPCChargeCycleDates[],1,FALSE),"")</f>
        <v/>
      </c>
      <c r="U386" s="1248" t="str">
        <f>IFERROR(_xlfn.DAYS(T386,$Q$16)-SUM(U$26:U385),"")</f>
        <v/>
      </c>
      <c r="V386" s="1258">
        <f t="shared" ca="1" si="40"/>
        <v>0</v>
      </c>
      <c r="W386" s="1258">
        <f t="shared" ca="1" si="41"/>
        <v>0</v>
      </c>
      <c r="X386" s="1258" t="e">
        <f t="shared" ca="1" si="42"/>
        <v>#N/A</v>
      </c>
      <c r="Y386" s="1240"/>
      <c r="Z386" s="1240"/>
      <c r="AA386" s="1240"/>
      <c r="AB386" s="1240"/>
      <c r="AC386" s="1254" t="e">
        <f t="shared" si="45"/>
        <v>#NUM!</v>
      </c>
      <c r="AD386" s="1240"/>
      <c r="AE386" s="1240"/>
      <c r="AF386" s="1240"/>
      <c r="AG386" s="1240"/>
      <c r="AH386" s="1240"/>
      <c r="AI386" s="1240"/>
      <c r="AJ386" s="1240"/>
      <c r="AK386" s="1240"/>
      <c r="AL386" s="1240"/>
      <c r="AM386" s="1240"/>
      <c r="AN386" s="1240"/>
      <c r="AO386" s="1240"/>
      <c r="AP386" s="1240"/>
    </row>
    <row r="387" spans="1:42" ht="18.75" customHeight="1" x14ac:dyDescent="0.35">
      <c r="A387" s="1240"/>
      <c r="B387" s="1240"/>
      <c r="C387" s="1240"/>
      <c r="D387" s="1240"/>
      <c r="E387" s="1240"/>
      <c r="F387" s="1240"/>
      <c r="G387" s="1240"/>
      <c r="H387" s="1240"/>
      <c r="I387" s="1240"/>
      <c r="J387" s="1240"/>
      <c r="K387" s="1240"/>
      <c r="L387" s="1240"/>
      <c r="M387" s="1240"/>
      <c r="N387" s="1240"/>
      <c r="O387" s="1240"/>
      <c r="P387" s="1247">
        <f t="shared" si="44"/>
        <v>361</v>
      </c>
      <c r="Q387" s="1253" t="e">
        <f t="shared" ca="1" si="43"/>
        <v>#N/A</v>
      </c>
      <c r="R387" s="1247" t="str">
        <f>IFERROR(VLOOKUP(P387,RPCRepaymentDates[],1,FALSE),"")</f>
        <v/>
      </c>
      <c r="S387" s="1259">
        <f t="shared" si="39"/>
        <v>0</v>
      </c>
      <c r="T387" s="1247" t="str">
        <f>IFERROR(VLOOKUP(P387,RPCChargeCycleDates[],1,FALSE),"")</f>
        <v/>
      </c>
      <c r="U387" s="1248" t="str">
        <f>IFERROR(_xlfn.DAYS(T387,$Q$16)-SUM(U$26:U386),"")</f>
        <v/>
      </c>
      <c r="V387" s="1258">
        <f t="shared" ca="1" si="40"/>
        <v>0</v>
      </c>
      <c r="W387" s="1258">
        <f t="shared" ca="1" si="41"/>
        <v>0</v>
      </c>
      <c r="X387" s="1258" t="e">
        <f t="shared" ca="1" si="42"/>
        <v>#N/A</v>
      </c>
      <c r="Y387" s="1240"/>
      <c r="Z387" s="1240"/>
      <c r="AA387" s="1240"/>
      <c r="AB387" s="1240"/>
      <c r="AC387" s="1254" t="e">
        <f t="shared" si="45"/>
        <v>#NUM!</v>
      </c>
      <c r="AD387" s="1240"/>
      <c r="AE387" s="1240"/>
      <c r="AF387" s="1240"/>
      <c r="AG387" s="1240"/>
      <c r="AH387" s="1240"/>
      <c r="AI387" s="1240"/>
      <c r="AJ387" s="1240"/>
      <c r="AK387" s="1240"/>
      <c r="AL387" s="1240"/>
      <c r="AM387" s="1240"/>
      <c r="AN387" s="1240"/>
      <c r="AO387" s="1240"/>
      <c r="AP387" s="1240"/>
    </row>
    <row r="388" spans="1:42" ht="18.75" customHeight="1" x14ac:dyDescent="0.35">
      <c r="A388" s="1240"/>
      <c r="B388" s="1240"/>
      <c r="C388" s="1240"/>
      <c r="D388" s="1240"/>
      <c r="E388" s="1240"/>
      <c r="F388" s="1240"/>
      <c r="G388" s="1240"/>
      <c r="H388" s="1240"/>
      <c r="I388" s="1240"/>
      <c r="J388" s="1240"/>
      <c r="K388" s="1240"/>
      <c r="L388" s="1240"/>
      <c r="M388" s="1240"/>
      <c r="N388" s="1240"/>
      <c r="O388" s="1240"/>
      <c r="P388" s="1247">
        <f t="shared" si="44"/>
        <v>362</v>
      </c>
      <c r="Q388" s="1253" t="e">
        <f t="shared" ca="1" si="43"/>
        <v>#N/A</v>
      </c>
      <c r="R388" s="1247" t="str">
        <f>IFERROR(VLOOKUP(P388,RPCRepaymentDates[],1,FALSE),"")</f>
        <v/>
      </c>
      <c r="S388" s="1259">
        <f t="shared" si="39"/>
        <v>0</v>
      </c>
      <c r="T388" s="1247" t="str">
        <f>IFERROR(VLOOKUP(P388,RPCChargeCycleDates[],1,FALSE),"")</f>
        <v/>
      </c>
      <c r="U388" s="1248" t="str">
        <f>IFERROR(_xlfn.DAYS(T388,$Q$16)-SUM(U$26:U387),"")</f>
        <v/>
      </c>
      <c r="V388" s="1258">
        <f t="shared" ca="1" si="40"/>
        <v>0</v>
      </c>
      <c r="W388" s="1258">
        <f t="shared" ca="1" si="41"/>
        <v>0</v>
      </c>
      <c r="X388" s="1258" t="e">
        <f t="shared" ca="1" si="42"/>
        <v>#N/A</v>
      </c>
      <c r="Y388" s="1240"/>
      <c r="Z388" s="1240"/>
      <c r="AA388" s="1240"/>
      <c r="AB388" s="1240"/>
      <c r="AC388" s="1254" t="e">
        <f t="shared" si="45"/>
        <v>#NUM!</v>
      </c>
      <c r="AD388" s="1240"/>
      <c r="AE388" s="1240"/>
      <c r="AF388" s="1240"/>
      <c r="AG388" s="1240"/>
      <c r="AH388" s="1240"/>
      <c r="AI388" s="1240"/>
      <c r="AJ388" s="1240"/>
      <c r="AK388" s="1240"/>
      <c r="AL388" s="1240"/>
      <c r="AM388" s="1240"/>
      <c r="AN388" s="1240"/>
      <c r="AO388" s="1240"/>
      <c r="AP388" s="1240"/>
    </row>
    <row r="389" spans="1:42" ht="18.75" customHeight="1" x14ac:dyDescent="0.35">
      <c r="A389" s="1240"/>
      <c r="B389" s="1240"/>
      <c r="C389" s="1240"/>
      <c r="D389" s="1240"/>
      <c r="E389" s="1240"/>
      <c r="F389" s="1240"/>
      <c r="G389" s="1240"/>
      <c r="H389" s="1240"/>
      <c r="I389" s="1240"/>
      <c r="J389" s="1240"/>
      <c r="K389" s="1240"/>
      <c r="L389" s="1240"/>
      <c r="M389" s="1240"/>
      <c r="N389" s="1240"/>
      <c r="O389" s="1240"/>
      <c r="P389" s="1247">
        <f t="shared" si="44"/>
        <v>363</v>
      </c>
      <c r="Q389" s="1253" t="e">
        <f t="shared" ca="1" si="43"/>
        <v>#N/A</v>
      </c>
      <c r="R389" s="1247" t="str">
        <f>IFERROR(VLOOKUP(P389,RPCRepaymentDates[],1,FALSE),"")</f>
        <v/>
      </c>
      <c r="S389" s="1259">
        <f t="shared" si="39"/>
        <v>0</v>
      </c>
      <c r="T389" s="1247">
        <f>IFERROR(VLOOKUP(P389,RPCChargeCycleDates[],1,FALSE),"")</f>
        <v>363</v>
      </c>
      <c r="U389" s="1248">
        <f>IFERROR(_xlfn.DAYS(T389,$Q$16)-SUM(U$26:U388),"")</f>
        <v>30</v>
      </c>
      <c r="V389" s="1258">
        <f t="shared" ca="1" si="40"/>
        <v>0</v>
      </c>
      <c r="W389" s="1258">
        <f t="shared" ca="1" si="41"/>
        <v>0</v>
      </c>
      <c r="X389" s="1258" t="e">
        <f t="shared" ca="1" si="42"/>
        <v>#N/A</v>
      </c>
      <c r="Y389" s="1240"/>
      <c r="Z389" s="1240"/>
      <c r="AA389" s="1240"/>
      <c r="AB389" s="1240"/>
      <c r="AC389" s="1254" t="e">
        <f t="shared" si="45"/>
        <v>#NUM!</v>
      </c>
      <c r="AD389" s="1240"/>
      <c r="AE389" s="1240"/>
      <c r="AF389" s="1240"/>
      <c r="AG389" s="1240"/>
      <c r="AH389" s="1240"/>
      <c r="AI389" s="1240"/>
      <c r="AJ389" s="1240"/>
      <c r="AK389" s="1240"/>
      <c r="AL389" s="1240"/>
      <c r="AM389" s="1240"/>
      <c r="AN389" s="1240"/>
      <c r="AO389" s="1240"/>
      <c r="AP389" s="1240"/>
    </row>
    <row r="390" spans="1:42" ht="18.75" customHeight="1" x14ac:dyDescent="0.35">
      <c r="A390" s="1240"/>
      <c r="B390" s="1240"/>
      <c r="C390" s="1240"/>
      <c r="D390" s="1240"/>
      <c r="E390" s="1240"/>
      <c r="F390" s="1240"/>
      <c r="G390" s="1240"/>
      <c r="H390" s="1240"/>
      <c r="I390" s="1240"/>
      <c r="J390" s="1240"/>
      <c r="K390" s="1240"/>
      <c r="L390" s="1240"/>
      <c r="M390" s="1240"/>
      <c r="N390" s="1240"/>
      <c r="O390" s="1240"/>
      <c r="P390" s="1247">
        <f t="shared" si="44"/>
        <v>364</v>
      </c>
      <c r="Q390" s="1253" t="e">
        <f t="shared" ca="1" si="43"/>
        <v>#N/A</v>
      </c>
      <c r="R390" s="1247" t="str">
        <f>IFERROR(VLOOKUP(P390,RPCRepaymentDates[],1,FALSE),"")</f>
        <v/>
      </c>
      <c r="S390" s="1259">
        <f t="shared" si="39"/>
        <v>0</v>
      </c>
      <c r="T390" s="1247" t="str">
        <f>IFERROR(VLOOKUP(P390,RPCChargeCycleDates[],1,FALSE),"")</f>
        <v/>
      </c>
      <c r="U390" s="1248" t="str">
        <f>IFERROR(_xlfn.DAYS(T390,$Q$16)-SUM(U$26:U389),"")</f>
        <v/>
      </c>
      <c r="V390" s="1258">
        <f t="shared" ca="1" si="40"/>
        <v>0</v>
      </c>
      <c r="W390" s="1258">
        <f t="shared" ca="1" si="41"/>
        <v>0</v>
      </c>
      <c r="X390" s="1258" t="e">
        <f t="shared" ca="1" si="42"/>
        <v>#N/A</v>
      </c>
      <c r="Y390" s="1240"/>
      <c r="Z390" s="1240"/>
      <c r="AA390" s="1240"/>
      <c r="AB390" s="1240"/>
      <c r="AC390" s="1254" t="e">
        <f t="shared" si="45"/>
        <v>#NUM!</v>
      </c>
      <c r="AD390" s="1240"/>
      <c r="AE390" s="1240"/>
      <c r="AF390" s="1240"/>
      <c r="AG390" s="1240"/>
      <c r="AH390" s="1240"/>
      <c r="AI390" s="1240"/>
      <c r="AJ390" s="1240"/>
      <c r="AK390" s="1240"/>
      <c r="AL390" s="1240"/>
      <c r="AM390" s="1240"/>
      <c r="AN390" s="1240"/>
      <c r="AO390" s="1240"/>
      <c r="AP390" s="1240"/>
    </row>
    <row r="391" spans="1:42" ht="18.75" customHeight="1" x14ac:dyDescent="0.35">
      <c r="A391" s="1240"/>
      <c r="B391" s="1240"/>
      <c r="C391" s="1240"/>
      <c r="D391" s="1240"/>
      <c r="E391" s="1240"/>
      <c r="F391" s="1240"/>
      <c r="G391" s="1240"/>
      <c r="H391" s="1240"/>
      <c r="I391" s="1240"/>
      <c r="J391" s="1240"/>
      <c r="K391" s="1240"/>
      <c r="L391" s="1240"/>
      <c r="M391" s="1240"/>
      <c r="N391" s="1240"/>
      <c r="O391" s="1240"/>
      <c r="P391" s="1247">
        <f t="shared" si="44"/>
        <v>365</v>
      </c>
      <c r="Q391" s="1253" t="e">
        <f t="shared" ca="1" si="43"/>
        <v>#N/A</v>
      </c>
      <c r="R391" s="1247" t="str">
        <f>IFERROR(VLOOKUP(P391,RPCRepaymentDates[],1,FALSE),"")</f>
        <v/>
      </c>
      <c r="S391" s="1259">
        <f t="shared" si="39"/>
        <v>0</v>
      </c>
      <c r="T391" s="1247" t="str">
        <f>IFERROR(VLOOKUP(P391,RPCChargeCycleDates[],1,FALSE),"")</f>
        <v/>
      </c>
      <c r="U391" s="1248" t="str">
        <f>IFERROR(_xlfn.DAYS(T391,$Q$16)-SUM(U$26:U390),"")</f>
        <v/>
      </c>
      <c r="V391" s="1258">
        <f t="shared" ca="1" si="40"/>
        <v>0</v>
      </c>
      <c r="W391" s="1258">
        <f t="shared" ca="1" si="41"/>
        <v>0</v>
      </c>
      <c r="X391" s="1258" t="e">
        <f t="shared" ca="1" si="42"/>
        <v>#N/A</v>
      </c>
      <c r="Y391" s="1240"/>
      <c r="Z391" s="1240"/>
      <c r="AA391" s="1240"/>
      <c r="AB391" s="1240"/>
      <c r="AC391" s="1254" t="e">
        <f t="shared" si="45"/>
        <v>#NUM!</v>
      </c>
      <c r="AD391" s="1240"/>
      <c r="AE391" s="1240"/>
      <c r="AF391" s="1240"/>
      <c r="AG391" s="1240"/>
      <c r="AH391" s="1240"/>
      <c r="AI391" s="1240"/>
      <c r="AJ391" s="1240"/>
      <c r="AK391" s="1240"/>
      <c r="AL391" s="1240"/>
      <c r="AM391" s="1240"/>
      <c r="AN391" s="1240"/>
      <c r="AO391" s="1240"/>
      <c r="AP391" s="1240"/>
    </row>
    <row r="392" spans="1:42" ht="18.75" customHeight="1" x14ac:dyDescent="0.35">
      <c r="A392" s="1240"/>
      <c r="B392" s="1240"/>
      <c r="C392" s="1240"/>
      <c r="D392" s="1240"/>
      <c r="E392" s="1240"/>
      <c r="F392" s="1240"/>
      <c r="G392" s="1240"/>
      <c r="H392" s="1240"/>
      <c r="I392" s="1240"/>
      <c r="J392" s="1240"/>
      <c r="K392" s="1240"/>
      <c r="L392" s="1240"/>
      <c r="M392" s="1240"/>
      <c r="N392" s="1240"/>
      <c r="O392" s="1240"/>
      <c r="P392" s="1247">
        <f t="shared" si="44"/>
        <v>366</v>
      </c>
      <c r="Q392" s="1253" t="e">
        <f t="shared" ca="1" si="43"/>
        <v>#N/A</v>
      </c>
      <c r="R392" s="1247" t="str">
        <f>IFERROR(VLOOKUP(P392,RPCRepaymentDates[],1,FALSE),"")</f>
        <v/>
      </c>
      <c r="S392" s="1259">
        <f t="shared" si="39"/>
        <v>0</v>
      </c>
      <c r="T392" s="1247" t="str">
        <f>IFERROR(VLOOKUP(P392,RPCChargeCycleDates[],1,FALSE),"")</f>
        <v/>
      </c>
      <c r="U392" s="1248" t="str">
        <f>IFERROR(_xlfn.DAYS(T392,$Q$16)-SUM(U$26:U391),"")</f>
        <v/>
      </c>
      <c r="V392" s="1258">
        <f t="shared" ca="1" si="40"/>
        <v>0</v>
      </c>
      <c r="W392" s="1258">
        <f t="shared" ca="1" si="41"/>
        <v>0</v>
      </c>
      <c r="X392" s="1258" t="e">
        <f t="shared" ca="1" si="42"/>
        <v>#N/A</v>
      </c>
      <c r="Y392" s="1240"/>
      <c r="Z392" s="1240"/>
      <c r="AA392" s="1240"/>
      <c r="AB392" s="1240"/>
      <c r="AC392" s="1254" t="e">
        <f t="shared" si="45"/>
        <v>#NUM!</v>
      </c>
      <c r="AD392" s="1240"/>
      <c r="AE392" s="1240"/>
      <c r="AF392" s="1240"/>
      <c r="AG392" s="1240"/>
      <c r="AH392" s="1240"/>
      <c r="AI392" s="1240"/>
      <c r="AJ392" s="1240"/>
      <c r="AK392" s="1240"/>
      <c r="AL392" s="1240"/>
      <c r="AM392" s="1240"/>
      <c r="AN392" s="1240"/>
      <c r="AO392" s="1240"/>
      <c r="AP392" s="1240"/>
    </row>
    <row r="393" spans="1:42" ht="18.75" customHeight="1" x14ac:dyDescent="0.35">
      <c r="A393" s="1240"/>
      <c r="B393" s="1240"/>
      <c r="C393" s="1240"/>
      <c r="D393" s="1240"/>
      <c r="E393" s="1240"/>
      <c r="F393" s="1240"/>
      <c r="G393" s="1240"/>
      <c r="H393" s="1240"/>
      <c r="I393" s="1240"/>
      <c r="J393" s="1240"/>
      <c r="K393" s="1240"/>
      <c r="L393" s="1240"/>
      <c r="M393" s="1240"/>
      <c r="N393" s="1240"/>
      <c r="O393" s="1240"/>
      <c r="P393" s="1247">
        <f t="shared" si="44"/>
        <v>367</v>
      </c>
      <c r="Q393" s="1253" t="e">
        <f t="shared" ca="1" si="43"/>
        <v>#N/A</v>
      </c>
      <c r="R393" s="1247" t="str">
        <f>IFERROR(VLOOKUP(P393,RPCRepaymentDates[],1,FALSE),"")</f>
        <v/>
      </c>
      <c r="S393" s="1259">
        <f t="shared" si="39"/>
        <v>0</v>
      </c>
      <c r="T393" s="1247" t="str">
        <f>IFERROR(VLOOKUP(P393,RPCChargeCycleDates[],1,FALSE),"")</f>
        <v/>
      </c>
      <c r="U393" s="1248" t="str">
        <f>IFERROR(_xlfn.DAYS(T393,$Q$16)-SUM(U$26:U392),"")</f>
        <v/>
      </c>
      <c r="V393" s="1258">
        <f t="shared" ca="1" si="40"/>
        <v>0</v>
      </c>
      <c r="W393" s="1258">
        <f t="shared" ca="1" si="41"/>
        <v>0</v>
      </c>
      <c r="X393" s="1258" t="e">
        <f t="shared" ca="1" si="42"/>
        <v>#N/A</v>
      </c>
      <c r="Y393" s="1240"/>
      <c r="Z393" s="1240"/>
      <c r="AA393" s="1240"/>
      <c r="AB393" s="1240"/>
      <c r="AC393" s="1254" t="e">
        <f t="shared" si="45"/>
        <v>#NUM!</v>
      </c>
      <c r="AD393" s="1240"/>
      <c r="AE393" s="1240"/>
      <c r="AF393" s="1240"/>
      <c r="AG393" s="1240"/>
      <c r="AH393" s="1240"/>
      <c r="AI393" s="1240"/>
      <c r="AJ393" s="1240"/>
      <c r="AK393" s="1240"/>
      <c r="AL393" s="1240"/>
      <c r="AM393" s="1240"/>
      <c r="AN393" s="1240"/>
      <c r="AO393" s="1240"/>
      <c r="AP393" s="1240"/>
    </row>
    <row r="394" spans="1:42" ht="18.75" customHeight="1" x14ac:dyDescent="0.35">
      <c r="A394" s="1240"/>
      <c r="B394" s="1240"/>
      <c r="C394" s="1240"/>
      <c r="D394" s="1240"/>
      <c r="E394" s="1240"/>
      <c r="F394" s="1240"/>
      <c r="G394" s="1240"/>
      <c r="H394" s="1240"/>
      <c r="I394" s="1240"/>
      <c r="J394" s="1240"/>
      <c r="K394" s="1240"/>
      <c r="L394" s="1240"/>
      <c r="M394" s="1240"/>
      <c r="N394" s="1240"/>
      <c r="O394" s="1240"/>
      <c r="P394" s="1247">
        <f t="shared" si="44"/>
        <v>368</v>
      </c>
      <c r="Q394" s="1253" t="e">
        <f t="shared" ca="1" si="43"/>
        <v>#N/A</v>
      </c>
      <c r="R394" s="1247" t="str">
        <f>IFERROR(VLOOKUP(P394,RPCRepaymentDates[],1,FALSE),"")</f>
        <v/>
      </c>
      <c r="S394" s="1259">
        <f t="shared" si="39"/>
        <v>0</v>
      </c>
      <c r="T394" s="1247" t="str">
        <f>IFERROR(VLOOKUP(P394,RPCChargeCycleDates[],1,FALSE),"")</f>
        <v/>
      </c>
      <c r="U394" s="1248" t="str">
        <f>IFERROR(_xlfn.DAYS(T394,$Q$16)-SUM(U$26:U393),"")</f>
        <v/>
      </c>
      <c r="V394" s="1258">
        <f t="shared" ca="1" si="40"/>
        <v>0</v>
      </c>
      <c r="W394" s="1258">
        <f t="shared" ca="1" si="41"/>
        <v>0</v>
      </c>
      <c r="X394" s="1258" t="e">
        <f t="shared" ca="1" si="42"/>
        <v>#N/A</v>
      </c>
      <c r="Y394" s="1240"/>
      <c r="Z394" s="1240"/>
      <c r="AA394" s="1240"/>
      <c r="AB394" s="1240"/>
      <c r="AC394" s="1254" t="e">
        <f t="shared" si="45"/>
        <v>#NUM!</v>
      </c>
      <c r="AD394" s="1240"/>
      <c r="AE394" s="1240"/>
      <c r="AF394" s="1240"/>
      <c r="AG394" s="1240"/>
      <c r="AH394" s="1240"/>
      <c r="AI394" s="1240"/>
      <c r="AJ394" s="1240"/>
      <c r="AK394" s="1240"/>
      <c r="AL394" s="1240"/>
      <c r="AM394" s="1240"/>
      <c r="AN394" s="1240"/>
      <c r="AO394" s="1240"/>
      <c r="AP394" s="1240"/>
    </row>
    <row r="395" spans="1:42" ht="18.75" customHeight="1" x14ac:dyDescent="0.35">
      <c r="A395" s="1240"/>
      <c r="B395" s="1240"/>
      <c r="C395" s="1240"/>
      <c r="D395" s="1240"/>
      <c r="E395" s="1240"/>
      <c r="F395" s="1240"/>
      <c r="G395" s="1240"/>
      <c r="H395" s="1240"/>
      <c r="I395" s="1240"/>
      <c r="J395" s="1240"/>
      <c r="K395" s="1240"/>
      <c r="L395" s="1240"/>
      <c r="M395" s="1240"/>
      <c r="N395" s="1240"/>
      <c r="O395" s="1240"/>
      <c r="P395" s="1247">
        <f t="shared" si="44"/>
        <v>369</v>
      </c>
      <c r="Q395" s="1253" t="e">
        <f t="shared" ca="1" si="43"/>
        <v>#N/A</v>
      </c>
      <c r="R395" s="1247" t="str">
        <f>IFERROR(VLOOKUP(P395,RPCRepaymentDates[],1,FALSE),"")</f>
        <v/>
      </c>
      <c r="S395" s="1259">
        <f t="shared" si="39"/>
        <v>0</v>
      </c>
      <c r="T395" s="1247" t="str">
        <f>IFERROR(VLOOKUP(P395,RPCChargeCycleDates[],1,FALSE),"")</f>
        <v/>
      </c>
      <c r="U395" s="1248" t="str">
        <f>IFERROR(_xlfn.DAYS(T395,$Q$16)-SUM(U$26:U394),"")</f>
        <v/>
      </c>
      <c r="V395" s="1258">
        <f t="shared" ca="1" si="40"/>
        <v>0</v>
      </c>
      <c r="W395" s="1258">
        <f t="shared" ca="1" si="41"/>
        <v>0</v>
      </c>
      <c r="X395" s="1258" t="e">
        <f t="shared" ca="1" si="42"/>
        <v>#N/A</v>
      </c>
      <c r="Y395" s="1240"/>
      <c r="Z395" s="1240"/>
      <c r="AA395" s="1240"/>
      <c r="AB395" s="1240"/>
      <c r="AC395" s="1254" t="e">
        <f t="shared" si="45"/>
        <v>#NUM!</v>
      </c>
      <c r="AD395" s="1240"/>
      <c r="AE395" s="1240"/>
      <c r="AF395" s="1240"/>
      <c r="AG395" s="1240"/>
      <c r="AH395" s="1240"/>
      <c r="AI395" s="1240"/>
      <c r="AJ395" s="1240"/>
      <c r="AK395" s="1240"/>
      <c r="AL395" s="1240"/>
      <c r="AM395" s="1240"/>
      <c r="AN395" s="1240"/>
      <c r="AO395" s="1240"/>
      <c r="AP395" s="1240"/>
    </row>
    <row r="396" spans="1:42" ht="18.75" customHeight="1" x14ac:dyDescent="0.35">
      <c r="A396" s="1240"/>
      <c r="B396" s="1240"/>
      <c r="C396" s="1240"/>
      <c r="D396" s="1240"/>
      <c r="E396" s="1240"/>
      <c r="F396" s="1240"/>
      <c r="G396" s="1240"/>
      <c r="H396" s="1240"/>
      <c r="I396" s="1240"/>
      <c r="J396" s="1240"/>
      <c r="K396" s="1240"/>
      <c r="L396" s="1240"/>
      <c r="M396" s="1240"/>
      <c r="N396" s="1240"/>
      <c r="O396" s="1240"/>
      <c r="P396" s="1247">
        <f t="shared" si="44"/>
        <v>370</v>
      </c>
      <c r="Q396" s="1253" t="e">
        <f t="shared" ca="1" si="43"/>
        <v>#N/A</v>
      </c>
      <c r="R396" s="1247" t="str">
        <f>IFERROR(VLOOKUP(P396,RPCRepaymentDates[],1,FALSE),"")</f>
        <v/>
      </c>
      <c r="S396" s="1259">
        <f t="shared" si="39"/>
        <v>0</v>
      </c>
      <c r="T396" s="1247" t="str">
        <f>IFERROR(VLOOKUP(P396,RPCChargeCycleDates[],1,FALSE),"")</f>
        <v/>
      </c>
      <c r="U396" s="1248" t="str">
        <f>IFERROR(_xlfn.DAYS(T396,$Q$16)-SUM(U$26:U395),"")</f>
        <v/>
      </c>
      <c r="V396" s="1258">
        <f t="shared" ca="1" si="40"/>
        <v>0</v>
      </c>
      <c r="W396" s="1258">
        <f t="shared" ca="1" si="41"/>
        <v>0</v>
      </c>
      <c r="X396" s="1258" t="e">
        <f t="shared" ca="1" si="42"/>
        <v>#N/A</v>
      </c>
      <c r="Y396" s="1240"/>
      <c r="Z396" s="1240"/>
      <c r="AA396" s="1240"/>
      <c r="AB396" s="1240"/>
      <c r="AC396" s="1254" t="e">
        <f t="shared" si="45"/>
        <v>#NUM!</v>
      </c>
      <c r="AD396" s="1240"/>
      <c r="AE396" s="1240"/>
      <c r="AF396" s="1240"/>
      <c r="AG396" s="1240"/>
      <c r="AH396" s="1240"/>
      <c r="AI396" s="1240"/>
      <c r="AJ396" s="1240"/>
      <c r="AK396" s="1240"/>
      <c r="AL396" s="1240"/>
      <c r="AM396" s="1240"/>
      <c r="AN396" s="1240"/>
      <c r="AO396" s="1240"/>
      <c r="AP396" s="1240"/>
    </row>
    <row r="397" spans="1:42" ht="18.75" customHeight="1" x14ac:dyDescent="0.35">
      <c r="A397" s="1240"/>
      <c r="B397" s="1240"/>
      <c r="C397" s="1240"/>
      <c r="D397" s="1240"/>
      <c r="E397" s="1240"/>
      <c r="F397" s="1240"/>
      <c r="G397" s="1240"/>
      <c r="H397" s="1240"/>
      <c r="I397" s="1240"/>
      <c r="J397" s="1240"/>
      <c r="K397" s="1240"/>
      <c r="L397" s="1240"/>
      <c r="M397" s="1240"/>
      <c r="N397" s="1240"/>
      <c r="O397" s="1240"/>
      <c r="P397" s="1247">
        <f t="shared" si="44"/>
        <v>371</v>
      </c>
      <c r="Q397" s="1253" t="e">
        <f t="shared" ca="1" si="43"/>
        <v>#N/A</v>
      </c>
      <c r="R397" s="1247" t="str">
        <f>IFERROR(VLOOKUP(P397,RPCRepaymentDates[],1,FALSE),"")</f>
        <v/>
      </c>
      <c r="S397" s="1259">
        <f t="shared" si="39"/>
        <v>0</v>
      </c>
      <c r="T397" s="1247" t="str">
        <f>IFERROR(VLOOKUP(P397,RPCChargeCycleDates[],1,FALSE),"")</f>
        <v/>
      </c>
      <c r="U397" s="1248" t="str">
        <f>IFERROR(_xlfn.DAYS(T397,$Q$16)-SUM(U$26:U396),"")</f>
        <v/>
      </c>
      <c r="V397" s="1258">
        <f t="shared" ca="1" si="40"/>
        <v>0</v>
      </c>
      <c r="W397" s="1258">
        <f t="shared" ca="1" si="41"/>
        <v>0</v>
      </c>
      <c r="X397" s="1258" t="e">
        <f t="shared" ca="1" si="42"/>
        <v>#N/A</v>
      </c>
      <c r="Y397" s="1240"/>
      <c r="Z397" s="1240"/>
      <c r="AA397" s="1240"/>
      <c r="AB397" s="1240"/>
      <c r="AC397" s="1254" t="e">
        <f t="shared" si="45"/>
        <v>#NUM!</v>
      </c>
      <c r="AD397" s="1240"/>
      <c r="AE397" s="1240"/>
      <c r="AF397" s="1240"/>
      <c r="AG397" s="1240"/>
      <c r="AH397" s="1240"/>
      <c r="AI397" s="1240"/>
      <c r="AJ397" s="1240"/>
      <c r="AK397" s="1240"/>
      <c r="AL397" s="1240"/>
      <c r="AM397" s="1240"/>
      <c r="AN397" s="1240"/>
      <c r="AO397" s="1240"/>
      <c r="AP397" s="1240"/>
    </row>
    <row r="398" spans="1:42" ht="18.75" customHeight="1" x14ac:dyDescent="0.35">
      <c r="A398" s="1240"/>
      <c r="B398" s="1240"/>
      <c r="C398" s="1240"/>
      <c r="D398" s="1240"/>
      <c r="E398" s="1240"/>
      <c r="F398" s="1240"/>
      <c r="G398" s="1240"/>
      <c r="H398" s="1240"/>
      <c r="I398" s="1240"/>
      <c r="J398" s="1240"/>
      <c r="K398" s="1240"/>
      <c r="L398" s="1240"/>
      <c r="M398" s="1240"/>
      <c r="N398" s="1240"/>
      <c r="O398" s="1240"/>
      <c r="P398" s="1247">
        <f t="shared" si="44"/>
        <v>372</v>
      </c>
      <c r="Q398" s="1253" t="e">
        <f t="shared" ca="1" si="43"/>
        <v>#N/A</v>
      </c>
      <c r="R398" s="1247" t="str">
        <f>IFERROR(VLOOKUP(P398,RPCRepaymentDates[],1,FALSE),"")</f>
        <v/>
      </c>
      <c r="S398" s="1259">
        <f t="shared" si="39"/>
        <v>0</v>
      </c>
      <c r="T398" s="1247" t="str">
        <f>IFERROR(VLOOKUP(P398,RPCChargeCycleDates[],1,FALSE),"")</f>
        <v/>
      </c>
      <c r="U398" s="1248" t="str">
        <f>IFERROR(_xlfn.DAYS(T398,$Q$16)-SUM(U$26:U397),"")</f>
        <v/>
      </c>
      <c r="V398" s="1258">
        <f t="shared" ca="1" si="40"/>
        <v>0</v>
      </c>
      <c r="W398" s="1258">
        <f t="shared" ca="1" si="41"/>
        <v>0</v>
      </c>
      <c r="X398" s="1258" t="e">
        <f t="shared" ca="1" si="42"/>
        <v>#N/A</v>
      </c>
      <c r="Y398" s="1240"/>
      <c r="Z398" s="1240"/>
      <c r="AA398" s="1240"/>
      <c r="AB398" s="1240"/>
      <c r="AC398" s="1254" t="e">
        <f t="shared" si="45"/>
        <v>#NUM!</v>
      </c>
      <c r="AD398" s="1240"/>
      <c r="AE398" s="1240"/>
      <c r="AF398" s="1240"/>
      <c r="AG398" s="1240"/>
      <c r="AH398" s="1240"/>
      <c r="AI398" s="1240"/>
      <c r="AJ398" s="1240"/>
      <c r="AK398" s="1240"/>
      <c r="AL398" s="1240"/>
      <c r="AM398" s="1240"/>
      <c r="AN398" s="1240"/>
      <c r="AO398" s="1240"/>
      <c r="AP398" s="1240"/>
    </row>
    <row r="399" spans="1:42" ht="18.75" customHeight="1" x14ac:dyDescent="0.35">
      <c r="A399" s="1240"/>
      <c r="B399" s="1240"/>
      <c r="C399" s="1240"/>
      <c r="D399" s="1240"/>
      <c r="E399" s="1240"/>
      <c r="F399" s="1240"/>
      <c r="G399" s="1240"/>
      <c r="H399" s="1240"/>
      <c r="I399" s="1240"/>
      <c r="J399" s="1240"/>
      <c r="K399" s="1240"/>
      <c r="L399" s="1240"/>
      <c r="M399" s="1240"/>
      <c r="N399" s="1240"/>
      <c r="O399" s="1240"/>
      <c r="P399" s="1247">
        <f t="shared" si="44"/>
        <v>373</v>
      </c>
      <c r="Q399" s="1253" t="e">
        <f t="shared" ca="1" si="43"/>
        <v>#N/A</v>
      </c>
      <c r="R399" s="1247" t="str">
        <f>IFERROR(VLOOKUP(P399,RPCRepaymentDates[],1,FALSE),"")</f>
        <v/>
      </c>
      <c r="S399" s="1259">
        <f t="shared" si="39"/>
        <v>0</v>
      </c>
      <c r="T399" s="1247" t="str">
        <f>IFERROR(VLOOKUP(P399,RPCChargeCycleDates[],1,FALSE),"")</f>
        <v/>
      </c>
      <c r="U399" s="1248" t="str">
        <f>IFERROR(_xlfn.DAYS(T399,$Q$16)-SUM(U$26:U398),"")</f>
        <v/>
      </c>
      <c r="V399" s="1258">
        <f t="shared" ca="1" si="40"/>
        <v>0</v>
      </c>
      <c r="W399" s="1258">
        <f t="shared" ca="1" si="41"/>
        <v>0</v>
      </c>
      <c r="X399" s="1258" t="e">
        <f t="shared" ca="1" si="42"/>
        <v>#N/A</v>
      </c>
      <c r="Y399" s="1240"/>
      <c r="Z399" s="1240"/>
      <c r="AA399" s="1240"/>
      <c r="AB399" s="1240"/>
      <c r="AC399" s="1254" t="e">
        <f t="shared" si="45"/>
        <v>#NUM!</v>
      </c>
      <c r="AD399" s="1240"/>
      <c r="AE399" s="1240"/>
      <c r="AF399" s="1240"/>
      <c r="AG399" s="1240"/>
      <c r="AH399" s="1240"/>
      <c r="AI399" s="1240"/>
      <c r="AJ399" s="1240"/>
      <c r="AK399" s="1240"/>
      <c r="AL399" s="1240"/>
      <c r="AM399" s="1240"/>
      <c r="AN399" s="1240"/>
      <c r="AO399" s="1240"/>
      <c r="AP399" s="1240"/>
    </row>
    <row r="400" spans="1:42" ht="18.75" customHeight="1" x14ac:dyDescent="0.35">
      <c r="A400" s="1240"/>
      <c r="B400" s="1240"/>
      <c r="C400" s="1240"/>
      <c r="D400" s="1240"/>
      <c r="E400" s="1240"/>
      <c r="F400" s="1240"/>
      <c r="G400" s="1240"/>
      <c r="H400" s="1240"/>
      <c r="I400" s="1240"/>
      <c r="J400" s="1240"/>
      <c r="K400" s="1240"/>
      <c r="L400" s="1240"/>
      <c r="M400" s="1240"/>
      <c r="N400" s="1240"/>
      <c r="O400" s="1240"/>
      <c r="P400" s="1247">
        <f t="shared" si="44"/>
        <v>374</v>
      </c>
      <c r="Q400" s="1253" t="e">
        <f t="shared" ca="1" si="43"/>
        <v>#N/A</v>
      </c>
      <c r="R400" s="1247" t="str">
        <f>IFERROR(VLOOKUP(P400,RPCRepaymentDates[],1,FALSE),"")</f>
        <v/>
      </c>
      <c r="S400" s="1259">
        <f t="shared" si="39"/>
        <v>0</v>
      </c>
      <c r="T400" s="1247" t="str">
        <f>IFERROR(VLOOKUP(P400,RPCChargeCycleDates[],1,FALSE),"")</f>
        <v/>
      </c>
      <c r="U400" s="1248" t="str">
        <f>IFERROR(_xlfn.DAYS(T400,$Q$16)-SUM(U$26:U399),"")</f>
        <v/>
      </c>
      <c r="V400" s="1258">
        <f t="shared" ca="1" si="40"/>
        <v>0</v>
      </c>
      <c r="W400" s="1258">
        <f t="shared" ca="1" si="41"/>
        <v>0</v>
      </c>
      <c r="X400" s="1258" t="e">
        <f t="shared" ca="1" si="42"/>
        <v>#N/A</v>
      </c>
      <c r="Y400" s="1240"/>
      <c r="Z400" s="1240"/>
      <c r="AA400" s="1240"/>
      <c r="AB400" s="1240"/>
      <c r="AC400" s="1254" t="e">
        <f t="shared" si="45"/>
        <v>#NUM!</v>
      </c>
      <c r="AD400" s="1240"/>
      <c r="AE400" s="1240"/>
      <c r="AF400" s="1240"/>
      <c r="AG400" s="1240"/>
      <c r="AH400" s="1240"/>
      <c r="AI400" s="1240"/>
      <c r="AJ400" s="1240"/>
      <c r="AK400" s="1240"/>
      <c r="AL400" s="1240"/>
      <c r="AM400" s="1240"/>
      <c r="AN400" s="1240"/>
      <c r="AO400" s="1240"/>
      <c r="AP400" s="1240"/>
    </row>
    <row r="401" spans="1:42" ht="18.75" customHeight="1" x14ac:dyDescent="0.35">
      <c r="A401" s="1240"/>
      <c r="B401" s="1240"/>
      <c r="C401" s="1240"/>
      <c r="D401" s="1240"/>
      <c r="E401" s="1240"/>
      <c r="F401" s="1240"/>
      <c r="G401" s="1240"/>
      <c r="H401" s="1240"/>
      <c r="I401" s="1240"/>
      <c r="J401" s="1240"/>
      <c r="K401" s="1240"/>
      <c r="L401" s="1240"/>
      <c r="M401" s="1240"/>
      <c r="N401" s="1240"/>
      <c r="O401" s="1240"/>
      <c r="P401" s="1247">
        <f t="shared" si="44"/>
        <v>375</v>
      </c>
      <c r="Q401" s="1253" t="e">
        <f t="shared" ca="1" si="43"/>
        <v>#N/A</v>
      </c>
      <c r="R401" s="1247" t="str">
        <f>IFERROR(VLOOKUP(P401,RPCRepaymentDates[],1,FALSE),"")</f>
        <v/>
      </c>
      <c r="S401" s="1259">
        <f t="shared" si="39"/>
        <v>0</v>
      </c>
      <c r="T401" s="1247" t="str">
        <f>IFERROR(VLOOKUP(P401,RPCChargeCycleDates[],1,FALSE),"")</f>
        <v/>
      </c>
      <c r="U401" s="1248" t="str">
        <f>IFERROR(_xlfn.DAYS(T401,$Q$16)-SUM(U$26:U400),"")</f>
        <v/>
      </c>
      <c r="V401" s="1258">
        <f t="shared" ca="1" si="40"/>
        <v>0</v>
      </c>
      <c r="W401" s="1258">
        <f t="shared" ca="1" si="41"/>
        <v>0</v>
      </c>
      <c r="X401" s="1258" t="e">
        <f t="shared" ca="1" si="42"/>
        <v>#N/A</v>
      </c>
      <c r="Y401" s="1240"/>
      <c r="Z401" s="1240"/>
      <c r="AA401" s="1240"/>
      <c r="AB401" s="1240"/>
      <c r="AC401" s="1254" t="e">
        <f t="shared" si="45"/>
        <v>#NUM!</v>
      </c>
      <c r="AD401" s="1240"/>
      <c r="AE401" s="1240"/>
      <c r="AF401" s="1240"/>
      <c r="AG401" s="1240"/>
      <c r="AH401" s="1240"/>
      <c r="AI401" s="1240"/>
      <c r="AJ401" s="1240"/>
      <c r="AK401" s="1240"/>
      <c r="AL401" s="1240"/>
      <c r="AM401" s="1240"/>
      <c r="AN401" s="1240"/>
      <c r="AO401" s="1240"/>
      <c r="AP401" s="1240"/>
    </row>
    <row r="402" spans="1:42" ht="18.75" customHeight="1" x14ac:dyDescent="0.35">
      <c r="A402" s="1240"/>
      <c r="B402" s="1240"/>
      <c r="C402" s="1240"/>
      <c r="D402" s="1240"/>
      <c r="E402" s="1240"/>
      <c r="F402" s="1240"/>
      <c r="G402" s="1240"/>
      <c r="H402" s="1240"/>
      <c r="I402" s="1240"/>
      <c r="J402" s="1240"/>
      <c r="K402" s="1240"/>
      <c r="L402" s="1240"/>
      <c r="M402" s="1240"/>
      <c r="N402" s="1240"/>
      <c r="O402" s="1240"/>
      <c r="P402" s="1247">
        <f t="shared" si="44"/>
        <v>376</v>
      </c>
      <c r="Q402" s="1253" t="e">
        <f t="shared" ca="1" si="43"/>
        <v>#N/A</v>
      </c>
      <c r="R402" s="1247" t="str">
        <f>IFERROR(VLOOKUP(P402,RPCRepaymentDates[],1,FALSE),"")</f>
        <v/>
      </c>
      <c r="S402" s="1259">
        <f t="shared" si="39"/>
        <v>0</v>
      </c>
      <c r="T402" s="1247" t="str">
        <f>IFERROR(VLOOKUP(P402,RPCChargeCycleDates[],1,FALSE),"")</f>
        <v/>
      </c>
      <c r="U402" s="1248" t="str">
        <f>IFERROR(_xlfn.DAYS(T402,$Q$16)-SUM(U$26:U401),"")</f>
        <v/>
      </c>
      <c r="V402" s="1258">
        <f t="shared" ca="1" si="40"/>
        <v>0</v>
      </c>
      <c r="W402" s="1258">
        <f t="shared" ca="1" si="41"/>
        <v>0</v>
      </c>
      <c r="X402" s="1258" t="e">
        <f t="shared" ca="1" si="42"/>
        <v>#N/A</v>
      </c>
      <c r="Y402" s="1240"/>
      <c r="Z402" s="1240"/>
      <c r="AA402" s="1240"/>
      <c r="AB402" s="1240"/>
      <c r="AC402" s="1254" t="e">
        <f t="shared" si="45"/>
        <v>#NUM!</v>
      </c>
      <c r="AD402" s="1240"/>
      <c r="AE402" s="1240"/>
      <c r="AF402" s="1240"/>
      <c r="AG402" s="1240"/>
      <c r="AH402" s="1240"/>
      <c r="AI402" s="1240"/>
      <c r="AJ402" s="1240"/>
      <c r="AK402" s="1240"/>
      <c r="AL402" s="1240"/>
      <c r="AM402" s="1240"/>
      <c r="AN402" s="1240"/>
      <c r="AO402" s="1240"/>
      <c r="AP402" s="1240"/>
    </row>
    <row r="403" spans="1:42" ht="18.75" customHeight="1" x14ac:dyDescent="0.35">
      <c r="A403" s="1240"/>
      <c r="B403" s="1240"/>
      <c r="C403" s="1240"/>
      <c r="D403" s="1240"/>
      <c r="E403" s="1240"/>
      <c r="F403" s="1240"/>
      <c r="G403" s="1240"/>
      <c r="H403" s="1240"/>
      <c r="I403" s="1240"/>
      <c r="J403" s="1240"/>
      <c r="K403" s="1240"/>
      <c r="L403" s="1240"/>
      <c r="M403" s="1240"/>
      <c r="N403" s="1240"/>
      <c r="O403" s="1240"/>
      <c r="P403" s="1247">
        <f t="shared" si="44"/>
        <v>377</v>
      </c>
      <c r="Q403" s="1253" t="e">
        <f t="shared" ca="1" si="43"/>
        <v>#N/A</v>
      </c>
      <c r="R403" s="1247" t="str">
        <f>IFERROR(VLOOKUP(P403,RPCRepaymentDates[],1,FALSE),"")</f>
        <v/>
      </c>
      <c r="S403" s="1259">
        <f t="shared" si="39"/>
        <v>0</v>
      </c>
      <c r="T403" s="1247" t="str">
        <f>IFERROR(VLOOKUP(P403,RPCChargeCycleDates[],1,FALSE),"")</f>
        <v/>
      </c>
      <c r="U403" s="1248" t="str">
        <f>IFERROR(_xlfn.DAYS(T403,$Q$16)-SUM(U$26:U402),"")</f>
        <v/>
      </c>
      <c r="V403" s="1258">
        <f t="shared" ca="1" si="40"/>
        <v>0</v>
      </c>
      <c r="W403" s="1258">
        <f t="shared" ca="1" si="41"/>
        <v>0</v>
      </c>
      <c r="X403" s="1258" t="e">
        <f t="shared" ca="1" si="42"/>
        <v>#N/A</v>
      </c>
      <c r="Y403" s="1240"/>
      <c r="Z403" s="1240"/>
      <c r="AA403" s="1240"/>
      <c r="AB403" s="1240"/>
      <c r="AC403" s="1254" t="e">
        <f t="shared" si="45"/>
        <v>#NUM!</v>
      </c>
      <c r="AD403" s="1240"/>
      <c r="AE403" s="1240"/>
      <c r="AF403" s="1240"/>
      <c r="AG403" s="1240"/>
      <c r="AH403" s="1240"/>
      <c r="AI403" s="1240"/>
      <c r="AJ403" s="1240"/>
      <c r="AK403" s="1240"/>
      <c r="AL403" s="1240"/>
      <c r="AM403" s="1240"/>
      <c r="AN403" s="1240"/>
      <c r="AO403" s="1240"/>
      <c r="AP403" s="1240"/>
    </row>
    <row r="404" spans="1:42" ht="18.75" customHeight="1" x14ac:dyDescent="0.35">
      <c r="A404" s="1240"/>
      <c r="B404" s="1240"/>
      <c r="C404" s="1240"/>
      <c r="D404" s="1240"/>
      <c r="E404" s="1240"/>
      <c r="F404" s="1240"/>
      <c r="G404" s="1240"/>
      <c r="H404" s="1240"/>
      <c r="I404" s="1240"/>
      <c r="J404" s="1240"/>
      <c r="K404" s="1240"/>
      <c r="L404" s="1240"/>
      <c r="M404" s="1240"/>
      <c r="N404" s="1240"/>
      <c r="O404" s="1240"/>
      <c r="P404" s="1247">
        <f t="shared" si="44"/>
        <v>378</v>
      </c>
      <c r="Q404" s="1253" t="e">
        <f t="shared" ca="1" si="43"/>
        <v>#N/A</v>
      </c>
      <c r="R404" s="1247" t="str">
        <f>IFERROR(VLOOKUP(P404,RPCRepaymentDates[],1,FALSE),"")</f>
        <v/>
      </c>
      <c r="S404" s="1259">
        <f t="shared" si="39"/>
        <v>0</v>
      </c>
      <c r="T404" s="1247" t="str">
        <f>IFERROR(VLOOKUP(P404,RPCChargeCycleDates[],1,FALSE),"")</f>
        <v/>
      </c>
      <c r="U404" s="1248" t="str">
        <f>IFERROR(_xlfn.DAYS(T404,$Q$16)-SUM(U$26:U403),"")</f>
        <v/>
      </c>
      <c r="V404" s="1258">
        <f t="shared" ca="1" si="40"/>
        <v>0</v>
      </c>
      <c r="W404" s="1258">
        <f t="shared" ca="1" si="41"/>
        <v>0</v>
      </c>
      <c r="X404" s="1258" t="e">
        <f t="shared" ca="1" si="42"/>
        <v>#N/A</v>
      </c>
      <c r="Y404" s="1240"/>
      <c r="Z404" s="1240"/>
      <c r="AA404" s="1240"/>
      <c r="AB404" s="1240"/>
      <c r="AC404" s="1254" t="e">
        <f t="shared" si="45"/>
        <v>#NUM!</v>
      </c>
      <c r="AD404" s="1240"/>
      <c r="AE404" s="1240"/>
      <c r="AF404" s="1240"/>
      <c r="AG404" s="1240"/>
      <c r="AH404" s="1240"/>
      <c r="AI404" s="1240"/>
      <c r="AJ404" s="1240"/>
      <c r="AK404" s="1240"/>
      <c r="AL404" s="1240"/>
      <c r="AM404" s="1240"/>
      <c r="AN404" s="1240"/>
      <c r="AO404" s="1240"/>
      <c r="AP404" s="1240"/>
    </row>
    <row r="405" spans="1:42" ht="18.75" customHeight="1" x14ac:dyDescent="0.35">
      <c r="A405" s="1240"/>
      <c r="B405" s="1240"/>
      <c r="C405" s="1240"/>
      <c r="D405" s="1240"/>
      <c r="E405" s="1240"/>
      <c r="F405" s="1240"/>
      <c r="G405" s="1240"/>
      <c r="H405" s="1240"/>
      <c r="I405" s="1240"/>
      <c r="J405" s="1240"/>
      <c r="K405" s="1240"/>
      <c r="L405" s="1240"/>
      <c r="M405" s="1240"/>
      <c r="N405" s="1240"/>
      <c r="O405" s="1240"/>
      <c r="P405" s="1247">
        <f t="shared" si="44"/>
        <v>379</v>
      </c>
      <c r="Q405" s="1253" t="e">
        <f t="shared" ca="1" si="43"/>
        <v>#N/A</v>
      </c>
      <c r="R405" s="1247" t="str">
        <f>IFERROR(VLOOKUP(P405,RPCRepaymentDates[],1,FALSE),"")</f>
        <v/>
      </c>
      <c r="S405" s="1259">
        <f t="shared" si="39"/>
        <v>0</v>
      </c>
      <c r="T405" s="1247" t="str">
        <f>IFERROR(VLOOKUP(P405,RPCChargeCycleDates[],1,FALSE),"")</f>
        <v/>
      </c>
      <c r="U405" s="1248" t="str">
        <f>IFERROR(_xlfn.DAYS(T405,$Q$16)-SUM(U$26:U404),"")</f>
        <v/>
      </c>
      <c r="V405" s="1258">
        <f t="shared" ca="1" si="40"/>
        <v>0</v>
      </c>
      <c r="W405" s="1258">
        <f t="shared" ca="1" si="41"/>
        <v>0</v>
      </c>
      <c r="X405" s="1258" t="e">
        <f t="shared" ca="1" si="42"/>
        <v>#N/A</v>
      </c>
      <c r="Y405" s="1240"/>
      <c r="Z405" s="1240"/>
      <c r="AA405" s="1240"/>
      <c r="AB405" s="1240"/>
      <c r="AC405" s="1254" t="e">
        <f t="shared" si="45"/>
        <v>#NUM!</v>
      </c>
      <c r="AD405" s="1240"/>
      <c r="AE405" s="1240"/>
      <c r="AF405" s="1240"/>
      <c r="AG405" s="1240"/>
      <c r="AH405" s="1240"/>
      <c r="AI405" s="1240"/>
      <c r="AJ405" s="1240"/>
      <c r="AK405" s="1240"/>
      <c r="AL405" s="1240"/>
      <c r="AM405" s="1240"/>
      <c r="AN405" s="1240"/>
      <c r="AO405" s="1240"/>
      <c r="AP405" s="1240"/>
    </row>
    <row r="406" spans="1:42" ht="18.75" customHeight="1" x14ac:dyDescent="0.35">
      <c r="A406" s="1240"/>
      <c r="B406" s="1240"/>
      <c r="C406" s="1240"/>
      <c r="D406" s="1240"/>
      <c r="E406" s="1240"/>
      <c r="F406" s="1240"/>
      <c r="G406" s="1240"/>
      <c r="H406" s="1240"/>
      <c r="I406" s="1240"/>
      <c r="J406" s="1240"/>
      <c r="K406" s="1240"/>
      <c r="L406" s="1240"/>
      <c r="M406" s="1240"/>
      <c r="N406" s="1240"/>
      <c r="O406" s="1240"/>
      <c r="P406" s="1247">
        <f t="shared" si="44"/>
        <v>380</v>
      </c>
      <c r="Q406" s="1253" t="e">
        <f t="shared" ca="1" si="43"/>
        <v>#N/A</v>
      </c>
      <c r="R406" s="1247" t="str">
        <f>IFERROR(VLOOKUP(P406,RPCRepaymentDates[],1,FALSE),"")</f>
        <v/>
      </c>
      <c r="S406" s="1259">
        <f t="shared" si="39"/>
        <v>0</v>
      </c>
      <c r="T406" s="1247" t="str">
        <f>IFERROR(VLOOKUP(P406,RPCChargeCycleDates[],1,FALSE),"")</f>
        <v/>
      </c>
      <c r="U406" s="1248" t="str">
        <f>IFERROR(_xlfn.DAYS(T406,$Q$16)-SUM(U$26:U405),"")</f>
        <v/>
      </c>
      <c r="V406" s="1258">
        <f t="shared" ca="1" si="40"/>
        <v>0</v>
      </c>
      <c r="W406" s="1258">
        <f t="shared" ca="1" si="41"/>
        <v>0</v>
      </c>
      <c r="X406" s="1258" t="e">
        <f t="shared" ca="1" si="42"/>
        <v>#N/A</v>
      </c>
      <c r="Y406" s="1240"/>
      <c r="Z406" s="1240"/>
      <c r="AA406" s="1240"/>
      <c r="AB406" s="1240"/>
      <c r="AC406" s="1254" t="e">
        <f t="shared" si="45"/>
        <v>#NUM!</v>
      </c>
      <c r="AD406" s="1240"/>
      <c r="AE406" s="1240"/>
      <c r="AF406" s="1240"/>
      <c r="AG406" s="1240"/>
      <c r="AH406" s="1240"/>
      <c r="AI406" s="1240"/>
      <c r="AJ406" s="1240"/>
      <c r="AK406" s="1240"/>
      <c r="AL406" s="1240"/>
      <c r="AM406" s="1240"/>
      <c r="AN406" s="1240"/>
      <c r="AO406" s="1240"/>
      <c r="AP406" s="1240"/>
    </row>
    <row r="407" spans="1:42" ht="18.75" customHeight="1" x14ac:dyDescent="0.35">
      <c r="A407" s="1240"/>
      <c r="B407" s="1240"/>
      <c r="C407" s="1240"/>
      <c r="D407" s="1240"/>
      <c r="E407" s="1240"/>
      <c r="F407" s="1240"/>
      <c r="G407" s="1240"/>
      <c r="H407" s="1240"/>
      <c r="I407" s="1240"/>
      <c r="J407" s="1240"/>
      <c r="K407" s="1240"/>
      <c r="L407" s="1240"/>
      <c r="M407" s="1240"/>
      <c r="N407" s="1240"/>
      <c r="O407" s="1240"/>
      <c r="P407" s="1247">
        <f t="shared" si="44"/>
        <v>381</v>
      </c>
      <c r="Q407" s="1253" t="e">
        <f t="shared" ca="1" si="43"/>
        <v>#N/A</v>
      </c>
      <c r="R407" s="1247" t="str">
        <f>IFERROR(VLOOKUP(P407,RPCRepaymentDates[],1,FALSE),"")</f>
        <v/>
      </c>
      <c r="S407" s="1259">
        <f t="shared" si="39"/>
        <v>0</v>
      </c>
      <c r="T407" s="1247" t="str">
        <f>IFERROR(VLOOKUP(P407,RPCChargeCycleDates[],1,FALSE),"")</f>
        <v/>
      </c>
      <c r="U407" s="1248" t="str">
        <f>IFERROR(_xlfn.DAYS(T407,$Q$16)-SUM(U$26:U406),"")</f>
        <v/>
      </c>
      <c r="V407" s="1258">
        <f t="shared" ca="1" si="40"/>
        <v>0</v>
      </c>
      <c r="W407" s="1258">
        <f t="shared" ca="1" si="41"/>
        <v>0</v>
      </c>
      <c r="X407" s="1258" t="e">
        <f t="shared" ca="1" si="42"/>
        <v>#N/A</v>
      </c>
      <c r="Y407" s="1240"/>
      <c r="Z407" s="1240"/>
      <c r="AA407" s="1240"/>
      <c r="AB407" s="1240"/>
      <c r="AC407" s="1254" t="e">
        <f t="shared" si="45"/>
        <v>#NUM!</v>
      </c>
      <c r="AD407" s="1240"/>
      <c r="AE407" s="1240"/>
      <c r="AF407" s="1240"/>
      <c r="AG407" s="1240"/>
      <c r="AH407" s="1240"/>
      <c r="AI407" s="1240"/>
      <c r="AJ407" s="1240"/>
      <c r="AK407" s="1240"/>
      <c r="AL407" s="1240"/>
      <c r="AM407" s="1240"/>
      <c r="AN407" s="1240"/>
      <c r="AO407" s="1240"/>
      <c r="AP407" s="1240"/>
    </row>
    <row r="408" spans="1:42" ht="18.75" customHeight="1" x14ac:dyDescent="0.35">
      <c r="A408" s="1240"/>
      <c r="B408" s="1240"/>
      <c r="C408" s="1240"/>
      <c r="D408" s="1240"/>
      <c r="E408" s="1240"/>
      <c r="F408" s="1240"/>
      <c r="G408" s="1240"/>
      <c r="H408" s="1240"/>
      <c r="I408" s="1240"/>
      <c r="J408" s="1240"/>
      <c r="K408" s="1240"/>
      <c r="L408" s="1240"/>
      <c r="M408" s="1240"/>
      <c r="N408" s="1240"/>
      <c r="O408" s="1240"/>
      <c r="P408" s="1247">
        <f t="shared" si="44"/>
        <v>382</v>
      </c>
      <c r="Q408" s="1253" t="e">
        <f t="shared" ca="1" si="43"/>
        <v>#N/A</v>
      </c>
      <c r="R408" s="1247" t="str">
        <f>IFERROR(VLOOKUP(P408,RPCRepaymentDates[],1,FALSE),"")</f>
        <v/>
      </c>
      <c r="S408" s="1259">
        <f t="shared" si="39"/>
        <v>0</v>
      </c>
      <c r="T408" s="1247" t="str">
        <f>IFERROR(VLOOKUP(P408,RPCChargeCycleDates[],1,FALSE),"")</f>
        <v/>
      </c>
      <c r="U408" s="1248" t="str">
        <f>IFERROR(_xlfn.DAYS(T408,$Q$16)-SUM(U$26:U407),"")</f>
        <v/>
      </c>
      <c r="V408" s="1258">
        <f t="shared" ca="1" si="40"/>
        <v>0</v>
      </c>
      <c r="W408" s="1258">
        <f t="shared" ca="1" si="41"/>
        <v>0</v>
      </c>
      <c r="X408" s="1258" t="e">
        <f t="shared" ca="1" si="42"/>
        <v>#N/A</v>
      </c>
      <c r="Y408" s="1240"/>
      <c r="Z408" s="1240"/>
      <c r="AA408" s="1240"/>
      <c r="AB408" s="1240"/>
      <c r="AC408" s="1254" t="e">
        <f t="shared" si="45"/>
        <v>#NUM!</v>
      </c>
      <c r="AD408" s="1240"/>
      <c r="AE408" s="1240"/>
      <c r="AF408" s="1240"/>
      <c r="AG408" s="1240"/>
      <c r="AH408" s="1240"/>
      <c r="AI408" s="1240"/>
      <c r="AJ408" s="1240"/>
      <c r="AK408" s="1240"/>
      <c r="AL408" s="1240"/>
      <c r="AM408" s="1240"/>
      <c r="AN408" s="1240"/>
      <c r="AO408" s="1240"/>
      <c r="AP408" s="1240"/>
    </row>
    <row r="409" spans="1:42" ht="18.75" customHeight="1" x14ac:dyDescent="0.35">
      <c r="A409" s="1240"/>
      <c r="B409" s="1240"/>
      <c r="C409" s="1240"/>
      <c r="D409" s="1240"/>
      <c r="E409" s="1240"/>
      <c r="F409" s="1240"/>
      <c r="G409" s="1240"/>
      <c r="H409" s="1240"/>
      <c r="I409" s="1240"/>
      <c r="J409" s="1240"/>
      <c r="K409" s="1240"/>
      <c r="L409" s="1240"/>
      <c r="M409" s="1240"/>
      <c r="N409" s="1240"/>
      <c r="O409" s="1240"/>
      <c r="P409" s="1247">
        <f t="shared" si="44"/>
        <v>383</v>
      </c>
      <c r="Q409" s="1253" t="e">
        <f t="shared" ca="1" si="43"/>
        <v>#N/A</v>
      </c>
      <c r="R409" s="1247" t="str">
        <f>IFERROR(VLOOKUP(P409,RPCRepaymentDates[],1,FALSE),"")</f>
        <v/>
      </c>
      <c r="S409" s="1259">
        <f t="shared" si="39"/>
        <v>0</v>
      </c>
      <c r="T409" s="1247" t="str">
        <f>IFERROR(VLOOKUP(P409,RPCChargeCycleDates[],1,FALSE),"")</f>
        <v/>
      </c>
      <c r="U409" s="1248" t="str">
        <f>IFERROR(_xlfn.DAYS(T409,$Q$16)-SUM(U$26:U408),"")</f>
        <v/>
      </c>
      <c r="V409" s="1258">
        <f t="shared" ca="1" si="40"/>
        <v>0</v>
      </c>
      <c r="W409" s="1258">
        <f t="shared" ca="1" si="41"/>
        <v>0</v>
      </c>
      <c r="X409" s="1258" t="e">
        <f t="shared" ca="1" si="42"/>
        <v>#N/A</v>
      </c>
      <c r="Y409" s="1240"/>
      <c r="Z409" s="1240"/>
      <c r="AA409" s="1240"/>
      <c r="AB409" s="1240"/>
      <c r="AC409" s="1254" t="e">
        <f t="shared" si="45"/>
        <v>#NUM!</v>
      </c>
      <c r="AD409" s="1240"/>
      <c r="AE409" s="1240"/>
      <c r="AF409" s="1240"/>
      <c r="AG409" s="1240"/>
      <c r="AH409" s="1240"/>
      <c r="AI409" s="1240"/>
      <c r="AJ409" s="1240"/>
      <c r="AK409" s="1240"/>
      <c r="AL409" s="1240"/>
      <c r="AM409" s="1240"/>
      <c r="AN409" s="1240"/>
      <c r="AO409" s="1240"/>
      <c r="AP409" s="1240"/>
    </row>
    <row r="410" spans="1:42" ht="18.75" customHeight="1" x14ac:dyDescent="0.35">
      <c r="A410" s="1240"/>
      <c r="B410" s="1240"/>
      <c r="C410" s="1240"/>
      <c r="D410" s="1240"/>
      <c r="E410" s="1240"/>
      <c r="F410" s="1240"/>
      <c r="G410" s="1240"/>
      <c r="H410" s="1240"/>
      <c r="I410" s="1240"/>
      <c r="J410" s="1240"/>
      <c r="K410" s="1240"/>
      <c r="L410" s="1240"/>
      <c r="M410" s="1240"/>
      <c r="N410" s="1240"/>
      <c r="O410" s="1240"/>
      <c r="P410" s="1247">
        <f t="shared" si="44"/>
        <v>384</v>
      </c>
      <c r="Q410" s="1253" t="e">
        <f t="shared" ca="1" si="43"/>
        <v>#N/A</v>
      </c>
      <c r="R410" s="1247" t="str">
        <f>IFERROR(VLOOKUP(P410,RPCRepaymentDates[],1,FALSE),"")</f>
        <v/>
      </c>
      <c r="S410" s="1259">
        <f t="shared" ref="S410:S473" si="46">IF(P410=R410,IF(R410&lt;RPCNextPaymentTransferDate,0,IF(OR(R410&lt;RPCPauseStartDate,R410&gt;RPCPauseEndDate),RPCCurrentRepayment,RPCPauseRepayment)),0)</f>
        <v>0</v>
      </c>
      <c r="T410" s="1247" t="str">
        <f>IFERROR(VLOOKUP(P410,RPCChargeCycleDates[],1,FALSE),"")</f>
        <v/>
      </c>
      <c r="U410" s="1248" t="str">
        <f>IFERROR(_xlfn.DAYS(T410,$Q$16)-SUM(U$26:U409),"")</f>
        <v/>
      </c>
      <c r="V410" s="1258">
        <f t="shared" ref="V410:V473" ca="1" si="47">IFERROR((Q410-S410)*(1/RPCDaysInYear)*RPCInterestRate,0)</f>
        <v>0</v>
      </c>
      <c r="W410" s="1258">
        <f t="shared" ref="W410:W473" ca="1" si="48">IFERROR(IF(T410=P410,SUM(OFFSET(V410,-U410+1,0,U410,1)),0),0)</f>
        <v>0</v>
      </c>
      <c r="X410" s="1258" t="e">
        <f t="shared" ref="X410:X473" ca="1" si="49">Q410-S410+W410</f>
        <v>#N/A</v>
      </c>
      <c r="Y410" s="1240"/>
      <c r="Z410" s="1240"/>
      <c r="AA410" s="1240"/>
      <c r="AB410" s="1240"/>
      <c r="AC410" s="1254" t="e">
        <f t="shared" si="45"/>
        <v>#NUM!</v>
      </c>
      <c r="AD410" s="1240"/>
      <c r="AE410" s="1240"/>
      <c r="AF410" s="1240"/>
      <c r="AG410" s="1240"/>
      <c r="AH410" s="1240"/>
      <c r="AI410" s="1240"/>
      <c r="AJ410" s="1240"/>
      <c r="AK410" s="1240"/>
      <c r="AL410" s="1240"/>
      <c r="AM410" s="1240"/>
      <c r="AN410" s="1240"/>
      <c r="AO410" s="1240"/>
      <c r="AP410" s="1240"/>
    </row>
    <row r="411" spans="1:42" ht="18.75" customHeight="1" x14ac:dyDescent="0.35">
      <c r="A411" s="1240"/>
      <c r="B411" s="1240"/>
      <c r="C411" s="1240"/>
      <c r="D411" s="1240"/>
      <c r="E411" s="1240"/>
      <c r="F411" s="1240"/>
      <c r="G411" s="1240"/>
      <c r="H411" s="1240"/>
      <c r="I411" s="1240"/>
      <c r="J411" s="1240"/>
      <c r="K411" s="1240"/>
      <c r="L411" s="1240"/>
      <c r="M411" s="1240"/>
      <c r="N411" s="1240"/>
      <c r="O411" s="1240"/>
      <c r="P411" s="1247">
        <f t="shared" si="44"/>
        <v>385</v>
      </c>
      <c r="Q411" s="1253" t="e">
        <f t="shared" ref="Q411:Q474" ca="1" si="50">X410</f>
        <v>#N/A</v>
      </c>
      <c r="R411" s="1247" t="str">
        <f>IFERROR(VLOOKUP(P411,RPCRepaymentDates[],1,FALSE),"")</f>
        <v/>
      </c>
      <c r="S411" s="1259">
        <f t="shared" si="46"/>
        <v>0</v>
      </c>
      <c r="T411" s="1247" t="str">
        <f>IFERROR(VLOOKUP(P411,RPCChargeCycleDates[],1,FALSE),"")</f>
        <v/>
      </c>
      <c r="U411" s="1248" t="str">
        <f>IFERROR(_xlfn.DAYS(T411,$Q$16)-SUM(U$26:U410),"")</f>
        <v/>
      </c>
      <c r="V411" s="1258">
        <f t="shared" ca="1" si="47"/>
        <v>0</v>
      </c>
      <c r="W411" s="1258">
        <f t="shared" ca="1" si="48"/>
        <v>0</v>
      </c>
      <c r="X411" s="1258" t="e">
        <f t="shared" ca="1" si="49"/>
        <v>#N/A</v>
      </c>
      <c r="Y411" s="1240"/>
      <c r="Z411" s="1240"/>
      <c r="AA411" s="1240"/>
      <c r="AB411" s="1240"/>
      <c r="AC411" s="1254" t="e">
        <f t="shared" si="45"/>
        <v>#NUM!</v>
      </c>
      <c r="AD411" s="1240"/>
      <c r="AE411" s="1240"/>
      <c r="AF411" s="1240"/>
      <c r="AG411" s="1240"/>
      <c r="AH411" s="1240"/>
      <c r="AI411" s="1240"/>
      <c r="AJ411" s="1240"/>
      <c r="AK411" s="1240"/>
      <c r="AL411" s="1240"/>
      <c r="AM411" s="1240"/>
      <c r="AN411" s="1240"/>
      <c r="AO411" s="1240"/>
      <c r="AP411" s="1240"/>
    </row>
    <row r="412" spans="1:42" ht="18.75" customHeight="1" x14ac:dyDescent="0.35">
      <c r="A412" s="1240"/>
      <c r="B412" s="1240"/>
      <c r="C412" s="1240"/>
      <c r="D412" s="1240"/>
      <c r="E412" s="1240"/>
      <c r="F412" s="1240"/>
      <c r="G412" s="1240"/>
      <c r="H412" s="1240"/>
      <c r="I412" s="1240"/>
      <c r="J412" s="1240"/>
      <c r="K412" s="1240"/>
      <c r="L412" s="1240"/>
      <c r="M412" s="1240"/>
      <c r="N412" s="1240"/>
      <c r="O412" s="1240"/>
      <c r="P412" s="1247">
        <f t="shared" ref="P412:P424" si="51">P411+1</f>
        <v>386</v>
      </c>
      <c r="Q412" s="1253" t="e">
        <f t="shared" ca="1" si="50"/>
        <v>#N/A</v>
      </c>
      <c r="R412" s="1247" t="str">
        <f>IFERROR(VLOOKUP(P412,RPCRepaymentDates[],1,FALSE),"")</f>
        <v/>
      </c>
      <c r="S412" s="1259">
        <f t="shared" si="46"/>
        <v>0</v>
      </c>
      <c r="T412" s="1247" t="str">
        <f>IFERROR(VLOOKUP(P412,RPCChargeCycleDates[],1,FALSE),"")</f>
        <v/>
      </c>
      <c r="U412" s="1248" t="str">
        <f>IFERROR(_xlfn.DAYS(T412,$Q$16)-SUM(U$26:U411),"")</f>
        <v/>
      </c>
      <c r="V412" s="1258">
        <f t="shared" ca="1" si="47"/>
        <v>0</v>
      </c>
      <c r="W412" s="1258">
        <f t="shared" ca="1" si="48"/>
        <v>0</v>
      </c>
      <c r="X412" s="1258" t="e">
        <f t="shared" ca="1" si="49"/>
        <v>#N/A</v>
      </c>
      <c r="Y412" s="1240"/>
      <c r="Z412" s="1240"/>
      <c r="AA412" s="1240"/>
      <c r="AB412" s="1240"/>
      <c r="AC412" s="1254" t="e">
        <f t="shared" si="45"/>
        <v>#NUM!</v>
      </c>
      <c r="AD412" s="1240"/>
      <c r="AE412" s="1240"/>
      <c r="AF412" s="1240"/>
      <c r="AG412" s="1240"/>
      <c r="AH412" s="1240"/>
      <c r="AI412" s="1240"/>
      <c r="AJ412" s="1240"/>
      <c r="AK412" s="1240"/>
      <c r="AL412" s="1240"/>
      <c r="AM412" s="1240"/>
      <c r="AN412" s="1240"/>
      <c r="AO412" s="1240"/>
      <c r="AP412" s="1240"/>
    </row>
    <row r="413" spans="1:42" ht="18.75" customHeight="1" x14ac:dyDescent="0.35">
      <c r="A413" s="1240"/>
      <c r="B413" s="1240"/>
      <c r="C413" s="1240"/>
      <c r="D413" s="1240"/>
      <c r="E413" s="1240"/>
      <c r="F413" s="1240"/>
      <c r="G413" s="1240"/>
      <c r="H413" s="1240"/>
      <c r="I413" s="1240"/>
      <c r="J413" s="1240"/>
      <c r="K413" s="1240"/>
      <c r="L413" s="1240"/>
      <c r="M413" s="1240"/>
      <c r="N413" s="1240"/>
      <c r="O413" s="1240"/>
      <c r="P413" s="1247">
        <f t="shared" si="51"/>
        <v>387</v>
      </c>
      <c r="Q413" s="1253" t="e">
        <f t="shared" ca="1" si="50"/>
        <v>#N/A</v>
      </c>
      <c r="R413" s="1247" t="str">
        <f>IFERROR(VLOOKUP(P413,RPCRepaymentDates[],1,FALSE),"")</f>
        <v/>
      </c>
      <c r="S413" s="1259">
        <f t="shared" si="46"/>
        <v>0</v>
      </c>
      <c r="T413" s="1247" t="str">
        <f>IFERROR(VLOOKUP(P413,RPCChargeCycleDates[],1,FALSE),"")</f>
        <v/>
      </c>
      <c r="U413" s="1248" t="str">
        <f>IFERROR(_xlfn.DAYS(T413,$Q$16)-SUM(U$26:U412),"")</f>
        <v/>
      </c>
      <c r="V413" s="1258">
        <f t="shared" ca="1" si="47"/>
        <v>0</v>
      </c>
      <c r="W413" s="1258">
        <f t="shared" ca="1" si="48"/>
        <v>0</v>
      </c>
      <c r="X413" s="1258" t="e">
        <f t="shared" ca="1" si="49"/>
        <v>#N/A</v>
      </c>
      <c r="Y413" s="1240"/>
      <c r="Z413" s="1240"/>
      <c r="AA413" s="1240"/>
      <c r="AB413" s="1240"/>
      <c r="AC413" s="1254" t="e">
        <f t="shared" si="45"/>
        <v>#NUM!</v>
      </c>
      <c r="AD413" s="1240"/>
      <c r="AE413" s="1240"/>
      <c r="AF413" s="1240"/>
      <c r="AG413" s="1240"/>
      <c r="AH413" s="1240"/>
      <c r="AI413" s="1240"/>
      <c r="AJ413" s="1240"/>
      <c r="AK413" s="1240"/>
      <c r="AL413" s="1240"/>
      <c r="AM413" s="1240"/>
      <c r="AN413" s="1240"/>
      <c r="AO413" s="1240"/>
      <c r="AP413" s="1240"/>
    </row>
    <row r="414" spans="1:42" ht="18.75" customHeight="1" x14ac:dyDescent="0.35">
      <c r="A414" s="1240"/>
      <c r="B414" s="1240"/>
      <c r="C414" s="1240"/>
      <c r="D414" s="1240"/>
      <c r="E414" s="1240"/>
      <c r="F414" s="1240"/>
      <c r="G414" s="1240"/>
      <c r="H414" s="1240"/>
      <c r="I414" s="1240"/>
      <c r="J414" s="1240"/>
      <c r="K414" s="1240"/>
      <c r="L414" s="1240"/>
      <c r="M414" s="1240"/>
      <c r="N414" s="1240"/>
      <c r="O414" s="1240"/>
      <c r="P414" s="1247">
        <f t="shared" si="51"/>
        <v>388</v>
      </c>
      <c r="Q414" s="1253" t="e">
        <f t="shared" ca="1" si="50"/>
        <v>#N/A</v>
      </c>
      <c r="R414" s="1247" t="str">
        <f>IFERROR(VLOOKUP(P414,RPCRepaymentDates[],1,FALSE),"")</f>
        <v/>
      </c>
      <c r="S414" s="1259">
        <f t="shared" si="46"/>
        <v>0</v>
      </c>
      <c r="T414" s="1247" t="str">
        <f>IFERROR(VLOOKUP(P414,RPCChargeCycleDates[],1,FALSE),"")</f>
        <v/>
      </c>
      <c r="U414" s="1248" t="str">
        <f>IFERROR(_xlfn.DAYS(T414,$Q$16)-SUM(U$26:U413),"")</f>
        <v/>
      </c>
      <c r="V414" s="1258">
        <f t="shared" ca="1" si="47"/>
        <v>0</v>
      </c>
      <c r="W414" s="1258">
        <f t="shared" ca="1" si="48"/>
        <v>0</v>
      </c>
      <c r="X414" s="1258" t="e">
        <f t="shared" ca="1" si="49"/>
        <v>#N/A</v>
      </c>
      <c r="Y414" s="1240"/>
      <c r="Z414" s="1240"/>
      <c r="AA414" s="1240"/>
      <c r="AB414" s="1240"/>
      <c r="AC414" s="1254" t="e">
        <f t="shared" si="45"/>
        <v>#NUM!</v>
      </c>
      <c r="AD414" s="1240"/>
      <c r="AE414" s="1240"/>
      <c r="AF414" s="1240"/>
      <c r="AG414" s="1240"/>
      <c r="AH414" s="1240"/>
      <c r="AI414" s="1240"/>
      <c r="AJ414" s="1240"/>
      <c r="AK414" s="1240"/>
      <c r="AL414" s="1240"/>
      <c r="AM414" s="1240"/>
      <c r="AN414" s="1240"/>
      <c r="AO414" s="1240"/>
      <c r="AP414" s="1240"/>
    </row>
    <row r="415" spans="1:42" ht="18.75" customHeight="1" x14ac:dyDescent="0.35">
      <c r="A415" s="1240"/>
      <c r="B415" s="1240"/>
      <c r="C415" s="1240"/>
      <c r="D415" s="1240"/>
      <c r="E415" s="1240"/>
      <c r="F415" s="1240"/>
      <c r="G415" s="1240"/>
      <c r="H415" s="1240"/>
      <c r="I415" s="1240"/>
      <c r="J415" s="1240"/>
      <c r="K415" s="1240"/>
      <c r="L415" s="1240"/>
      <c r="M415" s="1240"/>
      <c r="N415" s="1240"/>
      <c r="O415" s="1240"/>
      <c r="P415" s="1247">
        <f t="shared" si="51"/>
        <v>389</v>
      </c>
      <c r="Q415" s="1253" t="e">
        <f t="shared" ca="1" si="50"/>
        <v>#N/A</v>
      </c>
      <c r="R415" s="1247" t="str">
        <f>IFERROR(VLOOKUP(P415,RPCRepaymentDates[],1,FALSE),"")</f>
        <v/>
      </c>
      <c r="S415" s="1259">
        <f t="shared" si="46"/>
        <v>0</v>
      </c>
      <c r="T415" s="1247" t="str">
        <f>IFERROR(VLOOKUP(P415,RPCChargeCycleDates[],1,FALSE),"")</f>
        <v/>
      </c>
      <c r="U415" s="1248" t="str">
        <f>IFERROR(_xlfn.DAYS(T415,$Q$16)-SUM(U$26:U414),"")</f>
        <v/>
      </c>
      <c r="V415" s="1258">
        <f t="shared" ca="1" si="47"/>
        <v>0</v>
      </c>
      <c r="W415" s="1258">
        <f t="shared" ca="1" si="48"/>
        <v>0</v>
      </c>
      <c r="X415" s="1258" t="e">
        <f t="shared" ca="1" si="49"/>
        <v>#N/A</v>
      </c>
      <c r="Y415" s="1240"/>
      <c r="Z415" s="1240"/>
      <c r="AA415" s="1240"/>
      <c r="AB415" s="1240"/>
      <c r="AC415" s="1254" t="e">
        <f t="shared" si="45"/>
        <v>#NUM!</v>
      </c>
      <c r="AD415" s="1240"/>
      <c r="AE415" s="1240"/>
      <c r="AF415" s="1240"/>
      <c r="AG415" s="1240"/>
      <c r="AH415" s="1240"/>
      <c r="AI415" s="1240"/>
      <c r="AJ415" s="1240"/>
      <c r="AK415" s="1240"/>
      <c r="AL415" s="1240"/>
      <c r="AM415" s="1240"/>
      <c r="AN415" s="1240"/>
      <c r="AO415" s="1240"/>
      <c r="AP415" s="1240"/>
    </row>
    <row r="416" spans="1:42" ht="18.75" customHeight="1" x14ac:dyDescent="0.35">
      <c r="A416" s="1240"/>
      <c r="B416" s="1240"/>
      <c r="C416" s="1240"/>
      <c r="D416" s="1240"/>
      <c r="E416" s="1240"/>
      <c r="F416" s="1240"/>
      <c r="G416" s="1240"/>
      <c r="H416" s="1240"/>
      <c r="I416" s="1240"/>
      <c r="J416" s="1240"/>
      <c r="K416" s="1240"/>
      <c r="L416" s="1240"/>
      <c r="M416" s="1240"/>
      <c r="N416" s="1240"/>
      <c r="O416" s="1240"/>
      <c r="P416" s="1247">
        <f t="shared" si="51"/>
        <v>390</v>
      </c>
      <c r="Q416" s="1253" t="e">
        <f t="shared" ca="1" si="50"/>
        <v>#N/A</v>
      </c>
      <c r="R416" s="1247" t="str">
        <f>IFERROR(VLOOKUP(P416,RPCRepaymentDates[],1,FALSE),"")</f>
        <v/>
      </c>
      <c r="S416" s="1259">
        <f t="shared" si="46"/>
        <v>0</v>
      </c>
      <c r="T416" s="1247" t="str">
        <f>IFERROR(VLOOKUP(P416,RPCChargeCycleDates[],1,FALSE),"")</f>
        <v/>
      </c>
      <c r="U416" s="1248" t="str">
        <f>IFERROR(_xlfn.DAYS(T416,$Q$16)-SUM(U$26:U415),"")</f>
        <v/>
      </c>
      <c r="V416" s="1258">
        <f t="shared" ca="1" si="47"/>
        <v>0</v>
      </c>
      <c r="W416" s="1258">
        <f t="shared" ca="1" si="48"/>
        <v>0</v>
      </c>
      <c r="X416" s="1258" t="e">
        <f t="shared" ca="1" si="49"/>
        <v>#N/A</v>
      </c>
      <c r="Y416" s="1240"/>
      <c r="Z416" s="1240"/>
      <c r="AA416" s="1240"/>
      <c r="AB416" s="1240"/>
      <c r="AC416" s="1254" t="e">
        <f t="shared" si="45"/>
        <v>#NUM!</v>
      </c>
      <c r="AD416" s="1240"/>
      <c r="AE416" s="1240"/>
      <c r="AF416" s="1240"/>
      <c r="AG416" s="1240"/>
      <c r="AH416" s="1240"/>
      <c r="AI416" s="1240"/>
      <c r="AJ416" s="1240"/>
      <c r="AK416" s="1240"/>
      <c r="AL416" s="1240"/>
      <c r="AM416" s="1240"/>
      <c r="AN416" s="1240"/>
      <c r="AO416" s="1240"/>
      <c r="AP416" s="1240"/>
    </row>
    <row r="417" spans="1:42" ht="18.75" customHeight="1" x14ac:dyDescent="0.35">
      <c r="A417" s="1240"/>
      <c r="B417" s="1240"/>
      <c r="C417" s="1240"/>
      <c r="D417" s="1240"/>
      <c r="E417" s="1240"/>
      <c r="F417" s="1240"/>
      <c r="G417" s="1240"/>
      <c r="H417" s="1240"/>
      <c r="I417" s="1240"/>
      <c r="J417" s="1240"/>
      <c r="K417" s="1240"/>
      <c r="L417" s="1240"/>
      <c r="M417" s="1240"/>
      <c r="N417" s="1240"/>
      <c r="O417" s="1240"/>
      <c r="P417" s="1247">
        <f t="shared" si="51"/>
        <v>391</v>
      </c>
      <c r="Q417" s="1253" t="e">
        <f t="shared" ca="1" si="50"/>
        <v>#N/A</v>
      </c>
      <c r="R417" s="1247" t="str">
        <f>IFERROR(VLOOKUP(P417,RPCRepaymentDates[],1,FALSE),"")</f>
        <v/>
      </c>
      <c r="S417" s="1259">
        <f t="shared" si="46"/>
        <v>0</v>
      </c>
      <c r="T417" s="1247" t="str">
        <f>IFERROR(VLOOKUP(P417,RPCChargeCycleDates[],1,FALSE),"")</f>
        <v/>
      </c>
      <c r="U417" s="1248" t="str">
        <f>IFERROR(_xlfn.DAYS(T417,$Q$16)-SUM(U$26:U416),"")</f>
        <v/>
      </c>
      <c r="V417" s="1258">
        <f t="shared" ca="1" si="47"/>
        <v>0</v>
      </c>
      <c r="W417" s="1258">
        <f t="shared" ca="1" si="48"/>
        <v>0</v>
      </c>
      <c r="X417" s="1258" t="e">
        <f t="shared" ca="1" si="49"/>
        <v>#N/A</v>
      </c>
      <c r="Y417" s="1240"/>
      <c r="Z417" s="1240"/>
      <c r="AA417" s="1240"/>
      <c r="AB417" s="1240"/>
      <c r="AC417" s="1254" t="e">
        <f t="shared" si="45"/>
        <v>#NUM!</v>
      </c>
      <c r="AD417" s="1240"/>
      <c r="AE417" s="1240"/>
      <c r="AF417" s="1240"/>
      <c r="AG417" s="1240"/>
      <c r="AH417" s="1240"/>
      <c r="AI417" s="1240"/>
      <c r="AJ417" s="1240"/>
      <c r="AK417" s="1240"/>
      <c r="AL417" s="1240"/>
      <c r="AM417" s="1240"/>
      <c r="AN417" s="1240"/>
      <c r="AO417" s="1240"/>
      <c r="AP417" s="1240"/>
    </row>
    <row r="418" spans="1:42" ht="18.75" customHeight="1" x14ac:dyDescent="0.35">
      <c r="A418" s="1240"/>
      <c r="B418" s="1240"/>
      <c r="C418" s="1240"/>
      <c r="D418" s="1240"/>
      <c r="E418" s="1240"/>
      <c r="F418" s="1240"/>
      <c r="G418" s="1240"/>
      <c r="H418" s="1240"/>
      <c r="I418" s="1240"/>
      <c r="J418" s="1240"/>
      <c r="K418" s="1240"/>
      <c r="L418" s="1240"/>
      <c r="M418" s="1240"/>
      <c r="N418" s="1240"/>
      <c r="O418" s="1240"/>
      <c r="P418" s="1247">
        <f t="shared" si="51"/>
        <v>392</v>
      </c>
      <c r="Q418" s="1253" t="e">
        <f t="shared" ca="1" si="50"/>
        <v>#N/A</v>
      </c>
      <c r="R418" s="1247" t="str">
        <f>IFERROR(VLOOKUP(P418,RPCRepaymentDates[],1,FALSE),"")</f>
        <v/>
      </c>
      <c r="S418" s="1259">
        <f t="shared" si="46"/>
        <v>0</v>
      </c>
      <c r="T418" s="1247" t="str">
        <f>IFERROR(VLOOKUP(P418,RPCChargeCycleDates[],1,FALSE),"")</f>
        <v/>
      </c>
      <c r="U418" s="1248" t="str">
        <f>IFERROR(_xlfn.DAYS(T418,$Q$16)-SUM(U$26:U417),"")</f>
        <v/>
      </c>
      <c r="V418" s="1258">
        <f t="shared" ca="1" si="47"/>
        <v>0</v>
      </c>
      <c r="W418" s="1258">
        <f t="shared" ca="1" si="48"/>
        <v>0</v>
      </c>
      <c r="X418" s="1258" t="e">
        <f t="shared" ca="1" si="49"/>
        <v>#N/A</v>
      </c>
      <c r="Y418" s="1240"/>
      <c r="Z418" s="1240"/>
      <c r="AA418" s="1240"/>
      <c r="AB418" s="1240"/>
      <c r="AC418" s="1254" t="e">
        <f t="shared" si="45"/>
        <v>#NUM!</v>
      </c>
      <c r="AD418" s="1240"/>
      <c r="AE418" s="1240"/>
      <c r="AF418" s="1240"/>
      <c r="AG418" s="1240"/>
      <c r="AH418" s="1240"/>
      <c r="AI418" s="1240"/>
      <c r="AJ418" s="1240"/>
      <c r="AK418" s="1240"/>
      <c r="AL418" s="1240"/>
      <c r="AM418" s="1240"/>
      <c r="AN418" s="1240"/>
      <c r="AO418" s="1240"/>
      <c r="AP418" s="1240"/>
    </row>
    <row r="419" spans="1:42" ht="18.75" customHeight="1" x14ac:dyDescent="0.35">
      <c r="A419" s="1240"/>
      <c r="B419" s="1240"/>
      <c r="C419" s="1240"/>
      <c r="D419" s="1240"/>
      <c r="E419" s="1240"/>
      <c r="F419" s="1240"/>
      <c r="G419" s="1240"/>
      <c r="H419" s="1240"/>
      <c r="I419" s="1240"/>
      <c r="J419" s="1240"/>
      <c r="K419" s="1240"/>
      <c r="L419" s="1240"/>
      <c r="M419" s="1240"/>
      <c r="N419" s="1240"/>
      <c r="O419" s="1240"/>
      <c r="P419" s="1247">
        <f t="shared" si="51"/>
        <v>393</v>
      </c>
      <c r="Q419" s="1253" t="e">
        <f t="shared" ca="1" si="50"/>
        <v>#N/A</v>
      </c>
      <c r="R419" s="1247" t="str">
        <f>IFERROR(VLOOKUP(P419,RPCRepaymentDates[],1,FALSE),"")</f>
        <v/>
      </c>
      <c r="S419" s="1259">
        <f t="shared" si="46"/>
        <v>0</v>
      </c>
      <c r="T419" s="1247" t="str">
        <f>IFERROR(VLOOKUP(P419,RPCChargeCycleDates[],1,FALSE),"")</f>
        <v/>
      </c>
      <c r="U419" s="1248" t="str">
        <f>IFERROR(_xlfn.DAYS(T419,$Q$16)-SUM(U$26:U418),"")</f>
        <v/>
      </c>
      <c r="V419" s="1258">
        <f t="shared" ca="1" si="47"/>
        <v>0</v>
      </c>
      <c r="W419" s="1258">
        <f t="shared" ca="1" si="48"/>
        <v>0</v>
      </c>
      <c r="X419" s="1258" t="e">
        <f t="shared" ca="1" si="49"/>
        <v>#N/A</v>
      </c>
      <c r="Y419" s="1240"/>
      <c r="Z419" s="1240"/>
      <c r="AA419" s="1240"/>
      <c r="AB419" s="1240"/>
      <c r="AC419" s="1254" t="e">
        <f t="shared" si="45"/>
        <v>#NUM!</v>
      </c>
      <c r="AD419" s="1240"/>
      <c r="AE419" s="1240"/>
      <c r="AF419" s="1240"/>
      <c r="AG419" s="1240"/>
      <c r="AH419" s="1240"/>
      <c r="AI419" s="1240"/>
      <c r="AJ419" s="1240"/>
      <c r="AK419" s="1240"/>
      <c r="AL419" s="1240"/>
      <c r="AM419" s="1240"/>
      <c r="AN419" s="1240"/>
      <c r="AO419" s="1240"/>
      <c r="AP419" s="1240"/>
    </row>
    <row r="420" spans="1:42" ht="18.75" customHeight="1" x14ac:dyDescent="0.35">
      <c r="A420" s="1240"/>
      <c r="B420" s="1240"/>
      <c r="C420" s="1240"/>
      <c r="D420" s="1240"/>
      <c r="E420" s="1240"/>
      <c r="F420" s="1240"/>
      <c r="G420" s="1240"/>
      <c r="H420" s="1240"/>
      <c r="I420" s="1240"/>
      <c r="J420" s="1240"/>
      <c r="K420" s="1240"/>
      <c r="L420" s="1240"/>
      <c r="M420" s="1240"/>
      <c r="N420" s="1240"/>
      <c r="O420" s="1240"/>
      <c r="P420" s="1247">
        <f t="shared" si="51"/>
        <v>394</v>
      </c>
      <c r="Q420" s="1253" t="e">
        <f t="shared" ca="1" si="50"/>
        <v>#N/A</v>
      </c>
      <c r="R420" s="1247" t="str">
        <f>IFERROR(VLOOKUP(P420,RPCRepaymentDates[],1,FALSE),"")</f>
        <v/>
      </c>
      <c r="S420" s="1259">
        <f t="shared" si="46"/>
        <v>0</v>
      </c>
      <c r="T420" s="1247">
        <f>IFERROR(VLOOKUP(P420,RPCChargeCycleDates[],1,FALSE),"")</f>
        <v>394</v>
      </c>
      <c r="U420" s="1248">
        <f>IFERROR(_xlfn.DAYS(T420,$Q$16)-SUM(U$26:U419),"")</f>
        <v>31</v>
      </c>
      <c r="V420" s="1258">
        <f t="shared" ca="1" si="47"/>
        <v>0</v>
      </c>
      <c r="W420" s="1258">
        <f t="shared" ca="1" si="48"/>
        <v>0</v>
      </c>
      <c r="X420" s="1258" t="e">
        <f t="shared" ca="1" si="49"/>
        <v>#N/A</v>
      </c>
      <c r="Y420" s="1240"/>
      <c r="Z420" s="1240"/>
      <c r="AA420" s="1240"/>
      <c r="AB420" s="1240"/>
      <c r="AC420" s="1254" t="e">
        <f t="shared" si="45"/>
        <v>#NUM!</v>
      </c>
      <c r="AD420" s="1240"/>
      <c r="AE420" s="1240"/>
      <c r="AF420" s="1240"/>
      <c r="AG420" s="1240"/>
      <c r="AH420" s="1240"/>
      <c r="AI420" s="1240"/>
      <c r="AJ420" s="1240"/>
      <c r="AK420" s="1240"/>
      <c r="AL420" s="1240"/>
      <c r="AM420" s="1240"/>
      <c r="AN420" s="1240"/>
      <c r="AO420" s="1240"/>
      <c r="AP420" s="1240"/>
    </row>
    <row r="421" spans="1:42" ht="18.75" customHeight="1" x14ac:dyDescent="0.35">
      <c r="A421" s="1240"/>
      <c r="B421" s="1240"/>
      <c r="C421" s="1240"/>
      <c r="D421" s="1240"/>
      <c r="E421" s="1240"/>
      <c r="F421" s="1240"/>
      <c r="G421" s="1240"/>
      <c r="H421" s="1240"/>
      <c r="I421" s="1240"/>
      <c r="J421" s="1240"/>
      <c r="K421" s="1240"/>
      <c r="L421" s="1240"/>
      <c r="M421" s="1240"/>
      <c r="N421" s="1240"/>
      <c r="O421" s="1240"/>
      <c r="P421" s="1247">
        <f t="shared" si="51"/>
        <v>395</v>
      </c>
      <c r="Q421" s="1253" t="e">
        <f t="shared" ca="1" si="50"/>
        <v>#N/A</v>
      </c>
      <c r="R421" s="1247" t="str">
        <f>IFERROR(VLOOKUP(P421,RPCRepaymentDates[],1,FALSE),"")</f>
        <v/>
      </c>
      <c r="S421" s="1259">
        <f t="shared" si="46"/>
        <v>0</v>
      </c>
      <c r="T421" s="1247" t="str">
        <f>IFERROR(VLOOKUP(P421,RPCChargeCycleDates[],1,FALSE),"")</f>
        <v/>
      </c>
      <c r="U421" s="1248" t="str">
        <f>IFERROR(_xlfn.DAYS(T421,$Q$16)-SUM(U$26:U420),"")</f>
        <v/>
      </c>
      <c r="V421" s="1258">
        <f t="shared" ca="1" si="47"/>
        <v>0</v>
      </c>
      <c r="W421" s="1258">
        <f t="shared" ca="1" si="48"/>
        <v>0</v>
      </c>
      <c r="X421" s="1258" t="e">
        <f t="shared" ca="1" si="49"/>
        <v>#N/A</v>
      </c>
      <c r="Y421" s="1240"/>
      <c r="Z421" s="1240"/>
      <c r="AA421" s="1240"/>
      <c r="AB421" s="1240"/>
      <c r="AC421" s="1254" t="e">
        <f t="shared" si="45"/>
        <v>#NUM!</v>
      </c>
      <c r="AD421" s="1240"/>
      <c r="AE421" s="1240"/>
      <c r="AF421" s="1240"/>
      <c r="AG421" s="1240"/>
      <c r="AH421" s="1240"/>
      <c r="AI421" s="1240"/>
      <c r="AJ421" s="1240"/>
      <c r="AK421" s="1240"/>
      <c r="AL421" s="1240"/>
      <c r="AM421" s="1240"/>
      <c r="AN421" s="1240"/>
      <c r="AO421" s="1240"/>
      <c r="AP421" s="1240"/>
    </row>
    <row r="422" spans="1:42" ht="18.75" customHeight="1" x14ac:dyDescent="0.35">
      <c r="A422" s="1240"/>
      <c r="B422" s="1240"/>
      <c r="C422" s="1240"/>
      <c r="D422" s="1240"/>
      <c r="E422" s="1240"/>
      <c r="F422" s="1240"/>
      <c r="G422" s="1240"/>
      <c r="H422" s="1240"/>
      <c r="I422" s="1240"/>
      <c r="J422" s="1240"/>
      <c r="K422" s="1240"/>
      <c r="L422" s="1240"/>
      <c r="M422" s="1240"/>
      <c r="N422" s="1240"/>
      <c r="O422" s="1240"/>
      <c r="P422" s="1247">
        <f t="shared" si="51"/>
        <v>396</v>
      </c>
      <c r="Q422" s="1253" t="e">
        <f t="shared" ca="1" si="50"/>
        <v>#N/A</v>
      </c>
      <c r="R422" s="1247" t="str">
        <f>IFERROR(VLOOKUP(P422,RPCRepaymentDates[],1,FALSE),"")</f>
        <v/>
      </c>
      <c r="S422" s="1259">
        <f t="shared" si="46"/>
        <v>0</v>
      </c>
      <c r="T422" s="1247" t="str">
        <f>IFERROR(VLOOKUP(P422,RPCChargeCycleDates[],1,FALSE),"")</f>
        <v/>
      </c>
      <c r="U422" s="1248" t="str">
        <f>IFERROR(_xlfn.DAYS(T422,$Q$16)-SUM(U$26:U421),"")</f>
        <v/>
      </c>
      <c r="V422" s="1258">
        <f t="shared" ca="1" si="47"/>
        <v>0</v>
      </c>
      <c r="W422" s="1258">
        <f t="shared" ca="1" si="48"/>
        <v>0</v>
      </c>
      <c r="X422" s="1258" t="e">
        <f t="shared" ca="1" si="49"/>
        <v>#N/A</v>
      </c>
      <c r="Y422" s="1240"/>
      <c r="Z422" s="1240"/>
      <c r="AA422" s="1240"/>
      <c r="AB422" s="1240"/>
      <c r="AC422" s="1254" t="e">
        <f t="shared" si="45"/>
        <v>#NUM!</v>
      </c>
      <c r="AD422" s="1240"/>
      <c r="AE422" s="1240"/>
      <c r="AF422" s="1240"/>
      <c r="AG422" s="1240"/>
      <c r="AH422" s="1240"/>
      <c r="AI422" s="1240"/>
      <c r="AJ422" s="1240"/>
      <c r="AK422" s="1240"/>
      <c r="AL422" s="1240"/>
      <c r="AM422" s="1240"/>
      <c r="AN422" s="1240"/>
      <c r="AO422" s="1240"/>
      <c r="AP422" s="1240"/>
    </row>
    <row r="423" spans="1:42" ht="18.75" customHeight="1" x14ac:dyDescent="0.35">
      <c r="A423" s="1240"/>
      <c r="B423" s="1240"/>
      <c r="C423" s="1240"/>
      <c r="D423" s="1240"/>
      <c r="E423" s="1240"/>
      <c r="F423" s="1240"/>
      <c r="G423" s="1240"/>
      <c r="H423" s="1240"/>
      <c r="I423" s="1240"/>
      <c r="J423" s="1240"/>
      <c r="K423" s="1240"/>
      <c r="L423" s="1240"/>
      <c r="M423" s="1240"/>
      <c r="N423" s="1240"/>
      <c r="O423" s="1240"/>
      <c r="P423" s="1247">
        <f t="shared" si="51"/>
        <v>397</v>
      </c>
      <c r="Q423" s="1253" t="e">
        <f t="shared" ca="1" si="50"/>
        <v>#N/A</v>
      </c>
      <c r="R423" s="1247" t="str">
        <f>IFERROR(VLOOKUP(P423,RPCRepaymentDates[],1,FALSE),"")</f>
        <v/>
      </c>
      <c r="S423" s="1259">
        <f t="shared" si="46"/>
        <v>0</v>
      </c>
      <c r="T423" s="1247" t="str">
        <f>IFERROR(VLOOKUP(P423,RPCChargeCycleDates[],1,FALSE),"")</f>
        <v/>
      </c>
      <c r="U423" s="1248" t="str">
        <f>IFERROR(_xlfn.DAYS(T423,$Q$16)-SUM(U$26:U422),"")</f>
        <v/>
      </c>
      <c r="V423" s="1258">
        <f t="shared" ca="1" si="47"/>
        <v>0</v>
      </c>
      <c r="W423" s="1258">
        <f t="shared" ca="1" si="48"/>
        <v>0</v>
      </c>
      <c r="X423" s="1258" t="e">
        <f t="shared" ca="1" si="49"/>
        <v>#N/A</v>
      </c>
      <c r="Y423" s="1240"/>
      <c r="Z423" s="1240"/>
      <c r="AA423" s="1240"/>
      <c r="AB423" s="1240"/>
      <c r="AC423" s="1254" t="e">
        <f t="shared" si="45"/>
        <v>#NUM!</v>
      </c>
      <c r="AD423" s="1240"/>
      <c r="AE423" s="1240"/>
      <c r="AF423" s="1240"/>
      <c r="AG423" s="1240"/>
      <c r="AH423" s="1240"/>
      <c r="AI423" s="1240"/>
      <c r="AJ423" s="1240"/>
      <c r="AK423" s="1240"/>
      <c r="AL423" s="1240"/>
      <c r="AM423" s="1240"/>
      <c r="AN423" s="1240"/>
      <c r="AO423" s="1240"/>
      <c r="AP423" s="1240"/>
    </row>
    <row r="424" spans="1:42" ht="18.75" customHeight="1" x14ac:dyDescent="0.35">
      <c r="A424" s="1240"/>
      <c r="B424" s="1240"/>
      <c r="C424" s="1240"/>
      <c r="D424" s="1240"/>
      <c r="E424" s="1240"/>
      <c r="F424" s="1240"/>
      <c r="G424" s="1240"/>
      <c r="H424" s="1240"/>
      <c r="I424" s="1240"/>
      <c r="J424" s="1240"/>
      <c r="K424" s="1240"/>
      <c r="L424" s="1240"/>
      <c r="M424" s="1240"/>
      <c r="N424" s="1240"/>
      <c r="O424" s="1240"/>
      <c r="P424" s="1247">
        <f t="shared" si="51"/>
        <v>398</v>
      </c>
      <c r="Q424" s="1253" t="e">
        <f t="shared" ca="1" si="50"/>
        <v>#N/A</v>
      </c>
      <c r="R424" s="1247" t="str">
        <f>IFERROR(VLOOKUP(P424,RPCRepaymentDates[],1,FALSE),"")</f>
        <v/>
      </c>
      <c r="S424" s="1259">
        <f t="shared" si="46"/>
        <v>0</v>
      </c>
      <c r="T424" s="1247" t="str">
        <f>IFERROR(VLOOKUP(P424,RPCChargeCycleDates[],1,FALSE),"")</f>
        <v/>
      </c>
      <c r="U424" s="1248" t="str">
        <f>IFERROR(_xlfn.DAYS(T424,$Q$16)-SUM(U$26:U423),"")</f>
        <v/>
      </c>
      <c r="V424" s="1258">
        <f t="shared" ca="1" si="47"/>
        <v>0</v>
      </c>
      <c r="W424" s="1258">
        <f t="shared" ca="1" si="48"/>
        <v>0</v>
      </c>
      <c r="X424" s="1258" t="e">
        <f t="shared" ca="1" si="49"/>
        <v>#N/A</v>
      </c>
      <c r="Y424" s="1240"/>
      <c r="Z424" s="1240"/>
      <c r="AA424" s="1240"/>
      <c r="AB424" s="1240"/>
      <c r="AC424" s="1254" t="e">
        <f t="shared" si="45"/>
        <v>#NUM!</v>
      </c>
      <c r="AD424" s="1240"/>
      <c r="AE424" s="1240"/>
      <c r="AF424" s="1240"/>
      <c r="AG424" s="1240"/>
      <c r="AH424" s="1240"/>
      <c r="AI424" s="1240"/>
      <c r="AJ424" s="1240"/>
      <c r="AK424" s="1240"/>
      <c r="AL424" s="1240"/>
      <c r="AM424" s="1240"/>
      <c r="AN424" s="1240"/>
      <c r="AO424" s="1240"/>
      <c r="AP424" s="1240"/>
    </row>
    <row r="425" spans="1:42" ht="18.75" customHeight="1" x14ac:dyDescent="0.35">
      <c r="A425" s="1240"/>
      <c r="B425" s="1240"/>
      <c r="C425" s="1240"/>
      <c r="D425" s="1240"/>
      <c r="E425" s="1240"/>
      <c r="F425" s="1240"/>
      <c r="G425" s="1240"/>
      <c r="H425" s="1240"/>
      <c r="I425" s="1240"/>
      <c r="J425" s="1240"/>
      <c r="K425" s="1240"/>
      <c r="L425" s="1240"/>
      <c r="M425" s="1240"/>
      <c r="N425" s="1240"/>
      <c r="O425" s="1240"/>
      <c r="P425" s="1247">
        <f>P424+1</f>
        <v>399</v>
      </c>
      <c r="Q425" s="1253" t="e">
        <f t="shared" ca="1" si="50"/>
        <v>#N/A</v>
      </c>
      <c r="R425" s="1247" t="str">
        <f>IFERROR(VLOOKUP(P425,RPCRepaymentDates[],1,FALSE),"")</f>
        <v/>
      </c>
      <c r="S425" s="1259">
        <f t="shared" si="46"/>
        <v>0</v>
      </c>
      <c r="T425" s="1247" t="str">
        <f>IFERROR(VLOOKUP(P425,RPCChargeCycleDates[],1,FALSE),"")</f>
        <v/>
      </c>
      <c r="U425" s="1248" t="str">
        <f>IFERROR(_xlfn.DAYS(T425,$Q$16)-SUM(U$26:U424),"")</f>
        <v/>
      </c>
      <c r="V425" s="1258">
        <f t="shared" ca="1" si="47"/>
        <v>0</v>
      </c>
      <c r="W425" s="1258">
        <f t="shared" ca="1" si="48"/>
        <v>0</v>
      </c>
      <c r="X425" s="1258" t="e">
        <f t="shared" ca="1" si="49"/>
        <v>#N/A</v>
      </c>
      <c r="Y425" s="1240"/>
      <c r="Z425" s="1240"/>
      <c r="AA425" s="1240"/>
      <c r="AB425" s="1240"/>
      <c r="AC425" s="1254" t="e">
        <f t="shared" si="45"/>
        <v>#NUM!</v>
      </c>
      <c r="AD425" s="1240"/>
      <c r="AE425" s="1240"/>
      <c r="AF425" s="1240"/>
      <c r="AG425" s="1240"/>
      <c r="AH425" s="1240"/>
      <c r="AI425" s="1240"/>
      <c r="AJ425" s="1240"/>
      <c r="AK425" s="1240"/>
      <c r="AL425" s="1240"/>
      <c r="AM425" s="1240"/>
      <c r="AN425" s="1240"/>
      <c r="AO425" s="1240"/>
      <c r="AP425" s="1240"/>
    </row>
    <row r="426" spans="1:42" ht="18.75" customHeight="1" x14ac:dyDescent="0.35">
      <c r="A426" s="1240"/>
      <c r="B426" s="1240"/>
      <c r="C426" s="1240"/>
      <c r="D426" s="1240"/>
      <c r="E426" s="1240"/>
      <c r="F426" s="1240"/>
      <c r="G426" s="1240"/>
      <c r="H426" s="1240"/>
      <c r="I426" s="1240"/>
      <c r="J426" s="1240"/>
      <c r="K426" s="1240"/>
      <c r="L426" s="1240"/>
      <c r="M426" s="1240"/>
      <c r="N426" s="1240"/>
      <c r="O426" s="1240"/>
      <c r="P426" s="1247">
        <f t="shared" ref="P426:P489" si="52">P425+1</f>
        <v>400</v>
      </c>
      <c r="Q426" s="1253" t="e">
        <f t="shared" ca="1" si="50"/>
        <v>#N/A</v>
      </c>
      <c r="R426" s="1247" t="str">
        <f>IFERROR(VLOOKUP(P426,RPCRepaymentDates[],1,FALSE),"")</f>
        <v/>
      </c>
      <c r="S426" s="1259">
        <f t="shared" si="46"/>
        <v>0</v>
      </c>
      <c r="T426" s="1247" t="str">
        <f>IFERROR(VLOOKUP(P426,RPCChargeCycleDates[],1,FALSE),"")</f>
        <v/>
      </c>
      <c r="U426" s="1248" t="str">
        <f>IFERROR(_xlfn.DAYS(T426,$Q$16)-SUM(U$26:U425),"")</f>
        <v/>
      </c>
      <c r="V426" s="1258">
        <f t="shared" ca="1" si="47"/>
        <v>0</v>
      </c>
      <c r="W426" s="1258">
        <f t="shared" ca="1" si="48"/>
        <v>0</v>
      </c>
      <c r="X426" s="1258" t="e">
        <f t="shared" ca="1" si="49"/>
        <v>#N/A</v>
      </c>
      <c r="Y426" s="1265"/>
      <c r="Z426" s="1240"/>
      <c r="AA426" s="1240"/>
      <c r="AB426" s="1240"/>
      <c r="AC426" s="1254" t="e">
        <f t="shared" si="45"/>
        <v>#NUM!</v>
      </c>
      <c r="AD426" s="1240"/>
      <c r="AE426" s="1240"/>
      <c r="AF426" s="1240"/>
      <c r="AG426" s="1240"/>
      <c r="AH426" s="1240"/>
      <c r="AI426" s="1240"/>
      <c r="AJ426" s="1240"/>
      <c r="AK426" s="1240"/>
      <c r="AL426" s="1240"/>
      <c r="AM426" s="1240"/>
      <c r="AN426" s="1240"/>
      <c r="AO426" s="1240"/>
      <c r="AP426" s="1240"/>
    </row>
    <row r="427" spans="1:42" ht="18.75" customHeight="1" x14ac:dyDescent="0.35">
      <c r="A427" s="1240"/>
      <c r="B427" s="1240"/>
      <c r="C427" s="1240"/>
      <c r="D427" s="1240"/>
      <c r="E427" s="1240"/>
      <c r="F427" s="1240"/>
      <c r="G427" s="1240"/>
      <c r="H427" s="1240"/>
      <c r="I427" s="1240"/>
      <c r="J427" s="1240"/>
      <c r="K427" s="1240"/>
      <c r="L427" s="1240"/>
      <c r="M427" s="1240"/>
      <c r="N427" s="1240"/>
      <c r="O427" s="1240"/>
      <c r="P427" s="1247">
        <f t="shared" si="52"/>
        <v>401</v>
      </c>
      <c r="Q427" s="1253" t="e">
        <f t="shared" ca="1" si="50"/>
        <v>#N/A</v>
      </c>
      <c r="R427" s="1247" t="str">
        <f>IFERROR(VLOOKUP(P427,RPCRepaymentDates[],1,FALSE),"")</f>
        <v/>
      </c>
      <c r="S427" s="1259">
        <f t="shared" si="46"/>
        <v>0</v>
      </c>
      <c r="T427" s="1247" t="str">
        <f>IFERROR(VLOOKUP(P427,RPCChargeCycleDates[],1,FALSE),"")</f>
        <v/>
      </c>
      <c r="U427" s="1248" t="str">
        <f>IFERROR(_xlfn.DAYS(T427,$Q$16)-SUM(U$26:U426),"")</f>
        <v/>
      </c>
      <c r="V427" s="1258">
        <f t="shared" ca="1" si="47"/>
        <v>0</v>
      </c>
      <c r="W427" s="1258">
        <f t="shared" ca="1" si="48"/>
        <v>0</v>
      </c>
      <c r="X427" s="1258" t="e">
        <f t="shared" ca="1" si="49"/>
        <v>#N/A</v>
      </c>
      <c r="Y427" s="1265"/>
      <c r="Z427" s="1240"/>
      <c r="AA427" s="1240"/>
      <c r="AB427" s="1240"/>
      <c r="AC427" s="1254" t="e">
        <f t="shared" si="45"/>
        <v>#NUM!</v>
      </c>
      <c r="AD427" s="1240"/>
      <c r="AE427" s="1240"/>
      <c r="AF427" s="1240"/>
      <c r="AG427" s="1240"/>
      <c r="AH427" s="1240"/>
      <c r="AI427" s="1240"/>
      <c r="AJ427" s="1240"/>
      <c r="AK427" s="1240"/>
      <c r="AL427" s="1240"/>
      <c r="AM427" s="1240"/>
      <c r="AN427" s="1240"/>
      <c r="AO427" s="1240"/>
      <c r="AP427" s="1240"/>
    </row>
    <row r="428" spans="1:42" ht="18.75" customHeight="1" x14ac:dyDescent="0.35">
      <c r="A428" s="1240"/>
      <c r="B428" s="1240"/>
      <c r="C428" s="1240"/>
      <c r="D428" s="1240"/>
      <c r="E428" s="1240"/>
      <c r="F428" s="1240"/>
      <c r="G428" s="1240"/>
      <c r="H428" s="1240"/>
      <c r="I428" s="1240"/>
      <c r="J428" s="1240"/>
      <c r="K428" s="1240"/>
      <c r="L428" s="1240"/>
      <c r="M428" s="1240"/>
      <c r="N428" s="1240"/>
      <c r="O428" s="1240"/>
      <c r="P428" s="1247">
        <f t="shared" si="52"/>
        <v>402</v>
      </c>
      <c r="Q428" s="1253" t="e">
        <f t="shared" ca="1" si="50"/>
        <v>#N/A</v>
      </c>
      <c r="R428" s="1247" t="str">
        <f>IFERROR(VLOOKUP(P428,RPCRepaymentDates[],1,FALSE),"")</f>
        <v/>
      </c>
      <c r="S428" s="1259">
        <f t="shared" si="46"/>
        <v>0</v>
      </c>
      <c r="T428" s="1247" t="str">
        <f>IFERROR(VLOOKUP(P428,RPCChargeCycleDates[],1,FALSE),"")</f>
        <v/>
      </c>
      <c r="U428" s="1248" t="str">
        <f>IFERROR(_xlfn.DAYS(T428,$Q$16)-SUM(U$26:U427),"")</f>
        <v/>
      </c>
      <c r="V428" s="1258">
        <f t="shared" ca="1" si="47"/>
        <v>0</v>
      </c>
      <c r="W428" s="1258">
        <f t="shared" ca="1" si="48"/>
        <v>0</v>
      </c>
      <c r="X428" s="1258" t="e">
        <f t="shared" ca="1" si="49"/>
        <v>#N/A</v>
      </c>
      <c r="Y428" s="1265"/>
      <c r="Z428" s="1240"/>
      <c r="AA428" s="1240"/>
      <c r="AB428" s="1240"/>
      <c r="AC428" s="1254" t="e">
        <f t="shared" si="45"/>
        <v>#NUM!</v>
      </c>
      <c r="AD428" s="1240"/>
      <c r="AE428" s="1240"/>
      <c r="AF428" s="1240"/>
      <c r="AG428" s="1240"/>
      <c r="AH428" s="1240"/>
      <c r="AI428" s="1240"/>
      <c r="AJ428" s="1240"/>
      <c r="AK428" s="1240"/>
      <c r="AL428" s="1240"/>
      <c r="AM428" s="1240"/>
      <c r="AN428" s="1240"/>
      <c r="AO428" s="1240"/>
      <c r="AP428" s="1240"/>
    </row>
    <row r="429" spans="1:42" ht="18.75" customHeight="1" x14ac:dyDescent="0.35">
      <c r="A429" s="1240"/>
      <c r="B429" s="1240"/>
      <c r="C429" s="1240"/>
      <c r="D429" s="1240"/>
      <c r="E429" s="1240"/>
      <c r="F429" s="1240"/>
      <c r="G429" s="1240"/>
      <c r="H429" s="1240"/>
      <c r="I429" s="1240"/>
      <c r="J429" s="1240"/>
      <c r="K429" s="1240"/>
      <c r="L429" s="1240"/>
      <c r="M429" s="1240"/>
      <c r="N429" s="1240"/>
      <c r="O429" s="1240"/>
      <c r="P429" s="1247">
        <f t="shared" si="52"/>
        <v>403</v>
      </c>
      <c r="Q429" s="1253" t="e">
        <f t="shared" ca="1" si="50"/>
        <v>#N/A</v>
      </c>
      <c r="R429" s="1247" t="str">
        <f>IFERROR(VLOOKUP(P429,RPCRepaymentDates[],1,FALSE),"")</f>
        <v/>
      </c>
      <c r="S429" s="1259">
        <f t="shared" si="46"/>
        <v>0</v>
      </c>
      <c r="T429" s="1247" t="str">
        <f>IFERROR(VLOOKUP(P429,RPCChargeCycleDates[],1,FALSE),"")</f>
        <v/>
      </c>
      <c r="U429" s="1248" t="str">
        <f>IFERROR(_xlfn.DAYS(T429,$Q$16)-SUM(U$26:U428),"")</f>
        <v/>
      </c>
      <c r="V429" s="1258">
        <f t="shared" ca="1" si="47"/>
        <v>0</v>
      </c>
      <c r="W429" s="1258">
        <f t="shared" ca="1" si="48"/>
        <v>0</v>
      </c>
      <c r="X429" s="1258" t="e">
        <f t="shared" ca="1" si="49"/>
        <v>#N/A</v>
      </c>
      <c r="Y429" s="1265"/>
      <c r="Z429" s="1240"/>
      <c r="AA429" s="1240"/>
      <c r="AB429" s="1240"/>
      <c r="AC429" s="1254" t="e">
        <f t="shared" si="45"/>
        <v>#NUM!</v>
      </c>
      <c r="AD429" s="1240"/>
      <c r="AE429" s="1240"/>
      <c r="AF429" s="1240"/>
      <c r="AG429" s="1240"/>
      <c r="AH429" s="1240"/>
      <c r="AI429" s="1240"/>
      <c r="AJ429" s="1240"/>
      <c r="AK429" s="1240"/>
      <c r="AL429" s="1240"/>
      <c r="AM429" s="1240"/>
      <c r="AN429" s="1240"/>
      <c r="AO429" s="1240"/>
      <c r="AP429" s="1240"/>
    </row>
    <row r="430" spans="1:42" ht="18.75" customHeight="1" x14ac:dyDescent="0.35">
      <c r="A430" s="1240"/>
      <c r="B430" s="1240"/>
      <c r="C430" s="1240"/>
      <c r="D430" s="1240"/>
      <c r="E430" s="1240"/>
      <c r="F430" s="1240"/>
      <c r="G430" s="1240"/>
      <c r="H430" s="1240"/>
      <c r="I430" s="1240"/>
      <c r="J430" s="1240"/>
      <c r="K430" s="1240"/>
      <c r="L430" s="1240"/>
      <c r="M430" s="1240"/>
      <c r="N430" s="1240"/>
      <c r="O430" s="1240"/>
      <c r="P430" s="1247">
        <f t="shared" si="52"/>
        <v>404</v>
      </c>
      <c r="Q430" s="1253" t="e">
        <f t="shared" ca="1" si="50"/>
        <v>#N/A</v>
      </c>
      <c r="R430" s="1247" t="str">
        <f>IFERROR(VLOOKUP(P430,RPCRepaymentDates[],1,FALSE),"")</f>
        <v/>
      </c>
      <c r="S430" s="1259">
        <f t="shared" si="46"/>
        <v>0</v>
      </c>
      <c r="T430" s="1247" t="str">
        <f>IFERROR(VLOOKUP(P430,RPCChargeCycleDates[],1,FALSE),"")</f>
        <v/>
      </c>
      <c r="U430" s="1248" t="str">
        <f>IFERROR(_xlfn.DAYS(T430,$Q$16)-SUM(U$26:U429),"")</f>
        <v/>
      </c>
      <c r="V430" s="1258">
        <f t="shared" ca="1" si="47"/>
        <v>0</v>
      </c>
      <c r="W430" s="1258">
        <f t="shared" ca="1" si="48"/>
        <v>0</v>
      </c>
      <c r="X430" s="1258" t="e">
        <f t="shared" ca="1" si="49"/>
        <v>#N/A</v>
      </c>
      <c r="Y430" s="1265"/>
      <c r="Z430" s="1240"/>
      <c r="AA430" s="1240"/>
      <c r="AB430" s="1240"/>
      <c r="AC430" s="1254" t="e">
        <f t="shared" si="45"/>
        <v>#NUM!</v>
      </c>
      <c r="AD430" s="1240"/>
      <c r="AE430" s="1240"/>
      <c r="AF430" s="1240"/>
      <c r="AG430" s="1240"/>
      <c r="AH430" s="1240"/>
      <c r="AI430" s="1240"/>
      <c r="AJ430" s="1240"/>
      <c r="AK430" s="1240"/>
      <c r="AL430" s="1240"/>
      <c r="AM430" s="1240"/>
      <c r="AN430" s="1240"/>
      <c r="AO430" s="1240"/>
      <c r="AP430" s="1240"/>
    </row>
    <row r="431" spans="1:42" ht="18.75" customHeight="1" x14ac:dyDescent="0.35">
      <c r="A431" s="1240"/>
      <c r="B431" s="1240"/>
      <c r="C431" s="1240"/>
      <c r="D431" s="1240"/>
      <c r="E431" s="1240"/>
      <c r="F431" s="1240"/>
      <c r="G431" s="1240"/>
      <c r="H431" s="1240"/>
      <c r="I431" s="1240"/>
      <c r="J431" s="1240"/>
      <c r="K431" s="1240"/>
      <c r="L431" s="1240"/>
      <c r="M431" s="1240"/>
      <c r="N431" s="1240"/>
      <c r="O431" s="1240"/>
      <c r="P431" s="1247">
        <f t="shared" si="52"/>
        <v>405</v>
      </c>
      <c r="Q431" s="1253" t="e">
        <f t="shared" ca="1" si="50"/>
        <v>#N/A</v>
      </c>
      <c r="R431" s="1247" t="str">
        <f>IFERROR(VLOOKUP(P431,RPCRepaymentDates[],1,FALSE),"")</f>
        <v/>
      </c>
      <c r="S431" s="1259">
        <f t="shared" si="46"/>
        <v>0</v>
      </c>
      <c r="T431" s="1247" t="str">
        <f>IFERROR(VLOOKUP(P431,RPCChargeCycleDates[],1,FALSE),"")</f>
        <v/>
      </c>
      <c r="U431" s="1248" t="str">
        <f>IFERROR(_xlfn.DAYS(T431,$Q$16)-SUM(U$26:U430),"")</f>
        <v/>
      </c>
      <c r="V431" s="1258">
        <f t="shared" ca="1" si="47"/>
        <v>0</v>
      </c>
      <c r="W431" s="1258">
        <f t="shared" ca="1" si="48"/>
        <v>0</v>
      </c>
      <c r="X431" s="1258" t="e">
        <f t="shared" ca="1" si="49"/>
        <v>#N/A</v>
      </c>
      <c r="Y431" s="1265"/>
      <c r="Z431" s="1240"/>
      <c r="AA431" s="1240"/>
      <c r="AB431" s="1240"/>
      <c r="AC431" s="1254" t="e">
        <f t="shared" si="45"/>
        <v>#NUM!</v>
      </c>
      <c r="AD431" s="1240"/>
      <c r="AE431" s="1240"/>
      <c r="AF431" s="1240"/>
      <c r="AG431" s="1240"/>
      <c r="AH431" s="1240"/>
      <c r="AI431" s="1240"/>
      <c r="AJ431" s="1240"/>
      <c r="AK431" s="1240"/>
      <c r="AL431" s="1240"/>
      <c r="AM431" s="1240"/>
      <c r="AN431" s="1240"/>
      <c r="AO431" s="1240"/>
      <c r="AP431" s="1240"/>
    </row>
    <row r="432" spans="1:42" ht="18.75" customHeight="1" x14ac:dyDescent="0.35">
      <c r="A432" s="1240"/>
      <c r="B432" s="1240"/>
      <c r="C432" s="1240"/>
      <c r="D432" s="1240"/>
      <c r="E432" s="1240"/>
      <c r="F432" s="1240"/>
      <c r="G432" s="1240"/>
      <c r="H432" s="1240"/>
      <c r="I432" s="1240"/>
      <c r="J432" s="1240"/>
      <c r="K432" s="1240"/>
      <c r="L432" s="1240"/>
      <c r="M432" s="1240"/>
      <c r="N432" s="1240"/>
      <c r="O432" s="1240"/>
      <c r="P432" s="1247">
        <f t="shared" si="52"/>
        <v>406</v>
      </c>
      <c r="Q432" s="1253" t="e">
        <f t="shared" ca="1" si="50"/>
        <v>#N/A</v>
      </c>
      <c r="R432" s="1247" t="str">
        <f>IFERROR(VLOOKUP(P432,RPCRepaymentDates[],1,FALSE),"")</f>
        <v/>
      </c>
      <c r="S432" s="1259">
        <f t="shared" si="46"/>
        <v>0</v>
      </c>
      <c r="T432" s="1247" t="str">
        <f>IFERROR(VLOOKUP(P432,RPCChargeCycleDates[],1,FALSE),"")</f>
        <v/>
      </c>
      <c r="U432" s="1248" t="str">
        <f>IFERROR(_xlfn.DAYS(T432,$Q$16)-SUM(U$26:U431),"")</f>
        <v/>
      </c>
      <c r="V432" s="1258">
        <f t="shared" ca="1" si="47"/>
        <v>0</v>
      </c>
      <c r="W432" s="1258">
        <f t="shared" ca="1" si="48"/>
        <v>0</v>
      </c>
      <c r="X432" s="1258" t="e">
        <f t="shared" ca="1" si="49"/>
        <v>#N/A</v>
      </c>
      <c r="Y432" s="1265"/>
      <c r="Z432" s="1240"/>
      <c r="AA432" s="1240"/>
      <c r="AB432" s="1240"/>
      <c r="AC432" s="1254" t="e">
        <f t="shared" si="45"/>
        <v>#NUM!</v>
      </c>
      <c r="AD432" s="1240"/>
      <c r="AE432" s="1240"/>
      <c r="AF432" s="1240"/>
      <c r="AG432" s="1240"/>
      <c r="AH432" s="1240"/>
      <c r="AI432" s="1240"/>
      <c r="AJ432" s="1240"/>
      <c r="AK432" s="1240"/>
      <c r="AL432" s="1240"/>
      <c r="AM432" s="1240"/>
      <c r="AN432" s="1240"/>
      <c r="AO432" s="1240"/>
      <c r="AP432" s="1240"/>
    </row>
    <row r="433" spans="1:42" ht="18.75" customHeight="1" x14ac:dyDescent="0.35">
      <c r="A433" s="1240"/>
      <c r="B433" s="1240"/>
      <c r="C433" s="1240"/>
      <c r="D433" s="1240"/>
      <c r="E433" s="1240"/>
      <c r="F433" s="1240"/>
      <c r="G433" s="1240"/>
      <c r="H433" s="1240"/>
      <c r="I433" s="1240"/>
      <c r="J433" s="1240"/>
      <c r="K433" s="1240"/>
      <c r="L433" s="1240"/>
      <c r="M433" s="1240"/>
      <c r="N433" s="1240"/>
      <c r="O433" s="1240"/>
      <c r="P433" s="1247">
        <f t="shared" si="52"/>
        <v>407</v>
      </c>
      <c r="Q433" s="1253" t="e">
        <f t="shared" ca="1" si="50"/>
        <v>#N/A</v>
      </c>
      <c r="R433" s="1247" t="str">
        <f>IFERROR(VLOOKUP(P433,RPCRepaymentDates[],1,FALSE),"")</f>
        <v/>
      </c>
      <c r="S433" s="1259">
        <f t="shared" si="46"/>
        <v>0</v>
      </c>
      <c r="T433" s="1247" t="str">
        <f>IFERROR(VLOOKUP(P433,RPCChargeCycleDates[],1,FALSE),"")</f>
        <v/>
      </c>
      <c r="U433" s="1248" t="str">
        <f>IFERROR(_xlfn.DAYS(T433,$Q$16)-SUM(U$26:U432),"")</f>
        <v/>
      </c>
      <c r="V433" s="1258">
        <f t="shared" ca="1" si="47"/>
        <v>0</v>
      </c>
      <c r="W433" s="1258">
        <f t="shared" ca="1" si="48"/>
        <v>0</v>
      </c>
      <c r="X433" s="1258" t="e">
        <f t="shared" ca="1" si="49"/>
        <v>#N/A</v>
      </c>
      <c r="Y433" s="1265"/>
      <c r="Z433" s="1240"/>
      <c r="AA433" s="1240"/>
      <c r="AB433" s="1240"/>
      <c r="AC433" s="1254" t="e">
        <f t="shared" si="45"/>
        <v>#NUM!</v>
      </c>
      <c r="AD433" s="1240"/>
      <c r="AE433" s="1240"/>
      <c r="AF433" s="1240"/>
      <c r="AG433" s="1240"/>
      <c r="AH433" s="1240"/>
      <c r="AI433" s="1240"/>
      <c r="AJ433" s="1240"/>
      <c r="AK433" s="1240"/>
      <c r="AL433" s="1240"/>
      <c r="AM433" s="1240"/>
      <c r="AN433" s="1240"/>
      <c r="AO433" s="1240"/>
      <c r="AP433" s="1240"/>
    </row>
    <row r="434" spans="1:42" ht="18.75" customHeight="1" x14ac:dyDescent="0.35">
      <c r="A434" s="1240"/>
      <c r="B434" s="1240"/>
      <c r="C434" s="1240"/>
      <c r="D434" s="1240"/>
      <c r="E434" s="1240"/>
      <c r="F434" s="1240"/>
      <c r="G434" s="1240"/>
      <c r="H434" s="1240"/>
      <c r="I434" s="1240"/>
      <c r="J434" s="1240"/>
      <c r="K434" s="1240"/>
      <c r="L434" s="1240"/>
      <c r="M434" s="1240"/>
      <c r="N434" s="1240"/>
      <c r="O434" s="1240"/>
      <c r="P434" s="1247">
        <f t="shared" si="52"/>
        <v>408</v>
      </c>
      <c r="Q434" s="1253" t="e">
        <f t="shared" ca="1" si="50"/>
        <v>#N/A</v>
      </c>
      <c r="R434" s="1247" t="str">
        <f>IFERROR(VLOOKUP(P434,RPCRepaymentDates[],1,FALSE),"")</f>
        <v/>
      </c>
      <c r="S434" s="1259">
        <f t="shared" si="46"/>
        <v>0</v>
      </c>
      <c r="T434" s="1247" t="str">
        <f>IFERROR(VLOOKUP(P434,RPCChargeCycleDates[],1,FALSE),"")</f>
        <v/>
      </c>
      <c r="U434" s="1248" t="str">
        <f>IFERROR(_xlfn.DAYS(T434,$Q$16)-SUM(U$26:U433),"")</f>
        <v/>
      </c>
      <c r="V434" s="1258">
        <f t="shared" ca="1" si="47"/>
        <v>0</v>
      </c>
      <c r="W434" s="1258">
        <f t="shared" ca="1" si="48"/>
        <v>0</v>
      </c>
      <c r="X434" s="1258" t="e">
        <f t="shared" ca="1" si="49"/>
        <v>#N/A</v>
      </c>
      <c r="Y434" s="1265"/>
      <c r="Z434" s="1240"/>
      <c r="AA434" s="1240"/>
      <c r="AB434" s="1240"/>
      <c r="AC434" s="1254" t="e">
        <f t="shared" si="45"/>
        <v>#NUM!</v>
      </c>
      <c r="AD434" s="1240"/>
      <c r="AE434" s="1240"/>
      <c r="AF434" s="1240"/>
      <c r="AG434" s="1240"/>
      <c r="AH434" s="1240"/>
      <c r="AI434" s="1240"/>
      <c r="AJ434" s="1240"/>
      <c r="AK434" s="1240"/>
      <c r="AL434" s="1240"/>
      <c r="AM434" s="1240"/>
      <c r="AN434" s="1240"/>
      <c r="AO434" s="1240"/>
      <c r="AP434" s="1240"/>
    </row>
    <row r="435" spans="1:42" ht="18.75" customHeight="1" x14ac:dyDescent="0.35">
      <c r="A435" s="1240"/>
      <c r="B435" s="1240"/>
      <c r="C435" s="1240"/>
      <c r="D435" s="1240"/>
      <c r="E435" s="1240"/>
      <c r="F435" s="1240"/>
      <c r="G435" s="1240"/>
      <c r="H435" s="1240"/>
      <c r="I435" s="1240"/>
      <c r="J435" s="1240"/>
      <c r="K435" s="1240"/>
      <c r="L435" s="1240"/>
      <c r="M435" s="1240"/>
      <c r="N435" s="1240"/>
      <c r="O435" s="1240"/>
      <c r="P435" s="1247">
        <f t="shared" si="52"/>
        <v>409</v>
      </c>
      <c r="Q435" s="1253" t="e">
        <f t="shared" ca="1" si="50"/>
        <v>#N/A</v>
      </c>
      <c r="R435" s="1247" t="str">
        <f>IFERROR(VLOOKUP(P435,RPCRepaymentDates[],1,FALSE),"")</f>
        <v/>
      </c>
      <c r="S435" s="1259">
        <f t="shared" si="46"/>
        <v>0</v>
      </c>
      <c r="T435" s="1247" t="str">
        <f>IFERROR(VLOOKUP(P435,RPCChargeCycleDates[],1,FALSE),"")</f>
        <v/>
      </c>
      <c r="U435" s="1248" t="str">
        <f>IFERROR(_xlfn.DAYS(T435,$Q$16)-SUM(U$26:U434),"")</f>
        <v/>
      </c>
      <c r="V435" s="1258">
        <f t="shared" ca="1" si="47"/>
        <v>0</v>
      </c>
      <c r="W435" s="1258">
        <f t="shared" ca="1" si="48"/>
        <v>0</v>
      </c>
      <c r="X435" s="1258" t="e">
        <f t="shared" ca="1" si="49"/>
        <v>#N/A</v>
      </c>
      <c r="Y435" s="1265"/>
      <c r="Z435" s="1240"/>
      <c r="AA435" s="1240"/>
      <c r="AB435" s="1240"/>
      <c r="AC435" s="1254" t="e">
        <f t="shared" si="45"/>
        <v>#NUM!</v>
      </c>
      <c r="AD435" s="1240"/>
      <c r="AE435" s="1240"/>
      <c r="AF435" s="1240"/>
      <c r="AG435" s="1240"/>
      <c r="AH435" s="1240"/>
      <c r="AI435" s="1240"/>
      <c r="AJ435" s="1240"/>
      <c r="AK435" s="1240"/>
      <c r="AL435" s="1240"/>
      <c r="AM435" s="1240"/>
      <c r="AN435" s="1240"/>
      <c r="AO435" s="1240"/>
      <c r="AP435" s="1240"/>
    </row>
    <row r="436" spans="1:42" ht="18.75" customHeight="1" x14ac:dyDescent="0.35">
      <c r="A436" s="1240"/>
      <c r="B436" s="1240"/>
      <c r="C436" s="1240"/>
      <c r="D436" s="1240"/>
      <c r="E436" s="1240"/>
      <c r="F436" s="1240"/>
      <c r="G436" s="1240"/>
      <c r="H436" s="1240"/>
      <c r="I436" s="1240"/>
      <c r="J436" s="1240"/>
      <c r="K436" s="1240"/>
      <c r="L436" s="1240"/>
      <c r="M436" s="1240"/>
      <c r="N436" s="1240"/>
      <c r="O436" s="1240"/>
      <c r="P436" s="1247">
        <f t="shared" si="52"/>
        <v>410</v>
      </c>
      <c r="Q436" s="1253" t="e">
        <f t="shared" ca="1" si="50"/>
        <v>#N/A</v>
      </c>
      <c r="R436" s="1247" t="str">
        <f>IFERROR(VLOOKUP(P436,RPCRepaymentDates[],1,FALSE),"")</f>
        <v/>
      </c>
      <c r="S436" s="1259">
        <f t="shared" si="46"/>
        <v>0</v>
      </c>
      <c r="T436" s="1247" t="str">
        <f>IFERROR(VLOOKUP(P436,RPCChargeCycleDates[],1,FALSE),"")</f>
        <v/>
      </c>
      <c r="U436" s="1248" t="str">
        <f>IFERROR(_xlfn.DAYS(T436,$Q$16)-SUM(U$26:U435),"")</f>
        <v/>
      </c>
      <c r="V436" s="1258">
        <f t="shared" ca="1" si="47"/>
        <v>0</v>
      </c>
      <c r="W436" s="1258">
        <f t="shared" ca="1" si="48"/>
        <v>0</v>
      </c>
      <c r="X436" s="1258" t="e">
        <f t="shared" ca="1" si="49"/>
        <v>#N/A</v>
      </c>
      <c r="Y436" s="1265"/>
      <c r="Z436" s="1240"/>
      <c r="AA436" s="1240"/>
      <c r="AB436" s="1240"/>
      <c r="AC436" s="1254" t="e">
        <f t="shared" si="45"/>
        <v>#NUM!</v>
      </c>
      <c r="AD436" s="1240"/>
      <c r="AE436" s="1240"/>
      <c r="AF436" s="1240"/>
      <c r="AG436" s="1240"/>
      <c r="AH436" s="1240"/>
      <c r="AI436" s="1240"/>
      <c r="AJ436" s="1240"/>
      <c r="AK436" s="1240"/>
      <c r="AL436" s="1240"/>
      <c r="AM436" s="1240"/>
      <c r="AN436" s="1240"/>
      <c r="AO436" s="1240"/>
      <c r="AP436" s="1240"/>
    </row>
    <row r="437" spans="1:42" ht="18.75" customHeight="1" x14ac:dyDescent="0.35">
      <c r="A437" s="1240"/>
      <c r="B437" s="1240"/>
      <c r="C437" s="1240"/>
      <c r="D437" s="1240"/>
      <c r="E437" s="1240"/>
      <c r="F437" s="1240"/>
      <c r="G437" s="1240"/>
      <c r="H437" s="1240"/>
      <c r="I437" s="1240"/>
      <c r="J437" s="1240"/>
      <c r="K437" s="1240"/>
      <c r="L437" s="1240"/>
      <c r="M437" s="1240"/>
      <c r="N437" s="1240"/>
      <c r="O437" s="1240"/>
      <c r="P437" s="1247">
        <f t="shared" si="52"/>
        <v>411</v>
      </c>
      <c r="Q437" s="1253" t="e">
        <f t="shared" ca="1" si="50"/>
        <v>#N/A</v>
      </c>
      <c r="R437" s="1247" t="str">
        <f>IFERROR(VLOOKUP(P437,RPCRepaymentDates[],1,FALSE),"")</f>
        <v/>
      </c>
      <c r="S437" s="1259">
        <f t="shared" si="46"/>
        <v>0</v>
      </c>
      <c r="T437" s="1247" t="str">
        <f>IFERROR(VLOOKUP(P437,RPCChargeCycleDates[],1,FALSE),"")</f>
        <v/>
      </c>
      <c r="U437" s="1248" t="str">
        <f>IFERROR(_xlfn.DAYS(T437,$Q$16)-SUM(U$26:U436),"")</f>
        <v/>
      </c>
      <c r="V437" s="1258">
        <f t="shared" ca="1" si="47"/>
        <v>0</v>
      </c>
      <c r="W437" s="1258">
        <f t="shared" ca="1" si="48"/>
        <v>0</v>
      </c>
      <c r="X437" s="1258" t="e">
        <f t="shared" ca="1" si="49"/>
        <v>#N/A</v>
      </c>
      <c r="Y437" s="1265"/>
      <c r="Z437" s="1240"/>
      <c r="AA437" s="1240"/>
      <c r="AB437" s="1240"/>
      <c r="AC437" s="1254" t="e">
        <f t="shared" si="45"/>
        <v>#NUM!</v>
      </c>
      <c r="AD437" s="1240"/>
      <c r="AE437" s="1240"/>
      <c r="AF437" s="1240"/>
      <c r="AG437" s="1240"/>
      <c r="AH437" s="1240"/>
      <c r="AI437" s="1240"/>
      <c r="AJ437" s="1240"/>
      <c r="AK437" s="1240"/>
      <c r="AL437" s="1240"/>
      <c r="AM437" s="1240"/>
      <c r="AN437" s="1240"/>
      <c r="AO437" s="1240"/>
      <c r="AP437" s="1240"/>
    </row>
    <row r="438" spans="1:42" ht="18.75" customHeight="1" x14ac:dyDescent="0.35">
      <c r="A438" s="1240"/>
      <c r="B438" s="1240"/>
      <c r="C438" s="1240"/>
      <c r="D438" s="1240"/>
      <c r="E438" s="1240"/>
      <c r="F438" s="1240"/>
      <c r="G438" s="1240"/>
      <c r="H438" s="1240"/>
      <c r="I438" s="1240"/>
      <c r="J438" s="1240"/>
      <c r="K438" s="1240"/>
      <c r="L438" s="1240"/>
      <c r="M438" s="1240"/>
      <c r="N438" s="1240"/>
      <c r="O438" s="1240"/>
      <c r="P438" s="1247">
        <f t="shared" si="52"/>
        <v>412</v>
      </c>
      <c r="Q438" s="1253" t="e">
        <f t="shared" ca="1" si="50"/>
        <v>#N/A</v>
      </c>
      <c r="R438" s="1247" t="str">
        <f>IFERROR(VLOOKUP(P438,RPCRepaymentDates[],1,FALSE),"")</f>
        <v/>
      </c>
      <c r="S438" s="1259">
        <f t="shared" si="46"/>
        <v>0</v>
      </c>
      <c r="T438" s="1247" t="str">
        <f>IFERROR(VLOOKUP(P438,RPCChargeCycleDates[],1,FALSE),"")</f>
        <v/>
      </c>
      <c r="U438" s="1248" t="str">
        <f>IFERROR(_xlfn.DAYS(T438,$Q$16)-SUM(U$26:U437),"")</f>
        <v/>
      </c>
      <c r="V438" s="1258">
        <f t="shared" ca="1" si="47"/>
        <v>0</v>
      </c>
      <c r="W438" s="1258">
        <f t="shared" ca="1" si="48"/>
        <v>0</v>
      </c>
      <c r="X438" s="1258" t="e">
        <f t="shared" ca="1" si="49"/>
        <v>#N/A</v>
      </c>
      <c r="Y438" s="1265"/>
      <c r="Z438" s="1240"/>
      <c r="AA438" s="1240"/>
      <c r="AB438" s="1240"/>
      <c r="AC438" s="1254" t="e">
        <f t="shared" si="45"/>
        <v>#NUM!</v>
      </c>
      <c r="AD438" s="1240"/>
      <c r="AE438" s="1240"/>
      <c r="AF438" s="1240"/>
      <c r="AG438" s="1240"/>
      <c r="AH438" s="1240"/>
      <c r="AI438" s="1240"/>
      <c r="AJ438" s="1240"/>
      <c r="AK438" s="1240"/>
      <c r="AL438" s="1240"/>
      <c r="AM438" s="1240"/>
      <c r="AN438" s="1240"/>
      <c r="AO438" s="1240"/>
      <c r="AP438" s="1240"/>
    </row>
    <row r="439" spans="1:42" ht="18.75" customHeight="1" x14ac:dyDescent="0.35">
      <c r="A439" s="1240"/>
      <c r="B439" s="1240"/>
      <c r="C439" s="1240"/>
      <c r="D439" s="1240"/>
      <c r="E439" s="1240"/>
      <c r="F439" s="1240"/>
      <c r="G439" s="1240"/>
      <c r="H439" s="1240"/>
      <c r="I439" s="1240"/>
      <c r="J439" s="1240"/>
      <c r="K439" s="1240"/>
      <c r="L439" s="1240"/>
      <c r="M439" s="1240"/>
      <c r="N439" s="1240"/>
      <c r="O439" s="1240"/>
      <c r="P439" s="1247">
        <f t="shared" si="52"/>
        <v>413</v>
      </c>
      <c r="Q439" s="1253" t="e">
        <f t="shared" ca="1" si="50"/>
        <v>#N/A</v>
      </c>
      <c r="R439" s="1247" t="str">
        <f>IFERROR(VLOOKUP(P439,RPCRepaymentDates[],1,FALSE),"")</f>
        <v/>
      </c>
      <c r="S439" s="1259">
        <f t="shared" si="46"/>
        <v>0</v>
      </c>
      <c r="T439" s="1247" t="str">
        <f>IFERROR(VLOOKUP(P439,RPCChargeCycleDates[],1,FALSE),"")</f>
        <v/>
      </c>
      <c r="U439" s="1248" t="str">
        <f>IFERROR(_xlfn.DAYS(T439,$Q$16)-SUM(U$26:U438),"")</f>
        <v/>
      </c>
      <c r="V439" s="1258">
        <f t="shared" ca="1" si="47"/>
        <v>0</v>
      </c>
      <c r="W439" s="1258">
        <f t="shared" ca="1" si="48"/>
        <v>0</v>
      </c>
      <c r="X439" s="1258" t="e">
        <f t="shared" ca="1" si="49"/>
        <v>#N/A</v>
      </c>
      <c r="Y439" s="1265"/>
      <c r="Z439" s="1240"/>
      <c r="AA439" s="1240"/>
      <c r="AB439" s="1240"/>
      <c r="AC439" s="1254" t="e">
        <f t="shared" si="45"/>
        <v>#NUM!</v>
      </c>
      <c r="AD439" s="1240"/>
      <c r="AE439" s="1240"/>
      <c r="AF439" s="1240"/>
      <c r="AG439" s="1240"/>
      <c r="AH439" s="1240"/>
      <c r="AI439" s="1240"/>
      <c r="AJ439" s="1240"/>
      <c r="AK439" s="1240"/>
      <c r="AL439" s="1240"/>
      <c r="AM439" s="1240"/>
      <c r="AN439" s="1240"/>
      <c r="AO439" s="1240"/>
      <c r="AP439" s="1240"/>
    </row>
    <row r="440" spans="1:42" ht="18.75" customHeight="1" x14ac:dyDescent="0.35">
      <c r="A440" s="1240"/>
      <c r="B440" s="1240"/>
      <c r="C440" s="1240"/>
      <c r="D440" s="1240"/>
      <c r="E440" s="1240"/>
      <c r="F440" s="1240"/>
      <c r="G440" s="1240"/>
      <c r="H440" s="1240"/>
      <c r="I440" s="1240"/>
      <c r="J440" s="1240"/>
      <c r="K440" s="1240"/>
      <c r="L440" s="1240"/>
      <c r="M440" s="1240"/>
      <c r="N440" s="1240"/>
      <c r="O440" s="1240"/>
      <c r="P440" s="1247">
        <f t="shared" si="52"/>
        <v>414</v>
      </c>
      <c r="Q440" s="1253" t="e">
        <f t="shared" ca="1" si="50"/>
        <v>#N/A</v>
      </c>
      <c r="R440" s="1247" t="str">
        <f>IFERROR(VLOOKUP(P440,RPCRepaymentDates[],1,FALSE),"")</f>
        <v/>
      </c>
      <c r="S440" s="1259">
        <f t="shared" si="46"/>
        <v>0</v>
      </c>
      <c r="T440" s="1247" t="str">
        <f>IFERROR(VLOOKUP(P440,RPCChargeCycleDates[],1,FALSE),"")</f>
        <v/>
      </c>
      <c r="U440" s="1248" t="str">
        <f>IFERROR(_xlfn.DAYS(T440,$Q$16)-SUM(U$26:U439),"")</f>
        <v/>
      </c>
      <c r="V440" s="1258">
        <f t="shared" ca="1" si="47"/>
        <v>0</v>
      </c>
      <c r="W440" s="1258">
        <f t="shared" ca="1" si="48"/>
        <v>0</v>
      </c>
      <c r="X440" s="1258" t="e">
        <f t="shared" ca="1" si="49"/>
        <v>#N/A</v>
      </c>
      <c r="Y440" s="1265"/>
      <c r="Z440" s="1240"/>
      <c r="AA440" s="1240"/>
      <c r="AB440" s="1240"/>
      <c r="AC440" s="1254" t="e">
        <f t="shared" si="45"/>
        <v>#NUM!</v>
      </c>
      <c r="AD440" s="1240"/>
      <c r="AE440" s="1240"/>
      <c r="AF440" s="1240"/>
      <c r="AG440" s="1240"/>
      <c r="AH440" s="1240"/>
      <c r="AI440" s="1240"/>
      <c r="AJ440" s="1240"/>
      <c r="AK440" s="1240"/>
      <c r="AL440" s="1240"/>
      <c r="AM440" s="1240"/>
      <c r="AN440" s="1240"/>
      <c r="AO440" s="1240"/>
      <c r="AP440" s="1240"/>
    </row>
    <row r="441" spans="1:42" ht="18.75" customHeight="1" x14ac:dyDescent="0.35">
      <c r="A441" s="1240"/>
      <c r="B441" s="1240"/>
      <c r="C441" s="1240"/>
      <c r="D441" s="1240"/>
      <c r="E441" s="1240"/>
      <c r="F441" s="1240"/>
      <c r="G441" s="1240"/>
      <c r="H441" s="1240"/>
      <c r="I441" s="1240"/>
      <c r="J441" s="1240"/>
      <c r="K441" s="1240"/>
      <c r="L441" s="1240"/>
      <c r="M441" s="1240"/>
      <c r="N441" s="1240"/>
      <c r="O441" s="1240"/>
      <c r="P441" s="1247">
        <f t="shared" si="52"/>
        <v>415</v>
      </c>
      <c r="Q441" s="1253" t="e">
        <f t="shared" ca="1" si="50"/>
        <v>#N/A</v>
      </c>
      <c r="R441" s="1247" t="str">
        <f>IFERROR(VLOOKUP(P441,RPCRepaymentDates[],1,FALSE),"")</f>
        <v/>
      </c>
      <c r="S441" s="1259">
        <f t="shared" si="46"/>
        <v>0</v>
      </c>
      <c r="T441" s="1247" t="str">
        <f>IFERROR(VLOOKUP(P441,RPCChargeCycleDates[],1,FALSE),"")</f>
        <v/>
      </c>
      <c r="U441" s="1248" t="str">
        <f>IFERROR(_xlfn.DAYS(T441,$Q$16)-SUM(U$26:U440),"")</f>
        <v/>
      </c>
      <c r="V441" s="1258">
        <f t="shared" ca="1" si="47"/>
        <v>0</v>
      </c>
      <c r="W441" s="1258">
        <f t="shared" ca="1" si="48"/>
        <v>0</v>
      </c>
      <c r="X441" s="1258" t="e">
        <f t="shared" ca="1" si="49"/>
        <v>#N/A</v>
      </c>
      <c r="Y441" s="1265"/>
      <c r="Z441" s="1240"/>
      <c r="AA441" s="1240"/>
      <c r="AB441" s="1240"/>
      <c r="AC441" s="1254" t="e">
        <f t="shared" si="45"/>
        <v>#NUM!</v>
      </c>
      <c r="AD441" s="1240"/>
      <c r="AE441" s="1240"/>
      <c r="AF441" s="1240"/>
      <c r="AG441" s="1240"/>
      <c r="AH441" s="1240"/>
      <c r="AI441" s="1240"/>
      <c r="AJ441" s="1240"/>
      <c r="AK441" s="1240"/>
      <c r="AL441" s="1240"/>
      <c r="AM441" s="1240"/>
      <c r="AN441" s="1240"/>
      <c r="AO441" s="1240"/>
      <c r="AP441" s="1240"/>
    </row>
    <row r="442" spans="1:42" ht="18.75" customHeight="1" x14ac:dyDescent="0.35">
      <c r="A442" s="1240"/>
      <c r="B442" s="1240"/>
      <c r="C442" s="1240"/>
      <c r="D442" s="1240"/>
      <c r="E442" s="1240"/>
      <c r="F442" s="1240"/>
      <c r="G442" s="1240"/>
      <c r="H442" s="1240"/>
      <c r="I442" s="1240"/>
      <c r="J442" s="1240"/>
      <c r="K442" s="1240"/>
      <c r="L442" s="1240"/>
      <c r="M442" s="1240"/>
      <c r="N442" s="1240"/>
      <c r="O442" s="1240"/>
      <c r="P442" s="1247">
        <f t="shared" si="52"/>
        <v>416</v>
      </c>
      <c r="Q442" s="1253" t="e">
        <f t="shared" ca="1" si="50"/>
        <v>#N/A</v>
      </c>
      <c r="R442" s="1247" t="str">
        <f>IFERROR(VLOOKUP(P442,RPCRepaymentDates[],1,FALSE),"")</f>
        <v/>
      </c>
      <c r="S442" s="1259">
        <f t="shared" si="46"/>
        <v>0</v>
      </c>
      <c r="T442" s="1247" t="str">
        <f>IFERROR(VLOOKUP(P442,RPCChargeCycleDates[],1,FALSE),"")</f>
        <v/>
      </c>
      <c r="U442" s="1248" t="str">
        <f>IFERROR(_xlfn.DAYS(T442,$Q$16)-SUM(U$26:U441),"")</f>
        <v/>
      </c>
      <c r="V442" s="1258">
        <f t="shared" ca="1" si="47"/>
        <v>0</v>
      </c>
      <c r="W442" s="1258">
        <f t="shared" ca="1" si="48"/>
        <v>0</v>
      </c>
      <c r="X442" s="1258" t="e">
        <f t="shared" ca="1" si="49"/>
        <v>#N/A</v>
      </c>
      <c r="Y442" s="1265"/>
      <c r="Z442" s="1240"/>
      <c r="AA442" s="1240"/>
      <c r="AB442" s="1240"/>
      <c r="AC442" s="1254" t="e">
        <f t="shared" si="45"/>
        <v>#NUM!</v>
      </c>
      <c r="AD442" s="1240"/>
      <c r="AE442" s="1240"/>
      <c r="AF442" s="1240"/>
      <c r="AG442" s="1240"/>
      <c r="AH442" s="1240"/>
      <c r="AI442" s="1240"/>
      <c r="AJ442" s="1240"/>
      <c r="AK442" s="1240"/>
      <c r="AL442" s="1240"/>
      <c r="AM442" s="1240"/>
      <c r="AN442" s="1240"/>
      <c r="AO442" s="1240"/>
      <c r="AP442" s="1240"/>
    </row>
    <row r="443" spans="1:42" ht="18.75" customHeight="1" x14ac:dyDescent="0.35">
      <c r="A443" s="1240"/>
      <c r="B443" s="1240"/>
      <c r="C443" s="1240"/>
      <c r="D443" s="1240"/>
      <c r="E443" s="1240"/>
      <c r="F443" s="1240"/>
      <c r="G443" s="1240"/>
      <c r="H443" s="1240"/>
      <c r="I443" s="1240"/>
      <c r="J443" s="1240"/>
      <c r="K443" s="1240"/>
      <c r="L443" s="1240"/>
      <c r="M443" s="1240"/>
      <c r="N443" s="1240"/>
      <c r="O443" s="1240"/>
      <c r="P443" s="1247">
        <f t="shared" si="52"/>
        <v>417</v>
      </c>
      <c r="Q443" s="1253" t="e">
        <f t="shared" ca="1" si="50"/>
        <v>#N/A</v>
      </c>
      <c r="R443" s="1247" t="str">
        <f>IFERROR(VLOOKUP(P443,RPCRepaymentDates[],1,FALSE),"")</f>
        <v/>
      </c>
      <c r="S443" s="1259">
        <f t="shared" si="46"/>
        <v>0</v>
      </c>
      <c r="T443" s="1247" t="str">
        <f>IFERROR(VLOOKUP(P443,RPCChargeCycleDates[],1,FALSE),"")</f>
        <v/>
      </c>
      <c r="U443" s="1248" t="str">
        <f>IFERROR(_xlfn.DAYS(T443,$Q$16)-SUM(U$26:U442),"")</f>
        <v/>
      </c>
      <c r="V443" s="1258">
        <f t="shared" ca="1" si="47"/>
        <v>0</v>
      </c>
      <c r="W443" s="1258">
        <f t="shared" ca="1" si="48"/>
        <v>0</v>
      </c>
      <c r="X443" s="1258" t="e">
        <f t="shared" ca="1" si="49"/>
        <v>#N/A</v>
      </c>
      <c r="Y443" s="1265"/>
      <c r="Z443" s="1240"/>
      <c r="AA443" s="1240"/>
      <c r="AB443" s="1240"/>
      <c r="AC443" s="1254" t="e">
        <f t="shared" si="45"/>
        <v>#NUM!</v>
      </c>
      <c r="AD443" s="1240"/>
      <c r="AE443" s="1240"/>
      <c r="AF443" s="1240"/>
      <c r="AG443" s="1240"/>
      <c r="AH443" s="1240"/>
      <c r="AI443" s="1240"/>
      <c r="AJ443" s="1240"/>
      <c r="AK443" s="1240"/>
      <c r="AL443" s="1240"/>
      <c r="AM443" s="1240"/>
      <c r="AN443" s="1240"/>
      <c r="AO443" s="1240"/>
      <c r="AP443" s="1240"/>
    </row>
    <row r="444" spans="1:42" ht="18.75" customHeight="1" x14ac:dyDescent="0.35">
      <c r="A444" s="1240"/>
      <c r="B444" s="1240"/>
      <c r="C444" s="1240"/>
      <c r="D444" s="1240"/>
      <c r="E444" s="1240"/>
      <c r="F444" s="1240"/>
      <c r="G444" s="1240"/>
      <c r="H444" s="1240"/>
      <c r="I444" s="1240"/>
      <c r="J444" s="1240"/>
      <c r="K444" s="1240"/>
      <c r="L444" s="1240"/>
      <c r="M444" s="1240"/>
      <c r="N444" s="1240"/>
      <c r="O444" s="1240"/>
      <c r="P444" s="1247">
        <f t="shared" si="52"/>
        <v>418</v>
      </c>
      <c r="Q444" s="1253" t="e">
        <f t="shared" ca="1" si="50"/>
        <v>#N/A</v>
      </c>
      <c r="R444" s="1247" t="str">
        <f>IFERROR(VLOOKUP(P444,RPCRepaymentDates[],1,FALSE),"")</f>
        <v/>
      </c>
      <c r="S444" s="1259">
        <f t="shared" si="46"/>
        <v>0</v>
      </c>
      <c r="T444" s="1247" t="str">
        <f>IFERROR(VLOOKUP(P444,RPCChargeCycleDates[],1,FALSE),"")</f>
        <v/>
      </c>
      <c r="U444" s="1248" t="str">
        <f>IFERROR(_xlfn.DAYS(T444,$Q$16)-SUM(U$26:U443),"")</f>
        <v/>
      </c>
      <c r="V444" s="1258">
        <f t="shared" ca="1" si="47"/>
        <v>0</v>
      </c>
      <c r="W444" s="1258">
        <f t="shared" ca="1" si="48"/>
        <v>0</v>
      </c>
      <c r="X444" s="1258" t="e">
        <f t="shared" ca="1" si="49"/>
        <v>#N/A</v>
      </c>
      <c r="Y444" s="1265"/>
      <c r="Z444" s="1240"/>
      <c r="AA444" s="1240"/>
      <c r="AB444" s="1240"/>
      <c r="AC444" s="1254" t="e">
        <f t="shared" si="45"/>
        <v>#NUM!</v>
      </c>
      <c r="AD444" s="1240"/>
      <c r="AE444" s="1240"/>
      <c r="AF444" s="1240"/>
      <c r="AG444" s="1240"/>
      <c r="AH444" s="1240"/>
      <c r="AI444" s="1240"/>
      <c r="AJ444" s="1240"/>
      <c r="AK444" s="1240"/>
      <c r="AL444" s="1240"/>
      <c r="AM444" s="1240"/>
      <c r="AN444" s="1240"/>
      <c r="AO444" s="1240"/>
      <c r="AP444" s="1240"/>
    </row>
    <row r="445" spans="1:42" ht="18.75" customHeight="1" x14ac:dyDescent="0.35">
      <c r="A445" s="1240"/>
      <c r="B445" s="1240"/>
      <c r="C445" s="1240"/>
      <c r="D445" s="1240"/>
      <c r="E445" s="1240"/>
      <c r="F445" s="1240"/>
      <c r="G445" s="1240"/>
      <c r="H445" s="1240"/>
      <c r="I445" s="1240"/>
      <c r="J445" s="1240"/>
      <c r="K445" s="1240"/>
      <c r="L445" s="1240"/>
      <c r="M445" s="1240"/>
      <c r="N445" s="1240"/>
      <c r="O445" s="1240"/>
      <c r="P445" s="1247">
        <f t="shared" si="52"/>
        <v>419</v>
      </c>
      <c r="Q445" s="1253" t="e">
        <f t="shared" ca="1" si="50"/>
        <v>#N/A</v>
      </c>
      <c r="R445" s="1247" t="str">
        <f>IFERROR(VLOOKUP(P445,RPCRepaymentDates[],1,FALSE),"")</f>
        <v/>
      </c>
      <c r="S445" s="1259">
        <f t="shared" si="46"/>
        <v>0</v>
      </c>
      <c r="T445" s="1247" t="str">
        <f>IFERROR(VLOOKUP(P445,RPCChargeCycleDates[],1,FALSE),"")</f>
        <v/>
      </c>
      <c r="U445" s="1248" t="str">
        <f>IFERROR(_xlfn.DAYS(T445,$Q$16)-SUM(U$26:U444),"")</f>
        <v/>
      </c>
      <c r="V445" s="1258">
        <f t="shared" ca="1" si="47"/>
        <v>0</v>
      </c>
      <c r="W445" s="1258">
        <f t="shared" ca="1" si="48"/>
        <v>0</v>
      </c>
      <c r="X445" s="1258" t="e">
        <f t="shared" ca="1" si="49"/>
        <v>#N/A</v>
      </c>
      <c r="Y445" s="1240"/>
      <c r="Z445" s="1240"/>
      <c r="AA445" s="1240"/>
      <c r="AB445" s="1240"/>
      <c r="AC445" s="1254" t="e">
        <f t="shared" si="45"/>
        <v>#NUM!</v>
      </c>
      <c r="AD445" s="1240"/>
      <c r="AE445" s="1240"/>
      <c r="AF445" s="1240"/>
      <c r="AG445" s="1240"/>
      <c r="AH445" s="1240"/>
      <c r="AI445" s="1240"/>
      <c r="AJ445" s="1240"/>
      <c r="AK445" s="1240"/>
      <c r="AL445" s="1240"/>
      <c r="AM445" s="1240"/>
      <c r="AN445" s="1240"/>
      <c r="AO445" s="1240"/>
      <c r="AP445" s="1240"/>
    </row>
    <row r="446" spans="1:42" ht="18.75" customHeight="1" x14ac:dyDescent="0.35">
      <c r="A446" s="1240"/>
      <c r="B446" s="1240"/>
      <c r="C446" s="1240"/>
      <c r="D446" s="1240"/>
      <c r="E446" s="1240"/>
      <c r="F446" s="1240"/>
      <c r="G446" s="1240"/>
      <c r="H446" s="1240"/>
      <c r="I446" s="1240"/>
      <c r="J446" s="1240"/>
      <c r="K446" s="1240"/>
      <c r="L446" s="1240"/>
      <c r="M446" s="1240"/>
      <c r="N446" s="1240"/>
      <c r="O446" s="1240"/>
      <c r="P446" s="1247">
        <f t="shared" si="52"/>
        <v>420</v>
      </c>
      <c r="Q446" s="1253" t="e">
        <f t="shared" ca="1" si="50"/>
        <v>#N/A</v>
      </c>
      <c r="R446" s="1247" t="str">
        <f>IFERROR(VLOOKUP(P446,RPCRepaymentDates[],1,FALSE),"")</f>
        <v/>
      </c>
      <c r="S446" s="1259">
        <f t="shared" si="46"/>
        <v>0</v>
      </c>
      <c r="T446" s="1247" t="str">
        <f>IFERROR(VLOOKUP(P446,RPCChargeCycleDates[],1,FALSE),"")</f>
        <v/>
      </c>
      <c r="U446" s="1248" t="str">
        <f>IFERROR(_xlfn.DAYS(T446,$Q$16)-SUM(U$26:U445),"")</f>
        <v/>
      </c>
      <c r="V446" s="1258">
        <f t="shared" ca="1" si="47"/>
        <v>0</v>
      </c>
      <c r="W446" s="1258">
        <f t="shared" ca="1" si="48"/>
        <v>0</v>
      </c>
      <c r="X446" s="1258" t="e">
        <f t="shared" ca="1" si="49"/>
        <v>#N/A</v>
      </c>
      <c r="Y446" s="1240"/>
      <c r="Z446" s="1240"/>
      <c r="AA446" s="1240"/>
      <c r="AB446" s="1240"/>
      <c r="AC446" s="1254" t="e">
        <f t="shared" si="45"/>
        <v>#NUM!</v>
      </c>
      <c r="AD446" s="1240"/>
      <c r="AE446" s="1240"/>
      <c r="AF446" s="1240"/>
      <c r="AG446" s="1240"/>
      <c r="AH446" s="1240"/>
      <c r="AI446" s="1240"/>
      <c r="AJ446" s="1240"/>
      <c r="AK446" s="1240"/>
      <c r="AL446" s="1240"/>
      <c r="AM446" s="1240"/>
      <c r="AN446" s="1240"/>
      <c r="AO446" s="1240"/>
      <c r="AP446" s="1240"/>
    </row>
    <row r="447" spans="1:42" ht="18.75" customHeight="1" x14ac:dyDescent="0.35">
      <c r="A447" s="1240"/>
      <c r="B447" s="1240"/>
      <c r="C447" s="1240"/>
      <c r="D447" s="1240"/>
      <c r="E447" s="1240"/>
      <c r="F447" s="1240"/>
      <c r="G447" s="1240"/>
      <c r="H447" s="1240"/>
      <c r="I447" s="1240"/>
      <c r="J447" s="1240"/>
      <c r="K447" s="1240"/>
      <c r="L447" s="1240"/>
      <c r="M447" s="1240"/>
      <c r="N447" s="1240"/>
      <c r="O447" s="1240"/>
      <c r="P447" s="1247">
        <f t="shared" si="52"/>
        <v>421</v>
      </c>
      <c r="Q447" s="1253" t="e">
        <f t="shared" ca="1" si="50"/>
        <v>#N/A</v>
      </c>
      <c r="R447" s="1247" t="str">
        <f>IFERROR(VLOOKUP(P447,RPCRepaymentDates[],1,FALSE),"")</f>
        <v/>
      </c>
      <c r="S447" s="1259">
        <f t="shared" si="46"/>
        <v>0</v>
      </c>
      <c r="T447" s="1247" t="str">
        <f>IFERROR(VLOOKUP(P447,RPCChargeCycleDates[],1,FALSE),"")</f>
        <v/>
      </c>
      <c r="U447" s="1248" t="str">
        <f>IFERROR(_xlfn.DAYS(T447,$Q$16)-SUM(U$26:U446),"")</f>
        <v/>
      </c>
      <c r="V447" s="1258">
        <f t="shared" ca="1" si="47"/>
        <v>0</v>
      </c>
      <c r="W447" s="1258">
        <f t="shared" ca="1" si="48"/>
        <v>0</v>
      </c>
      <c r="X447" s="1258" t="e">
        <f t="shared" ca="1" si="49"/>
        <v>#N/A</v>
      </c>
      <c r="Y447" s="1240"/>
      <c r="Z447" s="1240"/>
      <c r="AA447" s="1240"/>
      <c r="AB447" s="1240"/>
      <c r="AC447" s="1254" t="e">
        <f t="shared" ref="AC447:AC510" si="53">IF(RPCRepaymentFrequency="Monthly",EDATE(AC446,1),IF(RPCRepaymentFrequency="Fortnightly",AC446+14,AC446+7))</f>
        <v>#NUM!</v>
      </c>
      <c r="AD447" s="1240"/>
      <c r="AE447" s="1240"/>
      <c r="AF447" s="1240"/>
      <c r="AG447" s="1240"/>
      <c r="AH447" s="1240"/>
      <c r="AI447" s="1240"/>
      <c r="AJ447" s="1240"/>
      <c r="AK447" s="1240"/>
      <c r="AL447" s="1240"/>
      <c r="AM447" s="1240"/>
      <c r="AN447" s="1240"/>
      <c r="AO447" s="1240"/>
      <c r="AP447" s="1240"/>
    </row>
    <row r="448" spans="1:42" ht="18.75" customHeight="1" x14ac:dyDescent="0.35">
      <c r="A448" s="1240"/>
      <c r="B448" s="1240"/>
      <c r="C448" s="1240"/>
      <c r="D448" s="1240"/>
      <c r="E448" s="1240"/>
      <c r="F448" s="1240"/>
      <c r="G448" s="1240"/>
      <c r="H448" s="1240"/>
      <c r="I448" s="1240"/>
      <c r="J448" s="1240"/>
      <c r="K448" s="1240"/>
      <c r="L448" s="1240"/>
      <c r="M448" s="1240"/>
      <c r="N448" s="1240"/>
      <c r="O448" s="1240"/>
      <c r="P448" s="1247">
        <f t="shared" si="52"/>
        <v>422</v>
      </c>
      <c r="Q448" s="1253" t="e">
        <f t="shared" ca="1" si="50"/>
        <v>#N/A</v>
      </c>
      <c r="R448" s="1247" t="str">
        <f>IFERROR(VLOOKUP(P448,RPCRepaymentDates[],1,FALSE),"")</f>
        <v/>
      </c>
      <c r="S448" s="1259">
        <f t="shared" si="46"/>
        <v>0</v>
      </c>
      <c r="T448" s="1247" t="str">
        <f>IFERROR(VLOOKUP(P448,RPCChargeCycleDates[],1,FALSE),"")</f>
        <v/>
      </c>
      <c r="U448" s="1248" t="str">
        <f>IFERROR(_xlfn.DAYS(T448,$Q$16)-SUM(U$26:U447),"")</f>
        <v/>
      </c>
      <c r="V448" s="1258">
        <f t="shared" ca="1" si="47"/>
        <v>0</v>
      </c>
      <c r="W448" s="1258">
        <f t="shared" ca="1" si="48"/>
        <v>0</v>
      </c>
      <c r="X448" s="1258" t="e">
        <f t="shared" ca="1" si="49"/>
        <v>#N/A</v>
      </c>
      <c r="Y448" s="1240"/>
      <c r="Z448" s="1240"/>
      <c r="AA448" s="1240"/>
      <c r="AB448" s="1240"/>
      <c r="AC448" s="1254" t="e">
        <f t="shared" si="53"/>
        <v>#NUM!</v>
      </c>
      <c r="AD448" s="1240"/>
      <c r="AE448" s="1240"/>
      <c r="AF448" s="1240"/>
      <c r="AG448" s="1240"/>
      <c r="AH448" s="1240"/>
      <c r="AI448" s="1240"/>
      <c r="AJ448" s="1240"/>
      <c r="AK448" s="1240"/>
      <c r="AL448" s="1240"/>
      <c r="AM448" s="1240"/>
      <c r="AN448" s="1240"/>
      <c r="AO448" s="1240"/>
      <c r="AP448" s="1240"/>
    </row>
    <row r="449" spans="1:42" ht="18.75" customHeight="1" x14ac:dyDescent="0.35">
      <c r="A449" s="1240"/>
      <c r="B449" s="1240"/>
      <c r="C449" s="1240"/>
      <c r="D449" s="1240"/>
      <c r="E449" s="1240"/>
      <c r="F449" s="1240"/>
      <c r="G449" s="1240"/>
      <c r="H449" s="1240"/>
      <c r="I449" s="1240"/>
      <c r="J449" s="1240"/>
      <c r="K449" s="1240"/>
      <c r="L449" s="1240"/>
      <c r="M449" s="1240"/>
      <c r="N449" s="1240"/>
      <c r="O449" s="1240"/>
      <c r="P449" s="1247">
        <f t="shared" si="52"/>
        <v>423</v>
      </c>
      <c r="Q449" s="1253" t="e">
        <f t="shared" ca="1" si="50"/>
        <v>#N/A</v>
      </c>
      <c r="R449" s="1247" t="str">
        <f>IFERROR(VLOOKUP(P449,RPCRepaymentDates[],1,FALSE),"")</f>
        <v/>
      </c>
      <c r="S449" s="1259">
        <f t="shared" si="46"/>
        <v>0</v>
      </c>
      <c r="T449" s="1247" t="str">
        <f>IFERROR(VLOOKUP(P449,RPCChargeCycleDates[],1,FALSE),"")</f>
        <v/>
      </c>
      <c r="U449" s="1248" t="str">
        <f>IFERROR(_xlfn.DAYS(T449,$Q$16)-SUM(U$26:U448),"")</f>
        <v/>
      </c>
      <c r="V449" s="1258">
        <f t="shared" ca="1" si="47"/>
        <v>0</v>
      </c>
      <c r="W449" s="1258">
        <f t="shared" ca="1" si="48"/>
        <v>0</v>
      </c>
      <c r="X449" s="1258" t="e">
        <f t="shared" ca="1" si="49"/>
        <v>#N/A</v>
      </c>
      <c r="Y449" s="1240"/>
      <c r="Z449" s="1240"/>
      <c r="AA449" s="1240"/>
      <c r="AB449" s="1240"/>
      <c r="AC449" s="1254" t="e">
        <f t="shared" si="53"/>
        <v>#NUM!</v>
      </c>
      <c r="AD449" s="1240"/>
      <c r="AE449" s="1240"/>
      <c r="AF449" s="1240"/>
      <c r="AG449" s="1240"/>
      <c r="AH449" s="1240"/>
      <c r="AI449" s="1240"/>
      <c r="AJ449" s="1240"/>
      <c r="AK449" s="1240"/>
      <c r="AL449" s="1240"/>
      <c r="AM449" s="1240"/>
      <c r="AN449" s="1240"/>
      <c r="AO449" s="1240"/>
      <c r="AP449" s="1240"/>
    </row>
    <row r="450" spans="1:42" ht="18.75" customHeight="1" x14ac:dyDescent="0.35">
      <c r="A450" s="1240"/>
      <c r="B450" s="1240"/>
      <c r="C450" s="1240"/>
      <c r="D450" s="1240"/>
      <c r="E450" s="1240"/>
      <c r="F450" s="1240"/>
      <c r="G450" s="1240"/>
      <c r="H450" s="1240"/>
      <c r="I450" s="1240"/>
      <c r="J450" s="1240"/>
      <c r="K450" s="1240"/>
      <c r="L450" s="1240"/>
      <c r="M450" s="1240"/>
      <c r="N450" s="1240"/>
      <c r="O450" s="1240"/>
      <c r="P450" s="1247">
        <f t="shared" si="52"/>
        <v>424</v>
      </c>
      <c r="Q450" s="1253" t="e">
        <f t="shared" ca="1" si="50"/>
        <v>#N/A</v>
      </c>
      <c r="R450" s="1247" t="str">
        <f>IFERROR(VLOOKUP(P450,RPCRepaymentDates[],1,FALSE),"")</f>
        <v/>
      </c>
      <c r="S450" s="1259">
        <f t="shared" si="46"/>
        <v>0</v>
      </c>
      <c r="T450" s="1247" t="str">
        <f>IFERROR(VLOOKUP(P450,RPCChargeCycleDates[],1,FALSE),"")</f>
        <v/>
      </c>
      <c r="U450" s="1248" t="str">
        <f>IFERROR(_xlfn.DAYS(T450,$Q$16)-SUM(U$26:U449),"")</f>
        <v/>
      </c>
      <c r="V450" s="1258">
        <f t="shared" ca="1" si="47"/>
        <v>0</v>
      </c>
      <c r="W450" s="1258">
        <f t="shared" ca="1" si="48"/>
        <v>0</v>
      </c>
      <c r="X450" s="1258" t="e">
        <f t="shared" ca="1" si="49"/>
        <v>#N/A</v>
      </c>
      <c r="Y450" s="1240"/>
      <c r="Z450" s="1240"/>
      <c r="AA450" s="1240"/>
      <c r="AB450" s="1240"/>
      <c r="AC450" s="1254" t="e">
        <f t="shared" si="53"/>
        <v>#NUM!</v>
      </c>
      <c r="AD450" s="1240"/>
      <c r="AE450" s="1240"/>
      <c r="AF450" s="1240"/>
      <c r="AG450" s="1240"/>
      <c r="AH450" s="1240"/>
      <c r="AI450" s="1240"/>
      <c r="AJ450" s="1240"/>
      <c r="AK450" s="1240"/>
      <c r="AL450" s="1240"/>
      <c r="AM450" s="1240"/>
      <c r="AN450" s="1240"/>
      <c r="AO450" s="1240"/>
      <c r="AP450" s="1240"/>
    </row>
    <row r="451" spans="1:42" ht="18.75" customHeight="1" x14ac:dyDescent="0.35">
      <c r="A451" s="1240"/>
      <c r="B451" s="1240"/>
      <c r="C451" s="1240"/>
      <c r="D451" s="1240"/>
      <c r="E451" s="1240"/>
      <c r="F451" s="1240"/>
      <c r="G451" s="1240"/>
      <c r="H451" s="1240"/>
      <c r="I451" s="1240"/>
      <c r="J451" s="1240"/>
      <c r="K451" s="1240"/>
      <c r="L451" s="1240"/>
      <c r="M451" s="1240"/>
      <c r="N451" s="1240"/>
      <c r="O451" s="1240"/>
      <c r="P451" s="1247">
        <f t="shared" si="52"/>
        <v>425</v>
      </c>
      <c r="Q451" s="1253" t="e">
        <f t="shared" ca="1" si="50"/>
        <v>#N/A</v>
      </c>
      <c r="R451" s="1247" t="str">
        <f>IFERROR(VLOOKUP(P451,RPCRepaymentDates[],1,FALSE),"")</f>
        <v/>
      </c>
      <c r="S451" s="1259">
        <f t="shared" si="46"/>
        <v>0</v>
      </c>
      <c r="T451" s="1247">
        <f>IFERROR(VLOOKUP(P451,RPCChargeCycleDates[],1,FALSE),"")</f>
        <v>425</v>
      </c>
      <c r="U451" s="1248">
        <f>IFERROR(_xlfn.DAYS(T451,$Q$16)-SUM(U$26:U450),"")</f>
        <v>31</v>
      </c>
      <c r="V451" s="1258">
        <f t="shared" ca="1" si="47"/>
        <v>0</v>
      </c>
      <c r="W451" s="1258">
        <f t="shared" ca="1" si="48"/>
        <v>0</v>
      </c>
      <c r="X451" s="1258" t="e">
        <f t="shared" ca="1" si="49"/>
        <v>#N/A</v>
      </c>
      <c r="Y451" s="1240"/>
      <c r="Z451" s="1240"/>
      <c r="AA451" s="1240"/>
      <c r="AB451" s="1240"/>
      <c r="AC451" s="1254" t="e">
        <f t="shared" si="53"/>
        <v>#NUM!</v>
      </c>
      <c r="AD451" s="1240"/>
      <c r="AE451" s="1240"/>
      <c r="AF451" s="1240"/>
      <c r="AG451" s="1240"/>
      <c r="AH451" s="1240"/>
      <c r="AI451" s="1240"/>
      <c r="AJ451" s="1240"/>
      <c r="AK451" s="1240"/>
      <c r="AL451" s="1240"/>
      <c r="AM451" s="1240"/>
      <c r="AN451" s="1240"/>
      <c r="AO451" s="1240"/>
      <c r="AP451" s="1240"/>
    </row>
    <row r="452" spans="1:42" ht="18.75" customHeight="1" x14ac:dyDescent="0.35">
      <c r="A452" s="1240"/>
      <c r="B452" s="1240"/>
      <c r="C452" s="1240"/>
      <c r="D452" s="1240"/>
      <c r="E452" s="1240"/>
      <c r="F452" s="1240"/>
      <c r="G452" s="1240"/>
      <c r="H452" s="1240"/>
      <c r="I452" s="1240"/>
      <c r="J452" s="1240"/>
      <c r="K452" s="1240"/>
      <c r="L452" s="1240"/>
      <c r="M452" s="1240"/>
      <c r="N452" s="1240"/>
      <c r="O452" s="1240"/>
      <c r="P452" s="1247">
        <f t="shared" si="52"/>
        <v>426</v>
      </c>
      <c r="Q452" s="1253" t="e">
        <f t="shared" ca="1" si="50"/>
        <v>#N/A</v>
      </c>
      <c r="R452" s="1247" t="str">
        <f>IFERROR(VLOOKUP(P452,RPCRepaymentDates[],1,FALSE),"")</f>
        <v/>
      </c>
      <c r="S452" s="1259">
        <f t="shared" si="46"/>
        <v>0</v>
      </c>
      <c r="T452" s="1247" t="str">
        <f>IFERROR(VLOOKUP(P452,RPCChargeCycleDates[],1,FALSE),"")</f>
        <v/>
      </c>
      <c r="U452" s="1248" t="str">
        <f>IFERROR(_xlfn.DAYS(T452,$Q$16)-SUM(U$26:U451),"")</f>
        <v/>
      </c>
      <c r="V452" s="1258">
        <f t="shared" ca="1" si="47"/>
        <v>0</v>
      </c>
      <c r="W452" s="1258">
        <f t="shared" ca="1" si="48"/>
        <v>0</v>
      </c>
      <c r="X452" s="1258" t="e">
        <f t="shared" ca="1" si="49"/>
        <v>#N/A</v>
      </c>
      <c r="Y452" s="1240"/>
      <c r="Z452" s="1240"/>
      <c r="AA452" s="1240"/>
      <c r="AB452" s="1240"/>
      <c r="AC452" s="1254" t="e">
        <f t="shared" si="53"/>
        <v>#NUM!</v>
      </c>
      <c r="AD452" s="1240"/>
      <c r="AE452" s="1240"/>
      <c r="AF452" s="1240"/>
      <c r="AG452" s="1240"/>
      <c r="AH452" s="1240"/>
      <c r="AI452" s="1240"/>
      <c r="AJ452" s="1240"/>
      <c r="AK452" s="1240"/>
      <c r="AL452" s="1240"/>
      <c r="AM452" s="1240"/>
      <c r="AN452" s="1240"/>
      <c r="AO452" s="1240"/>
      <c r="AP452" s="1240"/>
    </row>
    <row r="453" spans="1:42" ht="18.75" customHeight="1" x14ac:dyDescent="0.35">
      <c r="A453" s="1240"/>
      <c r="B453" s="1240"/>
      <c r="C453" s="1240"/>
      <c r="D453" s="1240"/>
      <c r="E453" s="1240"/>
      <c r="F453" s="1240"/>
      <c r="G453" s="1240"/>
      <c r="H453" s="1240"/>
      <c r="I453" s="1240"/>
      <c r="J453" s="1240"/>
      <c r="K453" s="1240"/>
      <c r="L453" s="1240"/>
      <c r="M453" s="1240"/>
      <c r="N453" s="1240"/>
      <c r="O453" s="1240"/>
      <c r="P453" s="1247">
        <f t="shared" si="52"/>
        <v>427</v>
      </c>
      <c r="Q453" s="1253" t="e">
        <f t="shared" ca="1" si="50"/>
        <v>#N/A</v>
      </c>
      <c r="R453" s="1247" t="str">
        <f>IFERROR(VLOOKUP(P453,RPCRepaymentDates[],1,FALSE),"")</f>
        <v/>
      </c>
      <c r="S453" s="1259">
        <f t="shared" si="46"/>
        <v>0</v>
      </c>
      <c r="T453" s="1247" t="str">
        <f>IFERROR(VLOOKUP(P453,RPCChargeCycleDates[],1,FALSE),"")</f>
        <v/>
      </c>
      <c r="U453" s="1248" t="str">
        <f>IFERROR(_xlfn.DAYS(T453,$Q$16)-SUM(U$26:U452),"")</f>
        <v/>
      </c>
      <c r="V453" s="1258">
        <f t="shared" ca="1" si="47"/>
        <v>0</v>
      </c>
      <c r="W453" s="1258">
        <f t="shared" ca="1" si="48"/>
        <v>0</v>
      </c>
      <c r="X453" s="1258" t="e">
        <f t="shared" ca="1" si="49"/>
        <v>#N/A</v>
      </c>
      <c r="Y453" s="1240"/>
      <c r="Z453" s="1240"/>
      <c r="AA453" s="1240"/>
      <c r="AB453" s="1240"/>
      <c r="AC453" s="1254" t="e">
        <f t="shared" si="53"/>
        <v>#NUM!</v>
      </c>
      <c r="AD453" s="1240"/>
      <c r="AE453" s="1240"/>
      <c r="AF453" s="1240"/>
      <c r="AG453" s="1240"/>
      <c r="AH453" s="1240"/>
      <c r="AI453" s="1240"/>
      <c r="AJ453" s="1240"/>
      <c r="AK453" s="1240"/>
      <c r="AL453" s="1240"/>
      <c r="AM453" s="1240"/>
      <c r="AN453" s="1240"/>
      <c r="AO453" s="1240"/>
      <c r="AP453" s="1240"/>
    </row>
    <row r="454" spans="1:42" ht="18.75" customHeight="1" x14ac:dyDescent="0.35">
      <c r="A454" s="1240"/>
      <c r="B454" s="1240"/>
      <c r="C454" s="1240"/>
      <c r="D454" s="1240"/>
      <c r="E454" s="1240"/>
      <c r="F454" s="1240"/>
      <c r="G454" s="1240"/>
      <c r="H454" s="1240"/>
      <c r="I454" s="1240"/>
      <c r="J454" s="1240"/>
      <c r="K454" s="1240"/>
      <c r="L454" s="1240"/>
      <c r="M454" s="1240"/>
      <c r="N454" s="1240"/>
      <c r="O454" s="1240"/>
      <c r="P454" s="1247">
        <f t="shared" si="52"/>
        <v>428</v>
      </c>
      <c r="Q454" s="1253" t="e">
        <f t="shared" ca="1" si="50"/>
        <v>#N/A</v>
      </c>
      <c r="R454" s="1247" t="str">
        <f>IFERROR(VLOOKUP(P454,RPCRepaymentDates[],1,FALSE),"")</f>
        <v/>
      </c>
      <c r="S454" s="1259">
        <f t="shared" si="46"/>
        <v>0</v>
      </c>
      <c r="T454" s="1247" t="str">
        <f>IFERROR(VLOOKUP(P454,RPCChargeCycleDates[],1,FALSE),"")</f>
        <v/>
      </c>
      <c r="U454" s="1248" t="str">
        <f>IFERROR(_xlfn.DAYS(T454,$Q$16)-SUM(U$26:U453),"")</f>
        <v/>
      </c>
      <c r="V454" s="1258">
        <f t="shared" ca="1" si="47"/>
        <v>0</v>
      </c>
      <c r="W454" s="1258">
        <f t="shared" ca="1" si="48"/>
        <v>0</v>
      </c>
      <c r="X454" s="1258" t="e">
        <f t="shared" ca="1" si="49"/>
        <v>#N/A</v>
      </c>
      <c r="Y454" s="1240"/>
      <c r="Z454" s="1240"/>
      <c r="AA454" s="1240"/>
      <c r="AB454" s="1240"/>
      <c r="AC454" s="1254" t="e">
        <f t="shared" si="53"/>
        <v>#NUM!</v>
      </c>
      <c r="AD454" s="1240"/>
      <c r="AE454" s="1240"/>
      <c r="AF454" s="1240"/>
      <c r="AG454" s="1240"/>
      <c r="AH454" s="1240"/>
      <c r="AI454" s="1240"/>
      <c r="AJ454" s="1240"/>
      <c r="AK454" s="1240"/>
      <c r="AL454" s="1240"/>
      <c r="AM454" s="1240"/>
      <c r="AN454" s="1240"/>
      <c r="AO454" s="1240"/>
      <c r="AP454" s="1240"/>
    </row>
    <row r="455" spans="1:42" ht="18.75" customHeight="1" x14ac:dyDescent="0.35">
      <c r="A455" s="1240"/>
      <c r="B455" s="1240"/>
      <c r="C455" s="1240"/>
      <c r="D455" s="1240"/>
      <c r="E455" s="1240"/>
      <c r="F455" s="1240"/>
      <c r="G455" s="1240"/>
      <c r="H455" s="1240"/>
      <c r="I455" s="1240"/>
      <c r="J455" s="1240"/>
      <c r="K455" s="1240"/>
      <c r="L455" s="1240"/>
      <c r="M455" s="1240"/>
      <c r="N455" s="1240"/>
      <c r="O455" s="1240"/>
      <c r="P455" s="1247">
        <f t="shared" si="52"/>
        <v>429</v>
      </c>
      <c r="Q455" s="1253" t="e">
        <f t="shared" ca="1" si="50"/>
        <v>#N/A</v>
      </c>
      <c r="R455" s="1247" t="str">
        <f>IFERROR(VLOOKUP(P455,RPCRepaymentDates[],1,FALSE),"")</f>
        <v/>
      </c>
      <c r="S455" s="1259">
        <f t="shared" si="46"/>
        <v>0</v>
      </c>
      <c r="T455" s="1247" t="str">
        <f>IFERROR(VLOOKUP(P455,RPCChargeCycleDates[],1,FALSE),"")</f>
        <v/>
      </c>
      <c r="U455" s="1248" t="str">
        <f>IFERROR(_xlfn.DAYS(T455,$Q$16)-SUM(U$26:U454),"")</f>
        <v/>
      </c>
      <c r="V455" s="1258">
        <f t="shared" ca="1" si="47"/>
        <v>0</v>
      </c>
      <c r="W455" s="1258">
        <f t="shared" ca="1" si="48"/>
        <v>0</v>
      </c>
      <c r="X455" s="1258" t="e">
        <f t="shared" ca="1" si="49"/>
        <v>#N/A</v>
      </c>
      <c r="Y455" s="1240"/>
      <c r="Z455" s="1240"/>
      <c r="AA455" s="1240"/>
      <c r="AB455" s="1240"/>
      <c r="AC455" s="1254" t="e">
        <f t="shared" si="53"/>
        <v>#NUM!</v>
      </c>
      <c r="AD455" s="1240"/>
      <c r="AE455" s="1240"/>
      <c r="AF455" s="1240"/>
      <c r="AG455" s="1240"/>
      <c r="AH455" s="1240"/>
      <c r="AI455" s="1240"/>
      <c r="AJ455" s="1240"/>
      <c r="AK455" s="1240"/>
      <c r="AL455" s="1240"/>
      <c r="AM455" s="1240"/>
      <c r="AN455" s="1240"/>
      <c r="AO455" s="1240"/>
      <c r="AP455" s="1240"/>
    </row>
    <row r="456" spans="1:42" ht="18.75" customHeight="1" x14ac:dyDescent="0.35">
      <c r="A456" s="1240"/>
      <c r="B456" s="1240"/>
      <c r="C456" s="1240"/>
      <c r="D456" s="1240"/>
      <c r="E456" s="1240"/>
      <c r="F456" s="1240"/>
      <c r="G456" s="1240"/>
      <c r="H456" s="1240"/>
      <c r="I456" s="1240"/>
      <c r="J456" s="1240"/>
      <c r="K456" s="1240"/>
      <c r="L456" s="1240"/>
      <c r="M456" s="1240"/>
      <c r="N456" s="1240"/>
      <c r="O456" s="1240"/>
      <c r="P456" s="1247">
        <f t="shared" si="52"/>
        <v>430</v>
      </c>
      <c r="Q456" s="1253" t="e">
        <f t="shared" ca="1" si="50"/>
        <v>#N/A</v>
      </c>
      <c r="R456" s="1247" t="str">
        <f>IFERROR(VLOOKUP(P456,RPCRepaymentDates[],1,FALSE),"")</f>
        <v/>
      </c>
      <c r="S456" s="1259">
        <f t="shared" si="46"/>
        <v>0</v>
      </c>
      <c r="T456" s="1247" t="str">
        <f>IFERROR(VLOOKUP(P456,RPCChargeCycleDates[],1,FALSE),"")</f>
        <v/>
      </c>
      <c r="U456" s="1248" t="str">
        <f>IFERROR(_xlfn.DAYS(T456,$Q$16)-SUM(U$26:U455),"")</f>
        <v/>
      </c>
      <c r="V456" s="1258">
        <f t="shared" ca="1" si="47"/>
        <v>0</v>
      </c>
      <c r="W456" s="1258">
        <f t="shared" ca="1" si="48"/>
        <v>0</v>
      </c>
      <c r="X456" s="1258" t="e">
        <f t="shared" ca="1" si="49"/>
        <v>#N/A</v>
      </c>
      <c r="Y456" s="1240"/>
      <c r="Z456" s="1240"/>
      <c r="AA456" s="1240"/>
      <c r="AB456" s="1240"/>
      <c r="AC456" s="1254" t="e">
        <f t="shared" si="53"/>
        <v>#NUM!</v>
      </c>
      <c r="AD456" s="1240"/>
      <c r="AE456" s="1240"/>
      <c r="AF456" s="1240"/>
      <c r="AG456" s="1240"/>
      <c r="AH456" s="1240"/>
      <c r="AI456" s="1240"/>
      <c r="AJ456" s="1240"/>
      <c r="AK456" s="1240"/>
      <c r="AL456" s="1240"/>
      <c r="AM456" s="1240"/>
      <c r="AN456" s="1240"/>
      <c r="AO456" s="1240"/>
      <c r="AP456" s="1240"/>
    </row>
    <row r="457" spans="1:42" ht="18.75" customHeight="1" x14ac:dyDescent="0.35">
      <c r="A457" s="1240"/>
      <c r="B457" s="1240"/>
      <c r="C457" s="1240"/>
      <c r="D457" s="1240"/>
      <c r="E457" s="1240"/>
      <c r="F457" s="1240"/>
      <c r="G457" s="1240"/>
      <c r="H457" s="1240"/>
      <c r="I457" s="1240"/>
      <c r="J457" s="1240"/>
      <c r="K457" s="1240"/>
      <c r="L457" s="1240"/>
      <c r="M457" s="1240"/>
      <c r="N457" s="1240"/>
      <c r="O457" s="1240"/>
      <c r="P457" s="1247">
        <f t="shared" si="52"/>
        <v>431</v>
      </c>
      <c r="Q457" s="1253" t="e">
        <f t="shared" ca="1" si="50"/>
        <v>#N/A</v>
      </c>
      <c r="R457" s="1247" t="str">
        <f>IFERROR(VLOOKUP(P457,RPCRepaymentDates[],1,FALSE),"")</f>
        <v/>
      </c>
      <c r="S457" s="1259">
        <f t="shared" si="46"/>
        <v>0</v>
      </c>
      <c r="T457" s="1247" t="str">
        <f>IFERROR(VLOOKUP(P457,RPCChargeCycleDates[],1,FALSE),"")</f>
        <v/>
      </c>
      <c r="U457" s="1248" t="str">
        <f>IFERROR(_xlfn.DAYS(T457,$Q$16)-SUM(U$26:U456),"")</f>
        <v/>
      </c>
      <c r="V457" s="1258">
        <f t="shared" ca="1" si="47"/>
        <v>0</v>
      </c>
      <c r="W457" s="1258">
        <f t="shared" ca="1" si="48"/>
        <v>0</v>
      </c>
      <c r="X457" s="1258" t="e">
        <f t="shared" ca="1" si="49"/>
        <v>#N/A</v>
      </c>
      <c r="Y457" s="1240"/>
      <c r="Z457" s="1240"/>
      <c r="AA457" s="1240"/>
      <c r="AB457" s="1240"/>
      <c r="AC457" s="1254" t="e">
        <f t="shared" si="53"/>
        <v>#NUM!</v>
      </c>
      <c r="AD457" s="1240"/>
      <c r="AE457" s="1240"/>
      <c r="AF457" s="1240"/>
      <c r="AG457" s="1240"/>
      <c r="AH457" s="1240"/>
      <c r="AI457" s="1240"/>
      <c r="AJ457" s="1240"/>
      <c r="AK457" s="1240"/>
      <c r="AL457" s="1240"/>
      <c r="AM457" s="1240"/>
      <c r="AN457" s="1240"/>
      <c r="AO457" s="1240"/>
      <c r="AP457" s="1240"/>
    </row>
    <row r="458" spans="1:42" ht="18.75" customHeight="1" x14ac:dyDescent="0.35">
      <c r="A458" s="1240"/>
      <c r="B458" s="1240"/>
      <c r="C458" s="1240"/>
      <c r="D458" s="1240"/>
      <c r="E458" s="1240"/>
      <c r="F458" s="1240"/>
      <c r="G458" s="1240"/>
      <c r="H458" s="1240"/>
      <c r="I458" s="1240"/>
      <c r="J458" s="1240"/>
      <c r="K458" s="1240"/>
      <c r="L458" s="1240"/>
      <c r="M458" s="1240"/>
      <c r="N458" s="1240"/>
      <c r="O458" s="1240"/>
      <c r="P458" s="1247">
        <f t="shared" si="52"/>
        <v>432</v>
      </c>
      <c r="Q458" s="1253" t="e">
        <f t="shared" ca="1" si="50"/>
        <v>#N/A</v>
      </c>
      <c r="R458" s="1247" t="str">
        <f>IFERROR(VLOOKUP(P458,RPCRepaymentDates[],1,FALSE),"")</f>
        <v/>
      </c>
      <c r="S458" s="1259">
        <f t="shared" si="46"/>
        <v>0</v>
      </c>
      <c r="T458" s="1247" t="str">
        <f>IFERROR(VLOOKUP(P458,RPCChargeCycleDates[],1,FALSE),"")</f>
        <v/>
      </c>
      <c r="U458" s="1248" t="str">
        <f>IFERROR(_xlfn.DAYS(T458,$Q$16)-SUM(U$26:U457),"")</f>
        <v/>
      </c>
      <c r="V458" s="1258">
        <f t="shared" ca="1" si="47"/>
        <v>0</v>
      </c>
      <c r="W458" s="1258">
        <f t="shared" ca="1" si="48"/>
        <v>0</v>
      </c>
      <c r="X458" s="1258" t="e">
        <f t="shared" ca="1" si="49"/>
        <v>#N/A</v>
      </c>
      <c r="Y458" s="1240"/>
      <c r="Z458" s="1240"/>
      <c r="AA458" s="1240"/>
      <c r="AB458" s="1240"/>
      <c r="AC458" s="1254" t="e">
        <f t="shared" si="53"/>
        <v>#NUM!</v>
      </c>
      <c r="AD458" s="1240"/>
      <c r="AE458" s="1240"/>
      <c r="AF458" s="1240"/>
      <c r="AG458" s="1240"/>
      <c r="AH458" s="1240"/>
      <c r="AI458" s="1240"/>
      <c r="AJ458" s="1240"/>
      <c r="AK458" s="1240"/>
      <c r="AL458" s="1240"/>
      <c r="AM458" s="1240"/>
      <c r="AN458" s="1240"/>
      <c r="AO458" s="1240"/>
      <c r="AP458" s="1240"/>
    </row>
    <row r="459" spans="1:42" ht="18.75" customHeight="1" x14ac:dyDescent="0.35">
      <c r="A459" s="1240"/>
      <c r="B459" s="1240"/>
      <c r="C459" s="1240"/>
      <c r="D459" s="1240"/>
      <c r="E459" s="1240"/>
      <c r="F459" s="1240"/>
      <c r="G459" s="1240"/>
      <c r="H459" s="1240"/>
      <c r="I459" s="1240"/>
      <c r="J459" s="1240"/>
      <c r="K459" s="1240"/>
      <c r="L459" s="1240"/>
      <c r="M459" s="1240"/>
      <c r="N459" s="1240"/>
      <c r="O459" s="1240"/>
      <c r="P459" s="1247">
        <f t="shared" si="52"/>
        <v>433</v>
      </c>
      <c r="Q459" s="1253" t="e">
        <f t="shared" ca="1" si="50"/>
        <v>#N/A</v>
      </c>
      <c r="R459" s="1247" t="str">
        <f>IFERROR(VLOOKUP(P459,RPCRepaymentDates[],1,FALSE),"")</f>
        <v/>
      </c>
      <c r="S459" s="1259">
        <f t="shared" si="46"/>
        <v>0</v>
      </c>
      <c r="T459" s="1247" t="str">
        <f>IFERROR(VLOOKUP(P459,RPCChargeCycleDates[],1,FALSE),"")</f>
        <v/>
      </c>
      <c r="U459" s="1248" t="str">
        <f>IFERROR(_xlfn.DAYS(T459,$Q$16)-SUM(U$26:U458),"")</f>
        <v/>
      </c>
      <c r="V459" s="1258">
        <f t="shared" ca="1" si="47"/>
        <v>0</v>
      </c>
      <c r="W459" s="1258">
        <f t="shared" ca="1" si="48"/>
        <v>0</v>
      </c>
      <c r="X459" s="1258" t="e">
        <f t="shared" ca="1" si="49"/>
        <v>#N/A</v>
      </c>
      <c r="Y459" s="1240"/>
      <c r="Z459" s="1240"/>
      <c r="AA459" s="1240"/>
      <c r="AB459" s="1240"/>
      <c r="AC459" s="1254" t="e">
        <f t="shared" si="53"/>
        <v>#NUM!</v>
      </c>
      <c r="AD459" s="1240"/>
      <c r="AE459" s="1240"/>
      <c r="AF459" s="1240"/>
      <c r="AG459" s="1240"/>
      <c r="AH459" s="1240"/>
      <c r="AI459" s="1240"/>
      <c r="AJ459" s="1240"/>
      <c r="AK459" s="1240"/>
      <c r="AL459" s="1240"/>
      <c r="AM459" s="1240"/>
      <c r="AN459" s="1240"/>
      <c r="AO459" s="1240"/>
      <c r="AP459" s="1240"/>
    </row>
    <row r="460" spans="1:42" ht="18.75" customHeight="1" x14ac:dyDescent="0.35">
      <c r="A460" s="1240"/>
      <c r="B460" s="1240"/>
      <c r="C460" s="1240"/>
      <c r="D460" s="1240"/>
      <c r="E460" s="1240"/>
      <c r="F460" s="1240"/>
      <c r="G460" s="1240"/>
      <c r="H460" s="1240"/>
      <c r="I460" s="1240"/>
      <c r="J460" s="1240"/>
      <c r="K460" s="1240"/>
      <c r="L460" s="1240"/>
      <c r="M460" s="1240"/>
      <c r="N460" s="1240"/>
      <c r="O460" s="1240"/>
      <c r="P460" s="1247">
        <f t="shared" si="52"/>
        <v>434</v>
      </c>
      <c r="Q460" s="1253" t="e">
        <f t="shared" ca="1" si="50"/>
        <v>#N/A</v>
      </c>
      <c r="R460" s="1247" t="str">
        <f>IFERROR(VLOOKUP(P460,RPCRepaymentDates[],1,FALSE),"")</f>
        <v/>
      </c>
      <c r="S460" s="1259">
        <f t="shared" si="46"/>
        <v>0</v>
      </c>
      <c r="T460" s="1247" t="str">
        <f>IFERROR(VLOOKUP(P460,RPCChargeCycleDates[],1,FALSE),"")</f>
        <v/>
      </c>
      <c r="U460" s="1248" t="str">
        <f>IFERROR(_xlfn.DAYS(T460,$Q$16)-SUM(U$26:U459),"")</f>
        <v/>
      </c>
      <c r="V460" s="1258">
        <f t="shared" ca="1" si="47"/>
        <v>0</v>
      </c>
      <c r="W460" s="1258">
        <f t="shared" ca="1" si="48"/>
        <v>0</v>
      </c>
      <c r="X460" s="1258" t="e">
        <f t="shared" ca="1" si="49"/>
        <v>#N/A</v>
      </c>
      <c r="Y460" s="1240"/>
      <c r="Z460" s="1240"/>
      <c r="AA460" s="1240"/>
      <c r="AB460" s="1240"/>
      <c r="AC460" s="1254" t="e">
        <f t="shared" si="53"/>
        <v>#NUM!</v>
      </c>
      <c r="AD460" s="1240"/>
      <c r="AE460" s="1240"/>
      <c r="AF460" s="1240"/>
      <c r="AG460" s="1240"/>
      <c r="AH460" s="1240"/>
      <c r="AI460" s="1240"/>
      <c r="AJ460" s="1240"/>
      <c r="AK460" s="1240"/>
      <c r="AL460" s="1240"/>
      <c r="AM460" s="1240"/>
      <c r="AN460" s="1240"/>
      <c r="AO460" s="1240"/>
      <c r="AP460" s="1240"/>
    </row>
    <row r="461" spans="1:42" ht="18.75" customHeight="1" x14ac:dyDescent="0.35">
      <c r="A461" s="1240"/>
      <c r="B461" s="1240"/>
      <c r="C461" s="1240"/>
      <c r="D461" s="1240"/>
      <c r="E461" s="1240"/>
      <c r="F461" s="1240"/>
      <c r="G461" s="1240"/>
      <c r="H461" s="1240"/>
      <c r="I461" s="1240"/>
      <c r="J461" s="1240"/>
      <c r="K461" s="1240"/>
      <c r="L461" s="1240"/>
      <c r="M461" s="1240"/>
      <c r="N461" s="1240"/>
      <c r="O461" s="1240"/>
      <c r="P461" s="1247">
        <f t="shared" si="52"/>
        <v>435</v>
      </c>
      <c r="Q461" s="1253" t="e">
        <f t="shared" ca="1" si="50"/>
        <v>#N/A</v>
      </c>
      <c r="R461" s="1247" t="str">
        <f>IFERROR(VLOOKUP(P461,RPCRepaymentDates[],1,FALSE),"")</f>
        <v/>
      </c>
      <c r="S461" s="1259">
        <f t="shared" si="46"/>
        <v>0</v>
      </c>
      <c r="T461" s="1247" t="str">
        <f>IFERROR(VLOOKUP(P461,RPCChargeCycleDates[],1,FALSE),"")</f>
        <v/>
      </c>
      <c r="U461" s="1248" t="str">
        <f>IFERROR(_xlfn.DAYS(T461,$Q$16)-SUM(U$26:U460),"")</f>
        <v/>
      </c>
      <c r="V461" s="1258">
        <f t="shared" ca="1" si="47"/>
        <v>0</v>
      </c>
      <c r="W461" s="1258">
        <f t="shared" ca="1" si="48"/>
        <v>0</v>
      </c>
      <c r="X461" s="1258" t="e">
        <f t="shared" ca="1" si="49"/>
        <v>#N/A</v>
      </c>
      <c r="Y461" s="1240"/>
      <c r="Z461" s="1240"/>
      <c r="AA461" s="1240"/>
      <c r="AB461" s="1240"/>
      <c r="AC461" s="1254" t="e">
        <f t="shared" si="53"/>
        <v>#NUM!</v>
      </c>
      <c r="AD461" s="1240"/>
      <c r="AE461" s="1240"/>
      <c r="AF461" s="1240"/>
      <c r="AG461" s="1240"/>
      <c r="AH461" s="1240"/>
      <c r="AI461" s="1240"/>
      <c r="AJ461" s="1240"/>
      <c r="AK461" s="1240"/>
      <c r="AL461" s="1240"/>
      <c r="AM461" s="1240"/>
      <c r="AN461" s="1240"/>
      <c r="AO461" s="1240"/>
      <c r="AP461" s="1240"/>
    </row>
    <row r="462" spans="1:42" ht="18.75" customHeight="1" x14ac:dyDescent="0.35">
      <c r="A462" s="1240"/>
      <c r="B462" s="1240"/>
      <c r="C462" s="1240"/>
      <c r="D462" s="1240"/>
      <c r="E462" s="1240"/>
      <c r="F462" s="1240"/>
      <c r="G462" s="1240"/>
      <c r="H462" s="1240"/>
      <c r="I462" s="1240"/>
      <c r="J462" s="1240"/>
      <c r="K462" s="1240"/>
      <c r="L462" s="1240"/>
      <c r="M462" s="1240"/>
      <c r="N462" s="1240"/>
      <c r="O462" s="1240"/>
      <c r="P462" s="1247">
        <f t="shared" si="52"/>
        <v>436</v>
      </c>
      <c r="Q462" s="1253" t="e">
        <f t="shared" ca="1" si="50"/>
        <v>#N/A</v>
      </c>
      <c r="R462" s="1247" t="str">
        <f>IFERROR(VLOOKUP(P462,RPCRepaymentDates[],1,FALSE),"")</f>
        <v/>
      </c>
      <c r="S462" s="1259">
        <f t="shared" si="46"/>
        <v>0</v>
      </c>
      <c r="T462" s="1247" t="str">
        <f>IFERROR(VLOOKUP(P462,RPCChargeCycleDates[],1,FALSE),"")</f>
        <v/>
      </c>
      <c r="U462" s="1248" t="str">
        <f>IFERROR(_xlfn.DAYS(T462,$Q$16)-SUM(U$26:U461),"")</f>
        <v/>
      </c>
      <c r="V462" s="1258">
        <f t="shared" ca="1" si="47"/>
        <v>0</v>
      </c>
      <c r="W462" s="1258">
        <f t="shared" ca="1" si="48"/>
        <v>0</v>
      </c>
      <c r="X462" s="1258" t="e">
        <f t="shared" ca="1" si="49"/>
        <v>#N/A</v>
      </c>
      <c r="Y462" s="1240"/>
      <c r="Z462" s="1240"/>
      <c r="AA462" s="1240"/>
      <c r="AB462" s="1240"/>
      <c r="AC462" s="1254" t="e">
        <f t="shared" si="53"/>
        <v>#NUM!</v>
      </c>
      <c r="AD462" s="1240"/>
      <c r="AE462" s="1240"/>
      <c r="AF462" s="1240"/>
      <c r="AG462" s="1240"/>
      <c r="AH462" s="1240"/>
      <c r="AI462" s="1240"/>
      <c r="AJ462" s="1240"/>
      <c r="AK462" s="1240"/>
      <c r="AL462" s="1240"/>
      <c r="AM462" s="1240"/>
      <c r="AN462" s="1240"/>
      <c r="AO462" s="1240"/>
      <c r="AP462" s="1240"/>
    </row>
    <row r="463" spans="1:42" ht="18.75" customHeight="1" x14ac:dyDescent="0.35">
      <c r="A463" s="1240"/>
      <c r="B463" s="1240"/>
      <c r="C463" s="1240"/>
      <c r="D463" s="1240"/>
      <c r="E463" s="1240"/>
      <c r="F463" s="1240"/>
      <c r="G463" s="1240"/>
      <c r="H463" s="1240"/>
      <c r="I463" s="1240"/>
      <c r="J463" s="1240"/>
      <c r="K463" s="1240"/>
      <c r="L463" s="1240"/>
      <c r="M463" s="1240"/>
      <c r="N463" s="1240"/>
      <c r="O463" s="1240"/>
      <c r="P463" s="1247">
        <f t="shared" si="52"/>
        <v>437</v>
      </c>
      <c r="Q463" s="1253" t="e">
        <f t="shared" ca="1" si="50"/>
        <v>#N/A</v>
      </c>
      <c r="R463" s="1247" t="str">
        <f>IFERROR(VLOOKUP(P463,RPCRepaymentDates[],1,FALSE),"")</f>
        <v/>
      </c>
      <c r="S463" s="1259">
        <f t="shared" si="46"/>
        <v>0</v>
      </c>
      <c r="T463" s="1247" t="str">
        <f>IFERROR(VLOOKUP(P463,RPCChargeCycleDates[],1,FALSE),"")</f>
        <v/>
      </c>
      <c r="U463" s="1248" t="str">
        <f>IFERROR(_xlfn.DAYS(T463,$Q$16)-SUM(U$26:U462),"")</f>
        <v/>
      </c>
      <c r="V463" s="1258">
        <f t="shared" ca="1" si="47"/>
        <v>0</v>
      </c>
      <c r="W463" s="1258">
        <f t="shared" ca="1" si="48"/>
        <v>0</v>
      </c>
      <c r="X463" s="1258" t="e">
        <f t="shared" ca="1" si="49"/>
        <v>#N/A</v>
      </c>
      <c r="Y463" s="1240"/>
      <c r="Z463" s="1240"/>
      <c r="AA463" s="1240"/>
      <c r="AB463" s="1240"/>
      <c r="AC463" s="1254" t="e">
        <f t="shared" si="53"/>
        <v>#NUM!</v>
      </c>
      <c r="AD463" s="1240"/>
      <c r="AE463" s="1240"/>
      <c r="AF463" s="1240"/>
      <c r="AG463" s="1240"/>
      <c r="AH463" s="1240"/>
      <c r="AI463" s="1240"/>
      <c r="AJ463" s="1240"/>
      <c r="AK463" s="1240"/>
      <c r="AL463" s="1240"/>
      <c r="AM463" s="1240"/>
      <c r="AN463" s="1240"/>
      <c r="AO463" s="1240"/>
      <c r="AP463" s="1240"/>
    </row>
    <row r="464" spans="1:42" ht="18.75" customHeight="1" x14ac:dyDescent="0.35">
      <c r="A464" s="1240"/>
      <c r="B464" s="1240"/>
      <c r="C464" s="1240"/>
      <c r="D464" s="1240"/>
      <c r="E464" s="1240"/>
      <c r="F464" s="1240"/>
      <c r="G464" s="1240"/>
      <c r="H464" s="1240"/>
      <c r="I464" s="1240"/>
      <c r="J464" s="1240"/>
      <c r="K464" s="1240"/>
      <c r="L464" s="1240"/>
      <c r="M464" s="1240"/>
      <c r="N464" s="1240"/>
      <c r="O464" s="1240"/>
      <c r="P464" s="1247">
        <f t="shared" si="52"/>
        <v>438</v>
      </c>
      <c r="Q464" s="1253" t="e">
        <f t="shared" ca="1" si="50"/>
        <v>#N/A</v>
      </c>
      <c r="R464" s="1247" t="str">
        <f>IFERROR(VLOOKUP(P464,RPCRepaymentDates[],1,FALSE),"")</f>
        <v/>
      </c>
      <c r="S464" s="1259">
        <f t="shared" si="46"/>
        <v>0</v>
      </c>
      <c r="T464" s="1247" t="str">
        <f>IFERROR(VLOOKUP(P464,RPCChargeCycleDates[],1,FALSE),"")</f>
        <v/>
      </c>
      <c r="U464" s="1248" t="str">
        <f>IFERROR(_xlfn.DAYS(T464,$Q$16)-SUM(U$26:U463),"")</f>
        <v/>
      </c>
      <c r="V464" s="1258">
        <f t="shared" ca="1" si="47"/>
        <v>0</v>
      </c>
      <c r="W464" s="1258">
        <f t="shared" ca="1" si="48"/>
        <v>0</v>
      </c>
      <c r="X464" s="1258" t="e">
        <f t="shared" ca="1" si="49"/>
        <v>#N/A</v>
      </c>
      <c r="Y464" s="1240"/>
      <c r="Z464" s="1240"/>
      <c r="AA464" s="1240"/>
      <c r="AB464" s="1240"/>
      <c r="AC464" s="1254" t="e">
        <f t="shared" si="53"/>
        <v>#NUM!</v>
      </c>
      <c r="AD464" s="1240"/>
      <c r="AE464" s="1240"/>
      <c r="AF464" s="1240"/>
      <c r="AG464" s="1240"/>
      <c r="AH464" s="1240"/>
      <c r="AI464" s="1240"/>
      <c r="AJ464" s="1240"/>
      <c r="AK464" s="1240"/>
      <c r="AL464" s="1240"/>
      <c r="AM464" s="1240"/>
      <c r="AN464" s="1240"/>
      <c r="AO464" s="1240"/>
      <c r="AP464" s="1240"/>
    </row>
    <row r="465" spans="1:42" ht="18.75" customHeight="1" x14ac:dyDescent="0.35">
      <c r="A465" s="1240"/>
      <c r="B465" s="1240"/>
      <c r="C465" s="1240"/>
      <c r="D465" s="1240"/>
      <c r="E465" s="1240"/>
      <c r="F465" s="1240"/>
      <c r="G465" s="1240"/>
      <c r="H465" s="1240"/>
      <c r="I465" s="1240"/>
      <c r="J465" s="1240"/>
      <c r="K465" s="1240"/>
      <c r="L465" s="1240"/>
      <c r="M465" s="1240"/>
      <c r="N465" s="1240"/>
      <c r="O465" s="1240"/>
      <c r="P465" s="1247">
        <f t="shared" si="52"/>
        <v>439</v>
      </c>
      <c r="Q465" s="1253" t="e">
        <f t="shared" ca="1" si="50"/>
        <v>#N/A</v>
      </c>
      <c r="R465" s="1247" t="str">
        <f>IFERROR(VLOOKUP(P465,RPCRepaymentDates[],1,FALSE),"")</f>
        <v/>
      </c>
      <c r="S465" s="1259">
        <f t="shared" si="46"/>
        <v>0</v>
      </c>
      <c r="T465" s="1247" t="str">
        <f>IFERROR(VLOOKUP(P465,RPCChargeCycleDates[],1,FALSE),"")</f>
        <v/>
      </c>
      <c r="U465" s="1248" t="str">
        <f>IFERROR(_xlfn.DAYS(T465,$Q$16)-SUM(U$26:U464),"")</f>
        <v/>
      </c>
      <c r="V465" s="1258">
        <f t="shared" ca="1" si="47"/>
        <v>0</v>
      </c>
      <c r="W465" s="1258">
        <f t="shared" ca="1" si="48"/>
        <v>0</v>
      </c>
      <c r="X465" s="1258" t="e">
        <f t="shared" ca="1" si="49"/>
        <v>#N/A</v>
      </c>
      <c r="Y465" s="1240"/>
      <c r="Z465" s="1240"/>
      <c r="AA465" s="1240"/>
      <c r="AB465" s="1240"/>
      <c r="AC465" s="1254" t="e">
        <f t="shared" si="53"/>
        <v>#NUM!</v>
      </c>
      <c r="AD465" s="1240"/>
      <c r="AE465" s="1240"/>
      <c r="AF465" s="1240"/>
      <c r="AG465" s="1240"/>
      <c r="AH465" s="1240"/>
      <c r="AI465" s="1240"/>
      <c r="AJ465" s="1240"/>
      <c r="AK465" s="1240"/>
      <c r="AL465" s="1240"/>
      <c r="AM465" s="1240"/>
      <c r="AN465" s="1240"/>
      <c r="AO465" s="1240"/>
      <c r="AP465" s="1240"/>
    </row>
    <row r="466" spans="1:42" ht="18.75" customHeight="1" x14ac:dyDescent="0.35">
      <c r="A466" s="1240"/>
      <c r="B466" s="1240"/>
      <c r="C466" s="1240"/>
      <c r="D466" s="1240"/>
      <c r="E466" s="1240"/>
      <c r="F466" s="1240"/>
      <c r="G466" s="1240"/>
      <c r="H466" s="1240"/>
      <c r="I466" s="1240"/>
      <c r="J466" s="1240"/>
      <c r="K466" s="1240"/>
      <c r="L466" s="1240"/>
      <c r="M466" s="1240"/>
      <c r="N466" s="1240"/>
      <c r="O466" s="1240"/>
      <c r="P466" s="1247">
        <f t="shared" si="52"/>
        <v>440</v>
      </c>
      <c r="Q466" s="1253" t="e">
        <f t="shared" ca="1" si="50"/>
        <v>#N/A</v>
      </c>
      <c r="R466" s="1247" t="str">
        <f>IFERROR(VLOOKUP(P466,RPCRepaymentDates[],1,FALSE),"")</f>
        <v/>
      </c>
      <c r="S466" s="1259">
        <f t="shared" si="46"/>
        <v>0</v>
      </c>
      <c r="T466" s="1247" t="str">
        <f>IFERROR(VLOOKUP(P466,RPCChargeCycleDates[],1,FALSE),"")</f>
        <v/>
      </c>
      <c r="U466" s="1248" t="str">
        <f>IFERROR(_xlfn.DAYS(T466,$Q$16)-SUM(U$26:U465),"")</f>
        <v/>
      </c>
      <c r="V466" s="1258">
        <f t="shared" ca="1" si="47"/>
        <v>0</v>
      </c>
      <c r="W466" s="1258">
        <f t="shared" ca="1" si="48"/>
        <v>0</v>
      </c>
      <c r="X466" s="1258" t="e">
        <f t="shared" ca="1" si="49"/>
        <v>#N/A</v>
      </c>
      <c r="Y466" s="1240"/>
      <c r="Z466" s="1240"/>
      <c r="AA466" s="1240"/>
      <c r="AB466" s="1240"/>
      <c r="AC466" s="1254" t="e">
        <f t="shared" si="53"/>
        <v>#NUM!</v>
      </c>
      <c r="AD466" s="1240"/>
      <c r="AE466" s="1240"/>
      <c r="AF466" s="1240"/>
      <c r="AG466" s="1240"/>
      <c r="AH466" s="1240"/>
      <c r="AI466" s="1240"/>
      <c r="AJ466" s="1240"/>
      <c r="AK466" s="1240"/>
      <c r="AL466" s="1240"/>
      <c r="AM466" s="1240"/>
      <c r="AN466" s="1240"/>
      <c r="AO466" s="1240"/>
      <c r="AP466" s="1240"/>
    </row>
    <row r="467" spans="1:42" ht="18.75" customHeight="1" x14ac:dyDescent="0.35">
      <c r="A467" s="1240"/>
      <c r="B467" s="1240"/>
      <c r="C467" s="1240"/>
      <c r="D467" s="1240"/>
      <c r="E467" s="1240"/>
      <c r="F467" s="1240"/>
      <c r="G467" s="1240"/>
      <c r="H467" s="1240"/>
      <c r="I467" s="1240"/>
      <c r="J467" s="1240"/>
      <c r="K467" s="1240"/>
      <c r="L467" s="1240"/>
      <c r="M467" s="1240"/>
      <c r="N467" s="1240"/>
      <c r="O467" s="1240"/>
      <c r="P467" s="1247">
        <f t="shared" si="52"/>
        <v>441</v>
      </c>
      <c r="Q467" s="1253" t="e">
        <f t="shared" ca="1" si="50"/>
        <v>#N/A</v>
      </c>
      <c r="R467" s="1247" t="str">
        <f>IFERROR(VLOOKUP(P467,RPCRepaymentDates[],1,FALSE),"")</f>
        <v/>
      </c>
      <c r="S467" s="1259">
        <f t="shared" si="46"/>
        <v>0</v>
      </c>
      <c r="T467" s="1247" t="str">
        <f>IFERROR(VLOOKUP(P467,RPCChargeCycleDates[],1,FALSE),"")</f>
        <v/>
      </c>
      <c r="U467" s="1248" t="str">
        <f>IFERROR(_xlfn.DAYS(T467,$Q$16)-SUM(U$26:U466),"")</f>
        <v/>
      </c>
      <c r="V467" s="1258">
        <f t="shared" ca="1" si="47"/>
        <v>0</v>
      </c>
      <c r="W467" s="1258">
        <f t="shared" ca="1" si="48"/>
        <v>0</v>
      </c>
      <c r="X467" s="1258" t="e">
        <f t="shared" ca="1" si="49"/>
        <v>#N/A</v>
      </c>
      <c r="Y467" s="1240"/>
      <c r="Z467" s="1240"/>
      <c r="AA467" s="1240"/>
      <c r="AB467" s="1240"/>
      <c r="AC467" s="1254" t="e">
        <f t="shared" si="53"/>
        <v>#NUM!</v>
      </c>
      <c r="AD467" s="1240"/>
      <c r="AE467" s="1240"/>
      <c r="AF467" s="1240"/>
      <c r="AG467" s="1240"/>
      <c r="AH467" s="1240"/>
      <c r="AI467" s="1240"/>
      <c r="AJ467" s="1240"/>
      <c r="AK467" s="1240"/>
      <c r="AL467" s="1240"/>
      <c r="AM467" s="1240"/>
      <c r="AN467" s="1240"/>
      <c r="AO467" s="1240"/>
      <c r="AP467" s="1240"/>
    </row>
    <row r="468" spans="1:42" ht="18.75" customHeight="1" x14ac:dyDescent="0.35">
      <c r="A468" s="1240"/>
      <c r="B468" s="1240"/>
      <c r="C468" s="1240"/>
      <c r="D468" s="1240"/>
      <c r="E468" s="1240"/>
      <c r="F468" s="1240"/>
      <c r="G468" s="1240"/>
      <c r="H468" s="1240"/>
      <c r="I468" s="1240"/>
      <c r="J468" s="1240"/>
      <c r="K468" s="1240"/>
      <c r="L468" s="1240"/>
      <c r="M468" s="1240"/>
      <c r="N468" s="1240"/>
      <c r="O468" s="1240"/>
      <c r="P468" s="1247">
        <f t="shared" si="52"/>
        <v>442</v>
      </c>
      <c r="Q468" s="1253" t="e">
        <f t="shared" ca="1" si="50"/>
        <v>#N/A</v>
      </c>
      <c r="R468" s="1247" t="str">
        <f>IFERROR(VLOOKUP(P468,RPCRepaymentDates[],1,FALSE),"")</f>
        <v/>
      </c>
      <c r="S468" s="1259">
        <f t="shared" si="46"/>
        <v>0</v>
      </c>
      <c r="T468" s="1247" t="str">
        <f>IFERROR(VLOOKUP(P468,RPCChargeCycleDates[],1,FALSE),"")</f>
        <v/>
      </c>
      <c r="U468" s="1248" t="str">
        <f>IFERROR(_xlfn.DAYS(T468,$Q$16)-SUM(U$26:U467),"")</f>
        <v/>
      </c>
      <c r="V468" s="1258">
        <f t="shared" ca="1" si="47"/>
        <v>0</v>
      </c>
      <c r="W468" s="1258">
        <f t="shared" ca="1" si="48"/>
        <v>0</v>
      </c>
      <c r="X468" s="1258" t="e">
        <f t="shared" ca="1" si="49"/>
        <v>#N/A</v>
      </c>
      <c r="Y468" s="1240"/>
      <c r="Z468" s="1240"/>
      <c r="AA468" s="1240"/>
      <c r="AB468" s="1240"/>
      <c r="AC468" s="1254" t="e">
        <f t="shared" si="53"/>
        <v>#NUM!</v>
      </c>
      <c r="AD468" s="1240"/>
      <c r="AE468" s="1240"/>
      <c r="AF468" s="1240"/>
      <c r="AG468" s="1240"/>
      <c r="AH468" s="1240"/>
      <c r="AI468" s="1240"/>
      <c r="AJ468" s="1240"/>
      <c r="AK468" s="1240"/>
      <c r="AL468" s="1240"/>
      <c r="AM468" s="1240"/>
      <c r="AN468" s="1240"/>
      <c r="AO468" s="1240"/>
      <c r="AP468" s="1240"/>
    </row>
    <row r="469" spans="1:42" ht="18.75" customHeight="1" x14ac:dyDescent="0.35">
      <c r="A469" s="1240"/>
      <c r="B469" s="1240"/>
      <c r="C469" s="1240"/>
      <c r="D469" s="1240"/>
      <c r="E469" s="1240"/>
      <c r="F469" s="1240"/>
      <c r="G469" s="1240"/>
      <c r="H469" s="1240"/>
      <c r="I469" s="1240"/>
      <c r="J469" s="1240"/>
      <c r="K469" s="1240"/>
      <c r="L469" s="1240"/>
      <c r="M469" s="1240"/>
      <c r="N469" s="1240"/>
      <c r="O469" s="1240"/>
      <c r="P469" s="1247">
        <f t="shared" si="52"/>
        <v>443</v>
      </c>
      <c r="Q469" s="1253" t="e">
        <f t="shared" ca="1" si="50"/>
        <v>#N/A</v>
      </c>
      <c r="R469" s="1247" t="str">
        <f>IFERROR(VLOOKUP(P469,RPCRepaymentDates[],1,FALSE),"")</f>
        <v/>
      </c>
      <c r="S469" s="1259">
        <f t="shared" si="46"/>
        <v>0</v>
      </c>
      <c r="T469" s="1247" t="str">
        <f>IFERROR(VLOOKUP(P469,RPCChargeCycleDates[],1,FALSE),"")</f>
        <v/>
      </c>
      <c r="U469" s="1248" t="str">
        <f>IFERROR(_xlfn.DAYS(T469,$Q$16)-SUM(U$26:U468),"")</f>
        <v/>
      </c>
      <c r="V469" s="1258">
        <f t="shared" ca="1" si="47"/>
        <v>0</v>
      </c>
      <c r="W469" s="1258">
        <f t="shared" ca="1" si="48"/>
        <v>0</v>
      </c>
      <c r="X469" s="1258" t="e">
        <f t="shared" ca="1" si="49"/>
        <v>#N/A</v>
      </c>
      <c r="Y469" s="1240"/>
      <c r="Z469" s="1240"/>
      <c r="AA469" s="1240"/>
      <c r="AB469" s="1240"/>
      <c r="AC469" s="1254" t="e">
        <f t="shared" si="53"/>
        <v>#NUM!</v>
      </c>
      <c r="AD469" s="1240"/>
      <c r="AE469" s="1240"/>
      <c r="AF469" s="1240"/>
      <c r="AG469" s="1240"/>
      <c r="AH469" s="1240"/>
      <c r="AI469" s="1240"/>
      <c r="AJ469" s="1240"/>
      <c r="AK469" s="1240"/>
      <c r="AL469" s="1240"/>
      <c r="AM469" s="1240"/>
      <c r="AN469" s="1240"/>
      <c r="AO469" s="1240"/>
      <c r="AP469" s="1240"/>
    </row>
    <row r="470" spans="1:42" ht="18.75" customHeight="1" x14ac:dyDescent="0.35">
      <c r="A470" s="1240"/>
      <c r="B470" s="1240"/>
      <c r="C470" s="1240"/>
      <c r="D470" s="1240"/>
      <c r="E470" s="1240"/>
      <c r="F470" s="1240"/>
      <c r="G470" s="1240"/>
      <c r="H470" s="1240"/>
      <c r="I470" s="1240"/>
      <c r="J470" s="1240"/>
      <c r="K470" s="1240"/>
      <c r="L470" s="1240"/>
      <c r="M470" s="1240"/>
      <c r="N470" s="1240"/>
      <c r="O470" s="1240"/>
      <c r="P470" s="1247">
        <f t="shared" si="52"/>
        <v>444</v>
      </c>
      <c r="Q470" s="1253" t="e">
        <f t="shared" ca="1" si="50"/>
        <v>#N/A</v>
      </c>
      <c r="R470" s="1247" t="str">
        <f>IFERROR(VLOOKUP(P470,RPCRepaymentDates[],1,FALSE),"")</f>
        <v/>
      </c>
      <c r="S470" s="1259">
        <f t="shared" si="46"/>
        <v>0</v>
      </c>
      <c r="T470" s="1247" t="str">
        <f>IFERROR(VLOOKUP(P470,RPCChargeCycleDates[],1,FALSE),"")</f>
        <v/>
      </c>
      <c r="U470" s="1248" t="str">
        <f>IFERROR(_xlfn.DAYS(T470,$Q$16)-SUM(U$26:U469),"")</f>
        <v/>
      </c>
      <c r="V470" s="1258">
        <f t="shared" ca="1" si="47"/>
        <v>0</v>
      </c>
      <c r="W470" s="1258">
        <f t="shared" ca="1" si="48"/>
        <v>0</v>
      </c>
      <c r="X470" s="1258" t="e">
        <f t="shared" ca="1" si="49"/>
        <v>#N/A</v>
      </c>
      <c r="Y470" s="1240"/>
      <c r="Z470" s="1240"/>
      <c r="AA470" s="1240"/>
      <c r="AB470" s="1240"/>
      <c r="AC470" s="1254" t="e">
        <f t="shared" si="53"/>
        <v>#NUM!</v>
      </c>
      <c r="AD470" s="1240"/>
      <c r="AE470" s="1240"/>
      <c r="AF470" s="1240"/>
      <c r="AG470" s="1240"/>
      <c r="AH470" s="1240"/>
      <c r="AI470" s="1240"/>
      <c r="AJ470" s="1240"/>
      <c r="AK470" s="1240"/>
      <c r="AL470" s="1240"/>
      <c r="AM470" s="1240"/>
      <c r="AN470" s="1240"/>
      <c r="AO470" s="1240"/>
      <c r="AP470" s="1240"/>
    </row>
    <row r="471" spans="1:42" ht="18.75" customHeight="1" x14ac:dyDescent="0.35">
      <c r="A471" s="1240"/>
      <c r="B471" s="1240"/>
      <c r="C471" s="1240"/>
      <c r="D471" s="1240"/>
      <c r="E471" s="1240"/>
      <c r="F471" s="1240"/>
      <c r="G471" s="1240"/>
      <c r="H471" s="1240"/>
      <c r="I471" s="1240"/>
      <c r="J471" s="1240"/>
      <c r="K471" s="1240"/>
      <c r="L471" s="1240"/>
      <c r="M471" s="1240"/>
      <c r="N471" s="1240"/>
      <c r="O471" s="1240"/>
      <c r="P471" s="1247">
        <f t="shared" si="52"/>
        <v>445</v>
      </c>
      <c r="Q471" s="1253" t="e">
        <f t="shared" ca="1" si="50"/>
        <v>#N/A</v>
      </c>
      <c r="R471" s="1247" t="str">
        <f>IFERROR(VLOOKUP(P471,RPCRepaymentDates[],1,FALSE),"")</f>
        <v/>
      </c>
      <c r="S471" s="1259">
        <f t="shared" si="46"/>
        <v>0</v>
      </c>
      <c r="T471" s="1247" t="str">
        <f>IFERROR(VLOOKUP(P471,RPCChargeCycleDates[],1,FALSE),"")</f>
        <v/>
      </c>
      <c r="U471" s="1248" t="str">
        <f>IFERROR(_xlfn.DAYS(T471,$Q$16)-SUM(U$26:U470),"")</f>
        <v/>
      </c>
      <c r="V471" s="1258">
        <f t="shared" ca="1" si="47"/>
        <v>0</v>
      </c>
      <c r="W471" s="1258">
        <f t="shared" ca="1" si="48"/>
        <v>0</v>
      </c>
      <c r="X471" s="1258" t="e">
        <f t="shared" ca="1" si="49"/>
        <v>#N/A</v>
      </c>
      <c r="Y471" s="1240"/>
      <c r="Z471" s="1240"/>
      <c r="AA471" s="1240"/>
      <c r="AB471" s="1240"/>
      <c r="AC471" s="1254" t="e">
        <f t="shared" si="53"/>
        <v>#NUM!</v>
      </c>
      <c r="AD471" s="1240"/>
      <c r="AE471" s="1240"/>
      <c r="AF471" s="1240"/>
      <c r="AG471" s="1240"/>
      <c r="AH471" s="1240"/>
      <c r="AI471" s="1240"/>
      <c r="AJ471" s="1240"/>
      <c r="AK471" s="1240"/>
      <c r="AL471" s="1240"/>
      <c r="AM471" s="1240"/>
      <c r="AN471" s="1240"/>
      <c r="AO471" s="1240"/>
      <c r="AP471" s="1240"/>
    </row>
    <row r="472" spans="1:42" ht="18.75" customHeight="1" x14ac:dyDescent="0.35">
      <c r="A472" s="1240"/>
      <c r="B472" s="1240"/>
      <c r="C472" s="1240"/>
      <c r="D472" s="1240"/>
      <c r="E472" s="1240"/>
      <c r="F472" s="1240"/>
      <c r="G472" s="1240"/>
      <c r="H472" s="1240"/>
      <c r="I472" s="1240"/>
      <c r="J472" s="1240"/>
      <c r="K472" s="1240"/>
      <c r="L472" s="1240"/>
      <c r="M472" s="1240"/>
      <c r="N472" s="1240"/>
      <c r="O472" s="1240"/>
      <c r="P472" s="1247">
        <f t="shared" si="52"/>
        <v>446</v>
      </c>
      <c r="Q472" s="1253" t="e">
        <f t="shared" ca="1" si="50"/>
        <v>#N/A</v>
      </c>
      <c r="R472" s="1247" t="str">
        <f>IFERROR(VLOOKUP(P472,RPCRepaymentDates[],1,FALSE),"")</f>
        <v/>
      </c>
      <c r="S472" s="1259">
        <f t="shared" si="46"/>
        <v>0</v>
      </c>
      <c r="T472" s="1247" t="str">
        <f>IFERROR(VLOOKUP(P472,RPCChargeCycleDates[],1,FALSE),"")</f>
        <v/>
      </c>
      <c r="U472" s="1248" t="str">
        <f>IFERROR(_xlfn.DAYS(T472,$Q$16)-SUM(U$26:U471),"")</f>
        <v/>
      </c>
      <c r="V472" s="1258">
        <f t="shared" ca="1" si="47"/>
        <v>0</v>
      </c>
      <c r="W472" s="1258">
        <f t="shared" ca="1" si="48"/>
        <v>0</v>
      </c>
      <c r="X472" s="1258" t="e">
        <f t="shared" ca="1" si="49"/>
        <v>#N/A</v>
      </c>
      <c r="Y472" s="1240"/>
      <c r="Z472" s="1240"/>
      <c r="AA472" s="1240"/>
      <c r="AB472" s="1240"/>
      <c r="AC472" s="1254" t="e">
        <f t="shared" si="53"/>
        <v>#NUM!</v>
      </c>
      <c r="AD472" s="1240"/>
      <c r="AE472" s="1240"/>
      <c r="AF472" s="1240"/>
      <c r="AG472" s="1240"/>
      <c r="AH472" s="1240"/>
      <c r="AI472" s="1240"/>
      <c r="AJ472" s="1240"/>
      <c r="AK472" s="1240"/>
      <c r="AL472" s="1240"/>
      <c r="AM472" s="1240"/>
      <c r="AN472" s="1240"/>
      <c r="AO472" s="1240"/>
      <c r="AP472" s="1240"/>
    </row>
    <row r="473" spans="1:42" ht="18.75" customHeight="1" x14ac:dyDescent="0.35">
      <c r="A473" s="1240"/>
      <c r="B473" s="1240"/>
      <c r="C473" s="1240"/>
      <c r="D473" s="1240"/>
      <c r="E473" s="1240"/>
      <c r="F473" s="1240"/>
      <c r="G473" s="1240"/>
      <c r="H473" s="1240"/>
      <c r="I473" s="1240"/>
      <c r="J473" s="1240"/>
      <c r="K473" s="1240"/>
      <c r="L473" s="1240"/>
      <c r="M473" s="1240"/>
      <c r="N473" s="1240"/>
      <c r="O473" s="1240"/>
      <c r="P473" s="1247">
        <f t="shared" si="52"/>
        <v>447</v>
      </c>
      <c r="Q473" s="1253" t="e">
        <f t="shared" ca="1" si="50"/>
        <v>#N/A</v>
      </c>
      <c r="R473" s="1247" t="str">
        <f>IFERROR(VLOOKUP(P473,RPCRepaymentDates[],1,FALSE),"")</f>
        <v/>
      </c>
      <c r="S473" s="1259">
        <f t="shared" si="46"/>
        <v>0</v>
      </c>
      <c r="T473" s="1247" t="str">
        <f>IFERROR(VLOOKUP(P473,RPCChargeCycleDates[],1,FALSE),"")</f>
        <v/>
      </c>
      <c r="U473" s="1248" t="str">
        <f>IFERROR(_xlfn.DAYS(T473,$Q$16)-SUM(U$26:U472),"")</f>
        <v/>
      </c>
      <c r="V473" s="1258">
        <f t="shared" ca="1" si="47"/>
        <v>0</v>
      </c>
      <c r="W473" s="1258">
        <f t="shared" ca="1" si="48"/>
        <v>0</v>
      </c>
      <c r="X473" s="1258" t="e">
        <f t="shared" ca="1" si="49"/>
        <v>#N/A</v>
      </c>
      <c r="Y473" s="1240"/>
      <c r="Z473" s="1240"/>
      <c r="AA473" s="1240"/>
      <c r="AB473" s="1240"/>
      <c r="AC473" s="1254" t="e">
        <f t="shared" si="53"/>
        <v>#NUM!</v>
      </c>
      <c r="AD473" s="1240"/>
      <c r="AE473" s="1240"/>
      <c r="AF473" s="1240"/>
      <c r="AG473" s="1240"/>
      <c r="AH473" s="1240"/>
      <c r="AI473" s="1240"/>
      <c r="AJ473" s="1240"/>
      <c r="AK473" s="1240"/>
      <c r="AL473" s="1240"/>
      <c r="AM473" s="1240"/>
      <c r="AN473" s="1240"/>
      <c r="AO473" s="1240"/>
      <c r="AP473" s="1240"/>
    </row>
    <row r="474" spans="1:42" ht="18.75" customHeight="1" x14ac:dyDescent="0.35">
      <c r="A474" s="1240"/>
      <c r="B474" s="1240"/>
      <c r="C474" s="1240"/>
      <c r="D474" s="1240"/>
      <c r="E474" s="1240"/>
      <c r="F474" s="1240"/>
      <c r="G474" s="1240"/>
      <c r="H474" s="1240"/>
      <c r="I474" s="1240"/>
      <c r="J474" s="1240"/>
      <c r="K474" s="1240"/>
      <c r="L474" s="1240"/>
      <c r="M474" s="1240"/>
      <c r="N474" s="1240"/>
      <c r="O474" s="1240"/>
      <c r="P474" s="1247">
        <f t="shared" si="52"/>
        <v>448</v>
      </c>
      <c r="Q474" s="1253" t="e">
        <f t="shared" ca="1" si="50"/>
        <v>#N/A</v>
      </c>
      <c r="R474" s="1247" t="str">
        <f>IFERROR(VLOOKUP(P474,RPCRepaymentDates[],1,FALSE),"")</f>
        <v/>
      </c>
      <c r="S474" s="1259">
        <f t="shared" ref="S474:S537" si="54">IF(P474=R474,IF(R474&lt;RPCNextPaymentTransferDate,0,IF(OR(R474&lt;RPCPauseStartDate,R474&gt;RPCPauseEndDate),RPCCurrentRepayment,RPCPauseRepayment)),0)</f>
        <v>0</v>
      </c>
      <c r="T474" s="1247" t="str">
        <f>IFERROR(VLOOKUP(P474,RPCChargeCycleDates[],1,FALSE),"")</f>
        <v/>
      </c>
      <c r="U474" s="1248" t="str">
        <f>IFERROR(_xlfn.DAYS(T474,$Q$16)-SUM(U$26:U473),"")</f>
        <v/>
      </c>
      <c r="V474" s="1258">
        <f t="shared" ref="V474:V537" ca="1" si="55">IFERROR((Q474-S474)*(1/RPCDaysInYear)*RPCInterestRate,0)</f>
        <v>0</v>
      </c>
      <c r="W474" s="1258">
        <f t="shared" ref="W474:W537" ca="1" si="56">IFERROR(IF(T474=P474,SUM(OFFSET(V474,-U474+1,0,U474,1)),0),0)</f>
        <v>0</v>
      </c>
      <c r="X474" s="1258" t="e">
        <f t="shared" ref="X474:X537" ca="1" si="57">Q474-S474+W474</f>
        <v>#N/A</v>
      </c>
      <c r="Y474" s="1240"/>
      <c r="Z474" s="1240"/>
      <c r="AA474" s="1240"/>
      <c r="AB474" s="1240"/>
      <c r="AC474" s="1254" t="e">
        <f t="shared" si="53"/>
        <v>#NUM!</v>
      </c>
      <c r="AD474" s="1240"/>
      <c r="AE474" s="1240"/>
      <c r="AF474" s="1240"/>
      <c r="AG474" s="1240"/>
      <c r="AH474" s="1240"/>
      <c r="AI474" s="1240"/>
      <c r="AJ474" s="1240"/>
      <c r="AK474" s="1240"/>
      <c r="AL474" s="1240"/>
      <c r="AM474" s="1240"/>
      <c r="AN474" s="1240"/>
      <c r="AO474" s="1240"/>
      <c r="AP474" s="1240"/>
    </row>
    <row r="475" spans="1:42" ht="18.75" customHeight="1" x14ac:dyDescent="0.35">
      <c r="A475" s="1240"/>
      <c r="B475" s="1240"/>
      <c r="C475" s="1240"/>
      <c r="D475" s="1240"/>
      <c r="E475" s="1240"/>
      <c r="F475" s="1240"/>
      <c r="G475" s="1240"/>
      <c r="H475" s="1240"/>
      <c r="I475" s="1240"/>
      <c r="J475" s="1240"/>
      <c r="K475" s="1240"/>
      <c r="L475" s="1240"/>
      <c r="M475" s="1240"/>
      <c r="N475" s="1240"/>
      <c r="O475" s="1240"/>
      <c r="P475" s="1247">
        <f t="shared" si="52"/>
        <v>449</v>
      </c>
      <c r="Q475" s="1253" t="e">
        <f t="shared" ref="Q475:Q538" ca="1" si="58">X474</f>
        <v>#N/A</v>
      </c>
      <c r="R475" s="1247" t="str">
        <f>IFERROR(VLOOKUP(P475,RPCRepaymentDates[],1,FALSE),"")</f>
        <v/>
      </c>
      <c r="S475" s="1259">
        <f t="shared" si="54"/>
        <v>0</v>
      </c>
      <c r="T475" s="1247" t="str">
        <f>IFERROR(VLOOKUP(P475,RPCChargeCycleDates[],1,FALSE),"")</f>
        <v/>
      </c>
      <c r="U475" s="1248" t="str">
        <f>IFERROR(_xlfn.DAYS(T475,$Q$16)-SUM(U$26:U474),"")</f>
        <v/>
      </c>
      <c r="V475" s="1258">
        <f t="shared" ca="1" si="55"/>
        <v>0</v>
      </c>
      <c r="W475" s="1258">
        <f t="shared" ca="1" si="56"/>
        <v>0</v>
      </c>
      <c r="X475" s="1258" t="e">
        <f t="shared" ca="1" si="57"/>
        <v>#N/A</v>
      </c>
      <c r="Y475" s="1240"/>
      <c r="Z475" s="1240"/>
      <c r="AA475" s="1240"/>
      <c r="AB475" s="1240"/>
      <c r="AC475" s="1254" t="e">
        <f t="shared" si="53"/>
        <v>#NUM!</v>
      </c>
      <c r="AD475" s="1240"/>
      <c r="AE475" s="1240"/>
      <c r="AF475" s="1240"/>
      <c r="AG475" s="1240"/>
      <c r="AH475" s="1240"/>
      <c r="AI475" s="1240"/>
      <c r="AJ475" s="1240"/>
      <c r="AK475" s="1240"/>
      <c r="AL475" s="1240"/>
      <c r="AM475" s="1240"/>
      <c r="AN475" s="1240"/>
      <c r="AO475" s="1240"/>
      <c r="AP475" s="1240"/>
    </row>
    <row r="476" spans="1:42" ht="18.75" customHeight="1" x14ac:dyDescent="0.35">
      <c r="A476" s="1240"/>
      <c r="B476" s="1240"/>
      <c r="C476" s="1240"/>
      <c r="D476" s="1240"/>
      <c r="E476" s="1240"/>
      <c r="F476" s="1240"/>
      <c r="G476" s="1240"/>
      <c r="H476" s="1240"/>
      <c r="I476" s="1240"/>
      <c r="J476" s="1240"/>
      <c r="K476" s="1240"/>
      <c r="L476" s="1240"/>
      <c r="M476" s="1240"/>
      <c r="N476" s="1240"/>
      <c r="O476" s="1240"/>
      <c r="P476" s="1247">
        <f t="shared" si="52"/>
        <v>450</v>
      </c>
      <c r="Q476" s="1253" t="e">
        <f t="shared" ca="1" si="58"/>
        <v>#N/A</v>
      </c>
      <c r="R476" s="1247" t="str">
        <f>IFERROR(VLOOKUP(P476,RPCRepaymentDates[],1,FALSE),"")</f>
        <v/>
      </c>
      <c r="S476" s="1259">
        <f t="shared" si="54"/>
        <v>0</v>
      </c>
      <c r="T476" s="1247" t="str">
        <f>IFERROR(VLOOKUP(P476,RPCChargeCycleDates[],1,FALSE),"")</f>
        <v/>
      </c>
      <c r="U476" s="1248" t="str">
        <f>IFERROR(_xlfn.DAYS(T476,$Q$16)-SUM(U$26:U475),"")</f>
        <v/>
      </c>
      <c r="V476" s="1258">
        <f t="shared" ca="1" si="55"/>
        <v>0</v>
      </c>
      <c r="W476" s="1258">
        <f t="shared" ca="1" si="56"/>
        <v>0</v>
      </c>
      <c r="X476" s="1258" t="e">
        <f t="shared" ca="1" si="57"/>
        <v>#N/A</v>
      </c>
      <c r="Y476" s="1240"/>
      <c r="Z476" s="1240"/>
      <c r="AA476" s="1240"/>
      <c r="AB476" s="1240"/>
      <c r="AC476" s="1254" t="e">
        <f t="shared" si="53"/>
        <v>#NUM!</v>
      </c>
      <c r="AD476" s="1240"/>
      <c r="AE476" s="1240"/>
      <c r="AF476" s="1240"/>
      <c r="AG476" s="1240"/>
      <c r="AH476" s="1240"/>
      <c r="AI476" s="1240"/>
      <c r="AJ476" s="1240"/>
      <c r="AK476" s="1240"/>
      <c r="AL476" s="1240"/>
      <c r="AM476" s="1240"/>
      <c r="AN476" s="1240"/>
      <c r="AO476" s="1240"/>
      <c r="AP476" s="1240"/>
    </row>
    <row r="477" spans="1:42" ht="18.75" customHeight="1" x14ac:dyDescent="0.35">
      <c r="A477" s="1240"/>
      <c r="B477" s="1240"/>
      <c r="C477" s="1240"/>
      <c r="D477" s="1240"/>
      <c r="E477" s="1240"/>
      <c r="F477" s="1240"/>
      <c r="G477" s="1240"/>
      <c r="H477" s="1240"/>
      <c r="I477" s="1240"/>
      <c r="J477" s="1240"/>
      <c r="K477" s="1240"/>
      <c r="L477" s="1240"/>
      <c r="M477" s="1240"/>
      <c r="N477" s="1240"/>
      <c r="O477" s="1240"/>
      <c r="P477" s="1247">
        <f t="shared" si="52"/>
        <v>451</v>
      </c>
      <c r="Q477" s="1253" t="e">
        <f t="shared" ca="1" si="58"/>
        <v>#N/A</v>
      </c>
      <c r="R477" s="1247" t="str">
        <f>IFERROR(VLOOKUP(P477,RPCRepaymentDates[],1,FALSE),"")</f>
        <v/>
      </c>
      <c r="S477" s="1259">
        <f t="shared" si="54"/>
        <v>0</v>
      </c>
      <c r="T477" s="1247" t="str">
        <f>IFERROR(VLOOKUP(P477,RPCChargeCycleDates[],1,FALSE),"")</f>
        <v/>
      </c>
      <c r="U477" s="1248" t="str">
        <f>IFERROR(_xlfn.DAYS(T477,$Q$16)-SUM(U$26:U476),"")</f>
        <v/>
      </c>
      <c r="V477" s="1258">
        <f t="shared" ca="1" si="55"/>
        <v>0</v>
      </c>
      <c r="W477" s="1258">
        <f t="shared" ca="1" si="56"/>
        <v>0</v>
      </c>
      <c r="X477" s="1258" t="e">
        <f t="shared" ca="1" si="57"/>
        <v>#N/A</v>
      </c>
      <c r="Y477" s="1240"/>
      <c r="Z477" s="1240"/>
      <c r="AA477" s="1240"/>
      <c r="AB477" s="1240"/>
      <c r="AC477" s="1254" t="e">
        <f t="shared" si="53"/>
        <v>#NUM!</v>
      </c>
      <c r="AD477" s="1240"/>
      <c r="AE477" s="1240"/>
      <c r="AF477" s="1240"/>
      <c r="AG477" s="1240"/>
      <c r="AH477" s="1240"/>
      <c r="AI477" s="1240"/>
      <c r="AJ477" s="1240"/>
      <c r="AK477" s="1240"/>
      <c r="AL477" s="1240"/>
      <c r="AM477" s="1240"/>
      <c r="AN477" s="1240"/>
      <c r="AO477" s="1240"/>
      <c r="AP477" s="1240"/>
    </row>
    <row r="478" spans="1:42" ht="18.75" customHeight="1" x14ac:dyDescent="0.35">
      <c r="A478" s="1240"/>
      <c r="B478" s="1240"/>
      <c r="C478" s="1240"/>
      <c r="D478" s="1240"/>
      <c r="E478" s="1240"/>
      <c r="F478" s="1240"/>
      <c r="G478" s="1240"/>
      <c r="H478" s="1240"/>
      <c r="I478" s="1240"/>
      <c r="J478" s="1240"/>
      <c r="K478" s="1240"/>
      <c r="L478" s="1240"/>
      <c r="M478" s="1240"/>
      <c r="N478" s="1240"/>
      <c r="O478" s="1240"/>
      <c r="P478" s="1247">
        <f t="shared" si="52"/>
        <v>452</v>
      </c>
      <c r="Q478" s="1253" t="e">
        <f t="shared" ca="1" si="58"/>
        <v>#N/A</v>
      </c>
      <c r="R478" s="1247" t="str">
        <f>IFERROR(VLOOKUP(P478,RPCRepaymentDates[],1,FALSE),"")</f>
        <v/>
      </c>
      <c r="S478" s="1259">
        <f t="shared" si="54"/>
        <v>0</v>
      </c>
      <c r="T478" s="1247" t="str">
        <f>IFERROR(VLOOKUP(P478,RPCChargeCycleDates[],1,FALSE),"")</f>
        <v/>
      </c>
      <c r="U478" s="1248" t="str">
        <f>IFERROR(_xlfn.DAYS(T478,$Q$16)-SUM(U$26:U477),"")</f>
        <v/>
      </c>
      <c r="V478" s="1258">
        <f t="shared" ca="1" si="55"/>
        <v>0</v>
      </c>
      <c r="W478" s="1258">
        <f t="shared" ca="1" si="56"/>
        <v>0</v>
      </c>
      <c r="X478" s="1258" t="e">
        <f t="shared" ca="1" si="57"/>
        <v>#N/A</v>
      </c>
      <c r="Y478" s="1240"/>
      <c r="Z478" s="1240"/>
      <c r="AA478" s="1240"/>
      <c r="AB478" s="1240"/>
      <c r="AC478" s="1254" t="e">
        <f t="shared" si="53"/>
        <v>#NUM!</v>
      </c>
      <c r="AD478" s="1240"/>
      <c r="AE478" s="1240"/>
      <c r="AF478" s="1240"/>
      <c r="AG478" s="1240"/>
      <c r="AH478" s="1240"/>
      <c r="AI478" s="1240"/>
      <c r="AJ478" s="1240"/>
      <c r="AK478" s="1240"/>
      <c r="AL478" s="1240"/>
      <c r="AM478" s="1240"/>
      <c r="AN478" s="1240"/>
      <c r="AO478" s="1240"/>
      <c r="AP478" s="1240"/>
    </row>
    <row r="479" spans="1:42" ht="18.75" customHeight="1" x14ac:dyDescent="0.35">
      <c r="A479" s="1240"/>
      <c r="B479" s="1240"/>
      <c r="C479" s="1240"/>
      <c r="D479" s="1240"/>
      <c r="E479" s="1240"/>
      <c r="F479" s="1240"/>
      <c r="G479" s="1240"/>
      <c r="H479" s="1240"/>
      <c r="I479" s="1240"/>
      <c r="J479" s="1240"/>
      <c r="K479" s="1240"/>
      <c r="L479" s="1240"/>
      <c r="M479" s="1240"/>
      <c r="N479" s="1240"/>
      <c r="O479" s="1240"/>
      <c r="P479" s="1247">
        <f t="shared" si="52"/>
        <v>453</v>
      </c>
      <c r="Q479" s="1253" t="e">
        <f t="shared" ca="1" si="58"/>
        <v>#N/A</v>
      </c>
      <c r="R479" s="1247" t="str">
        <f>IFERROR(VLOOKUP(P479,RPCRepaymentDates[],1,FALSE),"")</f>
        <v/>
      </c>
      <c r="S479" s="1259">
        <f t="shared" si="54"/>
        <v>0</v>
      </c>
      <c r="T479" s="1247">
        <f>IFERROR(VLOOKUP(P479,RPCChargeCycleDates[],1,FALSE),"")</f>
        <v>453</v>
      </c>
      <c r="U479" s="1248">
        <f>IFERROR(_xlfn.DAYS(T479,$Q$16)-SUM(U$26:U478),"")</f>
        <v>28</v>
      </c>
      <c r="V479" s="1258">
        <f t="shared" ca="1" si="55"/>
        <v>0</v>
      </c>
      <c r="W479" s="1258">
        <f t="shared" ca="1" si="56"/>
        <v>0</v>
      </c>
      <c r="X479" s="1258" t="e">
        <f t="shared" ca="1" si="57"/>
        <v>#N/A</v>
      </c>
      <c r="Y479" s="1240"/>
      <c r="Z479" s="1240"/>
      <c r="AA479" s="1240"/>
      <c r="AB479" s="1240"/>
      <c r="AC479" s="1254" t="e">
        <f t="shared" si="53"/>
        <v>#NUM!</v>
      </c>
      <c r="AD479" s="1240"/>
      <c r="AE479" s="1240"/>
      <c r="AF479" s="1240"/>
      <c r="AG479" s="1240"/>
      <c r="AH479" s="1240"/>
      <c r="AI479" s="1240"/>
      <c r="AJ479" s="1240"/>
      <c r="AK479" s="1240"/>
      <c r="AL479" s="1240"/>
      <c r="AM479" s="1240"/>
      <c r="AN479" s="1240"/>
      <c r="AO479" s="1240"/>
      <c r="AP479" s="1240"/>
    </row>
    <row r="480" spans="1:42" ht="18.75" customHeight="1" x14ac:dyDescent="0.35">
      <c r="A480" s="1240"/>
      <c r="B480" s="1240"/>
      <c r="C480" s="1240"/>
      <c r="D480" s="1240"/>
      <c r="E480" s="1240"/>
      <c r="F480" s="1240"/>
      <c r="G480" s="1240"/>
      <c r="H480" s="1240"/>
      <c r="I480" s="1240"/>
      <c r="J480" s="1240"/>
      <c r="K480" s="1240"/>
      <c r="L480" s="1240"/>
      <c r="M480" s="1240"/>
      <c r="N480" s="1240"/>
      <c r="O480" s="1240"/>
      <c r="P480" s="1247">
        <f t="shared" si="52"/>
        <v>454</v>
      </c>
      <c r="Q480" s="1253" t="e">
        <f t="shared" ca="1" si="58"/>
        <v>#N/A</v>
      </c>
      <c r="R480" s="1247" t="str">
        <f>IFERROR(VLOOKUP(P480,RPCRepaymentDates[],1,FALSE),"")</f>
        <v/>
      </c>
      <c r="S480" s="1259">
        <f t="shared" si="54"/>
        <v>0</v>
      </c>
      <c r="T480" s="1247" t="str">
        <f>IFERROR(VLOOKUP(P480,RPCChargeCycleDates[],1,FALSE),"")</f>
        <v/>
      </c>
      <c r="U480" s="1248" t="str">
        <f>IFERROR(_xlfn.DAYS(T480,$Q$16)-SUM(U$26:U479),"")</f>
        <v/>
      </c>
      <c r="V480" s="1258">
        <f t="shared" ca="1" si="55"/>
        <v>0</v>
      </c>
      <c r="W480" s="1258">
        <f t="shared" ca="1" si="56"/>
        <v>0</v>
      </c>
      <c r="X480" s="1258" t="e">
        <f t="shared" ca="1" si="57"/>
        <v>#N/A</v>
      </c>
      <c r="Y480" s="1240"/>
      <c r="Z480" s="1240"/>
      <c r="AA480" s="1240"/>
      <c r="AB480" s="1240"/>
      <c r="AC480" s="1254" t="e">
        <f t="shared" si="53"/>
        <v>#NUM!</v>
      </c>
      <c r="AD480" s="1240"/>
      <c r="AE480" s="1240"/>
      <c r="AF480" s="1240"/>
      <c r="AG480" s="1240"/>
      <c r="AH480" s="1240"/>
      <c r="AI480" s="1240"/>
      <c r="AJ480" s="1240"/>
      <c r="AK480" s="1240"/>
      <c r="AL480" s="1240"/>
      <c r="AM480" s="1240"/>
      <c r="AN480" s="1240"/>
      <c r="AO480" s="1240"/>
      <c r="AP480" s="1240"/>
    </row>
    <row r="481" spans="1:42" ht="18.75" customHeight="1" x14ac:dyDescent="0.35">
      <c r="A481" s="1240"/>
      <c r="B481" s="1240"/>
      <c r="C481" s="1240"/>
      <c r="D481" s="1240"/>
      <c r="E481" s="1240"/>
      <c r="F481" s="1240"/>
      <c r="G481" s="1240"/>
      <c r="H481" s="1240"/>
      <c r="I481" s="1240"/>
      <c r="J481" s="1240"/>
      <c r="K481" s="1240"/>
      <c r="L481" s="1240"/>
      <c r="M481" s="1240"/>
      <c r="N481" s="1240"/>
      <c r="O481" s="1240"/>
      <c r="P481" s="1247">
        <f t="shared" si="52"/>
        <v>455</v>
      </c>
      <c r="Q481" s="1253" t="e">
        <f t="shared" ca="1" si="58"/>
        <v>#N/A</v>
      </c>
      <c r="R481" s="1247" t="str">
        <f>IFERROR(VLOOKUP(P481,RPCRepaymentDates[],1,FALSE),"")</f>
        <v/>
      </c>
      <c r="S481" s="1259">
        <f t="shared" si="54"/>
        <v>0</v>
      </c>
      <c r="T481" s="1247" t="str">
        <f>IFERROR(VLOOKUP(P481,RPCChargeCycleDates[],1,FALSE),"")</f>
        <v/>
      </c>
      <c r="U481" s="1248" t="str">
        <f>IFERROR(_xlfn.DAYS(T481,$Q$16)-SUM(U$26:U480),"")</f>
        <v/>
      </c>
      <c r="V481" s="1258">
        <f t="shared" ca="1" si="55"/>
        <v>0</v>
      </c>
      <c r="W481" s="1258">
        <f t="shared" ca="1" si="56"/>
        <v>0</v>
      </c>
      <c r="X481" s="1258" t="e">
        <f t="shared" ca="1" si="57"/>
        <v>#N/A</v>
      </c>
      <c r="Y481" s="1240"/>
      <c r="Z481" s="1240"/>
      <c r="AA481" s="1240"/>
      <c r="AB481" s="1240"/>
      <c r="AC481" s="1254" t="e">
        <f t="shared" si="53"/>
        <v>#NUM!</v>
      </c>
      <c r="AD481" s="1240"/>
      <c r="AE481" s="1240"/>
      <c r="AF481" s="1240"/>
      <c r="AG481" s="1240"/>
      <c r="AH481" s="1240"/>
      <c r="AI481" s="1240"/>
      <c r="AJ481" s="1240"/>
      <c r="AK481" s="1240"/>
      <c r="AL481" s="1240"/>
      <c r="AM481" s="1240"/>
      <c r="AN481" s="1240"/>
      <c r="AO481" s="1240"/>
      <c r="AP481" s="1240"/>
    </row>
    <row r="482" spans="1:42" ht="18.75" customHeight="1" x14ac:dyDescent="0.35">
      <c r="A482" s="1240"/>
      <c r="B482" s="1240"/>
      <c r="C482" s="1240"/>
      <c r="D482" s="1240"/>
      <c r="E482" s="1240"/>
      <c r="F482" s="1240"/>
      <c r="G482" s="1240"/>
      <c r="H482" s="1240"/>
      <c r="I482" s="1240"/>
      <c r="J482" s="1240"/>
      <c r="K482" s="1240"/>
      <c r="L482" s="1240"/>
      <c r="M482" s="1240"/>
      <c r="N482" s="1240"/>
      <c r="O482" s="1240"/>
      <c r="P482" s="1247">
        <f t="shared" si="52"/>
        <v>456</v>
      </c>
      <c r="Q482" s="1253" t="e">
        <f t="shared" ca="1" si="58"/>
        <v>#N/A</v>
      </c>
      <c r="R482" s="1247" t="str">
        <f>IFERROR(VLOOKUP(P482,RPCRepaymentDates[],1,FALSE),"")</f>
        <v/>
      </c>
      <c r="S482" s="1259">
        <f t="shared" si="54"/>
        <v>0</v>
      </c>
      <c r="T482" s="1247" t="str">
        <f>IFERROR(VLOOKUP(P482,RPCChargeCycleDates[],1,FALSE),"")</f>
        <v/>
      </c>
      <c r="U482" s="1248" t="str">
        <f>IFERROR(_xlfn.DAYS(T482,$Q$16)-SUM(U$26:U481),"")</f>
        <v/>
      </c>
      <c r="V482" s="1258">
        <f t="shared" ca="1" si="55"/>
        <v>0</v>
      </c>
      <c r="W482" s="1258">
        <f t="shared" ca="1" si="56"/>
        <v>0</v>
      </c>
      <c r="X482" s="1258" t="e">
        <f t="shared" ca="1" si="57"/>
        <v>#N/A</v>
      </c>
      <c r="Y482" s="1240"/>
      <c r="Z482" s="1240"/>
      <c r="AA482" s="1240"/>
      <c r="AB482" s="1240"/>
      <c r="AC482" s="1254" t="e">
        <f t="shared" si="53"/>
        <v>#NUM!</v>
      </c>
      <c r="AD482" s="1240"/>
      <c r="AE482" s="1240"/>
      <c r="AF482" s="1240"/>
      <c r="AG482" s="1240"/>
      <c r="AH482" s="1240"/>
      <c r="AI482" s="1240"/>
      <c r="AJ482" s="1240"/>
      <c r="AK482" s="1240"/>
      <c r="AL482" s="1240"/>
      <c r="AM482" s="1240"/>
      <c r="AN482" s="1240"/>
      <c r="AO482" s="1240"/>
      <c r="AP482" s="1240"/>
    </row>
    <row r="483" spans="1:42" ht="18.75" customHeight="1" x14ac:dyDescent="0.35">
      <c r="A483" s="1240"/>
      <c r="B483" s="1240"/>
      <c r="C483" s="1240"/>
      <c r="D483" s="1240"/>
      <c r="E483" s="1240"/>
      <c r="F483" s="1240"/>
      <c r="G483" s="1240"/>
      <c r="H483" s="1240"/>
      <c r="I483" s="1240"/>
      <c r="J483" s="1240"/>
      <c r="K483" s="1240"/>
      <c r="L483" s="1240"/>
      <c r="M483" s="1240"/>
      <c r="N483" s="1240"/>
      <c r="O483" s="1240"/>
      <c r="P483" s="1247">
        <f t="shared" si="52"/>
        <v>457</v>
      </c>
      <c r="Q483" s="1253" t="e">
        <f t="shared" ca="1" si="58"/>
        <v>#N/A</v>
      </c>
      <c r="R483" s="1247" t="str">
        <f>IFERROR(VLOOKUP(P483,RPCRepaymentDates[],1,FALSE),"")</f>
        <v/>
      </c>
      <c r="S483" s="1259">
        <f t="shared" si="54"/>
        <v>0</v>
      </c>
      <c r="T483" s="1247" t="str">
        <f>IFERROR(VLOOKUP(P483,RPCChargeCycleDates[],1,FALSE),"")</f>
        <v/>
      </c>
      <c r="U483" s="1248" t="str">
        <f>IFERROR(_xlfn.DAYS(T483,$Q$16)-SUM(U$26:U482),"")</f>
        <v/>
      </c>
      <c r="V483" s="1258">
        <f t="shared" ca="1" si="55"/>
        <v>0</v>
      </c>
      <c r="W483" s="1258">
        <f t="shared" ca="1" si="56"/>
        <v>0</v>
      </c>
      <c r="X483" s="1258" t="e">
        <f t="shared" ca="1" si="57"/>
        <v>#N/A</v>
      </c>
      <c r="Y483" s="1240"/>
      <c r="Z483" s="1240"/>
      <c r="AA483" s="1240"/>
      <c r="AB483" s="1240"/>
      <c r="AC483" s="1254" t="e">
        <f t="shared" si="53"/>
        <v>#NUM!</v>
      </c>
      <c r="AD483" s="1240"/>
      <c r="AE483" s="1240"/>
      <c r="AF483" s="1240"/>
      <c r="AG483" s="1240"/>
      <c r="AH483" s="1240"/>
      <c r="AI483" s="1240"/>
      <c r="AJ483" s="1240"/>
      <c r="AK483" s="1240"/>
      <c r="AL483" s="1240"/>
      <c r="AM483" s="1240"/>
      <c r="AN483" s="1240"/>
      <c r="AO483" s="1240"/>
      <c r="AP483" s="1240"/>
    </row>
    <row r="484" spans="1:42" ht="18.75" customHeight="1" x14ac:dyDescent="0.35">
      <c r="A484" s="1240"/>
      <c r="B484" s="1240"/>
      <c r="C484" s="1240"/>
      <c r="D484" s="1240"/>
      <c r="E484" s="1240"/>
      <c r="F484" s="1240"/>
      <c r="G484" s="1240"/>
      <c r="H484" s="1240"/>
      <c r="I484" s="1240"/>
      <c r="J484" s="1240"/>
      <c r="K484" s="1240"/>
      <c r="L484" s="1240"/>
      <c r="M484" s="1240"/>
      <c r="N484" s="1240"/>
      <c r="O484" s="1240"/>
      <c r="P484" s="1247">
        <f t="shared" si="52"/>
        <v>458</v>
      </c>
      <c r="Q484" s="1253" t="e">
        <f t="shared" ca="1" si="58"/>
        <v>#N/A</v>
      </c>
      <c r="R484" s="1247" t="str">
        <f>IFERROR(VLOOKUP(P484,RPCRepaymentDates[],1,FALSE),"")</f>
        <v/>
      </c>
      <c r="S484" s="1259">
        <f t="shared" si="54"/>
        <v>0</v>
      </c>
      <c r="T484" s="1247" t="str">
        <f>IFERROR(VLOOKUP(P484,RPCChargeCycleDates[],1,FALSE),"")</f>
        <v/>
      </c>
      <c r="U484" s="1248" t="str">
        <f>IFERROR(_xlfn.DAYS(T484,$Q$16)-SUM(U$26:U483),"")</f>
        <v/>
      </c>
      <c r="V484" s="1258">
        <f t="shared" ca="1" si="55"/>
        <v>0</v>
      </c>
      <c r="W484" s="1258">
        <f t="shared" ca="1" si="56"/>
        <v>0</v>
      </c>
      <c r="X484" s="1258" t="e">
        <f t="shared" ca="1" si="57"/>
        <v>#N/A</v>
      </c>
      <c r="Y484" s="1240"/>
      <c r="Z484" s="1240"/>
      <c r="AA484" s="1240"/>
      <c r="AB484" s="1240"/>
      <c r="AC484" s="1254" t="e">
        <f t="shared" si="53"/>
        <v>#NUM!</v>
      </c>
      <c r="AD484" s="1240"/>
      <c r="AE484" s="1240"/>
      <c r="AF484" s="1240"/>
      <c r="AG484" s="1240"/>
      <c r="AH484" s="1240"/>
      <c r="AI484" s="1240"/>
      <c r="AJ484" s="1240"/>
      <c r="AK484" s="1240"/>
      <c r="AL484" s="1240"/>
      <c r="AM484" s="1240"/>
      <c r="AN484" s="1240"/>
      <c r="AO484" s="1240"/>
      <c r="AP484" s="1240"/>
    </row>
    <row r="485" spans="1:42" ht="18.75" customHeight="1" x14ac:dyDescent="0.35">
      <c r="A485" s="1240"/>
      <c r="B485" s="1240"/>
      <c r="C485" s="1240"/>
      <c r="D485" s="1240"/>
      <c r="E485" s="1240"/>
      <c r="F485" s="1240"/>
      <c r="G485" s="1240"/>
      <c r="H485" s="1240"/>
      <c r="I485" s="1240"/>
      <c r="J485" s="1240"/>
      <c r="K485" s="1240"/>
      <c r="L485" s="1240"/>
      <c r="M485" s="1240"/>
      <c r="N485" s="1240"/>
      <c r="O485" s="1240"/>
      <c r="P485" s="1247">
        <f t="shared" si="52"/>
        <v>459</v>
      </c>
      <c r="Q485" s="1253" t="e">
        <f t="shared" ca="1" si="58"/>
        <v>#N/A</v>
      </c>
      <c r="R485" s="1247" t="str">
        <f>IFERROR(VLOOKUP(P485,RPCRepaymentDates[],1,FALSE),"")</f>
        <v/>
      </c>
      <c r="S485" s="1259">
        <f t="shared" si="54"/>
        <v>0</v>
      </c>
      <c r="T485" s="1247" t="str">
        <f>IFERROR(VLOOKUP(P485,RPCChargeCycleDates[],1,FALSE),"")</f>
        <v/>
      </c>
      <c r="U485" s="1248" t="str">
        <f>IFERROR(_xlfn.DAYS(T485,$Q$16)-SUM(U$26:U484),"")</f>
        <v/>
      </c>
      <c r="V485" s="1258">
        <f t="shared" ca="1" si="55"/>
        <v>0</v>
      </c>
      <c r="W485" s="1258">
        <f t="shared" ca="1" si="56"/>
        <v>0</v>
      </c>
      <c r="X485" s="1258" t="e">
        <f t="shared" ca="1" si="57"/>
        <v>#N/A</v>
      </c>
      <c r="Y485" s="1240"/>
      <c r="Z485" s="1240"/>
      <c r="AA485" s="1240"/>
      <c r="AB485" s="1240"/>
      <c r="AC485" s="1254" t="e">
        <f t="shared" si="53"/>
        <v>#NUM!</v>
      </c>
      <c r="AD485" s="1240"/>
      <c r="AE485" s="1240"/>
      <c r="AF485" s="1240"/>
      <c r="AG485" s="1240"/>
      <c r="AH485" s="1240"/>
      <c r="AI485" s="1240"/>
      <c r="AJ485" s="1240"/>
      <c r="AK485" s="1240"/>
      <c r="AL485" s="1240"/>
      <c r="AM485" s="1240"/>
      <c r="AN485" s="1240"/>
      <c r="AO485" s="1240"/>
      <c r="AP485" s="1240"/>
    </row>
    <row r="486" spans="1:42" ht="18.75" customHeight="1" x14ac:dyDescent="0.35">
      <c r="A486" s="1240"/>
      <c r="B486" s="1240"/>
      <c r="C486" s="1240"/>
      <c r="D486" s="1240"/>
      <c r="E486" s="1240"/>
      <c r="F486" s="1240"/>
      <c r="G486" s="1240"/>
      <c r="H486" s="1240"/>
      <c r="I486" s="1240"/>
      <c r="J486" s="1240"/>
      <c r="K486" s="1240"/>
      <c r="L486" s="1240"/>
      <c r="M486" s="1240"/>
      <c r="N486" s="1240"/>
      <c r="O486" s="1240"/>
      <c r="P486" s="1247">
        <f t="shared" si="52"/>
        <v>460</v>
      </c>
      <c r="Q486" s="1253" t="e">
        <f t="shared" ca="1" si="58"/>
        <v>#N/A</v>
      </c>
      <c r="R486" s="1247" t="str">
        <f>IFERROR(VLOOKUP(P486,RPCRepaymentDates[],1,FALSE),"")</f>
        <v/>
      </c>
      <c r="S486" s="1259">
        <f t="shared" si="54"/>
        <v>0</v>
      </c>
      <c r="T486" s="1247" t="str">
        <f>IFERROR(VLOOKUP(P486,RPCChargeCycleDates[],1,FALSE),"")</f>
        <v/>
      </c>
      <c r="U486" s="1248" t="str">
        <f>IFERROR(_xlfn.DAYS(T486,$Q$16)-SUM(U$26:U485),"")</f>
        <v/>
      </c>
      <c r="V486" s="1258">
        <f t="shared" ca="1" si="55"/>
        <v>0</v>
      </c>
      <c r="W486" s="1258">
        <f t="shared" ca="1" si="56"/>
        <v>0</v>
      </c>
      <c r="X486" s="1258" t="e">
        <f t="shared" ca="1" si="57"/>
        <v>#N/A</v>
      </c>
      <c r="Y486" s="1240"/>
      <c r="Z486" s="1240"/>
      <c r="AA486" s="1240"/>
      <c r="AB486" s="1240"/>
      <c r="AC486" s="1254" t="e">
        <f t="shared" si="53"/>
        <v>#NUM!</v>
      </c>
      <c r="AD486" s="1240"/>
      <c r="AE486" s="1240"/>
      <c r="AF486" s="1240"/>
      <c r="AG486" s="1240"/>
      <c r="AH486" s="1240"/>
      <c r="AI486" s="1240"/>
      <c r="AJ486" s="1240"/>
      <c r="AK486" s="1240"/>
      <c r="AL486" s="1240"/>
      <c r="AM486" s="1240"/>
      <c r="AN486" s="1240"/>
      <c r="AO486" s="1240"/>
      <c r="AP486" s="1240"/>
    </row>
    <row r="487" spans="1:42" ht="18.75" customHeight="1" x14ac:dyDescent="0.35">
      <c r="A487" s="1240"/>
      <c r="B487" s="1240"/>
      <c r="C487" s="1240"/>
      <c r="D487" s="1240"/>
      <c r="E487" s="1240"/>
      <c r="F487" s="1240"/>
      <c r="G487" s="1240"/>
      <c r="H487" s="1240"/>
      <c r="I487" s="1240"/>
      <c r="J487" s="1240"/>
      <c r="K487" s="1240"/>
      <c r="L487" s="1240"/>
      <c r="M487" s="1240"/>
      <c r="N487" s="1240"/>
      <c r="O487" s="1240"/>
      <c r="P487" s="1247">
        <f t="shared" si="52"/>
        <v>461</v>
      </c>
      <c r="Q487" s="1253" t="e">
        <f t="shared" ca="1" si="58"/>
        <v>#N/A</v>
      </c>
      <c r="R487" s="1247" t="str">
        <f>IFERROR(VLOOKUP(P487,RPCRepaymentDates[],1,FALSE),"")</f>
        <v/>
      </c>
      <c r="S487" s="1259">
        <f t="shared" si="54"/>
        <v>0</v>
      </c>
      <c r="T487" s="1247" t="str">
        <f>IFERROR(VLOOKUP(P487,RPCChargeCycleDates[],1,FALSE),"")</f>
        <v/>
      </c>
      <c r="U487" s="1248" t="str">
        <f>IFERROR(_xlfn.DAYS(T487,$Q$16)-SUM(U$26:U486),"")</f>
        <v/>
      </c>
      <c r="V487" s="1258">
        <f t="shared" ca="1" si="55"/>
        <v>0</v>
      </c>
      <c r="W487" s="1258">
        <f t="shared" ca="1" si="56"/>
        <v>0</v>
      </c>
      <c r="X487" s="1258" t="e">
        <f t="shared" ca="1" si="57"/>
        <v>#N/A</v>
      </c>
      <c r="Y487" s="1240"/>
      <c r="Z487" s="1240"/>
      <c r="AA487" s="1240"/>
      <c r="AB487" s="1240"/>
      <c r="AC487" s="1254" t="e">
        <f t="shared" si="53"/>
        <v>#NUM!</v>
      </c>
      <c r="AD487" s="1240"/>
      <c r="AE487" s="1240"/>
      <c r="AF487" s="1240"/>
      <c r="AG487" s="1240"/>
      <c r="AH487" s="1240"/>
      <c r="AI487" s="1240"/>
      <c r="AJ487" s="1240"/>
      <c r="AK487" s="1240"/>
      <c r="AL487" s="1240"/>
      <c r="AM487" s="1240"/>
      <c r="AN487" s="1240"/>
      <c r="AO487" s="1240"/>
      <c r="AP487" s="1240"/>
    </row>
    <row r="488" spans="1:42" ht="18.75" customHeight="1" x14ac:dyDescent="0.35">
      <c r="A488" s="1240"/>
      <c r="B488" s="1240"/>
      <c r="C488" s="1240"/>
      <c r="D488" s="1240"/>
      <c r="E488" s="1240"/>
      <c r="F488" s="1240"/>
      <c r="G488" s="1240"/>
      <c r="H488" s="1240"/>
      <c r="I488" s="1240"/>
      <c r="J488" s="1240"/>
      <c r="K488" s="1240"/>
      <c r="L488" s="1240"/>
      <c r="M488" s="1240"/>
      <c r="N488" s="1240"/>
      <c r="O488" s="1240"/>
      <c r="P488" s="1247">
        <f t="shared" si="52"/>
        <v>462</v>
      </c>
      <c r="Q488" s="1253" t="e">
        <f t="shared" ca="1" si="58"/>
        <v>#N/A</v>
      </c>
      <c r="R488" s="1247" t="str">
        <f>IFERROR(VLOOKUP(P488,RPCRepaymentDates[],1,FALSE),"")</f>
        <v/>
      </c>
      <c r="S488" s="1259">
        <f t="shared" si="54"/>
        <v>0</v>
      </c>
      <c r="T488" s="1247" t="str">
        <f>IFERROR(VLOOKUP(P488,RPCChargeCycleDates[],1,FALSE),"")</f>
        <v/>
      </c>
      <c r="U488" s="1248" t="str">
        <f>IFERROR(_xlfn.DAYS(T488,$Q$16)-SUM(U$26:U487),"")</f>
        <v/>
      </c>
      <c r="V488" s="1258">
        <f t="shared" ca="1" si="55"/>
        <v>0</v>
      </c>
      <c r="W488" s="1258">
        <f t="shared" ca="1" si="56"/>
        <v>0</v>
      </c>
      <c r="X488" s="1258" t="e">
        <f t="shared" ca="1" si="57"/>
        <v>#N/A</v>
      </c>
      <c r="Y488" s="1240"/>
      <c r="Z488" s="1240"/>
      <c r="AA488" s="1240"/>
      <c r="AB488" s="1240"/>
      <c r="AC488" s="1254" t="e">
        <f t="shared" si="53"/>
        <v>#NUM!</v>
      </c>
      <c r="AD488" s="1240"/>
      <c r="AE488" s="1240"/>
      <c r="AF488" s="1240"/>
      <c r="AG488" s="1240"/>
      <c r="AH488" s="1240"/>
      <c r="AI488" s="1240"/>
      <c r="AJ488" s="1240"/>
      <c r="AK488" s="1240"/>
      <c r="AL488" s="1240"/>
      <c r="AM488" s="1240"/>
      <c r="AN488" s="1240"/>
      <c r="AO488" s="1240"/>
      <c r="AP488" s="1240"/>
    </row>
    <row r="489" spans="1:42" ht="18.75" customHeight="1" x14ac:dyDescent="0.35">
      <c r="A489" s="1240"/>
      <c r="B489" s="1240"/>
      <c r="C489" s="1240"/>
      <c r="D489" s="1240"/>
      <c r="E489" s="1240"/>
      <c r="F489" s="1240"/>
      <c r="G489" s="1240"/>
      <c r="H489" s="1240"/>
      <c r="I489" s="1240"/>
      <c r="J489" s="1240"/>
      <c r="K489" s="1240"/>
      <c r="L489" s="1240"/>
      <c r="M489" s="1240"/>
      <c r="N489" s="1240"/>
      <c r="O489" s="1240"/>
      <c r="P489" s="1247">
        <f t="shared" si="52"/>
        <v>463</v>
      </c>
      <c r="Q489" s="1253" t="e">
        <f t="shared" ca="1" si="58"/>
        <v>#N/A</v>
      </c>
      <c r="R489" s="1247" t="str">
        <f>IFERROR(VLOOKUP(P489,RPCRepaymentDates[],1,FALSE),"")</f>
        <v/>
      </c>
      <c r="S489" s="1259">
        <f t="shared" si="54"/>
        <v>0</v>
      </c>
      <c r="T489" s="1247" t="str">
        <f>IFERROR(VLOOKUP(P489,RPCChargeCycleDates[],1,FALSE),"")</f>
        <v/>
      </c>
      <c r="U489" s="1248" t="str">
        <f>IFERROR(_xlfn.DAYS(T489,$Q$16)-SUM(U$26:U488),"")</f>
        <v/>
      </c>
      <c r="V489" s="1258">
        <f t="shared" ca="1" si="55"/>
        <v>0</v>
      </c>
      <c r="W489" s="1258">
        <f t="shared" ca="1" si="56"/>
        <v>0</v>
      </c>
      <c r="X489" s="1258" t="e">
        <f t="shared" ca="1" si="57"/>
        <v>#N/A</v>
      </c>
      <c r="Y489" s="1240"/>
      <c r="Z489" s="1240"/>
      <c r="AA489" s="1240"/>
      <c r="AB489" s="1240"/>
      <c r="AC489" s="1254" t="e">
        <f t="shared" si="53"/>
        <v>#NUM!</v>
      </c>
      <c r="AD489" s="1240"/>
      <c r="AE489" s="1240"/>
      <c r="AF489" s="1240"/>
      <c r="AG489" s="1240"/>
      <c r="AH489" s="1240"/>
      <c r="AI489" s="1240"/>
      <c r="AJ489" s="1240"/>
      <c r="AK489" s="1240"/>
      <c r="AL489" s="1240"/>
      <c r="AM489" s="1240"/>
      <c r="AN489" s="1240"/>
      <c r="AO489" s="1240"/>
      <c r="AP489" s="1240"/>
    </row>
    <row r="490" spans="1:42" ht="18.75" customHeight="1" x14ac:dyDescent="0.35">
      <c r="A490" s="1240"/>
      <c r="B490" s="1240"/>
      <c r="C490" s="1240"/>
      <c r="D490" s="1240"/>
      <c r="E490" s="1240"/>
      <c r="F490" s="1240"/>
      <c r="G490" s="1240"/>
      <c r="H490" s="1240"/>
      <c r="I490" s="1240"/>
      <c r="J490" s="1240"/>
      <c r="K490" s="1240"/>
      <c r="L490" s="1240"/>
      <c r="M490" s="1240"/>
      <c r="N490" s="1240"/>
      <c r="O490" s="1240"/>
      <c r="P490" s="1247">
        <f t="shared" ref="P490:P553" si="59">P489+1</f>
        <v>464</v>
      </c>
      <c r="Q490" s="1253" t="e">
        <f t="shared" ca="1" si="58"/>
        <v>#N/A</v>
      </c>
      <c r="R490" s="1247" t="str">
        <f>IFERROR(VLOOKUP(P490,RPCRepaymentDates[],1,FALSE),"")</f>
        <v/>
      </c>
      <c r="S490" s="1259">
        <f t="shared" si="54"/>
        <v>0</v>
      </c>
      <c r="T490" s="1247" t="str">
        <f>IFERROR(VLOOKUP(P490,RPCChargeCycleDates[],1,FALSE),"")</f>
        <v/>
      </c>
      <c r="U490" s="1248" t="str">
        <f>IFERROR(_xlfn.DAYS(T490,$Q$16)-SUM(U$26:U489),"")</f>
        <v/>
      </c>
      <c r="V490" s="1258">
        <f t="shared" ca="1" si="55"/>
        <v>0</v>
      </c>
      <c r="W490" s="1258">
        <f t="shared" ca="1" si="56"/>
        <v>0</v>
      </c>
      <c r="X490" s="1258" t="e">
        <f t="shared" ca="1" si="57"/>
        <v>#N/A</v>
      </c>
      <c r="Y490" s="1240"/>
      <c r="Z490" s="1240"/>
      <c r="AA490" s="1240"/>
      <c r="AB490" s="1240"/>
      <c r="AC490" s="1254" t="e">
        <f t="shared" si="53"/>
        <v>#NUM!</v>
      </c>
      <c r="AD490" s="1240"/>
      <c r="AE490" s="1240"/>
      <c r="AF490" s="1240"/>
      <c r="AG490" s="1240"/>
      <c r="AH490" s="1240"/>
      <c r="AI490" s="1240"/>
      <c r="AJ490" s="1240"/>
      <c r="AK490" s="1240"/>
      <c r="AL490" s="1240"/>
      <c r="AM490" s="1240"/>
      <c r="AN490" s="1240"/>
      <c r="AO490" s="1240"/>
      <c r="AP490" s="1240"/>
    </row>
    <row r="491" spans="1:42" ht="18.75" customHeight="1" x14ac:dyDescent="0.35">
      <c r="A491" s="1240"/>
      <c r="B491" s="1240"/>
      <c r="C491" s="1240"/>
      <c r="D491" s="1240"/>
      <c r="E491" s="1240"/>
      <c r="F491" s="1240"/>
      <c r="G491" s="1240"/>
      <c r="H491" s="1240"/>
      <c r="I491" s="1240"/>
      <c r="J491" s="1240"/>
      <c r="K491" s="1240"/>
      <c r="L491" s="1240"/>
      <c r="M491" s="1240"/>
      <c r="N491" s="1240"/>
      <c r="O491" s="1240"/>
      <c r="P491" s="1247">
        <f t="shared" si="59"/>
        <v>465</v>
      </c>
      <c r="Q491" s="1253" t="e">
        <f t="shared" ca="1" si="58"/>
        <v>#N/A</v>
      </c>
      <c r="R491" s="1247" t="str">
        <f>IFERROR(VLOOKUP(P491,RPCRepaymentDates[],1,FALSE),"")</f>
        <v/>
      </c>
      <c r="S491" s="1259">
        <f t="shared" si="54"/>
        <v>0</v>
      </c>
      <c r="T491" s="1247" t="str">
        <f>IFERROR(VLOOKUP(P491,RPCChargeCycleDates[],1,FALSE),"")</f>
        <v/>
      </c>
      <c r="U491" s="1248" t="str">
        <f>IFERROR(_xlfn.DAYS(T491,$Q$16)-SUM(U$26:U490),"")</f>
        <v/>
      </c>
      <c r="V491" s="1258">
        <f t="shared" ca="1" si="55"/>
        <v>0</v>
      </c>
      <c r="W491" s="1258">
        <f t="shared" ca="1" si="56"/>
        <v>0</v>
      </c>
      <c r="X491" s="1258" t="e">
        <f t="shared" ca="1" si="57"/>
        <v>#N/A</v>
      </c>
      <c r="Y491" s="1240"/>
      <c r="Z491" s="1240"/>
      <c r="AA491" s="1240"/>
      <c r="AB491" s="1240"/>
      <c r="AC491" s="1254" t="e">
        <f t="shared" si="53"/>
        <v>#NUM!</v>
      </c>
      <c r="AD491" s="1240"/>
      <c r="AE491" s="1240"/>
      <c r="AF491" s="1240"/>
      <c r="AG491" s="1240"/>
      <c r="AH491" s="1240"/>
      <c r="AI491" s="1240"/>
      <c r="AJ491" s="1240"/>
      <c r="AK491" s="1240"/>
      <c r="AL491" s="1240"/>
      <c r="AM491" s="1240"/>
      <c r="AN491" s="1240"/>
      <c r="AO491" s="1240"/>
      <c r="AP491" s="1240"/>
    </row>
    <row r="492" spans="1:42" ht="18.75" customHeight="1" x14ac:dyDescent="0.35">
      <c r="A492" s="1240"/>
      <c r="B492" s="1240"/>
      <c r="C492" s="1240"/>
      <c r="D492" s="1240"/>
      <c r="E492" s="1240"/>
      <c r="F492" s="1240"/>
      <c r="G492" s="1240"/>
      <c r="H492" s="1240"/>
      <c r="I492" s="1240"/>
      <c r="J492" s="1240"/>
      <c r="K492" s="1240"/>
      <c r="L492" s="1240"/>
      <c r="M492" s="1240"/>
      <c r="N492" s="1240"/>
      <c r="O492" s="1240"/>
      <c r="P492" s="1247">
        <f t="shared" si="59"/>
        <v>466</v>
      </c>
      <c r="Q492" s="1253" t="e">
        <f t="shared" ca="1" si="58"/>
        <v>#N/A</v>
      </c>
      <c r="R492" s="1247" t="str">
        <f>IFERROR(VLOOKUP(P492,RPCRepaymentDates[],1,FALSE),"")</f>
        <v/>
      </c>
      <c r="S492" s="1259">
        <f t="shared" si="54"/>
        <v>0</v>
      </c>
      <c r="T492" s="1247" t="str">
        <f>IFERROR(VLOOKUP(P492,RPCChargeCycleDates[],1,FALSE),"")</f>
        <v/>
      </c>
      <c r="U492" s="1248" t="str">
        <f>IFERROR(_xlfn.DAYS(T492,$Q$16)-SUM(U$26:U491),"")</f>
        <v/>
      </c>
      <c r="V492" s="1258">
        <f t="shared" ca="1" si="55"/>
        <v>0</v>
      </c>
      <c r="W492" s="1258">
        <f t="shared" ca="1" si="56"/>
        <v>0</v>
      </c>
      <c r="X492" s="1258" t="e">
        <f t="shared" ca="1" si="57"/>
        <v>#N/A</v>
      </c>
      <c r="Y492" s="1240"/>
      <c r="Z492" s="1240"/>
      <c r="AA492" s="1240"/>
      <c r="AB492" s="1240"/>
      <c r="AC492" s="1254" t="e">
        <f t="shared" si="53"/>
        <v>#NUM!</v>
      </c>
      <c r="AD492" s="1240"/>
      <c r="AE492" s="1240"/>
      <c r="AF492" s="1240"/>
      <c r="AG492" s="1240"/>
      <c r="AH492" s="1240"/>
      <c r="AI492" s="1240"/>
      <c r="AJ492" s="1240"/>
      <c r="AK492" s="1240"/>
      <c r="AL492" s="1240"/>
      <c r="AM492" s="1240"/>
      <c r="AN492" s="1240"/>
      <c r="AO492" s="1240"/>
      <c r="AP492" s="1240"/>
    </row>
    <row r="493" spans="1:42" ht="18.75" customHeight="1" x14ac:dyDescent="0.35">
      <c r="A493" s="1240"/>
      <c r="B493" s="1240"/>
      <c r="C493" s="1240"/>
      <c r="D493" s="1240"/>
      <c r="E493" s="1240"/>
      <c r="F493" s="1240"/>
      <c r="G493" s="1240"/>
      <c r="H493" s="1240"/>
      <c r="I493" s="1240"/>
      <c r="J493" s="1240"/>
      <c r="K493" s="1240"/>
      <c r="L493" s="1240"/>
      <c r="M493" s="1240"/>
      <c r="N493" s="1240"/>
      <c r="O493" s="1240"/>
      <c r="P493" s="1247">
        <f t="shared" si="59"/>
        <v>467</v>
      </c>
      <c r="Q493" s="1253" t="e">
        <f t="shared" ca="1" si="58"/>
        <v>#N/A</v>
      </c>
      <c r="R493" s="1247" t="str">
        <f>IFERROR(VLOOKUP(P493,RPCRepaymentDates[],1,FALSE),"")</f>
        <v/>
      </c>
      <c r="S493" s="1259">
        <f t="shared" si="54"/>
        <v>0</v>
      </c>
      <c r="T493" s="1247" t="str">
        <f>IFERROR(VLOOKUP(P493,RPCChargeCycleDates[],1,FALSE),"")</f>
        <v/>
      </c>
      <c r="U493" s="1248" t="str">
        <f>IFERROR(_xlfn.DAYS(T493,$Q$16)-SUM(U$26:U492),"")</f>
        <v/>
      </c>
      <c r="V493" s="1258">
        <f t="shared" ca="1" si="55"/>
        <v>0</v>
      </c>
      <c r="W493" s="1258">
        <f t="shared" ca="1" si="56"/>
        <v>0</v>
      </c>
      <c r="X493" s="1258" t="e">
        <f t="shared" ca="1" si="57"/>
        <v>#N/A</v>
      </c>
      <c r="Y493" s="1240"/>
      <c r="Z493" s="1240"/>
      <c r="AA493" s="1240"/>
      <c r="AB493" s="1240"/>
      <c r="AC493" s="1254" t="e">
        <f t="shared" si="53"/>
        <v>#NUM!</v>
      </c>
      <c r="AD493" s="1240"/>
      <c r="AE493" s="1240"/>
      <c r="AF493" s="1240"/>
      <c r="AG493" s="1240"/>
      <c r="AH493" s="1240"/>
      <c r="AI493" s="1240"/>
      <c r="AJ493" s="1240"/>
      <c r="AK493" s="1240"/>
      <c r="AL493" s="1240"/>
      <c r="AM493" s="1240"/>
      <c r="AN493" s="1240"/>
      <c r="AO493" s="1240"/>
      <c r="AP493" s="1240"/>
    </row>
    <row r="494" spans="1:42" ht="18.75" customHeight="1" x14ac:dyDescent="0.35">
      <c r="A494" s="1240"/>
      <c r="B494" s="1240"/>
      <c r="C494" s="1240"/>
      <c r="D494" s="1240"/>
      <c r="E494" s="1240"/>
      <c r="F494" s="1240"/>
      <c r="G494" s="1240"/>
      <c r="H494" s="1240"/>
      <c r="I494" s="1240"/>
      <c r="J494" s="1240"/>
      <c r="K494" s="1240"/>
      <c r="L494" s="1240"/>
      <c r="M494" s="1240"/>
      <c r="N494" s="1240"/>
      <c r="O494" s="1240"/>
      <c r="P494" s="1247">
        <f t="shared" si="59"/>
        <v>468</v>
      </c>
      <c r="Q494" s="1253" t="e">
        <f t="shared" ca="1" si="58"/>
        <v>#N/A</v>
      </c>
      <c r="R494" s="1247" t="str">
        <f>IFERROR(VLOOKUP(P494,RPCRepaymentDates[],1,FALSE),"")</f>
        <v/>
      </c>
      <c r="S494" s="1259">
        <f t="shared" si="54"/>
        <v>0</v>
      </c>
      <c r="T494" s="1247" t="str">
        <f>IFERROR(VLOOKUP(P494,RPCChargeCycleDates[],1,FALSE),"")</f>
        <v/>
      </c>
      <c r="U494" s="1248" t="str">
        <f>IFERROR(_xlfn.DAYS(T494,$Q$16)-SUM(U$26:U493),"")</f>
        <v/>
      </c>
      <c r="V494" s="1258">
        <f t="shared" ca="1" si="55"/>
        <v>0</v>
      </c>
      <c r="W494" s="1258">
        <f t="shared" ca="1" si="56"/>
        <v>0</v>
      </c>
      <c r="X494" s="1258" t="e">
        <f t="shared" ca="1" si="57"/>
        <v>#N/A</v>
      </c>
      <c r="Y494" s="1240"/>
      <c r="Z494" s="1240"/>
      <c r="AA494" s="1240"/>
      <c r="AB494" s="1240"/>
      <c r="AC494" s="1254" t="e">
        <f t="shared" si="53"/>
        <v>#NUM!</v>
      </c>
      <c r="AD494" s="1240"/>
      <c r="AE494" s="1240"/>
      <c r="AF494" s="1240"/>
      <c r="AG494" s="1240"/>
      <c r="AH494" s="1240"/>
      <c r="AI494" s="1240"/>
      <c r="AJ494" s="1240"/>
      <c r="AK494" s="1240"/>
      <c r="AL494" s="1240"/>
      <c r="AM494" s="1240"/>
      <c r="AN494" s="1240"/>
      <c r="AO494" s="1240"/>
      <c r="AP494" s="1240"/>
    </row>
    <row r="495" spans="1:42" ht="18.75" customHeight="1" x14ac:dyDescent="0.35">
      <c r="A495" s="1240"/>
      <c r="B495" s="1240"/>
      <c r="C495" s="1240"/>
      <c r="D495" s="1240"/>
      <c r="E495" s="1240"/>
      <c r="F495" s="1240"/>
      <c r="G495" s="1240"/>
      <c r="H495" s="1240"/>
      <c r="I495" s="1240"/>
      <c r="J495" s="1240"/>
      <c r="K495" s="1240"/>
      <c r="L495" s="1240"/>
      <c r="M495" s="1240"/>
      <c r="N495" s="1240"/>
      <c r="O495" s="1240"/>
      <c r="P495" s="1247">
        <f t="shared" si="59"/>
        <v>469</v>
      </c>
      <c r="Q495" s="1253" t="e">
        <f t="shared" ca="1" si="58"/>
        <v>#N/A</v>
      </c>
      <c r="R495" s="1247" t="str">
        <f>IFERROR(VLOOKUP(P495,RPCRepaymentDates[],1,FALSE),"")</f>
        <v/>
      </c>
      <c r="S495" s="1259">
        <f t="shared" si="54"/>
        <v>0</v>
      </c>
      <c r="T495" s="1247" t="str">
        <f>IFERROR(VLOOKUP(P495,RPCChargeCycleDates[],1,FALSE),"")</f>
        <v/>
      </c>
      <c r="U495" s="1248" t="str">
        <f>IFERROR(_xlfn.DAYS(T495,$Q$16)-SUM(U$26:U494),"")</f>
        <v/>
      </c>
      <c r="V495" s="1258">
        <f t="shared" ca="1" si="55"/>
        <v>0</v>
      </c>
      <c r="W495" s="1258">
        <f t="shared" ca="1" si="56"/>
        <v>0</v>
      </c>
      <c r="X495" s="1258" t="e">
        <f t="shared" ca="1" si="57"/>
        <v>#N/A</v>
      </c>
      <c r="Y495" s="1240"/>
      <c r="Z495" s="1240"/>
      <c r="AA495" s="1240"/>
      <c r="AB495" s="1240"/>
      <c r="AC495" s="1254" t="e">
        <f t="shared" si="53"/>
        <v>#NUM!</v>
      </c>
      <c r="AD495" s="1240"/>
      <c r="AE495" s="1240"/>
      <c r="AF495" s="1240"/>
      <c r="AG495" s="1240"/>
      <c r="AH495" s="1240"/>
      <c r="AI495" s="1240"/>
      <c r="AJ495" s="1240"/>
      <c r="AK495" s="1240"/>
      <c r="AL495" s="1240"/>
      <c r="AM495" s="1240"/>
      <c r="AN495" s="1240"/>
      <c r="AO495" s="1240"/>
      <c r="AP495" s="1240"/>
    </row>
    <row r="496" spans="1:42" ht="18.75" customHeight="1" x14ac:dyDescent="0.35">
      <c r="A496" s="1240"/>
      <c r="B496" s="1240"/>
      <c r="C496" s="1240"/>
      <c r="D496" s="1240"/>
      <c r="E496" s="1240"/>
      <c r="F496" s="1240"/>
      <c r="G496" s="1240"/>
      <c r="H496" s="1240"/>
      <c r="I496" s="1240"/>
      <c r="J496" s="1240"/>
      <c r="K496" s="1240"/>
      <c r="L496" s="1240"/>
      <c r="M496" s="1240"/>
      <c r="N496" s="1240"/>
      <c r="O496" s="1240"/>
      <c r="P496" s="1247">
        <f t="shared" si="59"/>
        <v>470</v>
      </c>
      <c r="Q496" s="1253" t="e">
        <f t="shared" ca="1" si="58"/>
        <v>#N/A</v>
      </c>
      <c r="R496" s="1247" t="str">
        <f>IFERROR(VLOOKUP(P496,RPCRepaymentDates[],1,FALSE),"")</f>
        <v/>
      </c>
      <c r="S496" s="1259">
        <f t="shared" si="54"/>
        <v>0</v>
      </c>
      <c r="T496" s="1247" t="str">
        <f>IFERROR(VLOOKUP(P496,RPCChargeCycleDates[],1,FALSE),"")</f>
        <v/>
      </c>
      <c r="U496" s="1248" t="str">
        <f>IFERROR(_xlfn.DAYS(T496,$Q$16)-SUM(U$26:U495),"")</f>
        <v/>
      </c>
      <c r="V496" s="1258">
        <f t="shared" ca="1" si="55"/>
        <v>0</v>
      </c>
      <c r="W496" s="1258">
        <f t="shared" ca="1" si="56"/>
        <v>0</v>
      </c>
      <c r="X496" s="1258" t="e">
        <f t="shared" ca="1" si="57"/>
        <v>#N/A</v>
      </c>
      <c r="Y496" s="1240"/>
      <c r="Z496" s="1240"/>
      <c r="AA496" s="1240"/>
      <c r="AB496" s="1240"/>
      <c r="AC496" s="1254" t="e">
        <f t="shared" si="53"/>
        <v>#NUM!</v>
      </c>
      <c r="AD496" s="1240"/>
      <c r="AE496" s="1240"/>
      <c r="AF496" s="1240"/>
      <c r="AG496" s="1240"/>
      <c r="AH496" s="1240"/>
      <c r="AI496" s="1240"/>
      <c r="AJ496" s="1240"/>
      <c r="AK496" s="1240"/>
      <c r="AL496" s="1240"/>
      <c r="AM496" s="1240"/>
      <c r="AN496" s="1240"/>
      <c r="AO496" s="1240"/>
      <c r="AP496" s="1240"/>
    </row>
    <row r="497" spans="1:42" ht="18.75" customHeight="1" x14ac:dyDescent="0.35">
      <c r="A497" s="1240"/>
      <c r="B497" s="1240"/>
      <c r="C497" s="1240"/>
      <c r="D497" s="1240"/>
      <c r="E497" s="1240"/>
      <c r="F497" s="1240"/>
      <c r="G497" s="1240"/>
      <c r="H497" s="1240"/>
      <c r="I497" s="1240"/>
      <c r="J497" s="1240"/>
      <c r="K497" s="1240"/>
      <c r="L497" s="1240"/>
      <c r="M497" s="1240"/>
      <c r="N497" s="1240"/>
      <c r="O497" s="1240"/>
      <c r="P497" s="1247">
        <f t="shared" si="59"/>
        <v>471</v>
      </c>
      <c r="Q497" s="1253" t="e">
        <f t="shared" ca="1" si="58"/>
        <v>#N/A</v>
      </c>
      <c r="R497" s="1247" t="str">
        <f>IFERROR(VLOOKUP(P497,RPCRepaymentDates[],1,FALSE),"")</f>
        <v/>
      </c>
      <c r="S497" s="1259">
        <f t="shared" si="54"/>
        <v>0</v>
      </c>
      <c r="T497" s="1247" t="str">
        <f>IFERROR(VLOOKUP(P497,RPCChargeCycleDates[],1,FALSE),"")</f>
        <v/>
      </c>
      <c r="U497" s="1248" t="str">
        <f>IFERROR(_xlfn.DAYS(T497,$Q$16)-SUM(U$26:U496),"")</f>
        <v/>
      </c>
      <c r="V497" s="1258">
        <f t="shared" ca="1" si="55"/>
        <v>0</v>
      </c>
      <c r="W497" s="1258">
        <f t="shared" ca="1" si="56"/>
        <v>0</v>
      </c>
      <c r="X497" s="1258" t="e">
        <f t="shared" ca="1" si="57"/>
        <v>#N/A</v>
      </c>
      <c r="Y497" s="1240"/>
      <c r="Z497" s="1240"/>
      <c r="AA497" s="1240"/>
      <c r="AB497" s="1240"/>
      <c r="AC497" s="1254" t="e">
        <f t="shared" si="53"/>
        <v>#NUM!</v>
      </c>
      <c r="AD497" s="1240"/>
      <c r="AE497" s="1240"/>
      <c r="AF497" s="1240"/>
      <c r="AG497" s="1240"/>
      <c r="AH497" s="1240"/>
      <c r="AI497" s="1240"/>
      <c r="AJ497" s="1240"/>
      <c r="AK497" s="1240"/>
      <c r="AL497" s="1240"/>
      <c r="AM497" s="1240"/>
      <c r="AN497" s="1240"/>
      <c r="AO497" s="1240"/>
      <c r="AP497" s="1240"/>
    </row>
    <row r="498" spans="1:42" ht="18.75" customHeight="1" x14ac:dyDescent="0.35">
      <c r="A498" s="1240"/>
      <c r="B498" s="1240"/>
      <c r="C498" s="1240"/>
      <c r="D498" s="1240"/>
      <c r="E498" s="1240"/>
      <c r="F498" s="1240"/>
      <c r="G498" s="1240"/>
      <c r="H498" s="1240"/>
      <c r="I498" s="1240"/>
      <c r="J498" s="1240"/>
      <c r="K498" s="1240"/>
      <c r="L498" s="1240"/>
      <c r="M498" s="1240"/>
      <c r="N498" s="1240"/>
      <c r="O498" s="1240"/>
      <c r="P498" s="1247">
        <f t="shared" si="59"/>
        <v>472</v>
      </c>
      <c r="Q498" s="1253" t="e">
        <f t="shared" ca="1" si="58"/>
        <v>#N/A</v>
      </c>
      <c r="R498" s="1247" t="str">
        <f>IFERROR(VLOOKUP(P498,RPCRepaymentDates[],1,FALSE),"")</f>
        <v/>
      </c>
      <c r="S498" s="1259">
        <f t="shared" si="54"/>
        <v>0</v>
      </c>
      <c r="T498" s="1247" t="str">
        <f>IFERROR(VLOOKUP(P498,RPCChargeCycleDates[],1,FALSE),"")</f>
        <v/>
      </c>
      <c r="U498" s="1248" t="str">
        <f>IFERROR(_xlfn.DAYS(T498,$Q$16)-SUM(U$26:U497),"")</f>
        <v/>
      </c>
      <c r="V498" s="1258">
        <f t="shared" ca="1" si="55"/>
        <v>0</v>
      </c>
      <c r="W498" s="1258">
        <f t="shared" ca="1" si="56"/>
        <v>0</v>
      </c>
      <c r="X498" s="1258" t="e">
        <f t="shared" ca="1" si="57"/>
        <v>#N/A</v>
      </c>
      <c r="Y498" s="1240"/>
      <c r="Z498" s="1240"/>
      <c r="AA498" s="1240"/>
      <c r="AB498" s="1240"/>
      <c r="AC498" s="1254" t="e">
        <f t="shared" si="53"/>
        <v>#NUM!</v>
      </c>
      <c r="AD498" s="1240"/>
      <c r="AE498" s="1240"/>
      <c r="AF498" s="1240"/>
      <c r="AG498" s="1240"/>
      <c r="AH498" s="1240"/>
      <c r="AI498" s="1240"/>
      <c r="AJ498" s="1240"/>
      <c r="AK498" s="1240"/>
      <c r="AL498" s="1240"/>
      <c r="AM498" s="1240"/>
      <c r="AN498" s="1240"/>
      <c r="AO498" s="1240"/>
      <c r="AP498" s="1240"/>
    </row>
    <row r="499" spans="1:42" ht="18.75" customHeight="1" x14ac:dyDescent="0.35">
      <c r="A499" s="1240"/>
      <c r="B499" s="1240"/>
      <c r="C499" s="1240"/>
      <c r="D499" s="1240"/>
      <c r="E499" s="1240"/>
      <c r="F499" s="1240"/>
      <c r="G499" s="1240"/>
      <c r="H499" s="1240"/>
      <c r="I499" s="1240"/>
      <c r="J499" s="1240"/>
      <c r="K499" s="1240"/>
      <c r="L499" s="1240"/>
      <c r="M499" s="1240"/>
      <c r="N499" s="1240"/>
      <c r="O499" s="1240"/>
      <c r="P499" s="1247">
        <f t="shared" si="59"/>
        <v>473</v>
      </c>
      <c r="Q499" s="1253" t="e">
        <f t="shared" ca="1" si="58"/>
        <v>#N/A</v>
      </c>
      <c r="R499" s="1247" t="str">
        <f>IFERROR(VLOOKUP(P499,RPCRepaymentDates[],1,FALSE),"")</f>
        <v/>
      </c>
      <c r="S499" s="1259">
        <f t="shared" si="54"/>
        <v>0</v>
      </c>
      <c r="T499" s="1247" t="str">
        <f>IFERROR(VLOOKUP(P499,RPCChargeCycleDates[],1,FALSE),"")</f>
        <v/>
      </c>
      <c r="U499" s="1248" t="str">
        <f>IFERROR(_xlfn.DAYS(T499,$Q$16)-SUM(U$26:U498),"")</f>
        <v/>
      </c>
      <c r="V499" s="1258">
        <f t="shared" ca="1" si="55"/>
        <v>0</v>
      </c>
      <c r="W499" s="1258">
        <f t="shared" ca="1" si="56"/>
        <v>0</v>
      </c>
      <c r="X499" s="1258" t="e">
        <f t="shared" ca="1" si="57"/>
        <v>#N/A</v>
      </c>
      <c r="Y499" s="1240"/>
      <c r="Z499" s="1240"/>
      <c r="AA499" s="1240"/>
      <c r="AB499" s="1240"/>
      <c r="AC499" s="1254" t="e">
        <f t="shared" si="53"/>
        <v>#NUM!</v>
      </c>
      <c r="AD499" s="1240"/>
      <c r="AE499" s="1240"/>
      <c r="AF499" s="1240"/>
      <c r="AG499" s="1240"/>
      <c r="AH499" s="1240"/>
      <c r="AI499" s="1240"/>
      <c r="AJ499" s="1240"/>
      <c r="AK499" s="1240"/>
      <c r="AL499" s="1240"/>
      <c r="AM499" s="1240"/>
      <c r="AN499" s="1240"/>
      <c r="AO499" s="1240"/>
      <c r="AP499" s="1240"/>
    </row>
    <row r="500" spans="1:42" ht="18.75" customHeight="1" x14ac:dyDescent="0.35">
      <c r="A500" s="1240"/>
      <c r="B500" s="1240"/>
      <c r="C500" s="1240"/>
      <c r="D500" s="1240"/>
      <c r="E500" s="1240"/>
      <c r="F500" s="1240"/>
      <c r="G500" s="1240"/>
      <c r="H500" s="1240"/>
      <c r="I500" s="1240"/>
      <c r="J500" s="1240"/>
      <c r="K500" s="1240"/>
      <c r="L500" s="1240"/>
      <c r="M500" s="1240"/>
      <c r="N500" s="1240"/>
      <c r="O500" s="1240"/>
      <c r="P500" s="1247">
        <f t="shared" si="59"/>
        <v>474</v>
      </c>
      <c r="Q500" s="1253" t="e">
        <f t="shared" ca="1" si="58"/>
        <v>#N/A</v>
      </c>
      <c r="R500" s="1247" t="str">
        <f>IFERROR(VLOOKUP(P500,RPCRepaymentDates[],1,FALSE),"")</f>
        <v/>
      </c>
      <c r="S500" s="1259">
        <f t="shared" si="54"/>
        <v>0</v>
      </c>
      <c r="T500" s="1247" t="str">
        <f>IFERROR(VLOOKUP(P500,RPCChargeCycleDates[],1,FALSE),"")</f>
        <v/>
      </c>
      <c r="U500" s="1248" t="str">
        <f>IFERROR(_xlfn.DAYS(T500,$Q$16)-SUM(U$26:U499),"")</f>
        <v/>
      </c>
      <c r="V500" s="1258">
        <f t="shared" ca="1" si="55"/>
        <v>0</v>
      </c>
      <c r="W500" s="1258">
        <f t="shared" ca="1" si="56"/>
        <v>0</v>
      </c>
      <c r="X500" s="1258" t="e">
        <f t="shared" ca="1" si="57"/>
        <v>#N/A</v>
      </c>
      <c r="Y500" s="1240"/>
      <c r="Z500" s="1240"/>
      <c r="AA500" s="1240"/>
      <c r="AB500" s="1240"/>
      <c r="AC500" s="1254" t="e">
        <f t="shared" si="53"/>
        <v>#NUM!</v>
      </c>
      <c r="AD500" s="1240"/>
      <c r="AE500" s="1240"/>
      <c r="AF500" s="1240"/>
      <c r="AG500" s="1240"/>
      <c r="AH500" s="1240"/>
      <c r="AI500" s="1240"/>
      <c r="AJ500" s="1240"/>
      <c r="AK500" s="1240"/>
      <c r="AL500" s="1240"/>
      <c r="AM500" s="1240"/>
      <c r="AN500" s="1240"/>
      <c r="AO500" s="1240"/>
      <c r="AP500" s="1240"/>
    </row>
    <row r="501" spans="1:42" ht="18.75" customHeight="1" x14ac:dyDescent="0.35">
      <c r="A501" s="1240"/>
      <c r="B501" s="1240"/>
      <c r="C501" s="1240"/>
      <c r="D501" s="1240"/>
      <c r="E501" s="1240"/>
      <c r="F501" s="1240"/>
      <c r="G501" s="1240"/>
      <c r="H501" s="1240"/>
      <c r="I501" s="1240"/>
      <c r="J501" s="1240"/>
      <c r="K501" s="1240"/>
      <c r="L501" s="1240"/>
      <c r="M501" s="1240"/>
      <c r="N501" s="1240"/>
      <c r="O501" s="1240"/>
      <c r="P501" s="1247">
        <f t="shared" si="59"/>
        <v>475</v>
      </c>
      <c r="Q501" s="1253" t="e">
        <f t="shared" ca="1" si="58"/>
        <v>#N/A</v>
      </c>
      <c r="R501" s="1247" t="str">
        <f>IFERROR(VLOOKUP(P501,RPCRepaymentDates[],1,FALSE),"")</f>
        <v/>
      </c>
      <c r="S501" s="1259">
        <f t="shared" si="54"/>
        <v>0</v>
      </c>
      <c r="T501" s="1247" t="str">
        <f>IFERROR(VLOOKUP(P501,RPCChargeCycleDates[],1,FALSE),"")</f>
        <v/>
      </c>
      <c r="U501" s="1248" t="str">
        <f>IFERROR(_xlfn.DAYS(T501,$Q$16)-SUM(U$26:U500),"")</f>
        <v/>
      </c>
      <c r="V501" s="1258">
        <f t="shared" ca="1" si="55"/>
        <v>0</v>
      </c>
      <c r="W501" s="1258">
        <f t="shared" ca="1" si="56"/>
        <v>0</v>
      </c>
      <c r="X501" s="1258" t="e">
        <f t="shared" ca="1" si="57"/>
        <v>#N/A</v>
      </c>
      <c r="Y501" s="1240"/>
      <c r="Z501" s="1240"/>
      <c r="AA501" s="1240"/>
      <c r="AB501" s="1240"/>
      <c r="AC501" s="1254" t="e">
        <f t="shared" si="53"/>
        <v>#NUM!</v>
      </c>
      <c r="AD501" s="1240"/>
      <c r="AE501" s="1240"/>
      <c r="AF501" s="1240"/>
      <c r="AG501" s="1240"/>
      <c r="AH501" s="1240"/>
      <c r="AI501" s="1240"/>
      <c r="AJ501" s="1240"/>
      <c r="AK501" s="1240"/>
      <c r="AL501" s="1240"/>
      <c r="AM501" s="1240"/>
      <c r="AN501" s="1240"/>
      <c r="AO501" s="1240"/>
      <c r="AP501" s="1240"/>
    </row>
    <row r="502" spans="1:42" ht="18.75" customHeight="1" x14ac:dyDescent="0.35">
      <c r="A502" s="1240"/>
      <c r="B502" s="1240"/>
      <c r="C502" s="1240"/>
      <c r="D502" s="1240"/>
      <c r="E502" s="1240"/>
      <c r="F502" s="1240"/>
      <c r="G502" s="1240"/>
      <c r="H502" s="1240"/>
      <c r="I502" s="1240"/>
      <c r="J502" s="1240"/>
      <c r="K502" s="1240"/>
      <c r="L502" s="1240"/>
      <c r="M502" s="1240"/>
      <c r="N502" s="1240"/>
      <c r="O502" s="1240"/>
      <c r="P502" s="1247">
        <f t="shared" si="59"/>
        <v>476</v>
      </c>
      <c r="Q502" s="1253" t="e">
        <f t="shared" ca="1" si="58"/>
        <v>#N/A</v>
      </c>
      <c r="R502" s="1247" t="str">
        <f>IFERROR(VLOOKUP(P502,RPCRepaymentDates[],1,FALSE),"")</f>
        <v/>
      </c>
      <c r="S502" s="1259">
        <f t="shared" si="54"/>
        <v>0</v>
      </c>
      <c r="T502" s="1247" t="str">
        <f>IFERROR(VLOOKUP(P502,RPCChargeCycleDates[],1,FALSE),"")</f>
        <v/>
      </c>
      <c r="U502" s="1248" t="str">
        <f>IFERROR(_xlfn.DAYS(T502,$Q$16)-SUM(U$26:U501),"")</f>
        <v/>
      </c>
      <c r="V502" s="1258">
        <f t="shared" ca="1" si="55"/>
        <v>0</v>
      </c>
      <c r="W502" s="1258">
        <f t="shared" ca="1" si="56"/>
        <v>0</v>
      </c>
      <c r="X502" s="1258" t="e">
        <f t="shared" ca="1" si="57"/>
        <v>#N/A</v>
      </c>
      <c r="Y502" s="1240"/>
      <c r="Z502" s="1240"/>
      <c r="AA502" s="1240"/>
      <c r="AB502" s="1240"/>
      <c r="AC502" s="1254" t="e">
        <f t="shared" si="53"/>
        <v>#NUM!</v>
      </c>
      <c r="AD502" s="1240"/>
      <c r="AE502" s="1240"/>
      <c r="AF502" s="1240"/>
      <c r="AG502" s="1240"/>
      <c r="AH502" s="1240"/>
      <c r="AI502" s="1240"/>
      <c r="AJ502" s="1240"/>
      <c r="AK502" s="1240"/>
      <c r="AL502" s="1240"/>
      <c r="AM502" s="1240"/>
      <c r="AN502" s="1240"/>
      <c r="AO502" s="1240"/>
      <c r="AP502" s="1240"/>
    </row>
    <row r="503" spans="1:42" ht="18.75" customHeight="1" x14ac:dyDescent="0.35">
      <c r="A503" s="1240"/>
      <c r="B503" s="1240"/>
      <c r="C503" s="1240"/>
      <c r="D503" s="1240"/>
      <c r="E503" s="1240"/>
      <c r="F503" s="1240"/>
      <c r="G503" s="1240"/>
      <c r="H503" s="1240"/>
      <c r="I503" s="1240"/>
      <c r="J503" s="1240"/>
      <c r="K503" s="1240"/>
      <c r="L503" s="1240"/>
      <c r="M503" s="1240"/>
      <c r="N503" s="1240"/>
      <c r="O503" s="1240"/>
      <c r="P503" s="1247">
        <f t="shared" si="59"/>
        <v>477</v>
      </c>
      <c r="Q503" s="1253" t="e">
        <f t="shared" ca="1" si="58"/>
        <v>#N/A</v>
      </c>
      <c r="R503" s="1247" t="str">
        <f>IFERROR(VLOOKUP(P503,RPCRepaymentDates[],1,FALSE),"")</f>
        <v/>
      </c>
      <c r="S503" s="1259">
        <f t="shared" si="54"/>
        <v>0</v>
      </c>
      <c r="T503" s="1247" t="str">
        <f>IFERROR(VLOOKUP(P503,RPCChargeCycleDates[],1,FALSE),"")</f>
        <v/>
      </c>
      <c r="U503" s="1248" t="str">
        <f>IFERROR(_xlfn.DAYS(T503,$Q$16)-SUM(U$26:U502),"")</f>
        <v/>
      </c>
      <c r="V503" s="1258">
        <f t="shared" ca="1" si="55"/>
        <v>0</v>
      </c>
      <c r="W503" s="1258">
        <f t="shared" ca="1" si="56"/>
        <v>0</v>
      </c>
      <c r="X503" s="1258" t="e">
        <f t="shared" ca="1" si="57"/>
        <v>#N/A</v>
      </c>
      <c r="Y503" s="1240"/>
      <c r="Z503" s="1240"/>
      <c r="AA503" s="1240"/>
      <c r="AB503" s="1240"/>
      <c r="AC503" s="1254" t="e">
        <f t="shared" si="53"/>
        <v>#NUM!</v>
      </c>
      <c r="AD503" s="1240"/>
      <c r="AE503" s="1240"/>
      <c r="AF503" s="1240"/>
      <c r="AG503" s="1240"/>
      <c r="AH503" s="1240"/>
      <c r="AI503" s="1240"/>
      <c r="AJ503" s="1240"/>
      <c r="AK503" s="1240"/>
      <c r="AL503" s="1240"/>
      <c r="AM503" s="1240"/>
      <c r="AN503" s="1240"/>
      <c r="AO503" s="1240"/>
      <c r="AP503" s="1240"/>
    </row>
    <row r="504" spans="1:42" ht="18.75" customHeight="1" x14ac:dyDescent="0.35">
      <c r="A504" s="1240"/>
      <c r="B504" s="1240"/>
      <c r="C504" s="1240"/>
      <c r="D504" s="1240"/>
      <c r="E504" s="1240"/>
      <c r="F504" s="1240"/>
      <c r="G504" s="1240"/>
      <c r="H504" s="1240"/>
      <c r="I504" s="1240"/>
      <c r="J504" s="1240"/>
      <c r="K504" s="1240"/>
      <c r="L504" s="1240"/>
      <c r="M504" s="1240"/>
      <c r="N504" s="1240"/>
      <c r="O504" s="1240"/>
      <c r="P504" s="1247">
        <f t="shared" si="59"/>
        <v>478</v>
      </c>
      <c r="Q504" s="1253" t="e">
        <f t="shared" ca="1" si="58"/>
        <v>#N/A</v>
      </c>
      <c r="R504" s="1247" t="str">
        <f>IFERROR(VLOOKUP(P504,RPCRepaymentDates[],1,FALSE),"")</f>
        <v/>
      </c>
      <c r="S504" s="1259">
        <f t="shared" si="54"/>
        <v>0</v>
      </c>
      <c r="T504" s="1247" t="str">
        <f>IFERROR(VLOOKUP(P504,RPCChargeCycleDates[],1,FALSE),"")</f>
        <v/>
      </c>
      <c r="U504" s="1248" t="str">
        <f>IFERROR(_xlfn.DAYS(T504,$Q$16)-SUM(U$26:U503),"")</f>
        <v/>
      </c>
      <c r="V504" s="1258">
        <f t="shared" ca="1" si="55"/>
        <v>0</v>
      </c>
      <c r="W504" s="1258">
        <f t="shared" ca="1" si="56"/>
        <v>0</v>
      </c>
      <c r="X504" s="1258" t="e">
        <f t="shared" ca="1" si="57"/>
        <v>#N/A</v>
      </c>
      <c r="Y504" s="1240"/>
      <c r="Z504" s="1240"/>
      <c r="AA504" s="1240"/>
      <c r="AB504" s="1240"/>
      <c r="AC504" s="1254" t="e">
        <f t="shared" si="53"/>
        <v>#NUM!</v>
      </c>
      <c r="AD504" s="1240"/>
      <c r="AE504" s="1240"/>
      <c r="AF504" s="1240"/>
      <c r="AG504" s="1240"/>
      <c r="AH504" s="1240"/>
      <c r="AI504" s="1240"/>
      <c r="AJ504" s="1240"/>
      <c r="AK504" s="1240"/>
      <c r="AL504" s="1240"/>
      <c r="AM504" s="1240"/>
      <c r="AN504" s="1240"/>
      <c r="AO504" s="1240"/>
      <c r="AP504" s="1240"/>
    </row>
    <row r="505" spans="1:42" ht="18.75" customHeight="1" x14ac:dyDescent="0.35">
      <c r="A505" s="1240"/>
      <c r="B505" s="1240"/>
      <c r="C505" s="1240"/>
      <c r="D505" s="1240"/>
      <c r="E505" s="1240"/>
      <c r="F505" s="1240"/>
      <c r="G505" s="1240"/>
      <c r="H505" s="1240"/>
      <c r="I505" s="1240"/>
      <c r="J505" s="1240"/>
      <c r="K505" s="1240"/>
      <c r="L505" s="1240"/>
      <c r="M505" s="1240"/>
      <c r="N505" s="1240"/>
      <c r="O505" s="1240"/>
      <c r="P505" s="1247">
        <f t="shared" si="59"/>
        <v>479</v>
      </c>
      <c r="Q505" s="1253" t="e">
        <f t="shared" ca="1" si="58"/>
        <v>#N/A</v>
      </c>
      <c r="R505" s="1247" t="str">
        <f>IFERROR(VLOOKUP(P505,RPCRepaymentDates[],1,FALSE),"")</f>
        <v/>
      </c>
      <c r="S505" s="1259">
        <f t="shared" si="54"/>
        <v>0</v>
      </c>
      <c r="T505" s="1247" t="str">
        <f>IFERROR(VLOOKUP(P505,RPCChargeCycleDates[],1,FALSE),"")</f>
        <v/>
      </c>
      <c r="U505" s="1248" t="str">
        <f>IFERROR(_xlfn.DAYS(T505,$Q$16)-SUM(U$26:U504),"")</f>
        <v/>
      </c>
      <c r="V505" s="1258">
        <f t="shared" ca="1" si="55"/>
        <v>0</v>
      </c>
      <c r="W505" s="1258">
        <f t="shared" ca="1" si="56"/>
        <v>0</v>
      </c>
      <c r="X505" s="1258" t="e">
        <f t="shared" ca="1" si="57"/>
        <v>#N/A</v>
      </c>
      <c r="Y505" s="1240"/>
      <c r="Z505" s="1240"/>
      <c r="AA505" s="1240"/>
      <c r="AB505" s="1240"/>
      <c r="AC505" s="1254" t="e">
        <f t="shared" si="53"/>
        <v>#NUM!</v>
      </c>
      <c r="AD505" s="1240"/>
      <c r="AE505" s="1240"/>
      <c r="AF505" s="1240"/>
      <c r="AG505" s="1240"/>
      <c r="AH505" s="1240"/>
      <c r="AI505" s="1240"/>
      <c r="AJ505" s="1240"/>
      <c r="AK505" s="1240"/>
      <c r="AL505" s="1240"/>
      <c r="AM505" s="1240"/>
      <c r="AN505" s="1240"/>
      <c r="AO505" s="1240"/>
      <c r="AP505" s="1240"/>
    </row>
    <row r="506" spans="1:42" ht="18.75" customHeight="1" x14ac:dyDescent="0.35">
      <c r="A506" s="1240"/>
      <c r="B506" s="1240"/>
      <c r="C506" s="1240"/>
      <c r="D506" s="1240"/>
      <c r="E506" s="1240"/>
      <c r="F506" s="1240"/>
      <c r="G506" s="1240"/>
      <c r="H506" s="1240"/>
      <c r="I506" s="1240"/>
      <c r="J506" s="1240"/>
      <c r="K506" s="1240"/>
      <c r="L506" s="1240"/>
      <c r="M506" s="1240"/>
      <c r="N506" s="1240"/>
      <c r="O506" s="1240"/>
      <c r="P506" s="1247">
        <f t="shared" si="59"/>
        <v>480</v>
      </c>
      <c r="Q506" s="1253" t="e">
        <f t="shared" ca="1" si="58"/>
        <v>#N/A</v>
      </c>
      <c r="R506" s="1247" t="str">
        <f>IFERROR(VLOOKUP(P506,RPCRepaymentDates[],1,FALSE),"")</f>
        <v/>
      </c>
      <c r="S506" s="1259">
        <f t="shared" si="54"/>
        <v>0</v>
      </c>
      <c r="T506" s="1247" t="str">
        <f>IFERROR(VLOOKUP(P506,RPCChargeCycleDates[],1,FALSE),"")</f>
        <v/>
      </c>
      <c r="U506" s="1248" t="str">
        <f>IFERROR(_xlfn.DAYS(T506,$Q$16)-SUM(U$26:U505),"")</f>
        <v/>
      </c>
      <c r="V506" s="1258">
        <f t="shared" ca="1" si="55"/>
        <v>0</v>
      </c>
      <c r="W506" s="1258">
        <f t="shared" ca="1" si="56"/>
        <v>0</v>
      </c>
      <c r="X506" s="1258" t="e">
        <f t="shared" ca="1" si="57"/>
        <v>#N/A</v>
      </c>
      <c r="Y506" s="1240"/>
      <c r="Z506" s="1240"/>
      <c r="AA506" s="1240"/>
      <c r="AB506" s="1240"/>
      <c r="AC506" s="1254" t="e">
        <f t="shared" si="53"/>
        <v>#NUM!</v>
      </c>
      <c r="AD506" s="1240"/>
      <c r="AE506" s="1240"/>
      <c r="AF506" s="1240"/>
      <c r="AG506" s="1240"/>
      <c r="AH506" s="1240"/>
      <c r="AI506" s="1240"/>
      <c r="AJ506" s="1240"/>
      <c r="AK506" s="1240"/>
      <c r="AL506" s="1240"/>
      <c r="AM506" s="1240"/>
      <c r="AN506" s="1240"/>
      <c r="AO506" s="1240"/>
      <c r="AP506" s="1240"/>
    </row>
    <row r="507" spans="1:42" ht="18.75" customHeight="1" x14ac:dyDescent="0.35">
      <c r="A507" s="1240"/>
      <c r="B507" s="1240"/>
      <c r="C507" s="1240"/>
      <c r="D507" s="1240"/>
      <c r="E507" s="1240"/>
      <c r="F507" s="1240"/>
      <c r="G507" s="1240"/>
      <c r="H507" s="1240"/>
      <c r="I507" s="1240"/>
      <c r="J507" s="1240"/>
      <c r="K507" s="1240"/>
      <c r="L507" s="1240"/>
      <c r="M507" s="1240"/>
      <c r="N507" s="1240"/>
      <c r="O507" s="1240"/>
      <c r="P507" s="1247">
        <f t="shared" si="59"/>
        <v>481</v>
      </c>
      <c r="Q507" s="1253" t="e">
        <f t="shared" ca="1" si="58"/>
        <v>#N/A</v>
      </c>
      <c r="R507" s="1247" t="str">
        <f>IFERROR(VLOOKUP(P507,RPCRepaymentDates[],1,FALSE),"")</f>
        <v/>
      </c>
      <c r="S507" s="1259">
        <f t="shared" si="54"/>
        <v>0</v>
      </c>
      <c r="T507" s="1247" t="str">
        <f>IFERROR(VLOOKUP(P507,RPCChargeCycleDates[],1,FALSE),"")</f>
        <v/>
      </c>
      <c r="U507" s="1248" t="str">
        <f>IFERROR(_xlfn.DAYS(T507,$Q$16)-SUM(U$26:U506),"")</f>
        <v/>
      </c>
      <c r="V507" s="1258">
        <f t="shared" ca="1" si="55"/>
        <v>0</v>
      </c>
      <c r="W507" s="1258">
        <f t="shared" ca="1" si="56"/>
        <v>0</v>
      </c>
      <c r="X507" s="1258" t="e">
        <f t="shared" ca="1" si="57"/>
        <v>#N/A</v>
      </c>
      <c r="Y507" s="1240"/>
      <c r="Z507" s="1240"/>
      <c r="AA507" s="1240"/>
      <c r="AB507" s="1240"/>
      <c r="AC507" s="1254" t="e">
        <f t="shared" si="53"/>
        <v>#NUM!</v>
      </c>
      <c r="AD507" s="1240"/>
      <c r="AE507" s="1240"/>
      <c r="AF507" s="1240"/>
      <c r="AG507" s="1240"/>
      <c r="AH507" s="1240"/>
      <c r="AI507" s="1240"/>
      <c r="AJ507" s="1240"/>
      <c r="AK507" s="1240"/>
      <c r="AL507" s="1240"/>
      <c r="AM507" s="1240"/>
      <c r="AN507" s="1240"/>
      <c r="AO507" s="1240"/>
      <c r="AP507" s="1240"/>
    </row>
    <row r="508" spans="1:42" ht="18.75" customHeight="1" x14ac:dyDescent="0.35">
      <c r="A508" s="1240"/>
      <c r="B508" s="1240"/>
      <c r="C508" s="1240"/>
      <c r="D508" s="1240"/>
      <c r="E508" s="1240"/>
      <c r="F508" s="1240"/>
      <c r="G508" s="1240"/>
      <c r="H508" s="1240"/>
      <c r="I508" s="1240"/>
      <c r="J508" s="1240"/>
      <c r="K508" s="1240"/>
      <c r="L508" s="1240"/>
      <c r="M508" s="1240"/>
      <c r="N508" s="1240"/>
      <c r="O508" s="1240"/>
      <c r="P508" s="1247">
        <f t="shared" si="59"/>
        <v>482</v>
      </c>
      <c r="Q508" s="1253" t="e">
        <f t="shared" ca="1" si="58"/>
        <v>#N/A</v>
      </c>
      <c r="R508" s="1247" t="str">
        <f>IFERROR(VLOOKUP(P508,RPCRepaymentDates[],1,FALSE),"")</f>
        <v/>
      </c>
      <c r="S508" s="1259">
        <f t="shared" si="54"/>
        <v>0</v>
      </c>
      <c r="T508" s="1247" t="str">
        <f>IFERROR(VLOOKUP(P508,RPCChargeCycleDates[],1,FALSE),"")</f>
        <v/>
      </c>
      <c r="U508" s="1248" t="str">
        <f>IFERROR(_xlfn.DAYS(T508,$Q$16)-SUM(U$26:U507),"")</f>
        <v/>
      </c>
      <c r="V508" s="1258">
        <f t="shared" ca="1" si="55"/>
        <v>0</v>
      </c>
      <c r="W508" s="1258">
        <f t="shared" ca="1" si="56"/>
        <v>0</v>
      </c>
      <c r="X508" s="1258" t="e">
        <f t="shared" ca="1" si="57"/>
        <v>#N/A</v>
      </c>
      <c r="Y508" s="1240"/>
      <c r="Z508" s="1240"/>
      <c r="AA508" s="1240"/>
      <c r="AB508" s="1240"/>
      <c r="AC508" s="1254" t="e">
        <f t="shared" si="53"/>
        <v>#NUM!</v>
      </c>
      <c r="AD508" s="1240"/>
      <c r="AE508" s="1240"/>
      <c r="AF508" s="1240"/>
      <c r="AG508" s="1240"/>
      <c r="AH508" s="1240"/>
      <c r="AI508" s="1240"/>
      <c r="AJ508" s="1240"/>
      <c r="AK508" s="1240"/>
      <c r="AL508" s="1240"/>
      <c r="AM508" s="1240"/>
      <c r="AN508" s="1240"/>
      <c r="AO508" s="1240"/>
      <c r="AP508" s="1240"/>
    </row>
    <row r="509" spans="1:42" ht="18.75" customHeight="1" x14ac:dyDescent="0.35">
      <c r="A509" s="1240"/>
      <c r="B509" s="1240"/>
      <c r="C509" s="1240"/>
      <c r="D509" s="1240"/>
      <c r="E509" s="1240"/>
      <c r="F509" s="1240"/>
      <c r="G509" s="1240"/>
      <c r="H509" s="1240"/>
      <c r="I509" s="1240"/>
      <c r="J509" s="1240"/>
      <c r="K509" s="1240"/>
      <c r="L509" s="1240"/>
      <c r="M509" s="1240"/>
      <c r="N509" s="1240"/>
      <c r="O509" s="1240"/>
      <c r="P509" s="1247">
        <f t="shared" si="59"/>
        <v>483</v>
      </c>
      <c r="Q509" s="1253" t="e">
        <f t="shared" ca="1" si="58"/>
        <v>#N/A</v>
      </c>
      <c r="R509" s="1247" t="str">
        <f>IFERROR(VLOOKUP(P509,RPCRepaymentDates[],1,FALSE),"")</f>
        <v/>
      </c>
      <c r="S509" s="1259">
        <f t="shared" si="54"/>
        <v>0</v>
      </c>
      <c r="T509" s="1247" t="str">
        <f>IFERROR(VLOOKUP(P509,RPCChargeCycleDates[],1,FALSE),"")</f>
        <v/>
      </c>
      <c r="U509" s="1248" t="str">
        <f>IFERROR(_xlfn.DAYS(T509,$Q$16)-SUM(U$26:U508),"")</f>
        <v/>
      </c>
      <c r="V509" s="1258">
        <f t="shared" ca="1" si="55"/>
        <v>0</v>
      </c>
      <c r="W509" s="1258">
        <f t="shared" ca="1" si="56"/>
        <v>0</v>
      </c>
      <c r="X509" s="1258" t="e">
        <f t="shared" ca="1" si="57"/>
        <v>#N/A</v>
      </c>
      <c r="Y509" s="1240"/>
      <c r="Z509" s="1240"/>
      <c r="AA509" s="1240"/>
      <c r="AB509" s="1240"/>
      <c r="AC509" s="1254" t="e">
        <f t="shared" si="53"/>
        <v>#NUM!</v>
      </c>
      <c r="AD509" s="1240"/>
      <c r="AE509" s="1240"/>
      <c r="AF509" s="1240"/>
      <c r="AG509" s="1240"/>
      <c r="AH509" s="1240"/>
      <c r="AI509" s="1240"/>
      <c r="AJ509" s="1240"/>
      <c r="AK509" s="1240"/>
      <c r="AL509" s="1240"/>
      <c r="AM509" s="1240"/>
      <c r="AN509" s="1240"/>
      <c r="AO509" s="1240"/>
      <c r="AP509" s="1240"/>
    </row>
    <row r="510" spans="1:42" ht="18.75" customHeight="1" x14ac:dyDescent="0.35">
      <c r="A510" s="1240"/>
      <c r="B510" s="1240"/>
      <c r="C510" s="1240"/>
      <c r="D510" s="1240"/>
      <c r="E510" s="1240"/>
      <c r="F510" s="1240"/>
      <c r="G510" s="1240"/>
      <c r="H510" s="1240"/>
      <c r="I510" s="1240"/>
      <c r="J510" s="1240"/>
      <c r="K510" s="1240"/>
      <c r="L510" s="1240"/>
      <c r="M510" s="1240"/>
      <c r="N510" s="1240"/>
      <c r="O510" s="1240"/>
      <c r="P510" s="1247">
        <f t="shared" si="59"/>
        <v>484</v>
      </c>
      <c r="Q510" s="1253" t="e">
        <f t="shared" ca="1" si="58"/>
        <v>#N/A</v>
      </c>
      <c r="R510" s="1247" t="str">
        <f>IFERROR(VLOOKUP(P510,RPCRepaymentDates[],1,FALSE),"")</f>
        <v/>
      </c>
      <c r="S510" s="1259">
        <f t="shared" si="54"/>
        <v>0</v>
      </c>
      <c r="T510" s="1247">
        <f>IFERROR(VLOOKUP(P510,RPCChargeCycleDates[],1,FALSE),"")</f>
        <v>484</v>
      </c>
      <c r="U510" s="1248">
        <f>IFERROR(_xlfn.DAYS(T510,$Q$16)-SUM(U$26:U509),"")</f>
        <v>31</v>
      </c>
      <c r="V510" s="1258">
        <f t="shared" ca="1" si="55"/>
        <v>0</v>
      </c>
      <c r="W510" s="1258">
        <f t="shared" ca="1" si="56"/>
        <v>0</v>
      </c>
      <c r="X510" s="1258" t="e">
        <f t="shared" ca="1" si="57"/>
        <v>#N/A</v>
      </c>
      <c r="Y510" s="1240"/>
      <c r="Z510" s="1240"/>
      <c r="AA510" s="1240"/>
      <c r="AB510" s="1240"/>
      <c r="AC510" s="1254" t="e">
        <f t="shared" si="53"/>
        <v>#NUM!</v>
      </c>
      <c r="AD510" s="1240"/>
      <c r="AE510" s="1240"/>
      <c r="AF510" s="1240"/>
      <c r="AG510" s="1240"/>
      <c r="AH510" s="1240"/>
      <c r="AI510" s="1240"/>
      <c r="AJ510" s="1240"/>
      <c r="AK510" s="1240"/>
      <c r="AL510" s="1240"/>
      <c r="AM510" s="1240"/>
      <c r="AN510" s="1240"/>
      <c r="AO510" s="1240"/>
      <c r="AP510" s="1240"/>
    </row>
    <row r="511" spans="1:42" ht="18.75" customHeight="1" x14ac:dyDescent="0.35">
      <c r="A511" s="1240"/>
      <c r="B511" s="1240"/>
      <c r="C511" s="1240"/>
      <c r="D511" s="1240"/>
      <c r="E511" s="1240"/>
      <c r="F511" s="1240"/>
      <c r="G511" s="1240"/>
      <c r="H511" s="1240"/>
      <c r="I511" s="1240"/>
      <c r="J511" s="1240"/>
      <c r="K511" s="1240"/>
      <c r="L511" s="1240"/>
      <c r="M511" s="1240"/>
      <c r="N511" s="1240"/>
      <c r="O511" s="1240"/>
      <c r="P511" s="1247">
        <f t="shared" si="59"/>
        <v>485</v>
      </c>
      <c r="Q511" s="1253" t="e">
        <f t="shared" ca="1" si="58"/>
        <v>#N/A</v>
      </c>
      <c r="R511" s="1247" t="str">
        <f>IFERROR(VLOOKUP(P511,RPCRepaymentDates[],1,FALSE),"")</f>
        <v/>
      </c>
      <c r="S511" s="1259">
        <f t="shared" si="54"/>
        <v>0</v>
      </c>
      <c r="T511" s="1247" t="str">
        <f>IFERROR(VLOOKUP(P511,RPCChargeCycleDates[],1,FALSE),"")</f>
        <v/>
      </c>
      <c r="U511" s="1248" t="str">
        <f>IFERROR(_xlfn.DAYS(T511,$Q$16)-SUM(U$26:U510),"")</f>
        <v/>
      </c>
      <c r="V511" s="1258">
        <f t="shared" ca="1" si="55"/>
        <v>0</v>
      </c>
      <c r="W511" s="1258">
        <f t="shared" ca="1" si="56"/>
        <v>0</v>
      </c>
      <c r="X511" s="1258" t="e">
        <f t="shared" ca="1" si="57"/>
        <v>#N/A</v>
      </c>
      <c r="Y511" s="1240"/>
      <c r="Z511" s="1240"/>
      <c r="AA511" s="1240"/>
      <c r="AB511" s="1240"/>
      <c r="AC511" s="1254" t="e">
        <f t="shared" ref="AC511:AC574" si="60">IF(RPCRepaymentFrequency="Monthly",EDATE(AC510,1),IF(RPCRepaymentFrequency="Fortnightly",AC510+14,AC510+7))</f>
        <v>#NUM!</v>
      </c>
      <c r="AD511" s="1240"/>
      <c r="AE511" s="1240"/>
      <c r="AF511" s="1240"/>
      <c r="AG511" s="1240"/>
      <c r="AH511" s="1240"/>
      <c r="AI511" s="1240"/>
      <c r="AJ511" s="1240"/>
      <c r="AK511" s="1240"/>
      <c r="AL511" s="1240"/>
      <c r="AM511" s="1240"/>
      <c r="AN511" s="1240"/>
      <c r="AO511" s="1240"/>
      <c r="AP511" s="1240"/>
    </row>
    <row r="512" spans="1:42" ht="18.75" customHeight="1" x14ac:dyDescent="0.35">
      <c r="A512" s="1240"/>
      <c r="B512" s="1240"/>
      <c r="C512" s="1240"/>
      <c r="D512" s="1240"/>
      <c r="E512" s="1240"/>
      <c r="F512" s="1240"/>
      <c r="G512" s="1240"/>
      <c r="H512" s="1240"/>
      <c r="I512" s="1240"/>
      <c r="J512" s="1240"/>
      <c r="K512" s="1240"/>
      <c r="L512" s="1240"/>
      <c r="M512" s="1240"/>
      <c r="N512" s="1240"/>
      <c r="O512" s="1240"/>
      <c r="P512" s="1247">
        <f t="shared" si="59"/>
        <v>486</v>
      </c>
      <c r="Q512" s="1253" t="e">
        <f t="shared" ca="1" si="58"/>
        <v>#N/A</v>
      </c>
      <c r="R512" s="1247" t="str">
        <f>IFERROR(VLOOKUP(P512,RPCRepaymentDates[],1,FALSE),"")</f>
        <v/>
      </c>
      <c r="S512" s="1259">
        <f t="shared" si="54"/>
        <v>0</v>
      </c>
      <c r="T512" s="1247" t="str">
        <f>IFERROR(VLOOKUP(P512,RPCChargeCycleDates[],1,FALSE),"")</f>
        <v/>
      </c>
      <c r="U512" s="1248" t="str">
        <f>IFERROR(_xlfn.DAYS(T512,$Q$16)-SUM(U$26:U511),"")</f>
        <v/>
      </c>
      <c r="V512" s="1258">
        <f t="shared" ca="1" si="55"/>
        <v>0</v>
      </c>
      <c r="W512" s="1258">
        <f t="shared" ca="1" si="56"/>
        <v>0</v>
      </c>
      <c r="X512" s="1258" t="e">
        <f t="shared" ca="1" si="57"/>
        <v>#N/A</v>
      </c>
      <c r="Y512" s="1240"/>
      <c r="Z512" s="1240"/>
      <c r="AA512" s="1240"/>
      <c r="AB512" s="1240"/>
      <c r="AC512" s="1254" t="e">
        <f t="shared" si="60"/>
        <v>#NUM!</v>
      </c>
      <c r="AD512" s="1240"/>
      <c r="AE512" s="1240"/>
      <c r="AF512" s="1240"/>
      <c r="AG512" s="1240"/>
      <c r="AH512" s="1240"/>
      <c r="AI512" s="1240"/>
      <c r="AJ512" s="1240"/>
      <c r="AK512" s="1240"/>
      <c r="AL512" s="1240"/>
      <c r="AM512" s="1240"/>
      <c r="AN512" s="1240"/>
      <c r="AO512" s="1240"/>
      <c r="AP512" s="1240"/>
    </row>
    <row r="513" spans="1:42" ht="18.75" customHeight="1" x14ac:dyDescent="0.35">
      <c r="A513" s="1240"/>
      <c r="B513" s="1240"/>
      <c r="C513" s="1240"/>
      <c r="D513" s="1240"/>
      <c r="E513" s="1240"/>
      <c r="F513" s="1240"/>
      <c r="G513" s="1240"/>
      <c r="H513" s="1240"/>
      <c r="I513" s="1240"/>
      <c r="J513" s="1240"/>
      <c r="K513" s="1240"/>
      <c r="L513" s="1240"/>
      <c r="M513" s="1240"/>
      <c r="N513" s="1240"/>
      <c r="O513" s="1240"/>
      <c r="P513" s="1247">
        <f t="shared" si="59"/>
        <v>487</v>
      </c>
      <c r="Q513" s="1253" t="e">
        <f t="shared" ca="1" si="58"/>
        <v>#N/A</v>
      </c>
      <c r="R513" s="1247" t="str">
        <f>IFERROR(VLOOKUP(P513,RPCRepaymentDates[],1,FALSE),"")</f>
        <v/>
      </c>
      <c r="S513" s="1259">
        <f t="shared" si="54"/>
        <v>0</v>
      </c>
      <c r="T513" s="1247" t="str">
        <f>IFERROR(VLOOKUP(P513,RPCChargeCycleDates[],1,FALSE),"")</f>
        <v/>
      </c>
      <c r="U513" s="1248" t="str">
        <f>IFERROR(_xlfn.DAYS(T513,$Q$16)-SUM(U$26:U512),"")</f>
        <v/>
      </c>
      <c r="V513" s="1258">
        <f t="shared" ca="1" si="55"/>
        <v>0</v>
      </c>
      <c r="W513" s="1258">
        <f t="shared" ca="1" si="56"/>
        <v>0</v>
      </c>
      <c r="X513" s="1258" t="e">
        <f t="shared" ca="1" si="57"/>
        <v>#N/A</v>
      </c>
      <c r="Y513" s="1240"/>
      <c r="Z513" s="1240"/>
      <c r="AA513" s="1240"/>
      <c r="AB513" s="1240"/>
      <c r="AC513" s="1254" t="e">
        <f t="shared" si="60"/>
        <v>#NUM!</v>
      </c>
      <c r="AD513" s="1240"/>
      <c r="AE513" s="1240"/>
      <c r="AF513" s="1240"/>
      <c r="AG513" s="1240"/>
      <c r="AH513" s="1240"/>
      <c r="AI513" s="1240"/>
      <c r="AJ513" s="1240"/>
      <c r="AK513" s="1240"/>
      <c r="AL513" s="1240"/>
      <c r="AM513" s="1240"/>
      <c r="AN513" s="1240"/>
      <c r="AO513" s="1240"/>
      <c r="AP513" s="1240"/>
    </row>
    <row r="514" spans="1:42" ht="18.75" customHeight="1" x14ac:dyDescent="0.35">
      <c r="A514" s="1240"/>
      <c r="B514" s="1240"/>
      <c r="C514" s="1240"/>
      <c r="D514" s="1240"/>
      <c r="E514" s="1240"/>
      <c r="F514" s="1240"/>
      <c r="G514" s="1240"/>
      <c r="H514" s="1240"/>
      <c r="I514" s="1240"/>
      <c r="J514" s="1240"/>
      <c r="K514" s="1240"/>
      <c r="L514" s="1240"/>
      <c r="M514" s="1240"/>
      <c r="N514" s="1240"/>
      <c r="O514" s="1240"/>
      <c r="P514" s="1247">
        <f t="shared" si="59"/>
        <v>488</v>
      </c>
      <c r="Q514" s="1253" t="e">
        <f t="shared" ca="1" si="58"/>
        <v>#N/A</v>
      </c>
      <c r="R514" s="1247" t="str">
        <f>IFERROR(VLOOKUP(P514,RPCRepaymentDates[],1,FALSE),"")</f>
        <v/>
      </c>
      <c r="S514" s="1259">
        <f t="shared" si="54"/>
        <v>0</v>
      </c>
      <c r="T514" s="1247" t="str">
        <f>IFERROR(VLOOKUP(P514,RPCChargeCycleDates[],1,FALSE),"")</f>
        <v/>
      </c>
      <c r="U514" s="1248" t="str">
        <f>IFERROR(_xlfn.DAYS(T514,$Q$16)-SUM(U$26:U513),"")</f>
        <v/>
      </c>
      <c r="V514" s="1258">
        <f t="shared" ca="1" si="55"/>
        <v>0</v>
      </c>
      <c r="W514" s="1258">
        <f t="shared" ca="1" si="56"/>
        <v>0</v>
      </c>
      <c r="X514" s="1258" t="e">
        <f t="shared" ca="1" si="57"/>
        <v>#N/A</v>
      </c>
      <c r="Y514" s="1240"/>
      <c r="Z514" s="1240"/>
      <c r="AA514" s="1240"/>
      <c r="AB514" s="1240"/>
      <c r="AC514" s="1254" t="e">
        <f t="shared" si="60"/>
        <v>#NUM!</v>
      </c>
      <c r="AD514" s="1240"/>
      <c r="AE514" s="1240"/>
      <c r="AF514" s="1240"/>
      <c r="AG514" s="1240"/>
      <c r="AH514" s="1240"/>
      <c r="AI514" s="1240"/>
      <c r="AJ514" s="1240"/>
      <c r="AK514" s="1240"/>
      <c r="AL514" s="1240"/>
      <c r="AM514" s="1240"/>
      <c r="AN514" s="1240"/>
      <c r="AO514" s="1240"/>
      <c r="AP514" s="1240"/>
    </row>
    <row r="515" spans="1:42" ht="18.75" customHeight="1" x14ac:dyDescent="0.35">
      <c r="A515" s="1240"/>
      <c r="B515" s="1240"/>
      <c r="C515" s="1240"/>
      <c r="D515" s="1240"/>
      <c r="E515" s="1240"/>
      <c r="F515" s="1240"/>
      <c r="G515" s="1240"/>
      <c r="H515" s="1240"/>
      <c r="I515" s="1240"/>
      <c r="J515" s="1240"/>
      <c r="K515" s="1240"/>
      <c r="L515" s="1240"/>
      <c r="M515" s="1240"/>
      <c r="N515" s="1240"/>
      <c r="O515" s="1240"/>
      <c r="P515" s="1247">
        <f t="shared" si="59"/>
        <v>489</v>
      </c>
      <c r="Q515" s="1253" t="e">
        <f t="shared" ca="1" si="58"/>
        <v>#N/A</v>
      </c>
      <c r="R515" s="1247" t="str">
        <f>IFERROR(VLOOKUP(P515,RPCRepaymentDates[],1,FALSE),"")</f>
        <v/>
      </c>
      <c r="S515" s="1259">
        <f t="shared" si="54"/>
        <v>0</v>
      </c>
      <c r="T515" s="1247" t="str">
        <f>IFERROR(VLOOKUP(P515,RPCChargeCycleDates[],1,FALSE),"")</f>
        <v/>
      </c>
      <c r="U515" s="1248" t="str">
        <f>IFERROR(_xlfn.DAYS(T515,$Q$16)-SUM(U$26:U514),"")</f>
        <v/>
      </c>
      <c r="V515" s="1258">
        <f t="shared" ca="1" si="55"/>
        <v>0</v>
      </c>
      <c r="W515" s="1258">
        <f t="shared" ca="1" si="56"/>
        <v>0</v>
      </c>
      <c r="X515" s="1258" t="e">
        <f t="shared" ca="1" si="57"/>
        <v>#N/A</v>
      </c>
      <c r="Y515" s="1240"/>
      <c r="Z515" s="1240"/>
      <c r="AA515" s="1240"/>
      <c r="AB515" s="1240"/>
      <c r="AC515" s="1254" t="e">
        <f t="shared" si="60"/>
        <v>#NUM!</v>
      </c>
      <c r="AD515" s="1240"/>
      <c r="AE515" s="1240"/>
      <c r="AF515" s="1240"/>
      <c r="AG515" s="1240"/>
      <c r="AH515" s="1240"/>
      <c r="AI515" s="1240"/>
      <c r="AJ515" s="1240"/>
      <c r="AK515" s="1240"/>
      <c r="AL515" s="1240"/>
      <c r="AM515" s="1240"/>
      <c r="AN515" s="1240"/>
      <c r="AO515" s="1240"/>
      <c r="AP515" s="1240"/>
    </row>
    <row r="516" spans="1:42" ht="18.75" customHeight="1" x14ac:dyDescent="0.35">
      <c r="A516" s="1240"/>
      <c r="B516" s="1240"/>
      <c r="C516" s="1240"/>
      <c r="D516" s="1240"/>
      <c r="E516" s="1240"/>
      <c r="F516" s="1240"/>
      <c r="G516" s="1240"/>
      <c r="H516" s="1240"/>
      <c r="I516" s="1240"/>
      <c r="J516" s="1240"/>
      <c r="K516" s="1240"/>
      <c r="L516" s="1240"/>
      <c r="M516" s="1240"/>
      <c r="N516" s="1240"/>
      <c r="O516" s="1240"/>
      <c r="P516" s="1247">
        <f t="shared" si="59"/>
        <v>490</v>
      </c>
      <c r="Q516" s="1253" t="e">
        <f t="shared" ca="1" si="58"/>
        <v>#N/A</v>
      </c>
      <c r="R516" s="1247" t="str">
        <f>IFERROR(VLOOKUP(P516,RPCRepaymentDates[],1,FALSE),"")</f>
        <v/>
      </c>
      <c r="S516" s="1259">
        <f t="shared" si="54"/>
        <v>0</v>
      </c>
      <c r="T516" s="1247" t="str">
        <f>IFERROR(VLOOKUP(P516,RPCChargeCycleDates[],1,FALSE),"")</f>
        <v/>
      </c>
      <c r="U516" s="1248" t="str">
        <f>IFERROR(_xlfn.DAYS(T516,$Q$16)-SUM(U$26:U515),"")</f>
        <v/>
      </c>
      <c r="V516" s="1258">
        <f t="shared" ca="1" si="55"/>
        <v>0</v>
      </c>
      <c r="W516" s="1258">
        <f t="shared" ca="1" si="56"/>
        <v>0</v>
      </c>
      <c r="X516" s="1258" t="e">
        <f t="shared" ca="1" si="57"/>
        <v>#N/A</v>
      </c>
      <c r="Y516" s="1240"/>
      <c r="Z516" s="1240"/>
      <c r="AA516" s="1240"/>
      <c r="AB516" s="1240"/>
      <c r="AC516" s="1254" t="e">
        <f t="shared" si="60"/>
        <v>#NUM!</v>
      </c>
      <c r="AD516" s="1240"/>
      <c r="AE516" s="1240"/>
      <c r="AF516" s="1240"/>
      <c r="AG516" s="1240"/>
      <c r="AH516" s="1240"/>
      <c r="AI516" s="1240"/>
      <c r="AJ516" s="1240"/>
      <c r="AK516" s="1240"/>
      <c r="AL516" s="1240"/>
      <c r="AM516" s="1240"/>
      <c r="AN516" s="1240"/>
      <c r="AO516" s="1240"/>
      <c r="AP516" s="1240"/>
    </row>
    <row r="517" spans="1:42" ht="18.75" customHeight="1" x14ac:dyDescent="0.35">
      <c r="A517" s="1240"/>
      <c r="B517" s="1240"/>
      <c r="C517" s="1240"/>
      <c r="D517" s="1240"/>
      <c r="E517" s="1240"/>
      <c r="F517" s="1240"/>
      <c r="G517" s="1240"/>
      <c r="H517" s="1240"/>
      <c r="I517" s="1240"/>
      <c r="J517" s="1240"/>
      <c r="K517" s="1240"/>
      <c r="L517" s="1240"/>
      <c r="M517" s="1240"/>
      <c r="N517" s="1240"/>
      <c r="O517" s="1240"/>
      <c r="P517" s="1247">
        <f t="shared" si="59"/>
        <v>491</v>
      </c>
      <c r="Q517" s="1253" t="e">
        <f t="shared" ca="1" si="58"/>
        <v>#N/A</v>
      </c>
      <c r="R517" s="1247" t="str">
        <f>IFERROR(VLOOKUP(P517,RPCRepaymentDates[],1,FALSE),"")</f>
        <v/>
      </c>
      <c r="S517" s="1259">
        <f t="shared" si="54"/>
        <v>0</v>
      </c>
      <c r="T517" s="1247" t="str">
        <f>IFERROR(VLOOKUP(P517,RPCChargeCycleDates[],1,FALSE),"")</f>
        <v/>
      </c>
      <c r="U517" s="1248" t="str">
        <f>IFERROR(_xlfn.DAYS(T517,$Q$16)-SUM(U$26:U516),"")</f>
        <v/>
      </c>
      <c r="V517" s="1258">
        <f t="shared" ca="1" si="55"/>
        <v>0</v>
      </c>
      <c r="W517" s="1258">
        <f t="shared" ca="1" si="56"/>
        <v>0</v>
      </c>
      <c r="X517" s="1258" t="e">
        <f t="shared" ca="1" si="57"/>
        <v>#N/A</v>
      </c>
      <c r="Y517" s="1240"/>
      <c r="Z517" s="1240"/>
      <c r="AA517" s="1240"/>
      <c r="AB517" s="1240"/>
      <c r="AC517" s="1254" t="e">
        <f t="shared" si="60"/>
        <v>#NUM!</v>
      </c>
      <c r="AD517" s="1240"/>
      <c r="AE517" s="1240"/>
      <c r="AF517" s="1240"/>
      <c r="AG517" s="1240"/>
      <c r="AH517" s="1240"/>
      <c r="AI517" s="1240"/>
      <c r="AJ517" s="1240"/>
      <c r="AK517" s="1240"/>
      <c r="AL517" s="1240"/>
      <c r="AM517" s="1240"/>
      <c r="AN517" s="1240"/>
      <c r="AO517" s="1240"/>
      <c r="AP517" s="1240"/>
    </row>
    <row r="518" spans="1:42" ht="18.75" customHeight="1" x14ac:dyDescent="0.35">
      <c r="A518" s="1240"/>
      <c r="B518" s="1240"/>
      <c r="C518" s="1240"/>
      <c r="D518" s="1240"/>
      <c r="E518" s="1240"/>
      <c r="F518" s="1240"/>
      <c r="G518" s="1240"/>
      <c r="H518" s="1240"/>
      <c r="I518" s="1240"/>
      <c r="J518" s="1240"/>
      <c r="K518" s="1240"/>
      <c r="L518" s="1240"/>
      <c r="M518" s="1240"/>
      <c r="N518" s="1240"/>
      <c r="O518" s="1240"/>
      <c r="P518" s="1247">
        <f t="shared" si="59"/>
        <v>492</v>
      </c>
      <c r="Q518" s="1253" t="e">
        <f t="shared" ca="1" si="58"/>
        <v>#N/A</v>
      </c>
      <c r="R518" s="1247" t="str">
        <f>IFERROR(VLOOKUP(P518,RPCRepaymentDates[],1,FALSE),"")</f>
        <v/>
      </c>
      <c r="S518" s="1259">
        <f t="shared" si="54"/>
        <v>0</v>
      </c>
      <c r="T518" s="1247" t="str">
        <f>IFERROR(VLOOKUP(P518,RPCChargeCycleDates[],1,FALSE),"")</f>
        <v/>
      </c>
      <c r="U518" s="1248" t="str">
        <f>IFERROR(_xlfn.DAYS(T518,$Q$16)-SUM(U$26:U517),"")</f>
        <v/>
      </c>
      <c r="V518" s="1258">
        <f t="shared" ca="1" si="55"/>
        <v>0</v>
      </c>
      <c r="W518" s="1258">
        <f t="shared" ca="1" si="56"/>
        <v>0</v>
      </c>
      <c r="X518" s="1258" t="e">
        <f t="shared" ca="1" si="57"/>
        <v>#N/A</v>
      </c>
      <c r="Y518" s="1240"/>
      <c r="Z518" s="1240"/>
      <c r="AA518" s="1240"/>
      <c r="AB518" s="1240"/>
      <c r="AC518" s="1254" t="e">
        <f t="shared" si="60"/>
        <v>#NUM!</v>
      </c>
      <c r="AD518" s="1240"/>
      <c r="AE518" s="1240"/>
      <c r="AF518" s="1240"/>
      <c r="AG518" s="1240"/>
      <c r="AH518" s="1240"/>
      <c r="AI518" s="1240"/>
      <c r="AJ518" s="1240"/>
      <c r="AK518" s="1240"/>
      <c r="AL518" s="1240"/>
      <c r="AM518" s="1240"/>
      <c r="AN518" s="1240"/>
      <c r="AO518" s="1240"/>
      <c r="AP518" s="1240"/>
    </row>
    <row r="519" spans="1:42" ht="18.75" customHeight="1" x14ac:dyDescent="0.35">
      <c r="A519" s="1240"/>
      <c r="B519" s="1240"/>
      <c r="C519" s="1240"/>
      <c r="D519" s="1240"/>
      <c r="E519" s="1240"/>
      <c r="F519" s="1240"/>
      <c r="G519" s="1240"/>
      <c r="H519" s="1240"/>
      <c r="I519" s="1240"/>
      <c r="J519" s="1240"/>
      <c r="K519" s="1240"/>
      <c r="L519" s="1240"/>
      <c r="M519" s="1240"/>
      <c r="N519" s="1240"/>
      <c r="O519" s="1240"/>
      <c r="P519" s="1247">
        <f t="shared" si="59"/>
        <v>493</v>
      </c>
      <c r="Q519" s="1253" t="e">
        <f t="shared" ca="1" si="58"/>
        <v>#N/A</v>
      </c>
      <c r="R519" s="1247" t="str">
        <f>IFERROR(VLOOKUP(P519,RPCRepaymentDates[],1,FALSE),"")</f>
        <v/>
      </c>
      <c r="S519" s="1259">
        <f t="shared" si="54"/>
        <v>0</v>
      </c>
      <c r="T519" s="1247" t="str">
        <f>IFERROR(VLOOKUP(P519,RPCChargeCycleDates[],1,FALSE),"")</f>
        <v/>
      </c>
      <c r="U519" s="1248" t="str">
        <f>IFERROR(_xlfn.DAYS(T519,$Q$16)-SUM(U$26:U518),"")</f>
        <v/>
      </c>
      <c r="V519" s="1258">
        <f t="shared" ca="1" si="55"/>
        <v>0</v>
      </c>
      <c r="W519" s="1258">
        <f t="shared" ca="1" si="56"/>
        <v>0</v>
      </c>
      <c r="X519" s="1258" t="e">
        <f t="shared" ca="1" si="57"/>
        <v>#N/A</v>
      </c>
      <c r="Y519" s="1240"/>
      <c r="Z519" s="1240"/>
      <c r="AA519" s="1240"/>
      <c r="AB519" s="1240"/>
      <c r="AC519" s="1254" t="e">
        <f t="shared" si="60"/>
        <v>#NUM!</v>
      </c>
      <c r="AD519" s="1240"/>
      <c r="AE519" s="1240"/>
      <c r="AF519" s="1240"/>
      <c r="AG519" s="1240"/>
      <c r="AH519" s="1240"/>
      <c r="AI519" s="1240"/>
      <c r="AJ519" s="1240"/>
      <c r="AK519" s="1240"/>
      <c r="AL519" s="1240"/>
      <c r="AM519" s="1240"/>
      <c r="AN519" s="1240"/>
      <c r="AO519" s="1240"/>
      <c r="AP519" s="1240"/>
    </row>
    <row r="520" spans="1:42" ht="18.75" customHeight="1" x14ac:dyDescent="0.35">
      <c r="A520" s="1240"/>
      <c r="B520" s="1240"/>
      <c r="C520" s="1240"/>
      <c r="D520" s="1240"/>
      <c r="E520" s="1240"/>
      <c r="F520" s="1240"/>
      <c r="G520" s="1240"/>
      <c r="H520" s="1240"/>
      <c r="I520" s="1240"/>
      <c r="J520" s="1240"/>
      <c r="K520" s="1240"/>
      <c r="L520" s="1240"/>
      <c r="M520" s="1240"/>
      <c r="N520" s="1240"/>
      <c r="O520" s="1240"/>
      <c r="P520" s="1247">
        <f t="shared" si="59"/>
        <v>494</v>
      </c>
      <c r="Q520" s="1253" t="e">
        <f t="shared" ca="1" si="58"/>
        <v>#N/A</v>
      </c>
      <c r="R520" s="1247" t="str">
        <f>IFERROR(VLOOKUP(P520,RPCRepaymentDates[],1,FALSE),"")</f>
        <v/>
      </c>
      <c r="S520" s="1259">
        <f t="shared" si="54"/>
        <v>0</v>
      </c>
      <c r="T520" s="1247" t="str">
        <f>IFERROR(VLOOKUP(P520,RPCChargeCycleDates[],1,FALSE),"")</f>
        <v/>
      </c>
      <c r="U520" s="1248" t="str">
        <f>IFERROR(_xlfn.DAYS(T520,$Q$16)-SUM(U$26:U519),"")</f>
        <v/>
      </c>
      <c r="V520" s="1258">
        <f t="shared" ca="1" si="55"/>
        <v>0</v>
      </c>
      <c r="W520" s="1258">
        <f t="shared" ca="1" si="56"/>
        <v>0</v>
      </c>
      <c r="X520" s="1258" t="e">
        <f t="shared" ca="1" si="57"/>
        <v>#N/A</v>
      </c>
      <c r="Y520" s="1240"/>
      <c r="Z520" s="1240"/>
      <c r="AA520" s="1240"/>
      <c r="AB520" s="1240"/>
      <c r="AC520" s="1254" t="e">
        <f t="shared" si="60"/>
        <v>#NUM!</v>
      </c>
      <c r="AD520" s="1240"/>
      <c r="AE520" s="1240"/>
      <c r="AF520" s="1240"/>
      <c r="AG520" s="1240"/>
      <c r="AH520" s="1240"/>
      <c r="AI520" s="1240"/>
      <c r="AJ520" s="1240"/>
      <c r="AK520" s="1240"/>
      <c r="AL520" s="1240"/>
      <c r="AM520" s="1240"/>
      <c r="AN520" s="1240"/>
      <c r="AO520" s="1240"/>
      <c r="AP520" s="1240"/>
    </row>
    <row r="521" spans="1:42" ht="18.75" customHeight="1" x14ac:dyDescent="0.35">
      <c r="A521" s="1240"/>
      <c r="B521" s="1240"/>
      <c r="C521" s="1240"/>
      <c r="D521" s="1240"/>
      <c r="E521" s="1240"/>
      <c r="F521" s="1240"/>
      <c r="G521" s="1240"/>
      <c r="H521" s="1240"/>
      <c r="I521" s="1240"/>
      <c r="J521" s="1240"/>
      <c r="K521" s="1240"/>
      <c r="L521" s="1240"/>
      <c r="M521" s="1240"/>
      <c r="N521" s="1240"/>
      <c r="O521" s="1240"/>
      <c r="P521" s="1247">
        <f t="shared" si="59"/>
        <v>495</v>
      </c>
      <c r="Q521" s="1253" t="e">
        <f t="shared" ca="1" si="58"/>
        <v>#N/A</v>
      </c>
      <c r="R521" s="1247" t="str">
        <f>IFERROR(VLOOKUP(P521,RPCRepaymentDates[],1,FALSE),"")</f>
        <v/>
      </c>
      <c r="S521" s="1259">
        <f t="shared" si="54"/>
        <v>0</v>
      </c>
      <c r="T521" s="1247" t="str">
        <f>IFERROR(VLOOKUP(P521,RPCChargeCycleDates[],1,FALSE),"")</f>
        <v/>
      </c>
      <c r="U521" s="1248" t="str">
        <f>IFERROR(_xlfn.DAYS(T521,$Q$16)-SUM(U$26:U520),"")</f>
        <v/>
      </c>
      <c r="V521" s="1258">
        <f t="shared" ca="1" si="55"/>
        <v>0</v>
      </c>
      <c r="W521" s="1258">
        <f t="shared" ca="1" si="56"/>
        <v>0</v>
      </c>
      <c r="X521" s="1258" t="e">
        <f t="shared" ca="1" si="57"/>
        <v>#N/A</v>
      </c>
      <c r="Y521" s="1240"/>
      <c r="Z521" s="1240"/>
      <c r="AA521" s="1240"/>
      <c r="AB521" s="1240"/>
      <c r="AC521" s="1254" t="e">
        <f t="shared" si="60"/>
        <v>#NUM!</v>
      </c>
      <c r="AD521" s="1240"/>
      <c r="AE521" s="1240"/>
      <c r="AF521" s="1240"/>
      <c r="AG521" s="1240"/>
      <c r="AH521" s="1240"/>
      <c r="AI521" s="1240"/>
      <c r="AJ521" s="1240"/>
      <c r="AK521" s="1240"/>
      <c r="AL521" s="1240"/>
      <c r="AM521" s="1240"/>
      <c r="AN521" s="1240"/>
      <c r="AO521" s="1240"/>
      <c r="AP521" s="1240"/>
    </row>
    <row r="522" spans="1:42" ht="18.75" customHeight="1" x14ac:dyDescent="0.35">
      <c r="A522" s="1240"/>
      <c r="B522" s="1240"/>
      <c r="C522" s="1240"/>
      <c r="D522" s="1240"/>
      <c r="E522" s="1240"/>
      <c r="F522" s="1240"/>
      <c r="G522" s="1240"/>
      <c r="H522" s="1240"/>
      <c r="I522" s="1240"/>
      <c r="J522" s="1240"/>
      <c r="K522" s="1240"/>
      <c r="L522" s="1240"/>
      <c r="M522" s="1240"/>
      <c r="N522" s="1240"/>
      <c r="O522" s="1240"/>
      <c r="P522" s="1247">
        <f t="shared" si="59"/>
        <v>496</v>
      </c>
      <c r="Q522" s="1253" t="e">
        <f t="shared" ca="1" si="58"/>
        <v>#N/A</v>
      </c>
      <c r="R522" s="1247" t="str">
        <f>IFERROR(VLOOKUP(P522,RPCRepaymentDates[],1,FALSE),"")</f>
        <v/>
      </c>
      <c r="S522" s="1259">
        <f t="shared" si="54"/>
        <v>0</v>
      </c>
      <c r="T522" s="1247" t="str">
        <f>IFERROR(VLOOKUP(P522,RPCChargeCycleDates[],1,FALSE),"")</f>
        <v/>
      </c>
      <c r="U522" s="1248" t="str">
        <f>IFERROR(_xlfn.DAYS(T522,$Q$16)-SUM(U$26:U521),"")</f>
        <v/>
      </c>
      <c r="V522" s="1258">
        <f t="shared" ca="1" si="55"/>
        <v>0</v>
      </c>
      <c r="W522" s="1258">
        <f t="shared" ca="1" si="56"/>
        <v>0</v>
      </c>
      <c r="X522" s="1258" t="e">
        <f t="shared" ca="1" si="57"/>
        <v>#N/A</v>
      </c>
      <c r="Y522" s="1240"/>
      <c r="Z522" s="1240"/>
      <c r="AA522" s="1240"/>
      <c r="AB522" s="1240"/>
      <c r="AC522" s="1254" t="e">
        <f t="shared" si="60"/>
        <v>#NUM!</v>
      </c>
      <c r="AD522" s="1240"/>
      <c r="AE522" s="1240"/>
      <c r="AF522" s="1240"/>
      <c r="AG522" s="1240"/>
      <c r="AH522" s="1240"/>
      <c r="AI522" s="1240"/>
      <c r="AJ522" s="1240"/>
      <c r="AK522" s="1240"/>
      <c r="AL522" s="1240"/>
      <c r="AM522" s="1240"/>
      <c r="AN522" s="1240"/>
      <c r="AO522" s="1240"/>
      <c r="AP522" s="1240"/>
    </row>
    <row r="523" spans="1:42" ht="18.75" customHeight="1" x14ac:dyDescent="0.35">
      <c r="A523" s="1240"/>
      <c r="B523" s="1240"/>
      <c r="C523" s="1240"/>
      <c r="D523" s="1240"/>
      <c r="E523" s="1240"/>
      <c r="F523" s="1240"/>
      <c r="G523" s="1240"/>
      <c r="H523" s="1240"/>
      <c r="I523" s="1240"/>
      <c r="J523" s="1240"/>
      <c r="K523" s="1240"/>
      <c r="L523" s="1240"/>
      <c r="M523" s="1240"/>
      <c r="N523" s="1240"/>
      <c r="O523" s="1240"/>
      <c r="P523" s="1247">
        <f t="shared" si="59"/>
        <v>497</v>
      </c>
      <c r="Q523" s="1253" t="e">
        <f t="shared" ca="1" si="58"/>
        <v>#N/A</v>
      </c>
      <c r="R523" s="1247" t="str">
        <f>IFERROR(VLOOKUP(P523,RPCRepaymentDates[],1,FALSE),"")</f>
        <v/>
      </c>
      <c r="S523" s="1259">
        <f t="shared" si="54"/>
        <v>0</v>
      </c>
      <c r="T523" s="1247" t="str">
        <f>IFERROR(VLOOKUP(P523,RPCChargeCycleDates[],1,FALSE),"")</f>
        <v/>
      </c>
      <c r="U523" s="1248" t="str">
        <f>IFERROR(_xlfn.DAYS(T523,$Q$16)-SUM(U$26:U522),"")</f>
        <v/>
      </c>
      <c r="V523" s="1258">
        <f t="shared" ca="1" si="55"/>
        <v>0</v>
      </c>
      <c r="W523" s="1258">
        <f t="shared" ca="1" si="56"/>
        <v>0</v>
      </c>
      <c r="X523" s="1258" t="e">
        <f t="shared" ca="1" si="57"/>
        <v>#N/A</v>
      </c>
      <c r="Y523" s="1240"/>
      <c r="Z523" s="1240"/>
      <c r="AA523" s="1240"/>
      <c r="AB523" s="1240"/>
      <c r="AC523" s="1254" t="e">
        <f t="shared" si="60"/>
        <v>#NUM!</v>
      </c>
      <c r="AD523" s="1240"/>
      <c r="AE523" s="1240"/>
      <c r="AF523" s="1240"/>
      <c r="AG523" s="1240"/>
      <c r="AH523" s="1240"/>
      <c r="AI523" s="1240"/>
      <c r="AJ523" s="1240"/>
      <c r="AK523" s="1240"/>
      <c r="AL523" s="1240"/>
      <c r="AM523" s="1240"/>
      <c r="AN523" s="1240"/>
      <c r="AO523" s="1240"/>
      <c r="AP523" s="1240"/>
    </row>
    <row r="524" spans="1:42" ht="18.75" customHeight="1" x14ac:dyDescent="0.35">
      <c r="A524" s="1240"/>
      <c r="B524" s="1240"/>
      <c r="C524" s="1240"/>
      <c r="D524" s="1240"/>
      <c r="E524" s="1240"/>
      <c r="F524" s="1240"/>
      <c r="G524" s="1240"/>
      <c r="H524" s="1240"/>
      <c r="I524" s="1240"/>
      <c r="J524" s="1240"/>
      <c r="K524" s="1240"/>
      <c r="L524" s="1240"/>
      <c r="M524" s="1240"/>
      <c r="N524" s="1240"/>
      <c r="O524" s="1240"/>
      <c r="P524" s="1247">
        <f t="shared" si="59"/>
        <v>498</v>
      </c>
      <c r="Q524" s="1253" t="e">
        <f t="shared" ca="1" si="58"/>
        <v>#N/A</v>
      </c>
      <c r="R524" s="1247" t="str">
        <f>IFERROR(VLOOKUP(P524,RPCRepaymentDates[],1,FALSE),"")</f>
        <v/>
      </c>
      <c r="S524" s="1259">
        <f t="shared" si="54"/>
        <v>0</v>
      </c>
      <c r="T524" s="1247" t="str">
        <f>IFERROR(VLOOKUP(P524,RPCChargeCycleDates[],1,FALSE),"")</f>
        <v/>
      </c>
      <c r="U524" s="1248" t="str">
        <f>IFERROR(_xlfn.DAYS(T524,$Q$16)-SUM(U$26:U523),"")</f>
        <v/>
      </c>
      <c r="V524" s="1258">
        <f t="shared" ca="1" si="55"/>
        <v>0</v>
      </c>
      <c r="W524" s="1258">
        <f t="shared" ca="1" si="56"/>
        <v>0</v>
      </c>
      <c r="X524" s="1258" t="e">
        <f t="shared" ca="1" si="57"/>
        <v>#N/A</v>
      </c>
      <c r="Y524" s="1240"/>
      <c r="Z524" s="1240"/>
      <c r="AA524" s="1240"/>
      <c r="AB524" s="1240"/>
      <c r="AC524" s="1254" t="e">
        <f t="shared" si="60"/>
        <v>#NUM!</v>
      </c>
      <c r="AD524" s="1240"/>
      <c r="AE524" s="1240"/>
      <c r="AF524" s="1240"/>
      <c r="AG524" s="1240"/>
      <c r="AH524" s="1240"/>
      <c r="AI524" s="1240"/>
      <c r="AJ524" s="1240"/>
      <c r="AK524" s="1240"/>
      <c r="AL524" s="1240"/>
      <c r="AM524" s="1240"/>
      <c r="AN524" s="1240"/>
      <c r="AO524" s="1240"/>
      <c r="AP524" s="1240"/>
    </row>
    <row r="525" spans="1:42" ht="18.75" customHeight="1" x14ac:dyDescent="0.35">
      <c r="A525" s="1240"/>
      <c r="B525" s="1240"/>
      <c r="C525" s="1240"/>
      <c r="D525" s="1240"/>
      <c r="E525" s="1240"/>
      <c r="F525" s="1240"/>
      <c r="G525" s="1240"/>
      <c r="H525" s="1240"/>
      <c r="I525" s="1240"/>
      <c r="J525" s="1240"/>
      <c r="K525" s="1240"/>
      <c r="L525" s="1240"/>
      <c r="M525" s="1240"/>
      <c r="N525" s="1240"/>
      <c r="O525" s="1240"/>
      <c r="P525" s="1247">
        <f t="shared" si="59"/>
        <v>499</v>
      </c>
      <c r="Q525" s="1253" t="e">
        <f t="shared" ca="1" si="58"/>
        <v>#N/A</v>
      </c>
      <c r="R525" s="1247" t="str">
        <f>IFERROR(VLOOKUP(P525,RPCRepaymentDates[],1,FALSE),"")</f>
        <v/>
      </c>
      <c r="S525" s="1259">
        <f t="shared" si="54"/>
        <v>0</v>
      </c>
      <c r="T525" s="1247" t="str">
        <f>IFERROR(VLOOKUP(P525,RPCChargeCycleDates[],1,FALSE),"")</f>
        <v/>
      </c>
      <c r="U525" s="1248" t="str">
        <f>IFERROR(_xlfn.DAYS(T525,$Q$16)-SUM(U$26:U524),"")</f>
        <v/>
      </c>
      <c r="V525" s="1258">
        <f t="shared" ca="1" si="55"/>
        <v>0</v>
      </c>
      <c r="W525" s="1258">
        <f t="shared" ca="1" si="56"/>
        <v>0</v>
      </c>
      <c r="X525" s="1258" t="e">
        <f t="shared" ca="1" si="57"/>
        <v>#N/A</v>
      </c>
      <c r="Y525" s="1240"/>
      <c r="Z525" s="1240"/>
      <c r="AA525" s="1240"/>
      <c r="AB525" s="1240"/>
      <c r="AC525" s="1254" t="e">
        <f t="shared" si="60"/>
        <v>#NUM!</v>
      </c>
      <c r="AD525" s="1240"/>
      <c r="AE525" s="1240"/>
      <c r="AF525" s="1240"/>
      <c r="AG525" s="1240"/>
      <c r="AH525" s="1240"/>
      <c r="AI525" s="1240"/>
      <c r="AJ525" s="1240"/>
      <c r="AK525" s="1240"/>
      <c r="AL525" s="1240"/>
      <c r="AM525" s="1240"/>
      <c r="AN525" s="1240"/>
      <c r="AO525" s="1240"/>
      <c r="AP525" s="1240"/>
    </row>
    <row r="526" spans="1:42" ht="18.75" customHeight="1" x14ac:dyDescent="0.35">
      <c r="A526" s="1240"/>
      <c r="B526" s="1240"/>
      <c r="C526" s="1240"/>
      <c r="D526" s="1240"/>
      <c r="E526" s="1240"/>
      <c r="F526" s="1240"/>
      <c r="G526" s="1240"/>
      <c r="H526" s="1240"/>
      <c r="I526" s="1240"/>
      <c r="J526" s="1240"/>
      <c r="K526" s="1240"/>
      <c r="L526" s="1240"/>
      <c r="M526" s="1240"/>
      <c r="N526" s="1240"/>
      <c r="O526" s="1240"/>
      <c r="P526" s="1247">
        <f t="shared" si="59"/>
        <v>500</v>
      </c>
      <c r="Q526" s="1253" t="e">
        <f t="shared" ca="1" si="58"/>
        <v>#N/A</v>
      </c>
      <c r="R526" s="1247" t="str">
        <f>IFERROR(VLOOKUP(P526,RPCRepaymentDates[],1,FALSE),"")</f>
        <v/>
      </c>
      <c r="S526" s="1259">
        <f t="shared" si="54"/>
        <v>0</v>
      </c>
      <c r="T526" s="1247" t="str">
        <f>IFERROR(VLOOKUP(P526,RPCChargeCycleDates[],1,FALSE),"")</f>
        <v/>
      </c>
      <c r="U526" s="1248" t="str">
        <f>IFERROR(_xlfn.DAYS(T526,$Q$16)-SUM(U$26:U525),"")</f>
        <v/>
      </c>
      <c r="V526" s="1258">
        <f t="shared" ca="1" si="55"/>
        <v>0</v>
      </c>
      <c r="W526" s="1258">
        <f t="shared" ca="1" si="56"/>
        <v>0</v>
      </c>
      <c r="X526" s="1258" t="e">
        <f t="shared" ca="1" si="57"/>
        <v>#N/A</v>
      </c>
      <c r="Y526" s="1240"/>
      <c r="Z526" s="1240"/>
      <c r="AA526" s="1240"/>
      <c r="AB526" s="1240"/>
      <c r="AC526" s="1254" t="e">
        <f t="shared" si="60"/>
        <v>#NUM!</v>
      </c>
      <c r="AD526" s="1240"/>
      <c r="AE526" s="1240"/>
      <c r="AF526" s="1240"/>
      <c r="AG526" s="1240"/>
      <c r="AH526" s="1240"/>
      <c r="AI526" s="1240"/>
      <c r="AJ526" s="1240"/>
      <c r="AK526" s="1240"/>
      <c r="AL526" s="1240"/>
      <c r="AM526" s="1240"/>
      <c r="AN526" s="1240"/>
      <c r="AO526" s="1240"/>
      <c r="AP526" s="1240"/>
    </row>
    <row r="527" spans="1:42" ht="18.75" customHeight="1" x14ac:dyDescent="0.35">
      <c r="A527" s="1240"/>
      <c r="B527" s="1240"/>
      <c r="C527" s="1240"/>
      <c r="D527" s="1240"/>
      <c r="E527" s="1240"/>
      <c r="F527" s="1240"/>
      <c r="G527" s="1240"/>
      <c r="H527" s="1240"/>
      <c r="I527" s="1240"/>
      <c r="J527" s="1240"/>
      <c r="K527" s="1240"/>
      <c r="L527" s="1240"/>
      <c r="M527" s="1240"/>
      <c r="N527" s="1240"/>
      <c r="O527" s="1240"/>
      <c r="P527" s="1247">
        <f t="shared" si="59"/>
        <v>501</v>
      </c>
      <c r="Q527" s="1253" t="e">
        <f t="shared" ca="1" si="58"/>
        <v>#N/A</v>
      </c>
      <c r="R527" s="1247" t="str">
        <f>IFERROR(VLOOKUP(P527,RPCRepaymentDates[],1,FALSE),"")</f>
        <v/>
      </c>
      <c r="S527" s="1259">
        <f t="shared" si="54"/>
        <v>0</v>
      </c>
      <c r="T527" s="1247" t="str">
        <f>IFERROR(VLOOKUP(P527,RPCChargeCycleDates[],1,FALSE),"")</f>
        <v/>
      </c>
      <c r="U527" s="1248" t="str">
        <f>IFERROR(_xlfn.DAYS(T527,$Q$16)-SUM(U$26:U526),"")</f>
        <v/>
      </c>
      <c r="V527" s="1258">
        <f t="shared" ca="1" si="55"/>
        <v>0</v>
      </c>
      <c r="W527" s="1258">
        <f t="shared" ca="1" si="56"/>
        <v>0</v>
      </c>
      <c r="X527" s="1258" t="e">
        <f t="shared" ca="1" si="57"/>
        <v>#N/A</v>
      </c>
      <c r="Y527" s="1240"/>
      <c r="Z527" s="1240"/>
      <c r="AA527" s="1240"/>
      <c r="AB527" s="1240"/>
      <c r="AC527" s="1254" t="e">
        <f t="shared" si="60"/>
        <v>#NUM!</v>
      </c>
      <c r="AD527" s="1240"/>
      <c r="AE527" s="1240"/>
      <c r="AF527" s="1240"/>
      <c r="AG527" s="1240"/>
      <c r="AH527" s="1240"/>
      <c r="AI527" s="1240"/>
      <c r="AJ527" s="1240"/>
      <c r="AK527" s="1240"/>
      <c r="AL527" s="1240"/>
      <c r="AM527" s="1240"/>
      <c r="AN527" s="1240"/>
      <c r="AO527" s="1240"/>
      <c r="AP527" s="1240"/>
    </row>
    <row r="528" spans="1:42" ht="18.75" customHeight="1" x14ac:dyDescent="0.35">
      <c r="A528" s="1240"/>
      <c r="B528" s="1240"/>
      <c r="C528" s="1240"/>
      <c r="D528" s="1240"/>
      <c r="E528" s="1240"/>
      <c r="F528" s="1240"/>
      <c r="G528" s="1240"/>
      <c r="H528" s="1240"/>
      <c r="I528" s="1240"/>
      <c r="J528" s="1240"/>
      <c r="K528" s="1240"/>
      <c r="L528" s="1240"/>
      <c r="M528" s="1240"/>
      <c r="N528" s="1240"/>
      <c r="O528" s="1240"/>
      <c r="P528" s="1247">
        <f t="shared" si="59"/>
        <v>502</v>
      </c>
      <c r="Q528" s="1253" t="e">
        <f t="shared" ca="1" si="58"/>
        <v>#N/A</v>
      </c>
      <c r="R528" s="1247" t="str">
        <f>IFERROR(VLOOKUP(P528,RPCRepaymentDates[],1,FALSE),"")</f>
        <v/>
      </c>
      <c r="S528" s="1259">
        <f t="shared" si="54"/>
        <v>0</v>
      </c>
      <c r="T528" s="1247" t="str">
        <f>IFERROR(VLOOKUP(P528,RPCChargeCycleDates[],1,FALSE),"")</f>
        <v/>
      </c>
      <c r="U528" s="1248" t="str">
        <f>IFERROR(_xlfn.DAYS(T528,$Q$16)-SUM(U$26:U527),"")</f>
        <v/>
      </c>
      <c r="V528" s="1258">
        <f t="shared" ca="1" si="55"/>
        <v>0</v>
      </c>
      <c r="W528" s="1258">
        <f t="shared" ca="1" si="56"/>
        <v>0</v>
      </c>
      <c r="X528" s="1258" t="e">
        <f t="shared" ca="1" si="57"/>
        <v>#N/A</v>
      </c>
      <c r="Y528" s="1240"/>
      <c r="Z528" s="1240"/>
      <c r="AA528" s="1240"/>
      <c r="AB528" s="1240"/>
      <c r="AC528" s="1254" t="e">
        <f t="shared" si="60"/>
        <v>#NUM!</v>
      </c>
      <c r="AD528" s="1240"/>
      <c r="AE528" s="1240"/>
      <c r="AF528" s="1240"/>
      <c r="AG528" s="1240"/>
      <c r="AH528" s="1240"/>
      <c r="AI528" s="1240"/>
      <c r="AJ528" s="1240"/>
      <c r="AK528" s="1240"/>
      <c r="AL528" s="1240"/>
      <c r="AM528" s="1240"/>
      <c r="AN528" s="1240"/>
      <c r="AO528" s="1240"/>
      <c r="AP528" s="1240"/>
    </row>
    <row r="529" spans="1:42" ht="18.75" customHeight="1" x14ac:dyDescent="0.35">
      <c r="A529" s="1240"/>
      <c r="B529" s="1240"/>
      <c r="C529" s="1240"/>
      <c r="D529" s="1240"/>
      <c r="E529" s="1240"/>
      <c r="F529" s="1240"/>
      <c r="G529" s="1240"/>
      <c r="H529" s="1240"/>
      <c r="I529" s="1240"/>
      <c r="J529" s="1240"/>
      <c r="K529" s="1240"/>
      <c r="L529" s="1240"/>
      <c r="M529" s="1240"/>
      <c r="N529" s="1240"/>
      <c r="O529" s="1240"/>
      <c r="P529" s="1247">
        <f t="shared" si="59"/>
        <v>503</v>
      </c>
      <c r="Q529" s="1253" t="e">
        <f t="shared" ca="1" si="58"/>
        <v>#N/A</v>
      </c>
      <c r="R529" s="1247" t="str">
        <f>IFERROR(VLOOKUP(P529,RPCRepaymentDates[],1,FALSE),"")</f>
        <v/>
      </c>
      <c r="S529" s="1259">
        <f t="shared" si="54"/>
        <v>0</v>
      </c>
      <c r="T529" s="1247" t="str">
        <f>IFERROR(VLOOKUP(P529,RPCChargeCycleDates[],1,FALSE),"")</f>
        <v/>
      </c>
      <c r="U529" s="1248" t="str">
        <f>IFERROR(_xlfn.DAYS(T529,$Q$16)-SUM(U$26:U528),"")</f>
        <v/>
      </c>
      <c r="V529" s="1258">
        <f t="shared" ca="1" si="55"/>
        <v>0</v>
      </c>
      <c r="W529" s="1258">
        <f t="shared" ca="1" si="56"/>
        <v>0</v>
      </c>
      <c r="X529" s="1258" t="e">
        <f t="shared" ca="1" si="57"/>
        <v>#N/A</v>
      </c>
      <c r="Y529" s="1240"/>
      <c r="Z529" s="1240"/>
      <c r="AA529" s="1240"/>
      <c r="AB529" s="1240"/>
      <c r="AC529" s="1254" t="e">
        <f t="shared" si="60"/>
        <v>#NUM!</v>
      </c>
      <c r="AD529" s="1240"/>
      <c r="AE529" s="1240"/>
      <c r="AF529" s="1240"/>
      <c r="AG529" s="1240"/>
      <c r="AH529" s="1240"/>
      <c r="AI529" s="1240"/>
      <c r="AJ529" s="1240"/>
      <c r="AK529" s="1240"/>
      <c r="AL529" s="1240"/>
      <c r="AM529" s="1240"/>
      <c r="AN529" s="1240"/>
      <c r="AO529" s="1240"/>
      <c r="AP529" s="1240"/>
    </row>
    <row r="530" spans="1:42" ht="18.75" customHeight="1" x14ac:dyDescent="0.35">
      <c r="A530" s="1240"/>
      <c r="B530" s="1240"/>
      <c r="C530" s="1240"/>
      <c r="D530" s="1240"/>
      <c r="E530" s="1240"/>
      <c r="F530" s="1240"/>
      <c r="G530" s="1240"/>
      <c r="H530" s="1240"/>
      <c r="I530" s="1240"/>
      <c r="J530" s="1240"/>
      <c r="K530" s="1240"/>
      <c r="L530" s="1240"/>
      <c r="M530" s="1240"/>
      <c r="N530" s="1240"/>
      <c r="O530" s="1240"/>
      <c r="P530" s="1247">
        <f t="shared" si="59"/>
        <v>504</v>
      </c>
      <c r="Q530" s="1253" t="e">
        <f t="shared" ca="1" si="58"/>
        <v>#N/A</v>
      </c>
      <c r="R530" s="1247" t="str">
        <f>IFERROR(VLOOKUP(P530,RPCRepaymentDates[],1,FALSE),"")</f>
        <v/>
      </c>
      <c r="S530" s="1259">
        <f t="shared" si="54"/>
        <v>0</v>
      </c>
      <c r="T530" s="1247" t="str">
        <f>IFERROR(VLOOKUP(P530,RPCChargeCycleDates[],1,FALSE),"")</f>
        <v/>
      </c>
      <c r="U530" s="1248" t="str">
        <f>IFERROR(_xlfn.DAYS(T530,$Q$16)-SUM(U$26:U529),"")</f>
        <v/>
      </c>
      <c r="V530" s="1258">
        <f t="shared" ca="1" si="55"/>
        <v>0</v>
      </c>
      <c r="W530" s="1258">
        <f t="shared" ca="1" si="56"/>
        <v>0</v>
      </c>
      <c r="X530" s="1258" t="e">
        <f t="shared" ca="1" si="57"/>
        <v>#N/A</v>
      </c>
      <c r="Y530" s="1240"/>
      <c r="Z530" s="1240"/>
      <c r="AA530" s="1240"/>
      <c r="AB530" s="1240"/>
      <c r="AC530" s="1254" t="e">
        <f t="shared" si="60"/>
        <v>#NUM!</v>
      </c>
      <c r="AD530" s="1240"/>
      <c r="AE530" s="1240"/>
      <c r="AF530" s="1240"/>
      <c r="AG530" s="1240"/>
      <c r="AH530" s="1240"/>
      <c r="AI530" s="1240"/>
      <c r="AJ530" s="1240"/>
      <c r="AK530" s="1240"/>
      <c r="AL530" s="1240"/>
      <c r="AM530" s="1240"/>
      <c r="AN530" s="1240"/>
      <c r="AO530" s="1240"/>
      <c r="AP530" s="1240"/>
    </row>
    <row r="531" spans="1:42" ht="18.75" customHeight="1" x14ac:dyDescent="0.35">
      <c r="A531" s="1240"/>
      <c r="B531" s="1240"/>
      <c r="C531" s="1240"/>
      <c r="D531" s="1240"/>
      <c r="E531" s="1240"/>
      <c r="F531" s="1240"/>
      <c r="G531" s="1240"/>
      <c r="H531" s="1240"/>
      <c r="I531" s="1240"/>
      <c r="J531" s="1240"/>
      <c r="K531" s="1240"/>
      <c r="L531" s="1240"/>
      <c r="M531" s="1240"/>
      <c r="N531" s="1240"/>
      <c r="O531" s="1240"/>
      <c r="P531" s="1247">
        <f t="shared" si="59"/>
        <v>505</v>
      </c>
      <c r="Q531" s="1253" t="e">
        <f t="shared" ca="1" si="58"/>
        <v>#N/A</v>
      </c>
      <c r="R531" s="1247" t="str">
        <f>IFERROR(VLOOKUP(P531,RPCRepaymentDates[],1,FALSE),"")</f>
        <v/>
      </c>
      <c r="S531" s="1259">
        <f t="shared" si="54"/>
        <v>0</v>
      </c>
      <c r="T531" s="1247" t="str">
        <f>IFERROR(VLOOKUP(P531,RPCChargeCycleDates[],1,FALSE),"")</f>
        <v/>
      </c>
      <c r="U531" s="1248" t="str">
        <f>IFERROR(_xlfn.DAYS(T531,$Q$16)-SUM(U$26:U530),"")</f>
        <v/>
      </c>
      <c r="V531" s="1258">
        <f t="shared" ca="1" si="55"/>
        <v>0</v>
      </c>
      <c r="W531" s="1258">
        <f t="shared" ca="1" si="56"/>
        <v>0</v>
      </c>
      <c r="X531" s="1258" t="e">
        <f t="shared" ca="1" si="57"/>
        <v>#N/A</v>
      </c>
      <c r="Y531" s="1240"/>
      <c r="Z531" s="1240"/>
      <c r="AA531" s="1240"/>
      <c r="AB531" s="1240"/>
      <c r="AC531" s="1254" t="e">
        <f t="shared" si="60"/>
        <v>#NUM!</v>
      </c>
      <c r="AD531" s="1240"/>
      <c r="AE531" s="1240"/>
      <c r="AF531" s="1240"/>
      <c r="AG531" s="1240"/>
      <c r="AH531" s="1240"/>
      <c r="AI531" s="1240"/>
      <c r="AJ531" s="1240"/>
      <c r="AK531" s="1240"/>
      <c r="AL531" s="1240"/>
      <c r="AM531" s="1240"/>
      <c r="AN531" s="1240"/>
      <c r="AO531" s="1240"/>
      <c r="AP531" s="1240"/>
    </row>
    <row r="532" spans="1:42" ht="18.75" customHeight="1" x14ac:dyDescent="0.35">
      <c r="A532" s="1240"/>
      <c r="B532" s="1240"/>
      <c r="C532" s="1240"/>
      <c r="D532" s="1240"/>
      <c r="E532" s="1240"/>
      <c r="F532" s="1240"/>
      <c r="G532" s="1240"/>
      <c r="H532" s="1240"/>
      <c r="I532" s="1240"/>
      <c r="J532" s="1240"/>
      <c r="K532" s="1240"/>
      <c r="L532" s="1240"/>
      <c r="M532" s="1240"/>
      <c r="N532" s="1240"/>
      <c r="O532" s="1240"/>
      <c r="P532" s="1247">
        <f t="shared" si="59"/>
        <v>506</v>
      </c>
      <c r="Q532" s="1253" t="e">
        <f t="shared" ca="1" si="58"/>
        <v>#N/A</v>
      </c>
      <c r="R532" s="1247" t="str">
        <f>IFERROR(VLOOKUP(P532,RPCRepaymentDates[],1,FALSE),"")</f>
        <v/>
      </c>
      <c r="S532" s="1259">
        <f t="shared" si="54"/>
        <v>0</v>
      </c>
      <c r="T532" s="1247" t="str">
        <f>IFERROR(VLOOKUP(P532,RPCChargeCycleDates[],1,FALSE),"")</f>
        <v/>
      </c>
      <c r="U532" s="1248" t="str">
        <f>IFERROR(_xlfn.DAYS(T532,$Q$16)-SUM(U$26:U531),"")</f>
        <v/>
      </c>
      <c r="V532" s="1258">
        <f t="shared" ca="1" si="55"/>
        <v>0</v>
      </c>
      <c r="W532" s="1258">
        <f t="shared" ca="1" si="56"/>
        <v>0</v>
      </c>
      <c r="X532" s="1258" t="e">
        <f t="shared" ca="1" si="57"/>
        <v>#N/A</v>
      </c>
      <c r="Y532" s="1240"/>
      <c r="Z532" s="1240"/>
      <c r="AA532" s="1240"/>
      <c r="AB532" s="1240"/>
      <c r="AC532" s="1254" t="e">
        <f t="shared" si="60"/>
        <v>#NUM!</v>
      </c>
      <c r="AD532" s="1240"/>
      <c r="AE532" s="1240"/>
      <c r="AF532" s="1240"/>
      <c r="AG532" s="1240"/>
      <c r="AH532" s="1240"/>
      <c r="AI532" s="1240"/>
      <c r="AJ532" s="1240"/>
      <c r="AK532" s="1240"/>
      <c r="AL532" s="1240"/>
      <c r="AM532" s="1240"/>
      <c r="AN532" s="1240"/>
      <c r="AO532" s="1240"/>
      <c r="AP532" s="1240"/>
    </row>
    <row r="533" spans="1:42" ht="18.75" customHeight="1" x14ac:dyDescent="0.35">
      <c r="A533" s="1240"/>
      <c r="B533" s="1240"/>
      <c r="C533" s="1240"/>
      <c r="D533" s="1240"/>
      <c r="E533" s="1240"/>
      <c r="F533" s="1240"/>
      <c r="G533" s="1240"/>
      <c r="H533" s="1240"/>
      <c r="I533" s="1240"/>
      <c r="J533" s="1240"/>
      <c r="K533" s="1240"/>
      <c r="L533" s="1240"/>
      <c r="M533" s="1240"/>
      <c r="N533" s="1240"/>
      <c r="O533" s="1240"/>
      <c r="P533" s="1247">
        <f t="shared" si="59"/>
        <v>507</v>
      </c>
      <c r="Q533" s="1253" t="e">
        <f t="shared" ca="1" si="58"/>
        <v>#N/A</v>
      </c>
      <c r="R533" s="1247" t="str">
        <f>IFERROR(VLOOKUP(P533,RPCRepaymentDates[],1,FALSE),"")</f>
        <v/>
      </c>
      <c r="S533" s="1259">
        <f t="shared" si="54"/>
        <v>0</v>
      </c>
      <c r="T533" s="1247" t="str">
        <f>IFERROR(VLOOKUP(P533,RPCChargeCycleDates[],1,FALSE),"")</f>
        <v/>
      </c>
      <c r="U533" s="1248" t="str">
        <f>IFERROR(_xlfn.DAYS(T533,$Q$16)-SUM(U$26:U532),"")</f>
        <v/>
      </c>
      <c r="V533" s="1258">
        <f t="shared" ca="1" si="55"/>
        <v>0</v>
      </c>
      <c r="W533" s="1258">
        <f t="shared" ca="1" si="56"/>
        <v>0</v>
      </c>
      <c r="X533" s="1258" t="e">
        <f t="shared" ca="1" si="57"/>
        <v>#N/A</v>
      </c>
      <c r="Y533" s="1240"/>
      <c r="Z533" s="1240"/>
      <c r="AA533" s="1240"/>
      <c r="AB533" s="1240"/>
      <c r="AC533" s="1254" t="e">
        <f t="shared" si="60"/>
        <v>#NUM!</v>
      </c>
      <c r="AD533" s="1240"/>
      <c r="AE533" s="1240"/>
      <c r="AF533" s="1240"/>
      <c r="AG533" s="1240"/>
      <c r="AH533" s="1240"/>
      <c r="AI533" s="1240"/>
      <c r="AJ533" s="1240"/>
      <c r="AK533" s="1240"/>
      <c r="AL533" s="1240"/>
      <c r="AM533" s="1240"/>
      <c r="AN533" s="1240"/>
      <c r="AO533" s="1240"/>
      <c r="AP533" s="1240"/>
    </row>
    <row r="534" spans="1:42" ht="18.75" customHeight="1" x14ac:dyDescent="0.35">
      <c r="A534" s="1240"/>
      <c r="B534" s="1240"/>
      <c r="C534" s="1240"/>
      <c r="D534" s="1240"/>
      <c r="E534" s="1240"/>
      <c r="F534" s="1240"/>
      <c r="G534" s="1240"/>
      <c r="H534" s="1240"/>
      <c r="I534" s="1240"/>
      <c r="J534" s="1240"/>
      <c r="K534" s="1240"/>
      <c r="L534" s="1240"/>
      <c r="M534" s="1240"/>
      <c r="N534" s="1240"/>
      <c r="O534" s="1240"/>
      <c r="P534" s="1247">
        <f t="shared" si="59"/>
        <v>508</v>
      </c>
      <c r="Q534" s="1253" t="e">
        <f t="shared" ca="1" si="58"/>
        <v>#N/A</v>
      </c>
      <c r="R534" s="1247" t="str">
        <f>IFERROR(VLOOKUP(P534,RPCRepaymentDates[],1,FALSE),"")</f>
        <v/>
      </c>
      <c r="S534" s="1259">
        <f t="shared" si="54"/>
        <v>0</v>
      </c>
      <c r="T534" s="1247" t="str">
        <f>IFERROR(VLOOKUP(P534,RPCChargeCycleDates[],1,FALSE),"")</f>
        <v/>
      </c>
      <c r="U534" s="1248" t="str">
        <f>IFERROR(_xlfn.DAYS(T534,$Q$16)-SUM(U$26:U533),"")</f>
        <v/>
      </c>
      <c r="V534" s="1258">
        <f t="shared" ca="1" si="55"/>
        <v>0</v>
      </c>
      <c r="W534" s="1258">
        <f t="shared" ca="1" si="56"/>
        <v>0</v>
      </c>
      <c r="X534" s="1258" t="e">
        <f t="shared" ca="1" si="57"/>
        <v>#N/A</v>
      </c>
      <c r="Y534" s="1240"/>
      <c r="Z534" s="1240"/>
      <c r="AA534" s="1240"/>
      <c r="AB534" s="1240"/>
      <c r="AC534" s="1254" t="e">
        <f t="shared" si="60"/>
        <v>#NUM!</v>
      </c>
      <c r="AD534" s="1240"/>
      <c r="AE534" s="1240"/>
      <c r="AF534" s="1240"/>
      <c r="AG534" s="1240"/>
      <c r="AH534" s="1240"/>
      <c r="AI534" s="1240"/>
      <c r="AJ534" s="1240"/>
      <c r="AK534" s="1240"/>
      <c r="AL534" s="1240"/>
      <c r="AM534" s="1240"/>
      <c r="AN534" s="1240"/>
      <c r="AO534" s="1240"/>
      <c r="AP534" s="1240"/>
    </row>
    <row r="535" spans="1:42" ht="18.75" customHeight="1" x14ac:dyDescent="0.35">
      <c r="A535" s="1240"/>
      <c r="B535" s="1240"/>
      <c r="C535" s="1240"/>
      <c r="D535" s="1240"/>
      <c r="E535" s="1240"/>
      <c r="F535" s="1240"/>
      <c r="G535" s="1240"/>
      <c r="H535" s="1240"/>
      <c r="I535" s="1240"/>
      <c r="J535" s="1240"/>
      <c r="K535" s="1240"/>
      <c r="L535" s="1240"/>
      <c r="M535" s="1240"/>
      <c r="N535" s="1240"/>
      <c r="O535" s="1240"/>
      <c r="P535" s="1247">
        <f t="shared" si="59"/>
        <v>509</v>
      </c>
      <c r="Q535" s="1253" t="e">
        <f t="shared" ca="1" si="58"/>
        <v>#N/A</v>
      </c>
      <c r="R535" s="1247" t="str">
        <f>IFERROR(VLOOKUP(P535,RPCRepaymentDates[],1,FALSE),"")</f>
        <v/>
      </c>
      <c r="S535" s="1259">
        <f t="shared" si="54"/>
        <v>0</v>
      </c>
      <c r="T535" s="1247" t="str">
        <f>IFERROR(VLOOKUP(P535,RPCChargeCycleDates[],1,FALSE),"")</f>
        <v/>
      </c>
      <c r="U535" s="1248" t="str">
        <f>IFERROR(_xlfn.DAYS(T535,$Q$16)-SUM(U$26:U534),"")</f>
        <v/>
      </c>
      <c r="V535" s="1258">
        <f t="shared" ca="1" si="55"/>
        <v>0</v>
      </c>
      <c r="W535" s="1258">
        <f t="shared" ca="1" si="56"/>
        <v>0</v>
      </c>
      <c r="X535" s="1258" t="e">
        <f t="shared" ca="1" si="57"/>
        <v>#N/A</v>
      </c>
      <c r="Y535" s="1240"/>
      <c r="Z535" s="1240"/>
      <c r="AA535" s="1240"/>
      <c r="AB535" s="1240"/>
      <c r="AC535" s="1254" t="e">
        <f t="shared" si="60"/>
        <v>#NUM!</v>
      </c>
      <c r="AD535" s="1240"/>
      <c r="AE535" s="1240"/>
      <c r="AF535" s="1240"/>
      <c r="AG535" s="1240"/>
      <c r="AH535" s="1240"/>
      <c r="AI535" s="1240"/>
      <c r="AJ535" s="1240"/>
      <c r="AK535" s="1240"/>
      <c r="AL535" s="1240"/>
      <c r="AM535" s="1240"/>
      <c r="AN535" s="1240"/>
      <c r="AO535" s="1240"/>
      <c r="AP535" s="1240"/>
    </row>
    <row r="536" spans="1:42" ht="18.75" customHeight="1" x14ac:dyDescent="0.35">
      <c r="A536" s="1240"/>
      <c r="B536" s="1240"/>
      <c r="C536" s="1240"/>
      <c r="D536" s="1240"/>
      <c r="E536" s="1240"/>
      <c r="F536" s="1240"/>
      <c r="G536" s="1240"/>
      <c r="H536" s="1240"/>
      <c r="I536" s="1240"/>
      <c r="J536" s="1240"/>
      <c r="K536" s="1240"/>
      <c r="L536" s="1240"/>
      <c r="M536" s="1240"/>
      <c r="N536" s="1240"/>
      <c r="O536" s="1240"/>
      <c r="P536" s="1247">
        <f t="shared" si="59"/>
        <v>510</v>
      </c>
      <c r="Q536" s="1253" t="e">
        <f t="shared" ca="1" si="58"/>
        <v>#N/A</v>
      </c>
      <c r="R536" s="1247" t="str">
        <f>IFERROR(VLOOKUP(P536,RPCRepaymentDates[],1,FALSE),"")</f>
        <v/>
      </c>
      <c r="S536" s="1259">
        <f t="shared" si="54"/>
        <v>0</v>
      </c>
      <c r="T536" s="1247" t="str">
        <f>IFERROR(VLOOKUP(P536,RPCChargeCycleDates[],1,FALSE),"")</f>
        <v/>
      </c>
      <c r="U536" s="1248" t="str">
        <f>IFERROR(_xlfn.DAYS(T536,$Q$16)-SUM(U$26:U535),"")</f>
        <v/>
      </c>
      <c r="V536" s="1258">
        <f t="shared" ca="1" si="55"/>
        <v>0</v>
      </c>
      <c r="W536" s="1258">
        <f t="shared" ca="1" si="56"/>
        <v>0</v>
      </c>
      <c r="X536" s="1258" t="e">
        <f t="shared" ca="1" si="57"/>
        <v>#N/A</v>
      </c>
      <c r="Y536" s="1240"/>
      <c r="Z536" s="1240"/>
      <c r="AA536" s="1240"/>
      <c r="AB536" s="1240"/>
      <c r="AC536" s="1254" t="e">
        <f t="shared" si="60"/>
        <v>#NUM!</v>
      </c>
      <c r="AD536" s="1240"/>
      <c r="AE536" s="1240"/>
      <c r="AF536" s="1240"/>
      <c r="AG536" s="1240"/>
      <c r="AH536" s="1240"/>
      <c r="AI536" s="1240"/>
      <c r="AJ536" s="1240"/>
      <c r="AK536" s="1240"/>
      <c r="AL536" s="1240"/>
      <c r="AM536" s="1240"/>
      <c r="AN536" s="1240"/>
      <c r="AO536" s="1240"/>
      <c r="AP536" s="1240"/>
    </row>
    <row r="537" spans="1:42" ht="18.75" customHeight="1" x14ac:dyDescent="0.35">
      <c r="A537" s="1240"/>
      <c r="B537" s="1240"/>
      <c r="C537" s="1240"/>
      <c r="D537" s="1240"/>
      <c r="E537" s="1240"/>
      <c r="F537" s="1240"/>
      <c r="G537" s="1240"/>
      <c r="H537" s="1240"/>
      <c r="I537" s="1240"/>
      <c r="J537" s="1240"/>
      <c r="K537" s="1240"/>
      <c r="L537" s="1240"/>
      <c r="M537" s="1240"/>
      <c r="N537" s="1240"/>
      <c r="O537" s="1240"/>
      <c r="P537" s="1247">
        <f t="shared" si="59"/>
        <v>511</v>
      </c>
      <c r="Q537" s="1253" t="e">
        <f t="shared" ca="1" si="58"/>
        <v>#N/A</v>
      </c>
      <c r="R537" s="1247" t="str">
        <f>IFERROR(VLOOKUP(P537,RPCRepaymentDates[],1,FALSE),"")</f>
        <v/>
      </c>
      <c r="S537" s="1259">
        <f t="shared" si="54"/>
        <v>0</v>
      </c>
      <c r="T537" s="1247" t="str">
        <f>IFERROR(VLOOKUP(P537,RPCChargeCycleDates[],1,FALSE),"")</f>
        <v/>
      </c>
      <c r="U537" s="1248" t="str">
        <f>IFERROR(_xlfn.DAYS(T537,$Q$16)-SUM(U$26:U536),"")</f>
        <v/>
      </c>
      <c r="V537" s="1258">
        <f t="shared" ca="1" si="55"/>
        <v>0</v>
      </c>
      <c r="W537" s="1258">
        <f t="shared" ca="1" si="56"/>
        <v>0</v>
      </c>
      <c r="X537" s="1258" t="e">
        <f t="shared" ca="1" si="57"/>
        <v>#N/A</v>
      </c>
      <c r="Y537" s="1240"/>
      <c r="Z537" s="1240"/>
      <c r="AA537" s="1240"/>
      <c r="AB537" s="1240"/>
      <c r="AC537" s="1254" t="e">
        <f t="shared" si="60"/>
        <v>#NUM!</v>
      </c>
      <c r="AD537" s="1240"/>
      <c r="AE537" s="1240"/>
      <c r="AF537" s="1240"/>
      <c r="AG537" s="1240"/>
      <c r="AH537" s="1240"/>
      <c r="AI537" s="1240"/>
      <c r="AJ537" s="1240"/>
      <c r="AK537" s="1240"/>
      <c r="AL537" s="1240"/>
      <c r="AM537" s="1240"/>
      <c r="AN537" s="1240"/>
      <c r="AO537" s="1240"/>
      <c r="AP537" s="1240"/>
    </row>
    <row r="538" spans="1:42" ht="18.75" customHeight="1" x14ac:dyDescent="0.35">
      <c r="A538" s="1240"/>
      <c r="B538" s="1240"/>
      <c r="C538" s="1240"/>
      <c r="D538" s="1240"/>
      <c r="E538" s="1240"/>
      <c r="F538" s="1240"/>
      <c r="G538" s="1240"/>
      <c r="H538" s="1240"/>
      <c r="I538" s="1240"/>
      <c r="J538" s="1240"/>
      <c r="K538" s="1240"/>
      <c r="L538" s="1240"/>
      <c r="M538" s="1240"/>
      <c r="N538" s="1240"/>
      <c r="O538" s="1240"/>
      <c r="P538" s="1247">
        <f t="shared" si="59"/>
        <v>512</v>
      </c>
      <c r="Q538" s="1253" t="e">
        <f t="shared" ca="1" si="58"/>
        <v>#N/A</v>
      </c>
      <c r="R538" s="1247" t="str">
        <f>IFERROR(VLOOKUP(P538,RPCRepaymentDates[],1,FALSE),"")</f>
        <v/>
      </c>
      <c r="S538" s="1259">
        <f t="shared" ref="S538:S601" si="61">IF(P538=R538,IF(R538&lt;RPCNextPaymentTransferDate,0,IF(OR(R538&lt;RPCPauseStartDate,R538&gt;RPCPauseEndDate),RPCCurrentRepayment,RPCPauseRepayment)),0)</f>
        <v>0</v>
      </c>
      <c r="T538" s="1247" t="str">
        <f>IFERROR(VLOOKUP(P538,RPCChargeCycleDates[],1,FALSE),"")</f>
        <v/>
      </c>
      <c r="U538" s="1248" t="str">
        <f>IFERROR(_xlfn.DAYS(T538,$Q$16)-SUM(U$26:U537),"")</f>
        <v/>
      </c>
      <c r="V538" s="1258">
        <f t="shared" ref="V538:V601" ca="1" si="62">IFERROR((Q538-S538)*(1/RPCDaysInYear)*RPCInterestRate,0)</f>
        <v>0</v>
      </c>
      <c r="W538" s="1258">
        <f t="shared" ref="W538:W601" ca="1" si="63">IFERROR(IF(T538=P538,SUM(OFFSET(V538,-U538+1,0,U538,1)),0),0)</f>
        <v>0</v>
      </c>
      <c r="X538" s="1258" t="e">
        <f t="shared" ref="X538:X601" ca="1" si="64">Q538-S538+W538</f>
        <v>#N/A</v>
      </c>
      <c r="Y538" s="1240"/>
      <c r="Z538" s="1240"/>
      <c r="AA538" s="1240"/>
      <c r="AB538" s="1240"/>
      <c r="AC538" s="1254" t="e">
        <f t="shared" si="60"/>
        <v>#NUM!</v>
      </c>
      <c r="AD538" s="1240"/>
      <c r="AE538" s="1240"/>
      <c r="AF538" s="1240"/>
      <c r="AG538" s="1240"/>
      <c r="AH538" s="1240"/>
      <c r="AI538" s="1240"/>
      <c r="AJ538" s="1240"/>
      <c r="AK538" s="1240"/>
      <c r="AL538" s="1240"/>
      <c r="AM538" s="1240"/>
      <c r="AN538" s="1240"/>
      <c r="AO538" s="1240"/>
      <c r="AP538" s="1240"/>
    </row>
    <row r="539" spans="1:42" ht="18.75" customHeight="1" x14ac:dyDescent="0.35">
      <c r="A539" s="1240"/>
      <c r="B539" s="1240"/>
      <c r="C539" s="1240"/>
      <c r="D539" s="1240"/>
      <c r="E539" s="1240"/>
      <c r="F539" s="1240"/>
      <c r="G539" s="1240"/>
      <c r="H539" s="1240"/>
      <c r="I539" s="1240"/>
      <c r="J539" s="1240"/>
      <c r="K539" s="1240"/>
      <c r="L539" s="1240"/>
      <c r="M539" s="1240"/>
      <c r="N539" s="1240"/>
      <c r="O539" s="1240"/>
      <c r="P539" s="1247">
        <f t="shared" si="59"/>
        <v>513</v>
      </c>
      <c r="Q539" s="1253" t="e">
        <f t="shared" ref="Q539:Q602" ca="1" si="65">X538</f>
        <v>#N/A</v>
      </c>
      <c r="R539" s="1247" t="str">
        <f>IFERROR(VLOOKUP(P539,RPCRepaymentDates[],1,FALSE),"")</f>
        <v/>
      </c>
      <c r="S539" s="1259">
        <f t="shared" si="61"/>
        <v>0</v>
      </c>
      <c r="T539" s="1247" t="str">
        <f>IFERROR(VLOOKUP(P539,RPCChargeCycleDates[],1,FALSE),"")</f>
        <v/>
      </c>
      <c r="U539" s="1248" t="str">
        <f>IFERROR(_xlfn.DAYS(T539,$Q$16)-SUM(U$26:U538),"")</f>
        <v/>
      </c>
      <c r="V539" s="1258">
        <f t="shared" ca="1" si="62"/>
        <v>0</v>
      </c>
      <c r="W539" s="1258">
        <f t="shared" ca="1" si="63"/>
        <v>0</v>
      </c>
      <c r="X539" s="1258" t="e">
        <f t="shared" ca="1" si="64"/>
        <v>#N/A</v>
      </c>
      <c r="Y539" s="1240"/>
      <c r="Z539" s="1240"/>
      <c r="AA539" s="1240"/>
      <c r="AB539" s="1240"/>
      <c r="AC539" s="1254" t="e">
        <f t="shared" si="60"/>
        <v>#NUM!</v>
      </c>
      <c r="AD539" s="1240"/>
      <c r="AE539" s="1240"/>
      <c r="AF539" s="1240"/>
      <c r="AG539" s="1240"/>
      <c r="AH539" s="1240"/>
      <c r="AI539" s="1240"/>
      <c r="AJ539" s="1240"/>
      <c r="AK539" s="1240"/>
      <c r="AL539" s="1240"/>
      <c r="AM539" s="1240"/>
      <c r="AN539" s="1240"/>
      <c r="AO539" s="1240"/>
      <c r="AP539" s="1240"/>
    </row>
    <row r="540" spans="1:42" ht="18.75" customHeight="1" x14ac:dyDescent="0.35">
      <c r="A540" s="1240"/>
      <c r="B540" s="1240"/>
      <c r="C540" s="1240"/>
      <c r="D540" s="1240"/>
      <c r="E540" s="1240"/>
      <c r="F540" s="1240"/>
      <c r="G540" s="1240"/>
      <c r="H540" s="1240"/>
      <c r="I540" s="1240"/>
      <c r="J540" s="1240"/>
      <c r="K540" s="1240"/>
      <c r="L540" s="1240"/>
      <c r="M540" s="1240"/>
      <c r="N540" s="1240"/>
      <c r="O540" s="1240"/>
      <c r="P540" s="1247">
        <f t="shared" si="59"/>
        <v>514</v>
      </c>
      <c r="Q540" s="1253" t="e">
        <f t="shared" ca="1" si="65"/>
        <v>#N/A</v>
      </c>
      <c r="R540" s="1247" t="str">
        <f>IFERROR(VLOOKUP(P540,RPCRepaymentDates[],1,FALSE),"")</f>
        <v/>
      </c>
      <c r="S540" s="1259">
        <f t="shared" si="61"/>
        <v>0</v>
      </c>
      <c r="T540" s="1247">
        <f>IFERROR(VLOOKUP(P540,RPCChargeCycleDates[],1,FALSE),"")</f>
        <v>514</v>
      </c>
      <c r="U540" s="1248">
        <f>IFERROR(_xlfn.DAYS(T540,$Q$16)-SUM(U$26:U539),"")</f>
        <v>30</v>
      </c>
      <c r="V540" s="1258">
        <f t="shared" ca="1" si="62"/>
        <v>0</v>
      </c>
      <c r="W540" s="1258">
        <f t="shared" ca="1" si="63"/>
        <v>0</v>
      </c>
      <c r="X540" s="1258" t="e">
        <f t="shared" ca="1" si="64"/>
        <v>#N/A</v>
      </c>
      <c r="Y540" s="1240"/>
      <c r="Z540" s="1240"/>
      <c r="AA540" s="1240"/>
      <c r="AB540" s="1240"/>
      <c r="AC540" s="1254" t="e">
        <f t="shared" si="60"/>
        <v>#NUM!</v>
      </c>
      <c r="AD540" s="1240"/>
      <c r="AE540" s="1240"/>
      <c r="AF540" s="1240"/>
      <c r="AG540" s="1240"/>
      <c r="AH540" s="1240"/>
      <c r="AI540" s="1240"/>
      <c r="AJ540" s="1240"/>
      <c r="AK540" s="1240"/>
      <c r="AL540" s="1240"/>
      <c r="AM540" s="1240"/>
      <c r="AN540" s="1240"/>
      <c r="AO540" s="1240"/>
      <c r="AP540" s="1240"/>
    </row>
    <row r="541" spans="1:42" ht="18.75" customHeight="1" x14ac:dyDescent="0.35">
      <c r="A541" s="1240"/>
      <c r="B541" s="1240"/>
      <c r="C541" s="1240"/>
      <c r="D541" s="1240"/>
      <c r="E541" s="1240"/>
      <c r="F541" s="1240"/>
      <c r="G541" s="1240"/>
      <c r="H541" s="1240"/>
      <c r="I541" s="1240"/>
      <c r="J541" s="1240"/>
      <c r="K541" s="1240"/>
      <c r="L541" s="1240"/>
      <c r="M541" s="1240"/>
      <c r="N541" s="1240"/>
      <c r="O541" s="1240"/>
      <c r="P541" s="1247">
        <f t="shared" si="59"/>
        <v>515</v>
      </c>
      <c r="Q541" s="1253" t="e">
        <f t="shared" ca="1" si="65"/>
        <v>#N/A</v>
      </c>
      <c r="R541" s="1247" t="str">
        <f>IFERROR(VLOOKUP(P541,RPCRepaymentDates[],1,FALSE),"")</f>
        <v/>
      </c>
      <c r="S541" s="1259">
        <f t="shared" si="61"/>
        <v>0</v>
      </c>
      <c r="T541" s="1247" t="str">
        <f>IFERROR(VLOOKUP(P541,RPCChargeCycleDates[],1,FALSE),"")</f>
        <v/>
      </c>
      <c r="U541" s="1248" t="str">
        <f>IFERROR(_xlfn.DAYS(T541,$Q$16)-SUM(U$26:U540),"")</f>
        <v/>
      </c>
      <c r="V541" s="1258">
        <f t="shared" ca="1" si="62"/>
        <v>0</v>
      </c>
      <c r="W541" s="1258">
        <f t="shared" ca="1" si="63"/>
        <v>0</v>
      </c>
      <c r="X541" s="1258" t="e">
        <f t="shared" ca="1" si="64"/>
        <v>#N/A</v>
      </c>
      <c r="Y541" s="1240"/>
      <c r="Z541" s="1240"/>
      <c r="AA541" s="1240"/>
      <c r="AB541" s="1240"/>
      <c r="AC541" s="1254" t="e">
        <f t="shared" si="60"/>
        <v>#NUM!</v>
      </c>
      <c r="AD541" s="1240"/>
      <c r="AE541" s="1240"/>
      <c r="AF541" s="1240"/>
      <c r="AG541" s="1240"/>
      <c r="AH541" s="1240"/>
      <c r="AI541" s="1240"/>
      <c r="AJ541" s="1240"/>
      <c r="AK541" s="1240"/>
      <c r="AL541" s="1240"/>
      <c r="AM541" s="1240"/>
      <c r="AN541" s="1240"/>
      <c r="AO541" s="1240"/>
      <c r="AP541" s="1240"/>
    </row>
    <row r="542" spans="1:42" ht="18.75" customHeight="1" x14ac:dyDescent="0.35">
      <c r="A542" s="1240"/>
      <c r="B542" s="1240"/>
      <c r="C542" s="1240"/>
      <c r="D542" s="1240"/>
      <c r="E542" s="1240"/>
      <c r="F542" s="1240"/>
      <c r="G542" s="1240"/>
      <c r="H542" s="1240"/>
      <c r="I542" s="1240"/>
      <c r="J542" s="1240"/>
      <c r="K542" s="1240"/>
      <c r="L542" s="1240"/>
      <c r="M542" s="1240"/>
      <c r="N542" s="1240"/>
      <c r="O542" s="1240"/>
      <c r="P542" s="1247">
        <f t="shared" si="59"/>
        <v>516</v>
      </c>
      <c r="Q542" s="1253" t="e">
        <f t="shared" ca="1" si="65"/>
        <v>#N/A</v>
      </c>
      <c r="R542" s="1247" t="str">
        <f>IFERROR(VLOOKUP(P542,RPCRepaymentDates[],1,FALSE),"")</f>
        <v/>
      </c>
      <c r="S542" s="1259">
        <f t="shared" si="61"/>
        <v>0</v>
      </c>
      <c r="T542" s="1247" t="str">
        <f>IFERROR(VLOOKUP(P542,RPCChargeCycleDates[],1,FALSE),"")</f>
        <v/>
      </c>
      <c r="U542" s="1248" t="str">
        <f>IFERROR(_xlfn.DAYS(T542,$Q$16)-SUM(U$26:U541),"")</f>
        <v/>
      </c>
      <c r="V542" s="1258">
        <f t="shared" ca="1" si="62"/>
        <v>0</v>
      </c>
      <c r="W542" s="1258">
        <f t="shared" ca="1" si="63"/>
        <v>0</v>
      </c>
      <c r="X542" s="1258" t="e">
        <f t="shared" ca="1" si="64"/>
        <v>#N/A</v>
      </c>
      <c r="Y542" s="1240"/>
      <c r="Z542" s="1240"/>
      <c r="AA542" s="1240"/>
      <c r="AB542" s="1240"/>
      <c r="AC542" s="1254" t="e">
        <f t="shared" si="60"/>
        <v>#NUM!</v>
      </c>
      <c r="AD542" s="1240"/>
      <c r="AE542" s="1240"/>
      <c r="AF542" s="1240"/>
      <c r="AG542" s="1240"/>
      <c r="AH542" s="1240"/>
      <c r="AI542" s="1240"/>
      <c r="AJ542" s="1240"/>
      <c r="AK542" s="1240"/>
      <c r="AL542" s="1240"/>
      <c r="AM542" s="1240"/>
      <c r="AN542" s="1240"/>
      <c r="AO542" s="1240"/>
      <c r="AP542" s="1240"/>
    </row>
    <row r="543" spans="1:42" ht="18.75" customHeight="1" x14ac:dyDescent="0.35">
      <c r="A543" s="1240"/>
      <c r="B543" s="1240"/>
      <c r="C543" s="1240"/>
      <c r="D543" s="1240"/>
      <c r="E543" s="1240"/>
      <c r="F543" s="1240"/>
      <c r="G543" s="1240"/>
      <c r="H543" s="1240"/>
      <c r="I543" s="1240"/>
      <c r="J543" s="1240"/>
      <c r="K543" s="1240"/>
      <c r="L543" s="1240"/>
      <c r="M543" s="1240"/>
      <c r="N543" s="1240"/>
      <c r="O543" s="1240"/>
      <c r="P543" s="1247">
        <f t="shared" si="59"/>
        <v>517</v>
      </c>
      <c r="Q543" s="1253" t="e">
        <f t="shared" ca="1" si="65"/>
        <v>#N/A</v>
      </c>
      <c r="R543" s="1247" t="str">
        <f>IFERROR(VLOOKUP(P543,RPCRepaymentDates[],1,FALSE),"")</f>
        <v/>
      </c>
      <c r="S543" s="1259">
        <f t="shared" si="61"/>
        <v>0</v>
      </c>
      <c r="T543" s="1247" t="str">
        <f>IFERROR(VLOOKUP(P543,RPCChargeCycleDates[],1,FALSE),"")</f>
        <v/>
      </c>
      <c r="U543" s="1248" t="str">
        <f>IFERROR(_xlfn.DAYS(T543,$Q$16)-SUM(U$26:U542),"")</f>
        <v/>
      </c>
      <c r="V543" s="1258">
        <f t="shared" ca="1" si="62"/>
        <v>0</v>
      </c>
      <c r="W543" s="1258">
        <f t="shared" ca="1" si="63"/>
        <v>0</v>
      </c>
      <c r="X543" s="1258" t="e">
        <f t="shared" ca="1" si="64"/>
        <v>#N/A</v>
      </c>
      <c r="Y543" s="1240"/>
      <c r="Z543" s="1240"/>
      <c r="AA543" s="1240"/>
      <c r="AB543" s="1240"/>
      <c r="AC543" s="1254" t="e">
        <f t="shared" si="60"/>
        <v>#NUM!</v>
      </c>
      <c r="AD543" s="1240"/>
      <c r="AE543" s="1240"/>
      <c r="AF543" s="1240"/>
      <c r="AG543" s="1240"/>
      <c r="AH543" s="1240"/>
      <c r="AI543" s="1240"/>
      <c r="AJ543" s="1240"/>
      <c r="AK543" s="1240"/>
      <c r="AL543" s="1240"/>
      <c r="AM543" s="1240"/>
      <c r="AN543" s="1240"/>
      <c r="AO543" s="1240"/>
      <c r="AP543" s="1240"/>
    </row>
    <row r="544" spans="1:42" ht="18.75" customHeight="1" x14ac:dyDescent="0.35">
      <c r="A544" s="1240"/>
      <c r="B544" s="1240"/>
      <c r="C544" s="1240"/>
      <c r="D544" s="1240"/>
      <c r="E544" s="1240"/>
      <c r="F544" s="1240"/>
      <c r="G544" s="1240"/>
      <c r="H544" s="1240"/>
      <c r="I544" s="1240"/>
      <c r="J544" s="1240"/>
      <c r="K544" s="1240"/>
      <c r="L544" s="1240"/>
      <c r="M544" s="1240"/>
      <c r="N544" s="1240"/>
      <c r="O544" s="1240"/>
      <c r="P544" s="1247">
        <f t="shared" si="59"/>
        <v>518</v>
      </c>
      <c r="Q544" s="1253" t="e">
        <f t="shared" ca="1" si="65"/>
        <v>#N/A</v>
      </c>
      <c r="R544" s="1247" t="str">
        <f>IFERROR(VLOOKUP(P544,RPCRepaymentDates[],1,FALSE),"")</f>
        <v/>
      </c>
      <c r="S544" s="1259">
        <f t="shared" si="61"/>
        <v>0</v>
      </c>
      <c r="T544" s="1247" t="str">
        <f>IFERROR(VLOOKUP(P544,RPCChargeCycleDates[],1,FALSE),"")</f>
        <v/>
      </c>
      <c r="U544" s="1248" t="str">
        <f>IFERROR(_xlfn.DAYS(T544,$Q$16)-SUM(U$26:U543),"")</f>
        <v/>
      </c>
      <c r="V544" s="1258">
        <f t="shared" ca="1" si="62"/>
        <v>0</v>
      </c>
      <c r="W544" s="1258">
        <f t="shared" ca="1" si="63"/>
        <v>0</v>
      </c>
      <c r="X544" s="1258" t="e">
        <f t="shared" ca="1" si="64"/>
        <v>#N/A</v>
      </c>
      <c r="Y544" s="1240"/>
      <c r="Z544" s="1240"/>
      <c r="AA544" s="1240"/>
      <c r="AB544" s="1240"/>
      <c r="AC544" s="1254" t="e">
        <f t="shared" si="60"/>
        <v>#NUM!</v>
      </c>
      <c r="AD544" s="1240"/>
      <c r="AE544" s="1240"/>
      <c r="AF544" s="1240"/>
      <c r="AG544" s="1240"/>
      <c r="AH544" s="1240"/>
      <c r="AI544" s="1240"/>
      <c r="AJ544" s="1240"/>
      <c r="AK544" s="1240"/>
      <c r="AL544" s="1240"/>
      <c r="AM544" s="1240"/>
      <c r="AN544" s="1240"/>
      <c r="AO544" s="1240"/>
      <c r="AP544" s="1240"/>
    </row>
    <row r="545" spans="1:42" ht="18.75" customHeight="1" x14ac:dyDescent="0.35">
      <c r="A545" s="1240"/>
      <c r="B545" s="1240"/>
      <c r="C545" s="1240"/>
      <c r="D545" s="1240"/>
      <c r="E545" s="1240"/>
      <c r="F545" s="1240"/>
      <c r="G545" s="1240"/>
      <c r="H545" s="1240"/>
      <c r="I545" s="1240"/>
      <c r="J545" s="1240"/>
      <c r="K545" s="1240"/>
      <c r="L545" s="1240"/>
      <c r="M545" s="1240"/>
      <c r="N545" s="1240"/>
      <c r="O545" s="1240"/>
      <c r="P545" s="1247">
        <f t="shared" si="59"/>
        <v>519</v>
      </c>
      <c r="Q545" s="1253" t="e">
        <f t="shared" ca="1" si="65"/>
        <v>#N/A</v>
      </c>
      <c r="R545" s="1247" t="str">
        <f>IFERROR(VLOOKUP(P545,RPCRepaymentDates[],1,FALSE),"")</f>
        <v/>
      </c>
      <c r="S545" s="1259">
        <f t="shared" si="61"/>
        <v>0</v>
      </c>
      <c r="T545" s="1247" t="str">
        <f>IFERROR(VLOOKUP(P545,RPCChargeCycleDates[],1,FALSE),"")</f>
        <v/>
      </c>
      <c r="U545" s="1248" t="str">
        <f>IFERROR(_xlfn.DAYS(T545,$Q$16)-SUM(U$26:U544),"")</f>
        <v/>
      </c>
      <c r="V545" s="1258">
        <f t="shared" ca="1" si="62"/>
        <v>0</v>
      </c>
      <c r="W545" s="1258">
        <f t="shared" ca="1" si="63"/>
        <v>0</v>
      </c>
      <c r="X545" s="1258" t="e">
        <f t="shared" ca="1" si="64"/>
        <v>#N/A</v>
      </c>
      <c r="Y545" s="1240"/>
      <c r="Z545" s="1240"/>
      <c r="AA545" s="1240"/>
      <c r="AB545" s="1240"/>
      <c r="AC545" s="1254" t="e">
        <f t="shared" si="60"/>
        <v>#NUM!</v>
      </c>
      <c r="AD545" s="1240"/>
      <c r="AE545" s="1240"/>
      <c r="AF545" s="1240"/>
      <c r="AG545" s="1240"/>
      <c r="AH545" s="1240"/>
      <c r="AI545" s="1240"/>
      <c r="AJ545" s="1240"/>
      <c r="AK545" s="1240"/>
      <c r="AL545" s="1240"/>
      <c r="AM545" s="1240"/>
      <c r="AN545" s="1240"/>
      <c r="AO545" s="1240"/>
      <c r="AP545" s="1240"/>
    </row>
    <row r="546" spans="1:42" ht="18.75" customHeight="1" x14ac:dyDescent="0.35">
      <c r="A546" s="1240"/>
      <c r="B546" s="1240"/>
      <c r="C546" s="1240"/>
      <c r="D546" s="1240"/>
      <c r="E546" s="1240"/>
      <c r="F546" s="1240"/>
      <c r="G546" s="1240"/>
      <c r="H546" s="1240"/>
      <c r="I546" s="1240"/>
      <c r="J546" s="1240"/>
      <c r="K546" s="1240"/>
      <c r="L546" s="1240"/>
      <c r="M546" s="1240"/>
      <c r="N546" s="1240"/>
      <c r="O546" s="1240"/>
      <c r="P546" s="1247">
        <f t="shared" si="59"/>
        <v>520</v>
      </c>
      <c r="Q546" s="1253" t="e">
        <f t="shared" ca="1" si="65"/>
        <v>#N/A</v>
      </c>
      <c r="R546" s="1247" t="str">
        <f>IFERROR(VLOOKUP(P546,RPCRepaymentDates[],1,FALSE),"")</f>
        <v/>
      </c>
      <c r="S546" s="1259">
        <f t="shared" si="61"/>
        <v>0</v>
      </c>
      <c r="T546" s="1247" t="str">
        <f>IFERROR(VLOOKUP(P546,RPCChargeCycleDates[],1,FALSE),"")</f>
        <v/>
      </c>
      <c r="U546" s="1248" t="str">
        <f>IFERROR(_xlfn.DAYS(T546,$Q$16)-SUM(U$26:U545),"")</f>
        <v/>
      </c>
      <c r="V546" s="1258">
        <f t="shared" ca="1" si="62"/>
        <v>0</v>
      </c>
      <c r="W546" s="1258">
        <f t="shared" ca="1" si="63"/>
        <v>0</v>
      </c>
      <c r="X546" s="1258" t="e">
        <f t="shared" ca="1" si="64"/>
        <v>#N/A</v>
      </c>
      <c r="Y546" s="1240"/>
      <c r="Z546" s="1240"/>
      <c r="AA546" s="1240"/>
      <c r="AB546" s="1240"/>
      <c r="AC546" s="1254" t="e">
        <f t="shared" si="60"/>
        <v>#NUM!</v>
      </c>
      <c r="AD546" s="1240"/>
      <c r="AE546" s="1240"/>
      <c r="AF546" s="1240"/>
      <c r="AG546" s="1240"/>
      <c r="AH546" s="1240"/>
      <c r="AI546" s="1240"/>
      <c r="AJ546" s="1240"/>
      <c r="AK546" s="1240"/>
      <c r="AL546" s="1240"/>
      <c r="AM546" s="1240"/>
      <c r="AN546" s="1240"/>
      <c r="AO546" s="1240"/>
      <c r="AP546" s="1240"/>
    </row>
    <row r="547" spans="1:42" ht="18.75" customHeight="1" x14ac:dyDescent="0.35">
      <c r="A547" s="1240"/>
      <c r="B547" s="1240"/>
      <c r="C547" s="1240"/>
      <c r="D547" s="1240"/>
      <c r="E547" s="1240"/>
      <c r="F547" s="1240"/>
      <c r="G547" s="1240"/>
      <c r="H547" s="1240"/>
      <c r="I547" s="1240"/>
      <c r="J547" s="1240"/>
      <c r="K547" s="1240"/>
      <c r="L547" s="1240"/>
      <c r="M547" s="1240"/>
      <c r="N547" s="1240"/>
      <c r="O547" s="1240"/>
      <c r="P547" s="1247">
        <f t="shared" si="59"/>
        <v>521</v>
      </c>
      <c r="Q547" s="1253" t="e">
        <f t="shared" ca="1" si="65"/>
        <v>#N/A</v>
      </c>
      <c r="R547" s="1247" t="str">
        <f>IFERROR(VLOOKUP(P547,RPCRepaymentDates[],1,FALSE),"")</f>
        <v/>
      </c>
      <c r="S547" s="1259">
        <f t="shared" si="61"/>
        <v>0</v>
      </c>
      <c r="T547" s="1247" t="str">
        <f>IFERROR(VLOOKUP(P547,RPCChargeCycleDates[],1,FALSE),"")</f>
        <v/>
      </c>
      <c r="U547" s="1248" t="str">
        <f>IFERROR(_xlfn.DAYS(T547,$Q$16)-SUM(U$26:U546),"")</f>
        <v/>
      </c>
      <c r="V547" s="1258">
        <f t="shared" ca="1" si="62"/>
        <v>0</v>
      </c>
      <c r="W547" s="1258">
        <f t="shared" ca="1" si="63"/>
        <v>0</v>
      </c>
      <c r="X547" s="1258" t="e">
        <f t="shared" ca="1" si="64"/>
        <v>#N/A</v>
      </c>
      <c r="Y547" s="1240"/>
      <c r="Z547" s="1240"/>
      <c r="AA547" s="1240"/>
      <c r="AB547" s="1240"/>
      <c r="AC547" s="1254" t="e">
        <f t="shared" si="60"/>
        <v>#NUM!</v>
      </c>
      <c r="AD547" s="1240"/>
      <c r="AE547" s="1240"/>
      <c r="AF547" s="1240"/>
      <c r="AG547" s="1240"/>
      <c r="AH547" s="1240"/>
      <c r="AI547" s="1240"/>
      <c r="AJ547" s="1240"/>
      <c r="AK547" s="1240"/>
      <c r="AL547" s="1240"/>
      <c r="AM547" s="1240"/>
      <c r="AN547" s="1240"/>
      <c r="AO547" s="1240"/>
      <c r="AP547" s="1240"/>
    </row>
    <row r="548" spans="1:42" ht="18.75" customHeight="1" x14ac:dyDescent="0.35">
      <c r="A548" s="1240"/>
      <c r="B548" s="1240"/>
      <c r="C548" s="1240"/>
      <c r="D548" s="1240"/>
      <c r="E548" s="1240"/>
      <c r="F548" s="1240"/>
      <c r="G548" s="1240"/>
      <c r="H548" s="1240"/>
      <c r="I548" s="1240"/>
      <c r="J548" s="1240"/>
      <c r="K548" s="1240"/>
      <c r="L548" s="1240"/>
      <c r="M548" s="1240"/>
      <c r="N548" s="1240"/>
      <c r="O548" s="1240"/>
      <c r="P548" s="1247">
        <f t="shared" si="59"/>
        <v>522</v>
      </c>
      <c r="Q548" s="1253" t="e">
        <f t="shared" ca="1" si="65"/>
        <v>#N/A</v>
      </c>
      <c r="R548" s="1247" t="str">
        <f>IFERROR(VLOOKUP(P548,RPCRepaymentDates[],1,FALSE),"")</f>
        <v/>
      </c>
      <c r="S548" s="1259">
        <f t="shared" si="61"/>
        <v>0</v>
      </c>
      <c r="T548" s="1247" t="str">
        <f>IFERROR(VLOOKUP(P548,RPCChargeCycleDates[],1,FALSE),"")</f>
        <v/>
      </c>
      <c r="U548" s="1248" t="str">
        <f>IFERROR(_xlfn.DAYS(T548,$Q$16)-SUM(U$26:U547),"")</f>
        <v/>
      </c>
      <c r="V548" s="1258">
        <f t="shared" ca="1" si="62"/>
        <v>0</v>
      </c>
      <c r="W548" s="1258">
        <f t="shared" ca="1" si="63"/>
        <v>0</v>
      </c>
      <c r="X548" s="1258" t="e">
        <f t="shared" ca="1" si="64"/>
        <v>#N/A</v>
      </c>
      <c r="Y548" s="1240"/>
      <c r="Z548" s="1240"/>
      <c r="AA548" s="1240"/>
      <c r="AB548" s="1240"/>
      <c r="AC548" s="1254" t="e">
        <f t="shared" si="60"/>
        <v>#NUM!</v>
      </c>
      <c r="AD548" s="1240"/>
      <c r="AE548" s="1240"/>
      <c r="AF548" s="1240"/>
      <c r="AG548" s="1240"/>
      <c r="AH548" s="1240"/>
      <c r="AI548" s="1240"/>
      <c r="AJ548" s="1240"/>
      <c r="AK548" s="1240"/>
      <c r="AL548" s="1240"/>
      <c r="AM548" s="1240"/>
      <c r="AN548" s="1240"/>
      <c r="AO548" s="1240"/>
      <c r="AP548" s="1240"/>
    </row>
    <row r="549" spans="1:42" ht="18.75" customHeight="1" x14ac:dyDescent="0.35">
      <c r="A549" s="1240"/>
      <c r="B549" s="1240"/>
      <c r="C549" s="1240"/>
      <c r="D549" s="1240"/>
      <c r="E549" s="1240"/>
      <c r="F549" s="1240"/>
      <c r="G549" s="1240"/>
      <c r="H549" s="1240"/>
      <c r="I549" s="1240"/>
      <c r="J549" s="1240"/>
      <c r="K549" s="1240"/>
      <c r="L549" s="1240"/>
      <c r="M549" s="1240"/>
      <c r="N549" s="1240"/>
      <c r="O549" s="1240"/>
      <c r="P549" s="1247">
        <f t="shared" si="59"/>
        <v>523</v>
      </c>
      <c r="Q549" s="1253" t="e">
        <f t="shared" ca="1" si="65"/>
        <v>#N/A</v>
      </c>
      <c r="R549" s="1247" t="str">
        <f>IFERROR(VLOOKUP(P549,RPCRepaymentDates[],1,FALSE),"")</f>
        <v/>
      </c>
      <c r="S549" s="1259">
        <f t="shared" si="61"/>
        <v>0</v>
      </c>
      <c r="T549" s="1247" t="str">
        <f>IFERROR(VLOOKUP(P549,RPCChargeCycleDates[],1,FALSE),"")</f>
        <v/>
      </c>
      <c r="U549" s="1248" t="str">
        <f>IFERROR(_xlfn.DAYS(T549,$Q$16)-SUM(U$26:U548),"")</f>
        <v/>
      </c>
      <c r="V549" s="1258">
        <f t="shared" ca="1" si="62"/>
        <v>0</v>
      </c>
      <c r="W549" s="1258">
        <f t="shared" ca="1" si="63"/>
        <v>0</v>
      </c>
      <c r="X549" s="1258" t="e">
        <f t="shared" ca="1" si="64"/>
        <v>#N/A</v>
      </c>
      <c r="Y549" s="1240"/>
      <c r="Z549" s="1240"/>
      <c r="AA549" s="1240"/>
      <c r="AB549" s="1240"/>
      <c r="AC549" s="1254" t="e">
        <f t="shared" si="60"/>
        <v>#NUM!</v>
      </c>
      <c r="AD549" s="1240"/>
      <c r="AE549" s="1240"/>
      <c r="AF549" s="1240"/>
      <c r="AG549" s="1240"/>
      <c r="AH549" s="1240"/>
      <c r="AI549" s="1240"/>
      <c r="AJ549" s="1240"/>
      <c r="AK549" s="1240"/>
      <c r="AL549" s="1240"/>
      <c r="AM549" s="1240"/>
      <c r="AN549" s="1240"/>
      <c r="AO549" s="1240"/>
      <c r="AP549" s="1240"/>
    </row>
    <row r="550" spans="1:42" ht="18.75" customHeight="1" x14ac:dyDescent="0.35">
      <c r="A550" s="1240"/>
      <c r="B550" s="1240"/>
      <c r="C550" s="1240"/>
      <c r="D550" s="1240"/>
      <c r="E550" s="1240"/>
      <c r="F550" s="1240"/>
      <c r="G550" s="1240"/>
      <c r="H550" s="1240"/>
      <c r="I550" s="1240"/>
      <c r="J550" s="1240"/>
      <c r="K550" s="1240"/>
      <c r="L550" s="1240"/>
      <c r="M550" s="1240"/>
      <c r="N550" s="1240"/>
      <c r="O550" s="1240"/>
      <c r="P550" s="1247">
        <f t="shared" si="59"/>
        <v>524</v>
      </c>
      <c r="Q550" s="1253" t="e">
        <f t="shared" ca="1" si="65"/>
        <v>#N/A</v>
      </c>
      <c r="R550" s="1247" t="str">
        <f>IFERROR(VLOOKUP(P550,RPCRepaymentDates[],1,FALSE),"")</f>
        <v/>
      </c>
      <c r="S550" s="1259">
        <f t="shared" si="61"/>
        <v>0</v>
      </c>
      <c r="T550" s="1247" t="str">
        <f>IFERROR(VLOOKUP(P550,RPCChargeCycleDates[],1,FALSE),"")</f>
        <v/>
      </c>
      <c r="U550" s="1248" t="str">
        <f>IFERROR(_xlfn.DAYS(T550,$Q$16)-SUM(U$26:U549),"")</f>
        <v/>
      </c>
      <c r="V550" s="1258">
        <f t="shared" ca="1" si="62"/>
        <v>0</v>
      </c>
      <c r="W550" s="1258">
        <f t="shared" ca="1" si="63"/>
        <v>0</v>
      </c>
      <c r="X550" s="1258" t="e">
        <f t="shared" ca="1" si="64"/>
        <v>#N/A</v>
      </c>
      <c r="Y550" s="1240"/>
      <c r="Z550" s="1240"/>
      <c r="AA550" s="1240"/>
      <c r="AB550" s="1240"/>
      <c r="AC550" s="1254" t="e">
        <f t="shared" si="60"/>
        <v>#NUM!</v>
      </c>
      <c r="AD550" s="1240"/>
      <c r="AE550" s="1240"/>
      <c r="AF550" s="1240"/>
      <c r="AG550" s="1240"/>
      <c r="AH550" s="1240"/>
      <c r="AI550" s="1240"/>
      <c r="AJ550" s="1240"/>
      <c r="AK550" s="1240"/>
      <c r="AL550" s="1240"/>
      <c r="AM550" s="1240"/>
      <c r="AN550" s="1240"/>
      <c r="AO550" s="1240"/>
      <c r="AP550" s="1240"/>
    </row>
    <row r="551" spans="1:42" ht="18.75" customHeight="1" x14ac:dyDescent="0.35">
      <c r="A551" s="1240"/>
      <c r="B551" s="1240"/>
      <c r="C551" s="1240"/>
      <c r="D551" s="1240"/>
      <c r="E551" s="1240"/>
      <c r="F551" s="1240"/>
      <c r="G551" s="1240"/>
      <c r="H551" s="1240"/>
      <c r="I551" s="1240"/>
      <c r="J551" s="1240"/>
      <c r="K551" s="1240"/>
      <c r="L551" s="1240"/>
      <c r="M551" s="1240"/>
      <c r="N551" s="1240"/>
      <c r="O551" s="1240"/>
      <c r="P551" s="1247">
        <f t="shared" si="59"/>
        <v>525</v>
      </c>
      <c r="Q551" s="1253" t="e">
        <f t="shared" ca="1" si="65"/>
        <v>#N/A</v>
      </c>
      <c r="R551" s="1247" t="str">
        <f>IFERROR(VLOOKUP(P551,RPCRepaymentDates[],1,FALSE),"")</f>
        <v/>
      </c>
      <c r="S551" s="1259">
        <f t="shared" si="61"/>
        <v>0</v>
      </c>
      <c r="T551" s="1247" t="str">
        <f>IFERROR(VLOOKUP(P551,RPCChargeCycleDates[],1,FALSE),"")</f>
        <v/>
      </c>
      <c r="U551" s="1248" t="str">
        <f>IFERROR(_xlfn.DAYS(T551,$Q$16)-SUM(U$26:U550),"")</f>
        <v/>
      </c>
      <c r="V551" s="1258">
        <f t="shared" ca="1" si="62"/>
        <v>0</v>
      </c>
      <c r="W551" s="1258">
        <f t="shared" ca="1" si="63"/>
        <v>0</v>
      </c>
      <c r="X551" s="1258" t="e">
        <f t="shared" ca="1" si="64"/>
        <v>#N/A</v>
      </c>
      <c r="Y551" s="1240"/>
      <c r="Z551" s="1240"/>
      <c r="AA551" s="1240"/>
      <c r="AB551" s="1240"/>
      <c r="AC551" s="1254" t="e">
        <f t="shared" si="60"/>
        <v>#NUM!</v>
      </c>
      <c r="AD551" s="1240"/>
      <c r="AE551" s="1240"/>
      <c r="AF551" s="1240"/>
      <c r="AG551" s="1240"/>
      <c r="AH551" s="1240"/>
      <c r="AI551" s="1240"/>
      <c r="AJ551" s="1240"/>
      <c r="AK551" s="1240"/>
      <c r="AL551" s="1240"/>
      <c r="AM551" s="1240"/>
      <c r="AN551" s="1240"/>
      <c r="AO551" s="1240"/>
      <c r="AP551" s="1240"/>
    </row>
    <row r="552" spans="1:42" ht="18.75" customHeight="1" x14ac:dyDescent="0.35">
      <c r="A552" s="1240"/>
      <c r="B552" s="1240"/>
      <c r="C552" s="1240"/>
      <c r="D552" s="1240"/>
      <c r="E552" s="1240"/>
      <c r="F552" s="1240"/>
      <c r="G552" s="1240"/>
      <c r="H552" s="1240"/>
      <c r="I552" s="1240"/>
      <c r="J552" s="1240"/>
      <c r="K552" s="1240"/>
      <c r="L552" s="1240"/>
      <c r="M552" s="1240"/>
      <c r="N552" s="1240"/>
      <c r="O552" s="1240"/>
      <c r="P552" s="1247">
        <f t="shared" si="59"/>
        <v>526</v>
      </c>
      <c r="Q552" s="1253" t="e">
        <f t="shared" ca="1" si="65"/>
        <v>#N/A</v>
      </c>
      <c r="R552" s="1247" t="str">
        <f>IFERROR(VLOOKUP(P552,RPCRepaymentDates[],1,FALSE),"")</f>
        <v/>
      </c>
      <c r="S552" s="1259">
        <f t="shared" si="61"/>
        <v>0</v>
      </c>
      <c r="T552" s="1247" t="str">
        <f>IFERROR(VLOOKUP(P552,RPCChargeCycleDates[],1,FALSE),"")</f>
        <v/>
      </c>
      <c r="U552" s="1248" t="str">
        <f>IFERROR(_xlfn.DAYS(T552,$Q$16)-SUM(U$26:U551),"")</f>
        <v/>
      </c>
      <c r="V552" s="1258">
        <f t="shared" ca="1" si="62"/>
        <v>0</v>
      </c>
      <c r="W552" s="1258">
        <f t="shared" ca="1" si="63"/>
        <v>0</v>
      </c>
      <c r="X552" s="1258" t="e">
        <f t="shared" ca="1" si="64"/>
        <v>#N/A</v>
      </c>
      <c r="Y552" s="1240"/>
      <c r="Z552" s="1240"/>
      <c r="AA552" s="1240"/>
      <c r="AB552" s="1240"/>
      <c r="AC552" s="1254" t="e">
        <f t="shared" si="60"/>
        <v>#NUM!</v>
      </c>
      <c r="AD552" s="1240"/>
      <c r="AE552" s="1240"/>
      <c r="AF552" s="1240"/>
      <c r="AG552" s="1240"/>
      <c r="AH552" s="1240"/>
      <c r="AI552" s="1240"/>
      <c r="AJ552" s="1240"/>
      <c r="AK552" s="1240"/>
      <c r="AL552" s="1240"/>
      <c r="AM552" s="1240"/>
      <c r="AN552" s="1240"/>
      <c r="AO552" s="1240"/>
      <c r="AP552" s="1240"/>
    </row>
    <row r="553" spans="1:42" ht="18.75" customHeight="1" x14ac:dyDescent="0.35">
      <c r="A553" s="1240"/>
      <c r="B553" s="1240"/>
      <c r="C553" s="1240"/>
      <c r="D553" s="1240"/>
      <c r="E553" s="1240"/>
      <c r="F553" s="1240"/>
      <c r="G553" s="1240"/>
      <c r="H553" s="1240"/>
      <c r="I553" s="1240"/>
      <c r="J553" s="1240"/>
      <c r="K553" s="1240"/>
      <c r="L553" s="1240"/>
      <c r="M553" s="1240"/>
      <c r="N553" s="1240"/>
      <c r="O553" s="1240"/>
      <c r="P553" s="1247">
        <f t="shared" si="59"/>
        <v>527</v>
      </c>
      <c r="Q553" s="1253" t="e">
        <f t="shared" ca="1" si="65"/>
        <v>#N/A</v>
      </c>
      <c r="R553" s="1247" t="str">
        <f>IFERROR(VLOOKUP(P553,RPCRepaymentDates[],1,FALSE),"")</f>
        <v/>
      </c>
      <c r="S553" s="1259">
        <f t="shared" si="61"/>
        <v>0</v>
      </c>
      <c r="T553" s="1247" t="str">
        <f>IFERROR(VLOOKUP(P553,RPCChargeCycleDates[],1,FALSE),"")</f>
        <v/>
      </c>
      <c r="U553" s="1248" t="str">
        <f>IFERROR(_xlfn.DAYS(T553,$Q$16)-SUM(U$26:U552),"")</f>
        <v/>
      </c>
      <c r="V553" s="1258">
        <f t="shared" ca="1" si="62"/>
        <v>0</v>
      </c>
      <c r="W553" s="1258">
        <f t="shared" ca="1" si="63"/>
        <v>0</v>
      </c>
      <c r="X553" s="1258" t="e">
        <f t="shared" ca="1" si="64"/>
        <v>#N/A</v>
      </c>
      <c r="Y553" s="1240"/>
      <c r="Z553" s="1240"/>
      <c r="AA553" s="1240"/>
      <c r="AB553" s="1240"/>
      <c r="AC553" s="1254" t="e">
        <f t="shared" si="60"/>
        <v>#NUM!</v>
      </c>
      <c r="AD553" s="1240"/>
      <c r="AE553" s="1240"/>
      <c r="AF553" s="1240"/>
      <c r="AG553" s="1240"/>
      <c r="AH553" s="1240"/>
      <c r="AI553" s="1240"/>
      <c r="AJ553" s="1240"/>
      <c r="AK553" s="1240"/>
      <c r="AL553" s="1240"/>
      <c r="AM553" s="1240"/>
      <c r="AN553" s="1240"/>
      <c r="AO553" s="1240"/>
      <c r="AP553" s="1240"/>
    </row>
    <row r="554" spans="1:42" ht="18.75" customHeight="1" x14ac:dyDescent="0.35">
      <c r="A554" s="1240"/>
      <c r="B554" s="1240"/>
      <c r="C554" s="1240"/>
      <c r="D554" s="1240"/>
      <c r="E554" s="1240"/>
      <c r="F554" s="1240"/>
      <c r="G554" s="1240"/>
      <c r="H554" s="1240"/>
      <c r="I554" s="1240"/>
      <c r="J554" s="1240"/>
      <c r="K554" s="1240"/>
      <c r="L554" s="1240"/>
      <c r="M554" s="1240"/>
      <c r="N554" s="1240"/>
      <c r="O554" s="1240"/>
      <c r="P554" s="1247">
        <f t="shared" ref="P554:P617" si="66">P553+1</f>
        <v>528</v>
      </c>
      <c r="Q554" s="1253" t="e">
        <f t="shared" ca="1" si="65"/>
        <v>#N/A</v>
      </c>
      <c r="R554" s="1247" t="str">
        <f>IFERROR(VLOOKUP(P554,RPCRepaymentDates[],1,FALSE),"")</f>
        <v/>
      </c>
      <c r="S554" s="1259">
        <f t="shared" si="61"/>
        <v>0</v>
      </c>
      <c r="T554" s="1247" t="str">
        <f>IFERROR(VLOOKUP(P554,RPCChargeCycleDates[],1,FALSE),"")</f>
        <v/>
      </c>
      <c r="U554" s="1248" t="str">
        <f>IFERROR(_xlfn.DAYS(T554,$Q$16)-SUM(U$26:U553),"")</f>
        <v/>
      </c>
      <c r="V554" s="1258">
        <f t="shared" ca="1" si="62"/>
        <v>0</v>
      </c>
      <c r="W554" s="1258">
        <f t="shared" ca="1" si="63"/>
        <v>0</v>
      </c>
      <c r="X554" s="1258" t="e">
        <f t="shared" ca="1" si="64"/>
        <v>#N/A</v>
      </c>
      <c r="Y554" s="1240"/>
      <c r="Z554" s="1240"/>
      <c r="AA554" s="1240"/>
      <c r="AB554" s="1240"/>
      <c r="AC554" s="1254" t="e">
        <f t="shared" si="60"/>
        <v>#NUM!</v>
      </c>
      <c r="AD554" s="1240"/>
      <c r="AE554" s="1240"/>
      <c r="AF554" s="1240"/>
      <c r="AG554" s="1240"/>
      <c r="AH554" s="1240"/>
      <c r="AI554" s="1240"/>
      <c r="AJ554" s="1240"/>
      <c r="AK554" s="1240"/>
      <c r="AL554" s="1240"/>
      <c r="AM554" s="1240"/>
      <c r="AN554" s="1240"/>
      <c r="AO554" s="1240"/>
      <c r="AP554" s="1240"/>
    </row>
    <row r="555" spans="1:42" ht="18.75" customHeight="1" x14ac:dyDescent="0.35">
      <c r="A555" s="1240"/>
      <c r="B555" s="1240"/>
      <c r="C555" s="1240"/>
      <c r="D555" s="1240"/>
      <c r="E555" s="1240"/>
      <c r="F555" s="1240"/>
      <c r="G555" s="1240"/>
      <c r="H555" s="1240"/>
      <c r="I555" s="1240"/>
      <c r="J555" s="1240"/>
      <c r="K555" s="1240"/>
      <c r="L555" s="1240"/>
      <c r="M555" s="1240"/>
      <c r="N555" s="1240"/>
      <c r="O555" s="1240"/>
      <c r="P555" s="1247">
        <f t="shared" si="66"/>
        <v>529</v>
      </c>
      <c r="Q555" s="1253" t="e">
        <f t="shared" ca="1" si="65"/>
        <v>#N/A</v>
      </c>
      <c r="R555" s="1247" t="str">
        <f>IFERROR(VLOOKUP(P555,RPCRepaymentDates[],1,FALSE),"")</f>
        <v/>
      </c>
      <c r="S555" s="1259">
        <f t="shared" si="61"/>
        <v>0</v>
      </c>
      <c r="T555" s="1247" t="str">
        <f>IFERROR(VLOOKUP(P555,RPCChargeCycleDates[],1,FALSE),"")</f>
        <v/>
      </c>
      <c r="U555" s="1248" t="str">
        <f>IFERROR(_xlfn.DAYS(T555,$Q$16)-SUM(U$26:U554),"")</f>
        <v/>
      </c>
      <c r="V555" s="1258">
        <f t="shared" ca="1" si="62"/>
        <v>0</v>
      </c>
      <c r="W555" s="1258">
        <f t="shared" ca="1" si="63"/>
        <v>0</v>
      </c>
      <c r="X555" s="1258" t="e">
        <f t="shared" ca="1" si="64"/>
        <v>#N/A</v>
      </c>
      <c r="Y555" s="1240"/>
      <c r="Z555" s="1240"/>
      <c r="AA555" s="1240"/>
      <c r="AB555" s="1240"/>
      <c r="AC555" s="1254" t="e">
        <f t="shared" si="60"/>
        <v>#NUM!</v>
      </c>
      <c r="AD555" s="1240"/>
      <c r="AE555" s="1240"/>
      <c r="AF555" s="1240"/>
      <c r="AG555" s="1240"/>
      <c r="AH555" s="1240"/>
      <c r="AI555" s="1240"/>
      <c r="AJ555" s="1240"/>
      <c r="AK555" s="1240"/>
      <c r="AL555" s="1240"/>
      <c r="AM555" s="1240"/>
      <c r="AN555" s="1240"/>
      <c r="AO555" s="1240"/>
      <c r="AP555" s="1240"/>
    </row>
    <row r="556" spans="1:42" ht="18.75" customHeight="1" x14ac:dyDescent="0.35">
      <c r="A556" s="1240"/>
      <c r="B556" s="1240"/>
      <c r="C556" s="1240"/>
      <c r="D556" s="1240"/>
      <c r="E556" s="1240"/>
      <c r="F556" s="1240"/>
      <c r="G556" s="1240"/>
      <c r="H556" s="1240"/>
      <c r="I556" s="1240"/>
      <c r="J556" s="1240"/>
      <c r="K556" s="1240"/>
      <c r="L556" s="1240"/>
      <c r="M556" s="1240"/>
      <c r="N556" s="1240"/>
      <c r="O556" s="1240"/>
      <c r="P556" s="1247">
        <f t="shared" si="66"/>
        <v>530</v>
      </c>
      <c r="Q556" s="1253" t="e">
        <f t="shared" ca="1" si="65"/>
        <v>#N/A</v>
      </c>
      <c r="R556" s="1247" t="str">
        <f>IFERROR(VLOOKUP(P556,RPCRepaymentDates[],1,FALSE),"")</f>
        <v/>
      </c>
      <c r="S556" s="1259">
        <f t="shared" si="61"/>
        <v>0</v>
      </c>
      <c r="T556" s="1247" t="str">
        <f>IFERROR(VLOOKUP(P556,RPCChargeCycleDates[],1,FALSE),"")</f>
        <v/>
      </c>
      <c r="U556" s="1248" t="str">
        <f>IFERROR(_xlfn.DAYS(T556,$Q$16)-SUM(U$26:U555),"")</f>
        <v/>
      </c>
      <c r="V556" s="1258">
        <f t="shared" ca="1" si="62"/>
        <v>0</v>
      </c>
      <c r="W556" s="1258">
        <f t="shared" ca="1" si="63"/>
        <v>0</v>
      </c>
      <c r="X556" s="1258" t="e">
        <f t="shared" ca="1" si="64"/>
        <v>#N/A</v>
      </c>
      <c r="Y556" s="1240"/>
      <c r="Z556" s="1240"/>
      <c r="AA556" s="1240"/>
      <c r="AB556" s="1240"/>
      <c r="AC556" s="1254" t="e">
        <f t="shared" si="60"/>
        <v>#NUM!</v>
      </c>
      <c r="AD556" s="1240"/>
      <c r="AE556" s="1240"/>
      <c r="AF556" s="1240"/>
      <c r="AG556" s="1240"/>
      <c r="AH556" s="1240"/>
      <c r="AI556" s="1240"/>
      <c r="AJ556" s="1240"/>
      <c r="AK556" s="1240"/>
      <c r="AL556" s="1240"/>
      <c r="AM556" s="1240"/>
      <c r="AN556" s="1240"/>
      <c r="AO556" s="1240"/>
      <c r="AP556" s="1240"/>
    </row>
    <row r="557" spans="1:42" ht="18.75" customHeight="1" x14ac:dyDescent="0.35">
      <c r="A557" s="1240"/>
      <c r="B557" s="1240"/>
      <c r="C557" s="1240"/>
      <c r="D557" s="1240"/>
      <c r="E557" s="1240"/>
      <c r="F557" s="1240"/>
      <c r="G557" s="1240"/>
      <c r="H557" s="1240"/>
      <c r="I557" s="1240"/>
      <c r="J557" s="1240"/>
      <c r="K557" s="1240"/>
      <c r="L557" s="1240"/>
      <c r="M557" s="1240"/>
      <c r="N557" s="1240"/>
      <c r="O557" s="1240"/>
      <c r="P557" s="1247">
        <f t="shared" si="66"/>
        <v>531</v>
      </c>
      <c r="Q557" s="1253" t="e">
        <f t="shared" ca="1" si="65"/>
        <v>#N/A</v>
      </c>
      <c r="R557" s="1247" t="str">
        <f>IFERROR(VLOOKUP(P557,RPCRepaymentDates[],1,FALSE),"")</f>
        <v/>
      </c>
      <c r="S557" s="1259">
        <f t="shared" si="61"/>
        <v>0</v>
      </c>
      <c r="T557" s="1247" t="str">
        <f>IFERROR(VLOOKUP(P557,RPCChargeCycleDates[],1,FALSE),"")</f>
        <v/>
      </c>
      <c r="U557" s="1248" t="str">
        <f>IFERROR(_xlfn.DAYS(T557,$Q$16)-SUM(U$26:U556),"")</f>
        <v/>
      </c>
      <c r="V557" s="1258">
        <f t="shared" ca="1" si="62"/>
        <v>0</v>
      </c>
      <c r="W557" s="1258">
        <f t="shared" ca="1" si="63"/>
        <v>0</v>
      </c>
      <c r="X557" s="1258" t="e">
        <f t="shared" ca="1" si="64"/>
        <v>#N/A</v>
      </c>
      <c r="Y557" s="1240"/>
      <c r="Z557" s="1240"/>
      <c r="AA557" s="1240"/>
      <c r="AB557" s="1240"/>
      <c r="AC557" s="1254" t="e">
        <f t="shared" si="60"/>
        <v>#NUM!</v>
      </c>
      <c r="AD557" s="1240"/>
      <c r="AE557" s="1240"/>
      <c r="AF557" s="1240"/>
      <c r="AG557" s="1240"/>
      <c r="AH557" s="1240"/>
      <c r="AI557" s="1240"/>
      <c r="AJ557" s="1240"/>
      <c r="AK557" s="1240"/>
      <c r="AL557" s="1240"/>
      <c r="AM557" s="1240"/>
      <c r="AN557" s="1240"/>
      <c r="AO557" s="1240"/>
      <c r="AP557" s="1240"/>
    </row>
    <row r="558" spans="1:42" ht="18.75" customHeight="1" x14ac:dyDescent="0.35">
      <c r="A558" s="1240"/>
      <c r="B558" s="1240"/>
      <c r="C558" s="1240"/>
      <c r="D558" s="1240"/>
      <c r="E558" s="1240"/>
      <c r="F558" s="1240"/>
      <c r="G558" s="1240"/>
      <c r="H558" s="1240"/>
      <c r="I558" s="1240"/>
      <c r="J558" s="1240"/>
      <c r="K558" s="1240"/>
      <c r="L558" s="1240"/>
      <c r="M558" s="1240"/>
      <c r="N558" s="1240"/>
      <c r="O558" s="1240"/>
      <c r="P558" s="1247">
        <f t="shared" si="66"/>
        <v>532</v>
      </c>
      <c r="Q558" s="1253" t="e">
        <f t="shared" ca="1" si="65"/>
        <v>#N/A</v>
      </c>
      <c r="R558" s="1247" t="str">
        <f>IFERROR(VLOOKUP(P558,RPCRepaymentDates[],1,FALSE),"")</f>
        <v/>
      </c>
      <c r="S558" s="1259">
        <f t="shared" si="61"/>
        <v>0</v>
      </c>
      <c r="T558" s="1247" t="str">
        <f>IFERROR(VLOOKUP(P558,RPCChargeCycleDates[],1,FALSE),"")</f>
        <v/>
      </c>
      <c r="U558" s="1248" t="str">
        <f>IFERROR(_xlfn.DAYS(T558,$Q$16)-SUM(U$26:U557),"")</f>
        <v/>
      </c>
      <c r="V558" s="1258">
        <f t="shared" ca="1" si="62"/>
        <v>0</v>
      </c>
      <c r="W558" s="1258">
        <f t="shared" ca="1" si="63"/>
        <v>0</v>
      </c>
      <c r="X558" s="1258" t="e">
        <f t="shared" ca="1" si="64"/>
        <v>#N/A</v>
      </c>
      <c r="Y558" s="1240"/>
      <c r="Z558" s="1240"/>
      <c r="AA558" s="1240"/>
      <c r="AB558" s="1240"/>
      <c r="AC558" s="1254" t="e">
        <f t="shared" si="60"/>
        <v>#NUM!</v>
      </c>
      <c r="AD558" s="1240"/>
      <c r="AE558" s="1240"/>
      <c r="AF558" s="1240"/>
      <c r="AG558" s="1240"/>
      <c r="AH558" s="1240"/>
      <c r="AI558" s="1240"/>
      <c r="AJ558" s="1240"/>
      <c r="AK558" s="1240"/>
      <c r="AL558" s="1240"/>
      <c r="AM558" s="1240"/>
      <c r="AN558" s="1240"/>
      <c r="AO558" s="1240"/>
      <c r="AP558" s="1240"/>
    </row>
    <row r="559" spans="1:42" ht="18.75" customHeight="1" x14ac:dyDescent="0.35">
      <c r="A559" s="1240"/>
      <c r="B559" s="1240"/>
      <c r="C559" s="1240"/>
      <c r="D559" s="1240"/>
      <c r="E559" s="1240"/>
      <c r="F559" s="1240"/>
      <c r="G559" s="1240"/>
      <c r="H559" s="1240"/>
      <c r="I559" s="1240"/>
      <c r="J559" s="1240"/>
      <c r="K559" s="1240"/>
      <c r="L559" s="1240"/>
      <c r="M559" s="1240"/>
      <c r="N559" s="1240"/>
      <c r="O559" s="1240"/>
      <c r="P559" s="1247">
        <f t="shared" si="66"/>
        <v>533</v>
      </c>
      <c r="Q559" s="1253" t="e">
        <f t="shared" ca="1" si="65"/>
        <v>#N/A</v>
      </c>
      <c r="R559" s="1247" t="str">
        <f>IFERROR(VLOOKUP(P559,RPCRepaymentDates[],1,FALSE),"")</f>
        <v/>
      </c>
      <c r="S559" s="1259">
        <f t="shared" si="61"/>
        <v>0</v>
      </c>
      <c r="T559" s="1247" t="str">
        <f>IFERROR(VLOOKUP(P559,RPCChargeCycleDates[],1,FALSE),"")</f>
        <v/>
      </c>
      <c r="U559" s="1248" t="str">
        <f>IFERROR(_xlfn.DAYS(T559,$Q$16)-SUM(U$26:U558),"")</f>
        <v/>
      </c>
      <c r="V559" s="1258">
        <f t="shared" ca="1" si="62"/>
        <v>0</v>
      </c>
      <c r="W559" s="1258">
        <f t="shared" ca="1" si="63"/>
        <v>0</v>
      </c>
      <c r="X559" s="1258" t="e">
        <f t="shared" ca="1" si="64"/>
        <v>#N/A</v>
      </c>
      <c r="Y559" s="1240"/>
      <c r="Z559" s="1240"/>
      <c r="AA559" s="1240"/>
      <c r="AB559" s="1240"/>
      <c r="AC559" s="1254" t="e">
        <f t="shared" si="60"/>
        <v>#NUM!</v>
      </c>
      <c r="AD559" s="1240"/>
      <c r="AE559" s="1240"/>
      <c r="AF559" s="1240"/>
      <c r="AG559" s="1240"/>
      <c r="AH559" s="1240"/>
      <c r="AI559" s="1240"/>
      <c r="AJ559" s="1240"/>
      <c r="AK559" s="1240"/>
      <c r="AL559" s="1240"/>
      <c r="AM559" s="1240"/>
      <c r="AN559" s="1240"/>
      <c r="AO559" s="1240"/>
      <c r="AP559" s="1240"/>
    </row>
    <row r="560" spans="1:42" ht="18.75" customHeight="1" x14ac:dyDescent="0.35">
      <c r="A560" s="1240"/>
      <c r="B560" s="1240"/>
      <c r="C560" s="1240"/>
      <c r="D560" s="1240"/>
      <c r="E560" s="1240"/>
      <c r="F560" s="1240"/>
      <c r="G560" s="1240"/>
      <c r="H560" s="1240"/>
      <c r="I560" s="1240"/>
      <c r="J560" s="1240"/>
      <c r="K560" s="1240"/>
      <c r="L560" s="1240"/>
      <c r="M560" s="1240"/>
      <c r="N560" s="1240"/>
      <c r="O560" s="1240"/>
      <c r="P560" s="1247">
        <f t="shared" si="66"/>
        <v>534</v>
      </c>
      <c r="Q560" s="1253" t="e">
        <f t="shared" ca="1" si="65"/>
        <v>#N/A</v>
      </c>
      <c r="R560" s="1247" t="str">
        <f>IFERROR(VLOOKUP(P560,RPCRepaymentDates[],1,FALSE),"")</f>
        <v/>
      </c>
      <c r="S560" s="1259">
        <f t="shared" si="61"/>
        <v>0</v>
      </c>
      <c r="T560" s="1247" t="str">
        <f>IFERROR(VLOOKUP(P560,RPCChargeCycleDates[],1,FALSE),"")</f>
        <v/>
      </c>
      <c r="U560" s="1248" t="str">
        <f>IFERROR(_xlfn.DAYS(T560,$Q$16)-SUM(U$26:U559),"")</f>
        <v/>
      </c>
      <c r="V560" s="1258">
        <f t="shared" ca="1" si="62"/>
        <v>0</v>
      </c>
      <c r="W560" s="1258">
        <f t="shared" ca="1" si="63"/>
        <v>0</v>
      </c>
      <c r="X560" s="1258" t="e">
        <f t="shared" ca="1" si="64"/>
        <v>#N/A</v>
      </c>
      <c r="Y560" s="1240"/>
      <c r="Z560" s="1240"/>
      <c r="AA560" s="1240"/>
      <c r="AB560" s="1240"/>
      <c r="AC560" s="1254" t="e">
        <f t="shared" si="60"/>
        <v>#NUM!</v>
      </c>
      <c r="AD560" s="1240"/>
      <c r="AE560" s="1240"/>
      <c r="AF560" s="1240"/>
      <c r="AG560" s="1240"/>
      <c r="AH560" s="1240"/>
      <c r="AI560" s="1240"/>
      <c r="AJ560" s="1240"/>
      <c r="AK560" s="1240"/>
      <c r="AL560" s="1240"/>
      <c r="AM560" s="1240"/>
      <c r="AN560" s="1240"/>
      <c r="AO560" s="1240"/>
      <c r="AP560" s="1240"/>
    </row>
    <row r="561" spans="1:42" ht="18.75" customHeight="1" x14ac:dyDescent="0.35">
      <c r="A561" s="1240"/>
      <c r="B561" s="1240"/>
      <c r="C561" s="1240"/>
      <c r="D561" s="1240"/>
      <c r="E561" s="1240"/>
      <c r="F561" s="1240"/>
      <c r="G561" s="1240"/>
      <c r="H561" s="1240"/>
      <c r="I561" s="1240"/>
      <c r="J561" s="1240"/>
      <c r="K561" s="1240"/>
      <c r="L561" s="1240"/>
      <c r="M561" s="1240"/>
      <c r="N561" s="1240"/>
      <c r="O561" s="1240"/>
      <c r="P561" s="1247">
        <f t="shared" si="66"/>
        <v>535</v>
      </c>
      <c r="Q561" s="1253" t="e">
        <f t="shared" ca="1" si="65"/>
        <v>#N/A</v>
      </c>
      <c r="R561" s="1247" t="str">
        <f>IFERROR(VLOOKUP(P561,RPCRepaymentDates[],1,FALSE),"")</f>
        <v/>
      </c>
      <c r="S561" s="1259">
        <f t="shared" si="61"/>
        <v>0</v>
      </c>
      <c r="T561" s="1247" t="str">
        <f>IFERROR(VLOOKUP(P561,RPCChargeCycleDates[],1,FALSE),"")</f>
        <v/>
      </c>
      <c r="U561" s="1248" t="str">
        <f>IFERROR(_xlfn.DAYS(T561,$Q$16)-SUM(U$26:U560),"")</f>
        <v/>
      </c>
      <c r="V561" s="1258">
        <f t="shared" ca="1" si="62"/>
        <v>0</v>
      </c>
      <c r="W561" s="1258">
        <f t="shared" ca="1" si="63"/>
        <v>0</v>
      </c>
      <c r="X561" s="1258" t="e">
        <f t="shared" ca="1" si="64"/>
        <v>#N/A</v>
      </c>
      <c r="Y561" s="1240"/>
      <c r="Z561" s="1240"/>
      <c r="AA561" s="1240"/>
      <c r="AB561" s="1240"/>
      <c r="AC561" s="1254" t="e">
        <f t="shared" si="60"/>
        <v>#NUM!</v>
      </c>
      <c r="AD561" s="1240"/>
      <c r="AE561" s="1240"/>
      <c r="AF561" s="1240"/>
      <c r="AG561" s="1240"/>
      <c r="AH561" s="1240"/>
      <c r="AI561" s="1240"/>
      <c r="AJ561" s="1240"/>
      <c r="AK561" s="1240"/>
      <c r="AL561" s="1240"/>
      <c r="AM561" s="1240"/>
      <c r="AN561" s="1240"/>
      <c r="AO561" s="1240"/>
      <c r="AP561" s="1240"/>
    </row>
    <row r="562" spans="1:42" ht="18.75" customHeight="1" x14ac:dyDescent="0.35">
      <c r="A562" s="1240"/>
      <c r="B562" s="1240"/>
      <c r="C562" s="1240"/>
      <c r="D562" s="1240"/>
      <c r="E562" s="1240"/>
      <c r="F562" s="1240"/>
      <c r="G562" s="1240"/>
      <c r="H562" s="1240"/>
      <c r="I562" s="1240"/>
      <c r="J562" s="1240"/>
      <c r="K562" s="1240"/>
      <c r="L562" s="1240"/>
      <c r="M562" s="1240"/>
      <c r="N562" s="1240"/>
      <c r="O562" s="1240"/>
      <c r="P562" s="1247">
        <f t="shared" si="66"/>
        <v>536</v>
      </c>
      <c r="Q562" s="1253" t="e">
        <f t="shared" ca="1" si="65"/>
        <v>#N/A</v>
      </c>
      <c r="R562" s="1247" t="str">
        <f>IFERROR(VLOOKUP(P562,RPCRepaymentDates[],1,FALSE),"")</f>
        <v/>
      </c>
      <c r="S562" s="1259">
        <f t="shared" si="61"/>
        <v>0</v>
      </c>
      <c r="T562" s="1247" t="str">
        <f>IFERROR(VLOOKUP(P562,RPCChargeCycleDates[],1,FALSE),"")</f>
        <v/>
      </c>
      <c r="U562" s="1248" t="str">
        <f>IFERROR(_xlfn.DAYS(T562,$Q$16)-SUM(U$26:U561),"")</f>
        <v/>
      </c>
      <c r="V562" s="1258">
        <f t="shared" ca="1" si="62"/>
        <v>0</v>
      </c>
      <c r="W562" s="1258">
        <f t="shared" ca="1" si="63"/>
        <v>0</v>
      </c>
      <c r="X562" s="1258" t="e">
        <f t="shared" ca="1" si="64"/>
        <v>#N/A</v>
      </c>
      <c r="Y562" s="1240"/>
      <c r="Z562" s="1240"/>
      <c r="AA562" s="1240"/>
      <c r="AB562" s="1240"/>
      <c r="AC562" s="1254" t="e">
        <f t="shared" si="60"/>
        <v>#NUM!</v>
      </c>
      <c r="AD562" s="1240"/>
      <c r="AE562" s="1240"/>
      <c r="AF562" s="1240"/>
      <c r="AG562" s="1240"/>
      <c r="AH562" s="1240"/>
      <c r="AI562" s="1240"/>
      <c r="AJ562" s="1240"/>
      <c r="AK562" s="1240"/>
      <c r="AL562" s="1240"/>
      <c r="AM562" s="1240"/>
      <c r="AN562" s="1240"/>
      <c r="AO562" s="1240"/>
      <c r="AP562" s="1240"/>
    </row>
    <row r="563" spans="1:42" ht="18.75" customHeight="1" x14ac:dyDescent="0.35">
      <c r="A563" s="1240"/>
      <c r="B563" s="1240"/>
      <c r="C563" s="1240"/>
      <c r="D563" s="1240"/>
      <c r="E563" s="1240"/>
      <c r="F563" s="1240"/>
      <c r="G563" s="1240"/>
      <c r="H563" s="1240"/>
      <c r="I563" s="1240"/>
      <c r="J563" s="1240"/>
      <c r="K563" s="1240"/>
      <c r="L563" s="1240"/>
      <c r="M563" s="1240"/>
      <c r="N563" s="1240"/>
      <c r="O563" s="1240"/>
      <c r="P563" s="1247">
        <f t="shared" si="66"/>
        <v>537</v>
      </c>
      <c r="Q563" s="1253" t="e">
        <f t="shared" ca="1" si="65"/>
        <v>#N/A</v>
      </c>
      <c r="R563" s="1247" t="str">
        <f>IFERROR(VLOOKUP(P563,RPCRepaymentDates[],1,FALSE),"")</f>
        <v/>
      </c>
      <c r="S563" s="1259">
        <f t="shared" si="61"/>
        <v>0</v>
      </c>
      <c r="T563" s="1247" t="str">
        <f>IFERROR(VLOOKUP(P563,RPCChargeCycleDates[],1,FALSE),"")</f>
        <v/>
      </c>
      <c r="U563" s="1248" t="str">
        <f>IFERROR(_xlfn.DAYS(T563,$Q$16)-SUM(U$26:U562),"")</f>
        <v/>
      </c>
      <c r="V563" s="1258">
        <f t="shared" ca="1" si="62"/>
        <v>0</v>
      </c>
      <c r="W563" s="1258">
        <f t="shared" ca="1" si="63"/>
        <v>0</v>
      </c>
      <c r="X563" s="1258" t="e">
        <f t="shared" ca="1" si="64"/>
        <v>#N/A</v>
      </c>
      <c r="Y563" s="1240"/>
      <c r="Z563" s="1240"/>
      <c r="AA563" s="1240"/>
      <c r="AB563" s="1240"/>
      <c r="AC563" s="1254" t="e">
        <f t="shared" si="60"/>
        <v>#NUM!</v>
      </c>
      <c r="AD563" s="1240"/>
      <c r="AE563" s="1240"/>
      <c r="AF563" s="1240"/>
      <c r="AG563" s="1240"/>
      <c r="AH563" s="1240"/>
      <c r="AI563" s="1240"/>
      <c r="AJ563" s="1240"/>
      <c r="AK563" s="1240"/>
      <c r="AL563" s="1240"/>
      <c r="AM563" s="1240"/>
      <c r="AN563" s="1240"/>
      <c r="AO563" s="1240"/>
      <c r="AP563" s="1240"/>
    </row>
    <row r="564" spans="1:42" ht="18.75" customHeight="1" x14ac:dyDescent="0.35">
      <c r="A564" s="1240"/>
      <c r="B564" s="1240"/>
      <c r="C564" s="1240"/>
      <c r="D564" s="1240"/>
      <c r="E564" s="1240"/>
      <c r="F564" s="1240"/>
      <c r="G564" s="1240"/>
      <c r="H564" s="1240"/>
      <c r="I564" s="1240"/>
      <c r="J564" s="1240"/>
      <c r="K564" s="1240"/>
      <c r="L564" s="1240"/>
      <c r="M564" s="1240"/>
      <c r="N564" s="1240"/>
      <c r="O564" s="1240"/>
      <c r="P564" s="1247">
        <f t="shared" si="66"/>
        <v>538</v>
      </c>
      <c r="Q564" s="1253" t="e">
        <f t="shared" ca="1" si="65"/>
        <v>#N/A</v>
      </c>
      <c r="R564" s="1247" t="str">
        <f>IFERROR(VLOOKUP(P564,RPCRepaymentDates[],1,FALSE),"")</f>
        <v/>
      </c>
      <c r="S564" s="1259">
        <f t="shared" si="61"/>
        <v>0</v>
      </c>
      <c r="T564" s="1247" t="str">
        <f>IFERROR(VLOOKUP(P564,RPCChargeCycleDates[],1,FALSE),"")</f>
        <v/>
      </c>
      <c r="U564" s="1248" t="str">
        <f>IFERROR(_xlfn.DAYS(T564,$Q$16)-SUM(U$26:U563),"")</f>
        <v/>
      </c>
      <c r="V564" s="1258">
        <f t="shared" ca="1" si="62"/>
        <v>0</v>
      </c>
      <c r="W564" s="1258">
        <f t="shared" ca="1" si="63"/>
        <v>0</v>
      </c>
      <c r="X564" s="1258" t="e">
        <f t="shared" ca="1" si="64"/>
        <v>#N/A</v>
      </c>
      <c r="Y564" s="1240"/>
      <c r="Z564" s="1240"/>
      <c r="AA564" s="1240"/>
      <c r="AB564" s="1240"/>
      <c r="AC564" s="1254" t="e">
        <f t="shared" si="60"/>
        <v>#NUM!</v>
      </c>
      <c r="AD564" s="1240"/>
      <c r="AE564" s="1240"/>
      <c r="AF564" s="1240"/>
      <c r="AG564" s="1240"/>
      <c r="AH564" s="1240"/>
      <c r="AI564" s="1240"/>
      <c r="AJ564" s="1240"/>
      <c r="AK564" s="1240"/>
      <c r="AL564" s="1240"/>
      <c r="AM564" s="1240"/>
      <c r="AN564" s="1240"/>
      <c r="AO564" s="1240"/>
      <c r="AP564" s="1240"/>
    </row>
    <row r="565" spans="1:42" ht="18.75" customHeight="1" x14ac:dyDescent="0.35">
      <c r="A565" s="1240"/>
      <c r="B565" s="1240"/>
      <c r="C565" s="1240"/>
      <c r="D565" s="1240"/>
      <c r="E565" s="1240"/>
      <c r="F565" s="1240"/>
      <c r="G565" s="1240"/>
      <c r="H565" s="1240"/>
      <c r="I565" s="1240"/>
      <c r="J565" s="1240"/>
      <c r="K565" s="1240"/>
      <c r="L565" s="1240"/>
      <c r="M565" s="1240"/>
      <c r="N565" s="1240"/>
      <c r="O565" s="1240"/>
      <c r="P565" s="1247">
        <f t="shared" si="66"/>
        <v>539</v>
      </c>
      <c r="Q565" s="1253" t="e">
        <f t="shared" ca="1" si="65"/>
        <v>#N/A</v>
      </c>
      <c r="R565" s="1247" t="str">
        <f>IFERROR(VLOOKUP(P565,RPCRepaymentDates[],1,FALSE),"")</f>
        <v/>
      </c>
      <c r="S565" s="1259">
        <f t="shared" si="61"/>
        <v>0</v>
      </c>
      <c r="T565" s="1247" t="str">
        <f>IFERROR(VLOOKUP(P565,RPCChargeCycleDates[],1,FALSE),"")</f>
        <v/>
      </c>
      <c r="U565" s="1248" t="str">
        <f>IFERROR(_xlfn.DAYS(T565,$Q$16)-SUM(U$26:U564),"")</f>
        <v/>
      </c>
      <c r="V565" s="1258">
        <f t="shared" ca="1" si="62"/>
        <v>0</v>
      </c>
      <c r="W565" s="1258">
        <f t="shared" ca="1" si="63"/>
        <v>0</v>
      </c>
      <c r="X565" s="1258" t="e">
        <f t="shared" ca="1" si="64"/>
        <v>#N/A</v>
      </c>
      <c r="Y565" s="1240"/>
      <c r="Z565" s="1240"/>
      <c r="AA565" s="1240"/>
      <c r="AB565" s="1240"/>
      <c r="AC565" s="1254" t="e">
        <f t="shared" si="60"/>
        <v>#NUM!</v>
      </c>
      <c r="AD565" s="1240"/>
      <c r="AE565" s="1240"/>
      <c r="AF565" s="1240"/>
      <c r="AG565" s="1240"/>
      <c r="AH565" s="1240"/>
      <c r="AI565" s="1240"/>
      <c r="AJ565" s="1240"/>
      <c r="AK565" s="1240"/>
      <c r="AL565" s="1240"/>
      <c r="AM565" s="1240"/>
      <c r="AN565" s="1240"/>
      <c r="AO565" s="1240"/>
      <c r="AP565" s="1240"/>
    </row>
    <row r="566" spans="1:42" ht="18.75" customHeight="1" x14ac:dyDescent="0.35">
      <c r="A566" s="1240"/>
      <c r="B566" s="1240"/>
      <c r="C566" s="1240"/>
      <c r="D566" s="1240"/>
      <c r="E566" s="1240"/>
      <c r="F566" s="1240"/>
      <c r="G566" s="1240"/>
      <c r="H566" s="1240"/>
      <c r="I566" s="1240"/>
      <c r="J566" s="1240"/>
      <c r="K566" s="1240"/>
      <c r="L566" s="1240"/>
      <c r="M566" s="1240"/>
      <c r="N566" s="1240"/>
      <c r="O566" s="1240"/>
      <c r="P566" s="1247">
        <f t="shared" si="66"/>
        <v>540</v>
      </c>
      <c r="Q566" s="1253" t="e">
        <f t="shared" ca="1" si="65"/>
        <v>#N/A</v>
      </c>
      <c r="R566" s="1247" t="str">
        <f>IFERROR(VLOOKUP(P566,RPCRepaymentDates[],1,FALSE),"")</f>
        <v/>
      </c>
      <c r="S566" s="1259">
        <f t="shared" si="61"/>
        <v>0</v>
      </c>
      <c r="T566" s="1247" t="str">
        <f>IFERROR(VLOOKUP(P566,RPCChargeCycleDates[],1,FALSE),"")</f>
        <v/>
      </c>
      <c r="U566" s="1248" t="str">
        <f>IFERROR(_xlfn.DAYS(T566,$Q$16)-SUM(U$26:U565),"")</f>
        <v/>
      </c>
      <c r="V566" s="1258">
        <f t="shared" ca="1" si="62"/>
        <v>0</v>
      </c>
      <c r="W566" s="1258">
        <f t="shared" ca="1" si="63"/>
        <v>0</v>
      </c>
      <c r="X566" s="1258" t="e">
        <f t="shared" ca="1" si="64"/>
        <v>#N/A</v>
      </c>
      <c r="Y566" s="1240"/>
      <c r="Z566" s="1240"/>
      <c r="AA566" s="1240"/>
      <c r="AB566" s="1240"/>
      <c r="AC566" s="1254" t="e">
        <f t="shared" si="60"/>
        <v>#NUM!</v>
      </c>
      <c r="AD566" s="1240"/>
      <c r="AE566" s="1240"/>
      <c r="AF566" s="1240"/>
      <c r="AG566" s="1240"/>
      <c r="AH566" s="1240"/>
      <c r="AI566" s="1240"/>
      <c r="AJ566" s="1240"/>
      <c r="AK566" s="1240"/>
      <c r="AL566" s="1240"/>
      <c r="AM566" s="1240"/>
      <c r="AN566" s="1240"/>
      <c r="AO566" s="1240"/>
      <c r="AP566" s="1240"/>
    </row>
    <row r="567" spans="1:42" ht="18.75" customHeight="1" x14ac:dyDescent="0.35">
      <c r="A567" s="1240"/>
      <c r="B567" s="1240"/>
      <c r="C567" s="1240"/>
      <c r="D567" s="1240"/>
      <c r="E567" s="1240"/>
      <c r="F567" s="1240"/>
      <c r="G567" s="1240"/>
      <c r="H567" s="1240"/>
      <c r="I567" s="1240"/>
      <c r="J567" s="1240"/>
      <c r="K567" s="1240"/>
      <c r="L567" s="1240"/>
      <c r="M567" s="1240"/>
      <c r="N567" s="1240"/>
      <c r="O567" s="1240"/>
      <c r="P567" s="1247">
        <f t="shared" si="66"/>
        <v>541</v>
      </c>
      <c r="Q567" s="1253" t="e">
        <f t="shared" ca="1" si="65"/>
        <v>#N/A</v>
      </c>
      <c r="R567" s="1247" t="str">
        <f>IFERROR(VLOOKUP(P567,RPCRepaymentDates[],1,FALSE),"")</f>
        <v/>
      </c>
      <c r="S567" s="1259">
        <f t="shared" si="61"/>
        <v>0</v>
      </c>
      <c r="T567" s="1247" t="str">
        <f>IFERROR(VLOOKUP(P567,RPCChargeCycleDates[],1,FALSE),"")</f>
        <v/>
      </c>
      <c r="U567" s="1248" t="str">
        <f>IFERROR(_xlfn.DAYS(T567,$Q$16)-SUM(U$26:U566),"")</f>
        <v/>
      </c>
      <c r="V567" s="1258">
        <f t="shared" ca="1" si="62"/>
        <v>0</v>
      </c>
      <c r="W567" s="1258">
        <f t="shared" ca="1" si="63"/>
        <v>0</v>
      </c>
      <c r="X567" s="1258" t="e">
        <f t="shared" ca="1" si="64"/>
        <v>#N/A</v>
      </c>
      <c r="Y567" s="1240"/>
      <c r="Z567" s="1240"/>
      <c r="AA567" s="1240"/>
      <c r="AB567" s="1240"/>
      <c r="AC567" s="1254" t="e">
        <f t="shared" si="60"/>
        <v>#NUM!</v>
      </c>
      <c r="AD567" s="1240"/>
      <c r="AE567" s="1240"/>
      <c r="AF567" s="1240"/>
      <c r="AG567" s="1240"/>
      <c r="AH567" s="1240"/>
      <c r="AI567" s="1240"/>
      <c r="AJ567" s="1240"/>
      <c r="AK567" s="1240"/>
      <c r="AL567" s="1240"/>
      <c r="AM567" s="1240"/>
      <c r="AN567" s="1240"/>
      <c r="AO567" s="1240"/>
      <c r="AP567" s="1240"/>
    </row>
    <row r="568" spans="1:42" ht="18.75" customHeight="1" x14ac:dyDescent="0.35">
      <c r="A568" s="1240"/>
      <c r="B568" s="1240"/>
      <c r="C568" s="1240"/>
      <c r="D568" s="1240"/>
      <c r="E568" s="1240"/>
      <c r="F568" s="1240"/>
      <c r="G568" s="1240"/>
      <c r="H568" s="1240"/>
      <c r="I568" s="1240"/>
      <c r="J568" s="1240"/>
      <c r="K568" s="1240"/>
      <c r="L568" s="1240"/>
      <c r="M568" s="1240"/>
      <c r="N568" s="1240"/>
      <c r="O568" s="1240"/>
      <c r="P568" s="1247">
        <f t="shared" si="66"/>
        <v>542</v>
      </c>
      <c r="Q568" s="1253" t="e">
        <f t="shared" ca="1" si="65"/>
        <v>#N/A</v>
      </c>
      <c r="R568" s="1247" t="str">
        <f>IFERROR(VLOOKUP(P568,RPCRepaymentDates[],1,FALSE),"")</f>
        <v/>
      </c>
      <c r="S568" s="1259">
        <f t="shared" si="61"/>
        <v>0</v>
      </c>
      <c r="T568" s="1247" t="str">
        <f>IFERROR(VLOOKUP(P568,RPCChargeCycleDates[],1,FALSE),"")</f>
        <v/>
      </c>
      <c r="U568" s="1248" t="str">
        <f>IFERROR(_xlfn.DAYS(T568,$Q$16)-SUM(U$26:U567),"")</f>
        <v/>
      </c>
      <c r="V568" s="1258">
        <f t="shared" ca="1" si="62"/>
        <v>0</v>
      </c>
      <c r="W568" s="1258">
        <f t="shared" ca="1" si="63"/>
        <v>0</v>
      </c>
      <c r="X568" s="1258" t="e">
        <f t="shared" ca="1" si="64"/>
        <v>#N/A</v>
      </c>
      <c r="Y568" s="1240"/>
      <c r="Z568" s="1240"/>
      <c r="AA568" s="1240"/>
      <c r="AB568" s="1240"/>
      <c r="AC568" s="1254" t="e">
        <f t="shared" si="60"/>
        <v>#NUM!</v>
      </c>
      <c r="AD568" s="1240"/>
      <c r="AE568" s="1240"/>
      <c r="AF568" s="1240"/>
      <c r="AG568" s="1240"/>
      <c r="AH568" s="1240"/>
      <c r="AI568" s="1240"/>
      <c r="AJ568" s="1240"/>
      <c r="AK568" s="1240"/>
      <c r="AL568" s="1240"/>
      <c r="AM568" s="1240"/>
      <c r="AN568" s="1240"/>
      <c r="AO568" s="1240"/>
      <c r="AP568" s="1240"/>
    </row>
    <row r="569" spans="1:42" ht="18.75" customHeight="1" x14ac:dyDescent="0.35">
      <c r="A569" s="1240"/>
      <c r="B569" s="1240"/>
      <c r="C569" s="1240"/>
      <c r="D569" s="1240"/>
      <c r="E569" s="1240"/>
      <c r="F569" s="1240"/>
      <c r="G569" s="1240"/>
      <c r="H569" s="1240"/>
      <c r="I569" s="1240"/>
      <c r="J569" s="1240"/>
      <c r="K569" s="1240"/>
      <c r="L569" s="1240"/>
      <c r="M569" s="1240"/>
      <c r="N569" s="1240"/>
      <c r="O569" s="1240"/>
      <c r="P569" s="1247">
        <f t="shared" si="66"/>
        <v>543</v>
      </c>
      <c r="Q569" s="1253" t="e">
        <f t="shared" ca="1" si="65"/>
        <v>#N/A</v>
      </c>
      <c r="R569" s="1247" t="str">
        <f>IFERROR(VLOOKUP(P569,RPCRepaymentDates[],1,FALSE),"")</f>
        <v/>
      </c>
      <c r="S569" s="1259">
        <f t="shared" si="61"/>
        <v>0</v>
      </c>
      <c r="T569" s="1247" t="str">
        <f>IFERROR(VLOOKUP(P569,RPCChargeCycleDates[],1,FALSE),"")</f>
        <v/>
      </c>
      <c r="U569" s="1248" t="str">
        <f>IFERROR(_xlfn.DAYS(T569,$Q$16)-SUM(U$26:U568),"")</f>
        <v/>
      </c>
      <c r="V569" s="1258">
        <f t="shared" ca="1" si="62"/>
        <v>0</v>
      </c>
      <c r="W569" s="1258">
        <f t="shared" ca="1" si="63"/>
        <v>0</v>
      </c>
      <c r="X569" s="1258" t="e">
        <f t="shared" ca="1" si="64"/>
        <v>#N/A</v>
      </c>
      <c r="Y569" s="1240"/>
      <c r="Z569" s="1240"/>
      <c r="AA569" s="1240"/>
      <c r="AB569" s="1240"/>
      <c r="AC569" s="1254" t="e">
        <f t="shared" si="60"/>
        <v>#NUM!</v>
      </c>
      <c r="AD569" s="1240"/>
      <c r="AE569" s="1240"/>
      <c r="AF569" s="1240"/>
      <c r="AG569" s="1240"/>
      <c r="AH569" s="1240"/>
      <c r="AI569" s="1240"/>
      <c r="AJ569" s="1240"/>
      <c r="AK569" s="1240"/>
      <c r="AL569" s="1240"/>
      <c r="AM569" s="1240"/>
      <c r="AN569" s="1240"/>
      <c r="AO569" s="1240"/>
      <c r="AP569" s="1240"/>
    </row>
    <row r="570" spans="1:42" ht="18.75" customHeight="1" x14ac:dyDescent="0.35">
      <c r="A570" s="1240"/>
      <c r="B570" s="1240"/>
      <c r="C570" s="1240"/>
      <c r="D570" s="1240"/>
      <c r="E570" s="1240"/>
      <c r="F570" s="1240"/>
      <c r="G570" s="1240"/>
      <c r="H570" s="1240"/>
      <c r="I570" s="1240"/>
      <c r="J570" s="1240"/>
      <c r="K570" s="1240"/>
      <c r="L570" s="1240"/>
      <c r="M570" s="1240"/>
      <c r="N570" s="1240"/>
      <c r="O570" s="1240"/>
      <c r="P570" s="1247">
        <f t="shared" si="66"/>
        <v>544</v>
      </c>
      <c r="Q570" s="1253" t="e">
        <f t="shared" ca="1" si="65"/>
        <v>#N/A</v>
      </c>
      <c r="R570" s="1247" t="str">
        <f>IFERROR(VLOOKUP(P570,RPCRepaymentDates[],1,FALSE),"")</f>
        <v/>
      </c>
      <c r="S570" s="1259">
        <f t="shared" si="61"/>
        <v>0</v>
      </c>
      <c r="T570" s="1247" t="str">
        <f>IFERROR(VLOOKUP(P570,RPCChargeCycleDates[],1,FALSE),"")</f>
        <v/>
      </c>
      <c r="U570" s="1248" t="str">
        <f>IFERROR(_xlfn.DAYS(T570,$Q$16)-SUM(U$26:U569),"")</f>
        <v/>
      </c>
      <c r="V570" s="1258">
        <f t="shared" ca="1" si="62"/>
        <v>0</v>
      </c>
      <c r="W570" s="1258">
        <f t="shared" ca="1" si="63"/>
        <v>0</v>
      </c>
      <c r="X570" s="1258" t="e">
        <f t="shared" ca="1" si="64"/>
        <v>#N/A</v>
      </c>
      <c r="Y570" s="1240"/>
      <c r="Z570" s="1240"/>
      <c r="AA570" s="1240"/>
      <c r="AB570" s="1240"/>
      <c r="AC570" s="1254" t="e">
        <f t="shared" si="60"/>
        <v>#NUM!</v>
      </c>
      <c r="AD570" s="1240"/>
      <c r="AE570" s="1240"/>
      <c r="AF570" s="1240"/>
      <c r="AG570" s="1240"/>
      <c r="AH570" s="1240"/>
      <c r="AI570" s="1240"/>
      <c r="AJ570" s="1240"/>
      <c r="AK570" s="1240"/>
      <c r="AL570" s="1240"/>
      <c r="AM570" s="1240"/>
      <c r="AN570" s="1240"/>
      <c r="AO570" s="1240"/>
      <c r="AP570" s="1240"/>
    </row>
    <row r="571" spans="1:42" ht="18.75" customHeight="1" x14ac:dyDescent="0.35">
      <c r="A571" s="1240"/>
      <c r="B571" s="1240"/>
      <c r="C571" s="1240"/>
      <c r="D571" s="1240"/>
      <c r="E571" s="1240"/>
      <c r="F571" s="1240"/>
      <c r="G571" s="1240"/>
      <c r="H571" s="1240"/>
      <c r="I571" s="1240"/>
      <c r="J571" s="1240"/>
      <c r="K571" s="1240"/>
      <c r="L571" s="1240"/>
      <c r="M571" s="1240"/>
      <c r="N571" s="1240"/>
      <c r="O571" s="1240"/>
      <c r="P571" s="1247">
        <f t="shared" si="66"/>
        <v>545</v>
      </c>
      <c r="Q571" s="1253" t="e">
        <f t="shared" ca="1" si="65"/>
        <v>#N/A</v>
      </c>
      <c r="R571" s="1247" t="str">
        <f>IFERROR(VLOOKUP(P571,RPCRepaymentDates[],1,FALSE),"")</f>
        <v/>
      </c>
      <c r="S571" s="1259">
        <f t="shared" si="61"/>
        <v>0</v>
      </c>
      <c r="T571" s="1247">
        <f>IFERROR(VLOOKUP(P571,RPCChargeCycleDates[],1,FALSE),"")</f>
        <v>545</v>
      </c>
      <c r="U571" s="1248">
        <f>IFERROR(_xlfn.DAYS(T571,$Q$16)-SUM(U$26:U570),"")</f>
        <v>31</v>
      </c>
      <c r="V571" s="1258">
        <f t="shared" ca="1" si="62"/>
        <v>0</v>
      </c>
      <c r="W571" s="1258">
        <f t="shared" ca="1" si="63"/>
        <v>0</v>
      </c>
      <c r="X571" s="1258" t="e">
        <f t="shared" ca="1" si="64"/>
        <v>#N/A</v>
      </c>
      <c r="Y571" s="1240"/>
      <c r="Z571" s="1240"/>
      <c r="AA571" s="1240"/>
      <c r="AB571" s="1240"/>
      <c r="AC571" s="1254" t="e">
        <f t="shared" si="60"/>
        <v>#NUM!</v>
      </c>
      <c r="AD571" s="1240"/>
      <c r="AE571" s="1240"/>
      <c r="AF571" s="1240"/>
      <c r="AG571" s="1240"/>
      <c r="AH571" s="1240"/>
      <c r="AI571" s="1240"/>
      <c r="AJ571" s="1240"/>
      <c r="AK571" s="1240"/>
      <c r="AL571" s="1240"/>
      <c r="AM571" s="1240"/>
      <c r="AN571" s="1240"/>
      <c r="AO571" s="1240"/>
      <c r="AP571" s="1240"/>
    </row>
    <row r="572" spans="1:42" ht="18.75" customHeight="1" x14ac:dyDescent="0.35">
      <c r="A572" s="1240"/>
      <c r="B572" s="1240"/>
      <c r="C572" s="1240"/>
      <c r="D572" s="1240"/>
      <c r="E572" s="1240"/>
      <c r="F572" s="1240"/>
      <c r="G572" s="1240"/>
      <c r="H572" s="1240"/>
      <c r="I572" s="1240"/>
      <c r="J572" s="1240"/>
      <c r="K572" s="1240"/>
      <c r="L572" s="1240"/>
      <c r="M572" s="1240"/>
      <c r="N572" s="1240"/>
      <c r="O572" s="1240"/>
      <c r="P572" s="1247">
        <f t="shared" si="66"/>
        <v>546</v>
      </c>
      <c r="Q572" s="1253" t="e">
        <f t="shared" ca="1" si="65"/>
        <v>#N/A</v>
      </c>
      <c r="R572" s="1247" t="str">
        <f>IFERROR(VLOOKUP(P572,RPCRepaymentDates[],1,FALSE),"")</f>
        <v/>
      </c>
      <c r="S572" s="1259">
        <f t="shared" si="61"/>
        <v>0</v>
      </c>
      <c r="T572" s="1247" t="str">
        <f>IFERROR(VLOOKUP(P572,RPCChargeCycleDates[],1,FALSE),"")</f>
        <v/>
      </c>
      <c r="U572" s="1248" t="str">
        <f>IFERROR(_xlfn.DAYS(T572,$Q$16)-SUM(U$26:U571),"")</f>
        <v/>
      </c>
      <c r="V572" s="1258">
        <f t="shared" ca="1" si="62"/>
        <v>0</v>
      </c>
      <c r="W572" s="1258">
        <f t="shared" ca="1" si="63"/>
        <v>0</v>
      </c>
      <c r="X572" s="1258" t="e">
        <f t="shared" ca="1" si="64"/>
        <v>#N/A</v>
      </c>
      <c r="Y572" s="1240"/>
      <c r="Z572" s="1240"/>
      <c r="AA572" s="1240"/>
      <c r="AB572" s="1240"/>
      <c r="AC572" s="1254" t="e">
        <f t="shared" si="60"/>
        <v>#NUM!</v>
      </c>
      <c r="AD572" s="1240"/>
      <c r="AE572" s="1240"/>
      <c r="AF572" s="1240"/>
      <c r="AG572" s="1240"/>
      <c r="AH572" s="1240"/>
      <c r="AI572" s="1240"/>
      <c r="AJ572" s="1240"/>
      <c r="AK572" s="1240"/>
      <c r="AL572" s="1240"/>
      <c r="AM572" s="1240"/>
      <c r="AN572" s="1240"/>
      <c r="AO572" s="1240"/>
      <c r="AP572" s="1240"/>
    </row>
    <row r="573" spans="1:42" ht="18.75" customHeight="1" x14ac:dyDescent="0.35">
      <c r="A573" s="1240"/>
      <c r="B573" s="1240"/>
      <c r="C573" s="1240"/>
      <c r="D573" s="1240"/>
      <c r="E573" s="1240"/>
      <c r="F573" s="1240"/>
      <c r="G573" s="1240"/>
      <c r="H573" s="1240"/>
      <c r="I573" s="1240"/>
      <c r="J573" s="1240"/>
      <c r="K573" s="1240"/>
      <c r="L573" s="1240"/>
      <c r="M573" s="1240"/>
      <c r="N573" s="1240"/>
      <c r="O573" s="1240"/>
      <c r="P573" s="1247">
        <f t="shared" si="66"/>
        <v>547</v>
      </c>
      <c r="Q573" s="1253" t="e">
        <f t="shared" ca="1" si="65"/>
        <v>#N/A</v>
      </c>
      <c r="R573" s="1247" t="str">
        <f>IFERROR(VLOOKUP(P573,RPCRepaymentDates[],1,FALSE),"")</f>
        <v/>
      </c>
      <c r="S573" s="1259">
        <f t="shared" si="61"/>
        <v>0</v>
      </c>
      <c r="T573" s="1247" t="str">
        <f>IFERROR(VLOOKUP(P573,RPCChargeCycleDates[],1,FALSE),"")</f>
        <v/>
      </c>
      <c r="U573" s="1248" t="str">
        <f>IFERROR(_xlfn.DAYS(T573,$Q$16)-SUM(U$26:U572),"")</f>
        <v/>
      </c>
      <c r="V573" s="1258">
        <f t="shared" ca="1" si="62"/>
        <v>0</v>
      </c>
      <c r="W573" s="1258">
        <f t="shared" ca="1" si="63"/>
        <v>0</v>
      </c>
      <c r="X573" s="1258" t="e">
        <f t="shared" ca="1" si="64"/>
        <v>#N/A</v>
      </c>
      <c r="Y573" s="1240"/>
      <c r="Z573" s="1240"/>
      <c r="AA573" s="1240"/>
      <c r="AB573" s="1240"/>
      <c r="AC573" s="1254" t="e">
        <f t="shared" si="60"/>
        <v>#NUM!</v>
      </c>
      <c r="AD573" s="1240"/>
      <c r="AE573" s="1240"/>
      <c r="AF573" s="1240"/>
      <c r="AG573" s="1240"/>
      <c r="AH573" s="1240"/>
      <c r="AI573" s="1240"/>
      <c r="AJ573" s="1240"/>
      <c r="AK573" s="1240"/>
      <c r="AL573" s="1240"/>
      <c r="AM573" s="1240"/>
      <c r="AN573" s="1240"/>
      <c r="AO573" s="1240"/>
      <c r="AP573" s="1240"/>
    </row>
    <row r="574" spans="1:42" ht="18.75" customHeight="1" x14ac:dyDescent="0.35">
      <c r="A574" s="1240"/>
      <c r="B574" s="1240"/>
      <c r="C574" s="1240"/>
      <c r="D574" s="1240"/>
      <c r="E574" s="1240"/>
      <c r="F574" s="1240"/>
      <c r="G574" s="1240"/>
      <c r="H574" s="1240"/>
      <c r="I574" s="1240"/>
      <c r="J574" s="1240"/>
      <c r="K574" s="1240"/>
      <c r="L574" s="1240"/>
      <c r="M574" s="1240"/>
      <c r="N574" s="1240"/>
      <c r="O574" s="1240"/>
      <c r="P574" s="1247">
        <f t="shared" si="66"/>
        <v>548</v>
      </c>
      <c r="Q574" s="1253" t="e">
        <f t="shared" ca="1" si="65"/>
        <v>#N/A</v>
      </c>
      <c r="R574" s="1247" t="str">
        <f>IFERROR(VLOOKUP(P574,RPCRepaymentDates[],1,FALSE),"")</f>
        <v/>
      </c>
      <c r="S574" s="1259">
        <f t="shared" si="61"/>
        <v>0</v>
      </c>
      <c r="T574" s="1247" t="str">
        <f>IFERROR(VLOOKUP(P574,RPCChargeCycleDates[],1,FALSE),"")</f>
        <v/>
      </c>
      <c r="U574" s="1248" t="str">
        <f>IFERROR(_xlfn.DAYS(T574,$Q$16)-SUM(U$26:U573),"")</f>
        <v/>
      </c>
      <c r="V574" s="1258">
        <f t="shared" ca="1" si="62"/>
        <v>0</v>
      </c>
      <c r="W574" s="1258">
        <f t="shared" ca="1" si="63"/>
        <v>0</v>
      </c>
      <c r="X574" s="1258" t="e">
        <f t="shared" ca="1" si="64"/>
        <v>#N/A</v>
      </c>
      <c r="Y574" s="1240"/>
      <c r="Z574" s="1240"/>
      <c r="AA574" s="1240"/>
      <c r="AB574" s="1240"/>
      <c r="AC574" s="1254" t="e">
        <f t="shared" si="60"/>
        <v>#NUM!</v>
      </c>
      <c r="AD574" s="1240"/>
      <c r="AE574" s="1240"/>
      <c r="AF574" s="1240"/>
      <c r="AG574" s="1240"/>
      <c r="AH574" s="1240"/>
      <c r="AI574" s="1240"/>
      <c r="AJ574" s="1240"/>
      <c r="AK574" s="1240"/>
      <c r="AL574" s="1240"/>
      <c r="AM574" s="1240"/>
      <c r="AN574" s="1240"/>
      <c r="AO574" s="1240"/>
      <c r="AP574" s="1240"/>
    </row>
    <row r="575" spans="1:42" ht="18.75" customHeight="1" x14ac:dyDescent="0.35">
      <c r="A575" s="1240"/>
      <c r="B575" s="1240"/>
      <c r="C575" s="1240"/>
      <c r="D575" s="1240"/>
      <c r="E575" s="1240"/>
      <c r="F575" s="1240"/>
      <c r="G575" s="1240"/>
      <c r="H575" s="1240"/>
      <c r="I575" s="1240"/>
      <c r="J575" s="1240"/>
      <c r="K575" s="1240"/>
      <c r="L575" s="1240"/>
      <c r="M575" s="1240"/>
      <c r="N575" s="1240"/>
      <c r="O575" s="1240"/>
      <c r="P575" s="1247">
        <f t="shared" si="66"/>
        <v>549</v>
      </c>
      <c r="Q575" s="1253" t="e">
        <f t="shared" ca="1" si="65"/>
        <v>#N/A</v>
      </c>
      <c r="R575" s="1247" t="str">
        <f>IFERROR(VLOOKUP(P575,RPCRepaymentDates[],1,FALSE),"")</f>
        <v/>
      </c>
      <c r="S575" s="1259">
        <f t="shared" si="61"/>
        <v>0</v>
      </c>
      <c r="T575" s="1247" t="str">
        <f>IFERROR(VLOOKUP(P575,RPCChargeCycleDates[],1,FALSE),"")</f>
        <v/>
      </c>
      <c r="U575" s="1248" t="str">
        <f>IFERROR(_xlfn.DAYS(T575,$Q$16)-SUM(U$26:U574),"")</f>
        <v/>
      </c>
      <c r="V575" s="1258">
        <f t="shared" ca="1" si="62"/>
        <v>0</v>
      </c>
      <c r="W575" s="1258">
        <f t="shared" ca="1" si="63"/>
        <v>0</v>
      </c>
      <c r="X575" s="1258" t="e">
        <f t="shared" ca="1" si="64"/>
        <v>#N/A</v>
      </c>
      <c r="Y575" s="1240"/>
      <c r="Z575" s="1240"/>
      <c r="AA575" s="1240"/>
      <c r="AB575" s="1240"/>
      <c r="AC575" s="1254" t="e">
        <f t="shared" ref="AC575:AC638" si="67">IF(RPCRepaymentFrequency="Monthly",EDATE(AC574,1),IF(RPCRepaymentFrequency="Fortnightly",AC574+14,AC574+7))</f>
        <v>#NUM!</v>
      </c>
      <c r="AD575" s="1240"/>
      <c r="AE575" s="1240"/>
      <c r="AF575" s="1240"/>
      <c r="AG575" s="1240"/>
      <c r="AH575" s="1240"/>
      <c r="AI575" s="1240"/>
      <c r="AJ575" s="1240"/>
      <c r="AK575" s="1240"/>
      <c r="AL575" s="1240"/>
      <c r="AM575" s="1240"/>
      <c r="AN575" s="1240"/>
      <c r="AO575" s="1240"/>
      <c r="AP575" s="1240"/>
    </row>
    <row r="576" spans="1:42" ht="18.75" customHeight="1" x14ac:dyDescent="0.35">
      <c r="A576" s="1240"/>
      <c r="B576" s="1240"/>
      <c r="C576" s="1240"/>
      <c r="D576" s="1240"/>
      <c r="E576" s="1240"/>
      <c r="F576" s="1240"/>
      <c r="G576" s="1240"/>
      <c r="H576" s="1240"/>
      <c r="I576" s="1240"/>
      <c r="J576" s="1240"/>
      <c r="K576" s="1240"/>
      <c r="L576" s="1240"/>
      <c r="M576" s="1240"/>
      <c r="N576" s="1240"/>
      <c r="O576" s="1240"/>
      <c r="P576" s="1247">
        <f t="shared" si="66"/>
        <v>550</v>
      </c>
      <c r="Q576" s="1253" t="e">
        <f t="shared" ca="1" si="65"/>
        <v>#N/A</v>
      </c>
      <c r="R576" s="1247" t="str">
        <f>IFERROR(VLOOKUP(P576,RPCRepaymentDates[],1,FALSE),"")</f>
        <v/>
      </c>
      <c r="S576" s="1259">
        <f t="shared" si="61"/>
        <v>0</v>
      </c>
      <c r="T576" s="1247" t="str">
        <f>IFERROR(VLOOKUP(P576,RPCChargeCycleDates[],1,FALSE),"")</f>
        <v/>
      </c>
      <c r="U576" s="1248" t="str">
        <f>IFERROR(_xlfn.DAYS(T576,$Q$16)-SUM(U$26:U575),"")</f>
        <v/>
      </c>
      <c r="V576" s="1258">
        <f t="shared" ca="1" si="62"/>
        <v>0</v>
      </c>
      <c r="W576" s="1258">
        <f t="shared" ca="1" si="63"/>
        <v>0</v>
      </c>
      <c r="X576" s="1258" t="e">
        <f t="shared" ca="1" si="64"/>
        <v>#N/A</v>
      </c>
      <c r="Y576" s="1240"/>
      <c r="Z576" s="1240"/>
      <c r="AA576" s="1240"/>
      <c r="AB576" s="1240"/>
      <c r="AC576" s="1254" t="e">
        <f t="shared" si="67"/>
        <v>#NUM!</v>
      </c>
      <c r="AD576" s="1240"/>
      <c r="AE576" s="1240"/>
      <c r="AF576" s="1240"/>
      <c r="AG576" s="1240"/>
      <c r="AH576" s="1240"/>
      <c r="AI576" s="1240"/>
      <c r="AJ576" s="1240"/>
      <c r="AK576" s="1240"/>
      <c r="AL576" s="1240"/>
      <c r="AM576" s="1240"/>
      <c r="AN576" s="1240"/>
      <c r="AO576" s="1240"/>
      <c r="AP576" s="1240"/>
    </row>
    <row r="577" spans="1:42" ht="18.75" customHeight="1" x14ac:dyDescent="0.35">
      <c r="A577" s="1240"/>
      <c r="B577" s="1240"/>
      <c r="C577" s="1240"/>
      <c r="D577" s="1240"/>
      <c r="E577" s="1240"/>
      <c r="F577" s="1240"/>
      <c r="G577" s="1240"/>
      <c r="H577" s="1240"/>
      <c r="I577" s="1240"/>
      <c r="J577" s="1240"/>
      <c r="K577" s="1240"/>
      <c r="L577" s="1240"/>
      <c r="M577" s="1240"/>
      <c r="N577" s="1240"/>
      <c r="O577" s="1240"/>
      <c r="P577" s="1247">
        <f t="shared" si="66"/>
        <v>551</v>
      </c>
      <c r="Q577" s="1253" t="e">
        <f t="shared" ca="1" si="65"/>
        <v>#N/A</v>
      </c>
      <c r="R577" s="1247" t="str">
        <f>IFERROR(VLOOKUP(P577,RPCRepaymentDates[],1,FALSE),"")</f>
        <v/>
      </c>
      <c r="S577" s="1259">
        <f t="shared" si="61"/>
        <v>0</v>
      </c>
      <c r="T577" s="1247" t="str">
        <f>IFERROR(VLOOKUP(P577,RPCChargeCycleDates[],1,FALSE),"")</f>
        <v/>
      </c>
      <c r="U577" s="1248" t="str">
        <f>IFERROR(_xlfn.DAYS(T577,$Q$16)-SUM(U$26:U576),"")</f>
        <v/>
      </c>
      <c r="V577" s="1258">
        <f t="shared" ca="1" si="62"/>
        <v>0</v>
      </c>
      <c r="W577" s="1258">
        <f t="shared" ca="1" si="63"/>
        <v>0</v>
      </c>
      <c r="X577" s="1258" t="e">
        <f t="shared" ca="1" si="64"/>
        <v>#N/A</v>
      </c>
      <c r="Y577" s="1240"/>
      <c r="Z577" s="1240"/>
      <c r="AA577" s="1240"/>
      <c r="AB577" s="1240"/>
      <c r="AC577" s="1254" t="e">
        <f t="shared" si="67"/>
        <v>#NUM!</v>
      </c>
      <c r="AD577" s="1240"/>
      <c r="AE577" s="1240"/>
      <c r="AF577" s="1240"/>
      <c r="AG577" s="1240"/>
      <c r="AH577" s="1240"/>
      <c r="AI577" s="1240"/>
      <c r="AJ577" s="1240"/>
      <c r="AK577" s="1240"/>
      <c r="AL577" s="1240"/>
      <c r="AM577" s="1240"/>
      <c r="AN577" s="1240"/>
      <c r="AO577" s="1240"/>
      <c r="AP577" s="1240"/>
    </row>
    <row r="578" spans="1:42" ht="18.75" customHeight="1" x14ac:dyDescent="0.35">
      <c r="A578" s="1240"/>
      <c r="B578" s="1240"/>
      <c r="C578" s="1240"/>
      <c r="D578" s="1240"/>
      <c r="E578" s="1240"/>
      <c r="F578" s="1240"/>
      <c r="G578" s="1240"/>
      <c r="H578" s="1240"/>
      <c r="I578" s="1240"/>
      <c r="J578" s="1240"/>
      <c r="K578" s="1240"/>
      <c r="L578" s="1240"/>
      <c r="M578" s="1240"/>
      <c r="N578" s="1240"/>
      <c r="O578" s="1240"/>
      <c r="P578" s="1247">
        <f t="shared" si="66"/>
        <v>552</v>
      </c>
      <c r="Q578" s="1253" t="e">
        <f t="shared" ca="1" si="65"/>
        <v>#N/A</v>
      </c>
      <c r="R578" s="1247" t="str">
        <f>IFERROR(VLOOKUP(P578,RPCRepaymentDates[],1,FALSE),"")</f>
        <v/>
      </c>
      <c r="S578" s="1259">
        <f t="shared" si="61"/>
        <v>0</v>
      </c>
      <c r="T578" s="1247" t="str">
        <f>IFERROR(VLOOKUP(P578,RPCChargeCycleDates[],1,FALSE),"")</f>
        <v/>
      </c>
      <c r="U578" s="1248" t="str">
        <f>IFERROR(_xlfn.DAYS(T578,$Q$16)-SUM(U$26:U577),"")</f>
        <v/>
      </c>
      <c r="V578" s="1258">
        <f t="shared" ca="1" si="62"/>
        <v>0</v>
      </c>
      <c r="W578" s="1258">
        <f t="shared" ca="1" si="63"/>
        <v>0</v>
      </c>
      <c r="X578" s="1258" t="e">
        <f t="shared" ca="1" si="64"/>
        <v>#N/A</v>
      </c>
      <c r="Y578" s="1240"/>
      <c r="Z578" s="1240"/>
      <c r="AA578" s="1240"/>
      <c r="AB578" s="1240"/>
      <c r="AC578" s="1254" t="e">
        <f t="shared" si="67"/>
        <v>#NUM!</v>
      </c>
      <c r="AD578" s="1240"/>
      <c r="AE578" s="1240"/>
      <c r="AF578" s="1240"/>
      <c r="AG578" s="1240"/>
      <c r="AH578" s="1240"/>
      <c r="AI578" s="1240"/>
      <c r="AJ578" s="1240"/>
      <c r="AK578" s="1240"/>
      <c r="AL578" s="1240"/>
      <c r="AM578" s="1240"/>
      <c r="AN578" s="1240"/>
      <c r="AO578" s="1240"/>
      <c r="AP578" s="1240"/>
    </row>
    <row r="579" spans="1:42" ht="18.75" customHeight="1" x14ac:dyDescent="0.35">
      <c r="A579" s="1240"/>
      <c r="B579" s="1240"/>
      <c r="C579" s="1240"/>
      <c r="D579" s="1240"/>
      <c r="E579" s="1240"/>
      <c r="F579" s="1240"/>
      <c r="G579" s="1240"/>
      <c r="H579" s="1240"/>
      <c r="I579" s="1240"/>
      <c r="J579" s="1240"/>
      <c r="K579" s="1240"/>
      <c r="L579" s="1240"/>
      <c r="M579" s="1240"/>
      <c r="N579" s="1240"/>
      <c r="O579" s="1240"/>
      <c r="P579" s="1247">
        <f t="shared" si="66"/>
        <v>553</v>
      </c>
      <c r="Q579" s="1253" t="e">
        <f t="shared" ca="1" si="65"/>
        <v>#N/A</v>
      </c>
      <c r="R579" s="1247" t="str">
        <f>IFERROR(VLOOKUP(P579,RPCRepaymentDates[],1,FALSE),"")</f>
        <v/>
      </c>
      <c r="S579" s="1259">
        <f t="shared" si="61"/>
        <v>0</v>
      </c>
      <c r="T579" s="1247" t="str">
        <f>IFERROR(VLOOKUP(P579,RPCChargeCycleDates[],1,FALSE),"")</f>
        <v/>
      </c>
      <c r="U579" s="1248" t="str">
        <f>IFERROR(_xlfn.DAYS(T579,$Q$16)-SUM(U$26:U578),"")</f>
        <v/>
      </c>
      <c r="V579" s="1258">
        <f t="shared" ca="1" si="62"/>
        <v>0</v>
      </c>
      <c r="W579" s="1258">
        <f t="shared" ca="1" si="63"/>
        <v>0</v>
      </c>
      <c r="X579" s="1258" t="e">
        <f t="shared" ca="1" si="64"/>
        <v>#N/A</v>
      </c>
      <c r="Y579" s="1240"/>
      <c r="Z579" s="1240"/>
      <c r="AA579" s="1240"/>
      <c r="AB579" s="1240"/>
      <c r="AC579" s="1254" t="e">
        <f t="shared" si="67"/>
        <v>#NUM!</v>
      </c>
      <c r="AD579" s="1240"/>
      <c r="AE579" s="1240"/>
      <c r="AF579" s="1240"/>
      <c r="AG579" s="1240"/>
      <c r="AH579" s="1240"/>
      <c r="AI579" s="1240"/>
      <c r="AJ579" s="1240"/>
      <c r="AK579" s="1240"/>
      <c r="AL579" s="1240"/>
      <c r="AM579" s="1240"/>
      <c r="AN579" s="1240"/>
      <c r="AO579" s="1240"/>
      <c r="AP579" s="1240"/>
    </row>
    <row r="580" spans="1:42" ht="18.75" customHeight="1" x14ac:dyDescent="0.35">
      <c r="A580" s="1240"/>
      <c r="B580" s="1240"/>
      <c r="C580" s="1240"/>
      <c r="D580" s="1240"/>
      <c r="E580" s="1240"/>
      <c r="F580" s="1240"/>
      <c r="G580" s="1240"/>
      <c r="H580" s="1240"/>
      <c r="I580" s="1240"/>
      <c r="J580" s="1240"/>
      <c r="K580" s="1240"/>
      <c r="L580" s="1240"/>
      <c r="M580" s="1240"/>
      <c r="N580" s="1240"/>
      <c r="O580" s="1240"/>
      <c r="P580" s="1247">
        <f t="shared" si="66"/>
        <v>554</v>
      </c>
      <c r="Q580" s="1253" t="e">
        <f t="shared" ca="1" si="65"/>
        <v>#N/A</v>
      </c>
      <c r="R580" s="1247" t="str">
        <f>IFERROR(VLOOKUP(P580,RPCRepaymentDates[],1,FALSE),"")</f>
        <v/>
      </c>
      <c r="S580" s="1259">
        <f t="shared" si="61"/>
        <v>0</v>
      </c>
      <c r="T580" s="1247" t="str">
        <f>IFERROR(VLOOKUP(P580,RPCChargeCycleDates[],1,FALSE),"")</f>
        <v/>
      </c>
      <c r="U580" s="1248" t="str">
        <f>IFERROR(_xlfn.DAYS(T580,$Q$16)-SUM(U$26:U579),"")</f>
        <v/>
      </c>
      <c r="V580" s="1258">
        <f t="shared" ca="1" si="62"/>
        <v>0</v>
      </c>
      <c r="W580" s="1258">
        <f t="shared" ca="1" si="63"/>
        <v>0</v>
      </c>
      <c r="X580" s="1258" t="e">
        <f t="shared" ca="1" si="64"/>
        <v>#N/A</v>
      </c>
      <c r="Y580" s="1240"/>
      <c r="Z580" s="1240"/>
      <c r="AA580" s="1240"/>
      <c r="AB580" s="1240"/>
      <c r="AC580" s="1254" t="e">
        <f t="shared" si="67"/>
        <v>#NUM!</v>
      </c>
      <c r="AD580" s="1240"/>
      <c r="AE580" s="1240"/>
      <c r="AF580" s="1240"/>
      <c r="AG580" s="1240"/>
      <c r="AH580" s="1240"/>
      <c r="AI580" s="1240"/>
      <c r="AJ580" s="1240"/>
      <c r="AK580" s="1240"/>
      <c r="AL580" s="1240"/>
      <c r="AM580" s="1240"/>
      <c r="AN580" s="1240"/>
      <c r="AO580" s="1240"/>
      <c r="AP580" s="1240"/>
    </row>
    <row r="581" spans="1:42" ht="18.75" customHeight="1" x14ac:dyDescent="0.35">
      <c r="A581" s="1240"/>
      <c r="B581" s="1240"/>
      <c r="C581" s="1240"/>
      <c r="D581" s="1240"/>
      <c r="E581" s="1240"/>
      <c r="F581" s="1240"/>
      <c r="G581" s="1240"/>
      <c r="H581" s="1240"/>
      <c r="I581" s="1240"/>
      <c r="J581" s="1240"/>
      <c r="K581" s="1240"/>
      <c r="L581" s="1240"/>
      <c r="M581" s="1240"/>
      <c r="N581" s="1240"/>
      <c r="O581" s="1240"/>
      <c r="P581" s="1247">
        <f t="shared" si="66"/>
        <v>555</v>
      </c>
      <c r="Q581" s="1253" t="e">
        <f t="shared" ca="1" si="65"/>
        <v>#N/A</v>
      </c>
      <c r="R581" s="1247" t="str">
        <f>IFERROR(VLOOKUP(P581,RPCRepaymentDates[],1,FALSE),"")</f>
        <v/>
      </c>
      <c r="S581" s="1259">
        <f t="shared" si="61"/>
        <v>0</v>
      </c>
      <c r="T581" s="1247" t="str">
        <f>IFERROR(VLOOKUP(P581,RPCChargeCycleDates[],1,FALSE),"")</f>
        <v/>
      </c>
      <c r="U581" s="1248" t="str">
        <f>IFERROR(_xlfn.DAYS(T581,$Q$16)-SUM(U$26:U580),"")</f>
        <v/>
      </c>
      <c r="V581" s="1258">
        <f t="shared" ca="1" si="62"/>
        <v>0</v>
      </c>
      <c r="W581" s="1258">
        <f t="shared" ca="1" si="63"/>
        <v>0</v>
      </c>
      <c r="X581" s="1258" t="e">
        <f t="shared" ca="1" si="64"/>
        <v>#N/A</v>
      </c>
      <c r="Y581" s="1240"/>
      <c r="Z581" s="1240"/>
      <c r="AA581" s="1240"/>
      <c r="AB581" s="1240"/>
      <c r="AC581" s="1254" t="e">
        <f t="shared" si="67"/>
        <v>#NUM!</v>
      </c>
      <c r="AD581" s="1240"/>
      <c r="AE581" s="1240"/>
      <c r="AF581" s="1240"/>
      <c r="AG581" s="1240"/>
      <c r="AH581" s="1240"/>
      <c r="AI581" s="1240"/>
      <c r="AJ581" s="1240"/>
      <c r="AK581" s="1240"/>
      <c r="AL581" s="1240"/>
      <c r="AM581" s="1240"/>
      <c r="AN581" s="1240"/>
      <c r="AO581" s="1240"/>
      <c r="AP581" s="1240"/>
    </row>
    <row r="582" spans="1:42" ht="18.75" customHeight="1" x14ac:dyDescent="0.35">
      <c r="A582" s="1240"/>
      <c r="B582" s="1240"/>
      <c r="C582" s="1240"/>
      <c r="D582" s="1240"/>
      <c r="E582" s="1240"/>
      <c r="F582" s="1240"/>
      <c r="G582" s="1240"/>
      <c r="H582" s="1240"/>
      <c r="I582" s="1240"/>
      <c r="J582" s="1240"/>
      <c r="K582" s="1240"/>
      <c r="L582" s="1240"/>
      <c r="M582" s="1240"/>
      <c r="N582" s="1240"/>
      <c r="O582" s="1240"/>
      <c r="P582" s="1247">
        <f t="shared" si="66"/>
        <v>556</v>
      </c>
      <c r="Q582" s="1253" t="e">
        <f t="shared" ca="1" si="65"/>
        <v>#N/A</v>
      </c>
      <c r="R582" s="1247" t="str">
        <f>IFERROR(VLOOKUP(P582,RPCRepaymentDates[],1,FALSE),"")</f>
        <v/>
      </c>
      <c r="S582" s="1259">
        <f t="shared" si="61"/>
        <v>0</v>
      </c>
      <c r="T582" s="1247" t="str">
        <f>IFERROR(VLOOKUP(P582,RPCChargeCycleDates[],1,FALSE),"")</f>
        <v/>
      </c>
      <c r="U582" s="1248" t="str">
        <f>IFERROR(_xlfn.DAYS(T582,$Q$16)-SUM(U$26:U581),"")</f>
        <v/>
      </c>
      <c r="V582" s="1258">
        <f t="shared" ca="1" si="62"/>
        <v>0</v>
      </c>
      <c r="W582" s="1258">
        <f t="shared" ca="1" si="63"/>
        <v>0</v>
      </c>
      <c r="X582" s="1258" t="e">
        <f t="shared" ca="1" si="64"/>
        <v>#N/A</v>
      </c>
      <c r="Y582" s="1240"/>
      <c r="Z582" s="1240"/>
      <c r="AA582" s="1240"/>
      <c r="AB582" s="1240"/>
      <c r="AC582" s="1254" t="e">
        <f t="shared" si="67"/>
        <v>#NUM!</v>
      </c>
      <c r="AD582" s="1240"/>
      <c r="AE582" s="1240"/>
      <c r="AF582" s="1240"/>
      <c r="AG582" s="1240"/>
      <c r="AH582" s="1240"/>
      <c r="AI582" s="1240"/>
      <c r="AJ582" s="1240"/>
      <c r="AK582" s="1240"/>
      <c r="AL582" s="1240"/>
      <c r="AM582" s="1240"/>
      <c r="AN582" s="1240"/>
      <c r="AO582" s="1240"/>
      <c r="AP582" s="1240"/>
    </row>
    <row r="583" spans="1:42" ht="18.75" customHeight="1" x14ac:dyDescent="0.35">
      <c r="A583" s="1240"/>
      <c r="B583" s="1240"/>
      <c r="C583" s="1240"/>
      <c r="D583" s="1240"/>
      <c r="E583" s="1240"/>
      <c r="F583" s="1240"/>
      <c r="G583" s="1240"/>
      <c r="H583" s="1240"/>
      <c r="I583" s="1240"/>
      <c r="J583" s="1240"/>
      <c r="K583" s="1240"/>
      <c r="L583" s="1240"/>
      <c r="M583" s="1240"/>
      <c r="N583" s="1240"/>
      <c r="O583" s="1240"/>
      <c r="P583" s="1247">
        <f t="shared" si="66"/>
        <v>557</v>
      </c>
      <c r="Q583" s="1253" t="e">
        <f t="shared" ca="1" si="65"/>
        <v>#N/A</v>
      </c>
      <c r="R583" s="1247" t="str">
        <f>IFERROR(VLOOKUP(P583,RPCRepaymentDates[],1,FALSE),"")</f>
        <v/>
      </c>
      <c r="S583" s="1259">
        <f t="shared" si="61"/>
        <v>0</v>
      </c>
      <c r="T583" s="1247" t="str">
        <f>IFERROR(VLOOKUP(P583,RPCChargeCycleDates[],1,FALSE),"")</f>
        <v/>
      </c>
      <c r="U583" s="1248" t="str">
        <f>IFERROR(_xlfn.DAYS(T583,$Q$16)-SUM(U$26:U582),"")</f>
        <v/>
      </c>
      <c r="V583" s="1258">
        <f t="shared" ca="1" si="62"/>
        <v>0</v>
      </c>
      <c r="W583" s="1258">
        <f t="shared" ca="1" si="63"/>
        <v>0</v>
      </c>
      <c r="X583" s="1258" t="e">
        <f t="shared" ca="1" si="64"/>
        <v>#N/A</v>
      </c>
      <c r="Y583" s="1240"/>
      <c r="Z583" s="1240"/>
      <c r="AA583" s="1240"/>
      <c r="AB583" s="1240"/>
      <c r="AC583" s="1254" t="e">
        <f t="shared" si="67"/>
        <v>#NUM!</v>
      </c>
      <c r="AD583" s="1240"/>
      <c r="AE583" s="1240"/>
      <c r="AF583" s="1240"/>
      <c r="AG583" s="1240"/>
      <c r="AH583" s="1240"/>
      <c r="AI583" s="1240"/>
      <c r="AJ583" s="1240"/>
      <c r="AK583" s="1240"/>
      <c r="AL583" s="1240"/>
      <c r="AM583" s="1240"/>
      <c r="AN583" s="1240"/>
      <c r="AO583" s="1240"/>
      <c r="AP583" s="1240"/>
    </row>
    <row r="584" spans="1:42" ht="18.75" customHeight="1" x14ac:dyDescent="0.35">
      <c r="A584" s="1240"/>
      <c r="B584" s="1240"/>
      <c r="C584" s="1240"/>
      <c r="D584" s="1240"/>
      <c r="E584" s="1240"/>
      <c r="F584" s="1240"/>
      <c r="G584" s="1240"/>
      <c r="H584" s="1240"/>
      <c r="I584" s="1240"/>
      <c r="J584" s="1240"/>
      <c r="K584" s="1240"/>
      <c r="L584" s="1240"/>
      <c r="M584" s="1240"/>
      <c r="N584" s="1240"/>
      <c r="O584" s="1240"/>
      <c r="P584" s="1247">
        <f t="shared" si="66"/>
        <v>558</v>
      </c>
      <c r="Q584" s="1253" t="e">
        <f t="shared" ca="1" si="65"/>
        <v>#N/A</v>
      </c>
      <c r="R584" s="1247" t="str">
        <f>IFERROR(VLOOKUP(P584,RPCRepaymentDates[],1,FALSE),"")</f>
        <v/>
      </c>
      <c r="S584" s="1259">
        <f t="shared" si="61"/>
        <v>0</v>
      </c>
      <c r="T584" s="1247" t="str">
        <f>IFERROR(VLOOKUP(P584,RPCChargeCycleDates[],1,FALSE),"")</f>
        <v/>
      </c>
      <c r="U584" s="1248" t="str">
        <f>IFERROR(_xlfn.DAYS(T584,$Q$16)-SUM(U$26:U583),"")</f>
        <v/>
      </c>
      <c r="V584" s="1258">
        <f t="shared" ca="1" si="62"/>
        <v>0</v>
      </c>
      <c r="W584" s="1258">
        <f t="shared" ca="1" si="63"/>
        <v>0</v>
      </c>
      <c r="X584" s="1258" t="e">
        <f t="shared" ca="1" si="64"/>
        <v>#N/A</v>
      </c>
      <c r="Y584" s="1240"/>
      <c r="Z584" s="1240"/>
      <c r="AA584" s="1240"/>
      <c r="AB584" s="1240"/>
      <c r="AC584" s="1254" t="e">
        <f t="shared" si="67"/>
        <v>#NUM!</v>
      </c>
      <c r="AD584" s="1240"/>
      <c r="AE584" s="1240"/>
      <c r="AF584" s="1240"/>
      <c r="AG584" s="1240"/>
      <c r="AH584" s="1240"/>
      <c r="AI584" s="1240"/>
      <c r="AJ584" s="1240"/>
      <c r="AK584" s="1240"/>
      <c r="AL584" s="1240"/>
      <c r="AM584" s="1240"/>
      <c r="AN584" s="1240"/>
      <c r="AO584" s="1240"/>
      <c r="AP584" s="1240"/>
    </row>
    <row r="585" spans="1:42" ht="18.75" customHeight="1" x14ac:dyDescent="0.35">
      <c r="A585" s="1240"/>
      <c r="B585" s="1240"/>
      <c r="C585" s="1240"/>
      <c r="D585" s="1240"/>
      <c r="E585" s="1240"/>
      <c r="F585" s="1240"/>
      <c r="G585" s="1240"/>
      <c r="H585" s="1240"/>
      <c r="I585" s="1240"/>
      <c r="J585" s="1240"/>
      <c r="K585" s="1240"/>
      <c r="L585" s="1240"/>
      <c r="M585" s="1240"/>
      <c r="N585" s="1240"/>
      <c r="O585" s="1240"/>
      <c r="P585" s="1247">
        <f t="shared" si="66"/>
        <v>559</v>
      </c>
      <c r="Q585" s="1253" t="e">
        <f t="shared" ca="1" si="65"/>
        <v>#N/A</v>
      </c>
      <c r="R585" s="1247" t="str">
        <f>IFERROR(VLOOKUP(P585,RPCRepaymentDates[],1,FALSE),"")</f>
        <v/>
      </c>
      <c r="S585" s="1259">
        <f t="shared" si="61"/>
        <v>0</v>
      </c>
      <c r="T585" s="1247" t="str">
        <f>IFERROR(VLOOKUP(P585,RPCChargeCycleDates[],1,FALSE),"")</f>
        <v/>
      </c>
      <c r="U585" s="1248" t="str">
        <f>IFERROR(_xlfn.DAYS(T585,$Q$16)-SUM(U$26:U584),"")</f>
        <v/>
      </c>
      <c r="V585" s="1258">
        <f t="shared" ca="1" si="62"/>
        <v>0</v>
      </c>
      <c r="W585" s="1258">
        <f t="shared" ca="1" si="63"/>
        <v>0</v>
      </c>
      <c r="X585" s="1258" t="e">
        <f t="shared" ca="1" si="64"/>
        <v>#N/A</v>
      </c>
      <c r="Y585" s="1240"/>
      <c r="Z585" s="1240"/>
      <c r="AA585" s="1240"/>
      <c r="AB585" s="1240"/>
      <c r="AC585" s="1254" t="e">
        <f t="shared" si="67"/>
        <v>#NUM!</v>
      </c>
      <c r="AD585" s="1240"/>
      <c r="AE585" s="1240"/>
      <c r="AF585" s="1240"/>
      <c r="AG585" s="1240"/>
      <c r="AH585" s="1240"/>
      <c r="AI585" s="1240"/>
      <c r="AJ585" s="1240"/>
      <c r="AK585" s="1240"/>
      <c r="AL585" s="1240"/>
      <c r="AM585" s="1240"/>
      <c r="AN585" s="1240"/>
      <c r="AO585" s="1240"/>
      <c r="AP585" s="1240"/>
    </row>
    <row r="586" spans="1:42" ht="18.75" customHeight="1" x14ac:dyDescent="0.35">
      <c r="A586" s="1240"/>
      <c r="B586" s="1240"/>
      <c r="C586" s="1240"/>
      <c r="D586" s="1240"/>
      <c r="E586" s="1240"/>
      <c r="F586" s="1240"/>
      <c r="G586" s="1240"/>
      <c r="H586" s="1240"/>
      <c r="I586" s="1240"/>
      <c r="J586" s="1240"/>
      <c r="K586" s="1240"/>
      <c r="L586" s="1240"/>
      <c r="M586" s="1240"/>
      <c r="N586" s="1240"/>
      <c r="O586" s="1240"/>
      <c r="P586" s="1247">
        <f t="shared" si="66"/>
        <v>560</v>
      </c>
      <c r="Q586" s="1253" t="e">
        <f t="shared" ca="1" si="65"/>
        <v>#N/A</v>
      </c>
      <c r="R586" s="1247" t="str">
        <f>IFERROR(VLOOKUP(P586,RPCRepaymentDates[],1,FALSE),"")</f>
        <v/>
      </c>
      <c r="S586" s="1259">
        <f t="shared" si="61"/>
        <v>0</v>
      </c>
      <c r="T586" s="1247" t="str">
        <f>IFERROR(VLOOKUP(P586,RPCChargeCycleDates[],1,FALSE),"")</f>
        <v/>
      </c>
      <c r="U586" s="1248" t="str">
        <f>IFERROR(_xlfn.DAYS(T586,$Q$16)-SUM(U$26:U585),"")</f>
        <v/>
      </c>
      <c r="V586" s="1258">
        <f t="shared" ca="1" si="62"/>
        <v>0</v>
      </c>
      <c r="W586" s="1258">
        <f t="shared" ca="1" si="63"/>
        <v>0</v>
      </c>
      <c r="X586" s="1258" t="e">
        <f t="shared" ca="1" si="64"/>
        <v>#N/A</v>
      </c>
      <c r="Y586" s="1240"/>
      <c r="Z586" s="1240"/>
      <c r="AA586" s="1240"/>
      <c r="AB586" s="1240"/>
      <c r="AC586" s="1254" t="e">
        <f t="shared" si="67"/>
        <v>#NUM!</v>
      </c>
      <c r="AD586" s="1240"/>
      <c r="AE586" s="1240"/>
      <c r="AF586" s="1240"/>
      <c r="AG586" s="1240"/>
      <c r="AH586" s="1240"/>
      <c r="AI586" s="1240"/>
      <c r="AJ586" s="1240"/>
      <c r="AK586" s="1240"/>
      <c r="AL586" s="1240"/>
      <c r="AM586" s="1240"/>
      <c r="AN586" s="1240"/>
      <c r="AO586" s="1240"/>
      <c r="AP586" s="1240"/>
    </row>
    <row r="587" spans="1:42" ht="18.75" customHeight="1" x14ac:dyDescent="0.35">
      <c r="A587" s="1240"/>
      <c r="B587" s="1240"/>
      <c r="C587" s="1240"/>
      <c r="D587" s="1240"/>
      <c r="E587" s="1240"/>
      <c r="F587" s="1240"/>
      <c r="G587" s="1240"/>
      <c r="H587" s="1240"/>
      <c r="I587" s="1240"/>
      <c r="J587" s="1240"/>
      <c r="K587" s="1240"/>
      <c r="L587" s="1240"/>
      <c r="M587" s="1240"/>
      <c r="N587" s="1240"/>
      <c r="O587" s="1240"/>
      <c r="P587" s="1247">
        <f t="shared" si="66"/>
        <v>561</v>
      </c>
      <c r="Q587" s="1253" t="e">
        <f t="shared" ca="1" si="65"/>
        <v>#N/A</v>
      </c>
      <c r="R587" s="1247" t="str">
        <f>IFERROR(VLOOKUP(P587,RPCRepaymentDates[],1,FALSE),"")</f>
        <v/>
      </c>
      <c r="S587" s="1259">
        <f t="shared" si="61"/>
        <v>0</v>
      </c>
      <c r="T587" s="1247" t="str">
        <f>IFERROR(VLOOKUP(P587,RPCChargeCycleDates[],1,FALSE),"")</f>
        <v/>
      </c>
      <c r="U587" s="1248" t="str">
        <f>IFERROR(_xlfn.DAYS(T587,$Q$16)-SUM(U$26:U586),"")</f>
        <v/>
      </c>
      <c r="V587" s="1258">
        <f t="shared" ca="1" si="62"/>
        <v>0</v>
      </c>
      <c r="W587" s="1258">
        <f t="shared" ca="1" si="63"/>
        <v>0</v>
      </c>
      <c r="X587" s="1258" t="e">
        <f t="shared" ca="1" si="64"/>
        <v>#N/A</v>
      </c>
      <c r="Y587" s="1240"/>
      <c r="Z587" s="1240"/>
      <c r="AA587" s="1240"/>
      <c r="AB587" s="1240"/>
      <c r="AC587" s="1254" t="e">
        <f t="shared" si="67"/>
        <v>#NUM!</v>
      </c>
      <c r="AD587" s="1240"/>
      <c r="AE587" s="1240"/>
      <c r="AF587" s="1240"/>
      <c r="AG587" s="1240"/>
      <c r="AH587" s="1240"/>
      <c r="AI587" s="1240"/>
      <c r="AJ587" s="1240"/>
      <c r="AK587" s="1240"/>
      <c r="AL587" s="1240"/>
      <c r="AM587" s="1240"/>
      <c r="AN587" s="1240"/>
      <c r="AO587" s="1240"/>
      <c r="AP587" s="1240"/>
    </row>
    <row r="588" spans="1:42" ht="18.75" customHeight="1" x14ac:dyDescent="0.35">
      <c r="A588" s="1240"/>
      <c r="B588" s="1240"/>
      <c r="C588" s="1240"/>
      <c r="D588" s="1240"/>
      <c r="E588" s="1240"/>
      <c r="F588" s="1240"/>
      <c r="G588" s="1240"/>
      <c r="H588" s="1240"/>
      <c r="I588" s="1240"/>
      <c r="J588" s="1240"/>
      <c r="K588" s="1240"/>
      <c r="L588" s="1240"/>
      <c r="M588" s="1240"/>
      <c r="N588" s="1240"/>
      <c r="O588" s="1240"/>
      <c r="P588" s="1247">
        <f t="shared" si="66"/>
        <v>562</v>
      </c>
      <c r="Q588" s="1253" t="e">
        <f t="shared" ca="1" si="65"/>
        <v>#N/A</v>
      </c>
      <c r="R588" s="1247" t="str">
        <f>IFERROR(VLOOKUP(P588,RPCRepaymentDates[],1,FALSE),"")</f>
        <v/>
      </c>
      <c r="S588" s="1259">
        <f t="shared" si="61"/>
        <v>0</v>
      </c>
      <c r="T588" s="1247" t="str">
        <f>IFERROR(VLOOKUP(P588,RPCChargeCycleDates[],1,FALSE),"")</f>
        <v/>
      </c>
      <c r="U588" s="1248" t="str">
        <f>IFERROR(_xlfn.DAYS(T588,$Q$16)-SUM(U$26:U587),"")</f>
        <v/>
      </c>
      <c r="V588" s="1258">
        <f t="shared" ca="1" si="62"/>
        <v>0</v>
      </c>
      <c r="W588" s="1258">
        <f t="shared" ca="1" si="63"/>
        <v>0</v>
      </c>
      <c r="X588" s="1258" t="e">
        <f t="shared" ca="1" si="64"/>
        <v>#N/A</v>
      </c>
      <c r="Y588" s="1240"/>
      <c r="Z588" s="1240"/>
      <c r="AA588" s="1240"/>
      <c r="AB588" s="1240"/>
      <c r="AC588" s="1254" t="e">
        <f t="shared" si="67"/>
        <v>#NUM!</v>
      </c>
      <c r="AD588" s="1240"/>
      <c r="AE588" s="1240"/>
      <c r="AF588" s="1240"/>
      <c r="AG588" s="1240"/>
      <c r="AH588" s="1240"/>
      <c r="AI588" s="1240"/>
      <c r="AJ588" s="1240"/>
      <c r="AK588" s="1240"/>
      <c r="AL588" s="1240"/>
      <c r="AM588" s="1240"/>
      <c r="AN588" s="1240"/>
      <c r="AO588" s="1240"/>
      <c r="AP588" s="1240"/>
    </row>
    <row r="589" spans="1:42" ht="18.75" customHeight="1" x14ac:dyDescent="0.35">
      <c r="A589" s="1240"/>
      <c r="B589" s="1240"/>
      <c r="C589" s="1240"/>
      <c r="D589" s="1240"/>
      <c r="E589" s="1240"/>
      <c r="F589" s="1240"/>
      <c r="G589" s="1240"/>
      <c r="H589" s="1240"/>
      <c r="I589" s="1240"/>
      <c r="J589" s="1240"/>
      <c r="K589" s="1240"/>
      <c r="L589" s="1240"/>
      <c r="M589" s="1240"/>
      <c r="N589" s="1240"/>
      <c r="O589" s="1240"/>
      <c r="P589" s="1247">
        <f t="shared" si="66"/>
        <v>563</v>
      </c>
      <c r="Q589" s="1253" t="e">
        <f t="shared" ca="1" si="65"/>
        <v>#N/A</v>
      </c>
      <c r="R589" s="1247" t="str">
        <f>IFERROR(VLOOKUP(P589,RPCRepaymentDates[],1,FALSE),"")</f>
        <v/>
      </c>
      <c r="S589" s="1259">
        <f t="shared" si="61"/>
        <v>0</v>
      </c>
      <c r="T589" s="1247" t="str">
        <f>IFERROR(VLOOKUP(P589,RPCChargeCycleDates[],1,FALSE),"")</f>
        <v/>
      </c>
      <c r="U589" s="1248" t="str">
        <f>IFERROR(_xlfn.DAYS(T589,$Q$16)-SUM(U$26:U588),"")</f>
        <v/>
      </c>
      <c r="V589" s="1258">
        <f t="shared" ca="1" si="62"/>
        <v>0</v>
      </c>
      <c r="W589" s="1258">
        <f t="shared" ca="1" si="63"/>
        <v>0</v>
      </c>
      <c r="X589" s="1258" t="e">
        <f t="shared" ca="1" si="64"/>
        <v>#N/A</v>
      </c>
      <c r="Y589" s="1240"/>
      <c r="Z589" s="1240"/>
      <c r="AA589" s="1240"/>
      <c r="AB589" s="1240"/>
      <c r="AC589" s="1254" t="e">
        <f t="shared" si="67"/>
        <v>#NUM!</v>
      </c>
      <c r="AD589" s="1240"/>
      <c r="AE589" s="1240"/>
      <c r="AF589" s="1240"/>
      <c r="AG589" s="1240"/>
      <c r="AH589" s="1240"/>
      <c r="AI589" s="1240"/>
      <c r="AJ589" s="1240"/>
      <c r="AK589" s="1240"/>
      <c r="AL589" s="1240"/>
      <c r="AM589" s="1240"/>
      <c r="AN589" s="1240"/>
      <c r="AO589" s="1240"/>
      <c r="AP589" s="1240"/>
    </row>
    <row r="590" spans="1:42" ht="18.75" customHeight="1" x14ac:dyDescent="0.35">
      <c r="A590" s="1240"/>
      <c r="B590" s="1240"/>
      <c r="C590" s="1240"/>
      <c r="D590" s="1240"/>
      <c r="E590" s="1240"/>
      <c r="F590" s="1240"/>
      <c r="G590" s="1240"/>
      <c r="H590" s="1240"/>
      <c r="I590" s="1240"/>
      <c r="J590" s="1240"/>
      <c r="K590" s="1240"/>
      <c r="L590" s="1240"/>
      <c r="M590" s="1240"/>
      <c r="N590" s="1240"/>
      <c r="O590" s="1240"/>
      <c r="P590" s="1247">
        <f t="shared" si="66"/>
        <v>564</v>
      </c>
      <c r="Q590" s="1253" t="e">
        <f t="shared" ca="1" si="65"/>
        <v>#N/A</v>
      </c>
      <c r="R590" s="1247" t="str">
        <f>IFERROR(VLOOKUP(P590,RPCRepaymentDates[],1,FALSE),"")</f>
        <v/>
      </c>
      <c r="S590" s="1259">
        <f t="shared" si="61"/>
        <v>0</v>
      </c>
      <c r="T590" s="1247" t="str">
        <f>IFERROR(VLOOKUP(P590,RPCChargeCycleDates[],1,FALSE),"")</f>
        <v/>
      </c>
      <c r="U590" s="1248" t="str">
        <f>IFERROR(_xlfn.DAYS(T590,$Q$16)-SUM(U$26:U589),"")</f>
        <v/>
      </c>
      <c r="V590" s="1258">
        <f t="shared" ca="1" si="62"/>
        <v>0</v>
      </c>
      <c r="W590" s="1258">
        <f t="shared" ca="1" si="63"/>
        <v>0</v>
      </c>
      <c r="X590" s="1258" t="e">
        <f t="shared" ca="1" si="64"/>
        <v>#N/A</v>
      </c>
      <c r="Y590" s="1240"/>
      <c r="Z590" s="1240"/>
      <c r="AA590" s="1240"/>
      <c r="AB590" s="1240"/>
      <c r="AC590" s="1254" t="e">
        <f t="shared" si="67"/>
        <v>#NUM!</v>
      </c>
      <c r="AD590" s="1240"/>
      <c r="AE590" s="1240"/>
      <c r="AF590" s="1240"/>
      <c r="AG590" s="1240"/>
      <c r="AH590" s="1240"/>
      <c r="AI590" s="1240"/>
      <c r="AJ590" s="1240"/>
      <c r="AK590" s="1240"/>
      <c r="AL590" s="1240"/>
      <c r="AM590" s="1240"/>
      <c r="AN590" s="1240"/>
      <c r="AO590" s="1240"/>
      <c r="AP590" s="1240"/>
    </row>
    <row r="591" spans="1:42" ht="18.75" customHeight="1" x14ac:dyDescent="0.35">
      <c r="A591" s="1240"/>
      <c r="B591" s="1240"/>
      <c r="C591" s="1240"/>
      <c r="D591" s="1240"/>
      <c r="E591" s="1240"/>
      <c r="F591" s="1240"/>
      <c r="G591" s="1240"/>
      <c r="H591" s="1240"/>
      <c r="I591" s="1240"/>
      <c r="J591" s="1240"/>
      <c r="K591" s="1240"/>
      <c r="L591" s="1240"/>
      <c r="M591" s="1240"/>
      <c r="N591" s="1240"/>
      <c r="O591" s="1240"/>
      <c r="P591" s="1247">
        <f t="shared" si="66"/>
        <v>565</v>
      </c>
      <c r="Q591" s="1253" t="e">
        <f t="shared" ca="1" si="65"/>
        <v>#N/A</v>
      </c>
      <c r="R591" s="1247" t="str">
        <f>IFERROR(VLOOKUP(P591,RPCRepaymentDates[],1,FALSE),"")</f>
        <v/>
      </c>
      <c r="S591" s="1259">
        <f t="shared" si="61"/>
        <v>0</v>
      </c>
      <c r="T591" s="1247" t="str">
        <f>IFERROR(VLOOKUP(P591,RPCChargeCycleDates[],1,FALSE),"")</f>
        <v/>
      </c>
      <c r="U591" s="1248" t="str">
        <f>IFERROR(_xlfn.DAYS(T591,$Q$16)-SUM(U$26:U590),"")</f>
        <v/>
      </c>
      <c r="V591" s="1258">
        <f t="shared" ca="1" si="62"/>
        <v>0</v>
      </c>
      <c r="W591" s="1258">
        <f t="shared" ca="1" si="63"/>
        <v>0</v>
      </c>
      <c r="X591" s="1258" t="e">
        <f t="shared" ca="1" si="64"/>
        <v>#N/A</v>
      </c>
      <c r="Y591" s="1240"/>
      <c r="Z591" s="1240"/>
      <c r="AA591" s="1240"/>
      <c r="AB591" s="1240"/>
      <c r="AC591" s="1254" t="e">
        <f t="shared" si="67"/>
        <v>#NUM!</v>
      </c>
      <c r="AD591" s="1240"/>
      <c r="AE591" s="1240"/>
      <c r="AF591" s="1240"/>
      <c r="AG591" s="1240"/>
      <c r="AH591" s="1240"/>
      <c r="AI591" s="1240"/>
      <c r="AJ591" s="1240"/>
      <c r="AK591" s="1240"/>
      <c r="AL591" s="1240"/>
      <c r="AM591" s="1240"/>
      <c r="AN591" s="1240"/>
      <c r="AO591" s="1240"/>
      <c r="AP591" s="1240"/>
    </row>
    <row r="592" spans="1:42" ht="18.75" customHeight="1" x14ac:dyDescent="0.35">
      <c r="A592" s="1240"/>
      <c r="B592" s="1240"/>
      <c r="C592" s="1240"/>
      <c r="D592" s="1240"/>
      <c r="E592" s="1240"/>
      <c r="F592" s="1240"/>
      <c r="G592" s="1240"/>
      <c r="H592" s="1240"/>
      <c r="I592" s="1240"/>
      <c r="J592" s="1240"/>
      <c r="K592" s="1240"/>
      <c r="L592" s="1240"/>
      <c r="M592" s="1240"/>
      <c r="N592" s="1240"/>
      <c r="O592" s="1240"/>
      <c r="P592" s="1247">
        <f t="shared" si="66"/>
        <v>566</v>
      </c>
      <c r="Q592" s="1253" t="e">
        <f t="shared" ca="1" si="65"/>
        <v>#N/A</v>
      </c>
      <c r="R592" s="1247" t="str">
        <f>IFERROR(VLOOKUP(P592,RPCRepaymentDates[],1,FALSE),"")</f>
        <v/>
      </c>
      <c r="S592" s="1259">
        <f t="shared" si="61"/>
        <v>0</v>
      </c>
      <c r="T592" s="1247" t="str">
        <f>IFERROR(VLOOKUP(P592,RPCChargeCycleDates[],1,FALSE),"")</f>
        <v/>
      </c>
      <c r="U592" s="1248" t="str">
        <f>IFERROR(_xlfn.DAYS(T592,$Q$16)-SUM(U$26:U591),"")</f>
        <v/>
      </c>
      <c r="V592" s="1258">
        <f t="shared" ca="1" si="62"/>
        <v>0</v>
      </c>
      <c r="W592" s="1258">
        <f t="shared" ca="1" si="63"/>
        <v>0</v>
      </c>
      <c r="X592" s="1258" t="e">
        <f t="shared" ca="1" si="64"/>
        <v>#N/A</v>
      </c>
      <c r="Y592" s="1240"/>
      <c r="Z592" s="1240"/>
      <c r="AA592" s="1240"/>
      <c r="AB592" s="1240"/>
      <c r="AC592" s="1254" t="e">
        <f t="shared" si="67"/>
        <v>#NUM!</v>
      </c>
      <c r="AD592" s="1240"/>
      <c r="AE592" s="1240"/>
      <c r="AF592" s="1240"/>
      <c r="AG592" s="1240"/>
      <c r="AH592" s="1240"/>
      <c r="AI592" s="1240"/>
      <c r="AJ592" s="1240"/>
      <c r="AK592" s="1240"/>
      <c r="AL592" s="1240"/>
      <c r="AM592" s="1240"/>
      <c r="AN592" s="1240"/>
      <c r="AO592" s="1240"/>
      <c r="AP592" s="1240"/>
    </row>
    <row r="593" spans="1:42" ht="18.75" customHeight="1" x14ac:dyDescent="0.35">
      <c r="A593" s="1240"/>
      <c r="B593" s="1240"/>
      <c r="C593" s="1240"/>
      <c r="D593" s="1240"/>
      <c r="E593" s="1240"/>
      <c r="F593" s="1240"/>
      <c r="G593" s="1240"/>
      <c r="H593" s="1240"/>
      <c r="I593" s="1240"/>
      <c r="J593" s="1240"/>
      <c r="K593" s="1240"/>
      <c r="L593" s="1240"/>
      <c r="M593" s="1240"/>
      <c r="N593" s="1240"/>
      <c r="O593" s="1240"/>
      <c r="P593" s="1247">
        <f t="shared" si="66"/>
        <v>567</v>
      </c>
      <c r="Q593" s="1253" t="e">
        <f t="shared" ca="1" si="65"/>
        <v>#N/A</v>
      </c>
      <c r="R593" s="1247" t="str">
        <f>IFERROR(VLOOKUP(P593,RPCRepaymentDates[],1,FALSE),"")</f>
        <v/>
      </c>
      <c r="S593" s="1259">
        <f t="shared" si="61"/>
        <v>0</v>
      </c>
      <c r="T593" s="1247" t="str">
        <f>IFERROR(VLOOKUP(P593,RPCChargeCycleDates[],1,FALSE),"")</f>
        <v/>
      </c>
      <c r="U593" s="1248" t="str">
        <f>IFERROR(_xlfn.DAYS(T593,$Q$16)-SUM(U$26:U592),"")</f>
        <v/>
      </c>
      <c r="V593" s="1258">
        <f t="shared" ca="1" si="62"/>
        <v>0</v>
      </c>
      <c r="W593" s="1258">
        <f t="shared" ca="1" si="63"/>
        <v>0</v>
      </c>
      <c r="X593" s="1258" t="e">
        <f t="shared" ca="1" si="64"/>
        <v>#N/A</v>
      </c>
      <c r="Y593" s="1240"/>
      <c r="Z593" s="1240"/>
      <c r="AA593" s="1240"/>
      <c r="AB593" s="1240"/>
      <c r="AC593" s="1254" t="e">
        <f t="shared" si="67"/>
        <v>#NUM!</v>
      </c>
      <c r="AD593" s="1240"/>
      <c r="AE593" s="1240"/>
      <c r="AF593" s="1240"/>
      <c r="AG593" s="1240"/>
      <c r="AH593" s="1240"/>
      <c r="AI593" s="1240"/>
      <c r="AJ593" s="1240"/>
      <c r="AK593" s="1240"/>
      <c r="AL593" s="1240"/>
      <c r="AM593" s="1240"/>
      <c r="AN593" s="1240"/>
      <c r="AO593" s="1240"/>
      <c r="AP593" s="1240"/>
    </row>
    <row r="594" spans="1:42" ht="18.75" customHeight="1" x14ac:dyDescent="0.35">
      <c r="A594" s="1240"/>
      <c r="B594" s="1240"/>
      <c r="C594" s="1240"/>
      <c r="D594" s="1240"/>
      <c r="E594" s="1240"/>
      <c r="F594" s="1240"/>
      <c r="G594" s="1240"/>
      <c r="H594" s="1240"/>
      <c r="I594" s="1240"/>
      <c r="J594" s="1240"/>
      <c r="K594" s="1240"/>
      <c r="L594" s="1240"/>
      <c r="M594" s="1240"/>
      <c r="N594" s="1240"/>
      <c r="O594" s="1240"/>
      <c r="P594" s="1247">
        <f t="shared" si="66"/>
        <v>568</v>
      </c>
      <c r="Q594" s="1253" t="e">
        <f t="shared" ca="1" si="65"/>
        <v>#N/A</v>
      </c>
      <c r="R594" s="1247" t="str">
        <f>IFERROR(VLOOKUP(P594,RPCRepaymentDates[],1,FALSE),"")</f>
        <v/>
      </c>
      <c r="S594" s="1259">
        <f t="shared" si="61"/>
        <v>0</v>
      </c>
      <c r="T594" s="1247" t="str">
        <f>IFERROR(VLOOKUP(P594,RPCChargeCycleDates[],1,FALSE),"")</f>
        <v/>
      </c>
      <c r="U594" s="1248" t="str">
        <f>IFERROR(_xlfn.DAYS(T594,$Q$16)-SUM(U$26:U593),"")</f>
        <v/>
      </c>
      <c r="V594" s="1258">
        <f t="shared" ca="1" si="62"/>
        <v>0</v>
      </c>
      <c r="W594" s="1258">
        <f t="shared" ca="1" si="63"/>
        <v>0</v>
      </c>
      <c r="X594" s="1258" t="e">
        <f t="shared" ca="1" si="64"/>
        <v>#N/A</v>
      </c>
      <c r="Y594" s="1240"/>
      <c r="Z594" s="1240"/>
      <c r="AA594" s="1240"/>
      <c r="AB594" s="1240"/>
      <c r="AC594" s="1254" t="e">
        <f t="shared" si="67"/>
        <v>#NUM!</v>
      </c>
      <c r="AD594" s="1240"/>
      <c r="AE594" s="1240"/>
      <c r="AF594" s="1240"/>
      <c r="AG594" s="1240"/>
      <c r="AH594" s="1240"/>
      <c r="AI594" s="1240"/>
      <c r="AJ594" s="1240"/>
      <c r="AK594" s="1240"/>
      <c r="AL594" s="1240"/>
      <c r="AM594" s="1240"/>
      <c r="AN594" s="1240"/>
      <c r="AO594" s="1240"/>
      <c r="AP594" s="1240"/>
    </row>
    <row r="595" spans="1:42" ht="18.75" customHeight="1" x14ac:dyDescent="0.35">
      <c r="A595" s="1240"/>
      <c r="B595" s="1240"/>
      <c r="C595" s="1240"/>
      <c r="D595" s="1240"/>
      <c r="E595" s="1240"/>
      <c r="F595" s="1240"/>
      <c r="G595" s="1240"/>
      <c r="H595" s="1240"/>
      <c r="I595" s="1240"/>
      <c r="J595" s="1240"/>
      <c r="K595" s="1240"/>
      <c r="L595" s="1240"/>
      <c r="M595" s="1240"/>
      <c r="N595" s="1240"/>
      <c r="O595" s="1240"/>
      <c r="P595" s="1247">
        <f t="shared" si="66"/>
        <v>569</v>
      </c>
      <c r="Q595" s="1253" t="e">
        <f t="shared" ca="1" si="65"/>
        <v>#N/A</v>
      </c>
      <c r="R595" s="1247" t="str">
        <f>IFERROR(VLOOKUP(P595,RPCRepaymentDates[],1,FALSE),"")</f>
        <v/>
      </c>
      <c r="S595" s="1259">
        <f t="shared" si="61"/>
        <v>0</v>
      </c>
      <c r="T595" s="1247" t="str">
        <f>IFERROR(VLOOKUP(P595,RPCChargeCycleDates[],1,FALSE),"")</f>
        <v/>
      </c>
      <c r="U595" s="1248" t="str">
        <f>IFERROR(_xlfn.DAYS(T595,$Q$16)-SUM(U$26:U594),"")</f>
        <v/>
      </c>
      <c r="V595" s="1258">
        <f t="shared" ca="1" si="62"/>
        <v>0</v>
      </c>
      <c r="W595" s="1258">
        <f t="shared" ca="1" si="63"/>
        <v>0</v>
      </c>
      <c r="X595" s="1258" t="e">
        <f t="shared" ca="1" si="64"/>
        <v>#N/A</v>
      </c>
      <c r="Y595" s="1240"/>
      <c r="Z595" s="1240"/>
      <c r="AA595" s="1240"/>
      <c r="AB595" s="1240"/>
      <c r="AC595" s="1254" t="e">
        <f t="shared" si="67"/>
        <v>#NUM!</v>
      </c>
      <c r="AD595" s="1240"/>
      <c r="AE595" s="1240"/>
      <c r="AF595" s="1240"/>
      <c r="AG595" s="1240"/>
      <c r="AH595" s="1240"/>
      <c r="AI595" s="1240"/>
      <c r="AJ595" s="1240"/>
      <c r="AK595" s="1240"/>
      <c r="AL595" s="1240"/>
      <c r="AM595" s="1240"/>
      <c r="AN595" s="1240"/>
      <c r="AO595" s="1240"/>
      <c r="AP595" s="1240"/>
    </row>
    <row r="596" spans="1:42" ht="18.75" customHeight="1" x14ac:dyDescent="0.35">
      <c r="A596" s="1240"/>
      <c r="B596" s="1240"/>
      <c r="C596" s="1240"/>
      <c r="D596" s="1240"/>
      <c r="E596" s="1240"/>
      <c r="F596" s="1240"/>
      <c r="G596" s="1240"/>
      <c r="H596" s="1240"/>
      <c r="I596" s="1240"/>
      <c r="J596" s="1240"/>
      <c r="K596" s="1240"/>
      <c r="L596" s="1240"/>
      <c r="M596" s="1240"/>
      <c r="N596" s="1240"/>
      <c r="O596" s="1240"/>
      <c r="P596" s="1247">
        <f t="shared" si="66"/>
        <v>570</v>
      </c>
      <c r="Q596" s="1253" t="e">
        <f t="shared" ca="1" si="65"/>
        <v>#N/A</v>
      </c>
      <c r="R596" s="1247" t="str">
        <f>IFERROR(VLOOKUP(P596,RPCRepaymentDates[],1,FALSE),"")</f>
        <v/>
      </c>
      <c r="S596" s="1259">
        <f t="shared" si="61"/>
        <v>0</v>
      </c>
      <c r="T596" s="1247" t="str">
        <f>IFERROR(VLOOKUP(P596,RPCChargeCycleDates[],1,FALSE),"")</f>
        <v/>
      </c>
      <c r="U596" s="1248" t="str">
        <f>IFERROR(_xlfn.DAYS(T596,$Q$16)-SUM(U$26:U595),"")</f>
        <v/>
      </c>
      <c r="V596" s="1258">
        <f t="shared" ca="1" si="62"/>
        <v>0</v>
      </c>
      <c r="W596" s="1258">
        <f t="shared" ca="1" si="63"/>
        <v>0</v>
      </c>
      <c r="X596" s="1258" t="e">
        <f t="shared" ca="1" si="64"/>
        <v>#N/A</v>
      </c>
      <c r="Y596" s="1240"/>
      <c r="Z596" s="1240"/>
      <c r="AA596" s="1240"/>
      <c r="AB596" s="1240"/>
      <c r="AC596" s="1254" t="e">
        <f t="shared" si="67"/>
        <v>#NUM!</v>
      </c>
      <c r="AD596" s="1240"/>
      <c r="AE596" s="1240"/>
      <c r="AF596" s="1240"/>
      <c r="AG596" s="1240"/>
      <c r="AH596" s="1240"/>
      <c r="AI596" s="1240"/>
      <c r="AJ596" s="1240"/>
      <c r="AK596" s="1240"/>
      <c r="AL596" s="1240"/>
      <c r="AM596" s="1240"/>
      <c r="AN596" s="1240"/>
      <c r="AO596" s="1240"/>
      <c r="AP596" s="1240"/>
    </row>
    <row r="597" spans="1:42" ht="18.75" customHeight="1" x14ac:dyDescent="0.35">
      <c r="A597" s="1240"/>
      <c r="B597" s="1240"/>
      <c r="C597" s="1240"/>
      <c r="D597" s="1240"/>
      <c r="E597" s="1240"/>
      <c r="F597" s="1240"/>
      <c r="G597" s="1240"/>
      <c r="H597" s="1240"/>
      <c r="I597" s="1240"/>
      <c r="J597" s="1240"/>
      <c r="K597" s="1240"/>
      <c r="L597" s="1240"/>
      <c r="M597" s="1240"/>
      <c r="N597" s="1240"/>
      <c r="O597" s="1240"/>
      <c r="P597" s="1247">
        <f t="shared" si="66"/>
        <v>571</v>
      </c>
      <c r="Q597" s="1253" t="e">
        <f t="shared" ca="1" si="65"/>
        <v>#N/A</v>
      </c>
      <c r="R597" s="1247" t="str">
        <f>IFERROR(VLOOKUP(P597,RPCRepaymentDates[],1,FALSE),"")</f>
        <v/>
      </c>
      <c r="S597" s="1259">
        <f t="shared" si="61"/>
        <v>0</v>
      </c>
      <c r="T597" s="1247" t="str">
        <f>IFERROR(VLOOKUP(P597,RPCChargeCycleDates[],1,FALSE),"")</f>
        <v/>
      </c>
      <c r="U597" s="1248" t="str">
        <f>IFERROR(_xlfn.DAYS(T597,$Q$16)-SUM(U$26:U596),"")</f>
        <v/>
      </c>
      <c r="V597" s="1258">
        <f t="shared" ca="1" si="62"/>
        <v>0</v>
      </c>
      <c r="W597" s="1258">
        <f t="shared" ca="1" si="63"/>
        <v>0</v>
      </c>
      <c r="X597" s="1258" t="e">
        <f t="shared" ca="1" si="64"/>
        <v>#N/A</v>
      </c>
      <c r="Y597" s="1240"/>
      <c r="Z597" s="1240"/>
      <c r="AA597" s="1240"/>
      <c r="AB597" s="1240"/>
      <c r="AC597" s="1254" t="e">
        <f t="shared" si="67"/>
        <v>#NUM!</v>
      </c>
      <c r="AD597" s="1240"/>
      <c r="AE597" s="1240"/>
      <c r="AF597" s="1240"/>
      <c r="AG597" s="1240"/>
      <c r="AH597" s="1240"/>
      <c r="AI597" s="1240"/>
      <c r="AJ597" s="1240"/>
      <c r="AK597" s="1240"/>
      <c r="AL597" s="1240"/>
      <c r="AM597" s="1240"/>
      <c r="AN597" s="1240"/>
      <c r="AO597" s="1240"/>
      <c r="AP597" s="1240"/>
    </row>
    <row r="598" spans="1:42" ht="18.75" customHeight="1" x14ac:dyDescent="0.35">
      <c r="A598" s="1240"/>
      <c r="B598" s="1240"/>
      <c r="C598" s="1240"/>
      <c r="D598" s="1240"/>
      <c r="E598" s="1240"/>
      <c r="F598" s="1240"/>
      <c r="G598" s="1240"/>
      <c r="H598" s="1240"/>
      <c r="I598" s="1240"/>
      <c r="J598" s="1240"/>
      <c r="K598" s="1240"/>
      <c r="L598" s="1240"/>
      <c r="M598" s="1240"/>
      <c r="N598" s="1240"/>
      <c r="O598" s="1240"/>
      <c r="P598" s="1247">
        <f t="shared" si="66"/>
        <v>572</v>
      </c>
      <c r="Q598" s="1253" t="e">
        <f t="shared" ca="1" si="65"/>
        <v>#N/A</v>
      </c>
      <c r="R598" s="1247" t="str">
        <f>IFERROR(VLOOKUP(P598,RPCRepaymentDates[],1,FALSE),"")</f>
        <v/>
      </c>
      <c r="S598" s="1259">
        <f t="shared" si="61"/>
        <v>0</v>
      </c>
      <c r="T598" s="1247" t="str">
        <f>IFERROR(VLOOKUP(P598,RPCChargeCycleDates[],1,FALSE),"")</f>
        <v/>
      </c>
      <c r="U598" s="1248" t="str">
        <f>IFERROR(_xlfn.DAYS(T598,$Q$16)-SUM(U$26:U597),"")</f>
        <v/>
      </c>
      <c r="V598" s="1258">
        <f t="shared" ca="1" si="62"/>
        <v>0</v>
      </c>
      <c r="W598" s="1258">
        <f t="shared" ca="1" si="63"/>
        <v>0</v>
      </c>
      <c r="X598" s="1258" t="e">
        <f t="shared" ca="1" si="64"/>
        <v>#N/A</v>
      </c>
      <c r="Y598" s="1240"/>
      <c r="Z598" s="1240"/>
      <c r="AA598" s="1240"/>
      <c r="AB598" s="1240"/>
      <c r="AC598" s="1254" t="e">
        <f t="shared" si="67"/>
        <v>#NUM!</v>
      </c>
      <c r="AD598" s="1240"/>
      <c r="AE598" s="1240"/>
      <c r="AF598" s="1240"/>
      <c r="AG598" s="1240"/>
      <c r="AH598" s="1240"/>
      <c r="AI598" s="1240"/>
      <c r="AJ598" s="1240"/>
      <c r="AK598" s="1240"/>
      <c r="AL598" s="1240"/>
      <c r="AM598" s="1240"/>
      <c r="AN598" s="1240"/>
      <c r="AO598" s="1240"/>
      <c r="AP598" s="1240"/>
    </row>
    <row r="599" spans="1:42" ht="18.75" customHeight="1" x14ac:dyDescent="0.35">
      <c r="A599" s="1240"/>
      <c r="B599" s="1240"/>
      <c r="C599" s="1240"/>
      <c r="D599" s="1240"/>
      <c r="E599" s="1240"/>
      <c r="F599" s="1240"/>
      <c r="G599" s="1240"/>
      <c r="H599" s="1240"/>
      <c r="I599" s="1240"/>
      <c r="J599" s="1240"/>
      <c r="K599" s="1240"/>
      <c r="L599" s="1240"/>
      <c r="M599" s="1240"/>
      <c r="N599" s="1240"/>
      <c r="O599" s="1240"/>
      <c r="P599" s="1247">
        <f t="shared" si="66"/>
        <v>573</v>
      </c>
      <c r="Q599" s="1253" t="e">
        <f t="shared" ca="1" si="65"/>
        <v>#N/A</v>
      </c>
      <c r="R599" s="1247" t="str">
        <f>IFERROR(VLOOKUP(P599,RPCRepaymentDates[],1,FALSE),"")</f>
        <v/>
      </c>
      <c r="S599" s="1259">
        <f t="shared" si="61"/>
        <v>0</v>
      </c>
      <c r="T599" s="1247" t="str">
        <f>IFERROR(VLOOKUP(P599,RPCChargeCycleDates[],1,FALSE),"")</f>
        <v/>
      </c>
      <c r="U599" s="1248" t="str">
        <f>IFERROR(_xlfn.DAYS(T599,$Q$16)-SUM(U$26:U598),"")</f>
        <v/>
      </c>
      <c r="V599" s="1258">
        <f t="shared" ca="1" si="62"/>
        <v>0</v>
      </c>
      <c r="W599" s="1258">
        <f t="shared" ca="1" si="63"/>
        <v>0</v>
      </c>
      <c r="X599" s="1258" t="e">
        <f t="shared" ca="1" si="64"/>
        <v>#N/A</v>
      </c>
      <c r="Y599" s="1240"/>
      <c r="Z599" s="1240"/>
      <c r="AA599" s="1240"/>
      <c r="AB599" s="1240"/>
      <c r="AC599" s="1254" t="e">
        <f t="shared" si="67"/>
        <v>#NUM!</v>
      </c>
      <c r="AD599" s="1240"/>
      <c r="AE599" s="1240"/>
      <c r="AF599" s="1240"/>
      <c r="AG599" s="1240"/>
      <c r="AH599" s="1240"/>
      <c r="AI599" s="1240"/>
      <c r="AJ599" s="1240"/>
      <c r="AK599" s="1240"/>
      <c r="AL599" s="1240"/>
      <c r="AM599" s="1240"/>
      <c r="AN599" s="1240"/>
      <c r="AO599" s="1240"/>
      <c r="AP599" s="1240"/>
    </row>
    <row r="600" spans="1:42" ht="18.75" customHeight="1" x14ac:dyDescent="0.35">
      <c r="A600" s="1240"/>
      <c r="B600" s="1240"/>
      <c r="C600" s="1240"/>
      <c r="D600" s="1240"/>
      <c r="E600" s="1240"/>
      <c r="F600" s="1240"/>
      <c r="G600" s="1240"/>
      <c r="H600" s="1240"/>
      <c r="I600" s="1240"/>
      <c r="J600" s="1240"/>
      <c r="K600" s="1240"/>
      <c r="L600" s="1240"/>
      <c r="M600" s="1240"/>
      <c r="N600" s="1240"/>
      <c r="O600" s="1240"/>
      <c r="P600" s="1247">
        <f t="shared" si="66"/>
        <v>574</v>
      </c>
      <c r="Q600" s="1253" t="e">
        <f t="shared" ca="1" si="65"/>
        <v>#N/A</v>
      </c>
      <c r="R600" s="1247" t="str">
        <f>IFERROR(VLOOKUP(P600,RPCRepaymentDates[],1,FALSE),"")</f>
        <v/>
      </c>
      <c r="S600" s="1259">
        <f t="shared" si="61"/>
        <v>0</v>
      </c>
      <c r="T600" s="1247" t="str">
        <f>IFERROR(VLOOKUP(P600,RPCChargeCycleDates[],1,FALSE),"")</f>
        <v/>
      </c>
      <c r="U600" s="1248" t="str">
        <f>IFERROR(_xlfn.DAYS(T600,$Q$16)-SUM(U$26:U599),"")</f>
        <v/>
      </c>
      <c r="V600" s="1258">
        <f t="shared" ca="1" si="62"/>
        <v>0</v>
      </c>
      <c r="W600" s="1258">
        <f t="shared" ca="1" si="63"/>
        <v>0</v>
      </c>
      <c r="X600" s="1258" t="e">
        <f t="shared" ca="1" si="64"/>
        <v>#N/A</v>
      </c>
      <c r="Y600" s="1240"/>
      <c r="Z600" s="1240"/>
      <c r="AA600" s="1240"/>
      <c r="AB600" s="1240"/>
      <c r="AC600" s="1254" t="e">
        <f t="shared" si="67"/>
        <v>#NUM!</v>
      </c>
      <c r="AD600" s="1240"/>
      <c r="AE600" s="1240"/>
      <c r="AF600" s="1240"/>
      <c r="AG600" s="1240"/>
      <c r="AH600" s="1240"/>
      <c r="AI600" s="1240"/>
      <c r="AJ600" s="1240"/>
      <c r="AK600" s="1240"/>
      <c r="AL600" s="1240"/>
      <c r="AM600" s="1240"/>
      <c r="AN600" s="1240"/>
      <c r="AO600" s="1240"/>
      <c r="AP600" s="1240"/>
    </row>
    <row r="601" spans="1:42" ht="18.75" customHeight="1" x14ac:dyDescent="0.35">
      <c r="A601" s="1240"/>
      <c r="B601" s="1240"/>
      <c r="C601" s="1240"/>
      <c r="D601" s="1240"/>
      <c r="E601" s="1240"/>
      <c r="F601" s="1240"/>
      <c r="G601" s="1240"/>
      <c r="H601" s="1240"/>
      <c r="I601" s="1240"/>
      <c r="J601" s="1240"/>
      <c r="K601" s="1240"/>
      <c r="L601" s="1240"/>
      <c r="M601" s="1240"/>
      <c r="N601" s="1240"/>
      <c r="O601" s="1240"/>
      <c r="P601" s="1247">
        <f t="shared" si="66"/>
        <v>575</v>
      </c>
      <c r="Q601" s="1253" t="e">
        <f t="shared" ca="1" si="65"/>
        <v>#N/A</v>
      </c>
      <c r="R601" s="1247" t="str">
        <f>IFERROR(VLOOKUP(P601,RPCRepaymentDates[],1,FALSE),"")</f>
        <v/>
      </c>
      <c r="S601" s="1259">
        <f t="shared" si="61"/>
        <v>0</v>
      </c>
      <c r="T601" s="1247">
        <f>IFERROR(VLOOKUP(P601,RPCChargeCycleDates[],1,FALSE),"")</f>
        <v>575</v>
      </c>
      <c r="U601" s="1248">
        <f>IFERROR(_xlfn.DAYS(T601,$Q$16)-SUM(U$26:U600),"")</f>
        <v>30</v>
      </c>
      <c r="V601" s="1258">
        <f t="shared" ca="1" si="62"/>
        <v>0</v>
      </c>
      <c r="W601" s="1258">
        <f t="shared" ca="1" si="63"/>
        <v>0</v>
      </c>
      <c r="X601" s="1258" t="e">
        <f t="shared" ca="1" si="64"/>
        <v>#N/A</v>
      </c>
      <c r="Y601" s="1240"/>
      <c r="Z601" s="1240"/>
      <c r="AA601" s="1240"/>
      <c r="AB601" s="1240"/>
      <c r="AC601" s="1254" t="e">
        <f t="shared" si="67"/>
        <v>#NUM!</v>
      </c>
      <c r="AD601" s="1240"/>
      <c r="AE601" s="1240"/>
      <c r="AF601" s="1240"/>
      <c r="AG601" s="1240"/>
      <c r="AH601" s="1240"/>
      <c r="AI601" s="1240"/>
      <c r="AJ601" s="1240"/>
      <c r="AK601" s="1240"/>
      <c r="AL601" s="1240"/>
      <c r="AM601" s="1240"/>
      <c r="AN601" s="1240"/>
      <c r="AO601" s="1240"/>
      <c r="AP601" s="1240"/>
    </row>
    <row r="602" spans="1:42" ht="18.75" customHeight="1" x14ac:dyDescent="0.35">
      <c r="A602" s="1240"/>
      <c r="B602" s="1240"/>
      <c r="C602" s="1240"/>
      <c r="D602" s="1240"/>
      <c r="E602" s="1240"/>
      <c r="F602" s="1240"/>
      <c r="G602" s="1240"/>
      <c r="H602" s="1240"/>
      <c r="I602" s="1240"/>
      <c r="J602" s="1240"/>
      <c r="K602" s="1240"/>
      <c r="L602" s="1240"/>
      <c r="M602" s="1240"/>
      <c r="N602" s="1240"/>
      <c r="O602" s="1240"/>
      <c r="P602" s="1247">
        <f t="shared" si="66"/>
        <v>576</v>
      </c>
      <c r="Q602" s="1253" t="e">
        <f t="shared" ca="1" si="65"/>
        <v>#N/A</v>
      </c>
      <c r="R602" s="1247" t="str">
        <f>IFERROR(VLOOKUP(P602,RPCRepaymentDates[],1,FALSE),"")</f>
        <v/>
      </c>
      <c r="S602" s="1259">
        <f t="shared" ref="S602:S665" si="68">IF(P602=R602,IF(R602&lt;RPCNextPaymentTransferDate,0,IF(OR(R602&lt;RPCPauseStartDate,R602&gt;RPCPauseEndDate),RPCCurrentRepayment,RPCPauseRepayment)),0)</f>
        <v>0</v>
      </c>
      <c r="T602" s="1247" t="str">
        <f>IFERROR(VLOOKUP(P602,RPCChargeCycleDates[],1,FALSE),"")</f>
        <v/>
      </c>
      <c r="U602" s="1248" t="str">
        <f>IFERROR(_xlfn.DAYS(T602,$Q$16)-SUM(U$26:U601),"")</f>
        <v/>
      </c>
      <c r="V602" s="1258">
        <f t="shared" ref="V602:V665" ca="1" si="69">IFERROR((Q602-S602)*(1/RPCDaysInYear)*RPCInterestRate,0)</f>
        <v>0</v>
      </c>
      <c r="W602" s="1258">
        <f t="shared" ref="W602:W665" ca="1" si="70">IFERROR(IF(T602=P602,SUM(OFFSET(V602,-U602+1,0,U602,1)),0),0)</f>
        <v>0</v>
      </c>
      <c r="X602" s="1258" t="e">
        <f t="shared" ref="X602:X665" ca="1" si="71">Q602-S602+W602</f>
        <v>#N/A</v>
      </c>
      <c r="Y602" s="1240"/>
      <c r="Z602" s="1240"/>
      <c r="AA602" s="1240"/>
      <c r="AB602" s="1240"/>
      <c r="AC602" s="1254" t="e">
        <f t="shared" si="67"/>
        <v>#NUM!</v>
      </c>
      <c r="AD602" s="1240"/>
      <c r="AE602" s="1240"/>
      <c r="AF602" s="1240"/>
      <c r="AG602" s="1240"/>
      <c r="AH602" s="1240"/>
      <c r="AI602" s="1240"/>
      <c r="AJ602" s="1240"/>
      <c r="AK602" s="1240"/>
      <c r="AL602" s="1240"/>
      <c r="AM602" s="1240"/>
      <c r="AN602" s="1240"/>
      <c r="AO602" s="1240"/>
      <c r="AP602" s="1240"/>
    </row>
    <row r="603" spans="1:42" ht="18.75" customHeight="1" x14ac:dyDescent="0.35">
      <c r="A603" s="1240"/>
      <c r="B603" s="1240"/>
      <c r="C603" s="1240"/>
      <c r="D603" s="1240"/>
      <c r="E603" s="1240"/>
      <c r="F603" s="1240"/>
      <c r="G603" s="1240"/>
      <c r="H603" s="1240"/>
      <c r="I603" s="1240"/>
      <c r="J603" s="1240"/>
      <c r="K603" s="1240"/>
      <c r="L603" s="1240"/>
      <c r="M603" s="1240"/>
      <c r="N603" s="1240"/>
      <c r="O603" s="1240"/>
      <c r="P603" s="1247">
        <f t="shared" si="66"/>
        <v>577</v>
      </c>
      <c r="Q603" s="1253" t="e">
        <f t="shared" ref="Q603:Q666" ca="1" si="72">X602</f>
        <v>#N/A</v>
      </c>
      <c r="R603" s="1247" t="str">
        <f>IFERROR(VLOOKUP(P603,RPCRepaymentDates[],1,FALSE),"")</f>
        <v/>
      </c>
      <c r="S603" s="1259">
        <f t="shared" si="68"/>
        <v>0</v>
      </c>
      <c r="T603" s="1247" t="str">
        <f>IFERROR(VLOOKUP(P603,RPCChargeCycleDates[],1,FALSE),"")</f>
        <v/>
      </c>
      <c r="U603" s="1248" t="str">
        <f>IFERROR(_xlfn.DAYS(T603,$Q$16)-SUM(U$26:U602),"")</f>
        <v/>
      </c>
      <c r="V603" s="1258">
        <f t="shared" ca="1" si="69"/>
        <v>0</v>
      </c>
      <c r="W603" s="1258">
        <f t="shared" ca="1" si="70"/>
        <v>0</v>
      </c>
      <c r="X603" s="1258" t="e">
        <f t="shared" ca="1" si="71"/>
        <v>#N/A</v>
      </c>
      <c r="Y603" s="1240"/>
      <c r="Z603" s="1240"/>
      <c r="AA603" s="1240"/>
      <c r="AB603" s="1240"/>
      <c r="AC603" s="1254" t="e">
        <f t="shared" si="67"/>
        <v>#NUM!</v>
      </c>
      <c r="AD603" s="1240"/>
      <c r="AE603" s="1240"/>
      <c r="AF603" s="1240"/>
      <c r="AG603" s="1240"/>
      <c r="AH603" s="1240"/>
      <c r="AI603" s="1240"/>
      <c r="AJ603" s="1240"/>
      <c r="AK603" s="1240"/>
      <c r="AL603" s="1240"/>
      <c r="AM603" s="1240"/>
      <c r="AN603" s="1240"/>
      <c r="AO603" s="1240"/>
      <c r="AP603" s="1240"/>
    </row>
    <row r="604" spans="1:42" ht="18.75" customHeight="1" x14ac:dyDescent="0.35">
      <c r="A604" s="1240"/>
      <c r="B604" s="1240"/>
      <c r="C604" s="1240"/>
      <c r="D604" s="1240"/>
      <c r="E604" s="1240"/>
      <c r="F604" s="1240"/>
      <c r="G604" s="1240"/>
      <c r="H604" s="1240"/>
      <c r="I604" s="1240"/>
      <c r="J604" s="1240"/>
      <c r="K604" s="1240"/>
      <c r="L604" s="1240"/>
      <c r="M604" s="1240"/>
      <c r="N604" s="1240"/>
      <c r="O604" s="1240"/>
      <c r="P604" s="1247">
        <f t="shared" si="66"/>
        <v>578</v>
      </c>
      <c r="Q604" s="1253" t="e">
        <f t="shared" ca="1" si="72"/>
        <v>#N/A</v>
      </c>
      <c r="R604" s="1247" t="str">
        <f>IFERROR(VLOOKUP(P604,RPCRepaymentDates[],1,FALSE),"")</f>
        <v/>
      </c>
      <c r="S604" s="1259">
        <f t="shared" si="68"/>
        <v>0</v>
      </c>
      <c r="T604" s="1247" t="str">
        <f>IFERROR(VLOOKUP(P604,RPCChargeCycleDates[],1,FALSE),"")</f>
        <v/>
      </c>
      <c r="U604" s="1248" t="str">
        <f>IFERROR(_xlfn.DAYS(T604,$Q$16)-SUM(U$26:U603),"")</f>
        <v/>
      </c>
      <c r="V604" s="1258">
        <f t="shared" ca="1" si="69"/>
        <v>0</v>
      </c>
      <c r="W604" s="1258">
        <f t="shared" ca="1" si="70"/>
        <v>0</v>
      </c>
      <c r="X604" s="1258" t="e">
        <f t="shared" ca="1" si="71"/>
        <v>#N/A</v>
      </c>
      <c r="Y604" s="1240"/>
      <c r="Z604" s="1240"/>
      <c r="AA604" s="1240"/>
      <c r="AB604" s="1240"/>
      <c r="AC604" s="1254" t="e">
        <f t="shared" si="67"/>
        <v>#NUM!</v>
      </c>
      <c r="AD604" s="1240"/>
      <c r="AE604" s="1240"/>
      <c r="AF604" s="1240"/>
      <c r="AG604" s="1240"/>
      <c r="AH604" s="1240"/>
      <c r="AI604" s="1240"/>
      <c r="AJ604" s="1240"/>
      <c r="AK604" s="1240"/>
      <c r="AL604" s="1240"/>
      <c r="AM604" s="1240"/>
      <c r="AN604" s="1240"/>
      <c r="AO604" s="1240"/>
      <c r="AP604" s="1240"/>
    </row>
    <row r="605" spans="1:42" ht="18.75" customHeight="1" x14ac:dyDescent="0.35">
      <c r="A605" s="1240"/>
      <c r="B605" s="1240"/>
      <c r="C605" s="1240"/>
      <c r="D605" s="1240"/>
      <c r="E605" s="1240"/>
      <c r="F605" s="1240"/>
      <c r="G605" s="1240"/>
      <c r="H605" s="1240"/>
      <c r="I605" s="1240"/>
      <c r="J605" s="1240"/>
      <c r="K605" s="1240"/>
      <c r="L605" s="1240"/>
      <c r="M605" s="1240"/>
      <c r="N605" s="1240"/>
      <c r="O605" s="1240"/>
      <c r="P605" s="1247">
        <f t="shared" si="66"/>
        <v>579</v>
      </c>
      <c r="Q605" s="1253" t="e">
        <f t="shared" ca="1" si="72"/>
        <v>#N/A</v>
      </c>
      <c r="R605" s="1247" t="str">
        <f>IFERROR(VLOOKUP(P605,RPCRepaymentDates[],1,FALSE),"")</f>
        <v/>
      </c>
      <c r="S605" s="1259">
        <f t="shared" si="68"/>
        <v>0</v>
      </c>
      <c r="T605" s="1247" t="str">
        <f>IFERROR(VLOOKUP(P605,RPCChargeCycleDates[],1,FALSE),"")</f>
        <v/>
      </c>
      <c r="U605" s="1248" t="str">
        <f>IFERROR(_xlfn.DAYS(T605,$Q$16)-SUM(U$26:U604),"")</f>
        <v/>
      </c>
      <c r="V605" s="1258">
        <f t="shared" ca="1" si="69"/>
        <v>0</v>
      </c>
      <c r="W605" s="1258">
        <f t="shared" ca="1" si="70"/>
        <v>0</v>
      </c>
      <c r="X605" s="1258" t="e">
        <f t="shared" ca="1" si="71"/>
        <v>#N/A</v>
      </c>
      <c r="Y605" s="1240"/>
      <c r="Z605" s="1240"/>
      <c r="AA605" s="1240"/>
      <c r="AB605" s="1240"/>
      <c r="AC605" s="1254" t="e">
        <f t="shared" si="67"/>
        <v>#NUM!</v>
      </c>
      <c r="AD605" s="1240"/>
      <c r="AE605" s="1240"/>
      <c r="AF605" s="1240"/>
      <c r="AG605" s="1240"/>
      <c r="AH605" s="1240"/>
      <c r="AI605" s="1240"/>
      <c r="AJ605" s="1240"/>
      <c r="AK605" s="1240"/>
      <c r="AL605" s="1240"/>
      <c r="AM605" s="1240"/>
      <c r="AN605" s="1240"/>
      <c r="AO605" s="1240"/>
      <c r="AP605" s="1240"/>
    </row>
    <row r="606" spans="1:42" ht="18.75" customHeight="1" x14ac:dyDescent="0.35">
      <c r="A606" s="1240"/>
      <c r="B606" s="1240"/>
      <c r="C606" s="1240"/>
      <c r="D606" s="1240"/>
      <c r="E606" s="1240"/>
      <c r="F606" s="1240"/>
      <c r="G606" s="1240"/>
      <c r="H606" s="1240"/>
      <c r="I606" s="1240"/>
      <c r="J606" s="1240"/>
      <c r="K606" s="1240"/>
      <c r="L606" s="1240"/>
      <c r="M606" s="1240"/>
      <c r="N606" s="1240"/>
      <c r="O606" s="1240"/>
      <c r="P606" s="1247">
        <f t="shared" si="66"/>
        <v>580</v>
      </c>
      <c r="Q606" s="1253" t="e">
        <f t="shared" ca="1" si="72"/>
        <v>#N/A</v>
      </c>
      <c r="R606" s="1247" t="str">
        <f>IFERROR(VLOOKUP(P606,RPCRepaymentDates[],1,FALSE),"")</f>
        <v/>
      </c>
      <c r="S606" s="1259">
        <f t="shared" si="68"/>
        <v>0</v>
      </c>
      <c r="T606" s="1247" t="str">
        <f>IFERROR(VLOOKUP(P606,RPCChargeCycleDates[],1,FALSE),"")</f>
        <v/>
      </c>
      <c r="U606" s="1248" t="str">
        <f>IFERROR(_xlfn.DAYS(T606,$Q$16)-SUM(U$26:U605),"")</f>
        <v/>
      </c>
      <c r="V606" s="1258">
        <f t="shared" ca="1" si="69"/>
        <v>0</v>
      </c>
      <c r="W606" s="1258">
        <f t="shared" ca="1" si="70"/>
        <v>0</v>
      </c>
      <c r="X606" s="1258" t="e">
        <f t="shared" ca="1" si="71"/>
        <v>#N/A</v>
      </c>
      <c r="Y606" s="1240"/>
      <c r="Z606" s="1240"/>
      <c r="AA606" s="1240"/>
      <c r="AB606" s="1240"/>
      <c r="AC606" s="1254" t="e">
        <f t="shared" si="67"/>
        <v>#NUM!</v>
      </c>
      <c r="AD606" s="1240"/>
      <c r="AE606" s="1240"/>
      <c r="AF606" s="1240"/>
      <c r="AG606" s="1240"/>
      <c r="AH606" s="1240"/>
      <c r="AI606" s="1240"/>
      <c r="AJ606" s="1240"/>
      <c r="AK606" s="1240"/>
      <c r="AL606" s="1240"/>
      <c r="AM606" s="1240"/>
      <c r="AN606" s="1240"/>
      <c r="AO606" s="1240"/>
      <c r="AP606" s="1240"/>
    </row>
    <row r="607" spans="1:42" ht="18.75" customHeight="1" x14ac:dyDescent="0.35">
      <c r="A607" s="1240"/>
      <c r="B607" s="1240"/>
      <c r="C607" s="1240"/>
      <c r="D607" s="1240"/>
      <c r="E607" s="1240"/>
      <c r="F607" s="1240"/>
      <c r="G607" s="1240"/>
      <c r="H607" s="1240"/>
      <c r="I607" s="1240"/>
      <c r="J607" s="1240"/>
      <c r="K607" s="1240"/>
      <c r="L607" s="1240"/>
      <c r="M607" s="1240"/>
      <c r="N607" s="1240"/>
      <c r="O607" s="1240"/>
      <c r="P607" s="1247">
        <f t="shared" si="66"/>
        <v>581</v>
      </c>
      <c r="Q607" s="1253" t="e">
        <f t="shared" ca="1" si="72"/>
        <v>#N/A</v>
      </c>
      <c r="R607" s="1247" t="str">
        <f>IFERROR(VLOOKUP(P607,RPCRepaymentDates[],1,FALSE),"")</f>
        <v/>
      </c>
      <c r="S607" s="1259">
        <f t="shared" si="68"/>
        <v>0</v>
      </c>
      <c r="T607" s="1247" t="str">
        <f>IFERROR(VLOOKUP(P607,RPCChargeCycleDates[],1,FALSE),"")</f>
        <v/>
      </c>
      <c r="U607" s="1248" t="str">
        <f>IFERROR(_xlfn.DAYS(T607,$Q$16)-SUM(U$26:U606),"")</f>
        <v/>
      </c>
      <c r="V607" s="1258">
        <f t="shared" ca="1" si="69"/>
        <v>0</v>
      </c>
      <c r="W607" s="1258">
        <f t="shared" ca="1" si="70"/>
        <v>0</v>
      </c>
      <c r="X607" s="1258" t="e">
        <f t="shared" ca="1" si="71"/>
        <v>#N/A</v>
      </c>
      <c r="Y607" s="1240"/>
      <c r="Z607" s="1240"/>
      <c r="AA607" s="1240"/>
      <c r="AB607" s="1240"/>
      <c r="AC607" s="1254" t="e">
        <f t="shared" si="67"/>
        <v>#NUM!</v>
      </c>
      <c r="AD607" s="1240"/>
      <c r="AE607" s="1240"/>
      <c r="AF607" s="1240"/>
      <c r="AG607" s="1240"/>
      <c r="AH607" s="1240"/>
      <c r="AI607" s="1240"/>
      <c r="AJ607" s="1240"/>
      <c r="AK607" s="1240"/>
      <c r="AL607" s="1240"/>
      <c r="AM607" s="1240"/>
      <c r="AN607" s="1240"/>
      <c r="AO607" s="1240"/>
      <c r="AP607" s="1240"/>
    </row>
    <row r="608" spans="1:42" ht="18.75" customHeight="1" x14ac:dyDescent="0.35">
      <c r="A608" s="1240"/>
      <c r="B608" s="1240"/>
      <c r="C608" s="1240"/>
      <c r="D608" s="1240"/>
      <c r="E608" s="1240"/>
      <c r="F608" s="1240"/>
      <c r="G608" s="1240"/>
      <c r="H608" s="1240"/>
      <c r="I608" s="1240"/>
      <c r="J608" s="1240"/>
      <c r="K608" s="1240"/>
      <c r="L608" s="1240"/>
      <c r="M608" s="1240"/>
      <c r="N608" s="1240"/>
      <c r="O608" s="1240"/>
      <c r="P608" s="1247">
        <f t="shared" si="66"/>
        <v>582</v>
      </c>
      <c r="Q608" s="1253" t="e">
        <f t="shared" ca="1" si="72"/>
        <v>#N/A</v>
      </c>
      <c r="R608" s="1247" t="str">
        <f>IFERROR(VLOOKUP(P608,RPCRepaymentDates[],1,FALSE),"")</f>
        <v/>
      </c>
      <c r="S608" s="1259">
        <f t="shared" si="68"/>
        <v>0</v>
      </c>
      <c r="T608" s="1247" t="str">
        <f>IFERROR(VLOOKUP(P608,RPCChargeCycleDates[],1,FALSE),"")</f>
        <v/>
      </c>
      <c r="U608" s="1248" t="str">
        <f>IFERROR(_xlfn.DAYS(T608,$Q$16)-SUM(U$26:U607),"")</f>
        <v/>
      </c>
      <c r="V608" s="1258">
        <f t="shared" ca="1" si="69"/>
        <v>0</v>
      </c>
      <c r="W608" s="1258">
        <f t="shared" ca="1" si="70"/>
        <v>0</v>
      </c>
      <c r="X608" s="1258" t="e">
        <f t="shared" ca="1" si="71"/>
        <v>#N/A</v>
      </c>
      <c r="Y608" s="1240"/>
      <c r="Z608" s="1240"/>
      <c r="AA608" s="1240"/>
      <c r="AB608" s="1240"/>
      <c r="AC608" s="1254" t="e">
        <f t="shared" si="67"/>
        <v>#NUM!</v>
      </c>
      <c r="AD608" s="1240"/>
      <c r="AE608" s="1240"/>
      <c r="AF608" s="1240"/>
      <c r="AG608" s="1240"/>
      <c r="AH608" s="1240"/>
      <c r="AI608" s="1240"/>
      <c r="AJ608" s="1240"/>
      <c r="AK608" s="1240"/>
      <c r="AL608" s="1240"/>
      <c r="AM608" s="1240"/>
      <c r="AN608" s="1240"/>
      <c r="AO608" s="1240"/>
      <c r="AP608" s="1240"/>
    </row>
    <row r="609" spans="1:42" ht="18.75" customHeight="1" x14ac:dyDescent="0.35">
      <c r="A609" s="1240"/>
      <c r="B609" s="1240"/>
      <c r="C609" s="1240"/>
      <c r="D609" s="1240"/>
      <c r="E609" s="1240"/>
      <c r="F609" s="1240"/>
      <c r="G609" s="1240"/>
      <c r="H609" s="1240"/>
      <c r="I609" s="1240"/>
      <c r="J609" s="1240"/>
      <c r="K609" s="1240"/>
      <c r="L609" s="1240"/>
      <c r="M609" s="1240"/>
      <c r="N609" s="1240"/>
      <c r="O609" s="1240"/>
      <c r="P609" s="1247">
        <f t="shared" si="66"/>
        <v>583</v>
      </c>
      <c r="Q609" s="1253" t="e">
        <f t="shared" ca="1" si="72"/>
        <v>#N/A</v>
      </c>
      <c r="R609" s="1247" t="str">
        <f>IFERROR(VLOOKUP(P609,RPCRepaymentDates[],1,FALSE),"")</f>
        <v/>
      </c>
      <c r="S609" s="1259">
        <f t="shared" si="68"/>
        <v>0</v>
      </c>
      <c r="T609" s="1247" t="str">
        <f>IFERROR(VLOOKUP(P609,RPCChargeCycleDates[],1,FALSE),"")</f>
        <v/>
      </c>
      <c r="U609" s="1248" t="str">
        <f>IFERROR(_xlfn.DAYS(T609,$Q$16)-SUM(U$26:U608),"")</f>
        <v/>
      </c>
      <c r="V609" s="1258">
        <f t="shared" ca="1" si="69"/>
        <v>0</v>
      </c>
      <c r="W609" s="1258">
        <f t="shared" ca="1" si="70"/>
        <v>0</v>
      </c>
      <c r="X609" s="1258" t="e">
        <f t="shared" ca="1" si="71"/>
        <v>#N/A</v>
      </c>
      <c r="Y609" s="1240"/>
      <c r="Z609" s="1240"/>
      <c r="AA609" s="1240"/>
      <c r="AB609" s="1240"/>
      <c r="AC609" s="1254" t="e">
        <f t="shared" si="67"/>
        <v>#NUM!</v>
      </c>
      <c r="AD609" s="1240"/>
      <c r="AE609" s="1240"/>
      <c r="AF609" s="1240"/>
      <c r="AG609" s="1240"/>
      <c r="AH609" s="1240"/>
      <c r="AI609" s="1240"/>
      <c r="AJ609" s="1240"/>
      <c r="AK609" s="1240"/>
      <c r="AL609" s="1240"/>
      <c r="AM609" s="1240"/>
      <c r="AN609" s="1240"/>
      <c r="AO609" s="1240"/>
      <c r="AP609" s="1240"/>
    </row>
    <row r="610" spans="1:42" ht="18.75" customHeight="1" x14ac:dyDescent="0.35">
      <c r="A610" s="1240"/>
      <c r="B610" s="1240"/>
      <c r="C610" s="1240"/>
      <c r="D610" s="1240"/>
      <c r="E610" s="1240"/>
      <c r="F610" s="1240"/>
      <c r="G610" s="1240"/>
      <c r="H610" s="1240"/>
      <c r="I610" s="1240"/>
      <c r="J610" s="1240"/>
      <c r="K610" s="1240"/>
      <c r="L610" s="1240"/>
      <c r="M610" s="1240"/>
      <c r="N610" s="1240"/>
      <c r="O610" s="1240"/>
      <c r="P610" s="1247">
        <f t="shared" si="66"/>
        <v>584</v>
      </c>
      <c r="Q610" s="1253" t="e">
        <f t="shared" ca="1" si="72"/>
        <v>#N/A</v>
      </c>
      <c r="R610" s="1247" t="str">
        <f>IFERROR(VLOOKUP(P610,RPCRepaymentDates[],1,FALSE),"")</f>
        <v/>
      </c>
      <c r="S610" s="1259">
        <f t="shared" si="68"/>
        <v>0</v>
      </c>
      <c r="T610" s="1247" t="str">
        <f>IFERROR(VLOOKUP(P610,RPCChargeCycleDates[],1,FALSE),"")</f>
        <v/>
      </c>
      <c r="U610" s="1248" t="str">
        <f>IFERROR(_xlfn.DAYS(T610,$Q$16)-SUM(U$26:U609),"")</f>
        <v/>
      </c>
      <c r="V610" s="1258">
        <f t="shared" ca="1" si="69"/>
        <v>0</v>
      </c>
      <c r="W610" s="1258">
        <f t="shared" ca="1" si="70"/>
        <v>0</v>
      </c>
      <c r="X610" s="1258" t="e">
        <f t="shared" ca="1" si="71"/>
        <v>#N/A</v>
      </c>
      <c r="Y610" s="1240"/>
      <c r="Z610" s="1240"/>
      <c r="AA610" s="1240"/>
      <c r="AB610" s="1240"/>
      <c r="AC610" s="1254" t="e">
        <f t="shared" si="67"/>
        <v>#NUM!</v>
      </c>
      <c r="AD610" s="1240"/>
      <c r="AE610" s="1240"/>
      <c r="AF610" s="1240"/>
      <c r="AG610" s="1240"/>
      <c r="AH610" s="1240"/>
      <c r="AI610" s="1240"/>
      <c r="AJ610" s="1240"/>
      <c r="AK610" s="1240"/>
      <c r="AL610" s="1240"/>
      <c r="AM610" s="1240"/>
      <c r="AN610" s="1240"/>
      <c r="AO610" s="1240"/>
      <c r="AP610" s="1240"/>
    </row>
    <row r="611" spans="1:42" ht="18.75" customHeight="1" x14ac:dyDescent="0.35">
      <c r="A611" s="1240"/>
      <c r="B611" s="1240"/>
      <c r="C611" s="1240"/>
      <c r="D611" s="1240"/>
      <c r="E611" s="1240"/>
      <c r="F611" s="1240"/>
      <c r="G611" s="1240"/>
      <c r="H611" s="1240"/>
      <c r="I611" s="1240"/>
      <c r="J611" s="1240"/>
      <c r="K611" s="1240"/>
      <c r="L611" s="1240"/>
      <c r="M611" s="1240"/>
      <c r="N611" s="1240"/>
      <c r="O611" s="1240"/>
      <c r="P611" s="1247">
        <f t="shared" si="66"/>
        <v>585</v>
      </c>
      <c r="Q611" s="1253" t="e">
        <f t="shared" ca="1" si="72"/>
        <v>#N/A</v>
      </c>
      <c r="R611" s="1247" t="str">
        <f>IFERROR(VLOOKUP(P611,RPCRepaymentDates[],1,FALSE),"")</f>
        <v/>
      </c>
      <c r="S611" s="1259">
        <f t="shared" si="68"/>
        <v>0</v>
      </c>
      <c r="T611" s="1247" t="str">
        <f>IFERROR(VLOOKUP(P611,RPCChargeCycleDates[],1,FALSE),"")</f>
        <v/>
      </c>
      <c r="U611" s="1248" t="str">
        <f>IFERROR(_xlfn.DAYS(T611,$Q$16)-SUM(U$26:U610),"")</f>
        <v/>
      </c>
      <c r="V611" s="1258">
        <f t="shared" ca="1" si="69"/>
        <v>0</v>
      </c>
      <c r="W611" s="1258">
        <f t="shared" ca="1" si="70"/>
        <v>0</v>
      </c>
      <c r="X611" s="1258" t="e">
        <f t="shared" ca="1" si="71"/>
        <v>#N/A</v>
      </c>
      <c r="Y611" s="1240"/>
      <c r="Z611" s="1240"/>
      <c r="AA611" s="1240"/>
      <c r="AB611" s="1240"/>
      <c r="AC611" s="1254" t="e">
        <f t="shared" si="67"/>
        <v>#NUM!</v>
      </c>
      <c r="AD611" s="1240"/>
      <c r="AE611" s="1240"/>
      <c r="AF611" s="1240"/>
      <c r="AG611" s="1240"/>
      <c r="AH611" s="1240"/>
      <c r="AI611" s="1240"/>
      <c r="AJ611" s="1240"/>
      <c r="AK611" s="1240"/>
      <c r="AL611" s="1240"/>
      <c r="AM611" s="1240"/>
      <c r="AN611" s="1240"/>
      <c r="AO611" s="1240"/>
      <c r="AP611" s="1240"/>
    </row>
    <row r="612" spans="1:42" ht="18.75" customHeight="1" x14ac:dyDescent="0.35">
      <c r="A612" s="1240"/>
      <c r="B612" s="1240"/>
      <c r="C612" s="1240"/>
      <c r="D612" s="1240"/>
      <c r="E612" s="1240"/>
      <c r="F612" s="1240"/>
      <c r="G612" s="1240"/>
      <c r="H612" s="1240"/>
      <c r="I612" s="1240"/>
      <c r="J612" s="1240"/>
      <c r="K612" s="1240"/>
      <c r="L612" s="1240"/>
      <c r="M612" s="1240"/>
      <c r="N612" s="1240"/>
      <c r="O612" s="1240"/>
      <c r="P612" s="1247">
        <f t="shared" si="66"/>
        <v>586</v>
      </c>
      <c r="Q612" s="1253" t="e">
        <f t="shared" ca="1" si="72"/>
        <v>#N/A</v>
      </c>
      <c r="R612" s="1247" t="str">
        <f>IFERROR(VLOOKUP(P612,RPCRepaymentDates[],1,FALSE),"")</f>
        <v/>
      </c>
      <c r="S612" s="1259">
        <f t="shared" si="68"/>
        <v>0</v>
      </c>
      <c r="T612" s="1247" t="str">
        <f>IFERROR(VLOOKUP(P612,RPCChargeCycleDates[],1,FALSE),"")</f>
        <v/>
      </c>
      <c r="U612" s="1248" t="str">
        <f>IFERROR(_xlfn.DAYS(T612,$Q$16)-SUM(U$26:U611),"")</f>
        <v/>
      </c>
      <c r="V612" s="1258">
        <f t="shared" ca="1" si="69"/>
        <v>0</v>
      </c>
      <c r="W612" s="1258">
        <f t="shared" ca="1" si="70"/>
        <v>0</v>
      </c>
      <c r="X612" s="1258" t="e">
        <f t="shared" ca="1" si="71"/>
        <v>#N/A</v>
      </c>
      <c r="Y612" s="1240"/>
      <c r="Z612" s="1240"/>
      <c r="AA612" s="1240"/>
      <c r="AB612" s="1240"/>
      <c r="AC612" s="1254" t="e">
        <f t="shared" si="67"/>
        <v>#NUM!</v>
      </c>
      <c r="AD612" s="1240"/>
      <c r="AE612" s="1240"/>
      <c r="AF612" s="1240"/>
      <c r="AG612" s="1240"/>
      <c r="AH612" s="1240"/>
      <c r="AI612" s="1240"/>
      <c r="AJ612" s="1240"/>
      <c r="AK612" s="1240"/>
      <c r="AL612" s="1240"/>
      <c r="AM612" s="1240"/>
      <c r="AN612" s="1240"/>
      <c r="AO612" s="1240"/>
      <c r="AP612" s="1240"/>
    </row>
    <row r="613" spans="1:42" ht="18.75" customHeight="1" x14ac:dyDescent="0.35">
      <c r="A613" s="1240"/>
      <c r="B613" s="1240"/>
      <c r="C613" s="1240"/>
      <c r="D613" s="1240"/>
      <c r="E613" s="1240"/>
      <c r="F613" s="1240"/>
      <c r="G613" s="1240"/>
      <c r="H613" s="1240"/>
      <c r="I613" s="1240"/>
      <c r="J613" s="1240"/>
      <c r="K613" s="1240"/>
      <c r="L613" s="1240"/>
      <c r="M613" s="1240"/>
      <c r="N613" s="1240"/>
      <c r="O613" s="1240"/>
      <c r="P613" s="1247">
        <f t="shared" si="66"/>
        <v>587</v>
      </c>
      <c r="Q613" s="1253" t="e">
        <f t="shared" ca="1" si="72"/>
        <v>#N/A</v>
      </c>
      <c r="R613" s="1247" t="str">
        <f>IFERROR(VLOOKUP(P613,RPCRepaymentDates[],1,FALSE),"")</f>
        <v/>
      </c>
      <c r="S613" s="1259">
        <f t="shared" si="68"/>
        <v>0</v>
      </c>
      <c r="T613" s="1247" t="str">
        <f>IFERROR(VLOOKUP(P613,RPCChargeCycleDates[],1,FALSE),"")</f>
        <v/>
      </c>
      <c r="U613" s="1248" t="str">
        <f>IFERROR(_xlfn.DAYS(T613,$Q$16)-SUM(U$26:U612),"")</f>
        <v/>
      </c>
      <c r="V613" s="1258">
        <f t="shared" ca="1" si="69"/>
        <v>0</v>
      </c>
      <c r="W613" s="1258">
        <f t="shared" ca="1" si="70"/>
        <v>0</v>
      </c>
      <c r="X613" s="1258" t="e">
        <f t="shared" ca="1" si="71"/>
        <v>#N/A</v>
      </c>
      <c r="Y613" s="1240"/>
      <c r="Z613" s="1240"/>
      <c r="AA613" s="1240"/>
      <c r="AB613" s="1240"/>
      <c r="AC613" s="1254" t="e">
        <f t="shared" si="67"/>
        <v>#NUM!</v>
      </c>
      <c r="AD613" s="1240"/>
      <c r="AE613" s="1240"/>
      <c r="AF613" s="1240"/>
      <c r="AG613" s="1240"/>
      <c r="AH613" s="1240"/>
      <c r="AI613" s="1240"/>
      <c r="AJ613" s="1240"/>
      <c r="AK613" s="1240"/>
      <c r="AL613" s="1240"/>
      <c r="AM613" s="1240"/>
      <c r="AN613" s="1240"/>
      <c r="AO613" s="1240"/>
      <c r="AP613" s="1240"/>
    </row>
    <row r="614" spans="1:42" ht="18.75" customHeight="1" x14ac:dyDescent="0.35">
      <c r="A614" s="1240"/>
      <c r="B614" s="1240"/>
      <c r="C614" s="1240"/>
      <c r="D614" s="1240"/>
      <c r="E614" s="1240"/>
      <c r="F614" s="1240"/>
      <c r="G614" s="1240"/>
      <c r="H614" s="1240"/>
      <c r="I614" s="1240"/>
      <c r="J614" s="1240"/>
      <c r="K614" s="1240"/>
      <c r="L614" s="1240"/>
      <c r="M614" s="1240"/>
      <c r="N614" s="1240"/>
      <c r="O614" s="1240"/>
      <c r="P614" s="1247">
        <f t="shared" si="66"/>
        <v>588</v>
      </c>
      <c r="Q614" s="1253" t="e">
        <f t="shared" ca="1" si="72"/>
        <v>#N/A</v>
      </c>
      <c r="R614" s="1247" t="str">
        <f>IFERROR(VLOOKUP(P614,RPCRepaymentDates[],1,FALSE),"")</f>
        <v/>
      </c>
      <c r="S614" s="1259">
        <f t="shared" si="68"/>
        <v>0</v>
      </c>
      <c r="T614" s="1247" t="str">
        <f>IFERROR(VLOOKUP(P614,RPCChargeCycleDates[],1,FALSE),"")</f>
        <v/>
      </c>
      <c r="U614" s="1248" t="str">
        <f>IFERROR(_xlfn.DAYS(T614,$Q$16)-SUM(U$26:U613),"")</f>
        <v/>
      </c>
      <c r="V614" s="1258">
        <f t="shared" ca="1" si="69"/>
        <v>0</v>
      </c>
      <c r="W614" s="1258">
        <f t="shared" ca="1" si="70"/>
        <v>0</v>
      </c>
      <c r="X614" s="1258" t="e">
        <f t="shared" ca="1" si="71"/>
        <v>#N/A</v>
      </c>
      <c r="Y614" s="1240"/>
      <c r="Z614" s="1240"/>
      <c r="AA614" s="1240"/>
      <c r="AB614" s="1240"/>
      <c r="AC614" s="1254" t="e">
        <f t="shared" si="67"/>
        <v>#NUM!</v>
      </c>
      <c r="AD614" s="1240"/>
      <c r="AE614" s="1240"/>
      <c r="AF614" s="1240"/>
      <c r="AG614" s="1240"/>
      <c r="AH614" s="1240"/>
      <c r="AI614" s="1240"/>
      <c r="AJ614" s="1240"/>
      <c r="AK614" s="1240"/>
      <c r="AL614" s="1240"/>
      <c r="AM614" s="1240"/>
      <c r="AN614" s="1240"/>
      <c r="AO614" s="1240"/>
      <c r="AP614" s="1240"/>
    </row>
    <row r="615" spans="1:42" ht="18.75" customHeight="1" x14ac:dyDescent="0.35">
      <c r="A615" s="1240"/>
      <c r="B615" s="1240"/>
      <c r="C615" s="1240"/>
      <c r="D615" s="1240"/>
      <c r="E615" s="1240"/>
      <c r="F615" s="1240"/>
      <c r="G615" s="1240"/>
      <c r="H615" s="1240"/>
      <c r="I615" s="1240"/>
      <c r="J615" s="1240"/>
      <c r="K615" s="1240"/>
      <c r="L615" s="1240"/>
      <c r="M615" s="1240"/>
      <c r="N615" s="1240"/>
      <c r="O615" s="1240"/>
      <c r="P615" s="1247">
        <f t="shared" si="66"/>
        <v>589</v>
      </c>
      <c r="Q615" s="1253" t="e">
        <f t="shared" ca="1" si="72"/>
        <v>#N/A</v>
      </c>
      <c r="R615" s="1247" t="str">
        <f>IFERROR(VLOOKUP(P615,RPCRepaymentDates[],1,FALSE),"")</f>
        <v/>
      </c>
      <c r="S615" s="1259">
        <f t="shared" si="68"/>
        <v>0</v>
      </c>
      <c r="T615" s="1247" t="str">
        <f>IFERROR(VLOOKUP(P615,RPCChargeCycleDates[],1,FALSE),"")</f>
        <v/>
      </c>
      <c r="U615" s="1248" t="str">
        <f>IFERROR(_xlfn.DAYS(T615,$Q$16)-SUM(U$26:U614),"")</f>
        <v/>
      </c>
      <c r="V615" s="1258">
        <f t="shared" ca="1" si="69"/>
        <v>0</v>
      </c>
      <c r="W615" s="1258">
        <f t="shared" ca="1" si="70"/>
        <v>0</v>
      </c>
      <c r="X615" s="1258" t="e">
        <f t="shared" ca="1" si="71"/>
        <v>#N/A</v>
      </c>
      <c r="Y615" s="1240"/>
      <c r="Z615" s="1240"/>
      <c r="AA615" s="1240"/>
      <c r="AB615" s="1240"/>
      <c r="AC615" s="1254" t="e">
        <f t="shared" si="67"/>
        <v>#NUM!</v>
      </c>
      <c r="AD615" s="1240"/>
      <c r="AE615" s="1240"/>
      <c r="AF615" s="1240"/>
      <c r="AG615" s="1240"/>
      <c r="AH615" s="1240"/>
      <c r="AI615" s="1240"/>
      <c r="AJ615" s="1240"/>
      <c r="AK615" s="1240"/>
      <c r="AL615" s="1240"/>
      <c r="AM615" s="1240"/>
      <c r="AN615" s="1240"/>
      <c r="AO615" s="1240"/>
      <c r="AP615" s="1240"/>
    </row>
    <row r="616" spans="1:42" ht="18.75" customHeight="1" x14ac:dyDescent="0.35">
      <c r="A616" s="1240"/>
      <c r="B616" s="1240"/>
      <c r="C616" s="1240"/>
      <c r="D616" s="1240"/>
      <c r="E616" s="1240"/>
      <c r="F616" s="1240"/>
      <c r="G616" s="1240"/>
      <c r="H616" s="1240"/>
      <c r="I616" s="1240"/>
      <c r="J616" s="1240"/>
      <c r="K616" s="1240"/>
      <c r="L616" s="1240"/>
      <c r="M616" s="1240"/>
      <c r="N616" s="1240"/>
      <c r="O616" s="1240"/>
      <c r="P616" s="1247">
        <f t="shared" si="66"/>
        <v>590</v>
      </c>
      <c r="Q616" s="1253" t="e">
        <f t="shared" ca="1" si="72"/>
        <v>#N/A</v>
      </c>
      <c r="R616" s="1247" t="str">
        <f>IFERROR(VLOOKUP(P616,RPCRepaymentDates[],1,FALSE),"")</f>
        <v/>
      </c>
      <c r="S616" s="1259">
        <f t="shared" si="68"/>
        <v>0</v>
      </c>
      <c r="T616" s="1247" t="str">
        <f>IFERROR(VLOOKUP(P616,RPCChargeCycleDates[],1,FALSE),"")</f>
        <v/>
      </c>
      <c r="U616" s="1248" t="str">
        <f>IFERROR(_xlfn.DAYS(T616,$Q$16)-SUM(U$26:U615),"")</f>
        <v/>
      </c>
      <c r="V616" s="1258">
        <f t="shared" ca="1" si="69"/>
        <v>0</v>
      </c>
      <c r="W616" s="1258">
        <f t="shared" ca="1" si="70"/>
        <v>0</v>
      </c>
      <c r="X616" s="1258" t="e">
        <f t="shared" ca="1" si="71"/>
        <v>#N/A</v>
      </c>
      <c r="Y616" s="1240"/>
      <c r="Z616" s="1240"/>
      <c r="AA616" s="1240"/>
      <c r="AB616" s="1240"/>
      <c r="AC616" s="1254" t="e">
        <f t="shared" si="67"/>
        <v>#NUM!</v>
      </c>
      <c r="AD616" s="1240"/>
      <c r="AE616" s="1240"/>
      <c r="AF616" s="1240"/>
      <c r="AG616" s="1240"/>
      <c r="AH616" s="1240"/>
      <c r="AI616" s="1240"/>
      <c r="AJ616" s="1240"/>
      <c r="AK616" s="1240"/>
      <c r="AL616" s="1240"/>
      <c r="AM616" s="1240"/>
      <c r="AN616" s="1240"/>
      <c r="AO616" s="1240"/>
      <c r="AP616" s="1240"/>
    </row>
    <row r="617" spans="1:42" ht="18.75" customHeight="1" x14ac:dyDescent="0.35">
      <c r="A617" s="1240"/>
      <c r="B617" s="1240"/>
      <c r="C617" s="1240"/>
      <c r="D617" s="1240"/>
      <c r="E617" s="1240"/>
      <c r="F617" s="1240"/>
      <c r="G617" s="1240"/>
      <c r="H617" s="1240"/>
      <c r="I617" s="1240"/>
      <c r="J617" s="1240"/>
      <c r="K617" s="1240"/>
      <c r="L617" s="1240"/>
      <c r="M617" s="1240"/>
      <c r="N617" s="1240"/>
      <c r="O617" s="1240"/>
      <c r="P617" s="1247">
        <f t="shared" si="66"/>
        <v>591</v>
      </c>
      <c r="Q617" s="1253" t="e">
        <f t="shared" ca="1" si="72"/>
        <v>#N/A</v>
      </c>
      <c r="R617" s="1247" t="str">
        <f>IFERROR(VLOOKUP(P617,RPCRepaymentDates[],1,FALSE),"")</f>
        <v/>
      </c>
      <c r="S617" s="1259">
        <f t="shared" si="68"/>
        <v>0</v>
      </c>
      <c r="T617" s="1247" t="str">
        <f>IFERROR(VLOOKUP(P617,RPCChargeCycleDates[],1,FALSE),"")</f>
        <v/>
      </c>
      <c r="U617" s="1248" t="str">
        <f>IFERROR(_xlfn.DAYS(T617,$Q$16)-SUM(U$26:U616),"")</f>
        <v/>
      </c>
      <c r="V617" s="1258">
        <f t="shared" ca="1" si="69"/>
        <v>0</v>
      </c>
      <c r="W617" s="1258">
        <f t="shared" ca="1" si="70"/>
        <v>0</v>
      </c>
      <c r="X617" s="1258" t="e">
        <f t="shared" ca="1" si="71"/>
        <v>#N/A</v>
      </c>
      <c r="Y617" s="1240"/>
      <c r="Z617" s="1240"/>
      <c r="AA617" s="1240"/>
      <c r="AB617" s="1240"/>
      <c r="AC617" s="1254" t="e">
        <f t="shared" si="67"/>
        <v>#NUM!</v>
      </c>
      <c r="AD617" s="1240"/>
      <c r="AE617" s="1240"/>
      <c r="AF617" s="1240"/>
      <c r="AG617" s="1240"/>
      <c r="AH617" s="1240"/>
      <c r="AI617" s="1240"/>
      <c r="AJ617" s="1240"/>
      <c r="AK617" s="1240"/>
      <c r="AL617" s="1240"/>
      <c r="AM617" s="1240"/>
      <c r="AN617" s="1240"/>
      <c r="AO617" s="1240"/>
      <c r="AP617" s="1240"/>
    </row>
    <row r="618" spans="1:42" ht="18.75" customHeight="1" x14ac:dyDescent="0.35">
      <c r="A618" s="1240"/>
      <c r="B618" s="1240"/>
      <c r="C618" s="1240"/>
      <c r="D618" s="1240"/>
      <c r="E618" s="1240"/>
      <c r="F618" s="1240"/>
      <c r="G618" s="1240"/>
      <c r="H618" s="1240"/>
      <c r="I618" s="1240"/>
      <c r="J618" s="1240"/>
      <c r="K618" s="1240"/>
      <c r="L618" s="1240"/>
      <c r="M618" s="1240"/>
      <c r="N618" s="1240"/>
      <c r="O618" s="1240"/>
      <c r="P618" s="1247">
        <f t="shared" ref="P618:P681" si="73">P617+1</f>
        <v>592</v>
      </c>
      <c r="Q618" s="1253" t="e">
        <f t="shared" ca="1" si="72"/>
        <v>#N/A</v>
      </c>
      <c r="R618" s="1247" t="str">
        <f>IFERROR(VLOOKUP(P618,RPCRepaymentDates[],1,FALSE),"")</f>
        <v/>
      </c>
      <c r="S618" s="1259">
        <f t="shared" si="68"/>
        <v>0</v>
      </c>
      <c r="T618" s="1247" t="str">
        <f>IFERROR(VLOOKUP(P618,RPCChargeCycleDates[],1,FALSE),"")</f>
        <v/>
      </c>
      <c r="U618" s="1248" t="str">
        <f>IFERROR(_xlfn.DAYS(T618,$Q$16)-SUM(U$26:U617),"")</f>
        <v/>
      </c>
      <c r="V618" s="1258">
        <f t="shared" ca="1" si="69"/>
        <v>0</v>
      </c>
      <c r="W618" s="1258">
        <f t="shared" ca="1" si="70"/>
        <v>0</v>
      </c>
      <c r="X618" s="1258" t="e">
        <f t="shared" ca="1" si="71"/>
        <v>#N/A</v>
      </c>
      <c r="Y618" s="1240"/>
      <c r="Z618" s="1240"/>
      <c r="AA618" s="1240"/>
      <c r="AB618" s="1240"/>
      <c r="AC618" s="1254" t="e">
        <f t="shared" si="67"/>
        <v>#NUM!</v>
      </c>
      <c r="AD618" s="1240"/>
      <c r="AE618" s="1240"/>
      <c r="AF618" s="1240"/>
      <c r="AG618" s="1240"/>
      <c r="AH618" s="1240"/>
      <c r="AI618" s="1240"/>
      <c r="AJ618" s="1240"/>
      <c r="AK618" s="1240"/>
      <c r="AL618" s="1240"/>
      <c r="AM618" s="1240"/>
      <c r="AN618" s="1240"/>
      <c r="AO618" s="1240"/>
      <c r="AP618" s="1240"/>
    </row>
    <row r="619" spans="1:42" ht="18.75" customHeight="1" x14ac:dyDescent="0.35">
      <c r="A619" s="1240"/>
      <c r="B619" s="1240"/>
      <c r="C619" s="1240"/>
      <c r="D619" s="1240"/>
      <c r="E619" s="1240"/>
      <c r="F619" s="1240"/>
      <c r="G619" s="1240"/>
      <c r="H619" s="1240"/>
      <c r="I619" s="1240"/>
      <c r="J619" s="1240"/>
      <c r="K619" s="1240"/>
      <c r="L619" s="1240"/>
      <c r="M619" s="1240"/>
      <c r="N619" s="1240"/>
      <c r="O619" s="1240"/>
      <c r="P619" s="1247">
        <f t="shared" si="73"/>
        <v>593</v>
      </c>
      <c r="Q619" s="1253" t="e">
        <f t="shared" ca="1" si="72"/>
        <v>#N/A</v>
      </c>
      <c r="R619" s="1247" t="str">
        <f>IFERROR(VLOOKUP(P619,RPCRepaymentDates[],1,FALSE),"")</f>
        <v/>
      </c>
      <c r="S619" s="1259">
        <f t="shared" si="68"/>
        <v>0</v>
      </c>
      <c r="T619" s="1247" t="str">
        <f>IFERROR(VLOOKUP(P619,RPCChargeCycleDates[],1,FALSE),"")</f>
        <v/>
      </c>
      <c r="U619" s="1248" t="str">
        <f>IFERROR(_xlfn.DAYS(T619,$Q$16)-SUM(U$26:U618),"")</f>
        <v/>
      </c>
      <c r="V619" s="1258">
        <f t="shared" ca="1" si="69"/>
        <v>0</v>
      </c>
      <c r="W619" s="1258">
        <f t="shared" ca="1" si="70"/>
        <v>0</v>
      </c>
      <c r="X619" s="1258" t="e">
        <f t="shared" ca="1" si="71"/>
        <v>#N/A</v>
      </c>
      <c r="Y619" s="1240"/>
      <c r="Z619" s="1240"/>
      <c r="AA619" s="1240"/>
      <c r="AB619" s="1240"/>
      <c r="AC619" s="1254" t="e">
        <f t="shared" si="67"/>
        <v>#NUM!</v>
      </c>
      <c r="AD619" s="1240"/>
      <c r="AE619" s="1240"/>
      <c r="AF619" s="1240"/>
      <c r="AG619" s="1240"/>
      <c r="AH619" s="1240"/>
      <c r="AI619" s="1240"/>
      <c r="AJ619" s="1240"/>
      <c r="AK619" s="1240"/>
      <c r="AL619" s="1240"/>
      <c r="AM619" s="1240"/>
      <c r="AN619" s="1240"/>
      <c r="AO619" s="1240"/>
      <c r="AP619" s="1240"/>
    </row>
    <row r="620" spans="1:42" ht="18.75" customHeight="1" x14ac:dyDescent="0.35">
      <c r="A620" s="1240"/>
      <c r="B620" s="1240"/>
      <c r="C620" s="1240"/>
      <c r="D620" s="1240"/>
      <c r="E620" s="1240"/>
      <c r="F620" s="1240"/>
      <c r="G620" s="1240"/>
      <c r="H620" s="1240"/>
      <c r="I620" s="1240"/>
      <c r="J620" s="1240"/>
      <c r="K620" s="1240"/>
      <c r="L620" s="1240"/>
      <c r="M620" s="1240"/>
      <c r="N620" s="1240"/>
      <c r="O620" s="1240"/>
      <c r="P620" s="1247">
        <f t="shared" si="73"/>
        <v>594</v>
      </c>
      <c r="Q620" s="1253" t="e">
        <f t="shared" ca="1" si="72"/>
        <v>#N/A</v>
      </c>
      <c r="R620" s="1247" t="str">
        <f>IFERROR(VLOOKUP(P620,RPCRepaymentDates[],1,FALSE),"")</f>
        <v/>
      </c>
      <c r="S620" s="1259">
        <f t="shared" si="68"/>
        <v>0</v>
      </c>
      <c r="T620" s="1247" t="str">
        <f>IFERROR(VLOOKUP(P620,RPCChargeCycleDates[],1,FALSE),"")</f>
        <v/>
      </c>
      <c r="U620" s="1248" t="str">
        <f>IFERROR(_xlfn.DAYS(T620,$Q$16)-SUM(U$26:U619),"")</f>
        <v/>
      </c>
      <c r="V620" s="1258">
        <f t="shared" ca="1" si="69"/>
        <v>0</v>
      </c>
      <c r="W620" s="1258">
        <f t="shared" ca="1" si="70"/>
        <v>0</v>
      </c>
      <c r="X620" s="1258" t="e">
        <f t="shared" ca="1" si="71"/>
        <v>#N/A</v>
      </c>
      <c r="Y620" s="1240"/>
      <c r="Z620" s="1240"/>
      <c r="AA620" s="1240"/>
      <c r="AB620" s="1240"/>
      <c r="AC620" s="1254" t="e">
        <f t="shared" si="67"/>
        <v>#NUM!</v>
      </c>
      <c r="AD620" s="1240"/>
      <c r="AE620" s="1240"/>
      <c r="AF620" s="1240"/>
      <c r="AG620" s="1240"/>
      <c r="AH620" s="1240"/>
      <c r="AI620" s="1240"/>
      <c r="AJ620" s="1240"/>
      <c r="AK620" s="1240"/>
      <c r="AL620" s="1240"/>
      <c r="AM620" s="1240"/>
      <c r="AN620" s="1240"/>
      <c r="AO620" s="1240"/>
      <c r="AP620" s="1240"/>
    </row>
    <row r="621" spans="1:42" ht="18.75" customHeight="1" x14ac:dyDescent="0.35">
      <c r="A621" s="1240"/>
      <c r="B621" s="1240"/>
      <c r="C621" s="1240"/>
      <c r="D621" s="1240"/>
      <c r="E621" s="1240"/>
      <c r="F621" s="1240"/>
      <c r="G621" s="1240"/>
      <c r="H621" s="1240"/>
      <c r="I621" s="1240"/>
      <c r="J621" s="1240"/>
      <c r="K621" s="1240"/>
      <c r="L621" s="1240"/>
      <c r="M621" s="1240"/>
      <c r="N621" s="1240"/>
      <c r="O621" s="1240"/>
      <c r="P621" s="1247">
        <f t="shared" si="73"/>
        <v>595</v>
      </c>
      <c r="Q621" s="1253" t="e">
        <f t="shared" ca="1" si="72"/>
        <v>#N/A</v>
      </c>
      <c r="R621" s="1247" t="str">
        <f>IFERROR(VLOOKUP(P621,RPCRepaymentDates[],1,FALSE),"")</f>
        <v/>
      </c>
      <c r="S621" s="1259">
        <f t="shared" si="68"/>
        <v>0</v>
      </c>
      <c r="T621" s="1247" t="str">
        <f>IFERROR(VLOOKUP(P621,RPCChargeCycleDates[],1,FALSE),"")</f>
        <v/>
      </c>
      <c r="U621" s="1248" t="str">
        <f>IFERROR(_xlfn.DAYS(T621,$Q$16)-SUM(U$26:U620),"")</f>
        <v/>
      </c>
      <c r="V621" s="1258">
        <f t="shared" ca="1" si="69"/>
        <v>0</v>
      </c>
      <c r="W621" s="1258">
        <f t="shared" ca="1" si="70"/>
        <v>0</v>
      </c>
      <c r="X621" s="1258" t="e">
        <f t="shared" ca="1" si="71"/>
        <v>#N/A</v>
      </c>
      <c r="Y621" s="1240"/>
      <c r="Z621" s="1240"/>
      <c r="AA621" s="1240"/>
      <c r="AB621" s="1240"/>
      <c r="AC621" s="1254" t="e">
        <f t="shared" si="67"/>
        <v>#NUM!</v>
      </c>
      <c r="AD621" s="1240"/>
      <c r="AE621" s="1240"/>
      <c r="AF621" s="1240"/>
      <c r="AG621" s="1240"/>
      <c r="AH621" s="1240"/>
      <c r="AI621" s="1240"/>
      <c r="AJ621" s="1240"/>
      <c r="AK621" s="1240"/>
      <c r="AL621" s="1240"/>
      <c r="AM621" s="1240"/>
      <c r="AN621" s="1240"/>
      <c r="AO621" s="1240"/>
      <c r="AP621" s="1240"/>
    </row>
    <row r="622" spans="1:42" ht="18.75" customHeight="1" x14ac:dyDescent="0.35">
      <c r="A622" s="1240"/>
      <c r="B622" s="1240"/>
      <c r="C622" s="1240"/>
      <c r="D622" s="1240"/>
      <c r="E622" s="1240"/>
      <c r="F622" s="1240"/>
      <c r="G622" s="1240"/>
      <c r="H622" s="1240"/>
      <c r="I622" s="1240"/>
      <c r="J622" s="1240"/>
      <c r="K622" s="1240"/>
      <c r="L622" s="1240"/>
      <c r="M622" s="1240"/>
      <c r="N622" s="1240"/>
      <c r="O622" s="1240"/>
      <c r="P622" s="1247">
        <f t="shared" si="73"/>
        <v>596</v>
      </c>
      <c r="Q622" s="1253" t="e">
        <f t="shared" ca="1" si="72"/>
        <v>#N/A</v>
      </c>
      <c r="R622" s="1247" t="str">
        <f>IFERROR(VLOOKUP(P622,RPCRepaymentDates[],1,FALSE),"")</f>
        <v/>
      </c>
      <c r="S622" s="1259">
        <f t="shared" si="68"/>
        <v>0</v>
      </c>
      <c r="T622" s="1247" t="str">
        <f>IFERROR(VLOOKUP(P622,RPCChargeCycleDates[],1,FALSE),"")</f>
        <v/>
      </c>
      <c r="U622" s="1248" t="str">
        <f>IFERROR(_xlfn.DAYS(T622,$Q$16)-SUM(U$26:U621),"")</f>
        <v/>
      </c>
      <c r="V622" s="1258">
        <f t="shared" ca="1" si="69"/>
        <v>0</v>
      </c>
      <c r="W622" s="1258">
        <f t="shared" ca="1" si="70"/>
        <v>0</v>
      </c>
      <c r="X622" s="1258" t="e">
        <f t="shared" ca="1" si="71"/>
        <v>#N/A</v>
      </c>
      <c r="Y622" s="1240"/>
      <c r="Z622" s="1240"/>
      <c r="AA622" s="1240"/>
      <c r="AB622" s="1240"/>
      <c r="AC622" s="1254" t="e">
        <f t="shared" si="67"/>
        <v>#NUM!</v>
      </c>
      <c r="AD622" s="1240"/>
      <c r="AE622" s="1240"/>
      <c r="AF622" s="1240"/>
      <c r="AG622" s="1240"/>
      <c r="AH622" s="1240"/>
      <c r="AI622" s="1240"/>
      <c r="AJ622" s="1240"/>
      <c r="AK622" s="1240"/>
      <c r="AL622" s="1240"/>
      <c r="AM622" s="1240"/>
      <c r="AN622" s="1240"/>
      <c r="AO622" s="1240"/>
      <c r="AP622" s="1240"/>
    </row>
    <row r="623" spans="1:42" ht="18.75" customHeight="1" x14ac:dyDescent="0.35">
      <c r="A623" s="1240"/>
      <c r="B623" s="1240"/>
      <c r="C623" s="1240"/>
      <c r="D623" s="1240"/>
      <c r="E623" s="1240"/>
      <c r="F623" s="1240"/>
      <c r="G623" s="1240"/>
      <c r="H623" s="1240"/>
      <c r="I623" s="1240"/>
      <c r="J623" s="1240"/>
      <c r="K623" s="1240"/>
      <c r="L623" s="1240"/>
      <c r="M623" s="1240"/>
      <c r="N623" s="1240"/>
      <c r="O623" s="1240"/>
      <c r="P623" s="1247">
        <f t="shared" si="73"/>
        <v>597</v>
      </c>
      <c r="Q623" s="1253" t="e">
        <f t="shared" ca="1" si="72"/>
        <v>#N/A</v>
      </c>
      <c r="R623" s="1247" t="str">
        <f>IFERROR(VLOOKUP(P623,RPCRepaymentDates[],1,FALSE),"")</f>
        <v/>
      </c>
      <c r="S623" s="1259">
        <f t="shared" si="68"/>
        <v>0</v>
      </c>
      <c r="T623" s="1247" t="str">
        <f>IFERROR(VLOOKUP(P623,RPCChargeCycleDates[],1,FALSE),"")</f>
        <v/>
      </c>
      <c r="U623" s="1248" t="str">
        <f>IFERROR(_xlfn.DAYS(T623,$Q$16)-SUM(U$26:U622),"")</f>
        <v/>
      </c>
      <c r="V623" s="1258">
        <f t="shared" ca="1" si="69"/>
        <v>0</v>
      </c>
      <c r="W623" s="1258">
        <f t="shared" ca="1" si="70"/>
        <v>0</v>
      </c>
      <c r="X623" s="1258" t="e">
        <f t="shared" ca="1" si="71"/>
        <v>#N/A</v>
      </c>
      <c r="Y623" s="1240"/>
      <c r="Z623" s="1240"/>
      <c r="AA623" s="1240"/>
      <c r="AB623" s="1240"/>
      <c r="AC623" s="1254" t="e">
        <f t="shared" si="67"/>
        <v>#NUM!</v>
      </c>
      <c r="AD623" s="1240"/>
      <c r="AE623" s="1240"/>
      <c r="AF623" s="1240"/>
      <c r="AG623" s="1240"/>
      <c r="AH623" s="1240"/>
      <c r="AI623" s="1240"/>
      <c r="AJ623" s="1240"/>
      <c r="AK623" s="1240"/>
      <c r="AL623" s="1240"/>
      <c r="AM623" s="1240"/>
      <c r="AN623" s="1240"/>
      <c r="AO623" s="1240"/>
      <c r="AP623" s="1240"/>
    </row>
    <row r="624" spans="1:42" ht="18.75" customHeight="1" x14ac:dyDescent="0.35">
      <c r="A624" s="1240"/>
      <c r="B624" s="1240"/>
      <c r="C624" s="1240"/>
      <c r="D624" s="1240"/>
      <c r="E624" s="1240"/>
      <c r="F624" s="1240"/>
      <c r="G624" s="1240"/>
      <c r="H624" s="1240"/>
      <c r="I624" s="1240"/>
      <c r="J624" s="1240"/>
      <c r="K624" s="1240"/>
      <c r="L624" s="1240"/>
      <c r="M624" s="1240"/>
      <c r="N624" s="1240"/>
      <c r="O624" s="1240"/>
      <c r="P624" s="1247">
        <f t="shared" si="73"/>
        <v>598</v>
      </c>
      <c r="Q624" s="1253" t="e">
        <f t="shared" ca="1" si="72"/>
        <v>#N/A</v>
      </c>
      <c r="R624" s="1247" t="str">
        <f>IFERROR(VLOOKUP(P624,RPCRepaymentDates[],1,FALSE),"")</f>
        <v/>
      </c>
      <c r="S624" s="1259">
        <f t="shared" si="68"/>
        <v>0</v>
      </c>
      <c r="T624" s="1247" t="str">
        <f>IFERROR(VLOOKUP(P624,RPCChargeCycleDates[],1,FALSE),"")</f>
        <v/>
      </c>
      <c r="U624" s="1248" t="str">
        <f>IFERROR(_xlfn.DAYS(T624,$Q$16)-SUM(U$26:U623),"")</f>
        <v/>
      </c>
      <c r="V624" s="1258">
        <f t="shared" ca="1" si="69"/>
        <v>0</v>
      </c>
      <c r="W624" s="1258">
        <f t="shared" ca="1" si="70"/>
        <v>0</v>
      </c>
      <c r="X624" s="1258" t="e">
        <f t="shared" ca="1" si="71"/>
        <v>#N/A</v>
      </c>
      <c r="Y624" s="1240"/>
      <c r="Z624" s="1240"/>
      <c r="AA624" s="1240"/>
      <c r="AB624" s="1240"/>
      <c r="AC624" s="1254" t="e">
        <f t="shared" si="67"/>
        <v>#NUM!</v>
      </c>
      <c r="AD624" s="1240"/>
      <c r="AE624" s="1240"/>
      <c r="AF624" s="1240"/>
      <c r="AG624" s="1240"/>
      <c r="AH624" s="1240"/>
      <c r="AI624" s="1240"/>
      <c r="AJ624" s="1240"/>
      <c r="AK624" s="1240"/>
      <c r="AL624" s="1240"/>
      <c r="AM624" s="1240"/>
      <c r="AN624" s="1240"/>
      <c r="AO624" s="1240"/>
      <c r="AP624" s="1240"/>
    </row>
    <row r="625" spans="1:42" ht="18.75" customHeight="1" x14ac:dyDescent="0.35">
      <c r="A625" s="1240"/>
      <c r="B625" s="1240"/>
      <c r="C625" s="1240"/>
      <c r="D625" s="1240"/>
      <c r="E625" s="1240"/>
      <c r="F625" s="1240"/>
      <c r="G625" s="1240"/>
      <c r="H625" s="1240"/>
      <c r="I625" s="1240"/>
      <c r="J625" s="1240"/>
      <c r="K625" s="1240"/>
      <c r="L625" s="1240"/>
      <c r="M625" s="1240"/>
      <c r="N625" s="1240"/>
      <c r="O625" s="1240"/>
      <c r="P625" s="1247">
        <f t="shared" si="73"/>
        <v>599</v>
      </c>
      <c r="Q625" s="1253" t="e">
        <f t="shared" ca="1" si="72"/>
        <v>#N/A</v>
      </c>
      <c r="R625" s="1247" t="str">
        <f>IFERROR(VLOOKUP(P625,RPCRepaymentDates[],1,FALSE),"")</f>
        <v/>
      </c>
      <c r="S625" s="1259">
        <f t="shared" si="68"/>
        <v>0</v>
      </c>
      <c r="T625" s="1247" t="str">
        <f>IFERROR(VLOOKUP(P625,RPCChargeCycleDates[],1,FALSE),"")</f>
        <v/>
      </c>
      <c r="U625" s="1248" t="str">
        <f>IFERROR(_xlfn.DAYS(T625,$Q$16)-SUM(U$26:U624),"")</f>
        <v/>
      </c>
      <c r="V625" s="1258">
        <f t="shared" ca="1" si="69"/>
        <v>0</v>
      </c>
      <c r="W625" s="1258">
        <f t="shared" ca="1" si="70"/>
        <v>0</v>
      </c>
      <c r="X625" s="1258" t="e">
        <f t="shared" ca="1" si="71"/>
        <v>#N/A</v>
      </c>
      <c r="Y625" s="1240"/>
      <c r="Z625" s="1240"/>
      <c r="AA625" s="1240"/>
      <c r="AB625" s="1240"/>
      <c r="AC625" s="1254" t="e">
        <f t="shared" si="67"/>
        <v>#NUM!</v>
      </c>
      <c r="AD625" s="1240"/>
      <c r="AE625" s="1240"/>
      <c r="AF625" s="1240"/>
      <c r="AG625" s="1240"/>
      <c r="AH625" s="1240"/>
      <c r="AI625" s="1240"/>
      <c r="AJ625" s="1240"/>
      <c r="AK625" s="1240"/>
      <c r="AL625" s="1240"/>
      <c r="AM625" s="1240"/>
      <c r="AN625" s="1240"/>
      <c r="AO625" s="1240"/>
      <c r="AP625" s="1240"/>
    </row>
    <row r="626" spans="1:42" ht="18.75" customHeight="1" x14ac:dyDescent="0.35">
      <c r="A626" s="1240"/>
      <c r="B626" s="1240"/>
      <c r="C626" s="1240"/>
      <c r="D626" s="1240"/>
      <c r="E626" s="1240"/>
      <c r="F626" s="1240"/>
      <c r="G626" s="1240"/>
      <c r="H626" s="1240"/>
      <c r="I626" s="1240"/>
      <c r="J626" s="1240"/>
      <c r="K626" s="1240"/>
      <c r="L626" s="1240"/>
      <c r="M626" s="1240"/>
      <c r="N626" s="1240"/>
      <c r="O626" s="1240"/>
      <c r="P626" s="1247">
        <f t="shared" si="73"/>
        <v>600</v>
      </c>
      <c r="Q626" s="1253" t="e">
        <f t="shared" ca="1" si="72"/>
        <v>#N/A</v>
      </c>
      <c r="R626" s="1247" t="str">
        <f>IFERROR(VLOOKUP(P626,RPCRepaymentDates[],1,FALSE),"")</f>
        <v/>
      </c>
      <c r="S626" s="1259">
        <f t="shared" si="68"/>
        <v>0</v>
      </c>
      <c r="T626" s="1247" t="str">
        <f>IFERROR(VLOOKUP(P626,RPCChargeCycleDates[],1,FALSE),"")</f>
        <v/>
      </c>
      <c r="U626" s="1248" t="str">
        <f>IFERROR(_xlfn.DAYS(T626,$Q$16)-SUM(U$26:U625),"")</f>
        <v/>
      </c>
      <c r="V626" s="1258">
        <f t="shared" ca="1" si="69"/>
        <v>0</v>
      </c>
      <c r="W626" s="1258">
        <f t="shared" ca="1" si="70"/>
        <v>0</v>
      </c>
      <c r="X626" s="1258" t="e">
        <f t="shared" ca="1" si="71"/>
        <v>#N/A</v>
      </c>
      <c r="Y626" s="1240"/>
      <c r="Z626" s="1240"/>
      <c r="AA626" s="1240"/>
      <c r="AB626" s="1240"/>
      <c r="AC626" s="1254" t="e">
        <f t="shared" si="67"/>
        <v>#NUM!</v>
      </c>
      <c r="AD626" s="1240"/>
      <c r="AE626" s="1240"/>
      <c r="AF626" s="1240"/>
      <c r="AG626" s="1240"/>
      <c r="AH626" s="1240"/>
      <c r="AI626" s="1240"/>
      <c r="AJ626" s="1240"/>
      <c r="AK626" s="1240"/>
      <c r="AL626" s="1240"/>
      <c r="AM626" s="1240"/>
      <c r="AN626" s="1240"/>
      <c r="AO626" s="1240"/>
      <c r="AP626" s="1240"/>
    </row>
    <row r="627" spans="1:42" ht="18.75" customHeight="1" x14ac:dyDescent="0.35">
      <c r="A627" s="1240"/>
      <c r="B627" s="1240"/>
      <c r="C627" s="1240"/>
      <c r="D627" s="1240"/>
      <c r="E627" s="1240"/>
      <c r="F627" s="1240"/>
      <c r="G627" s="1240"/>
      <c r="H627" s="1240"/>
      <c r="I627" s="1240"/>
      <c r="J627" s="1240"/>
      <c r="K627" s="1240"/>
      <c r="L627" s="1240"/>
      <c r="M627" s="1240"/>
      <c r="N627" s="1240"/>
      <c r="O627" s="1240"/>
      <c r="P627" s="1247">
        <f t="shared" si="73"/>
        <v>601</v>
      </c>
      <c r="Q627" s="1253" t="e">
        <f t="shared" ca="1" si="72"/>
        <v>#N/A</v>
      </c>
      <c r="R627" s="1247" t="str">
        <f>IFERROR(VLOOKUP(P627,RPCRepaymentDates[],1,FALSE),"")</f>
        <v/>
      </c>
      <c r="S627" s="1259">
        <f t="shared" si="68"/>
        <v>0</v>
      </c>
      <c r="T627" s="1247" t="str">
        <f>IFERROR(VLOOKUP(P627,RPCChargeCycleDates[],1,FALSE),"")</f>
        <v/>
      </c>
      <c r="U627" s="1248" t="str">
        <f>IFERROR(_xlfn.DAYS(T627,$Q$16)-SUM(U$26:U626),"")</f>
        <v/>
      </c>
      <c r="V627" s="1258">
        <f t="shared" ca="1" si="69"/>
        <v>0</v>
      </c>
      <c r="W627" s="1258">
        <f t="shared" ca="1" si="70"/>
        <v>0</v>
      </c>
      <c r="X627" s="1258" t="e">
        <f t="shared" ca="1" si="71"/>
        <v>#N/A</v>
      </c>
      <c r="Y627" s="1240"/>
      <c r="Z627" s="1240"/>
      <c r="AA627" s="1240"/>
      <c r="AB627" s="1240"/>
      <c r="AC627" s="1254" t="e">
        <f t="shared" si="67"/>
        <v>#NUM!</v>
      </c>
      <c r="AD627" s="1240"/>
      <c r="AE627" s="1240"/>
      <c r="AF627" s="1240"/>
      <c r="AG627" s="1240"/>
      <c r="AH627" s="1240"/>
      <c r="AI627" s="1240"/>
      <c r="AJ627" s="1240"/>
      <c r="AK627" s="1240"/>
      <c r="AL627" s="1240"/>
      <c r="AM627" s="1240"/>
      <c r="AN627" s="1240"/>
      <c r="AO627" s="1240"/>
      <c r="AP627" s="1240"/>
    </row>
    <row r="628" spans="1:42" ht="18.75" customHeight="1" x14ac:dyDescent="0.35">
      <c r="A628" s="1240"/>
      <c r="B628" s="1240"/>
      <c r="C628" s="1240"/>
      <c r="D628" s="1240"/>
      <c r="E628" s="1240"/>
      <c r="F628" s="1240"/>
      <c r="G628" s="1240"/>
      <c r="H628" s="1240"/>
      <c r="I628" s="1240"/>
      <c r="J628" s="1240"/>
      <c r="K628" s="1240"/>
      <c r="L628" s="1240"/>
      <c r="M628" s="1240"/>
      <c r="N628" s="1240"/>
      <c r="O628" s="1240"/>
      <c r="P628" s="1247">
        <f t="shared" si="73"/>
        <v>602</v>
      </c>
      <c r="Q628" s="1253" t="e">
        <f t="shared" ca="1" si="72"/>
        <v>#N/A</v>
      </c>
      <c r="R628" s="1247" t="str">
        <f>IFERROR(VLOOKUP(P628,RPCRepaymentDates[],1,FALSE),"")</f>
        <v/>
      </c>
      <c r="S628" s="1259">
        <f t="shared" si="68"/>
        <v>0</v>
      </c>
      <c r="T628" s="1247" t="str">
        <f>IFERROR(VLOOKUP(P628,RPCChargeCycleDates[],1,FALSE),"")</f>
        <v/>
      </c>
      <c r="U628" s="1248" t="str">
        <f>IFERROR(_xlfn.DAYS(T628,$Q$16)-SUM(U$26:U627),"")</f>
        <v/>
      </c>
      <c r="V628" s="1258">
        <f t="shared" ca="1" si="69"/>
        <v>0</v>
      </c>
      <c r="W628" s="1258">
        <f t="shared" ca="1" si="70"/>
        <v>0</v>
      </c>
      <c r="X628" s="1258" t="e">
        <f t="shared" ca="1" si="71"/>
        <v>#N/A</v>
      </c>
      <c r="Y628" s="1240"/>
      <c r="Z628" s="1240"/>
      <c r="AA628" s="1240"/>
      <c r="AB628" s="1240"/>
      <c r="AC628" s="1254" t="e">
        <f t="shared" si="67"/>
        <v>#NUM!</v>
      </c>
      <c r="AD628" s="1240"/>
      <c r="AE628" s="1240"/>
      <c r="AF628" s="1240"/>
      <c r="AG628" s="1240"/>
      <c r="AH628" s="1240"/>
      <c r="AI628" s="1240"/>
      <c r="AJ628" s="1240"/>
      <c r="AK628" s="1240"/>
      <c r="AL628" s="1240"/>
      <c r="AM628" s="1240"/>
      <c r="AN628" s="1240"/>
      <c r="AO628" s="1240"/>
      <c r="AP628" s="1240"/>
    </row>
    <row r="629" spans="1:42" ht="18.75" customHeight="1" x14ac:dyDescent="0.35">
      <c r="A629" s="1240"/>
      <c r="B629" s="1240"/>
      <c r="C629" s="1240"/>
      <c r="D629" s="1240"/>
      <c r="E629" s="1240"/>
      <c r="F629" s="1240"/>
      <c r="G629" s="1240"/>
      <c r="H629" s="1240"/>
      <c r="I629" s="1240"/>
      <c r="J629" s="1240"/>
      <c r="K629" s="1240"/>
      <c r="L629" s="1240"/>
      <c r="M629" s="1240"/>
      <c r="N629" s="1240"/>
      <c r="O629" s="1240"/>
      <c r="P629" s="1247">
        <f t="shared" si="73"/>
        <v>603</v>
      </c>
      <c r="Q629" s="1253" t="e">
        <f t="shared" ca="1" si="72"/>
        <v>#N/A</v>
      </c>
      <c r="R629" s="1247" t="str">
        <f>IFERROR(VLOOKUP(P629,RPCRepaymentDates[],1,FALSE),"")</f>
        <v/>
      </c>
      <c r="S629" s="1259">
        <f t="shared" si="68"/>
        <v>0</v>
      </c>
      <c r="T629" s="1247" t="str">
        <f>IFERROR(VLOOKUP(P629,RPCChargeCycleDates[],1,FALSE),"")</f>
        <v/>
      </c>
      <c r="U629" s="1248" t="str">
        <f>IFERROR(_xlfn.DAYS(T629,$Q$16)-SUM(U$26:U628),"")</f>
        <v/>
      </c>
      <c r="V629" s="1258">
        <f t="shared" ca="1" si="69"/>
        <v>0</v>
      </c>
      <c r="W629" s="1258">
        <f t="shared" ca="1" si="70"/>
        <v>0</v>
      </c>
      <c r="X629" s="1258" t="e">
        <f t="shared" ca="1" si="71"/>
        <v>#N/A</v>
      </c>
      <c r="Y629" s="1240"/>
      <c r="Z629" s="1240"/>
      <c r="AA629" s="1240"/>
      <c r="AB629" s="1240"/>
      <c r="AC629" s="1254" t="e">
        <f t="shared" si="67"/>
        <v>#NUM!</v>
      </c>
      <c r="AD629" s="1240"/>
      <c r="AE629" s="1240"/>
      <c r="AF629" s="1240"/>
      <c r="AG629" s="1240"/>
      <c r="AH629" s="1240"/>
      <c r="AI629" s="1240"/>
      <c r="AJ629" s="1240"/>
      <c r="AK629" s="1240"/>
      <c r="AL629" s="1240"/>
      <c r="AM629" s="1240"/>
      <c r="AN629" s="1240"/>
      <c r="AO629" s="1240"/>
      <c r="AP629" s="1240"/>
    </row>
    <row r="630" spans="1:42" ht="18.75" customHeight="1" x14ac:dyDescent="0.35">
      <c r="A630" s="1240"/>
      <c r="B630" s="1240"/>
      <c r="C630" s="1240"/>
      <c r="D630" s="1240"/>
      <c r="E630" s="1240"/>
      <c r="F630" s="1240"/>
      <c r="G630" s="1240"/>
      <c r="H630" s="1240"/>
      <c r="I630" s="1240"/>
      <c r="J630" s="1240"/>
      <c r="K630" s="1240"/>
      <c r="L630" s="1240"/>
      <c r="M630" s="1240"/>
      <c r="N630" s="1240"/>
      <c r="O630" s="1240"/>
      <c r="P630" s="1247">
        <f t="shared" si="73"/>
        <v>604</v>
      </c>
      <c r="Q630" s="1253" t="e">
        <f t="shared" ca="1" si="72"/>
        <v>#N/A</v>
      </c>
      <c r="R630" s="1247" t="str">
        <f>IFERROR(VLOOKUP(P630,RPCRepaymentDates[],1,FALSE),"")</f>
        <v/>
      </c>
      <c r="S630" s="1259">
        <f t="shared" si="68"/>
        <v>0</v>
      </c>
      <c r="T630" s="1247" t="str">
        <f>IFERROR(VLOOKUP(P630,RPCChargeCycleDates[],1,FALSE),"")</f>
        <v/>
      </c>
      <c r="U630" s="1248" t="str">
        <f>IFERROR(_xlfn.DAYS(T630,$Q$16)-SUM(U$26:U629),"")</f>
        <v/>
      </c>
      <c r="V630" s="1258">
        <f t="shared" ca="1" si="69"/>
        <v>0</v>
      </c>
      <c r="W630" s="1258">
        <f t="shared" ca="1" si="70"/>
        <v>0</v>
      </c>
      <c r="X630" s="1258" t="e">
        <f t="shared" ca="1" si="71"/>
        <v>#N/A</v>
      </c>
      <c r="Y630" s="1240"/>
      <c r="Z630" s="1240"/>
      <c r="AA630" s="1240"/>
      <c r="AB630" s="1240"/>
      <c r="AC630" s="1254" t="e">
        <f t="shared" si="67"/>
        <v>#NUM!</v>
      </c>
      <c r="AD630" s="1240"/>
      <c r="AE630" s="1240"/>
      <c r="AF630" s="1240"/>
      <c r="AG630" s="1240"/>
      <c r="AH630" s="1240"/>
      <c r="AI630" s="1240"/>
      <c r="AJ630" s="1240"/>
      <c r="AK630" s="1240"/>
      <c r="AL630" s="1240"/>
      <c r="AM630" s="1240"/>
      <c r="AN630" s="1240"/>
      <c r="AO630" s="1240"/>
      <c r="AP630" s="1240"/>
    </row>
    <row r="631" spans="1:42" ht="18.75" customHeight="1" x14ac:dyDescent="0.35">
      <c r="A631" s="1240"/>
      <c r="B631" s="1240"/>
      <c r="C631" s="1240"/>
      <c r="D631" s="1240"/>
      <c r="E631" s="1240"/>
      <c r="F631" s="1240"/>
      <c r="G631" s="1240"/>
      <c r="H631" s="1240"/>
      <c r="I631" s="1240"/>
      <c r="J631" s="1240"/>
      <c r="K631" s="1240"/>
      <c r="L631" s="1240"/>
      <c r="M631" s="1240"/>
      <c r="N631" s="1240"/>
      <c r="O631" s="1240"/>
      <c r="P631" s="1247">
        <f t="shared" si="73"/>
        <v>605</v>
      </c>
      <c r="Q631" s="1253" t="e">
        <f t="shared" ca="1" si="72"/>
        <v>#N/A</v>
      </c>
      <c r="R631" s="1247" t="str">
        <f>IFERROR(VLOOKUP(P631,RPCRepaymentDates[],1,FALSE),"")</f>
        <v/>
      </c>
      <c r="S631" s="1259">
        <f t="shared" si="68"/>
        <v>0</v>
      </c>
      <c r="T631" s="1247" t="str">
        <f>IFERROR(VLOOKUP(P631,RPCChargeCycleDates[],1,FALSE),"")</f>
        <v/>
      </c>
      <c r="U631" s="1248" t="str">
        <f>IFERROR(_xlfn.DAYS(T631,$Q$16)-SUM(U$26:U630),"")</f>
        <v/>
      </c>
      <c r="V631" s="1258">
        <f t="shared" ca="1" si="69"/>
        <v>0</v>
      </c>
      <c r="W631" s="1258">
        <f t="shared" ca="1" si="70"/>
        <v>0</v>
      </c>
      <c r="X631" s="1258" t="e">
        <f t="shared" ca="1" si="71"/>
        <v>#N/A</v>
      </c>
      <c r="Y631" s="1240"/>
      <c r="Z631" s="1240"/>
      <c r="AA631" s="1240"/>
      <c r="AB631" s="1240"/>
      <c r="AC631" s="1254" t="e">
        <f t="shared" si="67"/>
        <v>#NUM!</v>
      </c>
      <c r="AD631" s="1240"/>
      <c r="AE631" s="1240"/>
      <c r="AF631" s="1240"/>
      <c r="AG631" s="1240"/>
      <c r="AH631" s="1240"/>
      <c r="AI631" s="1240"/>
      <c r="AJ631" s="1240"/>
      <c r="AK631" s="1240"/>
      <c r="AL631" s="1240"/>
      <c r="AM631" s="1240"/>
      <c r="AN631" s="1240"/>
      <c r="AO631" s="1240"/>
      <c r="AP631" s="1240"/>
    </row>
    <row r="632" spans="1:42" ht="18.75" customHeight="1" x14ac:dyDescent="0.35">
      <c r="A632" s="1240"/>
      <c r="B632" s="1240"/>
      <c r="C632" s="1240"/>
      <c r="D632" s="1240"/>
      <c r="E632" s="1240"/>
      <c r="F632" s="1240"/>
      <c r="G632" s="1240"/>
      <c r="H632" s="1240"/>
      <c r="I632" s="1240"/>
      <c r="J632" s="1240"/>
      <c r="K632" s="1240"/>
      <c r="L632" s="1240"/>
      <c r="M632" s="1240"/>
      <c r="N632" s="1240"/>
      <c r="O632" s="1240"/>
      <c r="P632" s="1247">
        <f t="shared" si="73"/>
        <v>606</v>
      </c>
      <c r="Q632" s="1253" t="e">
        <f t="shared" ca="1" si="72"/>
        <v>#N/A</v>
      </c>
      <c r="R632" s="1247" t="str">
        <f>IFERROR(VLOOKUP(P632,RPCRepaymentDates[],1,FALSE),"")</f>
        <v/>
      </c>
      <c r="S632" s="1259">
        <f t="shared" si="68"/>
        <v>0</v>
      </c>
      <c r="T632" s="1247">
        <f>IFERROR(VLOOKUP(P632,RPCChargeCycleDates[],1,FALSE),"")</f>
        <v>606</v>
      </c>
      <c r="U632" s="1248">
        <f>IFERROR(_xlfn.DAYS(T632,$Q$16)-SUM(U$26:U631),"")</f>
        <v>31</v>
      </c>
      <c r="V632" s="1258">
        <f t="shared" ca="1" si="69"/>
        <v>0</v>
      </c>
      <c r="W632" s="1258">
        <f t="shared" ca="1" si="70"/>
        <v>0</v>
      </c>
      <c r="X632" s="1258" t="e">
        <f t="shared" ca="1" si="71"/>
        <v>#N/A</v>
      </c>
      <c r="Y632" s="1240"/>
      <c r="Z632" s="1240"/>
      <c r="AA632" s="1240"/>
      <c r="AB632" s="1240"/>
      <c r="AC632" s="1254" t="e">
        <f t="shared" si="67"/>
        <v>#NUM!</v>
      </c>
      <c r="AD632" s="1240"/>
      <c r="AE632" s="1240"/>
      <c r="AF632" s="1240"/>
      <c r="AG632" s="1240"/>
      <c r="AH632" s="1240"/>
      <c r="AI632" s="1240"/>
      <c r="AJ632" s="1240"/>
      <c r="AK632" s="1240"/>
      <c r="AL632" s="1240"/>
      <c r="AM632" s="1240"/>
      <c r="AN632" s="1240"/>
      <c r="AO632" s="1240"/>
      <c r="AP632" s="1240"/>
    </row>
    <row r="633" spans="1:42" ht="18.75" customHeight="1" x14ac:dyDescent="0.35">
      <c r="A633" s="1240"/>
      <c r="B633" s="1240"/>
      <c r="C633" s="1240"/>
      <c r="D633" s="1240"/>
      <c r="E633" s="1240"/>
      <c r="F633" s="1240"/>
      <c r="G633" s="1240"/>
      <c r="H633" s="1240"/>
      <c r="I633" s="1240"/>
      <c r="J633" s="1240"/>
      <c r="K633" s="1240"/>
      <c r="L633" s="1240"/>
      <c r="M633" s="1240"/>
      <c r="N633" s="1240"/>
      <c r="O633" s="1240"/>
      <c r="P633" s="1247">
        <f t="shared" si="73"/>
        <v>607</v>
      </c>
      <c r="Q633" s="1253" t="e">
        <f t="shared" ca="1" si="72"/>
        <v>#N/A</v>
      </c>
      <c r="R633" s="1247" t="str">
        <f>IFERROR(VLOOKUP(P633,RPCRepaymentDates[],1,FALSE),"")</f>
        <v/>
      </c>
      <c r="S633" s="1259">
        <f t="shared" si="68"/>
        <v>0</v>
      </c>
      <c r="T633" s="1247" t="str">
        <f>IFERROR(VLOOKUP(P633,RPCChargeCycleDates[],1,FALSE),"")</f>
        <v/>
      </c>
      <c r="U633" s="1248" t="str">
        <f>IFERROR(_xlfn.DAYS(T633,$Q$16)-SUM(U$26:U632),"")</f>
        <v/>
      </c>
      <c r="V633" s="1258">
        <f t="shared" ca="1" si="69"/>
        <v>0</v>
      </c>
      <c r="W633" s="1258">
        <f t="shared" ca="1" si="70"/>
        <v>0</v>
      </c>
      <c r="X633" s="1258" t="e">
        <f t="shared" ca="1" si="71"/>
        <v>#N/A</v>
      </c>
      <c r="Y633" s="1240"/>
      <c r="Z633" s="1240"/>
      <c r="AA633" s="1240"/>
      <c r="AB633" s="1240"/>
      <c r="AC633" s="1254" t="e">
        <f t="shared" si="67"/>
        <v>#NUM!</v>
      </c>
      <c r="AD633" s="1240"/>
      <c r="AE633" s="1240"/>
      <c r="AF633" s="1240"/>
      <c r="AG633" s="1240"/>
      <c r="AH633" s="1240"/>
      <c r="AI633" s="1240"/>
      <c r="AJ633" s="1240"/>
      <c r="AK633" s="1240"/>
      <c r="AL633" s="1240"/>
      <c r="AM633" s="1240"/>
      <c r="AN633" s="1240"/>
      <c r="AO633" s="1240"/>
      <c r="AP633" s="1240"/>
    </row>
    <row r="634" spans="1:42" ht="18.75" customHeight="1" x14ac:dyDescent="0.35">
      <c r="A634" s="1240"/>
      <c r="B634" s="1240"/>
      <c r="C634" s="1240"/>
      <c r="D634" s="1240"/>
      <c r="E634" s="1240"/>
      <c r="F634" s="1240"/>
      <c r="G634" s="1240"/>
      <c r="H634" s="1240"/>
      <c r="I634" s="1240"/>
      <c r="J634" s="1240"/>
      <c r="K634" s="1240"/>
      <c r="L634" s="1240"/>
      <c r="M634" s="1240"/>
      <c r="N634" s="1240"/>
      <c r="O634" s="1240"/>
      <c r="P634" s="1247">
        <f t="shared" si="73"/>
        <v>608</v>
      </c>
      <c r="Q634" s="1253" t="e">
        <f t="shared" ca="1" si="72"/>
        <v>#N/A</v>
      </c>
      <c r="R634" s="1247" t="str">
        <f>IFERROR(VLOOKUP(P634,RPCRepaymentDates[],1,FALSE),"")</f>
        <v/>
      </c>
      <c r="S634" s="1259">
        <f t="shared" si="68"/>
        <v>0</v>
      </c>
      <c r="T634" s="1247" t="str">
        <f>IFERROR(VLOOKUP(P634,RPCChargeCycleDates[],1,FALSE),"")</f>
        <v/>
      </c>
      <c r="U634" s="1248" t="str">
        <f>IFERROR(_xlfn.DAYS(T634,$Q$16)-SUM(U$26:U633),"")</f>
        <v/>
      </c>
      <c r="V634" s="1258">
        <f t="shared" ca="1" si="69"/>
        <v>0</v>
      </c>
      <c r="W634" s="1258">
        <f t="shared" ca="1" si="70"/>
        <v>0</v>
      </c>
      <c r="X634" s="1258" t="e">
        <f t="shared" ca="1" si="71"/>
        <v>#N/A</v>
      </c>
      <c r="Y634" s="1240"/>
      <c r="Z634" s="1240"/>
      <c r="AA634" s="1240"/>
      <c r="AB634" s="1240"/>
      <c r="AC634" s="1254" t="e">
        <f t="shared" si="67"/>
        <v>#NUM!</v>
      </c>
      <c r="AD634" s="1240"/>
      <c r="AE634" s="1240"/>
      <c r="AF634" s="1240"/>
      <c r="AG634" s="1240"/>
      <c r="AH634" s="1240"/>
      <c r="AI634" s="1240"/>
      <c r="AJ634" s="1240"/>
      <c r="AK634" s="1240"/>
      <c r="AL634" s="1240"/>
      <c r="AM634" s="1240"/>
      <c r="AN634" s="1240"/>
      <c r="AO634" s="1240"/>
      <c r="AP634" s="1240"/>
    </row>
    <row r="635" spans="1:42" ht="18.75" customHeight="1" x14ac:dyDescent="0.35">
      <c r="A635" s="1240"/>
      <c r="B635" s="1240"/>
      <c r="C635" s="1240"/>
      <c r="D635" s="1240"/>
      <c r="E635" s="1240"/>
      <c r="F635" s="1240"/>
      <c r="G635" s="1240"/>
      <c r="H635" s="1240"/>
      <c r="I635" s="1240"/>
      <c r="J635" s="1240"/>
      <c r="K635" s="1240"/>
      <c r="L635" s="1240"/>
      <c r="M635" s="1240"/>
      <c r="N635" s="1240"/>
      <c r="O635" s="1240"/>
      <c r="P635" s="1247">
        <f t="shared" si="73"/>
        <v>609</v>
      </c>
      <c r="Q635" s="1253" t="e">
        <f t="shared" ca="1" si="72"/>
        <v>#N/A</v>
      </c>
      <c r="R635" s="1247" t="str">
        <f>IFERROR(VLOOKUP(P635,RPCRepaymentDates[],1,FALSE),"")</f>
        <v/>
      </c>
      <c r="S635" s="1259">
        <f t="shared" si="68"/>
        <v>0</v>
      </c>
      <c r="T635" s="1247" t="str">
        <f>IFERROR(VLOOKUP(P635,RPCChargeCycleDates[],1,FALSE),"")</f>
        <v/>
      </c>
      <c r="U635" s="1248" t="str">
        <f>IFERROR(_xlfn.DAYS(T635,$Q$16)-SUM(U$26:U634),"")</f>
        <v/>
      </c>
      <c r="V635" s="1258">
        <f t="shared" ca="1" si="69"/>
        <v>0</v>
      </c>
      <c r="W635" s="1258">
        <f t="shared" ca="1" si="70"/>
        <v>0</v>
      </c>
      <c r="X635" s="1258" t="e">
        <f t="shared" ca="1" si="71"/>
        <v>#N/A</v>
      </c>
      <c r="Y635" s="1240"/>
      <c r="Z635" s="1240"/>
      <c r="AA635" s="1240"/>
      <c r="AB635" s="1240"/>
      <c r="AC635" s="1254" t="e">
        <f t="shared" si="67"/>
        <v>#NUM!</v>
      </c>
      <c r="AD635" s="1240"/>
      <c r="AE635" s="1240"/>
      <c r="AF635" s="1240"/>
      <c r="AG635" s="1240"/>
      <c r="AH635" s="1240"/>
      <c r="AI635" s="1240"/>
      <c r="AJ635" s="1240"/>
      <c r="AK635" s="1240"/>
      <c r="AL635" s="1240"/>
      <c r="AM635" s="1240"/>
      <c r="AN635" s="1240"/>
      <c r="AO635" s="1240"/>
      <c r="AP635" s="1240"/>
    </row>
    <row r="636" spans="1:42" ht="18.75" customHeight="1" x14ac:dyDescent="0.35">
      <c r="A636" s="1240"/>
      <c r="B636" s="1240"/>
      <c r="C636" s="1240"/>
      <c r="D636" s="1240"/>
      <c r="E636" s="1240"/>
      <c r="F636" s="1240"/>
      <c r="G636" s="1240"/>
      <c r="H636" s="1240"/>
      <c r="I636" s="1240"/>
      <c r="J636" s="1240"/>
      <c r="K636" s="1240"/>
      <c r="L636" s="1240"/>
      <c r="M636" s="1240"/>
      <c r="N636" s="1240"/>
      <c r="O636" s="1240"/>
      <c r="P636" s="1247">
        <f t="shared" si="73"/>
        <v>610</v>
      </c>
      <c r="Q636" s="1253" t="e">
        <f t="shared" ca="1" si="72"/>
        <v>#N/A</v>
      </c>
      <c r="R636" s="1247" t="str">
        <f>IFERROR(VLOOKUP(P636,RPCRepaymentDates[],1,FALSE),"")</f>
        <v/>
      </c>
      <c r="S636" s="1259">
        <f t="shared" si="68"/>
        <v>0</v>
      </c>
      <c r="T636" s="1247" t="str">
        <f>IFERROR(VLOOKUP(P636,RPCChargeCycleDates[],1,FALSE),"")</f>
        <v/>
      </c>
      <c r="U636" s="1248" t="str">
        <f>IFERROR(_xlfn.DAYS(T636,$Q$16)-SUM(U$26:U635),"")</f>
        <v/>
      </c>
      <c r="V636" s="1258">
        <f t="shared" ca="1" si="69"/>
        <v>0</v>
      </c>
      <c r="W636" s="1258">
        <f t="shared" ca="1" si="70"/>
        <v>0</v>
      </c>
      <c r="X636" s="1258" t="e">
        <f t="shared" ca="1" si="71"/>
        <v>#N/A</v>
      </c>
      <c r="Y636" s="1240"/>
      <c r="Z636" s="1240"/>
      <c r="AA636" s="1240"/>
      <c r="AB636" s="1240"/>
      <c r="AC636" s="1254" t="e">
        <f t="shared" si="67"/>
        <v>#NUM!</v>
      </c>
      <c r="AD636" s="1240"/>
      <c r="AE636" s="1240"/>
      <c r="AF636" s="1240"/>
      <c r="AG636" s="1240"/>
      <c r="AH636" s="1240"/>
      <c r="AI636" s="1240"/>
      <c r="AJ636" s="1240"/>
      <c r="AK636" s="1240"/>
      <c r="AL636" s="1240"/>
      <c r="AM636" s="1240"/>
      <c r="AN636" s="1240"/>
      <c r="AO636" s="1240"/>
      <c r="AP636" s="1240"/>
    </row>
    <row r="637" spans="1:42" ht="18.75" customHeight="1" x14ac:dyDescent="0.35">
      <c r="A637" s="1240"/>
      <c r="B637" s="1240"/>
      <c r="C637" s="1240"/>
      <c r="D637" s="1240"/>
      <c r="E637" s="1240"/>
      <c r="F637" s="1240"/>
      <c r="G637" s="1240"/>
      <c r="H637" s="1240"/>
      <c r="I637" s="1240"/>
      <c r="J637" s="1240"/>
      <c r="K637" s="1240"/>
      <c r="L637" s="1240"/>
      <c r="M637" s="1240"/>
      <c r="N637" s="1240"/>
      <c r="O637" s="1240"/>
      <c r="P637" s="1247">
        <f t="shared" si="73"/>
        <v>611</v>
      </c>
      <c r="Q637" s="1253" t="e">
        <f t="shared" ca="1" si="72"/>
        <v>#N/A</v>
      </c>
      <c r="R637" s="1247" t="str">
        <f>IFERROR(VLOOKUP(P637,RPCRepaymentDates[],1,FALSE),"")</f>
        <v/>
      </c>
      <c r="S637" s="1259">
        <f t="shared" si="68"/>
        <v>0</v>
      </c>
      <c r="T637" s="1247" t="str">
        <f>IFERROR(VLOOKUP(P637,RPCChargeCycleDates[],1,FALSE),"")</f>
        <v/>
      </c>
      <c r="U637" s="1248" t="str">
        <f>IFERROR(_xlfn.DAYS(T637,$Q$16)-SUM(U$26:U636),"")</f>
        <v/>
      </c>
      <c r="V637" s="1258">
        <f t="shared" ca="1" si="69"/>
        <v>0</v>
      </c>
      <c r="W637" s="1258">
        <f t="shared" ca="1" si="70"/>
        <v>0</v>
      </c>
      <c r="X637" s="1258" t="e">
        <f t="shared" ca="1" si="71"/>
        <v>#N/A</v>
      </c>
      <c r="Y637" s="1240"/>
      <c r="Z637" s="1240"/>
      <c r="AA637" s="1240"/>
      <c r="AB637" s="1240"/>
      <c r="AC637" s="1254" t="e">
        <f t="shared" si="67"/>
        <v>#NUM!</v>
      </c>
      <c r="AD637" s="1240"/>
      <c r="AE637" s="1240"/>
      <c r="AF637" s="1240"/>
      <c r="AG637" s="1240"/>
      <c r="AH637" s="1240"/>
      <c r="AI637" s="1240"/>
      <c r="AJ637" s="1240"/>
      <c r="AK637" s="1240"/>
      <c r="AL637" s="1240"/>
      <c r="AM637" s="1240"/>
      <c r="AN637" s="1240"/>
      <c r="AO637" s="1240"/>
      <c r="AP637" s="1240"/>
    </row>
    <row r="638" spans="1:42" ht="18.75" customHeight="1" x14ac:dyDescent="0.35">
      <c r="A638" s="1240"/>
      <c r="B638" s="1240"/>
      <c r="C638" s="1240"/>
      <c r="D638" s="1240"/>
      <c r="E638" s="1240"/>
      <c r="F638" s="1240"/>
      <c r="G638" s="1240"/>
      <c r="H638" s="1240"/>
      <c r="I638" s="1240"/>
      <c r="J638" s="1240"/>
      <c r="K638" s="1240"/>
      <c r="L638" s="1240"/>
      <c r="M638" s="1240"/>
      <c r="N638" s="1240"/>
      <c r="O638" s="1240"/>
      <c r="P638" s="1247">
        <f t="shared" si="73"/>
        <v>612</v>
      </c>
      <c r="Q638" s="1253" t="e">
        <f t="shared" ca="1" si="72"/>
        <v>#N/A</v>
      </c>
      <c r="R638" s="1247" t="str">
        <f>IFERROR(VLOOKUP(P638,RPCRepaymentDates[],1,FALSE),"")</f>
        <v/>
      </c>
      <c r="S638" s="1259">
        <f t="shared" si="68"/>
        <v>0</v>
      </c>
      <c r="T638" s="1247" t="str">
        <f>IFERROR(VLOOKUP(P638,RPCChargeCycleDates[],1,FALSE),"")</f>
        <v/>
      </c>
      <c r="U638" s="1248" t="str">
        <f>IFERROR(_xlfn.DAYS(T638,$Q$16)-SUM(U$26:U637),"")</f>
        <v/>
      </c>
      <c r="V638" s="1258">
        <f t="shared" ca="1" si="69"/>
        <v>0</v>
      </c>
      <c r="W638" s="1258">
        <f t="shared" ca="1" si="70"/>
        <v>0</v>
      </c>
      <c r="X638" s="1258" t="e">
        <f t="shared" ca="1" si="71"/>
        <v>#N/A</v>
      </c>
      <c r="Y638" s="1240"/>
      <c r="Z638" s="1240"/>
      <c r="AA638" s="1240"/>
      <c r="AB638" s="1240"/>
      <c r="AC638" s="1254" t="e">
        <f t="shared" si="67"/>
        <v>#NUM!</v>
      </c>
      <c r="AD638" s="1240"/>
      <c r="AE638" s="1240"/>
      <c r="AF638" s="1240"/>
      <c r="AG638" s="1240"/>
      <c r="AH638" s="1240"/>
      <c r="AI638" s="1240"/>
      <c r="AJ638" s="1240"/>
      <c r="AK638" s="1240"/>
      <c r="AL638" s="1240"/>
      <c r="AM638" s="1240"/>
      <c r="AN638" s="1240"/>
      <c r="AO638" s="1240"/>
      <c r="AP638" s="1240"/>
    </row>
    <row r="639" spans="1:42" ht="18.75" customHeight="1" x14ac:dyDescent="0.35">
      <c r="A639" s="1240"/>
      <c r="B639" s="1240"/>
      <c r="C639" s="1240"/>
      <c r="D639" s="1240"/>
      <c r="E639" s="1240"/>
      <c r="F639" s="1240"/>
      <c r="G639" s="1240"/>
      <c r="H639" s="1240"/>
      <c r="I639" s="1240"/>
      <c r="J639" s="1240"/>
      <c r="K639" s="1240"/>
      <c r="L639" s="1240"/>
      <c r="M639" s="1240"/>
      <c r="N639" s="1240"/>
      <c r="O639" s="1240"/>
      <c r="P639" s="1247">
        <f t="shared" si="73"/>
        <v>613</v>
      </c>
      <c r="Q639" s="1253" t="e">
        <f t="shared" ca="1" si="72"/>
        <v>#N/A</v>
      </c>
      <c r="R639" s="1247" t="str">
        <f>IFERROR(VLOOKUP(P639,RPCRepaymentDates[],1,FALSE),"")</f>
        <v/>
      </c>
      <c r="S639" s="1259">
        <f t="shared" si="68"/>
        <v>0</v>
      </c>
      <c r="T639" s="1247" t="str">
        <f>IFERROR(VLOOKUP(P639,RPCChargeCycleDates[],1,FALSE),"")</f>
        <v/>
      </c>
      <c r="U639" s="1248" t="str">
        <f>IFERROR(_xlfn.DAYS(T639,$Q$16)-SUM(U$26:U638),"")</f>
        <v/>
      </c>
      <c r="V639" s="1258">
        <f t="shared" ca="1" si="69"/>
        <v>0</v>
      </c>
      <c r="W639" s="1258">
        <f t="shared" ca="1" si="70"/>
        <v>0</v>
      </c>
      <c r="X639" s="1258" t="e">
        <f t="shared" ca="1" si="71"/>
        <v>#N/A</v>
      </c>
      <c r="Y639" s="1240"/>
      <c r="Z639" s="1240"/>
      <c r="AA639" s="1240"/>
      <c r="AB639" s="1240"/>
      <c r="AC639" s="1254" t="e">
        <f t="shared" ref="AC639:AC702" si="74">IF(RPCRepaymentFrequency="Monthly",EDATE(AC638,1),IF(RPCRepaymentFrequency="Fortnightly",AC638+14,AC638+7))</f>
        <v>#NUM!</v>
      </c>
      <c r="AD639" s="1240"/>
      <c r="AE639" s="1240"/>
      <c r="AF639" s="1240"/>
      <c r="AG639" s="1240"/>
      <c r="AH639" s="1240"/>
      <c r="AI639" s="1240"/>
      <c r="AJ639" s="1240"/>
      <c r="AK639" s="1240"/>
      <c r="AL639" s="1240"/>
      <c r="AM639" s="1240"/>
      <c r="AN639" s="1240"/>
      <c r="AO639" s="1240"/>
      <c r="AP639" s="1240"/>
    </row>
    <row r="640" spans="1:42" ht="18.75" customHeight="1" x14ac:dyDescent="0.35">
      <c r="A640" s="1240"/>
      <c r="B640" s="1240"/>
      <c r="C640" s="1240"/>
      <c r="D640" s="1240"/>
      <c r="E640" s="1240"/>
      <c r="F640" s="1240"/>
      <c r="G640" s="1240"/>
      <c r="H640" s="1240"/>
      <c r="I640" s="1240"/>
      <c r="J640" s="1240"/>
      <c r="K640" s="1240"/>
      <c r="L640" s="1240"/>
      <c r="M640" s="1240"/>
      <c r="N640" s="1240"/>
      <c r="O640" s="1240"/>
      <c r="P640" s="1247">
        <f t="shared" si="73"/>
        <v>614</v>
      </c>
      <c r="Q640" s="1253" t="e">
        <f t="shared" ca="1" si="72"/>
        <v>#N/A</v>
      </c>
      <c r="R640" s="1247" t="str">
        <f>IFERROR(VLOOKUP(P640,RPCRepaymentDates[],1,FALSE),"")</f>
        <v/>
      </c>
      <c r="S640" s="1259">
        <f t="shared" si="68"/>
        <v>0</v>
      </c>
      <c r="T640" s="1247" t="str">
        <f>IFERROR(VLOOKUP(P640,RPCChargeCycleDates[],1,FALSE),"")</f>
        <v/>
      </c>
      <c r="U640" s="1248" t="str">
        <f>IFERROR(_xlfn.DAYS(T640,$Q$16)-SUM(U$26:U639),"")</f>
        <v/>
      </c>
      <c r="V640" s="1258">
        <f t="shared" ca="1" si="69"/>
        <v>0</v>
      </c>
      <c r="W640" s="1258">
        <f t="shared" ca="1" si="70"/>
        <v>0</v>
      </c>
      <c r="X640" s="1258" t="e">
        <f t="shared" ca="1" si="71"/>
        <v>#N/A</v>
      </c>
      <c r="Y640" s="1240"/>
      <c r="Z640" s="1240"/>
      <c r="AA640" s="1240"/>
      <c r="AB640" s="1240"/>
      <c r="AC640" s="1254" t="e">
        <f t="shared" si="74"/>
        <v>#NUM!</v>
      </c>
      <c r="AD640" s="1240"/>
      <c r="AE640" s="1240"/>
      <c r="AF640" s="1240"/>
      <c r="AG640" s="1240"/>
      <c r="AH640" s="1240"/>
      <c r="AI640" s="1240"/>
      <c r="AJ640" s="1240"/>
      <c r="AK640" s="1240"/>
      <c r="AL640" s="1240"/>
      <c r="AM640" s="1240"/>
      <c r="AN640" s="1240"/>
      <c r="AO640" s="1240"/>
      <c r="AP640" s="1240"/>
    </row>
    <row r="641" spans="1:42" ht="18.75" customHeight="1" x14ac:dyDescent="0.35">
      <c r="A641" s="1240"/>
      <c r="B641" s="1240"/>
      <c r="C641" s="1240"/>
      <c r="D641" s="1240"/>
      <c r="E641" s="1240"/>
      <c r="F641" s="1240"/>
      <c r="G641" s="1240"/>
      <c r="H641" s="1240"/>
      <c r="I641" s="1240"/>
      <c r="J641" s="1240"/>
      <c r="K641" s="1240"/>
      <c r="L641" s="1240"/>
      <c r="M641" s="1240"/>
      <c r="N641" s="1240"/>
      <c r="O641" s="1240"/>
      <c r="P641" s="1247">
        <f t="shared" si="73"/>
        <v>615</v>
      </c>
      <c r="Q641" s="1253" t="e">
        <f t="shared" ca="1" si="72"/>
        <v>#N/A</v>
      </c>
      <c r="R641" s="1247" t="str">
        <f>IFERROR(VLOOKUP(P641,RPCRepaymentDates[],1,FALSE),"")</f>
        <v/>
      </c>
      <c r="S641" s="1259">
        <f t="shared" si="68"/>
        <v>0</v>
      </c>
      <c r="T641" s="1247" t="str">
        <f>IFERROR(VLOOKUP(P641,RPCChargeCycleDates[],1,FALSE),"")</f>
        <v/>
      </c>
      <c r="U641" s="1248" t="str">
        <f>IFERROR(_xlfn.DAYS(T641,$Q$16)-SUM(U$26:U640),"")</f>
        <v/>
      </c>
      <c r="V641" s="1258">
        <f t="shared" ca="1" si="69"/>
        <v>0</v>
      </c>
      <c r="W641" s="1258">
        <f t="shared" ca="1" si="70"/>
        <v>0</v>
      </c>
      <c r="X641" s="1258" t="e">
        <f t="shared" ca="1" si="71"/>
        <v>#N/A</v>
      </c>
      <c r="Y641" s="1240"/>
      <c r="Z641" s="1240"/>
      <c r="AA641" s="1240"/>
      <c r="AB641" s="1240"/>
      <c r="AC641" s="1254" t="e">
        <f t="shared" si="74"/>
        <v>#NUM!</v>
      </c>
      <c r="AD641" s="1240"/>
      <c r="AE641" s="1240"/>
      <c r="AF641" s="1240"/>
      <c r="AG641" s="1240"/>
      <c r="AH641" s="1240"/>
      <c r="AI641" s="1240"/>
      <c r="AJ641" s="1240"/>
      <c r="AK641" s="1240"/>
      <c r="AL641" s="1240"/>
      <c r="AM641" s="1240"/>
      <c r="AN641" s="1240"/>
      <c r="AO641" s="1240"/>
      <c r="AP641" s="1240"/>
    </row>
    <row r="642" spans="1:42" ht="18.75" customHeight="1" x14ac:dyDescent="0.35">
      <c r="A642" s="1240"/>
      <c r="B642" s="1240"/>
      <c r="C642" s="1240"/>
      <c r="D642" s="1240"/>
      <c r="E642" s="1240"/>
      <c r="F642" s="1240"/>
      <c r="G642" s="1240"/>
      <c r="H642" s="1240"/>
      <c r="I642" s="1240"/>
      <c r="J642" s="1240"/>
      <c r="K642" s="1240"/>
      <c r="L642" s="1240"/>
      <c r="M642" s="1240"/>
      <c r="N642" s="1240"/>
      <c r="O642" s="1240"/>
      <c r="P642" s="1247">
        <f t="shared" si="73"/>
        <v>616</v>
      </c>
      <c r="Q642" s="1253" t="e">
        <f t="shared" ca="1" si="72"/>
        <v>#N/A</v>
      </c>
      <c r="R642" s="1247" t="str">
        <f>IFERROR(VLOOKUP(P642,RPCRepaymentDates[],1,FALSE),"")</f>
        <v/>
      </c>
      <c r="S642" s="1259">
        <f t="shared" si="68"/>
        <v>0</v>
      </c>
      <c r="T642" s="1247" t="str">
        <f>IFERROR(VLOOKUP(P642,RPCChargeCycleDates[],1,FALSE),"")</f>
        <v/>
      </c>
      <c r="U642" s="1248" t="str">
        <f>IFERROR(_xlfn.DAYS(T642,$Q$16)-SUM(U$26:U641),"")</f>
        <v/>
      </c>
      <c r="V642" s="1258">
        <f t="shared" ca="1" si="69"/>
        <v>0</v>
      </c>
      <c r="W642" s="1258">
        <f t="shared" ca="1" si="70"/>
        <v>0</v>
      </c>
      <c r="X642" s="1258" t="e">
        <f t="shared" ca="1" si="71"/>
        <v>#N/A</v>
      </c>
      <c r="Y642" s="1240"/>
      <c r="Z642" s="1240"/>
      <c r="AA642" s="1240"/>
      <c r="AB642" s="1240"/>
      <c r="AC642" s="1254" t="e">
        <f t="shared" si="74"/>
        <v>#NUM!</v>
      </c>
      <c r="AD642" s="1240"/>
      <c r="AE642" s="1240"/>
      <c r="AF642" s="1240"/>
      <c r="AG642" s="1240"/>
      <c r="AH642" s="1240"/>
      <c r="AI642" s="1240"/>
      <c r="AJ642" s="1240"/>
      <c r="AK642" s="1240"/>
      <c r="AL642" s="1240"/>
      <c r="AM642" s="1240"/>
      <c r="AN642" s="1240"/>
      <c r="AO642" s="1240"/>
      <c r="AP642" s="1240"/>
    </row>
    <row r="643" spans="1:42" ht="18.75" customHeight="1" x14ac:dyDescent="0.35">
      <c r="A643" s="1240"/>
      <c r="B643" s="1240"/>
      <c r="C643" s="1240"/>
      <c r="D643" s="1240"/>
      <c r="E643" s="1240"/>
      <c r="F643" s="1240"/>
      <c r="G643" s="1240"/>
      <c r="H643" s="1240"/>
      <c r="I643" s="1240"/>
      <c r="J643" s="1240"/>
      <c r="K643" s="1240"/>
      <c r="L643" s="1240"/>
      <c r="M643" s="1240"/>
      <c r="N643" s="1240"/>
      <c r="O643" s="1240"/>
      <c r="P643" s="1247">
        <f t="shared" si="73"/>
        <v>617</v>
      </c>
      <c r="Q643" s="1253" t="e">
        <f t="shared" ca="1" si="72"/>
        <v>#N/A</v>
      </c>
      <c r="R643" s="1247" t="str">
        <f>IFERROR(VLOOKUP(P643,RPCRepaymentDates[],1,FALSE),"")</f>
        <v/>
      </c>
      <c r="S643" s="1259">
        <f t="shared" si="68"/>
        <v>0</v>
      </c>
      <c r="T643" s="1247" t="str">
        <f>IFERROR(VLOOKUP(P643,RPCChargeCycleDates[],1,FALSE),"")</f>
        <v/>
      </c>
      <c r="U643" s="1248" t="str">
        <f>IFERROR(_xlfn.DAYS(T643,$Q$16)-SUM(U$26:U642),"")</f>
        <v/>
      </c>
      <c r="V643" s="1258">
        <f t="shared" ca="1" si="69"/>
        <v>0</v>
      </c>
      <c r="W643" s="1258">
        <f t="shared" ca="1" si="70"/>
        <v>0</v>
      </c>
      <c r="X643" s="1258" t="e">
        <f t="shared" ca="1" si="71"/>
        <v>#N/A</v>
      </c>
      <c r="Y643" s="1240"/>
      <c r="Z643" s="1240"/>
      <c r="AA643" s="1240"/>
      <c r="AB643" s="1240"/>
      <c r="AC643" s="1254" t="e">
        <f t="shared" si="74"/>
        <v>#NUM!</v>
      </c>
      <c r="AD643" s="1240"/>
      <c r="AE643" s="1240"/>
      <c r="AF643" s="1240"/>
      <c r="AG643" s="1240"/>
      <c r="AH643" s="1240"/>
      <c r="AI643" s="1240"/>
      <c r="AJ643" s="1240"/>
      <c r="AK643" s="1240"/>
      <c r="AL643" s="1240"/>
      <c r="AM643" s="1240"/>
      <c r="AN643" s="1240"/>
      <c r="AO643" s="1240"/>
      <c r="AP643" s="1240"/>
    </row>
    <row r="644" spans="1:42" ht="18.75" customHeight="1" x14ac:dyDescent="0.35">
      <c r="A644" s="1240"/>
      <c r="B644" s="1240"/>
      <c r="C644" s="1240"/>
      <c r="D644" s="1240"/>
      <c r="E644" s="1240"/>
      <c r="F644" s="1240"/>
      <c r="G644" s="1240"/>
      <c r="H644" s="1240"/>
      <c r="I644" s="1240"/>
      <c r="J644" s="1240"/>
      <c r="K644" s="1240"/>
      <c r="L644" s="1240"/>
      <c r="M644" s="1240"/>
      <c r="N644" s="1240"/>
      <c r="O644" s="1240"/>
      <c r="P644" s="1247">
        <f t="shared" si="73"/>
        <v>618</v>
      </c>
      <c r="Q644" s="1253" t="e">
        <f t="shared" ca="1" si="72"/>
        <v>#N/A</v>
      </c>
      <c r="R644" s="1247" t="str">
        <f>IFERROR(VLOOKUP(P644,RPCRepaymentDates[],1,FALSE),"")</f>
        <v/>
      </c>
      <c r="S644" s="1259">
        <f t="shared" si="68"/>
        <v>0</v>
      </c>
      <c r="T644" s="1247" t="str">
        <f>IFERROR(VLOOKUP(P644,RPCChargeCycleDates[],1,FALSE),"")</f>
        <v/>
      </c>
      <c r="U644" s="1248" t="str">
        <f>IFERROR(_xlfn.DAYS(T644,$Q$16)-SUM(U$26:U643),"")</f>
        <v/>
      </c>
      <c r="V644" s="1258">
        <f t="shared" ca="1" si="69"/>
        <v>0</v>
      </c>
      <c r="W644" s="1258">
        <f t="shared" ca="1" si="70"/>
        <v>0</v>
      </c>
      <c r="X644" s="1258" t="e">
        <f t="shared" ca="1" si="71"/>
        <v>#N/A</v>
      </c>
      <c r="Y644" s="1240"/>
      <c r="Z644" s="1240"/>
      <c r="AA644" s="1240"/>
      <c r="AB644" s="1240"/>
      <c r="AC644" s="1254" t="e">
        <f t="shared" si="74"/>
        <v>#NUM!</v>
      </c>
      <c r="AD644" s="1240"/>
      <c r="AE644" s="1240"/>
      <c r="AF644" s="1240"/>
      <c r="AG644" s="1240"/>
      <c r="AH644" s="1240"/>
      <c r="AI644" s="1240"/>
      <c r="AJ644" s="1240"/>
      <c r="AK644" s="1240"/>
      <c r="AL644" s="1240"/>
      <c r="AM644" s="1240"/>
      <c r="AN644" s="1240"/>
      <c r="AO644" s="1240"/>
      <c r="AP644" s="1240"/>
    </row>
    <row r="645" spans="1:42" ht="18.75" customHeight="1" x14ac:dyDescent="0.35">
      <c r="A645" s="1240"/>
      <c r="B645" s="1240"/>
      <c r="C645" s="1240"/>
      <c r="D645" s="1240"/>
      <c r="E645" s="1240"/>
      <c r="F645" s="1240"/>
      <c r="G645" s="1240"/>
      <c r="H645" s="1240"/>
      <c r="I645" s="1240"/>
      <c r="J645" s="1240"/>
      <c r="K645" s="1240"/>
      <c r="L645" s="1240"/>
      <c r="M645" s="1240"/>
      <c r="N645" s="1240"/>
      <c r="O645" s="1240"/>
      <c r="P645" s="1247">
        <f t="shared" si="73"/>
        <v>619</v>
      </c>
      <c r="Q645" s="1253" t="e">
        <f t="shared" ca="1" si="72"/>
        <v>#N/A</v>
      </c>
      <c r="R645" s="1247" t="str">
        <f>IFERROR(VLOOKUP(P645,RPCRepaymentDates[],1,FALSE),"")</f>
        <v/>
      </c>
      <c r="S645" s="1259">
        <f t="shared" si="68"/>
        <v>0</v>
      </c>
      <c r="T645" s="1247" t="str">
        <f>IFERROR(VLOOKUP(P645,RPCChargeCycleDates[],1,FALSE),"")</f>
        <v/>
      </c>
      <c r="U645" s="1248" t="str">
        <f>IFERROR(_xlfn.DAYS(T645,$Q$16)-SUM(U$26:U644),"")</f>
        <v/>
      </c>
      <c r="V645" s="1258">
        <f t="shared" ca="1" si="69"/>
        <v>0</v>
      </c>
      <c r="W645" s="1258">
        <f t="shared" ca="1" si="70"/>
        <v>0</v>
      </c>
      <c r="X645" s="1258" t="e">
        <f t="shared" ca="1" si="71"/>
        <v>#N/A</v>
      </c>
      <c r="Y645" s="1240"/>
      <c r="Z645" s="1240"/>
      <c r="AA645" s="1240"/>
      <c r="AB645" s="1240"/>
      <c r="AC645" s="1254" t="e">
        <f t="shared" si="74"/>
        <v>#NUM!</v>
      </c>
      <c r="AD645" s="1240"/>
      <c r="AE645" s="1240"/>
      <c r="AF645" s="1240"/>
      <c r="AG645" s="1240"/>
      <c r="AH645" s="1240"/>
      <c r="AI645" s="1240"/>
      <c r="AJ645" s="1240"/>
      <c r="AK645" s="1240"/>
      <c r="AL645" s="1240"/>
      <c r="AM645" s="1240"/>
      <c r="AN645" s="1240"/>
      <c r="AO645" s="1240"/>
      <c r="AP645" s="1240"/>
    </row>
    <row r="646" spans="1:42" ht="18.75" customHeight="1" x14ac:dyDescent="0.35">
      <c r="A646" s="1240"/>
      <c r="B646" s="1240"/>
      <c r="C646" s="1240"/>
      <c r="D646" s="1240"/>
      <c r="E646" s="1240"/>
      <c r="F646" s="1240"/>
      <c r="G646" s="1240"/>
      <c r="H646" s="1240"/>
      <c r="I646" s="1240"/>
      <c r="J646" s="1240"/>
      <c r="K646" s="1240"/>
      <c r="L646" s="1240"/>
      <c r="M646" s="1240"/>
      <c r="N646" s="1240"/>
      <c r="O646" s="1240"/>
      <c r="P646" s="1247">
        <f t="shared" si="73"/>
        <v>620</v>
      </c>
      <c r="Q646" s="1253" t="e">
        <f t="shared" ca="1" si="72"/>
        <v>#N/A</v>
      </c>
      <c r="R646" s="1247" t="str">
        <f>IFERROR(VLOOKUP(P646,RPCRepaymentDates[],1,FALSE),"")</f>
        <v/>
      </c>
      <c r="S646" s="1259">
        <f t="shared" si="68"/>
        <v>0</v>
      </c>
      <c r="T646" s="1247" t="str">
        <f>IFERROR(VLOOKUP(P646,RPCChargeCycleDates[],1,FALSE),"")</f>
        <v/>
      </c>
      <c r="U646" s="1248" t="str">
        <f>IFERROR(_xlfn.DAYS(T646,$Q$16)-SUM(U$26:U645),"")</f>
        <v/>
      </c>
      <c r="V646" s="1258">
        <f t="shared" ca="1" si="69"/>
        <v>0</v>
      </c>
      <c r="W646" s="1258">
        <f t="shared" ca="1" si="70"/>
        <v>0</v>
      </c>
      <c r="X646" s="1258" t="e">
        <f t="shared" ca="1" si="71"/>
        <v>#N/A</v>
      </c>
      <c r="Y646" s="1240"/>
      <c r="Z646" s="1240"/>
      <c r="AA646" s="1240"/>
      <c r="AB646" s="1240"/>
      <c r="AC646" s="1254" t="e">
        <f t="shared" si="74"/>
        <v>#NUM!</v>
      </c>
      <c r="AD646" s="1240"/>
      <c r="AE646" s="1240"/>
      <c r="AF646" s="1240"/>
      <c r="AG646" s="1240"/>
      <c r="AH646" s="1240"/>
      <c r="AI646" s="1240"/>
      <c r="AJ646" s="1240"/>
      <c r="AK646" s="1240"/>
      <c r="AL646" s="1240"/>
      <c r="AM646" s="1240"/>
      <c r="AN646" s="1240"/>
      <c r="AO646" s="1240"/>
      <c r="AP646" s="1240"/>
    </row>
    <row r="647" spans="1:42" ht="18.75" customHeight="1" x14ac:dyDescent="0.35">
      <c r="A647" s="1240"/>
      <c r="B647" s="1240"/>
      <c r="C647" s="1240"/>
      <c r="D647" s="1240"/>
      <c r="E647" s="1240"/>
      <c r="F647" s="1240"/>
      <c r="G647" s="1240"/>
      <c r="H647" s="1240"/>
      <c r="I647" s="1240"/>
      <c r="J647" s="1240"/>
      <c r="K647" s="1240"/>
      <c r="L647" s="1240"/>
      <c r="M647" s="1240"/>
      <c r="N647" s="1240"/>
      <c r="O647" s="1240"/>
      <c r="P647" s="1247">
        <f t="shared" si="73"/>
        <v>621</v>
      </c>
      <c r="Q647" s="1253" t="e">
        <f t="shared" ca="1" si="72"/>
        <v>#N/A</v>
      </c>
      <c r="R647" s="1247" t="str">
        <f>IFERROR(VLOOKUP(P647,RPCRepaymentDates[],1,FALSE),"")</f>
        <v/>
      </c>
      <c r="S647" s="1259">
        <f t="shared" si="68"/>
        <v>0</v>
      </c>
      <c r="T647" s="1247" t="str">
        <f>IFERROR(VLOOKUP(P647,RPCChargeCycleDates[],1,FALSE),"")</f>
        <v/>
      </c>
      <c r="U647" s="1248" t="str">
        <f>IFERROR(_xlfn.DAYS(T647,$Q$16)-SUM(U$26:U646),"")</f>
        <v/>
      </c>
      <c r="V647" s="1258">
        <f t="shared" ca="1" si="69"/>
        <v>0</v>
      </c>
      <c r="W647" s="1258">
        <f t="shared" ca="1" si="70"/>
        <v>0</v>
      </c>
      <c r="X647" s="1258" t="e">
        <f t="shared" ca="1" si="71"/>
        <v>#N/A</v>
      </c>
      <c r="Y647" s="1240"/>
      <c r="Z647" s="1240"/>
      <c r="AA647" s="1240"/>
      <c r="AB647" s="1240"/>
      <c r="AC647" s="1254" t="e">
        <f t="shared" si="74"/>
        <v>#NUM!</v>
      </c>
      <c r="AD647" s="1240"/>
      <c r="AE647" s="1240"/>
      <c r="AF647" s="1240"/>
      <c r="AG647" s="1240"/>
      <c r="AH647" s="1240"/>
      <c r="AI647" s="1240"/>
      <c r="AJ647" s="1240"/>
      <c r="AK647" s="1240"/>
      <c r="AL647" s="1240"/>
      <c r="AM647" s="1240"/>
      <c r="AN647" s="1240"/>
      <c r="AO647" s="1240"/>
      <c r="AP647" s="1240"/>
    </row>
    <row r="648" spans="1:42" ht="18.75" customHeight="1" x14ac:dyDescent="0.35">
      <c r="A648" s="1240"/>
      <c r="B648" s="1240"/>
      <c r="C648" s="1240"/>
      <c r="D648" s="1240"/>
      <c r="E648" s="1240"/>
      <c r="F648" s="1240"/>
      <c r="G648" s="1240"/>
      <c r="H648" s="1240"/>
      <c r="I648" s="1240"/>
      <c r="J648" s="1240"/>
      <c r="K648" s="1240"/>
      <c r="L648" s="1240"/>
      <c r="M648" s="1240"/>
      <c r="N648" s="1240"/>
      <c r="O648" s="1240"/>
      <c r="P648" s="1247">
        <f t="shared" si="73"/>
        <v>622</v>
      </c>
      <c r="Q648" s="1253" t="e">
        <f t="shared" ca="1" si="72"/>
        <v>#N/A</v>
      </c>
      <c r="R648" s="1247" t="str">
        <f>IFERROR(VLOOKUP(P648,RPCRepaymentDates[],1,FALSE),"")</f>
        <v/>
      </c>
      <c r="S648" s="1259">
        <f t="shared" si="68"/>
        <v>0</v>
      </c>
      <c r="T648" s="1247" t="str">
        <f>IFERROR(VLOOKUP(P648,RPCChargeCycleDates[],1,FALSE),"")</f>
        <v/>
      </c>
      <c r="U648" s="1248" t="str">
        <f>IFERROR(_xlfn.DAYS(T648,$Q$16)-SUM(U$26:U647),"")</f>
        <v/>
      </c>
      <c r="V648" s="1258">
        <f t="shared" ca="1" si="69"/>
        <v>0</v>
      </c>
      <c r="W648" s="1258">
        <f t="shared" ca="1" si="70"/>
        <v>0</v>
      </c>
      <c r="X648" s="1258" t="e">
        <f t="shared" ca="1" si="71"/>
        <v>#N/A</v>
      </c>
      <c r="Y648" s="1240"/>
      <c r="Z648" s="1240"/>
      <c r="AA648" s="1240"/>
      <c r="AB648" s="1240"/>
      <c r="AC648" s="1254" t="e">
        <f t="shared" si="74"/>
        <v>#NUM!</v>
      </c>
      <c r="AD648" s="1240"/>
      <c r="AE648" s="1240"/>
      <c r="AF648" s="1240"/>
      <c r="AG648" s="1240"/>
      <c r="AH648" s="1240"/>
      <c r="AI648" s="1240"/>
      <c r="AJ648" s="1240"/>
      <c r="AK648" s="1240"/>
      <c r="AL648" s="1240"/>
      <c r="AM648" s="1240"/>
      <c r="AN648" s="1240"/>
      <c r="AO648" s="1240"/>
      <c r="AP648" s="1240"/>
    </row>
    <row r="649" spans="1:42" ht="18.75" customHeight="1" x14ac:dyDescent="0.35">
      <c r="A649" s="1240"/>
      <c r="B649" s="1240"/>
      <c r="C649" s="1240"/>
      <c r="D649" s="1240"/>
      <c r="E649" s="1240"/>
      <c r="F649" s="1240"/>
      <c r="G649" s="1240"/>
      <c r="H649" s="1240"/>
      <c r="I649" s="1240"/>
      <c r="J649" s="1240"/>
      <c r="K649" s="1240"/>
      <c r="L649" s="1240"/>
      <c r="M649" s="1240"/>
      <c r="N649" s="1240"/>
      <c r="O649" s="1240"/>
      <c r="P649" s="1247">
        <f t="shared" si="73"/>
        <v>623</v>
      </c>
      <c r="Q649" s="1253" t="e">
        <f t="shared" ca="1" si="72"/>
        <v>#N/A</v>
      </c>
      <c r="R649" s="1247" t="str">
        <f>IFERROR(VLOOKUP(P649,RPCRepaymentDates[],1,FALSE),"")</f>
        <v/>
      </c>
      <c r="S649" s="1259">
        <f t="shared" si="68"/>
        <v>0</v>
      </c>
      <c r="T649" s="1247" t="str">
        <f>IFERROR(VLOOKUP(P649,RPCChargeCycleDates[],1,FALSE),"")</f>
        <v/>
      </c>
      <c r="U649" s="1248" t="str">
        <f>IFERROR(_xlfn.DAYS(T649,$Q$16)-SUM(U$26:U648),"")</f>
        <v/>
      </c>
      <c r="V649" s="1258">
        <f t="shared" ca="1" si="69"/>
        <v>0</v>
      </c>
      <c r="W649" s="1258">
        <f t="shared" ca="1" si="70"/>
        <v>0</v>
      </c>
      <c r="X649" s="1258" t="e">
        <f t="shared" ca="1" si="71"/>
        <v>#N/A</v>
      </c>
      <c r="Y649" s="1240"/>
      <c r="Z649" s="1240"/>
      <c r="AA649" s="1240"/>
      <c r="AB649" s="1240"/>
      <c r="AC649" s="1254" t="e">
        <f t="shared" si="74"/>
        <v>#NUM!</v>
      </c>
      <c r="AD649" s="1240"/>
      <c r="AE649" s="1240"/>
      <c r="AF649" s="1240"/>
      <c r="AG649" s="1240"/>
      <c r="AH649" s="1240"/>
      <c r="AI649" s="1240"/>
      <c r="AJ649" s="1240"/>
      <c r="AK649" s="1240"/>
      <c r="AL649" s="1240"/>
      <c r="AM649" s="1240"/>
      <c r="AN649" s="1240"/>
      <c r="AO649" s="1240"/>
      <c r="AP649" s="1240"/>
    </row>
    <row r="650" spans="1:42" ht="18.75" customHeight="1" x14ac:dyDescent="0.35">
      <c r="A650" s="1240"/>
      <c r="B650" s="1240"/>
      <c r="C650" s="1240"/>
      <c r="D650" s="1240"/>
      <c r="E650" s="1240"/>
      <c r="F650" s="1240"/>
      <c r="G650" s="1240"/>
      <c r="H650" s="1240"/>
      <c r="I650" s="1240"/>
      <c r="J650" s="1240"/>
      <c r="K650" s="1240"/>
      <c r="L650" s="1240"/>
      <c r="M650" s="1240"/>
      <c r="N650" s="1240"/>
      <c r="O650" s="1240"/>
      <c r="P650" s="1247">
        <f t="shared" si="73"/>
        <v>624</v>
      </c>
      <c r="Q650" s="1253" t="e">
        <f t="shared" ca="1" si="72"/>
        <v>#N/A</v>
      </c>
      <c r="R650" s="1247" t="str">
        <f>IFERROR(VLOOKUP(P650,RPCRepaymentDates[],1,FALSE),"")</f>
        <v/>
      </c>
      <c r="S650" s="1259">
        <f t="shared" si="68"/>
        <v>0</v>
      </c>
      <c r="T650" s="1247" t="str">
        <f>IFERROR(VLOOKUP(P650,RPCChargeCycleDates[],1,FALSE),"")</f>
        <v/>
      </c>
      <c r="U650" s="1248" t="str">
        <f>IFERROR(_xlfn.DAYS(T650,$Q$16)-SUM(U$26:U649),"")</f>
        <v/>
      </c>
      <c r="V650" s="1258">
        <f t="shared" ca="1" si="69"/>
        <v>0</v>
      </c>
      <c r="W650" s="1258">
        <f t="shared" ca="1" si="70"/>
        <v>0</v>
      </c>
      <c r="X650" s="1258" t="e">
        <f t="shared" ca="1" si="71"/>
        <v>#N/A</v>
      </c>
      <c r="Y650" s="1240"/>
      <c r="Z650" s="1240"/>
      <c r="AA650" s="1240"/>
      <c r="AB650" s="1240"/>
      <c r="AC650" s="1254" t="e">
        <f t="shared" si="74"/>
        <v>#NUM!</v>
      </c>
      <c r="AD650" s="1240"/>
      <c r="AE650" s="1240"/>
      <c r="AF650" s="1240"/>
      <c r="AG650" s="1240"/>
      <c r="AH650" s="1240"/>
      <c r="AI650" s="1240"/>
      <c r="AJ650" s="1240"/>
      <c r="AK650" s="1240"/>
      <c r="AL650" s="1240"/>
      <c r="AM650" s="1240"/>
      <c r="AN650" s="1240"/>
      <c r="AO650" s="1240"/>
      <c r="AP650" s="1240"/>
    </row>
    <row r="651" spans="1:42" ht="18.75" customHeight="1" x14ac:dyDescent="0.35">
      <c r="A651" s="1240"/>
      <c r="B651" s="1240"/>
      <c r="C651" s="1240"/>
      <c r="D651" s="1240"/>
      <c r="E651" s="1240"/>
      <c r="F651" s="1240"/>
      <c r="G651" s="1240"/>
      <c r="H651" s="1240"/>
      <c r="I651" s="1240"/>
      <c r="J651" s="1240"/>
      <c r="K651" s="1240"/>
      <c r="L651" s="1240"/>
      <c r="M651" s="1240"/>
      <c r="N651" s="1240"/>
      <c r="O651" s="1240"/>
      <c r="P651" s="1247">
        <f t="shared" si="73"/>
        <v>625</v>
      </c>
      <c r="Q651" s="1253" t="e">
        <f t="shared" ca="1" si="72"/>
        <v>#N/A</v>
      </c>
      <c r="R651" s="1247" t="str">
        <f>IFERROR(VLOOKUP(P651,RPCRepaymentDates[],1,FALSE),"")</f>
        <v/>
      </c>
      <c r="S651" s="1259">
        <f t="shared" si="68"/>
        <v>0</v>
      </c>
      <c r="T651" s="1247" t="str">
        <f>IFERROR(VLOOKUP(P651,RPCChargeCycleDates[],1,FALSE),"")</f>
        <v/>
      </c>
      <c r="U651" s="1248" t="str">
        <f>IFERROR(_xlfn.DAYS(T651,$Q$16)-SUM(U$26:U650),"")</f>
        <v/>
      </c>
      <c r="V651" s="1258">
        <f t="shared" ca="1" si="69"/>
        <v>0</v>
      </c>
      <c r="W651" s="1258">
        <f t="shared" ca="1" si="70"/>
        <v>0</v>
      </c>
      <c r="X651" s="1258" t="e">
        <f t="shared" ca="1" si="71"/>
        <v>#N/A</v>
      </c>
      <c r="Y651" s="1240"/>
      <c r="Z651" s="1240"/>
      <c r="AA651" s="1240"/>
      <c r="AB651" s="1240"/>
      <c r="AC651" s="1254" t="e">
        <f t="shared" si="74"/>
        <v>#NUM!</v>
      </c>
      <c r="AD651" s="1240"/>
      <c r="AE651" s="1240"/>
      <c r="AF651" s="1240"/>
      <c r="AG651" s="1240"/>
      <c r="AH651" s="1240"/>
      <c r="AI651" s="1240"/>
      <c r="AJ651" s="1240"/>
      <c r="AK651" s="1240"/>
      <c r="AL651" s="1240"/>
      <c r="AM651" s="1240"/>
      <c r="AN651" s="1240"/>
      <c r="AO651" s="1240"/>
      <c r="AP651" s="1240"/>
    </row>
    <row r="652" spans="1:42" ht="18.75" customHeight="1" x14ac:dyDescent="0.35">
      <c r="A652" s="1240"/>
      <c r="B652" s="1240"/>
      <c r="C652" s="1240"/>
      <c r="D652" s="1240"/>
      <c r="E652" s="1240"/>
      <c r="F652" s="1240"/>
      <c r="G652" s="1240"/>
      <c r="H652" s="1240"/>
      <c r="I652" s="1240"/>
      <c r="J652" s="1240"/>
      <c r="K652" s="1240"/>
      <c r="L652" s="1240"/>
      <c r="M652" s="1240"/>
      <c r="N652" s="1240"/>
      <c r="O652" s="1240"/>
      <c r="P652" s="1247">
        <f t="shared" si="73"/>
        <v>626</v>
      </c>
      <c r="Q652" s="1253" t="e">
        <f t="shared" ca="1" si="72"/>
        <v>#N/A</v>
      </c>
      <c r="R652" s="1247" t="str">
        <f>IFERROR(VLOOKUP(P652,RPCRepaymentDates[],1,FALSE),"")</f>
        <v/>
      </c>
      <c r="S652" s="1259">
        <f t="shared" si="68"/>
        <v>0</v>
      </c>
      <c r="T652" s="1247" t="str">
        <f>IFERROR(VLOOKUP(P652,RPCChargeCycleDates[],1,FALSE),"")</f>
        <v/>
      </c>
      <c r="U652" s="1248" t="str">
        <f>IFERROR(_xlfn.DAYS(T652,$Q$16)-SUM(U$26:U651),"")</f>
        <v/>
      </c>
      <c r="V652" s="1258">
        <f t="shared" ca="1" si="69"/>
        <v>0</v>
      </c>
      <c r="W652" s="1258">
        <f t="shared" ca="1" si="70"/>
        <v>0</v>
      </c>
      <c r="X652" s="1258" t="e">
        <f t="shared" ca="1" si="71"/>
        <v>#N/A</v>
      </c>
      <c r="Y652" s="1240"/>
      <c r="Z652" s="1240"/>
      <c r="AA652" s="1240"/>
      <c r="AB652" s="1240"/>
      <c r="AC652" s="1254" t="e">
        <f t="shared" si="74"/>
        <v>#NUM!</v>
      </c>
      <c r="AD652" s="1240"/>
      <c r="AE652" s="1240"/>
      <c r="AF652" s="1240"/>
      <c r="AG652" s="1240"/>
      <c r="AH652" s="1240"/>
      <c r="AI652" s="1240"/>
      <c r="AJ652" s="1240"/>
      <c r="AK652" s="1240"/>
      <c r="AL652" s="1240"/>
      <c r="AM652" s="1240"/>
      <c r="AN652" s="1240"/>
      <c r="AO652" s="1240"/>
      <c r="AP652" s="1240"/>
    </row>
    <row r="653" spans="1:42" ht="18.75" customHeight="1" x14ac:dyDescent="0.35">
      <c r="A653" s="1240"/>
      <c r="B653" s="1240"/>
      <c r="C653" s="1240"/>
      <c r="D653" s="1240"/>
      <c r="E653" s="1240"/>
      <c r="F653" s="1240"/>
      <c r="G653" s="1240"/>
      <c r="H653" s="1240"/>
      <c r="I653" s="1240"/>
      <c r="J653" s="1240"/>
      <c r="K653" s="1240"/>
      <c r="L653" s="1240"/>
      <c r="M653" s="1240"/>
      <c r="N653" s="1240"/>
      <c r="O653" s="1240"/>
      <c r="P653" s="1247">
        <f t="shared" si="73"/>
        <v>627</v>
      </c>
      <c r="Q653" s="1253" t="e">
        <f t="shared" ca="1" si="72"/>
        <v>#N/A</v>
      </c>
      <c r="R653" s="1247" t="str">
        <f>IFERROR(VLOOKUP(P653,RPCRepaymentDates[],1,FALSE),"")</f>
        <v/>
      </c>
      <c r="S653" s="1259">
        <f t="shared" si="68"/>
        <v>0</v>
      </c>
      <c r="T653" s="1247" t="str">
        <f>IFERROR(VLOOKUP(P653,RPCChargeCycleDates[],1,FALSE),"")</f>
        <v/>
      </c>
      <c r="U653" s="1248" t="str">
        <f>IFERROR(_xlfn.DAYS(T653,$Q$16)-SUM(U$26:U652),"")</f>
        <v/>
      </c>
      <c r="V653" s="1258">
        <f t="shared" ca="1" si="69"/>
        <v>0</v>
      </c>
      <c r="W653" s="1258">
        <f t="shared" ca="1" si="70"/>
        <v>0</v>
      </c>
      <c r="X653" s="1258" t="e">
        <f t="shared" ca="1" si="71"/>
        <v>#N/A</v>
      </c>
      <c r="Y653" s="1240"/>
      <c r="Z653" s="1240"/>
      <c r="AA653" s="1240"/>
      <c r="AB653" s="1240"/>
      <c r="AC653" s="1254" t="e">
        <f t="shared" si="74"/>
        <v>#NUM!</v>
      </c>
      <c r="AD653" s="1240"/>
      <c r="AE653" s="1240"/>
      <c r="AF653" s="1240"/>
      <c r="AG653" s="1240"/>
      <c r="AH653" s="1240"/>
      <c r="AI653" s="1240"/>
      <c r="AJ653" s="1240"/>
      <c r="AK653" s="1240"/>
      <c r="AL653" s="1240"/>
      <c r="AM653" s="1240"/>
      <c r="AN653" s="1240"/>
      <c r="AO653" s="1240"/>
      <c r="AP653" s="1240"/>
    </row>
    <row r="654" spans="1:42" ht="18.75" customHeight="1" x14ac:dyDescent="0.35">
      <c r="A654" s="1240"/>
      <c r="B654" s="1240"/>
      <c r="C654" s="1240"/>
      <c r="D654" s="1240"/>
      <c r="E654" s="1240"/>
      <c r="F654" s="1240"/>
      <c r="G654" s="1240"/>
      <c r="H654" s="1240"/>
      <c r="I654" s="1240"/>
      <c r="J654" s="1240"/>
      <c r="K654" s="1240"/>
      <c r="L654" s="1240"/>
      <c r="M654" s="1240"/>
      <c r="N654" s="1240"/>
      <c r="O654" s="1240"/>
      <c r="P654" s="1247">
        <f t="shared" si="73"/>
        <v>628</v>
      </c>
      <c r="Q654" s="1253" t="e">
        <f t="shared" ca="1" si="72"/>
        <v>#N/A</v>
      </c>
      <c r="R654" s="1247" t="str">
        <f>IFERROR(VLOOKUP(P654,RPCRepaymentDates[],1,FALSE),"")</f>
        <v/>
      </c>
      <c r="S654" s="1259">
        <f t="shared" si="68"/>
        <v>0</v>
      </c>
      <c r="T654" s="1247" t="str">
        <f>IFERROR(VLOOKUP(P654,RPCChargeCycleDates[],1,FALSE),"")</f>
        <v/>
      </c>
      <c r="U654" s="1248" t="str">
        <f>IFERROR(_xlfn.DAYS(T654,$Q$16)-SUM(U$26:U653),"")</f>
        <v/>
      </c>
      <c r="V654" s="1258">
        <f t="shared" ca="1" si="69"/>
        <v>0</v>
      </c>
      <c r="W654" s="1258">
        <f t="shared" ca="1" si="70"/>
        <v>0</v>
      </c>
      <c r="X654" s="1258" t="e">
        <f t="shared" ca="1" si="71"/>
        <v>#N/A</v>
      </c>
      <c r="Y654" s="1240"/>
      <c r="Z654" s="1240"/>
      <c r="AA654" s="1240"/>
      <c r="AB654" s="1240"/>
      <c r="AC654" s="1254" t="e">
        <f t="shared" si="74"/>
        <v>#NUM!</v>
      </c>
      <c r="AD654" s="1240"/>
      <c r="AE654" s="1240"/>
      <c r="AF654" s="1240"/>
      <c r="AG654" s="1240"/>
      <c r="AH654" s="1240"/>
      <c r="AI654" s="1240"/>
      <c r="AJ654" s="1240"/>
      <c r="AK654" s="1240"/>
      <c r="AL654" s="1240"/>
      <c r="AM654" s="1240"/>
      <c r="AN654" s="1240"/>
      <c r="AO654" s="1240"/>
      <c r="AP654" s="1240"/>
    </row>
    <row r="655" spans="1:42" ht="18.75" customHeight="1" x14ac:dyDescent="0.35">
      <c r="A655" s="1240"/>
      <c r="B655" s="1240"/>
      <c r="C655" s="1240"/>
      <c r="D655" s="1240"/>
      <c r="E655" s="1240"/>
      <c r="F655" s="1240"/>
      <c r="G655" s="1240"/>
      <c r="H655" s="1240"/>
      <c r="I655" s="1240"/>
      <c r="J655" s="1240"/>
      <c r="K655" s="1240"/>
      <c r="L655" s="1240"/>
      <c r="M655" s="1240"/>
      <c r="N655" s="1240"/>
      <c r="O655" s="1240"/>
      <c r="P655" s="1247">
        <f t="shared" si="73"/>
        <v>629</v>
      </c>
      <c r="Q655" s="1253" t="e">
        <f t="shared" ca="1" si="72"/>
        <v>#N/A</v>
      </c>
      <c r="R655" s="1247" t="str">
        <f>IFERROR(VLOOKUP(P655,RPCRepaymentDates[],1,FALSE),"")</f>
        <v/>
      </c>
      <c r="S655" s="1259">
        <f t="shared" si="68"/>
        <v>0</v>
      </c>
      <c r="T655" s="1247" t="str">
        <f>IFERROR(VLOOKUP(P655,RPCChargeCycleDates[],1,FALSE),"")</f>
        <v/>
      </c>
      <c r="U655" s="1248" t="str">
        <f>IFERROR(_xlfn.DAYS(T655,$Q$16)-SUM(U$26:U654),"")</f>
        <v/>
      </c>
      <c r="V655" s="1258">
        <f t="shared" ca="1" si="69"/>
        <v>0</v>
      </c>
      <c r="W655" s="1258">
        <f t="shared" ca="1" si="70"/>
        <v>0</v>
      </c>
      <c r="X655" s="1258" t="e">
        <f t="shared" ca="1" si="71"/>
        <v>#N/A</v>
      </c>
      <c r="Y655" s="1240"/>
      <c r="Z655" s="1240"/>
      <c r="AA655" s="1240"/>
      <c r="AB655" s="1240"/>
      <c r="AC655" s="1254" t="e">
        <f t="shared" si="74"/>
        <v>#NUM!</v>
      </c>
      <c r="AD655" s="1240"/>
      <c r="AE655" s="1240"/>
      <c r="AF655" s="1240"/>
      <c r="AG655" s="1240"/>
      <c r="AH655" s="1240"/>
      <c r="AI655" s="1240"/>
      <c r="AJ655" s="1240"/>
      <c r="AK655" s="1240"/>
      <c r="AL655" s="1240"/>
      <c r="AM655" s="1240"/>
      <c r="AN655" s="1240"/>
      <c r="AO655" s="1240"/>
      <c r="AP655" s="1240"/>
    </row>
    <row r="656" spans="1:42" ht="18.75" customHeight="1" x14ac:dyDescent="0.35">
      <c r="A656" s="1240"/>
      <c r="B656" s="1240"/>
      <c r="C656" s="1240"/>
      <c r="D656" s="1240"/>
      <c r="E656" s="1240"/>
      <c r="F656" s="1240"/>
      <c r="G656" s="1240"/>
      <c r="H656" s="1240"/>
      <c r="I656" s="1240"/>
      <c r="J656" s="1240"/>
      <c r="K656" s="1240"/>
      <c r="L656" s="1240"/>
      <c r="M656" s="1240"/>
      <c r="N656" s="1240"/>
      <c r="O656" s="1240"/>
      <c r="P656" s="1247">
        <f t="shared" si="73"/>
        <v>630</v>
      </c>
      <c r="Q656" s="1253" t="e">
        <f t="shared" ca="1" si="72"/>
        <v>#N/A</v>
      </c>
      <c r="R656" s="1247" t="str">
        <f>IFERROR(VLOOKUP(P656,RPCRepaymentDates[],1,FALSE),"")</f>
        <v/>
      </c>
      <c r="S656" s="1259">
        <f t="shared" si="68"/>
        <v>0</v>
      </c>
      <c r="T656" s="1247" t="str">
        <f>IFERROR(VLOOKUP(P656,RPCChargeCycleDates[],1,FALSE),"")</f>
        <v/>
      </c>
      <c r="U656" s="1248" t="str">
        <f>IFERROR(_xlfn.DAYS(T656,$Q$16)-SUM(U$26:U655),"")</f>
        <v/>
      </c>
      <c r="V656" s="1258">
        <f t="shared" ca="1" si="69"/>
        <v>0</v>
      </c>
      <c r="W656" s="1258">
        <f t="shared" ca="1" si="70"/>
        <v>0</v>
      </c>
      <c r="X656" s="1258" t="e">
        <f t="shared" ca="1" si="71"/>
        <v>#N/A</v>
      </c>
      <c r="Y656" s="1240"/>
      <c r="Z656" s="1240"/>
      <c r="AA656" s="1240"/>
      <c r="AB656" s="1240"/>
      <c r="AC656" s="1254" t="e">
        <f t="shared" si="74"/>
        <v>#NUM!</v>
      </c>
      <c r="AD656" s="1240"/>
      <c r="AE656" s="1240"/>
      <c r="AF656" s="1240"/>
      <c r="AG656" s="1240"/>
      <c r="AH656" s="1240"/>
      <c r="AI656" s="1240"/>
      <c r="AJ656" s="1240"/>
      <c r="AK656" s="1240"/>
      <c r="AL656" s="1240"/>
      <c r="AM656" s="1240"/>
      <c r="AN656" s="1240"/>
      <c r="AO656" s="1240"/>
      <c r="AP656" s="1240"/>
    </row>
    <row r="657" spans="1:42" ht="18.75" customHeight="1" x14ac:dyDescent="0.35">
      <c r="A657" s="1240"/>
      <c r="B657" s="1240"/>
      <c r="C657" s="1240"/>
      <c r="D657" s="1240"/>
      <c r="E657" s="1240"/>
      <c r="F657" s="1240"/>
      <c r="G657" s="1240"/>
      <c r="H657" s="1240"/>
      <c r="I657" s="1240"/>
      <c r="J657" s="1240"/>
      <c r="K657" s="1240"/>
      <c r="L657" s="1240"/>
      <c r="M657" s="1240"/>
      <c r="N657" s="1240"/>
      <c r="O657" s="1240"/>
      <c r="P657" s="1247">
        <f t="shared" si="73"/>
        <v>631</v>
      </c>
      <c r="Q657" s="1253" t="e">
        <f t="shared" ca="1" si="72"/>
        <v>#N/A</v>
      </c>
      <c r="R657" s="1247" t="str">
        <f>IFERROR(VLOOKUP(P657,RPCRepaymentDates[],1,FALSE),"")</f>
        <v/>
      </c>
      <c r="S657" s="1259">
        <f t="shared" si="68"/>
        <v>0</v>
      </c>
      <c r="T657" s="1247" t="str">
        <f>IFERROR(VLOOKUP(P657,RPCChargeCycleDates[],1,FALSE),"")</f>
        <v/>
      </c>
      <c r="U657" s="1248" t="str">
        <f>IFERROR(_xlfn.DAYS(T657,$Q$16)-SUM(U$26:U656),"")</f>
        <v/>
      </c>
      <c r="V657" s="1258">
        <f t="shared" ca="1" si="69"/>
        <v>0</v>
      </c>
      <c r="W657" s="1258">
        <f t="shared" ca="1" si="70"/>
        <v>0</v>
      </c>
      <c r="X657" s="1258" t="e">
        <f t="shared" ca="1" si="71"/>
        <v>#N/A</v>
      </c>
      <c r="Y657" s="1240"/>
      <c r="Z657" s="1240"/>
      <c r="AA657" s="1240"/>
      <c r="AB657" s="1240"/>
      <c r="AC657" s="1254" t="e">
        <f t="shared" si="74"/>
        <v>#NUM!</v>
      </c>
      <c r="AD657" s="1240"/>
      <c r="AE657" s="1240"/>
      <c r="AF657" s="1240"/>
      <c r="AG657" s="1240"/>
      <c r="AH657" s="1240"/>
      <c r="AI657" s="1240"/>
      <c r="AJ657" s="1240"/>
      <c r="AK657" s="1240"/>
      <c r="AL657" s="1240"/>
      <c r="AM657" s="1240"/>
      <c r="AN657" s="1240"/>
      <c r="AO657" s="1240"/>
      <c r="AP657" s="1240"/>
    </row>
    <row r="658" spans="1:42" ht="18.75" customHeight="1" x14ac:dyDescent="0.35">
      <c r="A658" s="1240"/>
      <c r="B658" s="1240"/>
      <c r="C658" s="1240"/>
      <c r="D658" s="1240"/>
      <c r="E658" s="1240"/>
      <c r="F658" s="1240"/>
      <c r="G658" s="1240"/>
      <c r="H658" s="1240"/>
      <c r="I658" s="1240"/>
      <c r="J658" s="1240"/>
      <c r="K658" s="1240"/>
      <c r="L658" s="1240"/>
      <c r="M658" s="1240"/>
      <c r="N658" s="1240"/>
      <c r="O658" s="1240"/>
      <c r="P658" s="1247">
        <f t="shared" si="73"/>
        <v>632</v>
      </c>
      <c r="Q658" s="1253" t="e">
        <f t="shared" ca="1" si="72"/>
        <v>#N/A</v>
      </c>
      <c r="R658" s="1247" t="str">
        <f>IFERROR(VLOOKUP(P658,RPCRepaymentDates[],1,FALSE),"")</f>
        <v/>
      </c>
      <c r="S658" s="1259">
        <f t="shared" si="68"/>
        <v>0</v>
      </c>
      <c r="T658" s="1247" t="str">
        <f>IFERROR(VLOOKUP(P658,RPCChargeCycleDates[],1,FALSE),"")</f>
        <v/>
      </c>
      <c r="U658" s="1248" t="str">
        <f>IFERROR(_xlfn.DAYS(T658,$Q$16)-SUM(U$26:U657),"")</f>
        <v/>
      </c>
      <c r="V658" s="1258">
        <f t="shared" ca="1" si="69"/>
        <v>0</v>
      </c>
      <c r="W658" s="1258">
        <f t="shared" ca="1" si="70"/>
        <v>0</v>
      </c>
      <c r="X658" s="1258" t="e">
        <f t="shared" ca="1" si="71"/>
        <v>#N/A</v>
      </c>
      <c r="Y658" s="1240"/>
      <c r="Z658" s="1240"/>
      <c r="AA658" s="1240"/>
      <c r="AB658" s="1240"/>
      <c r="AC658" s="1254" t="e">
        <f t="shared" si="74"/>
        <v>#NUM!</v>
      </c>
      <c r="AD658" s="1240"/>
      <c r="AE658" s="1240"/>
      <c r="AF658" s="1240"/>
      <c r="AG658" s="1240"/>
      <c r="AH658" s="1240"/>
      <c r="AI658" s="1240"/>
      <c r="AJ658" s="1240"/>
      <c r="AK658" s="1240"/>
      <c r="AL658" s="1240"/>
      <c r="AM658" s="1240"/>
      <c r="AN658" s="1240"/>
      <c r="AO658" s="1240"/>
      <c r="AP658" s="1240"/>
    </row>
    <row r="659" spans="1:42" ht="18.75" customHeight="1" x14ac:dyDescent="0.35">
      <c r="A659" s="1240"/>
      <c r="B659" s="1240"/>
      <c r="C659" s="1240"/>
      <c r="D659" s="1240"/>
      <c r="E659" s="1240"/>
      <c r="F659" s="1240"/>
      <c r="G659" s="1240"/>
      <c r="H659" s="1240"/>
      <c r="I659" s="1240"/>
      <c r="J659" s="1240"/>
      <c r="K659" s="1240"/>
      <c r="L659" s="1240"/>
      <c r="M659" s="1240"/>
      <c r="N659" s="1240"/>
      <c r="O659" s="1240"/>
      <c r="P659" s="1247">
        <f t="shared" si="73"/>
        <v>633</v>
      </c>
      <c r="Q659" s="1253" t="e">
        <f t="shared" ca="1" si="72"/>
        <v>#N/A</v>
      </c>
      <c r="R659" s="1247" t="str">
        <f>IFERROR(VLOOKUP(P659,RPCRepaymentDates[],1,FALSE),"")</f>
        <v/>
      </c>
      <c r="S659" s="1259">
        <f t="shared" si="68"/>
        <v>0</v>
      </c>
      <c r="T659" s="1247" t="str">
        <f>IFERROR(VLOOKUP(P659,RPCChargeCycleDates[],1,FALSE),"")</f>
        <v/>
      </c>
      <c r="U659" s="1248" t="str">
        <f>IFERROR(_xlfn.DAYS(T659,$Q$16)-SUM(U$26:U658),"")</f>
        <v/>
      </c>
      <c r="V659" s="1258">
        <f t="shared" ca="1" si="69"/>
        <v>0</v>
      </c>
      <c r="W659" s="1258">
        <f t="shared" ca="1" si="70"/>
        <v>0</v>
      </c>
      <c r="X659" s="1258" t="e">
        <f t="shared" ca="1" si="71"/>
        <v>#N/A</v>
      </c>
      <c r="Y659" s="1240"/>
      <c r="Z659" s="1240"/>
      <c r="AA659" s="1240"/>
      <c r="AB659" s="1240"/>
      <c r="AC659" s="1254" t="e">
        <f t="shared" si="74"/>
        <v>#NUM!</v>
      </c>
      <c r="AD659" s="1240"/>
      <c r="AE659" s="1240"/>
      <c r="AF659" s="1240"/>
      <c r="AG659" s="1240"/>
      <c r="AH659" s="1240"/>
      <c r="AI659" s="1240"/>
      <c r="AJ659" s="1240"/>
      <c r="AK659" s="1240"/>
      <c r="AL659" s="1240"/>
      <c r="AM659" s="1240"/>
      <c r="AN659" s="1240"/>
      <c r="AO659" s="1240"/>
      <c r="AP659" s="1240"/>
    </row>
    <row r="660" spans="1:42" ht="18.75" customHeight="1" x14ac:dyDescent="0.35">
      <c r="A660" s="1240"/>
      <c r="B660" s="1240"/>
      <c r="C660" s="1240"/>
      <c r="D660" s="1240"/>
      <c r="E660" s="1240"/>
      <c r="F660" s="1240"/>
      <c r="G660" s="1240"/>
      <c r="H660" s="1240"/>
      <c r="I660" s="1240"/>
      <c r="J660" s="1240"/>
      <c r="K660" s="1240"/>
      <c r="L660" s="1240"/>
      <c r="M660" s="1240"/>
      <c r="N660" s="1240"/>
      <c r="O660" s="1240"/>
      <c r="P660" s="1247">
        <f t="shared" si="73"/>
        <v>634</v>
      </c>
      <c r="Q660" s="1253" t="e">
        <f t="shared" ca="1" si="72"/>
        <v>#N/A</v>
      </c>
      <c r="R660" s="1247" t="str">
        <f>IFERROR(VLOOKUP(P660,RPCRepaymentDates[],1,FALSE),"")</f>
        <v/>
      </c>
      <c r="S660" s="1259">
        <f t="shared" si="68"/>
        <v>0</v>
      </c>
      <c r="T660" s="1247" t="str">
        <f>IFERROR(VLOOKUP(P660,RPCChargeCycleDates[],1,FALSE),"")</f>
        <v/>
      </c>
      <c r="U660" s="1248" t="str">
        <f>IFERROR(_xlfn.DAYS(T660,$Q$16)-SUM(U$26:U659),"")</f>
        <v/>
      </c>
      <c r="V660" s="1258">
        <f t="shared" ca="1" si="69"/>
        <v>0</v>
      </c>
      <c r="W660" s="1258">
        <f t="shared" ca="1" si="70"/>
        <v>0</v>
      </c>
      <c r="X660" s="1258" t="e">
        <f t="shared" ca="1" si="71"/>
        <v>#N/A</v>
      </c>
      <c r="Y660" s="1240"/>
      <c r="Z660" s="1240"/>
      <c r="AA660" s="1240"/>
      <c r="AB660" s="1240"/>
      <c r="AC660" s="1254" t="e">
        <f t="shared" si="74"/>
        <v>#NUM!</v>
      </c>
      <c r="AD660" s="1240"/>
      <c r="AE660" s="1240"/>
      <c r="AF660" s="1240"/>
      <c r="AG660" s="1240"/>
      <c r="AH660" s="1240"/>
      <c r="AI660" s="1240"/>
      <c r="AJ660" s="1240"/>
      <c r="AK660" s="1240"/>
      <c r="AL660" s="1240"/>
      <c r="AM660" s="1240"/>
      <c r="AN660" s="1240"/>
      <c r="AO660" s="1240"/>
      <c r="AP660" s="1240"/>
    </row>
    <row r="661" spans="1:42" ht="18.75" customHeight="1" x14ac:dyDescent="0.35">
      <c r="A661" s="1240"/>
      <c r="B661" s="1240"/>
      <c r="C661" s="1240"/>
      <c r="D661" s="1240"/>
      <c r="E661" s="1240"/>
      <c r="F661" s="1240"/>
      <c r="G661" s="1240"/>
      <c r="H661" s="1240"/>
      <c r="I661" s="1240"/>
      <c r="J661" s="1240"/>
      <c r="K661" s="1240"/>
      <c r="L661" s="1240"/>
      <c r="M661" s="1240"/>
      <c r="N661" s="1240"/>
      <c r="O661" s="1240"/>
      <c r="P661" s="1247">
        <f t="shared" si="73"/>
        <v>635</v>
      </c>
      <c r="Q661" s="1253" t="e">
        <f t="shared" ca="1" si="72"/>
        <v>#N/A</v>
      </c>
      <c r="R661" s="1247" t="str">
        <f>IFERROR(VLOOKUP(P661,RPCRepaymentDates[],1,FALSE),"")</f>
        <v/>
      </c>
      <c r="S661" s="1259">
        <f t="shared" si="68"/>
        <v>0</v>
      </c>
      <c r="T661" s="1247" t="str">
        <f>IFERROR(VLOOKUP(P661,RPCChargeCycleDates[],1,FALSE),"")</f>
        <v/>
      </c>
      <c r="U661" s="1248" t="str">
        <f>IFERROR(_xlfn.DAYS(T661,$Q$16)-SUM(U$26:U660),"")</f>
        <v/>
      </c>
      <c r="V661" s="1258">
        <f t="shared" ca="1" si="69"/>
        <v>0</v>
      </c>
      <c r="W661" s="1258">
        <f t="shared" ca="1" si="70"/>
        <v>0</v>
      </c>
      <c r="X661" s="1258" t="e">
        <f t="shared" ca="1" si="71"/>
        <v>#N/A</v>
      </c>
      <c r="Y661" s="1240"/>
      <c r="Z661" s="1240"/>
      <c r="AA661" s="1240"/>
      <c r="AB661" s="1240"/>
      <c r="AC661" s="1254" t="e">
        <f t="shared" si="74"/>
        <v>#NUM!</v>
      </c>
      <c r="AD661" s="1240"/>
      <c r="AE661" s="1240"/>
      <c r="AF661" s="1240"/>
      <c r="AG661" s="1240"/>
      <c r="AH661" s="1240"/>
      <c r="AI661" s="1240"/>
      <c r="AJ661" s="1240"/>
      <c r="AK661" s="1240"/>
      <c r="AL661" s="1240"/>
      <c r="AM661" s="1240"/>
      <c r="AN661" s="1240"/>
      <c r="AO661" s="1240"/>
      <c r="AP661" s="1240"/>
    </row>
    <row r="662" spans="1:42" ht="18.75" customHeight="1" x14ac:dyDescent="0.35">
      <c r="A662" s="1240"/>
      <c r="B662" s="1240"/>
      <c r="C662" s="1240"/>
      <c r="D662" s="1240"/>
      <c r="E662" s="1240"/>
      <c r="F662" s="1240"/>
      <c r="G662" s="1240"/>
      <c r="H662" s="1240"/>
      <c r="I662" s="1240"/>
      <c r="J662" s="1240"/>
      <c r="K662" s="1240"/>
      <c r="L662" s="1240"/>
      <c r="M662" s="1240"/>
      <c r="N662" s="1240"/>
      <c r="O662" s="1240"/>
      <c r="P662" s="1247">
        <f t="shared" si="73"/>
        <v>636</v>
      </c>
      <c r="Q662" s="1253" t="e">
        <f t="shared" ca="1" si="72"/>
        <v>#N/A</v>
      </c>
      <c r="R662" s="1247" t="str">
        <f>IFERROR(VLOOKUP(P662,RPCRepaymentDates[],1,FALSE),"")</f>
        <v/>
      </c>
      <c r="S662" s="1259">
        <f t="shared" si="68"/>
        <v>0</v>
      </c>
      <c r="T662" s="1247" t="str">
        <f>IFERROR(VLOOKUP(P662,RPCChargeCycleDates[],1,FALSE),"")</f>
        <v/>
      </c>
      <c r="U662" s="1248" t="str">
        <f>IFERROR(_xlfn.DAYS(T662,$Q$16)-SUM(U$26:U661),"")</f>
        <v/>
      </c>
      <c r="V662" s="1258">
        <f t="shared" ca="1" si="69"/>
        <v>0</v>
      </c>
      <c r="W662" s="1258">
        <f t="shared" ca="1" si="70"/>
        <v>0</v>
      </c>
      <c r="X662" s="1258" t="e">
        <f t="shared" ca="1" si="71"/>
        <v>#N/A</v>
      </c>
      <c r="Y662" s="1240"/>
      <c r="Z662" s="1240"/>
      <c r="AA662" s="1240"/>
      <c r="AB662" s="1240"/>
      <c r="AC662" s="1254" t="e">
        <f t="shared" si="74"/>
        <v>#NUM!</v>
      </c>
      <c r="AD662" s="1240"/>
      <c r="AE662" s="1240"/>
      <c r="AF662" s="1240"/>
      <c r="AG662" s="1240"/>
      <c r="AH662" s="1240"/>
      <c r="AI662" s="1240"/>
      <c r="AJ662" s="1240"/>
      <c r="AK662" s="1240"/>
      <c r="AL662" s="1240"/>
      <c r="AM662" s="1240"/>
      <c r="AN662" s="1240"/>
      <c r="AO662" s="1240"/>
      <c r="AP662" s="1240"/>
    </row>
    <row r="663" spans="1:42" ht="18.75" customHeight="1" x14ac:dyDescent="0.35">
      <c r="A663" s="1240"/>
      <c r="B663" s="1240"/>
      <c r="C663" s="1240"/>
      <c r="D663" s="1240"/>
      <c r="E663" s="1240"/>
      <c r="F663" s="1240"/>
      <c r="G663" s="1240"/>
      <c r="H663" s="1240"/>
      <c r="I663" s="1240"/>
      <c r="J663" s="1240"/>
      <c r="K663" s="1240"/>
      <c r="L663" s="1240"/>
      <c r="M663" s="1240"/>
      <c r="N663" s="1240"/>
      <c r="O663" s="1240"/>
      <c r="P663" s="1247">
        <f t="shared" si="73"/>
        <v>637</v>
      </c>
      <c r="Q663" s="1253" t="e">
        <f t="shared" ca="1" si="72"/>
        <v>#N/A</v>
      </c>
      <c r="R663" s="1247" t="str">
        <f>IFERROR(VLOOKUP(P663,RPCRepaymentDates[],1,FALSE),"")</f>
        <v/>
      </c>
      <c r="S663" s="1259">
        <f t="shared" si="68"/>
        <v>0</v>
      </c>
      <c r="T663" s="1247">
        <f>IFERROR(VLOOKUP(P663,RPCChargeCycleDates[],1,FALSE),"")</f>
        <v>637</v>
      </c>
      <c r="U663" s="1248">
        <f>IFERROR(_xlfn.DAYS(T663,$Q$16)-SUM(U$26:U662),"")</f>
        <v>31</v>
      </c>
      <c r="V663" s="1258">
        <f t="shared" ca="1" si="69"/>
        <v>0</v>
      </c>
      <c r="W663" s="1258">
        <f t="shared" ca="1" si="70"/>
        <v>0</v>
      </c>
      <c r="X663" s="1258" t="e">
        <f t="shared" ca="1" si="71"/>
        <v>#N/A</v>
      </c>
      <c r="Y663" s="1240"/>
      <c r="Z663" s="1240"/>
      <c r="AA663" s="1240"/>
      <c r="AB663" s="1240"/>
      <c r="AC663" s="1254" t="e">
        <f t="shared" si="74"/>
        <v>#NUM!</v>
      </c>
      <c r="AD663" s="1240"/>
      <c r="AE663" s="1240"/>
      <c r="AF663" s="1240"/>
      <c r="AG663" s="1240"/>
      <c r="AH663" s="1240"/>
      <c r="AI663" s="1240"/>
      <c r="AJ663" s="1240"/>
      <c r="AK663" s="1240"/>
      <c r="AL663" s="1240"/>
      <c r="AM663" s="1240"/>
      <c r="AN663" s="1240"/>
      <c r="AO663" s="1240"/>
      <c r="AP663" s="1240"/>
    </row>
    <row r="664" spans="1:42" ht="18.75" customHeight="1" x14ac:dyDescent="0.35">
      <c r="A664" s="1240"/>
      <c r="B664" s="1240"/>
      <c r="C664" s="1240"/>
      <c r="D664" s="1240"/>
      <c r="E664" s="1240"/>
      <c r="F664" s="1240"/>
      <c r="G664" s="1240"/>
      <c r="H664" s="1240"/>
      <c r="I664" s="1240"/>
      <c r="J664" s="1240"/>
      <c r="K664" s="1240"/>
      <c r="L664" s="1240"/>
      <c r="M664" s="1240"/>
      <c r="N664" s="1240"/>
      <c r="O664" s="1240"/>
      <c r="P664" s="1247">
        <f t="shared" si="73"/>
        <v>638</v>
      </c>
      <c r="Q664" s="1253" t="e">
        <f t="shared" ca="1" si="72"/>
        <v>#N/A</v>
      </c>
      <c r="R664" s="1247" t="str">
        <f>IFERROR(VLOOKUP(P664,RPCRepaymentDates[],1,FALSE),"")</f>
        <v/>
      </c>
      <c r="S664" s="1259">
        <f t="shared" si="68"/>
        <v>0</v>
      </c>
      <c r="T664" s="1247" t="str">
        <f>IFERROR(VLOOKUP(P664,RPCChargeCycleDates[],1,FALSE),"")</f>
        <v/>
      </c>
      <c r="U664" s="1248" t="str">
        <f>IFERROR(_xlfn.DAYS(T664,$Q$16)-SUM(U$26:U663),"")</f>
        <v/>
      </c>
      <c r="V664" s="1258">
        <f t="shared" ca="1" si="69"/>
        <v>0</v>
      </c>
      <c r="W664" s="1258">
        <f t="shared" ca="1" si="70"/>
        <v>0</v>
      </c>
      <c r="X664" s="1258" t="e">
        <f t="shared" ca="1" si="71"/>
        <v>#N/A</v>
      </c>
      <c r="Y664" s="1240"/>
      <c r="Z664" s="1240"/>
      <c r="AA664" s="1240"/>
      <c r="AB664" s="1240"/>
      <c r="AC664" s="1254" t="e">
        <f t="shared" si="74"/>
        <v>#NUM!</v>
      </c>
      <c r="AD664" s="1240"/>
      <c r="AE664" s="1240"/>
      <c r="AF664" s="1240"/>
      <c r="AG664" s="1240"/>
      <c r="AH664" s="1240"/>
      <c r="AI664" s="1240"/>
      <c r="AJ664" s="1240"/>
      <c r="AK664" s="1240"/>
      <c r="AL664" s="1240"/>
      <c r="AM664" s="1240"/>
      <c r="AN664" s="1240"/>
      <c r="AO664" s="1240"/>
      <c r="AP664" s="1240"/>
    </row>
    <row r="665" spans="1:42" ht="18.75" customHeight="1" x14ac:dyDescent="0.35">
      <c r="A665" s="1240"/>
      <c r="B665" s="1240"/>
      <c r="C665" s="1240"/>
      <c r="D665" s="1240"/>
      <c r="E665" s="1240"/>
      <c r="F665" s="1240"/>
      <c r="G665" s="1240"/>
      <c r="H665" s="1240"/>
      <c r="I665" s="1240"/>
      <c r="J665" s="1240"/>
      <c r="K665" s="1240"/>
      <c r="L665" s="1240"/>
      <c r="M665" s="1240"/>
      <c r="N665" s="1240"/>
      <c r="O665" s="1240"/>
      <c r="P665" s="1247">
        <f t="shared" si="73"/>
        <v>639</v>
      </c>
      <c r="Q665" s="1253" t="e">
        <f t="shared" ca="1" si="72"/>
        <v>#N/A</v>
      </c>
      <c r="R665" s="1247" t="str">
        <f>IFERROR(VLOOKUP(P665,RPCRepaymentDates[],1,FALSE),"")</f>
        <v/>
      </c>
      <c r="S665" s="1259">
        <f t="shared" si="68"/>
        <v>0</v>
      </c>
      <c r="T665" s="1247" t="str">
        <f>IFERROR(VLOOKUP(P665,RPCChargeCycleDates[],1,FALSE),"")</f>
        <v/>
      </c>
      <c r="U665" s="1248" t="str">
        <f>IFERROR(_xlfn.DAYS(T665,$Q$16)-SUM(U$26:U664),"")</f>
        <v/>
      </c>
      <c r="V665" s="1258">
        <f t="shared" ca="1" si="69"/>
        <v>0</v>
      </c>
      <c r="W665" s="1258">
        <f t="shared" ca="1" si="70"/>
        <v>0</v>
      </c>
      <c r="X665" s="1258" t="e">
        <f t="shared" ca="1" si="71"/>
        <v>#N/A</v>
      </c>
      <c r="Y665" s="1240"/>
      <c r="Z665" s="1240"/>
      <c r="AA665" s="1240"/>
      <c r="AB665" s="1240"/>
      <c r="AC665" s="1254" t="e">
        <f t="shared" si="74"/>
        <v>#NUM!</v>
      </c>
      <c r="AD665" s="1240"/>
      <c r="AE665" s="1240"/>
      <c r="AF665" s="1240"/>
      <c r="AG665" s="1240"/>
      <c r="AH665" s="1240"/>
      <c r="AI665" s="1240"/>
      <c r="AJ665" s="1240"/>
      <c r="AK665" s="1240"/>
      <c r="AL665" s="1240"/>
      <c r="AM665" s="1240"/>
      <c r="AN665" s="1240"/>
      <c r="AO665" s="1240"/>
      <c r="AP665" s="1240"/>
    </row>
    <row r="666" spans="1:42" ht="18.75" customHeight="1" x14ac:dyDescent="0.35">
      <c r="A666" s="1240"/>
      <c r="B666" s="1240"/>
      <c r="C666" s="1240"/>
      <c r="D666" s="1240"/>
      <c r="E666" s="1240"/>
      <c r="F666" s="1240"/>
      <c r="G666" s="1240"/>
      <c r="H666" s="1240"/>
      <c r="I666" s="1240"/>
      <c r="J666" s="1240"/>
      <c r="K666" s="1240"/>
      <c r="L666" s="1240"/>
      <c r="M666" s="1240"/>
      <c r="N666" s="1240"/>
      <c r="O666" s="1240"/>
      <c r="P666" s="1247">
        <f t="shared" si="73"/>
        <v>640</v>
      </c>
      <c r="Q666" s="1253" t="e">
        <f t="shared" ca="1" si="72"/>
        <v>#N/A</v>
      </c>
      <c r="R666" s="1247" t="str">
        <f>IFERROR(VLOOKUP(P666,RPCRepaymentDates[],1,FALSE),"")</f>
        <v/>
      </c>
      <c r="S666" s="1259">
        <f t="shared" ref="S666:S729" si="75">IF(P666=R666,IF(R666&lt;RPCNextPaymentTransferDate,0,IF(OR(R666&lt;RPCPauseStartDate,R666&gt;RPCPauseEndDate),RPCCurrentRepayment,RPCPauseRepayment)),0)</f>
        <v>0</v>
      </c>
      <c r="T666" s="1247" t="str">
        <f>IFERROR(VLOOKUP(P666,RPCChargeCycleDates[],1,FALSE),"")</f>
        <v/>
      </c>
      <c r="U666" s="1248" t="str">
        <f>IFERROR(_xlfn.DAYS(T666,$Q$16)-SUM(U$26:U665),"")</f>
        <v/>
      </c>
      <c r="V666" s="1258">
        <f t="shared" ref="V666:V729" ca="1" si="76">IFERROR((Q666-S666)*(1/RPCDaysInYear)*RPCInterestRate,0)</f>
        <v>0</v>
      </c>
      <c r="W666" s="1258">
        <f t="shared" ref="W666:W729" ca="1" si="77">IFERROR(IF(T666=P666,SUM(OFFSET(V666,-U666+1,0,U666,1)),0),0)</f>
        <v>0</v>
      </c>
      <c r="X666" s="1258" t="e">
        <f t="shared" ref="X666:X729" ca="1" si="78">Q666-S666+W666</f>
        <v>#N/A</v>
      </c>
      <c r="Y666" s="1240"/>
      <c r="Z666" s="1240"/>
      <c r="AA666" s="1240"/>
      <c r="AB666" s="1240"/>
      <c r="AC666" s="1254" t="e">
        <f t="shared" si="74"/>
        <v>#NUM!</v>
      </c>
      <c r="AD666" s="1240"/>
      <c r="AE666" s="1240"/>
      <c r="AF666" s="1240"/>
      <c r="AG666" s="1240"/>
      <c r="AH666" s="1240"/>
      <c r="AI666" s="1240"/>
      <c r="AJ666" s="1240"/>
      <c r="AK666" s="1240"/>
      <c r="AL666" s="1240"/>
      <c r="AM666" s="1240"/>
      <c r="AN666" s="1240"/>
      <c r="AO666" s="1240"/>
      <c r="AP666" s="1240"/>
    </row>
    <row r="667" spans="1:42" ht="18.75" customHeight="1" x14ac:dyDescent="0.35">
      <c r="A667" s="1240"/>
      <c r="B667" s="1240"/>
      <c r="C667" s="1240"/>
      <c r="D667" s="1240"/>
      <c r="E667" s="1240"/>
      <c r="F667" s="1240"/>
      <c r="G667" s="1240"/>
      <c r="H667" s="1240"/>
      <c r="I667" s="1240"/>
      <c r="J667" s="1240"/>
      <c r="K667" s="1240"/>
      <c r="L667" s="1240"/>
      <c r="M667" s="1240"/>
      <c r="N667" s="1240"/>
      <c r="O667" s="1240"/>
      <c r="P667" s="1247">
        <f t="shared" si="73"/>
        <v>641</v>
      </c>
      <c r="Q667" s="1253" t="e">
        <f t="shared" ref="Q667:Q730" ca="1" si="79">X666</f>
        <v>#N/A</v>
      </c>
      <c r="R667" s="1247" t="str">
        <f>IFERROR(VLOOKUP(P667,RPCRepaymentDates[],1,FALSE),"")</f>
        <v/>
      </c>
      <c r="S667" s="1259">
        <f t="shared" si="75"/>
        <v>0</v>
      </c>
      <c r="T667" s="1247" t="str">
        <f>IFERROR(VLOOKUP(P667,RPCChargeCycleDates[],1,FALSE),"")</f>
        <v/>
      </c>
      <c r="U667" s="1248" t="str">
        <f>IFERROR(_xlfn.DAYS(T667,$Q$16)-SUM(U$26:U666),"")</f>
        <v/>
      </c>
      <c r="V667" s="1258">
        <f t="shared" ca="1" si="76"/>
        <v>0</v>
      </c>
      <c r="W667" s="1258">
        <f t="shared" ca="1" si="77"/>
        <v>0</v>
      </c>
      <c r="X667" s="1258" t="e">
        <f t="shared" ca="1" si="78"/>
        <v>#N/A</v>
      </c>
      <c r="Y667" s="1240"/>
      <c r="Z667" s="1240"/>
      <c r="AA667" s="1240"/>
      <c r="AB667" s="1240"/>
      <c r="AC667" s="1254" t="e">
        <f t="shared" si="74"/>
        <v>#NUM!</v>
      </c>
      <c r="AD667" s="1240"/>
      <c r="AE667" s="1240"/>
      <c r="AF667" s="1240"/>
      <c r="AG667" s="1240"/>
      <c r="AH667" s="1240"/>
      <c r="AI667" s="1240"/>
      <c r="AJ667" s="1240"/>
      <c r="AK667" s="1240"/>
      <c r="AL667" s="1240"/>
      <c r="AM667" s="1240"/>
      <c r="AN667" s="1240"/>
      <c r="AO667" s="1240"/>
      <c r="AP667" s="1240"/>
    </row>
    <row r="668" spans="1:42" ht="18.75" customHeight="1" x14ac:dyDescent="0.35">
      <c r="A668" s="1240"/>
      <c r="B668" s="1240"/>
      <c r="C668" s="1240"/>
      <c r="D668" s="1240"/>
      <c r="E668" s="1240"/>
      <c r="F668" s="1240"/>
      <c r="G668" s="1240"/>
      <c r="H668" s="1240"/>
      <c r="I668" s="1240"/>
      <c r="J668" s="1240"/>
      <c r="K668" s="1240"/>
      <c r="L668" s="1240"/>
      <c r="M668" s="1240"/>
      <c r="N668" s="1240"/>
      <c r="O668" s="1240"/>
      <c r="P668" s="1247">
        <f t="shared" si="73"/>
        <v>642</v>
      </c>
      <c r="Q668" s="1253" t="e">
        <f t="shared" ca="1" si="79"/>
        <v>#N/A</v>
      </c>
      <c r="R668" s="1247" t="str">
        <f>IFERROR(VLOOKUP(P668,RPCRepaymentDates[],1,FALSE),"")</f>
        <v/>
      </c>
      <c r="S668" s="1259">
        <f t="shared" si="75"/>
        <v>0</v>
      </c>
      <c r="T668" s="1247" t="str">
        <f>IFERROR(VLOOKUP(P668,RPCChargeCycleDates[],1,FALSE),"")</f>
        <v/>
      </c>
      <c r="U668" s="1248" t="str">
        <f>IFERROR(_xlfn.DAYS(T668,$Q$16)-SUM(U$26:U667),"")</f>
        <v/>
      </c>
      <c r="V668" s="1258">
        <f t="shared" ca="1" si="76"/>
        <v>0</v>
      </c>
      <c r="W668" s="1258">
        <f t="shared" ca="1" si="77"/>
        <v>0</v>
      </c>
      <c r="X668" s="1258" t="e">
        <f t="shared" ca="1" si="78"/>
        <v>#N/A</v>
      </c>
      <c r="Y668" s="1240"/>
      <c r="Z668" s="1240"/>
      <c r="AA668" s="1240"/>
      <c r="AB668" s="1240"/>
      <c r="AC668" s="1254" t="e">
        <f t="shared" si="74"/>
        <v>#NUM!</v>
      </c>
      <c r="AD668" s="1240"/>
      <c r="AE668" s="1240"/>
      <c r="AF668" s="1240"/>
      <c r="AG668" s="1240"/>
      <c r="AH668" s="1240"/>
      <c r="AI668" s="1240"/>
      <c r="AJ668" s="1240"/>
      <c r="AK668" s="1240"/>
      <c r="AL668" s="1240"/>
      <c r="AM668" s="1240"/>
      <c r="AN668" s="1240"/>
      <c r="AO668" s="1240"/>
      <c r="AP668" s="1240"/>
    </row>
    <row r="669" spans="1:42" ht="18.75" customHeight="1" x14ac:dyDescent="0.35">
      <c r="A669" s="1240"/>
      <c r="B669" s="1240"/>
      <c r="C669" s="1240"/>
      <c r="D669" s="1240"/>
      <c r="E669" s="1240"/>
      <c r="F669" s="1240"/>
      <c r="G669" s="1240"/>
      <c r="H669" s="1240"/>
      <c r="I669" s="1240"/>
      <c r="J669" s="1240"/>
      <c r="K669" s="1240"/>
      <c r="L669" s="1240"/>
      <c r="M669" s="1240"/>
      <c r="N669" s="1240"/>
      <c r="O669" s="1240"/>
      <c r="P669" s="1247">
        <f t="shared" si="73"/>
        <v>643</v>
      </c>
      <c r="Q669" s="1253" t="e">
        <f t="shared" ca="1" si="79"/>
        <v>#N/A</v>
      </c>
      <c r="R669" s="1247" t="str">
        <f>IFERROR(VLOOKUP(P669,RPCRepaymentDates[],1,FALSE),"")</f>
        <v/>
      </c>
      <c r="S669" s="1259">
        <f t="shared" si="75"/>
        <v>0</v>
      </c>
      <c r="T669" s="1247" t="str">
        <f>IFERROR(VLOOKUP(P669,RPCChargeCycleDates[],1,FALSE),"")</f>
        <v/>
      </c>
      <c r="U669" s="1248" t="str">
        <f>IFERROR(_xlfn.DAYS(T669,$Q$16)-SUM(U$26:U668),"")</f>
        <v/>
      </c>
      <c r="V669" s="1258">
        <f t="shared" ca="1" si="76"/>
        <v>0</v>
      </c>
      <c r="W669" s="1258">
        <f t="shared" ca="1" si="77"/>
        <v>0</v>
      </c>
      <c r="X669" s="1258" t="e">
        <f t="shared" ca="1" si="78"/>
        <v>#N/A</v>
      </c>
      <c r="Y669" s="1240"/>
      <c r="Z669" s="1240"/>
      <c r="AA669" s="1240"/>
      <c r="AB669" s="1240"/>
      <c r="AC669" s="1254" t="e">
        <f t="shared" si="74"/>
        <v>#NUM!</v>
      </c>
      <c r="AD669" s="1240"/>
      <c r="AE669" s="1240"/>
      <c r="AF669" s="1240"/>
      <c r="AG669" s="1240"/>
      <c r="AH669" s="1240"/>
      <c r="AI669" s="1240"/>
      <c r="AJ669" s="1240"/>
      <c r="AK669" s="1240"/>
      <c r="AL669" s="1240"/>
      <c r="AM669" s="1240"/>
      <c r="AN669" s="1240"/>
      <c r="AO669" s="1240"/>
      <c r="AP669" s="1240"/>
    </row>
    <row r="670" spans="1:42" ht="18.75" customHeight="1" x14ac:dyDescent="0.35">
      <c r="A670" s="1240"/>
      <c r="B670" s="1240"/>
      <c r="C670" s="1240"/>
      <c r="D670" s="1240"/>
      <c r="E670" s="1240"/>
      <c r="F670" s="1240"/>
      <c r="G670" s="1240"/>
      <c r="H670" s="1240"/>
      <c r="I670" s="1240"/>
      <c r="J670" s="1240"/>
      <c r="K670" s="1240"/>
      <c r="L670" s="1240"/>
      <c r="M670" s="1240"/>
      <c r="N670" s="1240"/>
      <c r="O670" s="1240"/>
      <c r="P670" s="1247">
        <f t="shared" si="73"/>
        <v>644</v>
      </c>
      <c r="Q670" s="1253" t="e">
        <f t="shared" ca="1" si="79"/>
        <v>#N/A</v>
      </c>
      <c r="R670" s="1247" t="str">
        <f>IFERROR(VLOOKUP(P670,RPCRepaymentDates[],1,FALSE),"")</f>
        <v/>
      </c>
      <c r="S670" s="1259">
        <f t="shared" si="75"/>
        <v>0</v>
      </c>
      <c r="T670" s="1247" t="str">
        <f>IFERROR(VLOOKUP(P670,RPCChargeCycleDates[],1,FALSE),"")</f>
        <v/>
      </c>
      <c r="U670" s="1248" t="str">
        <f>IFERROR(_xlfn.DAYS(T670,$Q$16)-SUM(U$26:U669),"")</f>
        <v/>
      </c>
      <c r="V670" s="1258">
        <f t="shared" ca="1" si="76"/>
        <v>0</v>
      </c>
      <c r="W670" s="1258">
        <f t="shared" ca="1" si="77"/>
        <v>0</v>
      </c>
      <c r="X670" s="1258" t="e">
        <f t="shared" ca="1" si="78"/>
        <v>#N/A</v>
      </c>
      <c r="Y670" s="1240"/>
      <c r="Z670" s="1240"/>
      <c r="AA670" s="1240"/>
      <c r="AB670" s="1240"/>
      <c r="AC670" s="1254" t="e">
        <f t="shared" si="74"/>
        <v>#NUM!</v>
      </c>
      <c r="AD670" s="1240"/>
      <c r="AE670" s="1240"/>
      <c r="AF670" s="1240"/>
      <c r="AG670" s="1240"/>
      <c r="AH670" s="1240"/>
      <c r="AI670" s="1240"/>
      <c r="AJ670" s="1240"/>
      <c r="AK670" s="1240"/>
      <c r="AL670" s="1240"/>
      <c r="AM670" s="1240"/>
      <c r="AN670" s="1240"/>
      <c r="AO670" s="1240"/>
      <c r="AP670" s="1240"/>
    </row>
    <row r="671" spans="1:42" ht="18.75" customHeight="1" x14ac:dyDescent="0.35">
      <c r="A671" s="1240"/>
      <c r="B671" s="1240"/>
      <c r="C671" s="1240"/>
      <c r="D671" s="1240"/>
      <c r="E671" s="1240"/>
      <c r="F671" s="1240"/>
      <c r="G671" s="1240"/>
      <c r="H671" s="1240"/>
      <c r="I671" s="1240"/>
      <c r="J671" s="1240"/>
      <c r="K671" s="1240"/>
      <c r="L671" s="1240"/>
      <c r="M671" s="1240"/>
      <c r="N671" s="1240"/>
      <c r="O671" s="1240"/>
      <c r="P671" s="1247">
        <f t="shared" si="73"/>
        <v>645</v>
      </c>
      <c r="Q671" s="1253" t="e">
        <f t="shared" ca="1" si="79"/>
        <v>#N/A</v>
      </c>
      <c r="R671" s="1247" t="str">
        <f>IFERROR(VLOOKUP(P671,RPCRepaymentDates[],1,FALSE),"")</f>
        <v/>
      </c>
      <c r="S671" s="1259">
        <f t="shared" si="75"/>
        <v>0</v>
      </c>
      <c r="T671" s="1247" t="str">
        <f>IFERROR(VLOOKUP(P671,RPCChargeCycleDates[],1,FALSE),"")</f>
        <v/>
      </c>
      <c r="U671" s="1248" t="str">
        <f>IFERROR(_xlfn.DAYS(T671,$Q$16)-SUM(U$26:U670),"")</f>
        <v/>
      </c>
      <c r="V671" s="1258">
        <f t="shared" ca="1" si="76"/>
        <v>0</v>
      </c>
      <c r="W671" s="1258">
        <f t="shared" ca="1" si="77"/>
        <v>0</v>
      </c>
      <c r="X671" s="1258" t="e">
        <f t="shared" ca="1" si="78"/>
        <v>#N/A</v>
      </c>
      <c r="Y671" s="1240"/>
      <c r="Z671" s="1240"/>
      <c r="AA671" s="1240"/>
      <c r="AB671" s="1240"/>
      <c r="AC671" s="1254" t="e">
        <f t="shared" si="74"/>
        <v>#NUM!</v>
      </c>
      <c r="AD671" s="1240"/>
      <c r="AE671" s="1240"/>
      <c r="AF671" s="1240"/>
      <c r="AG671" s="1240"/>
      <c r="AH671" s="1240"/>
      <c r="AI671" s="1240"/>
      <c r="AJ671" s="1240"/>
      <c r="AK671" s="1240"/>
      <c r="AL671" s="1240"/>
      <c r="AM671" s="1240"/>
      <c r="AN671" s="1240"/>
      <c r="AO671" s="1240"/>
      <c r="AP671" s="1240"/>
    </row>
    <row r="672" spans="1:42" ht="18.75" customHeight="1" x14ac:dyDescent="0.35">
      <c r="A672" s="1240"/>
      <c r="B672" s="1240"/>
      <c r="C672" s="1240"/>
      <c r="D672" s="1240"/>
      <c r="E672" s="1240"/>
      <c r="F672" s="1240"/>
      <c r="G672" s="1240"/>
      <c r="H672" s="1240"/>
      <c r="I672" s="1240"/>
      <c r="J672" s="1240"/>
      <c r="K672" s="1240"/>
      <c r="L672" s="1240"/>
      <c r="M672" s="1240"/>
      <c r="N672" s="1240"/>
      <c r="O672" s="1240"/>
      <c r="P672" s="1247">
        <f t="shared" si="73"/>
        <v>646</v>
      </c>
      <c r="Q672" s="1253" t="e">
        <f t="shared" ca="1" si="79"/>
        <v>#N/A</v>
      </c>
      <c r="R672" s="1247" t="str">
        <f>IFERROR(VLOOKUP(P672,RPCRepaymentDates[],1,FALSE),"")</f>
        <v/>
      </c>
      <c r="S672" s="1259">
        <f t="shared" si="75"/>
        <v>0</v>
      </c>
      <c r="T672" s="1247" t="str">
        <f>IFERROR(VLOOKUP(P672,RPCChargeCycleDates[],1,FALSE),"")</f>
        <v/>
      </c>
      <c r="U672" s="1248" t="str">
        <f>IFERROR(_xlfn.DAYS(T672,$Q$16)-SUM(U$26:U671),"")</f>
        <v/>
      </c>
      <c r="V672" s="1258">
        <f t="shared" ca="1" si="76"/>
        <v>0</v>
      </c>
      <c r="W672" s="1258">
        <f t="shared" ca="1" si="77"/>
        <v>0</v>
      </c>
      <c r="X672" s="1258" t="e">
        <f t="shared" ca="1" si="78"/>
        <v>#N/A</v>
      </c>
      <c r="Y672" s="1240"/>
      <c r="Z672" s="1240"/>
      <c r="AA672" s="1240"/>
      <c r="AB672" s="1240"/>
      <c r="AC672" s="1254" t="e">
        <f t="shared" si="74"/>
        <v>#NUM!</v>
      </c>
      <c r="AD672" s="1240"/>
      <c r="AE672" s="1240"/>
      <c r="AF672" s="1240"/>
      <c r="AG672" s="1240"/>
      <c r="AH672" s="1240"/>
      <c r="AI672" s="1240"/>
      <c r="AJ672" s="1240"/>
      <c r="AK672" s="1240"/>
      <c r="AL672" s="1240"/>
      <c r="AM672" s="1240"/>
      <c r="AN672" s="1240"/>
      <c r="AO672" s="1240"/>
      <c r="AP672" s="1240"/>
    </row>
    <row r="673" spans="1:42" ht="18.75" customHeight="1" x14ac:dyDescent="0.35">
      <c r="A673" s="1240"/>
      <c r="B673" s="1240"/>
      <c r="C673" s="1240"/>
      <c r="D673" s="1240"/>
      <c r="E673" s="1240"/>
      <c r="F673" s="1240"/>
      <c r="G673" s="1240"/>
      <c r="H673" s="1240"/>
      <c r="I673" s="1240"/>
      <c r="J673" s="1240"/>
      <c r="K673" s="1240"/>
      <c r="L673" s="1240"/>
      <c r="M673" s="1240"/>
      <c r="N673" s="1240"/>
      <c r="O673" s="1240"/>
      <c r="P673" s="1247">
        <f t="shared" si="73"/>
        <v>647</v>
      </c>
      <c r="Q673" s="1253" t="e">
        <f t="shared" ca="1" si="79"/>
        <v>#N/A</v>
      </c>
      <c r="R673" s="1247" t="str">
        <f>IFERROR(VLOOKUP(P673,RPCRepaymentDates[],1,FALSE),"")</f>
        <v/>
      </c>
      <c r="S673" s="1259">
        <f t="shared" si="75"/>
        <v>0</v>
      </c>
      <c r="T673" s="1247" t="str">
        <f>IFERROR(VLOOKUP(P673,RPCChargeCycleDates[],1,FALSE),"")</f>
        <v/>
      </c>
      <c r="U673" s="1248" t="str">
        <f>IFERROR(_xlfn.DAYS(T673,$Q$16)-SUM(U$26:U672),"")</f>
        <v/>
      </c>
      <c r="V673" s="1258">
        <f t="shared" ca="1" si="76"/>
        <v>0</v>
      </c>
      <c r="W673" s="1258">
        <f t="shared" ca="1" si="77"/>
        <v>0</v>
      </c>
      <c r="X673" s="1258" t="e">
        <f t="shared" ca="1" si="78"/>
        <v>#N/A</v>
      </c>
      <c r="Y673" s="1240"/>
      <c r="Z673" s="1240"/>
      <c r="AA673" s="1240"/>
      <c r="AB673" s="1240"/>
      <c r="AC673" s="1254" t="e">
        <f t="shared" si="74"/>
        <v>#NUM!</v>
      </c>
      <c r="AD673" s="1240"/>
      <c r="AE673" s="1240"/>
      <c r="AF673" s="1240"/>
      <c r="AG673" s="1240"/>
      <c r="AH673" s="1240"/>
      <c r="AI673" s="1240"/>
      <c r="AJ673" s="1240"/>
      <c r="AK673" s="1240"/>
      <c r="AL673" s="1240"/>
      <c r="AM673" s="1240"/>
      <c r="AN673" s="1240"/>
      <c r="AO673" s="1240"/>
      <c r="AP673" s="1240"/>
    </row>
    <row r="674" spans="1:42" ht="18.75" customHeight="1" x14ac:dyDescent="0.35">
      <c r="A674" s="1240"/>
      <c r="B674" s="1240"/>
      <c r="C674" s="1240"/>
      <c r="D674" s="1240"/>
      <c r="E674" s="1240"/>
      <c r="F674" s="1240"/>
      <c r="G674" s="1240"/>
      <c r="H674" s="1240"/>
      <c r="I674" s="1240"/>
      <c r="J674" s="1240"/>
      <c r="K674" s="1240"/>
      <c r="L674" s="1240"/>
      <c r="M674" s="1240"/>
      <c r="N674" s="1240"/>
      <c r="O674" s="1240"/>
      <c r="P674" s="1247">
        <f t="shared" si="73"/>
        <v>648</v>
      </c>
      <c r="Q674" s="1253" t="e">
        <f t="shared" ca="1" si="79"/>
        <v>#N/A</v>
      </c>
      <c r="R674" s="1247" t="str">
        <f>IFERROR(VLOOKUP(P674,RPCRepaymentDates[],1,FALSE),"")</f>
        <v/>
      </c>
      <c r="S674" s="1259">
        <f t="shared" si="75"/>
        <v>0</v>
      </c>
      <c r="T674" s="1247" t="str">
        <f>IFERROR(VLOOKUP(P674,RPCChargeCycleDates[],1,FALSE),"")</f>
        <v/>
      </c>
      <c r="U674" s="1248" t="str">
        <f>IFERROR(_xlfn.DAYS(T674,$Q$16)-SUM(U$26:U673),"")</f>
        <v/>
      </c>
      <c r="V674" s="1258">
        <f t="shared" ca="1" si="76"/>
        <v>0</v>
      </c>
      <c r="W674" s="1258">
        <f t="shared" ca="1" si="77"/>
        <v>0</v>
      </c>
      <c r="X674" s="1258" t="e">
        <f t="shared" ca="1" si="78"/>
        <v>#N/A</v>
      </c>
      <c r="Y674" s="1240"/>
      <c r="Z674" s="1240"/>
      <c r="AA674" s="1240"/>
      <c r="AB674" s="1240"/>
      <c r="AC674" s="1254" t="e">
        <f t="shared" si="74"/>
        <v>#NUM!</v>
      </c>
      <c r="AD674" s="1240"/>
      <c r="AE674" s="1240"/>
      <c r="AF674" s="1240"/>
      <c r="AG674" s="1240"/>
      <c r="AH674" s="1240"/>
      <c r="AI674" s="1240"/>
      <c r="AJ674" s="1240"/>
      <c r="AK674" s="1240"/>
      <c r="AL674" s="1240"/>
      <c r="AM674" s="1240"/>
      <c r="AN674" s="1240"/>
      <c r="AO674" s="1240"/>
      <c r="AP674" s="1240"/>
    </row>
    <row r="675" spans="1:42" ht="18.75" customHeight="1" x14ac:dyDescent="0.35">
      <c r="A675" s="1240"/>
      <c r="B675" s="1240"/>
      <c r="C675" s="1240"/>
      <c r="D675" s="1240"/>
      <c r="E675" s="1240"/>
      <c r="F675" s="1240"/>
      <c r="G675" s="1240"/>
      <c r="H675" s="1240"/>
      <c r="I675" s="1240"/>
      <c r="J675" s="1240"/>
      <c r="K675" s="1240"/>
      <c r="L675" s="1240"/>
      <c r="M675" s="1240"/>
      <c r="N675" s="1240"/>
      <c r="O675" s="1240"/>
      <c r="P675" s="1247">
        <f t="shared" si="73"/>
        <v>649</v>
      </c>
      <c r="Q675" s="1253" t="e">
        <f t="shared" ca="1" si="79"/>
        <v>#N/A</v>
      </c>
      <c r="R675" s="1247" t="str">
        <f>IFERROR(VLOOKUP(P675,RPCRepaymentDates[],1,FALSE),"")</f>
        <v/>
      </c>
      <c r="S675" s="1259">
        <f t="shared" si="75"/>
        <v>0</v>
      </c>
      <c r="T675" s="1247" t="str">
        <f>IFERROR(VLOOKUP(P675,RPCChargeCycleDates[],1,FALSE),"")</f>
        <v/>
      </c>
      <c r="U675" s="1248" t="str">
        <f>IFERROR(_xlfn.DAYS(T675,$Q$16)-SUM(U$26:U674),"")</f>
        <v/>
      </c>
      <c r="V675" s="1258">
        <f t="shared" ca="1" si="76"/>
        <v>0</v>
      </c>
      <c r="W675" s="1258">
        <f t="shared" ca="1" si="77"/>
        <v>0</v>
      </c>
      <c r="X675" s="1258" t="e">
        <f t="shared" ca="1" si="78"/>
        <v>#N/A</v>
      </c>
      <c r="Y675" s="1240"/>
      <c r="Z675" s="1240"/>
      <c r="AA675" s="1240"/>
      <c r="AB675" s="1240"/>
      <c r="AC675" s="1254" t="e">
        <f t="shared" si="74"/>
        <v>#NUM!</v>
      </c>
      <c r="AD675" s="1240"/>
      <c r="AE675" s="1240"/>
      <c r="AF675" s="1240"/>
      <c r="AG675" s="1240"/>
      <c r="AH675" s="1240"/>
      <c r="AI675" s="1240"/>
      <c r="AJ675" s="1240"/>
      <c r="AK675" s="1240"/>
      <c r="AL675" s="1240"/>
      <c r="AM675" s="1240"/>
      <c r="AN675" s="1240"/>
      <c r="AO675" s="1240"/>
      <c r="AP675" s="1240"/>
    </row>
    <row r="676" spans="1:42" ht="18.75" customHeight="1" x14ac:dyDescent="0.35">
      <c r="A676" s="1240"/>
      <c r="B676" s="1240"/>
      <c r="C676" s="1240"/>
      <c r="D676" s="1240"/>
      <c r="E676" s="1240"/>
      <c r="F676" s="1240"/>
      <c r="G676" s="1240"/>
      <c r="H676" s="1240"/>
      <c r="I676" s="1240"/>
      <c r="J676" s="1240"/>
      <c r="K676" s="1240"/>
      <c r="L676" s="1240"/>
      <c r="M676" s="1240"/>
      <c r="N676" s="1240"/>
      <c r="O676" s="1240"/>
      <c r="P676" s="1247">
        <f t="shared" si="73"/>
        <v>650</v>
      </c>
      <c r="Q676" s="1253" t="e">
        <f t="shared" ca="1" si="79"/>
        <v>#N/A</v>
      </c>
      <c r="R676" s="1247" t="str">
        <f>IFERROR(VLOOKUP(P676,RPCRepaymentDates[],1,FALSE),"")</f>
        <v/>
      </c>
      <c r="S676" s="1259">
        <f t="shared" si="75"/>
        <v>0</v>
      </c>
      <c r="T676" s="1247" t="str">
        <f>IFERROR(VLOOKUP(P676,RPCChargeCycleDates[],1,FALSE),"")</f>
        <v/>
      </c>
      <c r="U676" s="1248" t="str">
        <f>IFERROR(_xlfn.DAYS(T676,$Q$16)-SUM(U$26:U675),"")</f>
        <v/>
      </c>
      <c r="V676" s="1258">
        <f t="shared" ca="1" si="76"/>
        <v>0</v>
      </c>
      <c r="W676" s="1258">
        <f t="shared" ca="1" si="77"/>
        <v>0</v>
      </c>
      <c r="X676" s="1258" t="e">
        <f t="shared" ca="1" si="78"/>
        <v>#N/A</v>
      </c>
      <c r="Y676" s="1240"/>
      <c r="Z676" s="1240"/>
      <c r="AA676" s="1240"/>
      <c r="AB676" s="1240"/>
      <c r="AC676" s="1254" t="e">
        <f t="shared" si="74"/>
        <v>#NUM!</v>
      </c>
      <c r="AD676" s="1240"/>
      <c r="AE676" s="1240"/>
      <c r="AF676" s="1240"/>
      <c r="AG676" s="1240"/>
      <c r="AH676" s="1240"/>
      <c r="AI676" s="1240"/>
      <c r="AJ676" s="1240"/>
      <c r="AK676" s="1240"/>
      <c r="AL676" s="1240"/>
      <c r="AM676" s="1240"/>
      <c r="AN676" s="1240"/>
      <c r="AO676" s="1240"/>
      <c r="AP676" s="1240"/>
    </row>
    <row r="677" spans="1:42" ht="18.75" customHeight="1" x14ac:dyDescent="0.35">
      <c r="A677" s="1240"/>
      <c r="B677" s="1240"/>
      <c r="C677" s="1240"/>
      <c r="D677" s="1240"/>
      <c r="E677" s="1240"/>
      <c r="F677" s="1240"/>
      <c r="G677" s="1240"/>
      <c r="H677" s="1240"/>
      <c r="I677" s="1240"/>
      <c r="J677" s="1240"/>
      <c r="K677" s="1240"/>
      <c r="L677" s="1240"/>
      <c r="M677" s="1240"/>
      <c r="N677" s="1240"/>
      <c r="O677" s="1240"/>
      <c r="P677" s="1247">
        <f t="shared" si="73"/>
        <v>651</v>
      </c>
      <c r="Q677" s="1253" t="e">
        <f t="shared" ca="1" si="79"/>
        <v>#N/A</v>
      </c>
      <c r="R677" s="1247" t="str">
        <f>IFERROR(VLOOKUP(P677,RPCRepaymentDates[],1,FALSE),"")</f>
        <v/>
      </c>
      <c r="S677" s="1259">
        <f t="shared" si="75"/>
        <v>0</v>
      </c>
      <c r="T677" s="1247" t="str">
        <f>IFERROR(VLOOKUP(P677,RPCChargeCycleDates[],1,FALSE),"")</f>
        <v/>
      </c>
      <c r="U677" s="1248" t="str">
        <f>IFERROR(_xlfn.DAYS(T677,$Q$16)-SUM(U$26:U676),"")</f>
        <v/>
      </c>
      <c r="V677" s="1258">
        <f t="shared" ca="1" si="76"/>
        <v>0</v>
      </c>
      <c r="W677" s="1258">
        <f t="shared" ca="1" si="77"/>
        <v>0</v>
      </c>
      <c r="X677" s="1258" t="e">
        <f t="shared" ca="1" si="78"/>
        <v>#N/A</v>
      </c>
      <c r="Y677" s="1240"/>
      <c r="Z677" s="1240"/>
      <c r="AA677" s="1240"/>
      <c r="AB677" s="1240"/>
      <c r="AC677" s="1254" t="e">
        <f t="shared" si="74"/>
        <v>#NUM!</v>
      </c>
      <c r="AD677" s="1240"/>
      <c r="AE677" s="1240"/>
      <c r="AF677" s="1240"/>
      <c r="AG677" s="1240"/>
      <c r="AH677" s="1240"/>
      <c r="AI677" s="1240"/>
      <c r="AJ677" s="1240"/>
      <c r="AK677" s="1240"/>
      <c r="AL677" s="1240"/>
      <c r="AM677" s="1240"/>
      <c r="AN677" s="1240"/>
      <c r="AO677" s="1240"/>
      <c r="AP677" s="1240"/>
    </row>
    <row r="678" spans="1:42" ht="18.75" customHeight="1" x14ac:dyDescent="0.35">
      <c r="A678" s="1240"/>
      <c r="B678" s="1240"/>
      <c r="C678" s="1240"/>
      <c r="D678" s="1240"/>
      <c r="E678" s="1240"/>
      <c r="F678" s="1240"/>
      <c r="G678" s="1240"/>
      <c r="H678" s="1240"/>
      <c r="I678" s="1240"/>
      <c r="J678" s="1240"/>
      <c r="K678" s="1240"/>
      <c r="L678" s="1240"/>
      <c r="M678" s="1240"/>
      <c r="N678" s="1240"/>
      <c r="O678" s="1240"/>
      <c r="P678" s="1247">
        <f t="shared" si="73"/>
        <v>652</v>
      </c>
      <c r="Q678" s="1253" t="e">
        <f t="shared" ca="1" si="79"/>
        <v>#N/A</v>
      </c>
      <c r="R678" s="1247" t="str">
        <f>IFERROR(VLOOKUP(P678,RPCRepaymentDates[],1,FALSE),"")</f>
        <v/>
      </c>
      <c r="S678" s="1259">
        <f t="shared" si="75"/>
        <v>0</v>
      </c>
      <c r="T678" s="1247" t="str">
        <f>IFERROR(VLOOKUP(P678,RPCChargeCycleDates[],1,FALSE),"")</f>
        <v/>
      </c>
      <c r="U678" s="1248" t="str">
        <f>IFERROR(_xlfn.DAYS(T678,$Q$16)-SUM(U$26:U677),"")</f>
        <v/>
      </c>
      <c r="V678" s="1258">
        <f t="shared" ca="1" si="76"/>
        <v>0</v>
      </c>
      <c r="W678" s="1258">
        <f t="shared" ca="1" si="77"/>
        <v>0</v>
      </c>
      <c r="X678" s="1258" t="e">
        <f t="shared" ca="1" si="78"/>
        <v>#N/A</v>
      </c>
      <c r="Y678" s="1240"/>
      <c r="Z678" s="1240"/>
      <c r="AA678" s="1240"/>
      <c r="AB678" s="1240"/>
      <c r="AC678" s="1254" t="e">
        <f t="shared" si="74"/>
        <v>#NUM!</v>
      </c>
      <c r="AD678" s="1240"/>
      <c r="AE678" s="1240"/>
      <c r="AF678" s="1240"/>
      <c r="AG678" s="1240"/>
      <c r="AH678" s="1240"/>
      <c r="AI678" s="1240"/>
      <c r="AJ678" s="1240"/>
      <c r="AK678" s="1240"/>
      <c r="AL678" s="1240"/>
      <c r="AM678" s="1240"/>
      <c r="AN678" s="1240"/>
      <c r="AO678" s="1240"/>
      <c r="AP678" s="1240"/>
    </row>
    <row r="679" spans="1:42" ht="18.75" customHeight="1" x14ac:dyDescent="0.35">
      <c r="A679" s="1240"/>
      <c r="B679" s="1240"/>
      <c r="C679" s="1240"/>
      <c r="D679" s="1240"/>
      <c r="E679" s="1240"/>
      <c r="F679" s="1240"/>
      <c r="G679" s="1240"/>
      <c r="H679" s="1240"/>
      <c r="I679" s="1240"/>
      <c r="J679" s="1240"/>
      <c r="K679" s="1240"/>
      <c r="L679" s="1240"/>
      <c r="M679" s="1240"/>
      <c r="N679" s="1240"/>
      <c r="O679" s="1240"/>
      <c r="P679" s="1247">
        <f t="shared" si="73"/>
        <v>653</v>
      </c>
      <c r="Q679" s="1253" t="e">
        <f t="shared" ca="1" si="79"/>
        <v>#N/A</v>
      </c>
      <c r="R679" s="1247" t="str">
        <f>IFERROR(VLOOKUP(P679,RPCRepaymentDates[],1,FALSE),"")</f>
        <v/>
      </c>
      <c r="S679" s="1259">
        <f t="shared" si="75"/>
        <v>0</v>
      </c>
      <c r="T679" s="1247" t="str">
        <f>IFERROR(VLOOKUP(P679,RPCChargeCycleDates[],1,FALSE),"")</f>
        <v/>
      </c>
      <c r="U679" s="1248" t="str">
        <f>IFERROR(_xlfn.DAYS(T679,$Q$16)-SUM(U$26:U678),"")</f>
        <v/>
      </c>
      <c r="V679" s="1258">
        <f t="shared" ca="1" si="76"/>
        <v>0</v>
      </c>
      <c r="W679" s="1258">
        <f t="shared" ca="1" si="77"/>
        <v>0</v>
      </c>
      <c r="X679" s="1258" t="e">
        <f t="shared" ca="1" si="78"/>
        <v>#N/A</v>
      </c>
      <c r="Y679" s="1240"/>
      <c r="Z679" s="1240"/>
      <c r="AA679" s="1240"/>
      <c r="AB679" s="1240"/>
      <c r="AC679" s="1254" t="e">
        <f t="shared" si="74"/>
        <v>#NUM!</v>
      </c>
      <c r="AD679" s="1240"/>
      <c r="AE679" s="1240"/>
      <c r="AF679" s="1240"/>
      <c r="AG679" s="1240"/>
      <c r="AH679" s="1240"/>
      <c r="AI679" s="1240"/>
      <c r="AJ679" s="1240"/>
      <c r="AK679" s="1240"/>
      <c r="AL679" s="1240"/>
      <c r="AM679" s="1240"/>
      <c r="AN679" s="1240"/>
      <c r="AO679" s="1240"/>
      <c r="AP679" s="1240"/>
    </row>
    <row r="680" spans="1:42" ht="18.75" customHeight="1" x14ac:dyDescent="0.35">
      <c r="A680" s="1240"/>
      <c r="B680" s="1240"/>
      <c r="C680" s="1240"/>
      <c r="D680" s="1240"/>
      <c r="E680" s="1240"/>
      <c r="F680" s="1240"/>
      <c r="G680" s="1240"/>
      <c r="H680" s="1240"/>
      <c r="I680" s="1240"/>
      <c r="J680" s="1240"/>
      <c r="K680" s="1240"/>
      <c r="L680" s="1240"/>
      <c r="M680" s="1240"/>
      <c r="N680" s="1240"/>
      <c r="O680" s="1240"/>
      <c r="P680" s="1247">
        <f t="shared" si="73"/>
        <v>654</v>
      </c>
      <c r="Q680" s="1253" t="e">
        <f t="shared" ca="1" si="79"/>
        <v>#N/A</v>
      </c>
      <c r="R680" s="1247" t="str">
        <f>IFERROR(VLOOKUP(P680,RPCRepaymentDates[],1,FALSE),"")</f>
        <v/>
      </c>
      <c r="S680" s="1259">
        <f t="shared" si="75"/>
        <v>0</v>
      </c>
      <c r="T680" s="1247" t="str">
        <f>IFERROR(VLOOKUP(P680,RPCChargeCycleDates[],1,FALSE),"")</f>
        <v/>
      </c>
      <c r="U680" s="1248" t="str">
        <f>IFERROR(_xlfn.DAYS(T680,$Q$16)-SUM(U$26:U679),"")</f>
        <v/>
      </c>
      <c r="V680" s="1258">
        <f t="shared" ca="1" si="76"/>
        <v>0</v>
      </c>
      <c r="W680" s="1258">
        <f t="shared" ca="1" si="77"/>
        <v>0</v>
      </c>
      <c r="X680" s="1258" t="e">
        <f t="shared" ca="1" si="78"/>
        <v>#N/A</v>
      </c>
      <c r="Y680" s="1240"/>
      <c r="Z680" s="1240"/>
      <c r="AA680" s="1240"/>
      <c r="AB680" s="1240"/>
      <c r="AC680" s="1254" t="e">
        <f t="shared" si="74"/>
        <v>#NUM!</v>
      </c>
      <c r="AD680" s="1240"/>
      <c r="AE680" s="1240"/>
      <c r="AF680" s="1240"/>
      <c r="AG680" s="1240"/>
      <c r="AH680" s="1240"/>
      <c r="AI680" s="1240"/>
      <c r="AJ680" s="1240"/>
      <c r="AK680" s="1240"/>
      <c r="AL680" s="1240"/>
      <c r="AM680" s="1240"/>
      <c r="AN680" s="1240"/>
      <c r="AO680" s="1240"/>
      <c r="AP680" s="1240"/>
    </row>
    <row r="681" spans="1:42" ht="18.75" customHeight="1" x14ac:dyDescent="0.35">
      <c r="A681" s="1240"/>
      <c r="B681" s="1240"/>
      <c r="C681" s="1240"/>
      <c r="D681" s="1240"/>
      <c r="E681" s="1240"/>
      <c r="F681" s="1240"/>
      <c r="G681" s="1240"/>
      <c r="H681" s="1240"/>
      <c r="I681" s="1240"/>
      <c r="J681" s="1240"/>
      <c r="K681" s="1240"/>
      <c r="L681" s="1240"/>
      <c r="M681" s="1240"/>
      <c r="N681" s="1240"/>
      <c r="O681" s="1240"/>
      <c r="P681" s="1247">
        <f t="shared" si="73"/>
        <v>655</v>
      </c>
      <c r="Q681" s="1253" t="e">
        <f t="shared" ca="1" si="79"/>
        <v>#N/A</v>
      </c>
      <c r="R681" s="1247" t="str">
        <f>IFERROR(VLOOKUP(P681,RPCRepaymentDates[],1,FALSE),"")</f>
        <v/>
      </c>
      <c r="S681" s="1259">
        <f t="shared" si="75"/>
        <v>0</v>
      </c>
      <c r="T681" s="1247" t="str">
        <f>IFERROR(VLOOKUP(P681,RPCChargeCycleDates[],1,FALSE),"")</f>
        <v/>
      </c>
      <c r="U681" s="1248" t="str">
        <f>IFERROR(_xlfn.DAYS(T681,$Q$16)-SUM(U$26:U680),"")</f>
        <v/>
      </c>
      <c r="V681" s="1258">
        <f t="shared" ca="1" si="76"/>
        <v>0</v>
      </c>
      <c r="W681" s="1258">
        <f t="shared" ca="1" si="77"/>
        <v>0</v>
      </c>
      <c r="X681" s="1258" t="e">
        <f t="shared" ca="1" si="78"/>
        <v>#N/A</v>
      </c>
      <c r="Y681" s="1240"/>
      <c r="Z681" s="1240"/>
      <c r="AA681" s="1240"/>
      <c r="AB681" s="1240"/>
      <c r="AC681" s="1254" t="e">
        <f t="shared" si="74"/>
        <v>#NUM!</v>
      </c>
      <c r="AD681" s="1240"/>
      <c r="AE681" s="1240"/>
      <c r="AF681" s="1240"/>
      <c r="AG681" s="1240"/>
      <c r="AH681" s="1240"/>
      <c r="AI681" s="1240"/>
      <c r="AJ681" s="1240"/>
      <c r="AK681" s="1240"/>
      <c r="AL681" s="1240"/>
      <c r="AM681" s="1240"/>
      <c r="AN681" s="1240"/>
      <c r="AO681" s="1240"/>
      <c r="AP681" s="1240"/>
    </row>
    <row r="682" spans="1:42" ht="18.75" customHeight="1" x14ac:dyDescent="0.35">
      <c r="A682" s="1240"/>
      <c r="B682" s="1240"/>
      <c r="C682" s="1240"/>
      <c r="D682" s="1240"/>
      <c r="E682" s="1240"/>
      <c r="F682" s="1240"/>
      <c r="G682" s="1240"/>
      <c r="H682" s="1240"/>
      <c r="I682" s="1240"/>
      <c r="J682" s="1240"/>
      <c r="K682" s="1240"/>
      <c r="L682" s="1240"/>
      <c r="M682" s="1240"/>
      <c r="N682" s="1240"/>
      <c r="O682" s="1240"/>
      <c r="P682" s="1247">
        <f t="shared" ref="P682:P745" si="80">P681+1</f>
        <v>656</v>
      </c>
      <c r="Q682" s="1253" t="e">
        <f t="shared" ca="1" si="79"/>
        <v>#N/A</v>
      </c>
      <c r="R682" s="1247" t="str">
        <f>IFERROR(VLOOKUP(P682,RPCRepaymentDates[],1,FALSE),"")</f>
        <v/>
      </c>
      <c r="S682" s="1259">
        <f t="shared" si="75"/>
        <v>0</v>
      </c>
      <c r="T682" s="1247" t="str">
        <f>IFERROR(VLOOKUP(P682,RPCChargeCycleDates[],1,FALSE),"")</f>
        <v/>
      </c>
      <c r="U682" s="1248" t="str">
        <f>IFERROR(_xlfn.DAYS(T682,$Q$16)-SUM(U$26:U681),"")</f>
        <v/>
      </c>
      <c r="V682" s="1258">
        <f t="shared" ca="1" si="76"/>
        <v>0</v>
      </c>
      <c r="W682" s="1258">
        <f t="shared" ca="1" si="77"/>
        <v>0</v>
      </c>
      <c r="X682" s="1258" t="e">
        <f t="shared" ca="1" si="78"/>
        <v>#N/A</v>
      </c>
      <c r="Y682" s="1240"/>
      <c r="Z682" s="1240"/>
      <c r="AA682" s="1240"/>
      <c r="AB682" s="1240"/>
      <c r="AC682" s="1254" t="e">
        <f t="shared" si="74"/>
        <v>#NUM!</v>
      </c>
      <c r="AD682" s="1240"/>
      <c r="AE682" s="1240"/>
      <c r="AF682" s="1240"/>
      <c r="AG682" s="1240"/>
      <c r="AH682" s="1240"/>
      <c r="AI682" s="1240"/>
      <c r="AJ682" s="1240"/>
      <c r="AK682" s="1240"/>
      <c r="AL682" s="1240"/>
      <c r="AM682" s="1240"/>
      <c r="AN682" s="1240"/>
      <c r="AO682" s="1240"/>
      <c r="AP682" s="1240"/>
    </row>
    <row r="683" spans="1:42" ht="18.75" customHeight="1" x14ac:dyDescent="0.35">
      <c r="A683" s="1240"/>
      <c r="B683" s="1240"/>
      <c r="C683" s="1240"/>
      <c r="D683" s="1240"/>
      <c r="E683" s="1240"/>
      <c r="F683" s="1240"/>
      <c r="G683" s="1240"/>
      <c r="H683" s="1240"/>
      <c r="I683" s="1240"/>
      <c r="J683" s="1240"/>
      <c r="K683" s="1240"/>
      <c r="L683" s="1240"/>
      <c r="M683" s="1240"/>
      <c r="N683" s="1240"/>
      <c r="O683" s="1240"/>
      <c r="P683" s="1247">
        <f t="shared" si="80"/>
        <v>657</v>
      </c>
      <c r="Q683" s="1253" t="e">
        <f t="shared" ca="1" si="79"/>
        <v>#N/A</v>
      </c>
      <c r="R683" s="1247" t="str">
        <f>IFERROR(VLOOKUP(P683,RPCRepaymentDates[],1,FALSE),"")</f>
        <v/>
      </c>
      <c r="S683" s="1259">
        <f t="shared" si="75"/>
        <v>0</v>
      </c>
      <c r="T683" s="1247" t="str">
        <f>IFERROR(VLOOKUP(P683,RPCChargeCycleDates[],1,FALSE),"")</f>
        <v/>
      </c>
      <c r="U683" s="1248" t="str">
        <f>IFERROR(_xlfn.DAYS(T683,$Q$16)-SUM(U$26:U682),"")</f>
        <v/>
      </c>
      <c r="V683" s="1258">
        <f t="shared" ca="1" si="76"/>
        <v>0</v>
      </c>
      <c r="W683" s="1258">
        <f t="shared" ca="1" si="77"/>
        <v>0</v>
      </c>
      <c r="X683" s="1258" t="e">
        <f t="shared" ca="1" si="78"/>
        <v>#N/A</v>
      </c>
      <c r="Y683" s="1240"/>
      <c r="Z683" s="1240"/>
      <c r="AA683" s="1240"/>
      <c r="AB683" s="1240"/>
      <c r="AC683" s="1254" t="e">
        <f t="shared" si="74"/>
        <v>#NUM!</v>
      </c>
      <c r="AD683" s="1240"/>
      <c r="AE683" s="1240"/>
      <c r="AF683" s="1240"/>
      <c r="AG683" s="1240"/>
      <c r="AH683" s="1240"/>
      <c r="AI683" s="1240"/>
      <c r="AJ683" s="1240"/>
      <c r="AK683" s="1240"/>
      <c r="AL683" s="1240"/>
      <c r="AM683" s="1240"/>
      <c r="AN683" s="1240"/>
      <c r="AO683" s="1240"/>
      <c r="AP683" s="1240"/>
    </row>
    <row r="684" spans="1:42" ht="18.75" customHeight="1" x14ac:dyDescent="0.35">
      <c r="A684" s="1240"/>
      <c r="B684" s="1240"/>
      <c r="C684" s="1240"/>
      <c r="D684" s="1240"/>
      <c r="E684" s="1240"/>
      <c r="F684" s="1240"/>
      <c r="G684" s="1240"/>
      <c r="H684" s="1240"/>
      <c r="I684" s="1240"/>
      <c r="J684" s="1240"/>
      <c r="K684" s="1240"/>
      <c r="L684" s="1240"/>
      <c r="M684" s="1240"/>
      <c r="N684" s="1240"/>
      <c r="O684" s="1240"/>
      <c r="P684" s="1247">
        <f t="shared" si="80"/>
        <v>658</v>
      </c>
      <c r="Q684" s="1253" t="e">
        <f t="shared" ca="1" si="79"/>
        <v>#N/A</v>
      </c>
      <c r="R684" s="1247" t="str">
        <f>IFERROR(VLOOKUP(P684,RPCRepaymentDates[],1,FALSE),"")</f>
        <v/>
      </c>
      <c r="S684" s="1259">
        <f t="shared" si="75"/>
        <v>0</v>
      </c>
      <c r="T684" s="1247" t="str">
        <f>IFERROR(VLOOKUP(P684,RPCChargeCycleDates[],1,FALSE),"")</f>
        <v/>
      </c>
      <c r="U684" s="1248" t="str">
        <f>IFERROR(_xlfn.DAYS(T684,$Q$16)-SUM(U$26:U683),"")</f>
        <v/>
      </c>
      <c r="V684" s="1258">
        <f t="shared" ca="1" si="76"/>
        <v>0</v>
      </c>
      <c r="W684" s="1258">
        <f t="shared" ca="1" si="77"/>
        <v>0</v>
      </c>
      <c r="X684" s="1258" t="e">
        <f t="shared" ca="1" si="78"/>
        <v>#N/A</v>
      </c>
      <c r="Y684" s="1240"/>
      <c r="Z684" s="1240"/>
      <c r="AA684" s="1240"/>
      <c r="AB684" s="1240"/>
      <c r="AC684" s="1254" t="e">
        <f t="shared" si="74"/>
        <v>#NUM!</v>
      </c>
      <c r="AD684" s="1240"/>
      <c r="AE684" s="1240"/>
      <c r="AF684" s="1240"/>
      <c r="AG684" s="1240"/>
      <c r="AH684" s="1240"/>
      <c r="AI684" s="1240"/>
      <c r="AJ684" s="1240"/>
      <c r="AK684" s="1240"/>
      <c r="AL684" s="1240"/>
      <c r="AM684" s="1240"/>
      <c r="AN684" s="1240"/>
      <c r="AO684" s="1240"/>
      <c r="AP684" s="1240"/>
    </row>
    <row r="685" spans="1:42" ht="18.75" customHeight="1" x14ac:dyDescent="0.35">
      <c r="A685" s="1240"/>
      <c r="B685" s="1240"/>
      <c r="C685" s="1240"/>
      <c r="D685" s="1240"/>
      <c r="E685" s="1240"/>
      <c r="F685" s="1240"/>
      <c r="G685" s="1240"/>
      <c r="H685" s="1240"/>
      <c r="I685" s="1240"/>
      <c r="J685" s="1240"/>
      <c r="K685" s="1240"/>
      <c r="L685" s="1240"/>
      <c r="M685" s="1240"/>
      <c r="N685" s="1240"/>
      <c r="O685" s="1240"/>
      <c r="P685" s="1247">
        <f t="shared" si="80"/>
        <v>659</v>
      </c>
      <c r="Q685" s="1253" t="e">
        <f t="shared" ca="1" si="79"/>
        <v>#N/A</v>
      </c>
      <c r="R685" s="1247" t="str">
        <f>IFERROR(VLOOKUP(P685,RPCRepaymentDates[],1,FALSE),"")</f>
        <v/>
      </c>
      <c r="S685" s="1259">
        <f t="shared" si="75"/>
        <v>0</v>
      </c>
      <c r="T685" s="1247" t="str">
        <f>IFERROR(VLOOKUP(P685,RPCChargeCycleDates[],1,FALSE),"")</f>
        <v/>
      </c>
      <c r="U685" s="1248" t="str">
        <f>IFERROR(_xlfn.DAYS(T685,$Q$16)-SUM(U$26:U684),"")</f>
        <v/>
      </c>
      <c r="V685" s="1258">
        <f t="shared" ca="1" si="76"/>
        <v>0</v>
      </c>
      <c r="W685" s="1258">
        <f t="shared" ca="1" si="77"/>
        <v>0</v>
      </c>
      <c r="X685" s="1258" t="e">
        <f t="shared" ca="1" si="78"/>
        <v>#N/A</v>
      </c>
      <c r="Y685" s="1240"/>
      <c r="Z685" s="1240"/>
      <c r="AA685" s="1240"/>
      <c r="AB685" s="1240"/>
      <c r="AC685" s="1254" t="e">
        <f t="shared" si="74"/>
        <v>#NUM!</v>
      </c>
      <c r="AD685" s="1240"/>
      <c r="AE685" s="1240"/>
      <c r="AF685" s="1240"/>
      <c r="AG685" s="1240"/>
      <c r="AH685" s="1240"/>
      <c r="AI685" s="1240"/>
      <c r="AJ685" s="1240"/>
      <c r="AK685" s="1240"/>
      <c r="AL685" s="1240"/>
      <c r="AM685" s="1240"/>
      <c r="AN685" s="1240"/>
      <c r="AO685" s="1240"/>
      <c r="AP685" s="1240"/>
    </row>
    <row r="686" spans="1:42" ht="18.75" customHeight="1" x14ac:dyDescent="0.35">
      <c r="A686" s="1240"/>
      <c r="B686" s="1240"/>
      <c r="C686" s="1240"/>
      <c r="D686" s="1240"/>
      <c r="E686" s="1240"/>
      <c r="F686" s="1240"/>
      <c r="G686" s="1240"/>
      <c r="H686" s="1240"/>
      <c r="I686" s="1240"/>
      <c r="J686" s="1240"/>
      <c r="K686" s="1240"/>
      <c r="L686" s="1240"/>
      <c r="M686" s="1240"/>
      <c r="N686" s="1240"/>
      <c r="O686" s="1240"/>
      <c r="P686" s="1247">
        <f t="shared" si="80"/>
        <v>660</v>
      </c>
      <c r="Q686" s="1253" t="e">
        <f t="shared" ca="1" si="79"/>
        <v>#N/A</v>
      </c>
      <c r="R686" s="1247" t="str">
        <f>IFERROR(VLOOKUP(P686,RPCRepaymentDates[],1,FALSE),"")</f>
        <v/>
      </c>
      <c r="S686" s="1259">
        <f t="shared" si="75"/>
        <v>0</v>
      </c>
      <c r="T686" s="1247" t="str">
        <f>IFERROR(VLOOKUP(P686,RPCChargeCycleDates[],1,FALSE),"")</f>
        <v/>
      </c>
      <c r="U686" s="1248" t="str">
        <f>IFERROR(_xlfn.DAYS(T686,$Q$16)-SUM(U$26:U685),"")</f>
        <v/>
      </c>
      <c r="V686" s="1258">
        <f t="shared" ca="1" si="76"/>
        <v>0</v>
      </c>
      <c r="W686" s="1258">
        <f t="shared" ca="1" si="77"/>
        <v>0</v>
      </c>
      <c r="X686" s="1258" t="e">
        <f t="shared" ca="1" si="78"/>
        <v>#N/A</v>
      </c>
      <c r="Y686" s="1240"/>
      <c r="Z686" s="1240"/>
      <c r="AA686" s="1240"/>
      <c r="AB686" s="1240"/>
      <c r="AC686" s="1254" t="e">
        <f t="shared" si="74"/>
        <v>#NUM!</v>
      </c>
      <c r="AD686" s="1240"/>
      <c r="AE686" s="1240"/>
      <c r="AF686" s="1240"/>
      <c r="AG686" s="1240"/>
      <c r="AH686" s="1240"/>
      <c r="AI686" s="1240"/>
      <c r="AJ686" s="1240"/>
      <c r="AK686" s="1240"/>
      <c r="AL686" s="1240"/>
      <c r="AM686" s="1240"/>
      <c r="AN686" s="1240"/>
      <c r="AO686" s="1240"/>
      <c r="AP686" s="1240"/>
    </row>
    <row r="687" spans="1:42" ht="18.75" customHeight="1" x14ac:dyDescent="0.35">
      <c r="A687" s="1240"/>
      <c r="B687" s="1240"/>
      <c r="C687" s="1240"/>
      <c r="D687" s="1240"/>
      <c r="E687" s="1240"/>
      <c r="F687" s="1240"/>
      <c r="G687" s="1240"/>
      <c r="H687" s="1240"/>
      <c r="I687" s="1240"/>
      <c r="J687" s="1240"/>
      <c r="K687" s="1240"/>
      <c r="L687" s="1240"/>
      <c r="M687" s="1240"/>
      <c r="N687" s="1240"/>
      <c r="O687" s="1240"/>
      <c r="P687" s="1247">
        <f t="shared" si="80"/>
        <v>661</v>
      </c>
      <c r="Q687" s="1253" t="e">
        <f t="shared" ca="1" si="79"/>
        <v>#N/A</v>
      </c>
      <c r="R687" s="1247" t="str">
        <f>IFERROR(VLOOKUP(P687,RPCRepaymentDates[],1,FALSE),"")</f>
        <v/>
      </c>
      <c r="S687" s="1259">
        <f t="shared" si="75"/>
        <v>0</v>
      </c>
      <c r="T687" s="1247" t="str">
        <f>IFERROR(VLOOKUP(P687,RPCChargeCycleDates[],1,FALSE),"")</f>
        <v/>
      </c>
      <c r="U687" s="1248" t="str">
        <f>IFERROR(_xlfn.DAYS(T687,$Q$16)-SUM(U$26:U686),"")</f>
        <v/>
      </c>
      <c r="V687" s="1258">
        <f t="shared" ca="1" si="76"/>
        <v>0</v>
      </c>
      <c r="W687" s="1258">
        <f t="shared" ca="1" si="77"/>
        <v>0</v>
      </c>
      <c r="X687" s="1258" t="e">
        <f t="shared" ca="1" si="78"/>
        <v>#N/A</v>
      </c>
      <c r="Y687" s="1240"/>
      <c r="Z687" s="1240"/>
      <c r="AA687" s="1240"/>
      <c r="AB687" s="1240"/>
      <c r="AC687" s="1254" t="e">
        <f t="shared" si="74"/>
        <v>#NUM!</v>
      </c>
      <c r="AD687" s="1240"/>
      <c r="AE687" s="1240"/>
      <c r="AF687" s="1240"/>
      <c r="AG687" s="1240"/>
      <c r="AH687" s="1240"/>
      <c r="AI687" s="1240"/>
      <c r="AJ687" s="1240"/>
      <c r="AK687" s="1240"/>
      <c r="AL687" s="1240"/>
      <c r="AM687" s="1240"/>
      <c r="AN687" s="1240"/>
      <c r="AO687" s="1240"/>
      <c r="AP687" s="1240"/>
    </row>
    <row r="688" spans="1:42" ht="18.75" customHeight="1" x14ac:dyDescent="0.35">
      <c r="A688" s="1240"/>
      <c r="B688" s="1240"/>
      <c r="C688" s="1240"/>
      <c r="D688" s="1240"/>
      <c r="E688" s="1240"/>
      <c r="F688" s="1240"/>
      <c r="G688" s="1240"/>
      <c r="H688" s="1240"/>
      <c r="I688" s="1240"/>
      <c r="J688" s="1240"/>
      <c r="K688" s="1240"/>
      <c r="L688" s="1240"/>
      <c r="M688" s="1240"/>
      <c r="N688" s="1240"/>
      <c r="O688" s="1240"/>
      <c r="P688" s="1247">
        <f t="shared" si="80"/>
        <v>662</v>
      </c>
      <c r="Q688" s="1253" t="e">
        <f t="shared" ca="1" si="79"/>
        <v>#N/A</v>
      </c>
      <c r="R688" s="1247" t="str">
        <f>IFERROR(VLOOKUP(P688,RPCRepaymentDates[],1,FALSE),"")</f>
        <v/>
      </c>
      <c r="S688" s="1259">
        <f t="shared" si="75"/>
        <v>0</v>
      </c>
      <c r="T688" s="1247" t="str">
        <f>IFERROR(VLOOKUP(P688,RPCChargeCycleDates[],1,FALSE),"")</f>
        <v/>
      </c>
      <c r="U688" s="1248" t="str">
        <f>IFERROR(_xlfn.DAYS(T688,$Q$16)-SUM(U$26:U687),"")</f>
        <v/>
      </c>
      <c r="V688" s="1258">
        <f t="shared" ca="1" si="76"/>
        <v>0</v>
      </c>
      <c r="W688" s="1258">
        <f t="shared" ca="1" si="77"/>
        <v>0</v>
      </c>
      <c r="X688" s="1258" t="e">
        <f t="shared" ca="1" si="78"/>
        <v>#N/A</v>
      </c>
      <c r="Y688" s="1240"/>
      <c r="Z688" s="1240"/>
      <c r="AA688" s="1240"/>
      <c r="AB688" s="1240"/>
      <c r="AC688" s="1254" t="e">
        <f t="shared" si="74"/>
        <v>#NUM!</v>
      </c>
      <c r="AD688" s="1240"/>
      <c r="AE688" s="1240"/>
      <c r="AF688" s="1240"/>
      <c r="AG688" s="1240"/>
      <c r="AH688" s="1240"/>
      <c r="AI688" s="1240"/>
      <c r="AJ688" s="1240"/>
      <c r="AK688" s="1240"/>
      <c r="AL688" s="1240"/>
      <c r="AM688" s="1240"/>
      <c r="AN688" s="1240"/>
      <c r="AO688" s="1240"/>
      <c r="AP688" s="1240"/>
    </row>
    <row r="689" spans="1:42" ht="18.75" customHeight="1" x14ac:dyDescent="0.35">
      <c r="A689" s="1240"/>
      <c r="B689" s="1240"/>
      <c r="C689" s="1240"/>
      <c r="D689" s="1240"/>
      <c r="E689" s="1240"/>
      <c r="F689" s="1240"/>
      <c r="G689" s="1240"/>
      <c r="H689" s="1240"/>
      <c r="I689" s="1240"/>
      <c r="J689" s="1240"/>
      <c r="K689" s="1240"/>
      <c r="L689" s="1240"/>
      <c r="M689" s="1240"/>
      <c r="N689" s="1240"/>
      <c r="O689" s="1240"/>
      <c r="P689" s="1247">
        <f t="shared" si="80"/>
        <v>663</v>
      </c>
      <c r="Q689" s="1253" t="e">
        <f t="shared" ca="1" si="79"/>
        <v>#N/A</v>
      </c>
      <c r="R689" s="1247" t="str">
        <f>IFERROR(VLOOKUP(P689,RPCRepaymentDates[],1,FALSE),"")</f>
        <v/>
      </c>
      <c r="S689" s="1259">
        <f t="shared" si="75"/>
        <v>0</v>
      </c>
      <c r="T689" s="1247" t="str">
        <f>IFERROR(VLOOKUP(P689,RPCChargeCycleDates[],1,FALSE),"")</f>
        <v/>
      </c>
      <c r="U689" s="1248" t="str">
        <f>IFERROR(_xlfn.DAYS(T689,$Q$16)-SUM(U$26:U688),"")</f>
        <v/>
      </c>
      <c r="V689" s="1258">
        <f t="shared" ca="1" si="76"/>
        <v>0</v>
      </c>
      <c r="W689" s="1258">
        <f t="shared" ca="1" si="77"/>
        <v>0</v>
      </c>
      <c r="X689" s="1258" t="e">
        <f t="shared" ca="1" si="78"/>
        <v>#N/A</v>
      </c>
      <c r="Y689" s="1240"/>
      <c r="Z689" s="1240"/>
      <c r="AA689" s="1240"/>
      <c r="AB689" s="1240"/>
      <c r="AC689" s="1254" t="e">
        <f t="shared" si="74"/>
        <v>#NUM!</v>
      </c>
      <c r="AD689" s="1240"/>
      <c r="AE689" s="1240"/>
      <c r="AF689" s="1240"/>
      <c r="AG689" s="1240"/>
      <c r="AH689" s="1240"/>
      <c r="AI689" s="1240"/>
      <c r="AJ689" s="1240"/>
      <c r="AK689" s="1240"/>
      <c r="AL689" s="1240"/>
      <c r="AM689" s="1240"/>
      <c r="AN689" s="1240"/>
      <c r="AO689" s="1240"/>
      <c r="AP689" s="1240"/>
    </row>
    <row r="690" spans="1:42" ht="18.75" customHeight="1" x14ac:dyDescent="0.35">
      <c r="A690" s="1240"/>
      <c r="B690" s="1240"/>
      <c r="C690" s="1240"/>
      <c r="D690" s="1240"/>
      <c r="E690" s="1240"/>
      <c r="F690" s="1240"/>
      <c r="G690" s="1240"/>
      <c r="H690" s="1240"/>
      <c r="I690" s="1240"/>
      <c r="J690" s="1240"/>
      <c r="K690" s="1240"/>
      <c r="L690" s="1240"/>
      <c r="M690" s="1240"/>
      <c r="N690" s="1240"/>
      <c r="O690" s="1240"/>
      <c r="P690" s="1247">
        <f t="shared" si="80"/>
        <v>664</v>
      </c>
      <c r="Q690" s="1253" t="e">
        <f t="shared" ca="1" si="79"/>
        <v>#N/A</v>
      </c>
      <c r="R690" s="1247" t="str">
        <f>IFERROR(VLOOKUP(P690,RPCRepaymentDates[],1,FALSE),"")</f>
        <v/>
      </c>
      <c r="S690" s="1259">
        <f t="shared" si="75"/>
        <v>0</v>
      </c>
      <c r="T690" s="1247" t="str">
        <f>IFERROR(VLOOKUP(P690,RPCChargeCycleDates[],1,FALSE),"")</f>
        <v/>
      </c>
      <c r="U690" s="1248" t="str">
        <f>IFERROR(_xlfn.DAYS(T690,$Q$16)-SUM(U$26:U689),"")</f>
        <v/>
      </c>
      <c r="V690" s="1258">
        <f t="shared" ca="1" si="76"/>
        <v>0</v>
      </c>
      <c r="W690" s="1258">
        <f t="shared" ca="1" si="77"/>
        <v>0</v>
      </c>
      <c r="X690" s="1258" t="e">
        <f t="shared" ca="1" si="78"/>
        <v>#N/A</v>
      </c>
      <c r="Y690" s="1240"/>
      <c r="Z690" s="1240"/>
      <c r="AA690" s="1240"/>
      <c r="AB690" s="1240"/>
      <c r="AC690" s="1254" t="e">
        <f t="shared" si="74"/>
        <v>#NUM!</v>
      </c>
      <c r="AD690" s="1240"/>
      <c r="AE690" s="1240"/>
      <c r="AF690" s="1240"/>
      <c r="AG690" s="1240"/>
      <c r="AH690" s="1240"/>
      <c r="AI690" s="1240"/>
      <c r="AJ690" s="1240"/>
      <c r="AK690" s="1240"/>
      <c r="AL690" s="1240"/>
      <c r="AM690" s="1240"/>
      <c r="AN690" s="1240"/>
      <c r="AO690" s="1240"/>
      <c r="AP690" s="1240"/>
    </row>
    <row r="691" spans="1:42" ht="18.75" customHeight="1" x14ac:dyDescent="0.35">
      <c r="A691" s="1240"/>
      <c r="B691" s="1240"/>
      <c r="C691" s="1240"/>
      <c r="D691" s="1240"/>
      <c r="E691" s="1240"/>
      <c r="F691" s="1240"/>
      <c r="G691" s="1240"/>
      <c r="H691" s="1240"/>
      <c r="I691" s="1240"/>
      <c r="J691" s="1240"/>
      <c r="K691" s="1240"/>
      <c r="L691" s="1240"/>
      <c r="M691" s="1240"/>
      <c r="N691" s="1240"/>
      <c r="O691" s="1240"/>
      <c r="P691" s="1247">
        <f t="shared" si="80"/>
        <v>665</v>
      </c>
      <c r="Q691" s="1253" t="e">
        <f t="shared" ca="1" si="79"/>
        <v>#N/A</v>
      </c>
      <c r="R691" s="1247" t="str">
        <f>IFERROR(VLOOKUP(P691,RPCRepaymentDates[],1,FALSE),"")</f>
        <v/>
      </c>
      <c r="S691" s="1259">
        <f t="shared" si="75"/>
        <v>0</v>
      </c>
      <c r="T691" s="1247" t="str">
        <f>IFERROR(VLOOKUP(P691,RPCChargeCycleDates[],1,FALSE),"")</f>
        <v/>
      </c>
      <c r="U691" s="1248" t="str">
        <f>IFERROR(_xlfn.DAYS(T691,$Q$16)-SUM(U$26:U690),"")</f>
        <v/>
      </c>
      <c r="V691" s="1258">
        <f t="shared" ca="1" si="76"/>
        <v>0</v>
      </c>
      <c r="W691" s="1258">
        <f t="shared" ca="1" si="77"/>
        <v>0</v>
      </c>
      <c r="X691" s="1258" t="e">
        <f t="shared" ca="1" si="78"/>
        <v>#N/A</v>
      </c>
      <c r="Y691" s="1240"/>
      <c r="Z691" s="1240"/>
      <c r="AA691" s="1240"/>
      <c r="AB691" s="1240"/>
      <c r="AC691" s="1254" t="e">
        <f t="shared" si="74"/>
        <v>#NUM!</v>
      </c>
      <c r="AD691" s="1240"/>
      <c r="AE691" s="1240"/>
      <c r="AF691" s="1240"/>
      <c r="AG691" s="1240"/>
      <c r="AH691" s="1240"/>
      <c r="AI691" s="1240"/>
      <c r="AJ691" s="1240"/>
      <c r="AK691" s="1240"/>
      <c r="AL691" s="1240"/>
      <c r="AM691" s="1240"/>
      <c r="AN691" s="1240"/>
      <c r="AO691" s="1240"/>
      <c r="AP691" s="1240"/>
    </row>
    <row r="692" spans="1:42" ht="18.75" customHeight="1" x14ac:dyDescent="0.35">
      <c r="A692" s="1240"/>
      <c r="B692" s="1240"/>
      <c r="C692" s="1240"/>
      <c r="D692" s="1240"/>
      <c r="E692" s="1240"/>
      <c r="F692" s="1240"/>
      <c r="G692" s="1240"/>
      <c r="H692" s="1240"/>
      <c r="I692" s="1240"/>
      <c r="J692" s="1240"/>
      <c r="K692" s="1240"/>
      <c r="L692" s="1240"/>
      <c r="M692" s="1240"/>
      <c r="N692" s="1240"/>
      <c r="O692" s="1240"/>
      <c r="P692" s="1247">
        <f t="shared" si="80"/>
        <v>666</v>
      </c>
      <c r="Q692" s="1253" t="e">
        <f t="shared" ca="1" si="79"/>
        <v>#N/A</v>
      </c>
      <c r="R692" s="1247" t="str">
        <f>IFERROR(VLOOKUP(P692,RPCRepaymentDates[],1,FALSE),"")</f>
        <v/>
      </c>
      <c r="S692" s="1259">
        <f t="shared" si="75"/>
        <v>0</v>
      </c>
      <c r="T692" s="1247" t="str">
        <f>IFERROR(VLOOKUP(P692,RPCChargeCycleDates[],1,FALSE),"")</f>
        <v/>
      </c>
      <c r="U692" s="1248" t="str">
        <f>IFERROR(_xlfn.DAYS(T692,$Q$16)-SUM(U$26:U691),"")</f>
        <v/>
      </c>
      <c r="V692" s="1258">
        <f t="shared" ca="1" si="76"/>
        <v>0</v>
      </c>
      <c r="W692" s="1258">
        <f t="shared" ca="1" si="77"/>
        <v>0</v>
      </c>
      <c r="X692" s="1258" t="e">
        <f t="shared" ca="1" si="78"/>
        <v>#N/A</v>
      </c>
      <c r="Y692" s="1240"/>
      <c r="Z692" s="1240"/>
      <c r="AA692" s="1240"/>
      <c r="AB692" s="1240"/>
      <c r="AC692" s="1254" t="e">
        <f t="shared" si="74"/>
        <v>#NUM!</v>
      </c>
      <c r="AD692" s="1240"/>
      <c r="AE692" s="1240"/>
      <c r="AF692" s="1240"/>
      <c r="AG692" s="1240"/>
      <c r="AH692" s="1240"/>
      <c r="AI692" s="1240"/>
      <c r="AJ692" s="1240"/>
      <c r="AK692" s="1240"/>
      <c r="AL692" s="1240"/>
      <c r="AM692" s="1240"/>
      <c r="AN692" s="1240"/>
      <c r="AO692" s="1240"/>
      <c r="AP692" s="1240"/>
    </row>
    <row r="693" spans="1:42" ht="18.75" customHeight="1" x14ac:dyDescent="0.35">
      <c r="A693" s="1240"/>
      <c r="B693" s="1240"/>
      <c r="C693" s="1240"/>
      <c r="D693" s="1240"/>
      <c r="E693" s="1240"/>
      <c r="F693" s="1240"/>
      <c r="G693" s="1240"/>
      <c r="H693" s="1240"/>
      <c r="I693" s="1240"/>
      <c r="J693" s="1240"/>
      <c r="K693" s="1240"/>
      <c r="L693" s="1240"/>
      <c r="M693" s="1240"/>
      <c r="N693" s="1240"/>
      <c r="O693" s="1240"/>
      <c r="P693" s="1247">
        <f t="shared" si="80"/>
        <v>667</v>
      </c>
      <c r="Q693" s="1253" t="e">
        <f t="shared" ca="1" si="79"/>
        <v>#N/A</v>
      </c>
      <c r="R693" s="1247" t="str">
        <f>IFERROR(VLOOKUP(P693,RPCRepaymentDates[],1,FALSE),"")</f>
        <v/>
      </c>
      <c r="S693" s="1259">
        <f t="shared" si="75"/>
        <v>0</v>
      </c>
      <c r="T693" s="1247">
        <f>IFERROR(VLOOKUP(P693,RPCChargeCycleDates[],1,FALSE),"")</f>
        <v>667</v>
      </c>
      <c r="U693" s="1248">
        <f>IFERROR(_xlfn.DAYS(T693,$Q$16)-SUM(U$26:U692),"")</f>
        <v>30</v>
      </c>
      <c r="V693" s="1258">
        <f t="shared" ca="1" si="76"/>
        <v>0</v>
      </c>
      <c r="W693" s="1258">
        <f t="shared" ca="1" si="77"/>
        <v>0</v>
      </c>
      <c r="X693" s="1258" t="e">
        <f t="shared" ca="1" si="78"/>
        <v>#N/A</v>
      </c>
      <c r="Y693" s="1240"/>
      <c r="Z693" s="1240"/>
      <c r="AA693" s="1240"/>
      <c r="AB693" s="1240"/>
      <c r="AC693" s="1254" t="e">
        <f t="shared" si="74"/>
        <v>#NUM!</v>
      </c>
      <c r="AD693" s="1240"/>
      <c r="AE693" s="1240"/>
      <c r="AF693" s="1240"/>
      <c r="AG693" s="1240"/>
      <c r="AH693" s="1240"/>
      <c r="AI693" s="1240"/>
      <c r="AJ693" s="1240"/>
      <c r="AK693" s="1240"/>
      <c r="AL693" s="1240"/>
      <c r="AM693" s="1240"/>
      <c r="AN693" s="1240"/>
      <c r="AO693" s="1240"/>
      <c r="AP693" s="1240"/>
    </row>
    <row r="694" spans="1:42" ht="18.75" customHeight="1" x14ac:dyDescent="0.35">
      <c r="A694" s="1240"/>
      <c r="B694" s="1240"/>
      <c r="C694" s="1240"/>
      <c r="D694" s="1240"/>
      <c r="E694" s="1240"/>
      <c r="F694" s="1240"/>
      <c r="G694" s="1240"/>
      <c r="H694" s="1240"/>
      <c r="I694" s="1240"/>
      <c r="J694" s="1240"/>
      <c r="K694" s="1240"/>
      <c r="L694" s="1240"/>
      <c r="M694" s="1240"/>
      <c r="N694" s="1240"/>
      <c r="O694" s="1240"/>
      <c r="P694" s="1247">
        <f t="shared" si="80"/>
        <v>668</v>
      </c>
      <c r="Q694" s="1253" t="e">
        <f t="shared" ca="1" si="79"/>
        <v>#N/A</v>
      </c>
      <c r="R694" s="1247" t="str">
        <f>IFERROR(VLOOKUP(P694,RPCRepaymentDates[],1,FALSE),"")</f>
        <v/>
      </c>
      <c r="S694" s="1259">
        <f t="shared" si="75"/>
        <v>0</v>
      </c>
      <c r="T694" s="1247" t="str">
        <f>IFERROR(VLOOKUP(P694,RPCChargeCycleDates[],1,FALSE),"")</f>
        <v/>
      </c>
      <c r="U694" s="1248" t="str">
        <f>IFERROR(_xlfn.DAYS(T694,$Q$16)-SUM(U$26:U693),"")</f>
        <v/>
      </c>
      <c r="V694" s="1258">
        <f t="shared" ca="1" si="76"/>
        <v>0</v>
      </c>
      <c r="W694" s="1258">
        <f t="shared" ca="1" si="77"/>
        <v>0</v>
      </c>
      <c r="X694" s="1258" t="e">
        <f t="shared" ca="1" si="78"/>
        <v>#N/A</v>
      </c>
      <c r="Y694" s="1240"/>
      <c r="Z694" s="1240"/>
      <c r="AA694" s="1240"/>
      <c r="AB694" s="1240"/>
      <c r="AC694" s="1254" t="e">
        <f t="shared" si="74"/>
        <v>#NUM!</v>
      </c>
      <c r="AD694" s="1240"/>
      <c r="AE694" s="1240"/>
      <c r="AF694" s="1240"/>
      <c r="AG694" s="1240"/>
      <c r="AH694" s="1240"/>
      <c r="AI694" s="1240"/>
      <c r="AJ694" s="1240"/>
      <c r="AK694" s="1240"/>
      <c r="AL694" s="1240"/>
      <c r="AM694" s="1240"/>
      <c r="AN694" s="1240"/>
      <c r="AO694" s="1240"/>
      <c r="AP694" s="1240"/>
    </row>
    <row r="695" spans="1:42" ht="18.75" customHeight="1" x14ac:dyDescent="0.35">
      <c r="A695" s="1240"/>
      <c r="B695" s="1240"/>
      <c r="C695" s="1240"/>
      <c r="D695" s="1240"/>
      <c r="E695" s="1240"/>
      <c r="F695" s="1240"/>
      <c r="G695" s="1240"/>
      <c r="H695" s="1240"/>
      <c r="I695" s="1240"/>
      <c r="J695" s="1240"/>
      <c r="K695" s="1240"/>
      <c r="L695" s="1240"/>
      <c r="M695" s="1240"/>
      <c r="N695" s="1240"/>
      <c r="O695" s="1240"/>
      <c r="P695" s="1247">
        <f t="shared" si="80"/>
        <v>669</v>
      </c>
      <c r="Q695" s="1253" t="e">
        <f t="shared" ca="1" si="79"/>
        <v>#N/A</v>
      </c>
      <c r="R695" s="1247" t="str">
        <f>IFERROR(VLOOKUP(P695,RPCRepaymentDates[],1,FALSE),"")</f>
        <v/>
      </c>
      <c r="S695" s="1259">
        <f t="shared" si="75"/>
        <v>0</v>
      </c>
      <c r="T695" s="1247" t="str">
        <f>IFERROR(VLOOKUP(P695,RPCChargeCycleDates[],1,FALSE),"")</f>
        <v/>
      </c>
      <c r="U695" s="1248" t="str">
        <f>IFERROR(_xlfn.DAYS(T695,$Q$16)-SUM(U$26:U694),"")</f>
        <v/>
      </c>
      <c r="V695" s="1258">
        <f t="shared" ca="1" si="76"/>
        <v>0</v>
      </c>
      <c r="W695" s="1258">
        <f t="shared" ca="1" si="77"/>
        <v>0</v>
      </c>
      <c r="X695" s="1258" t="e">
        <f t="shared" ca="1" si="78"/>
        <v>#N/A</v>
      </c>
      <c r="Y695" s="1240"/>
      <c r="Z695" s="1240"/>
      <c r="AA695" s="1240"/>
      <c r="AB695" s="1240"/>
      <c r="AC695" s="1254" t="e">
        <f t="shared" si="74"/>
        <v>#NUM!</v>
      </c>
      <c r="AD695" s="1240"/>
      <c r="AE695" s="1240"/>
      <c r="AF695" s="1240"/>
      <c r="AG695" s="1240"/>
      <c r="AH695" s="1240"/>
      <c r="AI695" s="1240"/>
      <c r="AJ695" s="1240"/>
      <c r="AK695" s="1240"/>
      <c r="AL695" s="1240"/>
      <c r="AM695" s="1240"/>
      <c r="AN695" s="1240"/>
      <c r="AO695" s="1240"/>
      <c r="AP695" s="1240"/>
    </row>
    <row r="696" spans="1:42" ht="18.75" customHeight="1" x14ac:dyDescent="0.35">
      <c r="A696" s="1240"/>
      <c r="B696" s="1240"/>
      <c r="C696" s="1240"/>
      <c r="D696" s="1240"/>
      <c r="E696" s="1240"/>
      <c r="F696" s="1240"/>
      <c r="G696" s="1240"/>
      <c r="H696" s="1240"/>
      <c r="I696" s="1240"/>
      <c r="J696" s="1240"/>
      <c r="K696" s="1240"/>
      <c r="L696" s="1240"/>
      <c r="M696" s="1240"/>
      <c r="N696" s="1240"/>
      <c r="O696" s="1240"/>
      <c r="P696" s="1247">
        <f t="shared" si="80"/>
        <v>670</v>
      </c>
      <c r="Q696" s="1253" t="e">
        <f t="shared" ca="1" si="79"/>
        <v>#N/A</v>
      </c>
      <c r="R696" s="1247" t="str">
        <f>IFERROR(VLOOKUP(P696,RPCRepaymentDates[],1,FALSE),"")</f>
        <v/>
      </c>
      <c r="S696" s="1259">
        <f t="shared" si="75"/>
        <v>0</v>
      </c>
      <c r="T696" s="1247" t="str">
        <f>IFERROR(VLOOKUP(P696,RPCChargeCycleDates[],1,FALSE),"")</f>
        <v/>
      </c>
      <c r="U696" s="1248" t="str">
        <f>IFERROR(_xlfn.DAYS(T696,$Q$16)-SUM(U$26:U695),"")</f>
        <v/>
      </c>
      <c r="V696" s="1258">
        <f t="shared" ca="1" si="76"/>
        <v>0</v>
      </c>
      <c r="W696" s="1258">
        <f t="shared" ca="1" si="77"/>
        <v>0</v>
      </c>
      <c r="X696" s="1258" t="e">
        <f t="shared" ca="1" si="78"/>
        <v>#N/A</v>
      </c>
      <c r="Y696" s="1240"/>
      <c r="Z696" s="1240"/>
      <c r="AA696" s="1240"/>
      <c r="AB696" s="1240"/>
      <c r="AC696" s="1254" t="e">
        <f t="shared" si="74"/>
        <v>#NUM!</v>
      </c>
      <c r="AD696" s="1240"/>
      <c r="AE696" s="1240"/>
      <c r="AF696" s="1240"/>
      <c r="AG696" s="1240"/>
      <c r="AH696" s="1240"/>
      <c r="AI696" s="1240"/>
      <c r="AJ696" s="1240"/>
      <c r="AK696" s="1240"/>
      <c r="AL696" s="1240"/>
      <c r="AM696" s="1240"/>
      <c r="AN696" s="1240"/>
      <c r="AO696" s="1240"/>
      <c r="AP696" s="1240"/>
    </row>
    <row r="697" spans="1:42" ht="18.75" customHeight="1" x14ac:dyDescent="0.35">
      <c r="A697" s="1240"/>
      <c r="B697" s="1240"/>
      <c r="C697" s="1240"/>
      <c r="D697" s="1240"/>
      <c r="E697" s="1240"/>
      <c r="F697" s="1240"/>
      <c r="G697" s="1240"/>
      <c r="H697" s="1240"/>
      <c r="I697" s="1240"/>
      <c r="J697" s="1240"/>
      <c r="K697" s="1240"/>
      <c r="L697" s="1240"/>
      <c r="M697" s="1240"/>
      <c r="N697" s="1240"/>
      <c r="O697" s="1240"/>
      <c r="P697" s="1247">
        <f t="shared" si="80"/>
        <v>671</v>
      </c>
      <c r="Q697" s="1253" t="e">
        <f t="shared" ca="1" si="79"/>
        <v>#N/A</v>
      </c>
      <c r="R697" s="1247" t="str">
        <f>IFERROR(VLOOKUP(P697,RPCRepaymentDates[],1,FALSE),"")</f>
        <v/>
      </c>
      <c r="S697" s="1259">
        <f t="shared" si="75"/>
        <v>0</v>
      </c>
      <c r="T697" s="1247" t="str">
        <f>IFERROR(VLOOKUP(P697,RPCChargeCycleDates[],1,FALSE),"")</f>
        <v/>
      </c>
      <c r="U697" s="1248" t="str">
        <f>IFERROR(_xlfn.DAYS(T697,$Q$16)-SUM(U$26:U696),"")</f>
        <v/>
      </c>
      <c r="V697" s="1258">
        <f t="shared" ca="1" si="76"/>
        <v>0</v>
      </c>
      <c r="W697" s="1258">
        <f t="shared" ca="1" si="77"/>
        <v>0</v>
      </c>
      <c r="X697" s="1258" t="e">
        <f t="shared" ca="1" si="78"/>
        <v>#N/A</v>
      </c>
      <c r="Y697" s="1240"/>
      <c r="Z697" s="1240"/>
      <c r="AA697" s="1240"/>
      <c r="AB697" s="1240"/>
      <c r="AC697" s="1254" t="e">
        <f t="shared" si="74"/>
        <v>#NUM!</v>
      </c>
      <c r="AD697" s="1240"/>
      <c r="AE697" s="1240"/>
      <c r="AF697" s="1240"/>
      <c r="AG697" s="1240"/>
      <c r="AH697" s="1240"/>
      <c r="AI697" s="1240"/>
      <c r="AJ697" s="1240"/>
      <c r="AK697" s="1240"/>
      <c r="AL697" s="1240"/>
      <c r="AM697" s="1240"/>
      <c r="AN697" s="1240"/>
      <c r="AO697" s="1240"/>
      <c r="AP697" s="1240"/>
    </row>
    <row r="698" spans="1:42" ht="18.75" customHeight="1" x14ac:dyDescent="0.35">
      <c r="A698" s="1240"/>
      <c r="B698" s="1240"/>
      <c r="C698" s="1240"/>
      <c r="D698" s="1240"/>
      <c r="E698" s="1240"/>
      <c r="F698" s="1240"/>
      <c r="G698" s="1240"/>
      <c r="H698" s="1240"/>
      <c r="I698" s="1240"/>
      <c r="J698" s="1240"/>
      <c r="K698" s="1240"/>
      <c r="L698" s="1240"/>
      <c r="M698" s="1240"/>
      <c r="N698" s="1240"/>
      <c r="O698" s="1240"/>
      <c r="P698" s="1247">
        <f t="shared" si="80"/>
        <v>672</v>
      </c>
      <c r="Q698" s="1253" t="e">
        <f t="shared" ca="1" si="79"/>
        <v>#N/A</v>
      </c>
      <c r="R698" s="1247" t="str">
        <f>IFERROR(VLOOKUP(P698,RPCRepaymentDates[],1,FALSE),"")</f>
        <v/>
      </c>
      <c r="S698" s="1259">
        <f t="shared" si="75"/>
        <v>0</v>
      </c>
      <c r="T698" s="1247" t="str">
        <f>IFERROR(VLOOKUP(P698,RPCChargeCycleDates[],1,FALSE),"")</f>
        <v/>
      </c>
      <c r="U698" s="1248" t="str">
        <f>IFERROR(_xlfn.DAYS(T698,$Q$16)-SUM(U$26:U697),"")</f>
        <v/>
      </c>
      <c r="V698" s="1258">
        <f t="shared" ca="1" si="76"/>
        <v>0</v>
      </c>
      <c r="W698" s="1258">
        <f t="shared" ca="1" si="77"/>
        <v>0</v>
      </c>
      <c r="X698" s="1258" t="e">
        <f t="shared" ca="1" si="78"/>
        <v>#N/A</v>
      </c>
      <c r="Y698" s="1240"/>
      <c r="Z698" s="1240"/>
      <c r="AA698" s="1240"/>
      <c r="AB698" s="1240"/>
      <c r="AC698" s="1254" t="e">
        <f t="shared" si="74"/>
        <v>#NUM!</v>
      </c>
      <c r="AD698" s="1240"/>
      <c r="AE698" s="1240"/>
      <c r="AF698" s="1240"/>
      <c r="AG698" s="1240"/>
      <c r="AH698" s="1240"/>
      <c r="AI698" s="1240"/>
      <c r="AJ698" s="1240"/>
      <c r="AK698" s="1240"/>
      <c r="AL698" s="1240"/>
      <c r="AM698" s="1240"/>
      <c r="AN698" s="1240"/>
      <c r="AO698" s="1240"/>
      <c r="AP698" s="1240"/>
    </row>
    <row r="699" spans="1:42" ht="18.75" customHeight="1" x14ac:dyDescent="0.35">
      <c r="A699" s="1240"/>
      <c r="B699" s="1240"/>
      <c r="C699" s="1240"/>
      <c r="D699" s="1240"/>
      <c r="E699" s="1240"/>
      <c r="F699" s="1240"/>
      <c r="G699" s="1240"/>
      <c r="H699" s="1240"/>
      <c r="I699" s="1240"/>
      <c r="J699" s="1240"/>
      <c r="K699" s="1240"/>
      <c r="L699" s="1240"/>
      <c r="M699" s="1240"/>
      <c r="N699" s="1240"/>
      <c r="O699" s="1240"/>
      <c r="P699" s="1247">
        <f t="shared" si="80"/>
        <v>673</v>
      </c>
      <c r="Q699" s="1253" t="e">
        <f t="shared" ca="1" si="79"/>
        <v>#N/A</v>
      </c>
      <c r="R699" s="1247" t="str">
        <f>IFERROR(VLOOKUP(P699,RPCRepaymentDates[],1,FALSE),"")</f>
        <v/>
      </c>
      <c r="S699" s="1259">
        <f t="shared" si="75"/>
        <v>0</v>
      </c>
      <c r="T699" s="1247" t="str">
        <f>IFERROR(VLOOKUP(P699,RPCChargeCycleDates[],1,FALSE),"")</f>
        <v/>
      </c>
      <c r="U699" s="1248" t="str">
        <f>IFERROR(_xlfn.DAYS(T699,$Q$16)-SUM(U$26:U698),"")</f>
        <v/>
      </c>
      <c r="V699" s="1258">
        <f t="shared" ca="1" si="76"/>
        <v>0</v>
      </c>
      <c r="W699" s="1258">
        <f t="shared" ca="1" si="77"/>
        <v>0</v>
      </c>
      <c r="X699" s="1258" t="e">
        <f t="shared" ca="1" si="78"/>
        <v>#N/A</v>
      </c>
      <c r="Y699" s="1240"/>
      <c r="Z699" s="1240"/>
      <c r="AA699" s="1240"/>
      <c r="AB699" s="1240"/>
      <c r="AC699" s="1254" t="e">
        <f t="shared" si="74"/>
        <v>#NUM!</v>
      </c>
      <c r="AD699" s="1240"/>
      <c r="AE699" s="1240"/>
      <c r="AF699" s="1240"/>
      <c r="AG699" s="1240"/>
      <c r="AH699" s="1240"/>
      <c r="AI699" s="1240"/>
      <c r="AJ699" s="1240"/>
      <c r="AK699" s="1240"/>
      <c r="AL699" s="1240"/>
      <c r="AM699" s="1240"/>
      <c r="AN699" s="1240"/>
      <c r="AO699" s="1240"/>
      <c r="AP699" s="1240"/>
    </row>
    <row r="700" spans="1:42" ht="18.75" customHeight="1" x14ac:dyDescent="0.35">
      <c r="A700" s="1240"/>
      <c r="B700" s="1240"/>
      <c r="C700" s="1240"/>
      <c r="D700" s="1240"/>
      <c r="E700" s="1240"/>
      <c r="F700" s="1240"/>
      <c r="G700" s="1240"/>
      <c r="H700" s="1240"/>
      <c r="I700" s="1240"/>
      <c r="J700" s="1240"/>
      <c r="K700" s="1240"/>
      <c r="L700" s="1240"/>
      <c r="M700" s="1240"/>
      <c r="N700" s="1240"/>
      <c r="O700" s="1240"/>
      <c r="P700" s="1247">
        <f t="shared" si="80"/>
        <v>674</v>
      </c>
      <c r="Q700" s="1253" t="e">
        <f t="shared" ca="1" si="79"/>
        <v>#N/A</v>
      </c>
      <c r="R700" s="1247" t="str">
        <f>IFERROR(VLOOKUP(P700,RPCRepaymentDates[],1,FALSE),"")</f>
        <v/>
      </c>
      <c r="S700" s="1259">
        <f t="shared" si="75"/>
        <v>0</v>
      </c>
      <c r="T700" s="1247" t="str">
        <f>IFERROR(VLOOKUP(P700,RPCChargeCycleDates[],1,FALSE),"")</f>
        <v/>
      </c>
      <c r="U700" s="1248" t="str">
        <f>IFERROR(_xlfn.DAYS(T700,$Q$16)-SUM(U$26:U699),"")</f>
        <v/>
      </c>
      <c r="V700" s="1258">
        <f t="shared" ca="1" si="76"/>
        <v>0</v>
      </c>
      <c r="W700" s="1258">
        <f t="shared" ca="1" si="77"/>
        <v>0</v>
      </c>
      <c r="X700" s="1258" t="e">
        <f t="shared" ca="1" si="78"/>
        <v>#N/A</v>
      </c>
      <c r="Y700" s="1240"/>
      <c r="Z700" s="1240"/>
      <c r="AA700" s="1240"/>
      <c r="AB700" s="1240"/>
      <c r="AC700" s="1254" t="e">
        <f t="shared" si="74"/>
        <v>#NUM!</v>
      </c>
      <c r="AD700" s="1240"/>
      <c r="AE700" s="1240"/>
      <c r="AF700" s="1240"/>
      <c r="AG700" s="1240"/>
      <c r="AH700" s="1240"/>
      <c r="AI700" s="1240"/>
      <c r="AJ700" s="1240"/>
      <c r="AK700" s="1240"/>
      <c r="AL700" s="1240"/>
      <c r="AM700" s="1240"/>
      <c r="AN700" s="1240"/>
      <c r="AO700" s="1240"/>
      <c r="AP700" s="1240"/>
    </row>
    <row r="701" spans="1:42" ht="18.75" customHeight="1" x14ac:dyDescent="0.35">
      <c r="A701" s="1240"/>
      <c r="B701" s="1240"/>
      <c r="C701" s="1240"/>
      <c r="D701" s="1240"/>
      <c r="E701" s="1240"/>
      <c r="F701" s="1240"/>
      <c r="G701" s="1240"/>
      <c r="H701" s="1240"/>
      <c r="I701" s="1240"/>
      <c r="J701" s="1240"/>
      <c r="K701" s="1240"/>
      <c r="L701" s="1240"/>
      <c r="M701" s="1240"/>
      <c r="N701" s="1240"/>
      <c r="O701" s="1240"/>
      <c r="P701" s="1247">
        <f t="shared" si="80"/>
        <v>675</v>
      </c>
      <c r="Q701" s="1253" t="e">
        <f t="shared" ca="1" si="79"/>
        <v>#N/A</v>
      </c>
      <c r="R701" s="1247" t="str">
        <f>IFERROR(VLOOKUP(P701,RPCRepaymentDates[],1,FALSE),"")</f>
        <v/>
      </c>
      <c r="S701" s="1259">
        <f t="shared" si="75"/>
        <v>0</v>
      </c>
      <c r="T701" s="1247" t="str">
        <f>IFERROR(VLOOKUP(P701,RPCChargeCycleDates[],1,FALSE),"")</f>
        <v/>
      </c>
      <c r="U701" s="1248" t="str">
        <f>IFERROR(_xlfn.DAYS(T701,$Q$16)-SUM(U$26:U700),"")</f>
        <v/>
      </c>
      <c r="V701" s="1258">
        <f t="shared" ca="1" si="76"/>
        <v>0</v>
      </c>
      <c r="W701" s="1258">
        <f t="shared" ca="1" si="77"/>
        <v>0</v>
      </c>
      <c r="X701" s="1258" t="e">
        <f t="shared" ca="1" si="78"/>
        <v>#N/A</v>
      </c>
      <c r="Y701" s="1240"/>
      <c r="Z701" s="1240"/>
      <c r="AA701" s="1240"/>
      <c r="AB701" s="1240"/>
      <c r="AC701" s="1254" t="e">
        <f t="shared" si="74"/>
        <v>#NUM!</v>
      </c>
      <c r="AD701" s="1240"/>
      <c r="AE701" s="1240"/>
      <c r="AF701" s="1240"/>
      <c r="AG701" s="1240"/>
      <c r="AH701" s="1240"/>
      <c r="AI701" s="1240"/>
      <c r="AJ701" s="1240"/>
      <c r="AK701" s="1240"/>
      <c r="AL701" s="1240"/>
      <c r="AM701" s="1240"/>
      <c r="AN701" s="1240"/>
      <c r="AO701" s="1240"/>
      <c r="AP701" s="1240"/>
    </row>
    <row r="702" spans="1:42" ht="18.75" customHeight="1" x14ac:dyDescent="0.35">
      <c r="A702" s="1240"/>
      <c r="B702" s="1240"/>
      <c r="C702" s="1240"/>
      <c r="D702" s="1240"/>
      <c r="E702" s="1240"/>
      <c r="F702" s="1240"/>
      <c r="G702" s="1240"/>
      <c r="H702" s="1240"/>
      <c r="I702" s="1240"/>
      <c r="J702" s="1240"/>
      <c r="K702" s="1240"/>
      <c r="L702" s="1240"/>
      <c r="M702" s="1240"/>
      <c r="N702" s="1240"/>
      <c r="O702" s="1240"/>
      <c r="P702" s="1247">
        <f t="shared" si="80"/>
        <v>676</v>
      </c>
      <c r="Q702" s="1253" t="e">
        <f t="shared" ca="1" si="79"/>
        <v>#N/A</v>
      </c>
      <c r="R702" s="1247" t="str">
        <f>IFERROR(VLOOKUP(P702,RPCRepaymentDates[],1,FALSE),"")</f>
        <v/>
      </c>
      <c r="S702" s="1259">
        <f t="shared" si="75"/>
        <v>0</v>
      </c>
      <c r="T702" s="1247" t="str">
        <f>IFERROR(VLOOKUP(P702,RPCChargeCycleDates[],1,FALSE),"")</f>
        <v/>
      </c>
      <c r="U702" s="1248" t="str">
        <f>IFERROR(_xlfn.DAYS(T702,$Q$16)-SUM(U$26:U701),"")</f>
        <v/>
      </c>
      <c r="V702" s="1258">
        <f t="shared" ca="1" si="76"/>
        <v>0</v>
      </c>
      <c r="W702" s="1258">
        <f t="shared" ca="1" si="77"/>
        <v>0</v>
      </c>
      <c r="X702" s="1258" t="e">
        <f t="shared" ca="1" si="78"/>
        <v>#N/A</v>
      </c>
      <c r="Y702" s="1240"/>
      <c r="Z702" s="1240"/>
      <c r="AA702" s="1240"/>
      <c r="AB702" s="1240"/>
      <c r="AC702" s="1254" t="e">
        <f t="shared" si="74"/>
        <v>#NUM!</v>
      </c>
      <c r="AD702" s="1240"/>
      <c r="AE702" s="1240"/>
      <c r="AF702" s="1240"/>
      <c r="AG702" s="1240"/>
      <c r="AH702" s="1240"/>
      <c r="AI702" s="1240"/>
      <c r="AJ702" s="1240"/>
      <c r="AK702" s="1240"/>
      <c r="AL702" s="1240"/>
      <c r="AM702" s="1240"/>
      <c r="AN702" s="1240"/>
      <c r="AO702" s="1240"/>
      <c r="AP702" s="1240"/>
    </row>
    <row r="703" spans="1:42" ht="18.75" customHeight="1" x14ac:dyDescent="0.35">
      <c r="A703" s="1240"/>
      <c r="B703" s="1240"/>
      <c r="C703" s="1240"/>
      <c r="D703" s="1240"/>
      <c r="E703" s="1240"/>
      <c r="F703" s="1240"/>
      <c r="G703" s="1240"/>
      <c r="H703" s="1240"/>
      <c r="I703" s="1240"/>
      <c r="J703" s="1240"/>
      <c r="K703" s="1240"/>
      <c r="L703" s="1240"/>
      <c r="M703" s="1240"/>
      <c r="N703" s="1240"/>
      <c r="O703" s="1240"/>
      <c r="P703" s="1247">
        <f t="shared" si="80"/>
        <v>677</v>
      </c>
      <c r="Q703" s="1253" t="e">
        <f t="shared" ca="1" si="79"/>
        <v>#N/A</v>
      </c>
      <c r="R703" s="1247" t="str">
        <f>IFERROR(VLOOKUP(P703,RPCRepaymentDates[],1,FALSE),"")</f>
        <v/>
      </c>
      <c r="S703" s="1259">
        <f t="shared" si="75"/>
        <v>0</v>
      </c>
      <c r="T703" s="1247" t="str">
        <f>IFERROR(VLOOKUP(P703,RPCChargeCycleDates[],1,FALSE),"")</f>
        <v/>
      </c>
      <c r="U703" s="1248" t="str">
        <f>IFERROR(_xlfn.DAYS(T703,$Q$16)-SUM(U$26:U702),"")</f>
        <v/>
      </c>
      <c r="V703" s="1258">
        <f t="shared" ca="1" si="76"/>
        <v>0</v>
      </c>
      <c r="W703" s="1258">
        <f t="shared" ca="1" si="77"/>
        <v>0</v>
      </c>
      <c r="X703" s="1258" t="e">
        <f t="shared" ca="1" si="78"/>
        <v>#N/A</v>
      </c>
      <c r="Y703" s="1240"/>
      <c r="Z703" s="1240"/>
      <c r="AA703" s="1240"/>
      <c r="AB703" s="1240"/>
      <c r="AC703" s="1254" t="e">
        <f t="shared" ref="AC703:AC766" si="81">IF(RPCRepaymentFrequency="Monthly",EDATE(AC702,1),IF(RPCRepaymentFrequency="Fortnightly",AC702+14,AC702+7))</f>
        <v>#NUM!</v>
      </c>
      <c r="AD703" s="1240"/>
      <c r="AE703" s="1240"/>
      <c r="AF703" s="1240"/>
      <c r="AG703" s="1240"/>
      <c r="AH703" s="1240"/>
      <c r="AI703" s="1240"/>
      <c r="AJ703" s="1240"/>
      <c r="AK703" s="1240"/>
      <c r="AL703" s="1240"/>
      <c r="AM703" s="1240"/>
      <c r="AN703" s="1240"/>
      <c r="AO703" s="1240"/>
      <c r="AP703" s="1240"/>
    </row>
    <row r="704" spans="1:42" ht="18.75" customHeight="1" x14ac:dyDescent="0.35">
      <c r="A704" s="1240"/>
      <c r="B704" s="1240"/>
      <c r="C704" s="1240"/>
      <c r="D704" s="1240"/>
      <c r="E704" s="1240"/>
      <c r="F704" s="1240"/>
      <c r="G704" s="1240"/>
      <c r="H704" s="1240"/>
      <c r="I704" s="1240"/>
      <c r="J704" s="1240"/>
      <c r="K704" s="1240"/>
      <c r="L704" s="1240"/>
      <c r="M704" s="1240"/>
      <c r="N704" s="1240"/>
      <c r="O704" s="1240"/>
      <c r="P704" s="1247">
        <f t="shared" si="80"/>
        <v>678</v>
      </c>
      <c r="Q704" s="1253" t="e">
        <f t="shared" ca="1" si="79"/>
        <v>#N/A</v>
      </c>
      <c r="R704" s="1247" t="str">
        <f>IFERROR(VLOOKUP(P704,RPCRepaymentDates[],1,FALSE),"")</f>
        <v/>
      </c>
      <c r="S704" s="1259">
        <f t="shared" si="75"/>
        <v>0</v>
      </c>
      <c r="T704" s="1247" t="str">
        <f>IFERROR(VLOOKUP(P704,RPCChargeCycleDates[],1,FALSE),"")</f>
        <v/>
      </c>
      <c r="U704" s="1248" t="str">
        <f>IFERROR(_xlfn.DAYS(T704,$Q$16)-SUM(U$26:U703),"")</f>
        <v/>
      </c>
      <c r="V704" s="1258">
        <f t="shared" ca="1" si="76"/>
        <v>0</v>
      </c>
      <c r="W704" s="1258">
        <f t="shared" ca="1" si="77"/>
        <v>0</v>
      </c>
      <c r="X704" s="1258" t="e">
        <f t="shared" ca="1" si="78"/>
        <v>#N/A</v>
      </c>
      <c r="Y704" s="1240"/>
      <c r="Z704" s="1240"/>
      <c r="AA704" s="1240"/>
      <c r="AB704" s="1240"/>
      <c r="AC704" s="1254" t="e">
        <f t="shared" si="81"/>
        <v>#NUM!</v>
      </c>
      <c r="AD704" s="1240"/>
      <c r="AE704" s="1240"/>
      <c r="AF704" s="1240"/>
      <c r="AG704" s="1240"/>
      <c r="AH704" s="1240"/>
      <c r="AI704" s="1240"/>
      <c r="AJ704" s="1240"/>
      <c r="AK704" s="1240"/>
      <c r="AL704" s="1240"/>
      <c r="AM704" s="1240"/>
      <c r="AN704" s="1240"/>
      <c r="AO704" s="1240"/>
      <c r="AP704" s="1240"/>
    </row>
    <row r="705" spans="1:42" ht="18.75" customHeight="1" x14ac:dyDescent="0.35">
      <c r="A705" s="1240"/>
      <c r="B705" s="1240"/>
      <c r="C705" s="1240"/>
      <c r="D705" s="1240"/>
      <c r="E705" s="1240"/>
      <c r="F705" s="1240"/>
      <c r="G705" s="1240"/>
      <c r="H705" s="1240"/>
      <c r="I705" s="1240"/>
      <c r="J705" s="1240"/>
      <c r="K705" s="1240"/>
      <c r="L705" s="1240"/>
      <c r="M705" s="1240"/>
      <c r="N705" s="1240"/>
      <c r="O705" s="1240"/>
      <c r="P705" s="1247">
        <f t="shared" si="80"/>
        <v>679</v>
      </c>
      <c r="Q705" s="1253" t="e">
        <f t="shared" ca="1" si="79"/>
        <v>#N/A</v>
      </c>
      <c r="R705" s="1247" t="str">
        <f>IFERROR(VLOOKUP(P705,RPCRepaymentDates[],1,FALSE),"")</f>
        <v/>
      </c>
      <c r="S705" s="1259">
        <f t="shared" si="75"/>
        <v>0</v>
      </c>
      <c r="T705" s="1247" t="str">
        <f>IFERROR(VLOOKUP(P705,RPCChargeCycleDates[],1,FALSE),"")</f>
        <v/>
      </c>
      <c r="U705" s="1248" t="str">
        <f>IFERROR(_xlfn.DAYS(T705,$Q$16)-SUM(U$26:U704),"")</f>
        <v/>
      </c>
      <c r="V705" s="1258">
        <f t="shared" ca="1" si="76"/>
        <v>0</v>
      </c>
      <c r="W705" s="1258">
        <f t="shared" ca="1" si="77"/>
        <v>0</v>
      </c>
      <c r="X705" s="1258" t="e">
        <f t="shared" ca="1" si="78"/>
        <v>#N/A</v>
      </c>
      <c r="Y705" s="1240"/>
      <c r="Z705" s="1240"/>
      <c r="AA705" s="1240"/>
      <c r="AB705" s="1240"/>
      <c r="AC705" s="1254" t="e">
        <f t="shared" si="81"/>
        <v>#NUM!</v>
      </c>
      <c r="AD705" s="1240"/>
      <c r="AE705" s="1240"/>
      <c r="AF705" s="1240"/>
      <c r="AG705" s="1240"/>
      <c r="AH705" s="1240"/>
      <c r="AI705" s="1240"/>
      <c r="AJ705" s="1240"/>
      <c r="AK705" s="1240"/>
      <c r="AL705" s="1240"/>
      <c r="AM705" s="1240"/>
      <c r="AN705" s="1240"/>
      <c r="AO705" s="1240"/>
      <c r="AP705" s="1240"/>
    </row>
    <row r="706" spans="1:42" ht="18.75" customHeight="1" x14ac:dyDescent="0.35">
      <c r="A706" s="1240"/>
      <c r="B706" s="1240"/>
      <c r="C706" s="1240"/>
      <c r="D706" s="1240"/>
      <c r="E706" s="1240"/>
      <c r="F706" s="1240"/>
      <c r="G706" s="1240"/>
      <c r="H706" s="1240"/>
      <c r="I706" s="1240"/>
      <c r="J706" s="1240"/>
      <c r="K706" s="1240"/>
      <c r="L706" s="1240"/>
      <c r="M706" s="1240"/>
      <c r="N706" s="1240"/>
      <c r="O706" s="1240"/>
      <c r="P706" s="1247">
        <f t="shared" si="80"/>
        <v>680</v>
      </c>
      <c r="Q706" s="1253" t="e">
        <f t="shared" ca="1" si="79"/>
        <v>#N/A</v>
      </c>
      <c r="R706" s="1247" t="str">
        <f>IFERROR(VLOOKUP(P706,RPCRepaymentDates[],1,FALSE),"")</f>
        <v/>
      </c>
      <c r="S706" s="1259">
        <f t="shared" si="75"/>
        <v>0</v>
      </c>
      <c r="T706" s="1247" t="str">
        <f>IFERROR(VLOOKUP(P706,RPCChargeCycleDates[],1,FALSE),"")</f>
        <v/>
      </c>
      <c r="U706" s="1248" t="str">
        <f>IFERROR(_xlfn.DAYS(T706,$Q$16)-SUM(U$26:U705),"")</f>
        <v/>
      </c>
      <c r="V706" s="1258">
        <f t="shared" ca="1" si="76"/>
        <v>0</v>
      </c>
      <c r="W706" s="1258">
        <f t="shared" ca="1" si="77"/>
        <v>0</v>
      </c>
      <c r="X706" s="1258" t="e">
        <f t="shared" ca="1" si="78"/>
        <v>#N/A</v>
      </c>
      <c r="Y706" s="1240"/>
      <c r="Z706" s="1240"/>
      <c r="AA706" s="1240"/>
      <c r="AB706" s="1240"/>
      <c r="AC706" s="1254" t="e">
        <f t="shared" si="81"/>
        <v>#NUM!</v>
      </c>
      <c r="AD706" s="1240"/>
      <c r="AE706" s="1240"/>
      <c r="AF706" s="1240"/>
      <c r="AG706" s="1240"/>
      <c r="AH706" s="1240"/>
      <c r="AI706" s="1240"/>
      <c r="AJ706" s="1240"/>
      <c r="AK706" s="1240"/>
      <c r="AL706" s="1240"/>
      <c r="AM706" s="1240"/>
      <c r="AN706" s="1240"/>
      <c r="AO706" s="1240"/>
      <c r="AP706" s="1240"/>
    </row>
    <row r="707" spans="1:42" ht="18.75" customHeight="1" x14ac:dyDescent="0.35">
      <c r="A707" s="1240"/>
      <c r="B707" s="1240"/>
      <c r="C707" s="1240"/>
      <c r="D707" s="1240"/>
      <c r="E707" s="1240"/>
      <c r="F707" s="1240"/>
      <c r="G707" s="1240"/>
      <c r="H707" s="1240"/>
      <c r="I707" s="1240"/>
      <c r="J707" s="1240"/>
      <c r="K707" s="1240"/>
      <c r="L707" s="1240"/>
      <c r="M707" s="1240"/>
      <c r="N707" s="1240"/>
      <c r="O707" s="1240"/>
      <c r="P707" s="1247">
        <f t="shared" si="80"/>
        <v>681</v>
      </c>
      <c r="Q707" s="1253" t="e">
        <f t="shared" ca="1" si="79"/>
        <v>#N/A</v>
      </c>
      <c r="R707" s="1247" t="str">
        <f>IFERROR(VLOOKUP(P707,RPCRepaymentDates[],1,FALSE),"")</f>
        <v/>
      </c>
      <c r="S707" s="1259">
        <f t="shared" si="75"/>
        <v>0</v>
      </c>
      <c r="T707" s="1247" t="str">
        <f>IFERROR(VLOOKUP(P707,RPCChargeCycleDates[],1,FALSE),"")</f>
        <v/>
      </c>
      <c r="U707" s="1248" t="str">
        <f>IFERROR(_xlfn.DAYS(T707,$Q$16)-SUM(U$26:U706),"")</f>
        <v/>
      </c>
      <c r="V707" s="1258">
        <f t="shared" ca="1" si="76"/>
        <v>0</v>
      </c>
      <c r="W707" s="1258">
        <f t="shared" ca="1" si="77"/>
        <v>0</v>
      </c>
      <c r="X707" s="1258" t="e">
        <f t="shared" ca="1" si="78"/>
        <v>#N/A</v>
      </c>
      <c r="Y707" s="1240"/>
      <c r="Z707" s="1240"/>
      <c r="AA707" s="1240"/>
      <c r="AB707" s="1240"/>
      <c r="AC707" s="1254" t="e">
        <f t="shared" si="81"/>
        <v>#NUM!</v>
      </c>
      <c r="AD707" s="1240"/>
      <c r="AE707" s="1240"/>
      <c r="AF707" s="1240"/>
      <c r="AG707" s="1240"/>
      <c r="AH707" s="1240"/>
      <c r="AI707" s="1240"/>
      <c r="AJ707" s="1240"/>
      <c r="AK707" s="1240"/>
      <c r="AL707" s="1240"/>
      <c r="AM707" s="1240"/>
      <c r="AN707" s="1240"/>
      <c r="AO707" s="1240"/>
      <c r="AP707" s="1240"/>
    </row>
    <row r="708" spans="1:42" ht="18.75" customHeight="1" x14ac:dyDescent="0.35">
      <c r="A708" s="1240"/>
      <c r="B708" s="1240"/>
      <c r="C708" s="1240"/>
      <c r="D708" s="1240"/>
      <c r="E708" s="1240"/>
      <c r="F708" s="1240"/>
      <c r="G708" s="1240"/>
      <c r="H708" s="1240"/>
      <c r="I708" s="1240"/>
      <c r="J708" s="1240"/>
      <c r="K708" s="1240"/>
      <c r="L708" s="1240"/>
      <c r="M708" s="1240"/>
      <c r="N708" s="1240"/>
      <c r="O708" s="1240"/>
      <c r="P708" s="1247">
        <f t="shared" si="80"/>
        <v>682</v>
      </c>
      <c r="Q708" s="1253" t="e">
        <f t="shared" ca="1" si="79"/>
        <v>#N/A</v>
      </c>
      <c r="R708" s="1247" t="str">
        <f>IFERROR(VLOOKUP(P708,RPCRepaymentDates[],1,FALSE),"")</f>
        <v/>
      </c>
      <c r="S708" s="1259">
        <f t="shared" si="75"/>
        <v>0</v>
      </c>
      <c r="T708" s="1247" t="str">
        <f>IFERROR(VLOOKUP(P708,RPCChargeCycleDates[],1,FALSE),"")</f>
        <v/>
      </c>
      <c r="U708" s="1248" t="str">
        <f>IFERROR(_xlfn.DAYS(T708,$Q$16)-SUM(U$26:U707),"")</f>
        <v/>
      </c>
      <c r="V708" s="1258">
        <f t="shared" ca="1" si="76"/>
        <v>0</v>
      </c>
      <c r="W708" s="1258">
        <f t="shared" ca="1" si="77"/>
        <v>0</v>
      </c>
      <c r="X708" s="1258" t="e">
        <f t="shared" ca="1" si="78"/>
        <v>#N/A</v>
      </c>
      <c r="Y708" s="1240"/>
      <c r="Z708" s="1240"/>
      <c r="AA708" s="1240"/>
      <c r="AB708" s="1240"/>
      <c r="AC708" s="1254" t="e">
        <f t="shared" si="81"/>
        <v>#NUM!</v>
      </c>
      <c r="AD708" s="1240"/>
      <c r="AE708" s="1240"/>
      <c r="AF708" s="1240"/>
      <c r="AG708" s="1240"/>
      <c r="AH708" s="1240"/>
      <c r="AI708" s="1240"/>
      <c r="AJ708" s="1240"/>
      <c r="AK708" s="1240"/>
      <c r="AL708" s="1240"/>
      <c r="AM708" s="1240"/>
      <c r="AN708" s="1240"/>
      <c r="AO708" s="1240"/>
      <c r="AP708" s="1240"/>
    </row>
    <row r="709" spans="1:42" ht="18.75" customHeight="1" x14ac:dyDescent="0.35">
      <c r="A709" s="1240"/>
      <c r="B709" s="1240"/>
      <c r="C709" s="1240"/>
      <c r="D709" s="1240"/>
      <c r="E709" s="1240"/>
      <c r="F709" s="1240"/>
      <c r="G709" s="1240"/>
      <c r="H709" s="1240"/>
      <c r="I709" s="1240"/>
      <c r="J709" s="1240"/>
      <c r="K709" s="1240"/>
      <c r="L709" s="1240"/>
      <c r="M709" s="1240"/>
      <c r="N709" s="1240"/>
      <c r="O709" s="1240"/>
      <c r="P709" s="1247">
        <f t="shared" si="80"/>
        <v>683</v>
      </c>
      <c r="Q709" s="1253" t="e">
        <f t="shared" ca="1" si="79"/>
        <v>#N/A</v>
      </c>
      <c r="R709" s="1247" t="str">
        <f>IFERROR(VLOOKUP(P709,RPCRepaymentDates[],1,FALSE),"")</f>
        <v/>
      </c>
      <c r="S709" s="1259">
        <f t="shared" si="75"/>
        <v>0</v>
      </c>
      <c r="T709" s="1247" t="str">
        <f>IFERROR(VLOOKUP(P709,RPCChargeCycleDates[],1,FALSE),"")</f>
        <v/>
      </c>
      <c r="U709" s="1248" t="str">
        <f>IFERROR(_xlfn.DAYS(T709,$Q$16)-SUM(U$26:U708),"")</f>
        <v/>
      </c>
      <c r="V709" s="1258">
        <f t="shared" ca="1" si="76"/>
        <v>0</v>
      </c>
      <c r="W709" s="1258">
        <f t="shared" ca="1" si="77"/>
        <v>0</v>
      </c>
      <c r="X709" s="1258" t="e">
        <f t="shared" ca="1" si="78"/>
        <v>#N/A</v>
      </c>
      <c r="Y709" s="1240"/>
      <c r="Z709" s="1240"/>
      <c r="AA709" s="1240"/>
      <c r="AB709" s="1240"/>
      <c r="AC709" s="1254" t="e">
        <f t="shared" si="81"/>
        <v>#NUM!</v>
      </c>
      <c r="AD709" s="1240"/>
      <c r="AE709" s="1240"/>
      <c r="AF709" s="1240"/>
      <c r="AG709" s="1240"/>
      <c r="AH709" s="1240"/>
      <c r="AI709" s="1240"/>
      <c r="AJ709" s="1240"/>
      <c r="AK709" s="1240"/>
      <c r="AL709" s="1240"/>
      <c r="AM709" s="1240"/>
      <c r="AN709" s="1240"/>
      <c r="AO709" s="1240"/>
      <c r="AP709" s="1240"/>
    </row>
    <row r="710" spans="1:42" ht="18.75" customHeight="1" x14ac:dyDescent="0.35">
      <c r="A710" s="1240"/>
      <c r="B710" s="1240"/>
      <c r="C710" s="1240"/>
      <c r="D710" s="1240"/>
      <c r="E710" s="1240"/>
      <c r="F710" s="1240"/>
      <c r="G710" s="1240"/>
      <c r="H710" s="1240"/>
      <c r="I710" s="1240"/>
      <c r="J710" s="1240"/>
      <c r="K710" s="1240"/>
      <c r="L710" s="1240"/>
      <c r="M710" s="1240"/>
      <c r="N710" s="1240"/>
      <c r="O710" s="1240"/>
      <c r="P710" s="1247">
        <f t="shared" si="80"/>
        <v>684</v>
      </c>
      <c r="Q710" s="1253" t="e">
        <f t="shared" ca="1" si="79"/>
        <v>#N/A</v>
      </c>
      <c r="R710" s="1247" t="str">
        <f>IFERROR(VLOOKUP(P710,RPCRepaymentDates[],1,FALSE),"")</f>
        <v/>
      </c>
      <c r="S710" s="1259">
        <f t="shared" si="75"/>
        <v>0</v>
      </c>
      <c r="T710" s="1247" t="str">
        <f>IFERROR(VLOOKUP(P710,RPCChargeCycleDates[],1,FALSE),"")</f>
        <v/>
      </c>
      <c r="U710" s="1248" t="str">
        <f>IFERROR(_xlfn.DAYS(T710,$Q$16)-SUM(U$26:U709),"")</f>
        <v/>
      </c>
      <c r="V710" s="1258">
        <f t="shared" ca="1" si="76"/>
        <v>0</v>
      </c>
      <c r="W710" s="1258">
        <f t="shared" ca="1" si="77"/>
        <v>0</v>
      </c>
      <c r="X710" s="1258" t="e">
        <f t="shared" ca="1" si="78"/>
        <v>#N/A</v>
      </c>
      <c r="Y710" s="1240"/>
      <c r="Z710" s="1240"/>
      <c r="AA710" s="1240"/>
      <c r="AB710" s="1240"/>
      <c r="AC710" s="1254" t="e">
        <f t="shared" si="81"/>
        <v>#NUM!</v>
      </c>
      <c r="AD710" s="1240"/>
      <c r="AE710" s="1240"/>
      <c r="AF710" s="1240"/>
      <c r="AG710" s="1240"/>
      <c r="AH710" s="1240"/>
      <c r="AI710" s="1240"/>
      <c r="AJ710" s="1240"/>
      <c r="AK710" s="1240"/>
      <c r="AL710" s="1240"/>
      <c r="AM710" s="1240"/>
      <c r="AN710" s="1240"/>
      <c r="AO710" s="1240"/>
      <c r="AP710" s="1240"/>
    </row>
    <row r="711" spans="1:42" ht="18.75" customHeight="1" x14ac:dyDescent="0.35">
      <c r="A711" s="1240"/>
      <c r="B711" s="1240"/>
      <c r="C711" s="1240"/>
      <c r="D711" s="1240"/>
      <c r="E711" s="1240"/>
      <c r="F711" s="1240"/>
      <c r="G711" s="1240"/>
      <c r="H711" s="1240"/>
      <c r="I711" s="1240"/>
      <c r="J711" s="1240"/>
      <c r="K711" s="1240"/>
      <c r="L711" s="1240"/>
      <c r="M711" s="1240"/>
      <c r="N711" s="1240"/>
      <c r="O711" s="1240"/>
      <c r="P711" s="1247">
        <f t="shared" si="80"/>
        <v>685</v>
      </c>
      <c r="Q711" s="1253" t="e">
        <f t="shared" ca="1" si="79"/>
        <v>#N/A</v>
      </c>
      <c r="R711" s="1247" t="str">
        <f>IFERROR(VLOOKUP(P711,RPCRepaymentDates[],1,FALSE),"")</f>
        <v/>
      </c>
      <c r="S711" s="1259">
        <f t="shared" si="75"/>
        <v>0</v>
      </c>
      <c r="T711" s="1247" t="str">
        <f>IFERROR(VLOOKUP(P711,RPCChargeCycleDates[],1,FALSE),"")</f>
        <v/>
      </c>
      <c r="U711" s="1248" t="str">
        <f>IFERROR(_xlfn.DAYS(T711,$Q$16)-SUM(U$26:U710),"")</f>
        <v/>
      </c>
      <c r="V711" s="1258">
        <f t="shared" ca="1" si="76"/>
        <v>0</v>
      </c>
      <c r="W711" s="1258">
        <f t="shared" ca="1" si="77"/>
        <v>0</v>
      </c>
      <c r="X711" s="1258" t="e">
        <f t="shared" ca="1" si="78"/>
        <v>#N/A</v>
      </c>
      <c r="Y711" s="1240"/>
      <c r="Z711" s="1240"/>
      <c r="AA711" s="1240"/>
      <c r="AB711" s="1240"/>
      <c r="AC711" s="1254" t="e">
        <f t="shared" si="81"/>
        <v>#NUM!</v>
      </c>
      <c r="AD711" s="1240"/>
      <c r="AE711" s="1240"/>
      <c r="AF711" s="1240"/>
      <c r="AG711" s="1240"/>
      <c r="AH711" s="1240"/>
      <c r="AI711" s="1240"/>
      <c r="AJ711" s="1240"/>
      <c r="AK711" s="1240"/>
      <c r="AL711" s="1240"/>
      <c r="AM711" s="1240"/>
      <c r="AN711" s="1240"/>
      <c r="AO711" s="1240"/>
      <c r="AP711" s="1240"/>
    </row>
    <row r="712" spans="1:42" ht="18.75" customHeight="1" x14ac:dyDescent="0.35">
      <c r="A712" s="1240"/>
      <c r="B712" s="1240"/>
      <c r="C712" s="1240"/>
      <c r="D712" s="1240"/>
      <c r="E712" s="1240"/>
      <c r="F712" s="1240"/>
      <c r="G712" s="1240"/>
      <c r="H712" s="1240"/>
      <c r="I712" s="1240"/>
      <c r="J712" s="1240"/>
      <c r="K712" s="1240"/>
      <c r="L712" s="1240"/>
      <c r="M712" s="1240"/>
      <c r="N712" s="1240"/>
      <c r="O712" s="1240"/>
      <c r="P712" s="1247">
        <f t="shared" si="80"/>
        <v>686</v>
      </c>
      <c r="Q712" s="1253" t="e">
        <f t="shared" ca="1" si="79"/>
        <v>#N/A</v>
      </c>
      <c r="R712" s="1247" t="str">
        <f>IFERROR(VLOOKUP(P712,RPCRepaymentDates[],1,FALSE),"")</f>
        <v/>
      </c>
      <c r="S712" s="1259">
        <f t="shared" si="75"/>
        <v>0</v>
      </c>
      <c r="T712" s="1247" t="str">
        <f>IFERROR(VLOOKUP(P712,RPCChargeCycleDates[],1,FALSE),"")</f>
        <v/>
      </c>
      <c r="U712" s="1248" t="str">
        <f>IFERROR(_xlfn.DAYS(T712,$Q$16)-SUM(U$26:U711),"")</f>
        <v/>
      </c>
      <c r="V712" s="1258">
        <f t="shared" ca="1" si="76"/>
        <v>0</v>
      </c>
      <c r="W712" s="1258">
        <f t="shared" ca="1" si="77"/>
        <v>0</v>
      </c>
      <c r="X712" s="1258" t="e">
        <f t="shared" ca="1" si="78"/>
        <v>#N/A</v>
      </c>
      <c r="Y712" s="1240"/>
      <c r="Z712" s="1240"/>
      <c r="AA712" s="1240"/>
      <c r="AB712" s="1240"/>
      <c r="AC712" s="1254" t="e">
        <f t="shared" si="81"/>
        <v>#NUM!</v>
      </c>
      <c r="AD712" s="1240"/>
      <c r="AE712" s="1240"/>
      <c r="AF712" s="1240"/>
      <c r="AG712" s="1240"/>
      <c r="AH712" s="1240"/>
      <c r="AI712" s="1240"/>
      <c r="AJ712" s="1240"/>
      <c r="AK712" s="1240"/>
      <c r="AL712" s="1240"/>
      <c r="AM712" s="1240"/>
      <c r="AN712" s="1240"/>
      <c r="AO712" s="1240"/>
      <c r="AP712" s="1240"/>
    </row>
    <row r="713" spans="1:42" ht="18.75" customHeight="1" x14ac:dyDescent="0.35">
      <c r="A713" s="1240"/>
      <c r="B713" s="1240"/>
      <c r="C713" s="1240"/>
      <c r="D713" s="1240"/>
      <c r="E713" s="1240"/>
      <c r="F713" s="1240"/>
      <c r="G713" s="1240"/>
      <c r="H713" s="1240"/>
      <c r="I713" s="1240"/>
      <c r="J713" s="1240"/>
      <c r="K713" s="1240"/>
      <c r="L713" s="1240"/>
      <c r="M713" s="1240"/>
      <c r="N713" s="1240"/>
      <c r="O713" s="1240"/>
      <c r="P713" s="1247">
        <f t="shared" si="80"/>
        <v>687</v>
      </c>
      <c r="Q713" s="1253" t="e">
        <f t="shared" ca="1" si="79"/>
        <v>#N/A</v>
      </c>
      <c r="R713" s="1247" t="str">
        <f>IFERROR(VLOOKUP(P713,RPCRepaymentDates[],1,FALSE),"")</f>
        <v/>
      </c>
      <c r="S713" s="1259">
        <f t="shared" si="75"/>
        <v>0</v>
      </c>
      <c r="T713" s="1247" t="str">
        <f>IFERROR(VLOOKUP(P713,RPCChargeCycleDates[],1,FALSE),"")</f>
        <v/>
      </c>
      <c r="U713" s="1248" t="str">
        <f>IFERROR(_xlfn.DAYS(T713,$Q$16)-SUM(U$26:U712),"")</f>
        <v/>
      </c>
      <c r="V713" s="1258">
        <f t="shared" ca="1" si="76"/>
        <v>0</v>
      </c>
      <c r="W713" s="1258">
        <f t="shared" ca="1" si="77"/>
        <v>0</v>
      </c>
      <c r="X713" s="1258" t="e">
        <f t="shared" ca="1" si="78"/>
        <v>#N/A</v>
      </c>
      <c r="Y713" s="1240"/>
      <c r="Z713" s="1240"/>
      <c r="AA713" s="1240"/>
      <c r="AB713" s="1240"/>
      <c r="AC713" s="1254" t="e">
        <f t="shared" si="81"/>
        <v>#NUM!</v>
      </c>
      <c r="AD713" s="1240"/>
      <c r="AE713" s="1240"/>
      <c r="AF713" s="1240"/>
      <c r="AG713" s="1240"/>
      <c r="AH713" s="1240"/>
      <c r="AI713" s="1240"/>
      <c r="AJ713" s="1240"/>
      <c r="AK713" s="1240"/>
      <c r="AL713" s="1240"/>
      <c r="AM713" s="1240"/>
      <c r="AN713" s="1240"/>
      <c r="AO713" s="1240"/>
      <c r="AP713" s="1240"/>
    </row>
    <row r="714" spans="1:42" ht="18.75" customHeight="1" x14ac:dyDescent="0.35">
      <c r="A714" s="1240"/>
      <c r="B714" s="1240"/>
      <c r="C714" s="1240"/>
      <c r="D714" s="1240"/>
      <c r="E714" s="1240"/>
      <c r="F714" s="1240"/>
      <c r="G714" s="1240"/>
      <c r="H714" s="1240"/>
      <c r="I714" s="1240"/>
      <c r="J714" s="1240"/>
      <c r="K714" s="1240"/>
      <c r="L714" s="1240"/>
      <c r="M714" s="1240"/>
      <c r="N714" s="1240"/>
      <c r="O714" s="1240"/>
      <c r="P714" s="1247">
        <f t="shared" si="80"/>
        <v>688</v>
      </c>
      <c r="Q714" s="1253" t="e">
        <f t="shared" ca="1" si="79"/>
        <v>#N/A</v>
      </c>
      <c r="R714" s="1247" t="str">
        <f>IFERROR(VLOOKUP(P714,RPCRepaymentDates[],1,FALSE),"")</f>
        <v/>
      </c>
      <c r="S714" s="1259">
        <f t="shared" si="75"/>
        <v>0</v>
      </c>
      <c r="T714" s="1247" t="str">
        <f>IFERROR(VLOOKUP(P714,RPCChargeCycleDates[],1,FALSE),"")</f>
        <v/>
      </c>
      <c r="U714" s="1248" t="str">
        <f>IFERROR(_xlfn.DAYS(T714,$Q$16)-SUM(U$26:U713),"")</f>
        <v/>
      </c>
      <c r="V714" s="1258">
        <f t="shared" ca="1" si="76"/>
        <v>0</v>
      </c>
      <c r="W714" s="1258">
        <f t="shared" ca="1" si="77"/>
        <v>0</v>
      </c>
      <c r="X714" s="1258" t="e">
        <f t="shared" ca="1" si="78"/>
        <v>#N/A</v>
      </c>
      <c r="Y714" s="1240"/>
      <c r="Z714" s="1240"/>
      <c r="AA714" s="1240"/>
      <c r="AB714" s="1240"/>
      <c r="AC714" s="1254" t="e">
        <f t="shared" si="81"/>
        <v>#NUM!</v>
      </c>
      <c r="AD714" s="1240"/>
      <c r="AE714" s="1240"/>
      <c r="AF714" s="1240"/>
      <c r="AG714" s="1240"/>
      <c r="AH714" s="1240"/>
      <c r="AI714" s="1240"/>
      <c r="AJ714" s="1240"/>
      <c r="AK714" s="1240"/>
      <c r="AL714" s="1240"/>
      <c r="AM714" s="1240"/>
      <c r="AN714" s="1240"/>
      <c r="AO714" s="1240"/>
      <c r="AP714" s="1240"/>
    </row>
    <row r="715" spans="1:42" ht="18.75" customHeight="1" x14ac:dyDescent="0.35">
      <c r="A715" s="1240"/>
      <c r="B715" s="1240"/>
      <c r="C715" s="1240"/>
      <c r="D715" s="1240"/>
      <c r="E715" s="1240"/>
      <c r="F715" s="1240"/>
      <c r="G715" s="1240"/>
      <c r="H715" s="1240"/>
      <c r="I715" s="1240"/>
      <c r="J715" s="1240"/>
      <c r="K715" s="1240"/>
      <c r="L715" s="1240"/>
      <c r="M715" s="1240"/>
      <c r="N715" s="1240"/>
      <c r="O715" s="1240"/>
      <c r="P715" s="1247">
        <f t="shared" si="80"/>
        <v>689</v>
      </c>
      <c r="Q715" s="1253" t="e">
        <f t="shared" ca="1" si="79"/>
        <v>#N/A</v>
      </c>
      <c r="R715" s="1247" t="str">
        <f>IFERROR(VLOOKUP(P715,RPCRepaymentDates[],1,FALSE),"")</f>
        <v/>
      </c>
      <c r="S715" s="1259">
        <f t="shared" si="75"/>
        <v>0</v>
      </c>
      <c r="T715" s="1247" t="str">
        <f>IFERROR(VLOOKUP(P715,RPCChargeCycleDates[],1,FALSE),"")</f>
        <v/>
      </c>
      <c r="U715" s="1248" t="str">
        <f>IFERROR(_xlfn.DAYS(T715,$Q$16)-SUM(U$26:U714),"")</f>
        <v/>
      </c>
      <c r="V715" s="1258">
        <f t="shared" ca="1" si="76"/>
        <v>0</v>
      </c>
      <c r="W715" s="1258">
        <f t="shared" ca="1" si="77"/>
        <v>0</v>
      </c>
      <c r="X715" s="1258" t="e">
        <f t="shared" ca="1" si="78"/>
        <v>#N/A</v>
      </c>
      <c r="Y715" s="1240"/>
      <c r="Z715" s="1240"/>
      <c r="AA715" s="1240"/>
      <c r="AB715" s="1240"/>
      <c r="AC715" s="1254" t="e">
        <f t="shared" si="81"/>
        <v>#NUM!</v>
      </c>
      <c r="AD715" s="1240"/>
      <c r="AE715" s="1240"/>
      <c r="AF715" s="1240"/>
      <c r="AG715" s="1240"/>
      <c r="AH715" s="1240"/>
      <c r="AI715" s="1240"/>
      <c r="AJ715" s="1240"/>
      <c r="AK715" s="1240"/>
      <c r="AL715" s="1240"/>
      <c r="AM715" s="1240"/>
      <c r="AN715" s="1240"/>
      <c r="AO715" s="1240"/>
      <c r="AP715" s="1240"/>
    </row>
    <row r="716" spans="1:42" ht="18.75" customHeight="1" x14ac:dyDescent="0.35">
      <c r="A716" s="1240"/>
      <c r="B716" s="1240"/>
      <c r="C716" s="1240"/>
      <c r="D716" s="1240"/>
      <c r="E716" s="1240"/>
      <c r="F716" s="1240"/>
      <c r="G716" s="1240"/>
      <c r="H716" s="1240"/>
      <c r="I716" s="1240"/>
      <c r="J716" s="1240"/>
      <c r="K716" s="1240"/>
      <c r="L716" s="1240"/>
      <c r="M716" s="1240"/>
      <c r="N716" s="1240"/>
      <c r="O716" s="1240"/>
      <c r="P716" s="1247">
        <f t="shared" si="80"/>
        <v>690</v>
      </c>
      <c r="Q716" s="1253" t="e">
        <f t="shared" ca="1" si="79"/>
        <v>#N/A</v>
      </c>
      <c r="R716" s="1247" t="str">
        <f>IFERROR(VLOOKUP(P716,RPCRepaymentDates[],1,FALSE),"")</f>
        <v/>
      </c>
      <c r="S716" s="1259">
        <f t="shared" si="75"/>
        <v>0</v>
      </c>
      <c r="T716" s="1247" t="str">
        <f>IFERROR(VLOOKUP(P716,RPCChargeCycleDates[],1,FALSE),"")</f>
        <v/>
      </c>
      <c r="U716" s="1248" t="str">
        <f>IFERROR(_xlfn.DAYS(T716,$Q$16)-SUM(U$26:U715),"")</f>
        <v/>
      </c>
      <c r="V716" s="1258">
        <f t="shared" ca="1" si="76"/>
        <v>0</v>
      </c>
      <c r="W716" s="1258">
        <f t="shared" ca="1" si="77"/>
        <v>0</v>
      </c>
      <c r="X716" s="1258" t="e">
        <f t="shared" ca="1" si="78"/>
        <v>#N/A</v>
      </c>
      <c r="Y716" s="1240"/>
      <c r="Z716" s="1240"/>
      <c r="AA716" s="1240"/>
      <c r="AB716" s="1240"/>
      <c r="AC716" s="1254" t="e">
        <f t="shared" si="81"/>
        <v>#NUM!</v>
      </c>
      <c r="AD716" s="1240"/>
      <c r="AE716" s="1240"/>
      <c r="AF716" s="1240"/>
      <c r="AG716" s="1240"/>
      <c r="AH716" s="1240"/>
      <c r="AI716" s="1240"/>
      <c r="AJ716" s="1240"/>
      <c r="AK716" s="1240"/>
      <c r="AL716" s="1240"/>
      <c r="AM716" s="1240"/>
      <c r="AN716" s="1240"/>
      <c r="AO716" s="1240"/>
      <c r="AP716" s="1240"/>
    </row>
    <row r="717" spans="1:42" ht="18.75" customHeight="1" x14ac:dyDescent="0.35">
      <c r="A717" s="1240"/>
      <c r="B717" s="1240"/>
      <c r="C717" s="1240"/>
      <c r="D717" s="1240"/>
      <c r="E717" s="1240"/>
      <c r="F717" s="1240"/>
      <c r="G717" s="1240"/>
      <c r="H717" s="1240"/>
      <c r="I717" s="1240"/>
      <c r="J717" s="1240"/>
      <c r="K717" s="1240"/>
      <c r="L717" s="1240"/>
      <c r="M717" s="1240"/>
      <c r="N717" s="1240"/>
      <c r="O717" s="1240"/>
      <c r="P717" s="1247">
        <f t="shared" si="80"/>
        <v>691</v>
      </c>
      <c r="Q717" s="1253" t="e">
        <f t="shared" ca="1" si="79"/>
        <v>#N/A</v>
      </c>
      <c r="R717" s="1247" t="str">
        <f>IFERROR(VLOOKUP(P717,RPCRepaymentDates[],1,FALSE),"")</f>
        <v/>
      </c>
      <c r="S717" s="1259">
        <f t="shared" si="75"/>
        <v>0</v>
      </c>
      <c r="T717" s="1247" t="str">
        <f>IFERROR(VLOOKUP(P717,RPCChargeCycleDates[],1,FALSE),"")</f>
        <v/>
      </c>
      <c r="U717" s="1248" t="str">
        <f>IFERROR(_xlfn.DAYS(T717,$Q$16)-SUM(U$26:U716),"")</f>
        <v/>
      </c>
      <c r="V717" s="1258">
        <f t="shared" ca="1" si="76"/>
        <v>0</v>
      </c>
      <c r="W717" s="1258">
        <f t="shared" ca="1" si="77"/>
        <v>0</v>
      </c>
      <c r="X717" s="1258" t="e">
        <f t="shared" ca="1" si="78"/>
        <v>#N/A</v>
      </c>
      <c r="Y717" s="1240"/>
      <c r="Z717" s="1240"/>
      <c r="AA717" s="1240"/>
      <c r="AB717" s="1240"/>
      <c r="AC717" s="1254" t="e">
        <f t="shared" si="81"/>
        <v>#NUM!</v>
      </c>
      <c r="AD717" s="1240"/>
      <c r="AE717" s="1240"/>
      <c r="AF717" s="1240"/>
      <c r="AG717" s="1240"/>
      <c r="AH717" s="1240"/>
      <c r="AI717" s="1240"/>
      <c r="AJ717" s="1240"/>
      <c r="AK717" s="1240"/>
      <c r="AL717" s="1240"/>
      <c r="AM717" s="1240"/>
      <c r="AN717" s="1240"/>
      <c r="AO717" s="1240"/>
      <c r="AP717" s="1240"/>
    </row>
    <row r="718" spans="1:42" ht="18.75" customHeight="1" x14ac:dyDescent="0.35">
      <c r="A718" s="1240"/>
      <c r="B718" s="1240"/>
      <c r="C718" s="1240"/>
      <c r="D718" s="1240"/>
      <c r="E718" s="1240"/>
      <c r="F718" s="1240"/>
      <c r="G718" s="1240"/>
      <c r="H718" s="1240"/>
      <c r="I718" s="1240"/>
      <c r="J718" s="1240"/>
      <c r="K718" s="1240"/>
      <c r="L718" s="1240"/>
      <c r="M718" s="1240"/>
      <c r="N718" s="1240"/>
      <c r="O718" s="1240"/>
      <c r="P718" s="1247">
        <f t="shared" si="80"/>
        <v>692</v>
      </c>
      <c r="Q718" s="1253" t="e">
        <f t="shared" ca="1" si="79"/>
        <v>#N/A</v>
      </c>
      <c r="R718" s="1247" t="str">
        <f>IFERROR(VLOOKUP(P718,RPCRepaymentDates[],1,FALSE),"")</f>
        <v/>
      </c>
      <c r="S718" s="1259">
        <f t="shared" si="75"/>
        <v>0</v>
      </c>
      <c r="T718" s="1247" t="str">
        <f>IFERROR(VLOOKUP(P718,RPCChargeCycleDates[],1,FALSE),"")</f>
        <v/>
      </c>
      <c r="U718" s="1248" t="str">
        <f>IFERROR(_xlfn.DAYS(T718,$Q$16)-SUM(U$26:U717),"")</f>
        <v/>
      </c>
      <c r="V718" s="1258">
        <f t="shared" ca="1" si="76"/>
        <v>0</v>
      </c>
      <c r="W718" s="1258">
        <f t="shared" ca="1" si="77"/>
        <v>0</v>
      </c>
      <c r="X718" s="1258" t="e">
        <f t="shared" ca="1" si="78"/>
        <v>#N/A</v>
      </c>
      <c r="Y718" s="1240"/>
      <c r="Z718" s="1240"/>
      <c r="AA718" s="1240"/>
      <c r="AB718" s="1240"/>
      <c r="AC718" s="1254" t="e">
        <f t="shared" si="81"/>
        <v>#NUM!</v>
      </c>
      <c r="AD718" s="1240"/>
      <c r="AE718" s="1240"/>
      <c r="AF718" s="1240"/>
      <c r="AG718" s="1240"/>
      <c r="AH718" s="1240"/>
      <c r="AI718" s="1240"/>
      <c r="AJ718" s="1240"/>
      <c r="AK718" s="1240"/>
      <c r="AL718" s="1240"/>
      <c r="AM718" s="1240"/>
      <c r="AN718" s="1240"/>
      <c r="AO718" s="1240"/>
      <c r="AP718" s="1240"/>
    </row>
    <row r="719" spans="1:42" ht="18.75" customHeight="1" x14ac:dyDescent="0.35">
      <c r="A719" s="1240"/>
      <c r="B719" s="1240"/>
      <c r="C719" s="1240"/>
      <c r="D719" s="1240"/>
      <c r="E719" s="1240"/>
      <c r="F719" s="1240"/>
      <c r="G719" s="1240"/>
      <c r="H719" s="1240"/>
      <c r="I719" s="1240"/>
      <c r="J719" s="1240"/>
      <c r="K719" s="1240"/>
      <c r="L719" s="1240"/>
      <c r="M719" s="1240"/>
      <c r="N719" s="1240"/>
      <c r="O719" s="1240"/>
      <c r="P719" s="1247">
        <f t="shared" si="80"/>
        <v>693</v>
      </c>
      <c r="Q719" s="1253" t="e">
        <f t="shared" ca="1" si="79"/>
        <v>#N/A</v>
      </c>
      <c r="R719" s="1247" t="str">
        <f>IFERROR(VLOOKUP(P719,RPCRepaymentDates[],1,FALSE),"")</f>
        <v/>
      </c>
      <c r="S719" s="1259">
        <f t="shared" si="75"/>
        <v>0</v>
      </c>
      <c r="T719" s="1247" t="str">
        <f>IFERROR(VLOOKUP(P719,RPCChargeCycleDates[],1,FALSE),"")</f>
        <v/>
      </c>
      <c r="U719" s="1248" t="str">
        <f>IFERROR(_xlfn.DAYS(T719,$Q$16)-SUM(U$26:U718),"")</f>
        <v/>
      </c>
      <c r="V719" s="1258">
        <f t="shared" ca="1" si="76"/>
        <v>0</v>
      </c>
      <c r="W719" s="1258">
        <f t="shared" ca="1" si="77"/>
        <v>0</v>
      </c>
      <c r="X719" s="1258" t="e">
        <f t="shared" ca="1" si="78"/>
        <v>#N/A</v>
      </c>
      <c r="Y719" s="1240"/>
      <c r="Z719" s="1240"/>
      <c r="AA719" s="1240"/>
      <c r="AB719" s="1240"/>
      <c r="AC719" s="1254" t="e">
        <f t="shared" si="81"/>
        <v>#NUM!</v>
      </c>
      <c r="AD719" s="1240"/>
      <c r="AE719" s="1240"/>
      <c r="AF719" s="1240"/>
      <c r="AG719" s="1240"/>
      <c r="AH719" s="1240"/>
      <c r="AI719" s="1240"/>
      <c r="AJ719" s="1240"/>
      <c r="AK719" s="1240"/>
      <c r="AL719" s="1240"/>
      <c r="AM719" s="1240"/>
      <c r="AN719" s="1240"/>
      <c r="AO719" s="1240"/>
      <c r="AP719" s="1240"/>
    </row>
    <row r="720" spans="1:42" ht="18.75" customHeight="1" x14ac:dyDescent="0.35">
      <c r="A720" s="1240"/>
      <c r="B720" s="1240"/>
      <c r="C720" s="1240"/>
      <c r="D720" s="1240"/>
      <c r="E720" s="1240"/>
      <c r="F720" s="1240"/>
      <c r="G720" s="1240"/>
      <c r="H720" s="1240"/>
      <c r="I720" s="1240"/>
      <c r="J720" s="1240"/>
      <c r="K720" s="1240"/>
      <c r="L720" s="1240"/>
      <c r="M720" s="1240"/>
      <c r="N720" s="1240"/>
      <c r="O720" s="1240"/>
      <c r="P720" s="1247">
        <f t="shared" si="80"/>
        <v>694</v>
      </c>
      <c r="Q720" s="1253" t="e">
        <f t="shared" ca="1" si="79"/>
        <v>#N/A</v>
      </c>
      <c r="R720" s="1247" t="str">
        <f>IFERROR(VLOOKUP(P720,RPCRepaymentDates[],1,FALSE),"")</f>
        <v/>
      </c>
      <c r="S720" s="1259">
        <f t="shared" si="75"/>
        <v>0</v>
      </c>
      <c r="T720" s="1247" t="str">
        <f>IFERROR(VLOOKUP(P720,RPCChargeCycleDates[],1,FALSE),"")</f>
        <v/>
      </c>
      <c r="U720" s="1248" t="str">
        <f>IFERROR(_xlfn.DAYS(T720,$Q$16)-SUM(U$26:U719),"")</f>
        <v/>
      </c>
      <c r="V720" s="1258">
        <f t="shared" ca="1" si="76"/>
        <v>0</v>
      </c>
      <c r="W720" s="1258">
        <f t="shared" ca="1" si="77"/>
        <v>0</v>
      </c>
      <c r="X720" s="1258" t="e">
        <f t="shared" ca="1" si="78"/>
        <v>#N/A</v>
      </c>
      <c r="Y720" s="1240"/>
      <c r="Z720" s="1240"/>
      <c r="AA720" s="1240"/>
      <c r="AB720" s="1240"/>
      <c r="AC720" s="1254" t="e">
        <f t="shared" si="81"/>
        <v>#NUM!</v>
      </c>
      <c r="AD720" s="1240"/>
      <c r="AE720" s="1240"/>
      <c r="AF720" s="1240"/>
      <c r="AG720" s="1240"/>
      <c r="AH720" s="1240"/>
      <c r="AI720" s="1240"/>
      <c r="AJ720" s="1240"/>
      <c r="AK720" s="1240"/>
      <c r="AL720" s="1240"/>
      <c r="AM720" s="1240"/>
      <c r="AN720" s="1240"/>
      <c r="AO720" s="1240"/>
      <c r="AP720" s="1240"/>
    </row>
    <row r="721" spans="1:42" ht="18.75" customHeight="1" x14ac:dyDescent="0.35">
      <c r="A721" s="1240"/>
      <c r="B721" s="1240"/>
      <c r="C721" s="1240"/>
      <c r="D721" s="1240"/>
      <c r="E721" s="1240"/>
      <c r="F721" s="1240"/>
      <c r="G721" s="1240"/>
      <c r="H721" s="1240"/>
      <c r="I721" s="1240"/>
      <c r="J721" s="1240"/>
      <c r="K721" s="1240"/>
      <c r="L721" s="1240"/>
      <c r="M721" s="1240"/>
      <c r="N721" s="1240"/>
      <c r="O721" s="1240"/>
      <c r="P721" s="1247">
        <f t="shared" si="80"/>
        <v>695</v>
      </c>
      <c r="Q721" s="1253" t="e">
        <f t="shared" ca="1" si="79"/>
        <v>#N/A</v>
      </c>
      <c r="R721" s="1247" t="str">
        <f>IFERROR(VLOOKUP(P721,RPCRepaymentDates[],1,FALSE),"")</f>
        <v/>
      </c>
      <c r="S721" s="1259">
        <f t="shared" si="75"/>
        <v>0</v>
      </c>
      <c r="T721" s="1247" t="str">
        <f>IFERROR(VLOOKUP(P721,RPCChargeCycleDates[],1,FALSE),"")</f>
        <v/>
      </c>
      <c r="U721" s="1248" t="str">
        <f>IFERROR(_xlfn.DAYS(T721,$Q$16)-SUM(U$26:U720),"")</f>
        <v/>
      </c>
      <c r="V721" s="1258">
        <f t="shared" ca="1" si="76"/>
        <v>0</v>
      </c>
      <c r="W721" s="1258">
        <f t="shared" ca="1" si="77"/>
        <v>0</v>
      </c>
      <c r="X721" s="1258" t="e">
        <f t="shared" ca="1" si="78"/>
        <v>#N/A</v>
      </c>
      <c r="Y721" s="1240"/>
      <c r="Z721" s="1240"/>
      <c r="AA721" s="1240"/>
      <c r="AB721" s="1240"/>
      <c r="AC721" s="1254" t="e">
        <f t="shared" si="81"/>
        <v>#NUM!</v>
      </c>
      <c r="AD721" s="1240"/>
      <c r="AE721" s="1240"/>
      <c r="AF721" s="1240"/>
      <c r="AG721" s="1240"/>
      <c r="AH721" s="1240"/>
      <c r="AI721" s="1240"/>
      <c r="AJ721" s="1240"/>
      <c r="AK721" s="1240"/>
      <c r="AL721" s="1240"/>
      <c r="AM721" s="1240"/>
      <c r="AN721" s="1240"/>
      <c r="AO721" s="1240"/>
      <c r="AP721" s="1240"/>
    </row>
    <row r="722" spans="1:42" ht="18.75" customHeight="1" x14ac:dyDescent="0.35">
      <c r="A722" s="1240"/>
      <c r="B722" s="1240"/>
      <c r="C722" s="1240"/>
      <c r="D722" s="1240"/>
      <c r="E722" s="1240"/>
      <c r="F722" s="1240"/>
      <c r="G722" s="1240"/>
      <c r="H722" s="1240"/>
      <c r="I722" s="1240"/>
      <c r="J722" s="1240"/>
      <c r="K722" s="1240"/>
      <c r="L722" s="1240"/>
      <c r="M722" s="1240"/>
      <c r="N722" s="1240"/>
      <c r="O722" s="1240"/>
      <c r="P722" s="1247">
        <f t="shared" si="80"/>
        <v>696</v>
      </c>
      <c r="Q722" s="1253" t="e">
        <f t="shared" ca="1" si="79"/>
        <v>#N/A</v>
      </c>
      <c r="R722" s="1247" t="str">
        <f>IFERROR(VLOOKUP(P722,RPCRepaymentDates[],1,FALSE),"")</f>
        <v/>
      </c>
      <c r="S722" s="1259">
        <f t="shared" si="75"/>
        <v>0</v>
      </c>
      <c r="T722" s="1247" t="str">
        <f>IFERROR(VLOOKUP(P722,RPCChargeCycleDates[],1,FALSE),"")</f>
        <v/>
      </c>
      <c r="U722" s="1248" t="str">
        <f>IFERROR(_xlfn.DAYS(T722,$Q$16)-SUM(U$26:U721),"")</f>
        <v/>
      </c>
      <c r="V722" s="1258">
        <f t="shared" ca="1" si="76"/>
        <v>0</v>
      </c>
      <c r="W722" s="1258">
        <f t="shared" ca="1" si="77"/>
        <v>0</v>
      </c>
      <c r="X722" s="1258" t="e">
        <f t="shared" ca="1" si="78"/>
        <v>#N/A</v>
      </c>
      <c r="Y722" s="1240"/>
      <c r="Z722" s="1240"/>
      <c r="AA722" s="1240"/>
      <c r="AB722" s="1240"/>
      <c r="AC722" s="1254" t="e">
        <f t="shared" si="81"/>
        <v>#NUM!</v>
      </c>
      <c r="AD722" s="1240"/>
      <c r="AE722" s="1240"/>
      <c r="AF722" s="1240"/>
      <c r="AG722" s="1240"/>
      <c r="AH722" s="1240"/>
      <c r="AI722" s="1240"/>
      <c r="AJ722" s="1240"/>
      <c r="AK722" s="1240"/>
      <c r="AL722" s="1240"/>
      <c r="AM722" s="1240"/>
      <c r="AN722" s="1240"/>
      <c r="AO722" s="1240"/>
      <c r="AP722" s="1240"/>
    </row>
    <row r="723" spans="1:42" ht="18.75" customHeight="1" x14ac:dyDescent="0.35">
      <c r="A723" s="1240"/>
      <c r="B723" s="1240"/>
      <c r="C723" s="1240"/>
      <c r="D723" s="1240"/>
      <c r="E723" s="1240"/>
      <c r="F723" s="1240"/>
      <c r="G723" s="1240"/>
      <c r="H723" s="1240"/>
      <c r="I723" s="1240"/>
      <c r="J723" s="1240"/>
      <c r="K723" s="1240"/>
      <c r="L723" s="1240"/>
      <c r="M723" s="1240"/>
      <c r="N723" s="1240"/>
      <c r="O723" s="1240"/>
      <c r="P723" s="1247">
        <f t="shared" si="80"/>
        <v>697</v>
      </c>
      <c r="Q723" s="1253" t="e">
        <f t="shared" ca="1" si="79"/>
        <v>#N/A</v>
      </c>
      <c r="R723" s="1247" t="str">
        <f>IFERROR(VLOOKUP(P723,RPCRepaymentDates[],1,FALSE),"")</f>
        <v/>
      </c>
      <c r="S723" s="1259">
        <f t="shared" si="75"/>
        <v>0</v>
      </c>
      <c r="T723" s="1247" t="str">
        <f>IFERROR(VLOOKUP(P723,RPCChargeCycleDates[],1,FALSE),"")</f>
        <v/>
      </c>
      <c r="U723" s="1248" t="str">
        <f>IFERROR(_xlfn.DAYS(T723,$Q$16)-SUM(U$26:U722),"")</f>
        <v/>
      </c>
      <c r="V723" s="1258">
        <f t="shared" ca="1" si="76"/>
        <v>0</v>
      </c>
      <c r="W723" s="1258">
        <f t="shared" ca="1" si="77"/>
        <v>0</v>
      </c>
      <c r="X723" s="1258" t="e">
        <f t="shared" ca="1" si="78"/>
        <v>#N/A</v>
      </c>
      <c r="Y723" s="1240"/>
      <c r="Z723" s="1240"/>
      <c r="AA723" s="1240"/>
      <c r="AB723" s="1240"/>
      <c r="AC723" s="1254" t="e">
        <f t="shared" si="81"/>
        <v>#NUM!</v>
      </c>
      <c r="AD723" s="1240"/>
      <c r="AE723" s="1240"/>
      <c r="AF723" s="1240"/>
      <c r="AG723" s="1240"/>
      <c r="AH723" s="1240"/>
      <c r="AI723" s="1240"/>
      <c r="AJ723" s="1240"/>
      <c r="AK723" s="1240"/>
      <c r="AL723" s="1240"/>
      <c r="AM723" s="1240"/>
      <c r="AN723" s="1240"/>
      <c r="AO723" s="1240"/>
      <c r="AP723" s="1240"/>
    </row>
    <row r="724" spans="1:42" ht="18.75" customHeight="1" x14ac:dyDescent="0.35">
      <c r="A724" s="1240"/>
      <c r="B724" s="1240"/>
      <c r="C724" s="1240"/>
      <c r="D724" s="1240"/>
      <c r="E724" s="1240"/>
      <c r="F724" s="1240"/>
      <c r="G724" s="1240"/>
      <c r="H724" s="1240"/>
      <c r="I724" s="1240"/>
      <c r="J724" s="1240"/>
      <c r="K724" s="1240"/>
      <c r="L724" s="1240"/>
      <c r="M724" s="1240"/>
      <c r="N724" s="1240"/>
      <c r="O724" s="1240"/>
      <c r="P724" s="1247">
        <f t="shared" si="80"/>
        <v>698</v>
      </c>
      <c r="Q724" s="1253" t="e">
        <f t="shared" ca="1" si="79"/>
        <v>#N/A</v>
      </c>
      <c r="R724" s="1247" t="str">
        <f>IFERROR(VLOOKUP(P724,RPCRepaymentDates[],1,FALSE),"")</f>
        <v/>
      </c>
      <c r="S724" s="1259">
        <f t="shared" si="75"/>
        <v>0</v>
      </c>
      <c r="T724" s="1247">
        <f>IFERROR(VLOOKUP(P724,RPCChargeCycleDates[],1,FALSE),"")</f>
        <v>698</v>
      </c>
      <c r="U724" s="1248">
        <f>IFERROR(_xlfn.DAYS(T724,$Q$16)-SUM(U$26:U723),"")</f>
        <v>31</v>
      </c>
      <c r="V724" s="1258">
        <f t="shared" ca="1" si="76"/>
        <v>0</v>
      </c>
      <c r="W724" s="1258">
        <f t="shared" ca="1" si="77"/>
        <v>0</v>
      </c>
      <c r="X724" s="1258" t="e">
        <f t="shared" ca="1" si="78"/>
        <v>#N/A</v>
      </c>
      <c r="Y724" s="1240"/>
      <c r="Z724" s="1240"/>
      <c r="AA724" s="1240"/>
      <c r="AB724" s="1240"/>
      <c r="AC724" s="1254" t="e">
        <f t="shared" si="81"/>
        <v>#NUM!</v>
      </c>
      <c r="AD724" s="1240"/>
      <c r="AE724" s="1240"/>
      <c r="AF724" s="1240"/>
      <c r="AG724" s="1240"/>
      <c r="AH724" s="1240"/>
      <c r="AI724" s="1240"/>
      <c r="AJ724" s="1240"/>
      <c r="AK724" s="1240"/>
      <c r="AL724" s="1240"/>
      <c r="AM724" s="1240"/>
      <c r="AN724" s="1240"/>
      <c r="AO724" s="1240"/>
      <c r="AP724" s="1240"/>
    </row>
    <row r="725" spans="1:42" ht="18.75" customHeight="1" x14ac:dyDescent="0.35">
      <c r="A725" s="1240"/>
      <c r="B725" s="1240"/>
      <c r="C725" s="1240"/>
      <c r="D725" s="1240"/>
      <c r="E725" s="1240"/>
      <c r="F725" s="1240"/>
      <c r="G725" s="1240"/>
      <c r="H725" s="1240"/>
      <c r="I725" s="1240"/>
      <c r="J725" s="1240"/>
      <c r="K725" s="1240"/>
      <c r="L725" s="1240"/>
      <c r="M725" s="1240"/>
      <c r="N725" s="1240"/>
      <c r="O725" s="1240"/>
      <c r="P725" s="1247">
        <f t="shared" si="80"/>
        <v>699</v>
      </c>
      <c r="Q725" s="1253" t="e">
        <f t="shared" ca="1" si="79"/>
        <v>#N/A</v>
      </c>
      <c r="R725" s="1247" t="str">
        <f>IFERROR(VLOOKUP(P725,RPCRepaymentDates[],1,FALSE),"")</f>
        <v/>
      </c>
      <c r="S725" s="1259">
        <f t="shared" si="75"/>
        <v>0</v>
      </c>
      <c r="T725" s="1247" t="str">
        <f>IFERROR(VLOOKUP(P725,RPCChargeCycleDates[],1,FALSE),"")</f>
        <v/>
      </c>
      <c r="U725" s="1248" t="str">
        <f>IFERROR(_xlfn.DAYS(T725,$Q$16)-SUM(U$26:U724),"")</f>
        <v/>
      </c>
      <c r="V725" s="1258">
        <f t="shared" ca="1" si="76"/>
        <v>0</v>
      </c>
      <c r="W725" s="1258">
        <f t="shared" ca="1" si="77"/>
        <v>0</v>
      </c>
      <c r="X725" s="1258" t="e">
        <f t="shared" ca="1" si="78"/>
        <v>#N/A</v>
      </c>
      <c r="Y725" s="1240"/>
      <c r="Z725" s="1240"/>
      <c r="AA725" s="1240"/>
      <c r="AB725" s="1240"/>
      <c r="AC725" s="1254" t="e">
        <f t="shared" si="81"/>
        <v>#NUM!</v>
      </c>
      <c r="AD725" s="1240"/>
      <c r="AE725" s="1240"/>
      <c r="AF725" s="1240"/>
      <c r="AG725" s="1240"/>
      <c r="AH725" s="1240"/>
      <c r="AI725" s="1240"/>
      <c r="AJ725" s="1240"/>
      <c r="AK725" s="1240"/>
      <c r="AL725" s="1240"/>
      <c r="AM725" s="1240"/>
      <c r="AN725" s="1240"/>
      <c r="AO725" s="1240"/>
      <c r="AP725" s="1240"/>
    </row>
    <row r="726" spans="1:42" ht="18.75" customHeight="1" x14ac:dyDescent="0.35">
      <c r="A726" s="1240"/>
      <c r="B726" s="1240"/>
      <c r="C726" s="1240"/>
      <c r="D726" s="1240"/>
      <c r="E726" s="1240"/>
      <c r="F726" s="1240"/>
      <c r="G726" s="1240"/>
      <c r="H726" s="1240"/>
      <c r="I726" s="1240"/>
      <c r="J726" s="1240"/>
      <c r="K726" s="1240"/>
      <c r="L726" s="1240"/>
      <c r="M726" s="1240"/>
      <c r="N726" s="1240"/>
      <c r="O726" s="1240"/>
      <c r="P726" s="1247">
        <f t="shared" si="80"/>
        <v>700</v>
      </c>
      <c r="Q726" s="1253" t="e">
        <f t="shared" ca="1" si="79"/>
        <v>#N/A</v>
      </c>
      <c r="R726" s="1247" t="str">
        <f>IFERROR(VLOOKUP(P726,RPCRepaymentDates[],1,FALSE),"")</f>
        <v/>
      </c>
      <c r="S726" s="1259">
        <f t="shared" si="75"/>
        <v>0</v>
      </c>
      <c r="T726" s="1247" t="str">
        <f>IFERROR(VLOOKUP(P726,RPCChargeCycleDates[],1,FALSE),"")</f>
        <v/>
      </c>
      <c r="U726" s="1248" t="str">
        <f>IFERROR(_xlfn.DAYS(T726,$Q$16)-SUM(U$26:U725),"")</f>
        <v/>
      </c>
      <c r="V726" s="1258">
        <f t="shared" ca="1" si="76"/>
        <v>0</v>
      </c>
      <c r="W726" s="1258">
        <f t="shared" ca="1" si="77"/>
        <v>0</v>
      </c>
      <c r="X726" s="1258" t="e">
        <f t="shared" ca="1" si="78"/>
        <v>#N/A</v>
      </c>
      <c r="Y726" s="1240"/>
      <c r="Z726" s="1240"/>
      <c r="AA726" s="1240"/>
      <c r="AB726" s="1240"/>
      <c r="AC726" s="1254" t="e">
        <f t="shared" si="81"/>
        <v>#NUM!</v>
      </c>
      <c r="AD726" s="1240"/>
      <c r="AE726" s="1240"/>
      <c r="AF726" s="1240"/>
      <c r="AG726" s="1240"/>
      <c r="AH726" s="1240"/>
      <c r="AI726" s="1240"/>
      <c r="AJ726" s="1240"/>
      <c r="AK726" s="1240"/>
      <c r="AL726" s="1240"/>
      <c r="AM726" s="1240"/>
      <c r="AN726" s="1240"/>
      <c r="AO726" s="1240"/>
      <c r="AP726" s="1240"/>
    </row>
    <row r="727" spans="1:42" ht="18.75" customHeight="1" x14ac:dyDescent="0.35">
      <c r="A727" s="1240"/>
      <c r="B727" s="1240"/>
      <c r="C727" s="1240"/>
      <c r="D727" s="1240"/>
      <c r="E727" s="1240"/>
      <c r="F727" s="1240"/>
      <c r="G727" s="1240"/>
      <c r="H727" s="1240"/>
      <c r="I727" s="1240"/>
      <c r="J727" s="1240"/>
      <c r="K727" s="1240"/>
      <c r="L727" s="1240"/>
      <c r="M727" s="1240"/>
      <c r="N727" s="1240"/>
      <c r="O727" s="1240"/>
      <c r="P727" s="1247">
        <f t="shared" si="80"/>
        <v>701</v>
      </c>
      <c r="Q727" s="1253" t="e">
        <f t="shared" ca="1" si="79"/>
        <v>#N/A</v>
      </c>
      <c r="R727" s="1247" t="str">
        <f>IFERROR(VLOOKUP(P727,RPCRepaymentDates[],1,FALSE),"")</f>
        <v/>
      </c>
      <c r="S727" s="1259">
        <f t="shared" si="75"/>
        <v>0</v>
      </c>
      <c r="T727" s="1247" t="str">
        <f>IFERROR(VLOOKUP(P727,RPCChargeCycleDates[],1,FALSE),"")</f>
        <v/>
      </c>
      <c r="U727" s="1248" t="str">
        <f>IFERROR(_xlfn.DAYS(T727,$Q$16)-SUM(U$26:U726),"")</f>
        <v/>
      </c>
      <c r="V727" s="1258">
        <f t="shared" ca="1" si="76"/>
        <v>0</v>
      </c>
      <c r="W727" s="1258">
        <f t="shared" ca="1" si="77"/>
        <v>0</v>
      </c>
      <c r="X727" s="1258" t="e">
        <f t="shared" ca="1" si="78"/>
        <v>#N/A</v>
      </c>
      <c r="Y727" s="1240"/>
      <c r="Z727" s="1240"/>
      <c r="AA727" s="1240"/>
      <c r="AB727" s="1240"/>
      <c r="AC727" s="1254" t="e">
        <f t="shared" si="81"/>
        <v>#NUM!</v>
      </c>
      <c r="AD727" s="1240"/>
      <c r="AE727" s="1240"/>
      <c r="AF727" s="1240"/>
      <c r="AG727" s="1240"/>
      <c r="AH727" s="1240"/>
      <c r="AI727" s="1240"/>
      <c r="AJ727" s="1240"/>
      <c r="AK727" s="1240"/>
      <c r="AL727" s="1240"/>
      <c r="AM727" s="1240"/>
      <c r="AN727" s="1240"/>
      <c r="AO727" s="1240"/>
      <c r="AP727" s="1240"/>
    </row>
    <row r="728" spans="1:42" ht="18.75" customHeight="1" x14ac:dyDescent="0.35">
      <c r="A728" s="1240"/>
      <c r="B728" s="1240"/>
      <c r="C728" s="1240"/>
      <c r="D728" s="1240"/>
      <c r="E728" s="1240"/>
      <c r="F728" s="1240"/>
      <c r="G728" s="1240"/>
      <c r="H728" s="1240"/>
      <c r="I728" s="1240"/>
      <c r="J728" s="1240"/>
      <c r="K728" s="1240"/>
      <c r="L728" s="1240"/>
      <c r="M728" s="1240"/>
      <c r="N728" s="1240"/>
      <c r="O728" s="1240"/>
      <c r="P728" s="1247">
        <f t="shared" si="80"/>
        <v>702</v>
      </c>
      <c r="Q728" s="1253" t="e">
        <f t="shared" ca="1" si="79"/>
        <v>#N/A</v>
      </c>
      <c r="R728" s="1247" t="str">
        <f>IFERROR(VLOOKUP(P728,RPCRepaymentDates[],1,FALSE),"")</f>
        <v/>
      </c>
      <c r="S728" s="1259">
        <f t="shared" si="75"/>
        <v>0</v>
      </c>
      <c r="T728" s="1247" t="str">
        <f>IFERROR(VLOOKUP(P728,RPCChargeCycleDates[],1,FALSE),"")</f>
        <v/>
      </c>
      <c r="U728" s="1248" t="str">
        <f>IFERROR(_xlfn.DAYS(T728,$Q$16)-SUM(U$26:U727),"")</f>
        <v/>
      </c>
      <c r="V728" s="1258">
        <f t="shared" ca="1" si="76"/>
        <v>0</v>
      </c>
      <c r="W728" s="1258">
        <f t="shared" ca="1" si="77"/>
        <v>0</v>
      </c>
      <c r="X728" s="1258" t="e">
        <f t="shared" ca="1" si="78"/>
        <v>#N/A</v>
      </c>
      <c r="Y728" s="1240"/>
      <c r="Z728" s="1240"/>
      <c r="AA728" s="1240"/>
      <c r="AB728" s="1240"/>
      <c r="AC728" s="1254" t="e">
        <f t="shared" si="81"/>
        <v>#NUM!</v>
      </c>
      <c r="AD728" s="1240"/>
      <c r="AE728" s="1240"/>
      <c r="AF728" s="1240"/>
      <c r="AG728" s="1240"/>
      <c r="AH728" s="1240"/>
      <c r="AI728" s="1240"/>
      <c r="AJ728" s="1240"/>
      <c r="AK728" s="1240"/>
      <c r="AL728" s="1240"/>
      <c r="AM728" s="1240"/>
      <c r="AN728" s="1240"/>
      <c r="AO728" s="1240"/>
      <c r="AP728" s="1240"/>
    </row>
    <row r="729" spans="1:42" ht="18.75" customHeight="1" x14ac:dyDescent="0.35">
      <c r="A729" s="1240"/>
      <c r="B729" s="1240"/>
      <c r="C729" s="1240"/>
      <c r="D729" s="1240"/>
      <c r="E729" s="1240"/>
      <c r="F729" s="1240"/>
      <c r="G729" s="1240"/>
      <c r="H729" s="1240"/>
      <c r="I729" s="1240"/>
      <c r="J729" s="1240"/>
      <c r="K729" s="1240"/>
      <c r="L729" s="1240"/>
      <c r="M729" s="1240"/>
      <c r="N729" s="1240"/>
      <c r="O729" s="1240"/>
      <c r="P729" s="1247">
        <f t="shared" si="80"/>
        <v>703</v>
      </c>
      <c r="Q729" s="1253" t="e">
        <f t="shared" ca="1" si="79"/>
        <v>#N/A</v>
      </c>
      <c r="R729" s="1247" t="str">
        <f>IFERROR(VLOOKUP(P729,RPCRepaymentDates[],1,FALSE),"")</f>
        <v/>
      </c>
      <c r="S729" s="1259">
        <f t="shared" si="75"/>
        <v>0</v>
      </c>
      <c r="T729" s="1247" t="str">
        <f>IFERROR(VLOOKUP(P729,RPCChargeCycleDates[],1,FALSE),"")</f>
        <v/>
      </c>
      <c r="U729" s="1248" t="str">
        <f>IFERROR(_xlfn.DAYS(T729,$Q$16)-SUM(U$26:U728),"")</f>
        <v/>
      </c>
      <c r="V729" s="1258">
        <f t="shared" ca="1" si="76"/>
        <v>0</v>
      </c>
      <c r="W729" s="1258">
        <f t="shared" ca="1" si="77"/>
        <v>0</v>
      </c>
      <c r="X729" s="1258" t="e">
        <f t="shared" ca="1" si="78"/>
        <v>#N/A</v>
      </c>
      <c r="Y729" s="1240"/>
      <c r="Z729" s="1240"/>
      <c r="AA729" s="1240"/>
      <c r="AB729" s="1240"/>
      <c r="AC729" s="1254" t="e">
        <f t="shared" si="81"/>
        <v>#NUM!</v>
      </c>
      <c r="AD729" s="1240"/>
      <c r="AE729" s="1240"/>
      <c r="AF729" s="1240"/>
      <c r="AG729" s="1240"/>
      <c r="AH729" s="1240"/>
      <c r="AI729" s="1240"/>
      <c r="AJ729" s="1240"/>
      <c r="AK729" s="1240"/>
      <c r="AL729" s="1240"/>
      <c r="AM729" s="1240"/>
      <c r="AN729" s="1240"/>
      <c r="AO729" s="1240"/>
      <c r="AP729" s="1240"/>
    </row>
    <row r="730" spans="1:42" ht="18.75" customHeight="1" x14ac:dyDescent="0.35">
      <c r="A730" s="1240"/>
      <c r="B730" s="1240"/>
      <c r="C730" s="1240"/>
      <c r="D730" s="1240"/>
      <c r="E730" s="1240"/>
      <c r="F730" s="1240"/>
      <c r="G730" s="1240"/>
      <c r="H730" s="1240"/>
      <c r="I730" s="1240"/>
      <c r="J730" s="1240"/>
      <c r="K730" s="1240"/>
      <c r="L730" s="1240"/>
      <c r="M730" s="1240"/>
      <c r="N730" s="1240"/>
      <c r="O730" s="1240"/>
      <c r="P730" s="1247">
        <f t="shared" si="80"/>
        <v>704</v>
      </c>
      <c r="Q730" s="1253" t="e">
        <f t="shared" ca="1" si="79"/>
        <v>#N/A</v>
      </c>
      <c r="R730" s="1247" t="str">
        <f>IFERROR(VLOOKUP(P730,RPCRepaymentDates[],1,FALSE),"")</f>
        <v/>
      </c>
      <c r="S730" s="1259">
        <f t="shared" ref="S730:S793" si="82">IF(P730=R730,IF(R730&lt;RPCNextPaymentTransferDate,0,IF(OR(R730&lt;RPCPauseStartDate,R730&gt;RPCPauseEndDate),RPCCurrentRepayment,RPCPauseRepayment)),0)</f>
        <v>0</v>
      </c>
      <c r="T730" s="1247" t="str">
        <f>IFERROR(VLOOKUP(P730,RPCChargeCycleDates[],1,FALSE),"")</f>
        <v/>
      </c>
      <c r="U730" s="1248" t="str">
        <f>IFERROR(_xlfn.DAYS(T730,$Q$16)-SUM(U$26:U729),"")</f>
        <v/>
      </c>
      <c r="V730" s="1258">
        <f t="shared" ref="V730:V793" ca="1" si="83">IFERROR((Q730-S730)*(1/RPCDaysInYear)*RPCInterestRate,0)</f>
        <v>0</v>
      </c>
      <c r="W730" s="1258">
        <f t="shared" ref="W730:W793" ca="1" si="84">IFERROR(IF(T730=P730,SUM(OFFSET(V730,-U730+1,0,U730,1)),0),0)</f>
        <v>0</v>
      </c>
      <c r="X730" s="1258" t="e">
        <f t="shared" ref="X730:X793" ca="1" si="85">Q730-S730+W730</f>
        <v>#N/A</v>
      </c>
      <c r="Y730" s="1240"/>
      <c r="Z730" s="1240"/>
      <c r="AA730" s="1240"/>
      <c r="AB730" s="1240"/>
      <c r="AC730" s="1254" t="e">
        <f t="shared" si="81"/>
        <v>#NUM!</v>
      </c>
      <c r="AD730" s="1240"/>
      <c r="AE730" s="1240"/>
      <c r="AF730" s="1240"/>
      <c r="AG730" s="1240"/>
      <c r="AH730" s="1240"/>
      <c r="AI730" s="1240"/>
      <c r="AJ730" s="1240"/>
      <c r="AK730" s="1240"/>
      <c r="AL730" s="1240"/>
      <c r="AM730" s="1240"/>
      <c r="AN730" s="1240"/>
      <c r="AO730" s="1240"/>
      <c r="AP730" s="1240"/>
    </row>
    <row r="731" spans="1:42" ht="18.75" customHeight="1" x14ac:dyDescent="0.35">
      <c r="A731" s="1240"/>
      <c r="B731" s="1240"/>
      <c r="C731" s="1240"/>
      <c r="D731" s="1240"/>
      <c r="E731" s="1240"/>
      <c r="F731" s="1240"/>
      <c r="G731" s="1240"/>
      <c r="H731" s="1240"/>
      <c r="I731" s="1240"/>
      <c r="J731" s="1240"/>
      <c r="K731" s="1240"/>
      <c r="L731" s="1240"/>
      <c r="M731" s="1240"/>
      <c r="N731" s="1240"/>
      <c r="O731" s="1240"/>
      <c r="P731" s="1247">
        <f t="shared" si="80"/>
        <v>705</v>
      </c>
      <c r="Q731" s="1253" t="e">
        <f t="shared" ref="Q731:Q794" ca="1" si="86">X730</f>
        <v>#N/A</v>
      </c>
      <c r="R731" s="1247" t="str">
        <f>IFERROR(VLOOKUP(P731,RPCRepaymentDates[],1,FALSE),"")</f>
        <v/>
      </c>
      <c r="S731" s="1259">
        <f t="shared" si="82"/>
        <v>0</v>
      </c>
      <c r="T731" s="1247" t="str">
        <f>IFERROR(VLOOKUP(P731,RPCChargeCycleDates[],1,FALSE),"")</f>
        <v/>
      </c>
      <c r="U731" s="1248" t="str">
        <f>IFERROR(_xlfn.DAYS(T731,$Q$16)-SUM(U$26:U730),"")</f>
        <v/>
      </c>
      <c r="V731" s="1258">
        <f t="shared" ca="1" si="83"/>
        <v>0</v>
      </c>
      <c r="W731" s="1258">
        <f t="shared" ca="1" si="84"/>
        <v>0</v>
      </c>
      <c r="X731" s="1258" t="e">
        <f t="shared" ca="1" si="85"/>
        <v>#N/A</v>
      </c>
      <c r="Y731" s="1240"/>
      <c r="Z731" s="1240"/>
      <c r="AA731" s="1240"/>
      <c r="AB731" s="1240"/>
      <c r="AC731" s="1254" t="e">
        <f t="shared" si="81"/>
        <v>#NUM!</v>
      </c>
      <c r="AD731" s="1240"/>
      <c r="AE731" s="1240"/>
      <c r="AF731" s="1240"/>
      <c r="AG731" s="1240"/>
      <c r="AH731" s="1240"/>
      <c r="AI731" s="1240"/>
      <c r="AJ731" s="1240"/>
      <c r="AK731" s="1240"/>
      <c r="AL731" s="1240"/>
      <c r="AM731" s="1240"/>
      <c r="AN731" s="1240"/>
      <c r="AO731" s="1240"/>
      <c r="AP731" s="1240"/>
    </row>
    <row r="732" spans="1:42" ht="18.75" customHeight="1" x14ac:dyDescent="0.35">
      <c r="A732" s="1240"/>
      <c r="B732" s="1240"/>
      <c r="C732" s="1240"/>
      <c r="D732" s="1240"/>
      <c r="E732" s="1240"/>
      <c r="F732" s="1240"/>
      <c r="G732" s="1240"/>
      <c r="H732" s="1240"/>
      <c r="I732" s="1240"/>
      <c r="J732" s="1240"/>
      <c r="K732" s="1240"/>
      <c r="L732" s="1240"/>
      <c r="M732" s="1240"/>
      <c r="N732" s="1240"/>
      <c r="O732" s="1240"/>
      <c r="P732" s="1247">
        <f t="shared" si="80"/>
        <v>706</v>
      </c>
      <c r="Q732" s="1253" t="e">
        <f t="shared" ca="1" si="86"/>
        <v>#N/A</v>
      </c>
      <c r="R732" s="1247" t="str">
        <f>IFERROR(VLOOKUP(P732,RPCRepaymentDates[],1,FALSE),"")</f>
        <v/>
      </c>
      <c r="S732" s="1259">
        <f t="shared" si="82"/>
        <v>0</v>
      </c>
      <c r="T732" s="1247" t="str">
        <f>IFERROR(VLOOKUP(P732,RPCChargeCycleDates[],1,FALSE),"")</f>
        <v/>
      </c>
      <c r="U732" s="1248" t="str">
        <f>IFERROR(_xlfn.DAYS(T732,$Q$16)-SUM(U$26:U731),"")</f>
        <v/>
      </c>
      <c r="V732" s="1258">
        <f t="shared" ca="1" si="83"/>
        <v>0</v>
      </c>
      <c r="W732" s="1258">
        <f t="shared" ca="1" si="84"/>
        <v>0</v>
      </c>
      <c r="X732" s="1258" t="e">
        <f t="shared" ca="1" si="85"/>
        <v>#N/A</v>
      </c>
      <c r="Y732" s="1240"/>
      <c r="Z732" s="1240"/>
      <c r="AA732" s="1240"/>
      <c r="AB732" s="1240"/>
      <c r="AC732" s="1254" t="e">
        <f t="shared" si="81"/>
        <v>#NUM!</v>
      </c>
      <c r="AD732" s="1240"/>
      <c r="AE732" s="1240"/>
      <c r="AF732" s="1240"/>
      <c r="AG732" s="1240"/>
      <c r="AH732" s="1240"/>
      <c r="AI732" s="1240"/>
      <c r="AJ732" s="1240"/>
      <c r="AK732" s="1240"/>
      <c r="AL732" s="1240"/>
      <c r="AM732" s="1240"/>
      <c r="AN732" s="1240"/>
      <c r="AO732" s="1240"/>
      <c r="AP732" s="1240"/>
    </row>
    <row r="733" spans="1:42" ht="18.75" customHeight="1" x14ac:dyDescent="0.35">
      <c r="A733" s="1240"/>
      <c r="B733" s="1240"/>
      <c r="C733" s="1240"/>
      <c r="D733" s="1240"/>
      <c r="E733" s="1240"/>
      <c r="F733" s="1240"/>
      <c r="G733" s="1240"/>
      <c r="H733" s="1240"/>
      <c r="I733" s="1240"/>
      <c r="J733" s="1240"/>
      <c r="K733" s="1240"/>
      <c r="L733" s="1240"/>
      <c r="M733" s="1240"/>
      <c r="N733" s="1240"/>
      <c r="O733" s="1240"/>
      <c r="P733" s="1247">
        <f t="shared" si="80"/>
        <v>707</v>
      </c>
      <c r="Q733" s="1253" t="e">
        <f t="shared" ca="1" si="86"/>
        <v>#N/A</v>
      </c>
      <c r="R733" s="1247" t="str">
        <f>IFERROR(VLOOKUP(P733,RPCRepaymentDates[],1,FALSE),"")</f>
        <v/>
      </c>
      <c r="S733" s="1259">
        <f t="shared" si="82"/>
        <v>0</v>
      </c>
      <c r="T733" s="1247" t="str">
        <f>IFERROR(VLOOKUP(P733,RPCChargeCycleDates[],1,FALSE),"")</f>
        <v/>
      </c>
      <c r="U733" s="1248" t="str">
        <f>IFERROR(_xlfn.DAYS(T733,$Q$16)-SUM(U$26:U732),"")</f>
        <v/>
      </c>
      <c r="V733" s="1258">
        <f t="shared" ca="1" si="83"/>
        <v>0</v>
      </c>
      <c r="W733" s="1258">
        <f t="shared" ca="1" si="84"/>
        <v>0</v>
      </c>
      <c r="X733" s="1258" t="e">
        <f t="shared" ca="1" si="85"/>
        <v>#N/A</v>
      </c>
      <c r="Y733" s="1240"/>
      <c r="Z733" s="1240"/>
      <c r="AA733" s="1240"/>
      <c r="AB733" s="1240"/>
      <c r="AC733" s="1254" t="e">
        <f t="shared" si="81"/>
        <v>#NUM!</v>
      </c>
      <c r="AD733" s="1240"/>
      <c r="AE733" s="1240"/>
      <c r="AF733" s="1240"/>
      <c r="AG733" s="1240"/>
      <c r="AH733" s="1240"/>
      <c r="AI733" s="1240"/>
      <c r="AJ733" s="1240"/>
      <c r="AK733" s="1240"/>
      <c r="AL733" s="1240"/>
      <c r="AM733" s="1240"/>
      <c r="AN733" s="1240"/>
      <c r="AO733" s="1240"/>
      <c r="AP733" s="1240"/>
    </row>
    <row r="734" spans="1:42" ht="18.75" customHeight="1" x14ac:dyDescent="0.35">
      <c r="A734" s="1240"/>
      <c r="B734" s="1240"/>
      <c r="C734" s="1240"/>
      <c r="D734" s="1240"/>
      <c r="E734" s="1240"/>
      <c r="F734" s="1240"/>
      <c r="G734" s="1240"/>
      <c r="H734" s="1240"/>
      <c r="I734" s="1240"/>
      <c r="J734" s="1240"/>
      <c r="K734" s="1240"/>
      <c r="L734" s="1240"/>
      <c r="M734" s="1240"/>
      <c r="N734" s="1240"/>
      <c r="O734" s="1240"/>
      <c r="P734" s="1247">
        <f t="shared" si="80"/>
        <v>708</v>
      </c>
      <c r="Q734" s="1253" t="e">
        <f t="shared" ca="1" si="86"/>
        <v>#N/A</v>
      </c>
      <c r="R734" s="1247" t="str">
        <f>IFERROR(VLOOKUP(P734,RPCRepaymentDates[],1,FALSE),"")</f>
        <v/>
      </c>
      <c r="S734" s="1259">
        <f t="shared" si="82"/>
        <v>0</v>
      </c>
      <c r="T734" s="1247" t="str">
        <f>IFERROR(VLOOKUP(P734,RPCChargeCycleDates[],1,FALSE),"")</f>
        <v/>
      </c>
      <c r="U734" s="1248" t="str">
        <f>IFERROR(_xlfn.DAYS(T734,$Q$16)-SUM(U$26:U733),"")</f>
        <v/>
      </c>
      <c r="V734" s="1258">
        <f t="shared" ca="1" si="83"/>
        <v>0</v>
      </c>
      <c r="W734" s="1258">
        <f t="shared" ca="1" si="84"/>
        <v>0</v>
      </c>
      <c r="X734" s="1258" t="e">
        <f t="shared" ca="1" si="85"/>
        <v>#N/A</v>
      </c>
      <c r="Y734" s="1240"/>
      <c r="Z734" s="1240"/>
      <c r="AA734" s="1240"/>
      <c r="AB734" s="1240"/>
      <c r="AC734" s="1254" t="e">
        <f t="shared" si="81"/>
        <v>#NUM!</v>
      </c>
      <c r="AD734" s="1240"/>
      <c r="AE734" s="1240"/>
      <c r="AF734" s="1240"/>
      <c r="AG734" s="1240"/>
      <c r="AH734" s="1240"/>
      <c r="AI734" s="1240"/>
      <c r="AJ734" s="1240"/>
      <c r="AK734" s="1240"/>
      <c r="AL734" s="1240"/>
      <c r="AM734" s="1240"/>
      <c r="AN734" s="1240"/>
      <c r="AO734" s="1240"/>
      <c r="AP734" s="1240"/>
    </row>
    <row r="735" spans="1:42" ht="18.75" customHeight="1" x14ac:dyDescent="0.35">
      <c r="A735" s="1240"/>
      <c r="B735" s="1240"/>
      <c r="C735" s="1240"/>
      <c r="D735" s="1240"/>
      <c r="E735" s="1240"/>
      <c r="F735" s="1240"/>
      <c r="G735" s="1240"/>
      <c r="H735" s="1240"/>
      <c r="I735" s="1240"/>
      <c r="J735" s="1240"/>
      <c r="K735" s="1240"/>
      <c r="L735" s="1240"/>
      <c r="M735" s="1240"/>
      <c r="N735" s="1240"/>
      <c r="O735" s="1240"/>
      <c r="P735" s="1247">
        <f t="shared" si="80"/>
        <v>709</v>
      </c>
      <c r="Q735" s="1253" t="e">
        <f t="shared" ca="1" si="86"/>
        <v>#N/A</v>
      </c>
      <c r="R735" s="1247" t="str">
        <f>IFERROR(VLOOKUP(P735,RPCRepaymentDates[],1,FALSE),"")</f>
        <v/>
      </c>
      <c r="S735" s="1259">
        <f t="shared" si="82"/>
        <v>0</v>
      </c>
      <c r="T735" s="1247" t="str">
        <f>IFERROR(VLOOKUP(P735,RPCChargeCycleDates[],1,FALSE),"")</f>
        <v/>
      </c>
      <c r="U735" s="1248" t="str">
        <f>IFERROR(_xlfn.DAYS(T735,$Q$16)-SUM(U$26:U734),"")</f>
        <v/>
      </c>
      <c r="V735" s="1258">
        <f t="shared" ca="1" si="83"/>
        <v>0</v>
      </c>
      <c r="W735" s="1258">
        <f t="shared" ca="1" si="84"/>
        <v>0</v>
      </c>
      <c r="X735" s="1258" t="e">
        <f t="shared" ca="1" si="85"/>
        <v>#N/A</v>
      </c>
      <c r="Y735" s="1240"/>
      <c r="Z735" s="1240"/>
      <c r="AA735" s="1240"/>
      <c r="AB735" s="1240"/>
      <c r="AC735" s="1254" t="e">
        <f t="shared" si="81"/>
        <v>#NUM!</v>
      </c>
      <c r="AD735" s="1240"/>
      <c r="AE735" s="1240"/>
      <c r="AF735" s="1240"/>
      <c r="AG735" s="1240"/>
      <c r="AH735" s="1240"/>
      <c r="AI735" s="1240"/>
      <c r="AJ735" s="1240"/>
      <c r="AK735" s="1240"/>
      <c r="AL735" s="1240"/>
      <c r="AM735" s="1240"/>
      <c r="AN735" s="1240"/>
      <c r="AO735" s="1240"/>
      <c r="AP735" s="1240"/>
    </row>
    <row r="736" spans="1:42" ht="18.75" customHeight="1" x14ac:dyDescent="0.35">
      <c r="A736" s="1240"/>
      <c r="B736" s="1240"/>
      <c r="C736" s="1240"/>
      <c r="D736" s="1240"/>
      <c r="E736" s="1240"/>
      <c r="F736" s="1240"/>
      <c r="G736" s="1240"/>
      <c r="H736" s="1240"/>
      <c r="I736" s="1240"/>
      <c r="J736" s="1240"/>
      <c r="K736" s="1240"/>
      <c r="L736" s="1240"/>
      <c r="M736" s="1240"/>
      <c r="N736" s="1240"/>
      <c r="O736" s="1240"/>
      <c r="P736" s="1247">
        <f t="shared" si="80"/>
        <v>710</v>
      </c>
      <c r="Q736" s="1253" t="e">
        <f t="shared" ca="1" si="86"/>
        <v>#N/A</v>
      </c>
      <c r="R736" s="1247" t="str">
        <f>IFERROR(VLOOKUP(P736,RPCRepaymentDates[],1,FALSE),"")</f>
        <v/>
      </c>
      <c r="S736" s="1259">
        <f t="shared" si="82"/>
        <v>0</v>
      </c>
      <c r="T736" s="1247" t="str">
        <f>IFERROR(VLOOKUP(P736,RPCChargeCycleDates[],1,FALSE),"")</f>
        <v/>
      </c>
      <c r="U736" s="1248" t="str">
        <f>IFERROR(_xlfn.DAYS(T736,$Q$16)-SUM(U$26:U735),"")</f>
        <v/>
      </c>
      <c r="V736" s="1258">
        <f t="shared" ca="1" si="83"/>
        <v>0</v>
      </c>
      <c r="W736" s="1258">
        <f t="shared" ca="1" si="84"/>
        <v>0</v>
      </c>
      <c r="X736" s="1258" t="e">
        <f t="shared" ca="1" si="85"/>
        <v>#N/A</v>
      </c>
      <c r="Y736" s="1240"/>
      <c r="Z736" s="1240"/>
      <c r="AA736" s="1240"/>
      <c r="AB736" s="1240"/>
      <c r="AC736" s="1254" t="e">
        <f t="shared" si="81"/>
        <v>#NUM!</v>
      </c>
      <c r="AD736" s="1240"/>
      <c r="AE736" s="1240"/>
      <c r="AF736" s="1240"/>
      <c r="AG736" s="1240"/>
      <c r="AH736" s="1240"/>
      <c r="AI736" s="1240"/>
      <c r="AJ736" s="1240"/>
      <c r="AK736" s="1240"/>
      <c r="AL736" s="1240"/>
      <c r="AM736" s="1240"/>
      <c r="AN736" s="1240"/>
      <c r="AO736" s="1240"/>
      <c r="AP736" s="1240"/>
    </row>
    <row r="737" spans="1:42" ht="18.75" customHeight="1" x14ac:dyDescent="0.35">
      <c r="A737" s="1240"/>
      <c r="B737" s="1240"/>
      <c r="C737" s="1240"/>
      <c r="D737" s="1240"/>
      <c r="E737" s="1240"/>
      <c r="F737" s="1240"/>
      <c r="G737" s="1240"/>
      <c r="H737" s="1240"/>
      <c r="I737" s="1240"/>
      <c r="J737" s="1240"/>
      <c r="K737" s="1240"/>
      <c r="L737" s="1240"/>
      <c r="M737" s="1240"/>
      <c r="N737" s="1240"/>
      <c r="O737" s="1240"/>
      <c r="P737" s="1247">
        <f t="shared" si="80"/>
        <v>711</v>
      </c>
      <c r="Q737" s="1253" t="e">
        <f t="shared" ca="1" si="86"/>
        <v>#N/A</v>
      </c>
      <c r="R737" s="1247" t="str">
        <f>IFERROR(VLOOKUP(P737,RPCRepaymentDates[],1,FALSE),"")</f>
        <v/>
      </c>
      <c r="S737" s="1259">
        <f t="shared" si="82"/>
        <v>0</v>
      </c>
      <c r="T737" s="1247" t="str">
        <f>IFERROR(VLOOKUP(P737,RPCChargeCycleDates[],1,FALSE),"")</f>
        <v/>
      </c>
      <c r="U737" s="1248" t="str">
        <f>IFERROR(_xlfn.DAYS(T737,$Q$16)-SUM(U$26:U736),"")</f>
        <v/>
      </c>
      <c r="V737" s="1258">
        <f t="shared" ca="1" si="83"/>
        <v>0</v>
      </c>
      <c r="W737" s="1258">
        <f t="shared" ca="1" si="84"/>
        <v>0</v>
      </c>
      <c r="X737" s="1258" t="e">
        <f t="shared" ca="1" si="85"/>
        <v>#N/A</v>
      </c>
      <c r="Y737" s="1240"/>
      <c r="Z737" s="1240"/>
      <c r="AA737" s="1240"/>
      <c r="AB737" s="1240"/>
      <c r="AC737" s="1254" t="e">
        <f t="shared" si="81"/>
        <v>#NUM!</v>
      </c>
      <c r="AD737" s="1240"/>
      <c r="AE737" s="1240"/>
      <c r="AF737" s="1240"/>
      <c r="AG737" s="1240"/>
      <c r="AH737" s="1240"/>
      <c r="AI737" s="1240"/>
      <c r="AJ737" s="1240"/>
      <c r="AK737" s="1240"/>
      <c r="AL737" s="1240"/>
      <c r="AM737" s="1240"/>
      <c r="AN737" s="1240"/>
      <c r="AO737" s="1240"/>
      <c r="AP737" s="1240"/>
    </row>
    <row r="738" spans="1:42" ht="18.75" customHeight="1" x14ac:dyDescent="0.35">
      <c r="A738" s="1240"/>
      <c r="B738" s="1240"/>
      <c r="C738" s="1240"/>
      <c r="D738" s="1240"/>
      <c r="E738" s="1240"/>
      <c r="F738" s="1240"/>
      <c r="G738" s="1240"/>
      <c r="H738" s="1240"/>
      <c r="I738" s="1240"/>
      <c r="J738" s="1240"/>
      <c r="K738" s="1240"/>
      <c r="L738" s="1240"/>
      <c r="M738" s="1240"/>
      <c r="N738" s="1240"/>
      <c r="O738" s="1240"/>
      <c r="P738" s="1247">
        <f t="shared" si="80"/>
        <v>712</v>
      </c>
      <c r="Q738" s="1253" t="e">
        <f t="shared" ca="1" si="86"/>
        <v>#N/A</v>
      </c>
      <c r="R738" s="1247" t="str">
        <f>IFERROR(VLOOKUP(P738,RPCRepaymentDates[],1,FALSE),"")</f>
        <v/>
      </c>
      <c r="S738" s="1259">
        <f t="shared" si="82"/>
        <v>0</v>
      </c>
      <c r="T738" s="1247" t="str">
        <f>IFERROR(VLOOKUP(P738,RPCChargeCycleDates[],1,FALSE),"")</f>
        <v/>
      </c>
      <c r="U738" s="1248" t="str">
        <f>IFERROR(_xlfn.DAYS(T738,$Q$16)-SUM(U$26:U737),"")</f>
        <v/>
      </c>
      <c r="V738" s="1258">
        <f t="shared" ca="1" si="83"/>
        <v>0</v>
      </c>
      <c r="W738" s="1258">
        <f t="shared" ca="1" si="84"/>
        <v>0</v>
      </c>
      <c r="X738" s="1258" t="e">
        <f t="shared" ca="1" si="85"/>
        <v>#N/A</v>
      </c>
      <c r="Y738" s="1240"/>
      <c r="Z738" s="1240"/>
      <c r="AA738" s="1240"/>
      <c r="AB738" s="1240"/>
      <c r="AC738" s="1254" t="e">
        <f t="shared" si="81"/>
        <v>#NUM!</v>
      </c>
      <c r="AD738" s="1240"/>
      <c r="AE738" s="1240"/>
      <c r="AF738" s="1240"/>
      <c r="AG738" s="1240"/>
      <c r="AH738" s="1240"/>
      <c r="AI738" s="1240"/>
      <c r="AJ738" s="1240"/>
      <c r="AK738" s="1240"/>
      <c r="AL738" s="1240"/>
      <c r="AM738" s="1240"/>
      <c r="AN738" s="1240"/>
      <c r="AO738" s="1240"/>
      <c r="AP738" s="1240"/>
    </row>
    <row r="739" spans="1:42" ht="18.75" customHeight="1" x14ac:dyDescent="0.35">
      <c r="A739" s="1240"/>
      <c r="B739" s="1240"/>
      <c r="C739" s="1240"/>
      <c r="D739" s="1240"/>
      <c r="E739" s="1240"/>
      <c r="F739" s="1240"/>
      <c r="G739" s="1240"/>
      <c r="H739" s="1240"/>
      <c r="I739" s="1240"/>
      <c r="J739" s="1240"/>
      <c r="K739" s="1240"/>
      <c r="L739" s="1240"/>
      <c r="M739" s="1240"/>
      <c r="N739" s="1240"/>
      <c r="O739" s="1240"/>
      <c r="P739" s="1247">
        <f t="shared" si="80"/>
        <v>713</v>
      </c>
      <c r="Q739" s="1253" t="e">
        <f t="shared" ca="1" si="86"/>
        <v>#N/A</v>
      </c>
      <c r="R739" s="1247" t="str">
        <f>IFERROR(VLOOKUP(P739,RPCRepaymentDates[],1,FALSE),"")</f>
        <v/>
      </c>
      <c r="S739" s="1259">
        <f t="shared" si="82"/>
        <v>0</v>
      </c>
      <c r="T739" s="1247" t="str">
        <f>IFERROR(VLOOKUP(P739,RPCChargeCycleDates[],1,FALSE),"")</f>
        <v/>
      </c>
      <c r="U739" s="1248" t="str">
        <f>IFERROR(_xlfn.DAYS(T739,$Q$16)-SUM(U$26:U738),"")</f>
        <v/>
      </c>
      <c r="V739" s="1258">
        <f t="shared" ca="1" si="83"/>
        <v>0</v>
      </c>
      <c r="W739" s="1258">
        <f t="shared" ca="1" si="84"/>
        <v>0</v>
      </c>
      <c r="X739" s="1258" t="e">
        <f t="shared" ca="1" si="85"/>
        <v>#N/A</v>
      </c>
      <c r="Y739" s="1240"/>
      <c r="Z739" s="1240"/>
      <c r="AA739" s="1240"/>
      <c r="AB739" s="1240"/>
      <c r="AC739" s="1254" t="e">
        <f t="shared" si="81"/>
        <v>#NUM!</v>
      </c>
      <c r="AD739" s="1240"/>
      <c r="AE739" s="1240"/>
      <c r="AF739" s="1240"/>
      <c r="AG739" s="1240"/>
      <c r="AH739" s="1240"/>
      <c r="AI739" s="1240"/>
      <c r="AJ739" s="1240"/>
      <c r="AK739" s="1240"/>
      <c r="AL739" s="1240"/>
      <c r="AM739" s="1240"/>
      <c r="AN739" s="1240"/>
      <c r="AO739" s="1240"/>
      <c r="AP739" s="1240"/>
    </row>
    <row r="740" spans="1:42" ht="18.75" customHeight="1" x14ac:dyDescent="0.35">
      <c r="A740" s="1240"/>
      <c r="B740" s="1240"/>
      <c r="C740" s="1240"/>
      <c r="D740" s="1240"/>
      <c r="E740" s="1240"/>
      <c r="F740" s="1240"/>
      <c r="G740" s="1240"/>
      <c r="H740" s="1240"/>
      <c r="I740" s="1240"/>
      <c r="J740" s="1240"/>
      <c r="K740" s="1240"/>
      <c r="L740" s="1240"/>
      <c r="M740" s="1240"/>
      <c r="N740" s="1240"/>
      <c r="O740" s="1240"/>
      <c r="P740" s="1247">
        <f t="shared" si="80"/>
        <v>714</v>
      </c>
      <c r="Q740" s="1253" t="e">
        <f t="shared" ca="1" si="86"/>
        <v>#N/A</v>
      </c>
      <c r="R740" s="1247" t="str">
        <f>IFERROR(VLOOKUP(P740,RPCRepaymentDates[],1,FALSE),"")</f>
        <v/>
      </c>
      <c r="S740" s="1259">
        <f t="shared" si="82"/>
        <v>0</v>
      </c>
      <c r="T740" s="1247" t="str">
        <f>IFERROR(VLOOKUP(P740,RPCChargeCycleDates[],1,FALSE),"")</f>
        <v/>
      </c>
      <c r="U740" s="1248" t="str">
        <f>IFERROR(_xlfn.DAYS(T740,$Q$16)-SUM(U$26:U739),"")</f>
        <v/>
      </c>
      <c r="V740" s="1258">
        <f t="shared" ca="1" si="83"/>
        <v>0</v>
      </c>
      <c r="W740" s="1258">
        <f t="shared" ca="1" si="84"/>
        <v>0</v>
      </c>
      <c r="X740" s="1258" t="e">
        <f t="shared" ca="1" si="85"/>
        <v>#N/A</v>
      </c>
      <c r="Y740" s="1240"/>
      <c r="Z740" s="1240"/>
      <c r="AA740" s="1240"/>
      <c r="AB740" s="1240"/>
      <c r="AC740" s="1254" t="e">
        <f t="shared" si="81"/>
        <v>#NUM!</v>
      </c>
      <c r="AD740" s="1240"/>
      <c r="AE740" s="1240"/>
      <c r="AF740" s="1240"/>
      <c r="AG740" s="1240"/>
      <c r="AH740" s="1240"/>
      <c r="AI740" s="1240"/>
      <c r="AJ740" s="1240"/>
      <c r="AK740" s="1240"/>
      <c r="AL740" s="1240"/>
      <c r="AM740" s="1240"/>
      <c r="AN740" s="1240"/>
      <c r="AO740" s="1240"/>
      <c r="AP740" s="1240"/>
    </row>
    <row r="741" spans="1:42" ht="18.75" customHeight="1" x14ac:dyDescent="0.35">
      <c r="A741" s="1240"/>
      <c r="B741" s="1240"/>
      <c r="C741" s="1240"/>
      <c r="D741" s="1240"/>
      <c r="E741" s="1240"/>
      <c r="F741" s="1240"/>
      <c r="G741" s="1240"/>
      <c r="H741" s="1240"/>
      <c r="I741" s="1240"/>
      <c r="J741" s="1240"/>
      <c r="K741" s="1240"/>
      <c r="L741" s="1240"/>
      <c r="M741" s="1240"/>
      <c r="N741" s="1240"/>
      <c r="O741" s="1240"/>
      <c r="P741" s="1247">
        <f t="shared" si="80"/>
        <v>715</v>
      </c>
      <c r="Q741" s="1253" t="e">
        <f t="shared" ca="1" si="86"/>
        <v>#N/A</v>
      </c>
      <c r="R741" s="1247" t="str">
        <f>IFERROR(VLOOKUP(P741,RPCRepaymentDates[],1,FALSE),"")</f>
        <v/>
      </c>
      <c r="S741" s="1259">
        <f t="shared" si="82"/>
        <v>0</v>
      </c>
      <c r="T741" s="1247" t="str">
        <f>IFERROR(VLOOKUP(P741,RPCChargeCycleDates[],1,FALSE),"")</f>
        <v/>
      </c>
      <c r="U741" s="1248" t="str">
        <f>IFERROR(_xlfn.DAYS(T741,$Q$16)-SUM(U$26:U740),"")</f>
        <v/>
      </c>
      <c r="V741" s="1258">
        <f t="shared" ca="1" si="83"/>
        <v>0</v>
      </c>
      <c r="W741" s="1258">
        <f t="shared" ca="1" si="84"/>
        <v>0</v>
      </c>
      <c r="X741" s="1258" t="e">
        <f t="shared" ca="1" si="85"/>
        <v>#N/A</v>
      </c>
      <c r="Y741" s="1240"/>
      <c r="Z741" s="1240"/>
      <c r="AA741" s="1240"/>
      <c r="AB741" s="1240"/>
      <c r="AC741" s="1254" t="e">
        <f t="shared" si="81"/>
        <v>#NUM!</v>
      </c>
      <c r="AD741" s="1240"/>
      <c r="AE741" s="1240"/>
      <c r="AF741" s="1240"/>
      <c r="AG741" s="1240"/>
      <c r="AH741" s="1240"/>
      <c r="AI741" s="1240"/>
      <c r="AJ741" s="1240"/>
      <c r="AK741" s="1240"/>
      <c r="AL741" s="1240"/>
      <c r="AM741" s="1240"/>
      <c r="AN741" s="1240"/>
      <c r="AO741" s="1240"/>
      <c r="AP741" s="1240"/>
    </row>
    <row r="742" spans="1:42" ht="18.75" customHeight="1" x14ac:dyDescent="0.35">
      <c r="A742" s="1240"/>
      <c r="B742" s="1240"/>
      <c r="C742" s="1240"/>
      <c r="D742" s="1240"/>
      <c r="E742" s="1240"/>
      <c r="F742" s="1240"/>
      <c r="G742" s="1240"/>
      <c r="H742" s="1240"/>
      <c r="I742" s="1240"/>
      <c r="J742" s="1240"/>
      <c r="K742" s="1240"/>
      <c r="L742" s="1240"/>
      <c r="M742" s="1240"/>
      <c r="N742" s="1240"/>
      <c r="O742" s="1240"/>
      <c r="P742" s="1247">
        <f t="shared" si="80"/>
        <v>716</v>
      </c>
      <c r="Q742" s="1253" t="e">
        <f t="shared" ca="1" si="86"/>
        <v>#N/A</v>
      </c>
      <c r="R742" s="1247" t="str">
        <f>IFERROR(VLOOKUP(P742,RPCRepaymentDates[],1,FALSE),"")</f>
        <v/>
      </c>
      <c r="S742" s="1259">
        <f t="shared" si="82"/>
        <v>0</v>
      </c>
      <c r="T742" s="1247" t="str">
        <f>IFERROR(VLOOKUP(P742,RPCChargeCycleDates[],1,FALSE),"")</f>
        <v/>
      </c>
      <c r="U742" s="1248" t="str">
        <f>IFERROR(_xlfn.DAYS(T742,$Q$16)-SUM(U$26:U741),"")</f>
        <v/>
      </c>
      <c r="V742" s="1258">
        <f t="shared" ca="1" si="83"/>
        <v>0</v>
      </c>
      <c r="W742" s="1258">
        <f t="shared" ca="1" si="84"/>
        <v>0</v>
      </c>
      <c r="X742" s="1258" t="e">
        <f t="shared" ca="1" si="85"/>
        <v>#N/A</v>
      </c>
      <c r="Y742" s="1240"/>
      <c r="Z742" s="1240"/>
      <c r="AA742" s="1240"/>
      <c r="AB742" s="1240"/>
      <c r="AC742" s="1254" t="e">
        <f t="shared" si="81"/>
        <v>#NUM!</v>
      </c>
      <c r="AD742" s="1240"/>
      <c r="AE742" s="1240"/>
      <c r="AF742" s="1240"/>
      <c r="AG742" s="1240"/>
      <c r="AH742" s="1240"/>
      <c r="AI742" s="1240"/>
      <c r="AJ742" s="1240"/>
      <c r="AK742" s="1240"/>
      <c r="AL742" s="1240"/>
      <c r="AM742" s="1240"/>
      <c r="AN742" s="1240"/>
      <c r="AO742" s="1240"/>
      <c r="AP742" s="1240"/>
    </row>
    <row r="743" spans="1:42" ht="18.75" customHeight="1" x14ac:dyDescent="0.35">
      <c r="A743" s="1240"/>
      <c r="B743" s="1240"/>
      <c r="C743" s="1240"/>
      <c r="D743" s="1240"/>
      <c r="E743" s="1240"/>
      <c r="F743" s="1240"/>
      <c r="G743" s="1240"/>
      <c r="H743" s="1240"/>
      <c r="I743" s="1240"/>
      <c r="J743" s="1240"/>
      <c r="K743" s="1240"/>
      <c r="L743" s="1240"/>
      <c r="M743" s="1240"/>
      <c r="N743" s="1240"/>
      <c r="O743" s="1240"/>
      <c r="P743" s="1247">
        <f t="shared" si="80"/>
        <v>717</v>
      </c>
      <c r="Q743" s="1253" t="e">
        <f t="shared" ca="1" si="86"/>
        <v>#N/A</v>
      </c>
      <c r="R743" s="1247" t="str">
        <f>IFERROR(VLOOKUP(P743,RPCRepaymentDates[],1,FALSE),"")</f>
        <v/>
      </c>
      <c r="S743" s="1259">
        <f t="shared" si="82"/>
        <v>0</v>
      </c>
      <c r="T743" s="1247" t="str">
        <f>IFERROR(VLOOKUP(P743,RPCChargeCycleDates[],1,FALSE),"")</f>
        <v/>
      </c>
      <c r="U743" s="1248" t="str">
        <f>IFERROR(_xlfn.DAYS(T743,$Q$16)-SUM(U$26:U742),"")</f>
        <v/>
      </c>
      <c r="V743" s="1258">
        <f t="shared" ca="1" si="83"/>
        <v>0</v>
      </c>
      <c r="W743" s="1258">
        <f t="shared" ca="1" si="84"/>
        <v>0</v>
      </c>
      <c r="X743" s="1258" t="e">
        <f t="shared" ca="1" si="85"/>
        <v>#N/A</v>
      </c>
      <c r="Y743" s="1240"/>
      <c r="Z743" s="1240"/>
      <c r="AA743" s="1240"/>
      <c r="AB743" s="1240"/>
      <c r="AC743" s="1254" t="e">
        <f t="shared" si="81"/>
        <v>#NUM!</v>
      </c>
      <c r="AD743" s="1240"/>
      <c r="AE743" s="1240"/>
      <c r="AF743" s="1240"/>
      <c r="AG743" s="1240"/>
      <c r="AH743" s="1240"/>
      <c r="AI743" s="1240"/>
      <c r="AJ743" s="1240"/>
      <c r="AK743" s="1240"/>
      <c r="AL743" s="1240"/>
      <c r="AM743" s="1240"/>
      <c r="AN743" s="1240"/>
      <c r="AO743" s="1240"/>
      <c r="AP743" s="1240"/>
    </row>
    <row r="744" spans="1:42" ht="18.75" customHeight="1" x14ac:dyDescent="0.35">
      <c r="A744" s="1240"/>
      <c r="B744" s="1240"/>
      <c r="C744" s="1240"/>
      <c r="D744" s="1240"/>
      <c r="E744" s="1240"/>
      <c r="F744" s="1240"/>
      <c r="G744" s="1240"/>
      <c r="H744" s="1240"/>
      <c r="I744" s="1240"/>
      <c r="J744" s="1240"/>
      <c r="K744" s="1240"/>
      <c r="L744" s="1240"/>
      <c r="M744" s="1240"/>
      <c r="N744" s="1240"/>
      <c r="O744" s="1240"/>
      <c r="P744" s="1247">
        <f t="shared" si="80"/>
        <v>718</v>
      </c>
      <c r="Q744" s="1253" t="e">
        <f t="shared" ca="1" si="86"/>
        <v>#N/A</v>
      </c>
      <c r="R744" s="1247" t="str">
        <f>IFERROR(VLOOKUP(P744,RPCRepaymentDates[],1,FALSE),"")</f>
        <v/>
      </c>
      <c r="S744" s="1259">
        <f t="shared" si="82"/>
        <v>0</v>
      </c>
      <c r="T744" s="1247" t="str">
        <f>IFERROR(VLOOKUP(P744,RPCChargeCycleDates[],1,FALSE),"")</f>
        <v/>
      </c>
      <c r="U744" s="1248" t="str">
        <f>IFERROR(_xlfn.DAYS(T744,$Q$16)-SUM(U$26:U743),"")</f>
        <v/>
      </c>
      <c r="V744" s="1258">
        <f t="shared" ca="1" si="83"/>
        <v>0</v>
      </c>
      <c r="W744" s="1258">
        <f t="shared" ca="1" si="84"/>
        <v>0</v>
      </c>
      <c r="X744" s="1258" t="e">
        <f t="shared" ca="1" si="85"/>
        <v>#N/A</v>
      </c>
      <c r="Y744" s="1240"/>
      <c r="Z744" s="1240"/>
      <c r="AA744" s="1240"/>
      <c r="AB744" s="1240"/>
      <c r="AC744" s="1254" t="e">
        <f t="shared" si="81"/>
        <v>#NUM!</v>
      </c>
      <c r="AD744" s="1240"/>
      <c r="AE744" s="1240"/>
      <c r="AF744" s="1240"/>
      <c r="AG744" s="1240"/>
      <c r="AH744" s="1240"/>
      <c r="AI744" s="1240"/>
      <c r="AJ744" s="1240"/>
      <c r="AK744" s="1240"/>
      <c r="AL744" s="1240"/>
      <c r="AM744" s="1240"/>
      <c r="AN744" s="1240"/>
      <c r="AO744" s="1240"/>
      <c r="AP744" s="1240"/>
    </row>
    <row r="745" spans="1:42" ht="18.75" customHeight="1" x14ac:dyDescent="0.35">
      <c r="A745" s="1240"/>
      <c r="B745" s="1240"/>
      <c r="C745" s="1240"/>
      <c r="D745" s="1240"/>
      <c r="E745" s="1240"/>
      <c r="F745" s="1240"/>
      <c r="G745" s="1240"/>
      <c r="H745" s="1240"/>
      <c r="I745" s="1240"/>
      <c r="J745" s="1240"/>
      <c r="K745" s="1240"/>
      <c r="L745" s="1240"/>
      <c r="M745" s="1240"/>
      <c r="N745" s="1240"/>
      <c r="O745" s="1240"/>
      <c r="P745" s="1247">
        <f t="shared" si="80"/>
        <v>719</v>
      </c>
      <c r="Q745" s="1253" t="e">
        <f t="shared" ca="1" si="86"/>
        <v>#N/A</v>
      </c>
      <c r="R745" s="1247" t="str">
        <f>IFERROR(VLOOKUP(P745,RPCRepaymentDates[],1,FALSE),"")</f>
        <v/>
      </c>
      <c r="S745" s="1259">
        <f t="shared" si="82"/>
        <v>0</v>
      </c>
      <c r="T745" s="1247" t="str">
        <f>IFERROR(VLOOKUP(P745,RPCChargeCycleDates[],1,FALSE),"")</f>
        <v/>
      </c>
      <c r="U745" s="1248" t="str">
        <f>IFERROR(_xlfn.DAYS(T745,$Q$16)-SUM(U$26:U744),"")</f>
        <v/>
      </c>
      <c r="V745" s="1258">
        <f t="shared" ca="1" si="83"/>
        <v>0</v>
      </c>
      <c r="W745" s="1258">
        <f t="shared" ca="1" si="84"/>
        <v>0</v>
      </c>
      <c r="X745" s="1258" t="e">
        <f t="shared" ca="1" si="85"/>
        <v>#N/A</v>
      </c>
      <c r="Y745" s="1240"/>
      <c r="Z745" s="1240"/>
      <c r="AA745" s="1240"/>
      <c r="AB745" s="1240"/>
      <c r="AC745" s="1254" t="e">
        <f t="shared" si="81"/>
        <v>#NUM!</v>
      </c>
      <c r="AD745" s="1240"/>
      <c r="AE745" s="1240"/>
      <c r="AF745" s="1240"/>
      <c r="AG745" s="1240"/>
      <c r="AH745" s="1240"/>
      <c r="AI745" s="1240"/>
      <c r="AJ745" s="1240"/>
      <c r="AK745" s="1240"/>
      <c r="AL745" s="1240"/>
      <c r="AM745" s="1240"/>
      <c r="AN745" s="1240"/>
      <c r="AO745" s="1240"/>
      <c r="AP745" s="1240"/>
    </row>
    <row r="746" spans="1:42" ht="18.75" customHeight="1" x14ac:dyDescent="0.35">
      <c r="A746" s="1240"/>
      <c r="B746" s="1240"/>
      <c r="C746" s="1240"/>
      <c r="D746" s="1240"/>
      <c r="E746" s="1240"/>
      <c r="F746" s="1240"/>
      <c r="G746" s="1240"/>
      <c r="H746" s="1240"/>
      <c r="I746" s="1240"/>
      <c r="J746" s="1240"/>
      <c r="K746" s="1240"/>
      <c r="L746" s="1240"/>
      <c r="M746" s="1240"/>
      <c r="N746" s="1240"/>
      <c r="O746" s="1240"/>
      <c r="P746" s="1247">
        <f t="shared" ref="P746:P809" si="87">P745+1</f>
        <v>720</v>
      </c>
      <c r="Q746" s="1253" t="e">
        <f t="shared" ca="1" si="86"/>
        <v>#N/A</v>
      </c>
      <c r="R746" s="1247" t="str">
        <f>IFERROR(VLOOKUP(P746,RPCRepaymentDates[],1,FALSE),"")</f>
        <v/>
      </c>
      <c r="S746" s="1259">
        <f t="shared" si="82"/>
        <v>0</v>
      </c>
      <c r="T746" s="1247" t="str">
        <f>IFERROR(VLOOKUP(P746,RPCChargeCycleDates[],1,FALSE),"")</f>
        <v/>
      </c>
      <c r="U746" s="1248" t="str">
        <f>IFERROR(_xlfn.DAYS(T746,$Q$16)-SUM(U$26:U745),"")</f>
        <v/>
      </c>
      <c r="V746" s="1258">
        <f t="shared" ca="1" si="83"/>
        <v>0</v>
      </c>
      <c r="W746" s="1258">
        <f t="shared" ca="1" si="84"/>
        <v>0</v>
      </c>
      <c r="X746" s="1258" t="e">
        <f t="shared" ca="1" si="85"/>
        <v>#N/A</v>
      </c>
      <c r="Y746" s="1240"/>
      <c r="Z746" s="1240"/>
      <c r="AA746" s="1240"/>
      <c r="AB746" s="1240"/>
      <c r="AC746" s="1254" t="e">
        <f t="shared" si="81"/>
        <v>#NUM!</v>
      </c>
      <c r="AD746" s="1240"/>
      <c r="AE746" s="1240"/>
      <c r="AF746" s="1240"/>
      <c r="AG746" s="1240"/>
      <c r="AH746" s="1240"/>
      <c r="AI746" s="1240"/>
      <c r="AJ746" s="1240"/>
      <c r="AK746" s="1240"/>
      <c r="AL746" s="1240"/>
      <c r="AM746" s="1240"/>
      <c r="AN746" s="1240"/>
      <c r="AO746" s="1240"/>
      <c r="AP746" s="1240"/>
    </row>
    <row r="747" spans="1:42" ht="18.75" customHeight="1" x14ac:dyDescent="0.35">
      <c r="A747" s="1240"/>
      <c r="B747" s="1240"/>
      <c r="C747" s="1240"/>
      <c r="D747" s="1240"/>
      <c r="E747" s="1240"/>
      <c r="F747" s="1240"/>
      <c r="G747" s="1240"/>
      <c r="H747" s="1240"/>
      <c r="I747" s="1240"/>
      <c r="J747" s="1240"/>
      <c r="K747" s="1240"/>
      <c r="L747" s="1240"/>
      <c r="M747" s="1240"/>
      <c r="N747" s="1240"/>
      <c r="O747" s="1240"/>
      <c r="P747" s="1247">
        <f t="shared" si="87"/>
        <v>721</v>
      </c>
      <c r="Q747" s="1253" t="e">
        <f t="shared" ca="1" si="86"/>
        <v>#N/A</v>
      </c>
      <c r="R747" s="1247" t="str">
        <f>IFERROR(VLOOKUP(P747,RPCRepaymentDates[],1,FALSE),"")</f>
        <v/>
      </c>
      <c r="S747" s="1259">
        <f t="shared" si="82"/>
        <v>0</v>
      </c>
      <c r="T747" s="1247" t="str">
        <f>IFERROR(VLOOKUP(P747,RPCChargeCycleDates[],1,FALSE),"")</f>
        <v/>
      </c>
      <c r="U747" s="1248" t="str">
        <f>IFERROR(_xlfn.DAYS(T747,$Q$16)-SUM(U$26:U746),"")</f>
        <v/>
      </c>
      <c r="V747" s="1258">
        <f t="shared" ca="1" si="83"/>
        <v>0</v>
      </c>
      <c r="W747" s="1258">
        <f t="shared" ca="1" si="84"/>
        <v>0</v>
      </c>
      <c r="X747" s="1258" t="e">
        <f t="shared" ca="1" si="85"/>
        <v>#N/A</v>
      </c>
      <c r="Y747" s="1240"/>
      <c r="Z747" s="1240"/>
      <c r="AA747" s="1240"/>
      <c r="AB747" s="1240"/>
      <c r="AC747" s="1254" t="e">
        <f t="shared" si="81"/>
        <v>#NUM!</v>
      </c>
      <c r="AD747" s="1240"/>
      <c r="AE747" s="1240"/>
      <c r="AF747" s="1240"/>
      <c r="AG747" s="1240"/>
      <c r="AH747" s="1240"/>
      <c r="AI747" s="1240"/>
      <c r="AJ747" s="1240"/>
      <c r="AK747" s="1240"/>
      <c r="AL747" s="1240"/>
      <c r="AM747" s="1240"/>
      <c r="AN747" s="1240"/>
      <c r="AO747" s="1240"/>
      <c r="AP747" s="1240"/>
    </row>
    <row r="748" spans="1:42" ht="18.75" customHeight="1" x14ac:dyDescent="0.35">
      <c r="A748" s="1240"/>
      <c r="B748" s="1240"/>
      <c r="C748" s="1240"/>
      <c r="D748" s="1240"/>
      <c r="E748" s="1240"/>
      <c r="F748" s="1240"/>
      <c r="G748" s="1240"/>
      <c r="H748" s="1240"/>
      <c r="I748" s="1240"/>
      <c r="J748" s="1240"/>
      <c r="K748" s="1240"/>
      <c r="L748" s="1240"/>
      <c r="M748" s="1240"/>
      <c r="N748" s="1240"/>
      <c r="O748" s="1240"/>
      <c r="P748" s="1247">
        <f t="shared" si="87"/>
        <v>722</v>
      </c>
      <c r="Q748" s="1253" t="e">
        <f t="shared" ca="1" si="86"/>
        <v>#N/A</v>
      </c>
      <c r="R748" s="1247" t="str">
        <f>IFERROR(VLOOKUP(P748,RPCRepaymentDates[],1,FALSE),"")</f>
        <v/>
      </c>
      <c r="S748" s="1259">
        <f t="shared" si="82"/>
        <v>0</v>
      </c>
      <c r="T748" s="1247" t="str">
        <f>IFERROR(VLOOKUP(P748,RPCChargeCycleDates[],1,FALSE),"")</f>
        <v/>
      </c>
      <c r="U748" s="1248" t="str">
        <f>IFERROR(_xlfn.DAYS(T748,$Q$16)-SUM(U$26:U747),"")</f>
        <v/>
      </c>
      <c r="V748" s="1258">
        <f t="shared" ca="1" si="83"/>
        <v>0</v>
      </c>
      <c r="W748" s="1258">
        <f t="shared" ca="1" si="84"/>
        <v>0</v>
      </c>
      <c r="X748" s="1258" t="e">
        <f t="shared" ca="1" si="85"/>
        <v>#N/A</v>
      </c>
      <c r="Y748" s="1240"/>
      <c r="Z748" s="1240"/>
      <c r="AA748" s="1240"/>
      <c r="AB748" s="1240"/>
      <c r="AC748" s="1254" t="e">
        <f t="shared" si="81"/>
        <v>#NUM!</v>
      </c>
      <c r="AD748" s="1240"/>
      <c r="AE748" s="1240"/>
      <c r="AF748" s="1240"/>
      <c r="AG748" s="1240"/>
      <c r="AH748" s="1240"/>
      <c r="AI748" s="1240"/>
      <c r="AJ748" s="1240"/>
      <c r="AK748" s="1240"/>
      <c r="AL748" s="1240"/>
      <c r="AM748" s="1240"/>
      <c r="AN748" s="1240"/>
      <c r="AO748" s="1240"/>
      <c r="AP748" s="1240"/>
    </row>
    <row r="749" spans="1:42" ht="18.75" customHeight="1" x14ac:dyDescent="0.35">
      <c r="A749" s="1240"/>
      <c r="B749" s="1240"/>
      <c r="C749" s="1240"/>
      <c r="D749" s="1240"/>
      <c r="E749" s="1240"/>
      <c r="F749" s="1240"/>
      <c r="G749" s="1240"/>
      <c r="H749" s="1240"/>
      <c r="I749" s="1240"/>
      <c r="J749" s="1240"/>
      <c r="K749" s="1240"/>
      <c r="L749" s="1240"/>
      <c r="M749" s="1240"/>
      <c r="N749" s="1240"/>
      <c r="O749" s="1240"/>
      <c r="P749" s="1247">
        <f t="shared" si="87"/>
        <v>723</v>
      </c>
      <c r="Q749" s="1253" t="e">
        <f t="shared" ca="1" si="86"/>
        <v>#N/A</v>
      </c>
      <c r="R749" s="1247" t="str">
        <f>IFERROR(VLOOKUP(P749,RPCRepaymentDates[],1,FALSE),"")</f>
        <v/>
      </c>
      <c r="S749" s="1259">
        <f t="shared" si="82"/>
        <v>0</v>
      </c>
      <c r="T749" s="1247" t="str">
        <f>IFERROR(VLOOKUP(P749,RPCChargeCycleDates[],1,FALSE),"")</f>
        <v/>
      </c>
      <c r="U749" s="1248" t="str">
        <f>IFERROR(_xlfn.DAYS(T749,$Q$16)-SUM(U$26:U748),"")</f>
        <v/>
      </c>
      <c r="V749" s="1258">
        <f t="shared" ca="1" si="83"/>
        <v>0</v>
      </c>
      <c r="W749" s="1258">
        <f t="shared" ca="1" si="84"/>
        <v>0</v>
      </c>
      <c r="X749" s="1258" t="e">
        <f t="shared" ca="1" si="85"/>
        <v>#N/A</v>
      </c>
      <c r="Y749" s="1240"/>
      <c r="Z749" s="1240"/>
      <c r="AA749" s="1240"/>
      <c r="AB749" s="1240"/>
      <c r="AC749" s="1254" t="e">
        <f t="shared" si="81"/>
        <v>#NUM!</v>
      </c>
      <c r="AD749" s="1240"/>
      <c r="AE749" s="1240"/>
      <c r="AF749" s="1240"/>
      <c r="AG749" s="1240"/>
      <c r="AH749" s="1240"/>
      <c r="AI749" s="1240"/>
      <c r="AJ749" s="1240"/>
      <c r="AK749" s="1240"/>
      <c r="AL749" s="1240"/>
      <c r="AM749" s="1240"/>
      <c r="AN749" s="1240"/>
      <c r="AO749" s="1240"/>
      <c r="AP749" s="1240"/>
    </row>
    <row r="750" spans="1:42" ht="18.75" customHeight="1" x14ac:dyDescent="0.35">
      <c r="A750" s="1240"/>
      <c r="B750" s="1240"/>
      <c r="C750" s="1240"/>
      <c r="D750" s="1240"/>
      <c r="E750" s="1240"/>
      <c r="F750" s="1240"/>
      <c r="G750" s="1240"/>
      <c r="H750" s="1240"/>
      <c r="I750" s="1240"/>
      <c r="J750" s="1240"/>
      <c r="K750" s="1240"/>
      <c r="L750" s="1240"/>
      <c r="M750" s="1240"/>
      <c r="N750" s="1240"/>
      <c r="O750" s="1240"/>
      <c r="P750" s="1247">
        <f t="shared" si="87"/>
        <v>724</v>
      </c>
      <c r="Q750" s="1253" t="e">
        <f t="shared" ca="1" si="86"/>
        <v>#N/A</v>
      </c>
      <c r="R750" s="1247" t="str">
        <f>IFERROR(VLOOKUP(P750,RPCRepaymentDates[],1,FALSE),"")</f>
        <v/>
      </c>
      <c r="S750" s="1259">
        <f t="shared" si="82"/>
        <v>0</v>
      </c>
      <c r="T750" s="1247" t="str">
        <f>IFERROR(VLOOKUP(P750,RPCChargeCycleDates[],1,FALSE),"")</f>
        <v/>
      </c>
      <c r="U750" s="1248" t="str">
        <f>IFERROR(_xlfn.DAYS(T750,$Q$16)-SUM(U$26:U749),"")</f>
        <v/>
      </c>
      <c r="V750" s="1258">
        <f t="shared" ca="1" si="83"/>
        <v>0</v>
      </c>
      <c r="W750" s="1258">
        <f t="shared" ca="1" si="84"/>
        <v>0</v>
      </c>
      <c r="X750" s="1258" t="e">
        <f t="shared" ca="1" si="85"/>
        <v>#N/A</v>
      </c>
      <c r="Y750" s="1240"/>
      <c r="Z750" s="1240"/>
      <c r="AA750" s="1240"/>
      <c r="AB750" s="1240"/>
      <c r="AC750" s="1254" t="e">
        <f t="shared" si="81"/>
        <v>#NUM!</v>
      </c>
      <c r="AD750" s="1240"/>
      <c r="AE750" s="1240"/>
      <c r="AF750" s="1240"/>
      <c r="AG750" s="1240"/>
      <c r="AH750" s="1240"/>
      <c r="AI750" s="1240"/>
      <c r="AJ750" s="1240"/>
      <c r="AK750" s="1240"/>
      <c r="AL750" s="1240"/>
      <c r="AM750" s="1240"/>
      <c r="AN750" s="1240"/>
      <c r="AO750" s="1240"/>
      <c r="AP750" s="1240"/>
    </row>
    <row r="751" spans="1:42" ht="18.75" customHeight="1" x14ac:dyDescent="0.35">
      <c r="A751" s="1240"/>
      <c r="B751" s="1240"/>
      <c r="C751" s="1240"/>
      <c r="D751" s="1240"/>
      <c r="E751" s="1240"/>
      <c r="F751" s="1240"/>
      <c r="G751" s="1240"/>
      <c r="H751" s="1240"/>
      <c r="I751" s="1240"/>
      <c r="J751" s="1240"/>
      <c r="K751" s="1240"/>
      <c r="L751" s="1240"/>
      <c r="M751" s="1240"/>
      <c r="N751" s="1240"/>
      <c r="O751" s="1240"/>
      <c r="P751" s="1247">
        <f t="shared" si="87"/>
        <v>725</v>
      </c>
      <c r="Q751" s="1253" t="e">
        <f t="shared" ca="1" si="86"/>
        <v>#N/A</v>
      </c>
      <c r="R751" s="1247" t="str">
        <f>IFERROR(VLOOKUP(P751,RPCRepaymentDates[],1,FALSE),"")</f>
        <v/>
      </c>
      <c r="S751" s="1259">
        <f t="shared" si="82"/>
        <v>0</v>
      </c>
      <c r="T751" s="1247" t="str">
        <f>IFERROR(VLOOKUP(P751,RPCChargeCycleDates[],1,FALSE),"")</f>
        <v/>
      </c>
      <c r="U751" s="1248" t="str">
        <f>IFERROR(_xlfn.DAYS(T751,$Q$16)-SUM(U$26:U750),"")</f>
        <v/>
      </c>
      <c r="V751" s="1258">
        <f t="shared" ca="1" si="83"/>
        <v>0</v>
      </c>
      <c r="W751" s="1258">
        <f t="shared" ca="1" si="84"/>
        <v>0</v>
      </c>
      <c r="X751" s="1258" t="e">
        <f t="shared" ca="1" si="85"/>
        <v>#N/A</v>
      </c>
      <c r="Y751" s="1240"/>
      <c r="Z751" s="1240"/>
      <c r="AA751" s="1240"/>
      <c r="AB751" s="1240"/>
      <c r="AC751" s="1254" t="e">
        <f t="shared" si="81"/>
        <v>#NUM!</v>
      </c>
      <c r="AD751" s="1240"/>
      <c r="AE751" s="1240"/>
      <c r="AF751" s="1240"/>
      <c r="AG751" s="1240"/>
      <c r="AH751" s="1240"/>
      <c r="AI751" s="1240"/>
      <c r="AJ751" s="1240"/>
      <c r="AK751" s="1240"/>
      <c r="AL751" s="1240"/>
      <c r="AM751" s="1240"/>
      <c r="AN751" s="1240"/>
      <c r="AO751" s="1240"/>
      <c r="AP751" s="1240"/>
    </row>
    <row r="752" spans="1:42" ht="18.75" customHeight="1" x14ac:dyDescent="0.35">
      <c r="A752" s="1240"/>
      <c r="B752" s="1240"/>
      <c r="C752" s="1240"/>
      <c r="D752" s="1240"/>
      <c r="E752" s="1240"/>
      <c r="F752" s="1240"/>
      <c r="G752" s="1240"/>
      <c r="H752" s="1240"/>
      <c r="I752" s="1240"/>
      <c r="J752" s="1240"/>
      <c r="K752" s="1240"/>
      <c r="L752" s="1240"/>
      <c r="M752" s="1240"/>
      <c r="N752" s="1240"/>
      <c r="O752" s="1240"/>
      <c r="P752" s="1247">
        <f t="shared" si="87"/>
        <v>726</v>
      </c>
      <c r="Q752" s="1253" t="e">
        <f t="shared" ca="1" si="86"/>
        <v>#N/A</v>
      </c>
      <c r="R752" s="1247" t="str">
        <f>IFERROR(VLOOKUP(P752,RPCRepaymentDates[],1,FALSE),"")</f>
        <v/>
      </c>
      <c r="S752" s="1259">
        <f t="shared" si="82"/>
        <v>0</v>
      </c>
      <c r="T752" s="1247" t="str">
        <f>IFERROR(VLOOKUP(P752,RPCChargeCycleDates[],1,FALSE),"")</f>
        <v/>
      </c>
      <c r="U752" s="1248" t="str">
        <f>IFERROR(_xlfn.DAYS(T752,$Q$16)-SUM(U$26:U751),"")</f>
        <v/>
      </c>
      <c r="V752" s="1258">
        <f t="shared" ca="1" si="83"/>
        <v>0</v>
      </c>
      <c r="W752" s="1258">
        <f t="shared" ca="1" si="84"/>
        <v>0</v>
      </c>
      <c r="X752" s="1258" t="e">
        <f t="shared" ca="1" si="85"/>
        <v>#N/A</v>
      </c>
      <c r="Y752" s="1240"/>
      <c r="Z752" s="1240"/>
      <c r="AA752" s="1240"/>
      <c r="AB752" s="1240"/>
      <c r="AC752" s="1254" t="e">
        <f t="shared" si="81"/>
        <v>#NUM!</v>
      </c>
      <c r="AD752" s="1240"/>
      <c r="AE752" s="1240"/>
      <c r="AF752" s="1240"/>
      <c r="AG752" s="1240"/>
      <c r="AH752" s="1240"/>
      <c r="AI752" s="1240"/>
      <c r="AJ752" s="1240"/>
      <c r="AK752" s="1240"/>
      <c r="AL752" s="1240"/>
      <c r="AM752" s="1240"/>
      <c r="AN752" s="1240"/>
      <c r="AO752" s="1240"/>
      <c r="AP752" s="1240"/>
    </row>
    <row r="753" spans="1:42" ht="18.75" customHeight="1" x14ac:dyDescent="0.35">
      <c r="A753" s="1240"/>
      <c r="B753" s="1240"/>
      <c r="C753" s="1240"/>
      <c r="D753" s="1240"/>
      <c r="E753" s="1240"/>
      <c r="F753" s="1240"/>
      <c r="G753" s="1240"/>
      <c r="H753" s="1240"/>
      <c r="I753" s="1240"/>
      <c r="J753" s="1240"/>
      <c r="K753" s="1240"/>
      <c r="L753" s="1240"/>
      <c r="M753" s="1240"/>
      <c r="N753" s="1240"/>
      <c r="O753" s="1240"/>
      <c r="P753" s="1247">
        <f t="shared" si="87"/>
        <v>727</v>
      </c>
      <c r="Q753" s="1253" t="e">
        <f t="shared" ca="1" si="86"/>
        <v>#N/A</v>
      </c>
      <c r="R753" s="1247" t="str">
        <f>IFERROR(VLOOKUP(P753,RPCRepaymentDates[],1,FALSE),"")</f>
        <v/>
      </c>
      <c r="S753" s="1259">
        <f t="shared" si="82"/>
        <v>0</v>
      </c>
      <c r="T753" s="1247" t="str">
        <f>IFERROR(VLOOKUP(P753,RPCChargeCycleDates[],1,FALSE),"")</f>
        <v/>
      </c>
      <c r="U753" s="1248" t="str">
        <f>IFERROR(_xlfn.DAYS(T753,$Q$16)-SUM(U$26:U752),"")</f>
        <v/>
      </c>
      <c r="V753" s="1258">
        <f t="shared" ca="1" si="83"/>
        <v>0</v>
      </c>
      <c r="W753" s="1258">
        <f t="shared" ca="1" si="84"/>
        <v>0</v>
      </c>
      <c r="X753" s="1258" t="e">
        <f t="shared" ca="1" si="85"/>
        <v>#N/A</v>
      </c>
      <c r="Y753" s="1240"/>
      <c r="Z753" s="1240"/>
      <c r="AA753" s="1240"/>
      <c r="AB753" s="1240"/>
      <c r="AC753" s="1254" t="e">
        <f t="shared" si="81"/>
        <v>#NUM!</v>
      </c>
      <c r="AD753" s="1240"/>
      <c r="AE753" s="1240"/>
      <c r="AF753" s="1240"/>
      <c r="AG753" s="1240"/>
      <c r="AH753" s="1240"/>
      <c r="AI753" s="1240"/>
      <c r="AJ753" s="1240"/>
      <c r="AK753" s="1240"/>
      <c r="AL753" s="1240"/>
      <c r="AM753" s="1240"/>
      <c r="AN753" s="1240"/>
      <c r="AO753" s="1240"/>
      <c r="AP753" s="1240"/>
    </row>
    <row r="754" spans="1:42" ht="18.75" customHeight="1" x14ac:dyDescent="0.35">
      <c r="A754" s="1240"/>
      <c r="B754" s="1240"/>
      <c r="C754" s="1240"/>
      <c r="D754" s="1240"/>
      <c r="E754" s="1240"/>
      <c r="F754" s="1240"/>
      <c r="G754" s="1240"/>
      <c r="H754" s="1240"/>
      <c r="I754" s="1240"/>
      <c r="J754" s="1240"/>
      <c r="K754" s="1240"/>
      <c r="L754" s="1240"/>
      <c r="M754" s="1240"/>
      <c r="N754" s="1240"/>
      <c r="O754" s="1240"/>
      <c r="P754" s="1247">
        <f t="shared" si="87"/>
        <v>728</v>
      </c>
      <c r="Q754" s="1253" t="e">
        <f t="shared" ca="1" si="86"/>
        <v>#N/A</v>
      </c>
      <c r="R754" s="1247" t="str">
        <f>IFERROR(VLOOKUP(P754,RPCRepaymentDates[],1,FALSE),"")</f>
        <v/>
      </c>
      <c r="S754" s="1259">
        <f t="shared" si="82"/>
        <v>0</v>
      </c>
      <c r="T754" s="1247">
        <f>IFERROR(VLOOKUP(P754,RPCChargeCycleDates[],1,FALSE),"")</f>
        <v>728</v>
      </c>
      <c r="U754" s="1248">
        <f>IFERROR(_xlfn.DAYS(T754,$Q$16)-SUM(U$26:U753),"")</f>
        <v>30</v>
      </c>
      <c r="V754" s="1258">
        <f t="shared" ca="1" si="83"/>
        <v>0</v>
      </c>
      <c r="W754" s="1258">
        <f t="shared" ca="1" si="84"/>
        <v>0</v>
      </c>
      <c r="X754" s="1258" t="e">
        <f t="shared" ca="1" si="85"/>
        <v>#N/A</v>
      </c>
      <c r="Y754" s="1240"/>
      <c r="Z754" s="1240"/>
      <c r="AA754" s="1240"/>
      <c r="AB754" s="1240"/>
      <c r="AC754" s="1254" t="e">
        <f t="shared" si="81"/>
        <v>#NUM!</v>
      </c>
      <c r="AD754" s="1240"/>
      <c r="AE754" s="1240"/>
      <c r="AF754" s="1240"/>
      <c r="AG754" s="1240"/>
      <c r="AH754" s="1240"/>
      <c r="AI754" s="1240"/>
      <c r="AJ754" s="1240"/>
      <c r="AK754" s="1240"/>
      <c r="AL754" s="1240"/>
      <c r="AM754" s="1240"/>
      <c r="AN754" s="1240"/>
      <c r="AO754" s="1240"/>
      <c r="AP754" s="1240"/>
    </row>
    <row r="755" spans="1:42" ht="18.75" customHeight="1" x14ac:dyDescent="0.35">
      <c r="A755" s="1240"/>
      <c r="B755" s="1240"/>
      <c r="C755" s="1240"/>
      <c r="D755" s="1240"/>
      <c r="E755" s="1240"/>
      <c r="F755" s="1240"/>
      <c r="G755" s="1240"/>
      <c r="H755" s="1240"/>
      <c r="I755" s="1240"/>
      <c r="J755" s="1240"/>
      <c r="K755" s="1240"/>
      <c r="L755" s="1240"/>
      <c r="M755" s="1240"/>
      <c r="N755" s="1240"/>
      <c r="O755" s="1240"/>
      <c r="P755" s="1247">
        <f t="shared" si="87"/>
        <v>729</v>
      </c>
      <c r="Q755" s="1253" t="e">
        <f t="shared" ca="1" si="86"/>
        <v>#N/A</v>
      </c>
      <c r="R755" s="1247" t="str">
        <f>IFERROR(VLOOKUP(P755,RPCRepaymentDates[],1,FALSE),"")</f>
        <v/>
      </c>
      <c r="S755" s="1259">
        <f t="shared" si="82"/>
        <v>0</v>
      </c>
      <c r="T755" s="1247" t="str">
        <f>IFERROR(VLOOKUP(P755,RPCChargeCycleDates[],1,FALSE),"")</f>
        <v/>
      </c>
      <c r="U755" s="1248" t="str">
        <f>IFERROR(_xlfn.DAYS(T755,$Q$16)-SUM(U$26:U754),"")</f>
        <v/>
      </c>
      <c r="V755" s="1258">
        <f t="shared" ca="1" si="83"/>
        <v>0</v>
      </c>
      <c r="W755" s="1258">
        <f t="shared" ca="1" si="84"/>
        <v>0</v>
      </c>
      <c r="X755" s="1258" t="e">
        <f t="shared" ca="1" si="85"/>
        <v>#N/A</v>
      </c>
      <c r="Y755" s="1240"/>
      <c r="Z755" s="1240"/>
      <c r="AA755" s="1240"/>
      <c r="AB755" s="1240"/>
      <c r="AC755" s="1254" t="e">
        <f t="shared" si="81"/>
        <v>#NUM!</v>
      </c>
      <c r="AD755" s="1240"/>
      <c r="AE755" s="1240"/>
      <c r="AF755" s="1240"/>
      <c r="AG755" s="1240"/>
      <c r="AH755" s="1240"/>
      <c r="AI755" s="1240"/>
      <c r="AJ755" s="1240"/>
      <c r="AK755" s="1240"/>
      <c r="AL755" s="1240"/>
      <c r="AM755" s="1240"/>
      <c r="AN755" s="1240"/>
      <c r="AO755" s="1240"/>
      <c r="AP755" s="1240"/>
    </row>
    <row r="756" spans="1:42" ht="18.75" customHeight="1" x14ac:dyDescent="0.35">
      <c r="A756" s="1240"/>
      <c r="B756" s="1240"/>
      <c r="C756" s="1240"/>
      <c r="D756" s="1240"/>
      <c r="E756" s="1240"/>
      <c r="F756" s="1240"/>
      <c r="G756" s="1240"/>
      <c r="H756" s="1240"/>
      <c r="I756" s="1240"/>
      <c r="J756" s="1240"/>
      <c r="K756" s="1240"/>
      <c r="L756" s="1240"/>
      <c r="M756" s="1240"/>
      <c r="N756" s="1240"/>
      <c r="O756" s="1240"/>
      <c r="P756" s="1247">
        <f t="shared" si="87"/>
        <v>730</v>
      </c>
      <c r="Q756" s="1253" t="e">
        <f t="shared" ca="1" si="86"/>
        <v>#N/A</v>
      </c>
      <c r="R756" s="1247" t="str">
        <f>IFERROR(VLOOKUP(P756,RPCRepaymentDates[],1,FALSE),"")</f>
        <v/>
      </c>
      <c r="S756" s="1259">
        <f t="shared" si="82"/>
        <v>0</v>
      </c>
      <c r="T756" s="1247" t="str">
        <f>IFERROR(VLOOKUP(P756,RPCChargeCycleDates[],1,FALSE),"")</f>
        <v/>
      </c>
      <c r="U756" s="1248" t="str">
        <f>IFERROR(_xlfn.DAYS(T756,$Q$16)-SUM(U$26:U755),"")</f>
        <v/>
      </c>
      <c r="V756" s="1258">
        <f t="shared" ca="1" si="83"/>
        <v>0</v>
      </c>
      <c r="W756" s="1258">
        <f t="shared" ca="1" si="84"/>
        <v>0</v>
      </c>
      <c r="X756" s="1258" t="e">
        <f t="shared" ca="1" si="85"/>
        <v>#N/A</v>
      </c>
      <c r="Y756" s="1240"/>
      <c r="Z756" s="1240"/>
      <c r="AA756" s="1240"/>
      <c r="AB756" s="1240"/>
      <c r="AC756" s="1254" t="e">
        <f t="shared" si="81"/>
        <v>#NUM!</v>
      </c>
      <c r="AD756" s="1240"/>
      <c r="AE756" s="1240"/>
      <c r="AF756" s="1240"/>
      <c r="AG756" s="1240"/>
      <c r="AH756" s="1240"/>
      <c r="AI756" s="1240"/>
      <c r="AJ756" s="1240"/>
      <c r="AK756" s="1240"/>
      <c r="AL756" s="1240"/>
      <c r="AM756" s="1240"/>
      <c r="AN756" s="1240"/>
      <c r="AO756" s="1240"/>
      <c r="AP756" s="1240"/>
    </row>
    <row r="757" spans="1:42" ht="18.75" customHeight="1" x14ac:dyDescent="0.35">
      <c r="A757" s="1240"/>
      <c r="B757" s="1240"/>
      <c r="C757" s="1240"/>
      <c r="D757" s="1240"/>
      <c r="E757" s="1240"/>
      <c r="F757" s="1240"/>
      <c r="G757" s="1240"/>
      <c r="H757" s="1240"/>
      <c r="I757" s="1240"/>
      <c r="J757" s="1240"/>
      <c r="K757" s="1240"/>
      <c r="L757" s="1240"/>
      <c r="M757" s="1240"/>
      <c r="N757" s="1240"/>
      <c r="O757" s="1240"/>
      <c r="P757" s="1247">
        <f t="shared" si="87"/>
        <v>731</v>
      </c>
      <c r="Q757" s="1253" t="e">
        <f t="shared" ca="1" si="86"/>
        <v>#N/A</v>
      </c>
      <c r="R757" s="1247" t="str">
        <f>IFERROR(VLOOKUP(P757,RPCRepaymentDates[],1,FALSE),"")</f>
        <v/>
      </c>
      <c r="S757" s="1259">
        <f t="shared" si="82"/>
        <v>0</v>
      </c>
      <c r="T757" s="1247" t="str">
        <f>IFERROR(VLOOKUP(P757,RPCChargeCycleDates[],1,FALSE),"")</f>
        <v/>
      </c>
      <c r="U757" s="1248" t="str">
        <f>IFERROR(_xlfn.DAYS(T757,$Q$16)-SUM(U$26:U756),"")</f>
        <v/>
      </c>
      <c r="V757" s="1258">
        <f t="shared" ca="1" si="83"/>
        <v>0</v>
      </c>
      <c r="W757" s="1258">
        <f t="shared" ca="1" si="84"/>
        <v>0</v>
      </c>
      <c r="X757" s="1258" t="e">
        <f t="shared" ca="1" si="85"/>
        <v>#N/A</v>
      </c>
      <c r="Y757" s="1240"/>
      <c r="Z757" s="1240"/>
      <c r="AA757" s="1240"/>
      <c r="AB757" s="1240"/>
      <c r="AC757" s="1254" t="e">
        <f t="shared" si="81"/>
        <v>#NUM!</v>
      </c>
      <c r="AD757" s="1240"/>
      <c r="AE757" s="1240"/>
      <c r="AF757" s="1240"/>
      <c r="AG757" s="1240"/>
      <c r="AH757" s="1240"/>
      <c r="AI757" s="1240"/>
      <c r="AJ757" s="1240"/>
      <c r="AK757" s="1240"/>
      <c r="AL757" s="1240"/>
      <c r="AM757" s="1240"/>
      <c r="AN757" s="1240"/>
      <c r="AO757" s="1240"/>
      <c r="AP757" s="1240"/>
    </row>
    <row r="758" spans="1:42" ht="18.75" customHeight="1" x14ac:dyDescent="0.35">
      <c r="A758" s="1240"/>
      <c r="B758" s="1240"/>
      <c r="C758" s="1240"/>
      <c r="D758" s="1240"/>
      <c r="E758" s="1240"/>
      <c r="F758" s="1240"/>
      <c r="G758" s="1240"/>
      <c r="H758" s="1240"/>
      <c r="I758" s="1240"/>
      <c r="J758" s="1240"/>
      <c r="K758" s="1240"/>
      <c r="L758" s="1240"/>
      <c r="M758" s="1240"/>
      <c r="N758" s="1240"/>
      <c r="O758" s="1240"/>
      <c r="P758" s="1247">
        <f t="shared" si="87"/>
        <v>732</v>
      </c>
      <c r="Q758" s="1253" t="e">
        <f t="shared" ca="1" si="86"/>
        <v>#N/A</v>
      </c>
      <c r="R758" s="1247" t="str">
        <f>IFERROR(VLOOKUP(P758,RPCRepaymentDates[],1,FALSE),"")</f>
        <v/>
      </c>
      <c r="S758" s="1259">
        <f t="shared" si="82"/>
        <v>0</v>
      </c>
      <c r="T758" s="1247" t="str">
        <f>IFERROR(VLOOKUP(P758,RPCChargeCycleDates[],1,FALSE),"")</f>
        <v/>
      </c>
      <c r="U758" s="1248" t="str">
        <f>IFERROR(_xlfn.DAYS(T758,$Q$16)-SUM(U$26:U757),"")</f>
        <v/>
      </c>
      <c r="V758" s="1258">
        <f t="shared" ca="1" si="83"/>
        <v>0</v>
      </c>
      <c r="W758" s="1258">
        <f t="shared" ca="1" si="84"/>
        <v>0</v>
      </c>
      <c r="X758" s="1258" t="e">
        <f t="shared" ca="1" si="85"/>
        <v>#N/A</v>
      </c>
      <c r="Y758" s="1240"/>
      <c r="Z758" s="1240"/>
      <c r="AA758" s="1240"/>
      <c r="AB758" s="1240"/>
      <c r="AC758" s="1254" t="e">
        <f t="shared" si="81"/>
        <v>#NUM!</v>
      </c>
      <c r="AD758" s="1240"/>
      <c r="AE758" s="1240"/>
      <c r="AF758" s="1240"/>
      <c r="AG758" s="1240"/>
      <c r="AH758" s="1240"/>
      <c r="AI758" s="1240"/>
      <c r="AJ758" s="1240"/>
      <c r="AK758" s="1240"/>
      <c r="AL758" s="1240"/>
      <c r="AM758" s="1240"/>
      <c r="AN758" s="1240"/>
      <c r="AO758" s="1240"/>
      <c r="AP758" s="1240"/>
    </row>
    <row r="759" spans="1:42" ht="18.75" customHeight="1" x14ac:dyDescent="0.35">
      <c r="A759" s="1240"/>
      <c r="B759" s="1240"/>
      <c r="C759" s="1240"/>
      <c r="D759" s="1240"/>
      <c r="E759" s="1240"/>
      <c r="F759" s="1240"/>
      <c r="G759" s="1240"/>
      <c r="H759" s="1240"/>
      <c r="I759" s="1240"/>
      <c r="J759" s="1240"/>
      <c r="K759" s="1240"/>
      <c r="L759" s="1240"/>
      <c r="M759" s="1240"/>
      <c r="N759" s="1240"/>
      <c r="O759" s="1240"/>
      <c r="P759" s="1247">
        <f t="shared" si="87"/>
        <v>733</v>
      </c>
      <c r="Q759" s="1253" t="e">
        <f t="shared" ca="1" si="86"/>
        <v>#N/A</v>
      </c>
      <c r="R759" s="1247" t="str">
        <f>IFERROR(VLOOKUP(P759,RPCRepaymentDates[],1,FALSE),"")</f>
        <v/>
      </c>
      <c r="S759" s="1259">
        <f t="shared" si="82"/>
        <v>0</v>
      </c>
      <c r="T759" s="1247" t="str">
        <f>IFERROR(VLOOKUP(P759,RPCChargeCycleDates[],1,FALSE),"")</f>
        <v/>
      </c>
      <c r="U759" s="1248" t="str">
        <f>IFERROR(_xlfn.DAYS(T759,$Q$16)-SUM(U$26:U758),"")</f>
        <v/>
      </c>
      <c r="V759" s="1258">
        <f t="shared" ca="1" si="83"/>
        <v>0</v>
      </c>
      <c r="W759" s="1258">
        <f t="shared" ca="1" si="84"/>
        <v>0</v>
      </c>
      <c r="X759" s="1258" t="e">
        <f t="shared" ca="1" si="85"/>
        <v>#N/A</v>
      </c>
      <c r="Y759" s="1240"/>
      <c r="Z759" s="1240"/>
      <c r="AA759" s="1240"/>
      <c r="AB759" s="1240"/>
      <c r="AC759" s="1254" t="e">
        <f t="shared" si="81"/>
        <v>#NUM!</v>
      </c>
      <c r="AD759" s="1240"/>
      <c r="AE759" s="1240"/>
      <c r="AF759" s="1240"/>
      <c r="AG759" s="1240"/>
      <c r="AH759" s="1240"/>
      <c r="AI759" s="1240"/>
      <c r="AJ759" s="1240"/>
      <c r="AK759" s="1240"/>
      <c r="AL759" s="1240"/>
      <c r="AM759" s="1240"/>
      <c r="AN759" s="1240"/>
      <c r="AO759" s="1240"/>
      <c r="AP759" s="1240"/>
    </row>
    <row r="760" spans="1:42" ht="18.75" customHeight="1" x14ac:dyDescent="0.35">
      <c r="A760" s="1240"/>
      <c r="B760" s="1240"/>
      <c r="C760" s="1240"/>
      <c r="D760" s="1240"/>
      <c r="E760" s="1240"/>
      <c r="F760" s="1240"/>
      <c r="G760" s="1240"/>
      <c r="H760" s="1240"/>
      <c r="I760" s="1240"/>
      <c r="J760" s="1240"/>
      <c r="K760" s="1240"/>
      <c r="L760" s="1240"/>
      <c r="M760" s="1240"/>
      <c r="N760" s="1240"/>
      <c r="O760" s="1240"/>
      <c r="P760" s="1247">
        <f t="shared" si="87"/>
        <v>734</v>
      </c>
      <c r="Q760" s="1253" t="e">
        <f t="shared" ca="1" si="86"/>
        <v>#N/A</v>
      </c>
      <c r="R760" s="1247" t="str">
        <f>IFERROR(VLOOKUP(P760,RPCRepaymentDates[],1,FALSE),"")</f>
        <v/>
      </c>
      <c r="S760" s="1259">
        <f t="shared" si="82"/>
        <v>0</v>
      </c>
      <c r="T760" s="1247" t="str">
        <f>IFERROR(VLOOKUP(P760,RPCChargeCycleDates[],1,FALSE),"")</f>
        <v/>
      </c>
      <c r="U760" s="1248" t="str">
        <f>IFERROR(_xlfn.DAYS(T760,$Q$16)-SUM(U$26:U759),"")</f>
        <v/>
      </c>
      <c r="V760" s="1258">
        <f t="shared" ca="1" si="83"/>
        <v>0</v>
      </c>
      <c r="W760" s="1258">
        <f t="shared" ca="1" si="84"/>
        <v>0</v>
      </c>
      <c r="X760" s="1258" t="e">
        <f t="shared" ca="1" si="85"/>
        <v>#N/A</v>
      </c>
      <c r="Y760" s="1240"/>
      <c r="Z760" s="1240"/>
      <c r="AA760" s="1240"/>
      <c r="AB760" s="1240"/>
      <c r="AC760" s="1254" t="e">
        <f t="shared" si="81"/>
        <v>#NUM!</v>
      </c>
      <c r="AD760" s="1240"/>
      <c r="AE760" s="1240"/>
      <c r="AF760" s="1240"/>
      <c r="AG760" s="1240"/>
      <c r="AH760" s="1240"/>
      <c r="AI760" s="1240"/>
      <c r="AJ760" s="1240"/>
      <c r="AK760" s="1240"/>
      <c r="AL760" s="1240"/>
      <c r="AM760" s="1240"/>
      <c r="AN760" s="1240"/>
      <c r="AO760" s="1240"/>
      <c r="AP760" s="1240"/>
    </row>
    <row r="761" spans="1:42" ht="18.75" customHeight="1" x14ac:dyDescent="0.35">
      <c r="A761" s="1240"/>
      <c r="B761" s="1240"/>
      <c r="C761" s="1240"/>
      <c r="D761" s="1240"/>
      <c r="E761" s="1240"/>
      <c r="F761" s="1240"/>
      <c r="G761" s="1240"/>
      <c r="H761" s="1240"/>
      <c r="I761" s="1240"/>
      <c r="J761" s="1240"/>
      <c r="K761" s="1240"/>
      <c r="L761" s="1240"/>
      <c r="M761" s="1240"/>
      <c r="N761" s="1240"/>
      <c r="O761" s="1240"/>
      <c r="P761" s="1247">
        <f t="shared" si="87"/>
        <v>735</v>
      </c>
      <c r="Q761" s="1253" t="e">
        <f t="shared" ca="1" si="86"/>
        <v>#N/A</v>
      </c>
      <c r="R761" s="1247" t="str">
        <f>IFERROR(VLOOKUP(P761,RPCRepaymentDates[],1,FALSE),"")</f>
        <v/>
      </c>
      <c r="S761" s="1259">
        <f t="shared" si="82"/>
        <v>0</v>
      </c>
      <c r="T761" s="1247" t="str">
        <f>IFERROR(VLOOKUP(P761,RPCChargeCycleDates[],1,FALSE),"")</f>
        <v/>
      </c>
      <c r="U761" s="1248" t="str">
        <f>IFERROR(_xlfn.DAYS(T761,$Q$16)-SUM(U$26:U760),"")</f>
        <v/>
      </c>
      <c r="V761" s="1258">
        <f t="shared" ca="1" si="83"/>
        <v>0</v>
      </c>
      <c r="W761" s="1258">
        <f t="shared" ca="1" si="84"/>
        <v>0</v>
      </c>
      <c r="X761" s="1258" t="e">
        <f t="shared" ca="1" si="85"/>
        <v>#N/A</v>
      </c>
      <c r="Y761" s="1240"/>
      <c r="Z761" s="1240"/>
      <c r="AA761" s="1240"/>
      <c r="AB761" s="1240"/>
      <c r="AC761" s="1254" t="e">
        <f t="shared" si="81"/>
        <v>#NUM!</v>
      </c>
      <c r="AD761" s="1240"/>
      <c r="AE761" s="1240"/>
      <c r="AF761" s="1240"/>
      <c r="AG761" s="1240"/>
      <c r="AH761" s="1240"/>
      <c r="AI761" s="1240"/>
      <c r="AJ761" s="1240"/>
      <c r="AK761" s="1240"/>
      <c r="AL761" s="1240"/>
      <c r="AM761" s="1240"/>
      <c r="AN761" s="1240"/>
      <c r="AO761" s="1240"/>
      <c r="AP761" s="1240"/>
    </row>
    <row r="762" spans="1:42" ht="18.75" customHeight="1" x14ac:dyDescent="0.35">
      <c r="A762" s="1240"/>
      <c r="B762" s="1240"/>
      <c r="C762" s="1240"/>
      <c r="D762" s="1240"/>
      <c r="E762" s="1240"/>
      <c r="F762" s="1240"/>
      <c r="G762" s="1240"/>
      <c r="H762" s="1240"/>
      <c r="I762" s="1240"/>
      <c r="J762" s="1240"/>
      <c r="K762" s="1240"/>
      <c r="L762" s="1240"/>
      <c r="M762" s="1240"/>
      <c r="N762" s="1240"/>
      <c r="O762" s="1240"/>
      <c r="P762" s="1247">
        <f t="shared" si="87"/>
        <v>736</v>
      </c>
      <c r="Q762" s="1253" t="e">
        <f t="shared" ca="1" si="86"/>
        <v>#N/A</v>
      </c>
      <c r="R762" s="1247" t="str">
        <f>IFERROR(VLOOKUP(P762,RPCRepaymentDates[],1,FALSE),"")</f>
        <v/>
      </c>
      <c r="S762" s="1259">
        <f t="shared" si="82"/>
        <v>0</v>
      </c>
      <c r="T762" s="1247" t="str">
        <f>IFERROR(VLOOKUP(P762,RPCChargeCycleDates[],1,FALSE),"")</f>
        <v/>
      </c>
      <c r="U762" s="1248" t="str">
        <f>IFERROR(_xlfn.DAYS(T762,$Q$16)-SUM(U$26:U761),"")</f>
        <v/>
      </c>
      <c r="V762" s="1258">
        <f t="shared" ca="1" si="83"/>
        <v>0</v>
      </c>
      <c r="W762" s="1258">
        <f t="shared" ca="1" si="84"/>
        <v>0</v>
      </c>
      <c r="X762" s="1258" t="e">
        <f t="shared" ca="1" si="85"/>
        <v>#N/A</v>
      </c>
      <c r="Y762" s="1240"/>
      <c r="Z762" s="1240"/>
      <c r="AA762" s="1240"/>
      <c r="AB762" s="1240"/>
      <c r="AC762" s="1254" t="e">
        <f t="shared" si="81"/>
        <v>#NUM!</v>
      </c>
      <c r="AD762" s="1240"/>
      <c r="AE762" s="1240"/>
      <c r="AF762" s="1240"/>
      <c r="AG762" s="1240"/>
      <c r="AH762" s="1240"/>
      <c r="AI762" s="1240"/>
      <c r="AJ762" s="1240"/>
      <c r="AK762" s="1240"/>
      <c r="AL762" s="1240"/>
      <c r="AM762" s="1240"/>
      <c r="AN762" s="1240"/>
      <c r="AO762" s="1240"/>
      <c r="AP762" s="1240"/>
    </row>
    <row r="763" spans="1:42" ht="18.75" customHeight="1" x14ac:dyDescent="0.35">
      <c r="A763" s="1240"/>
      <c r="B763" s="1240"/>
      <c r="C763" s="1240"/>
      <c r="D763" s="1240"/>
      <c r="E763" s="1240"/>
      <c r="F763" s="1240"/>
      <c r="G763" s="1240"/>
      <c r="H763" s="1240"/>
      <c r="I763" s="1240"/>
      <c r="J763" s="1240"/>
      <c r="K763" s="1240"/>
      <c r="L763" s="1240"/>
      <c r="M763" s="1240"/>
      <c r="N763" s="1240"/>
      <c r="O763" s="1240"/>
      <c r="P763" s="1247">
        <f t="shared" si="87"/>
        <v>737</v>
      </c>
      <c r="Q763" s="1253" t="e">
        <f t="shared" ca="1" si="86"/>
        <v>#N/A</v>
      </c>
      <c r="R763" s="1247" t="str">
        <f>IFERROR(VLOOKUP(P763,RPCRepaymentDates[],1,FALSE),"")</f>
        <v/>
      </c>
      <c r="S763" s="1259">
        <f t="shared" si="82"/>
        <v>0</v>
      </c>
      <c r="T763" s="1247" t="str">
        <f>IFERROR(VLOOKUP(P763,RPCChargeCycleDates[],1,FALSE),"")</f>
        <v/>
      </c>
      <c r="U763" s="1248" t="str">
        <f>IFERROR(_xlfn.DAYS(T763,$Q$16)-SUM(U$26:U762),"")</f>
        <v/>
      </c>
      <c r="V763" s="1258">
        <f t="shared" ca="1" si="83"/>
        <v>0</v>
      </c>
      <c r="W763" s="1258">
        <f t="shared" ca="1" si="84"/>
        <v>0</v>
      </c>
      <c r="X763" s="1258" t="e">
        <f t="shared" ca="1" si="85"/>
        <v>#N/A</v>
      </c>
      <c r="Y763" s="1240"/>
      <c r="Z763" s="1240"/>
      <c r="AA763" s="1240"/>
      <c r="AB763" s="1240"/>
      <c r="AC763" s="1254" t="e">
        <f t="shared" si="81"/>
        <v>#NUM!</v>
      </c>
      <c r="AD763" s="1240"/>
      <c r="AE763" s="1240"/>
      <c r="AF763" s="1240"/>
      <c r="AG763" s="1240"/>
      <c r="AH763" s="1240"/>
      <c r="AI763" s="1240"/>
      <c r="AJ763" s="1240"/>
      <c r="AK763" s="1240"/>
      <c r="AL763" s="1240"/>
      <c r="AM763" s="1240"/>
      <c r="AN763" s="1240"/>
      <c r="AO763" s="1240"/>
      <c r="AP763" s="1240"/>
    </row>
    <row r="764" spans="1:42" ht="18.75" customHeight="1" x14ac:dyDescent="0.35">
      <c r="A764" s="1240"/>
      <c r="B764" s="1240"/>
      <c r="C764" s="1240"/>
      <c r="D764" s="1240"/>
      <c r="E764" s="1240"/>
      <c r="F764" s="1240"/>
      <c r="G764" s="1240"/>
      <c r="H764" s="1240"/>
      <c r="I764" s="1240"/>
      <c r="J764" s="1240"/>
      <c r="K764" s="1240"/>
      <c r="L764" s="1240"/>
      <c r="M764" s="1240"/>
      <c r="N764" s="1240"/>
      <c r="O764" s="1240"/>
      <c r="P764" s="1247">
        <f t="shared" si="87"/>
        <v>738</v>
      </c>
      <c r="Q764" s="1253" t="e">
        <f t="shared" ca="1" si="86"/>
        <v>#N/A</v>
      </c>
      <c r="R764" s="1247" t="str">
        <f>IFERROR(VLOOKUP(P764,RPCRepaymentDates[],1,FALSE),"")</f>
        <v/>
      </c>
      <c r="S764" s="1259">
        <f t="shared" si="82"/>
        <v>0</v>
      </c>
      <c r="T764" s="1247" t="str">
        <f>IFERROR(VLOOKUP(P764,RPCChargeCycleDates[],1,FALSE),"")</f>
        <v/>
      </c>
      <c r="U764" s="1248" t="str">
        <f>IFERROR(_xlfn.DAYS(T764,$Q$16)-SUM(U$26:U763),"")</f>
        <v/>
      </c>
      <c r="V764" s="1258">
        <f t="shared" ca="1" si="83"/>
        <v>0</v>
      </c>
      <c r="W764" s="1258">
        <f t="shared" ca="1" si="84"/>
        <v>0</v>
      </c>
      <c r="X764" s="1258" t="e">
        <f t="shared" ca="1" si="85"/>
        <v>#N/A</v>
      </c>
      <c r="Y764" s="1240"/>
      <c r="Z764" s="1240"/>
      <c r="AA764" s="1240"/>
      <c r="AB764" s="1240"/>
      <c r="AC764" s="1254" t="e">
        <f t="shared" si="81"/>
        <v>#NUM!</v>
      </c>
      <c r="AD764" s="1240"/>
      <c r="AE764" s="1240"/>
      <c r="AF764" s="1240"/>
      <c r="AG764" s="1240"/>
      <c r="AH764" s="1240"/>
      <c r="AI764" s="1240"/>
      <c r="AJ764" s="1240"/>
      <c r="AK764" s="1240"/>
      <c r="AL764" s="1240"/>
      <c r="AM764" s="1240"/>
      <c r="AN764" s="1240"/>
      <c r="AO764" s="1240"/>
      <c r="AP764" s="1240"/>
    </row>
    <row r="765" spans="1:42" ht="18.75" customHeight="1" x14ac:dyDescent="0.35">
      <c r="A765" s="1240"/>
      <c r="B765" s="1240"/>
      <c r="C765" s="1240"/>
      <c r="D765" s="1240"/>
      <c r="E765" s="1240"/>
      <c r="F765" s="1240"/>
      <c r="G765" s="1240"/>
      <c r="H765" s="1240"/>
      <c r="I765" s="1240"/>
      <c r="J765" s="1240"/>
      <c r="K765" s="1240"/>
      <c r="L765" s="1240"/>
      <c r="M765" s="1240"/>
      <c r="N765" s="1240"/>
      <c r="O765" s="1240"/>
      <c r="P765" s="1247">
        <f t="shared" si="87"/>
        <v>739</v>
      </c>
      <c r="Q765" s="1253" t="e">
        <f t="shared" ca="1" si="86"/>
        <v>#N/A</v>
      </c>
      <c r="R765" s="1247" t="str">
        <f>IFERROR(VLOOKUP(P765,RPCRepaymentDates[],1,FALSE),"")</f>
        <v/>
      </c>
      <c r="S765" s="1259">
        <f t="shared" si="82"/>
        <v>0</v>
      </c>
      <c r="T765" s="1247" t="str">
        <f>IFERROR(VLOOKUP(P765,RPCChargeCycleDates[],1,FALSE),"")</f>
        <v/>
      </c>
      <c r="U765" s="1248" t="str">
        <f>IFERROR(_xlfn.DAYS(T765,$Q$16)-SUM(U$26:U764),"")</f>
        <v/>
      </c>
      <c r="V765" s="1258">
        <f t="shared" ca="1" si="83"/>
        <v>0</v>
      </c>
      <c r="W765" s="1258">
        <f t="shared" ca="1" si="84"/>
        <v>0</v>
      </c>
      <c r="X765" s="1258" t="e">
        <f t="shared" ca="1" si="85"/>
        <v>#N/A</v>
      </c>
      <c r="Y765" s="1240"/>
      <c r="Z765" s="1240"/>
      <c r="AA765" s="1240"/>
      <c r="AB765" s="1240"/>
      <c r="AC765" s="1254" t="e">
        <f t="shared" si="81"/>
        <v>#NUM!</v>
      </c>
      <c r="AD765" s="1240"/>
      <c r="AE765" s="1240"/>
      <c r="AF765" s="1240"/>
      <c r="AG765" s="1240"/>
      <c r="AH765" s="1240"/>
      <c r="AI765" s="1240"/>
      <c r="AJ765" s="1240"/>
      <c r="AK765" s="1240"/>
      <c r="AL765" s="1240"/>
      <c r="AM765" s="1240"/>
      <c r="AN765" s="1240"/>
      <c r="AO765" s="1240"/>
      <c r="AP765" s="1240"/>
    </row>
    <row r="766" spans="1:42" ht="18.75" customHeight="1" x14ac:dyDescent="0.35">
      <c r="A766" s="1240"/>
      <c r="B766" s="1240"/>
      <c r="C766" s="1240"/>
      <c r="D766" s="1240"/>
      <c r="E766" s="1240"/>
      <c r="F766" s="1240"/>
      <c r="G766" s="1240"/>
      <c r="H766" s="1240"/>
      <c r="I766" s="1240"/>
      <c r="J766" s="1240"/>
      <c r="K766" s="1240"/>
      <c r="L766" s="1240"/>
      <c r="M766" s="1240"/>
      <c r="N766" s="1240"/>
      <c r="O766" s="1240"/>
      <c r="P766" s="1247">
        <f t="shared" si="87"/>
        <v>740</v>
      </c>
      <c r="Q766" s="1253" t="e">
        <f t="shared" ca="1" si="86"/>
        <v>#N/A</v>
      </c>
      <c r="R766" s="1247" t="str">
        <f>IFERROR(VLOOKUP(P766,RPCRepaymentDates[],1,FALSE),"")</f>
        <v/>
      </c>
      <c r="S766" s="1259">
        <f t="shared" si="82"/>
        <v>0</v>
      </c>
      <c r="T766" s="1247" t="str">
        <f>IFERROR(VLOOKUP(P766,RPCChargeCycleDates[],1,FALSE),"")</f>
        <v/>
      </c>
      <c r="U766" s="1248" t="str">
        <f>IFERROR(_xlfn.DAYS(T766,$Q$16)-SUM(U$26:U765),"")</f>
        <v/>
      </c>
      <c r="V766" s="1258">
        <f t="shared" ca="1" si="83"/>
        <v>0</v>
      </c>
      <c r="W766" s="1258">
        <f t="shared" ca="1" si="84"/>
        <v>0</v>
      </c>
      <c r="X766" s="1258" t="e">
        <f t="shared" ca="1" si="85"/>
        <v>#N/A</v>
      </c>
      <c r="Y766" s="1240"/>
      <c r="Z766" s="1240"/>
      <c r="AA766" s="1240"/>
      <c r="AB766" s="1240"/>
      <c r="AC766" s="1254" t="e">
        <f t="shared" si="81"/>
        <v>#NUM!</v>
      </c>
      <c r="AD766" s="1240"/>
      <c r="AE766" s="1240"/>
      <c r="AF766" s="1240"/>
      <c r="AG766" s="1240"/>
      <c r="AH766" s="1240"/>
      <c r="AI766" s="1240"/>
      <c r="AJ766" s="1240"/>
      <c r="AK766" s="1240"/>
      <c r="AL766" s="1240"/>
      <c r="AM766" s="1240"/>
      <c r="AN766" s="1240"/>
      <c r="AO766" s="1240"/>
      <c r="AP766" s="1240"/>
    </row>
    <row r="767" spans="1:42" ht="18.75" customHeight="1" x14ac:dyDescent="0.35">
      <c r="A767" s="1240"/>
      <c r="B767" s="1240"/>
      <c r="C767" s="1240"/>
      <c r="D767" s="1240"/>
      <c r="E767" s="1240"/>
      <c r="F767" s="1240"/>
      <c r="G767" s="1240"/>
      <c r="H767" s="1240"/>
      <c r="I767" s="1240"/>
      <c r="J767" s="1240"/>
      <c r="K767" s="1240"/>
      <c r="L767" s="1240"/>
      <c r="M767" s="1240"/>
      <c r="N767" s="1240"/>
      <c r="O767" s="1240"/>
      <c r="P767" s="1247">
        <f t="shared" si="87"/>
        <v>741</v>
      </c>
      <c r="Q767" s="1253" t="e">
        <f t="shared" ca="1" si="86"/>
        <v>#N/A</v>
      </c>
      <c r="R767" s="1247" t="str">
        <f>IFERROR(VLOOKUP(P767,RPCRepaymentDates[],1,FALSE),"")</f>
        <v/>
      </c>
      <c r="S767" s="1259">
        <f t="shared" si="82"/>
        <v>0</v>
      </c>
      <c r="T767" s="1247" t="str">
        <f>IFERROR(VLOOKUP(P767,RPCChargeCycleDates[],1,FALSE),"")</f>
        <v/>
      </c>
      <c r="U767" s="1248" t="str">
        <f>IFERROR(_xlfn.DAYS(T767,$Q$16)-SUM(U$26:U766),"")</f>
        <v/>
      </c>
      <c r="V767" s="1258">
        <f t="shared" ca="1" si="83"/>
        <v>0</v>
      </c>
      <c r="W767" s="1258">
        <f t="shared" ca="1" si="84"/>
        <v>0</v>
      </c>
      <c r="X767" s="1258" t="e">
        <f t="shared" ca="1" si="85"/>
        <v>#N/A</v>
      </c>
      <c r="Y767" s="1240"/>
      <c r="Z767" s="1240"/>
      <c r="AA767" s="1240"/>
      <c r="AB767" s="1240"/>
      <c r="AC767" s="1254" t="e">
        <f t="shared" ref="AC767:AC825" si="88">IF(RPCRepaymentFrequency="Monthly",EDATE(AC766,1),IF(RPCRepaymentFrequency="Fortnightly",AC766+14,AC766+7))</f>
        <v>#NUM!</v>
      </c>
      <c r="AD767" s="1240"/>
      <c r="AE767" s="1240"/>
      <c r="AF767" s="1240"/>
      <c r="AG767" s="1240"/>
      <c r="AH767" s="1240"/>
      <c r="AI767" s="1240"/>
      <c r="AJ767" s="1240"/>
      <c r="AK767" s="1240"/>
      <c r="AL767" s="1240"/>
      <c r="AM767" s="1240"/>
      <c r="AN767" s="1240"/>
      <c r="AO767" s="1240"/>
      <c r="AP767" s="1240"/>
    </row>
    <row r="768" spans="1:42" ht="18.75" customHeight="1" x14ac:dyDescent="0.35">
      <c r="A768" s="1240"/>
      <c r="B768" s="1240"/>
      <c r="C768" s="1240"/>
      <c r="D768" s="1240"/>
      <c r="E768" s="1240"/>
      <c r="F768" s="1240"/>
      <c r="G768" s="1240"/>
      <c r="H768" s="1240"/>
      <c r="I768" s="1240"/>
      <c r="J768" s="1240"/>
      <c r="K768" s="1240"/>
      <c r="L768" s="1240"/>
      <c r="M768" s="1240"/>
      <c r="N768" s="1240"/>
      <c r="O768" s="1240"/>
      <c r="P768" s="1247">
        <f t="shared" si="87"/>
        <v>742</v>
      </c>
      <c r="Q768" s="1253" t="e">
        <f t="shared" ca="1" si="86"/>
        <v>#N/A</v>
      </c>
      <c r="R768" s="1247" t="str">
        <f>IFERROR(VLOOKUP(P768,RPCRepaymentDates[],1,FALSE),"")</f>
        <v/>
      </c>
      <c r="S768" s="1259">
        <f t="shared" si="82"/>
        <v>0</v>
      </c>
      <c r="T768" s="1247" t="str">
        <f>IFERROR(VLOOKUP(P768,RPCChargeCycleDates[],1,FALSE),"")</f>
        <v/>
      </c>
      <c r="U768" s="1248" t="str">
        <f>IFERROR(_xlfn.DAYS(T768,$Q$16)-SUM(U$26:U767),"")</f>
        <v/>
      </c>
      <c r="V768" s="1258">
        <f t="shared" ca="1" si="83"/>
        <v>0</v>
      </c>
      <c r="W768" s="1258">
        <f t="shared" ca="1" si="84"/>
        <v>0</v>
      </c>
      <c r="X768" s="1258" t="e">
        <f t="shared" ca="1" si="85"/>
        <v>#N/A</v>
      </c>
      <c r="Y768" s="1240"/>
      <c r="Z768" s="1240"/>
      <c r="AA768" s="1240"/>
      <c r="AB768" s="1240"/>
      <c r="AC768" s="1254" t="e">
        <f t="shared" si="88"/>
        <v>#NUM!</v>
      </c>
      <c r="AD768" s="1240"/>
      <c r="AE768" s="1240"/>
      <c r="AF768" s="1240"/>
      <c r="AG768" s="1240"/>
      <c r="AH768" s="1240"/>
      <c r="AI768" s="1240"/>
      <c r="AJ768" s="1240"/>
      <c r="AK768" s="1240"/>
      <c r="AL768" s="1240"/>
      <c r="AM768" s="1240"/>
      <c r="AN768" s="1240"/>
      <c r="AO768" s="1240"/>
      <c r="AP768" s="1240"/>
    </row>
    <row r="769" spans="1:42" ht="18.75" customHeight="1" x14ac:dyDescent="0.35">
      <c r="A769" s="1240"/>
      <c r="B769" s="1240"/>
      <c r="C769" s="1240"/>
      <c r="D769" s="1240"/>
      <c r="E769" s="1240"/>
      <c r="F769" s="1240"/>
      <c r="G769" s="1240"/>
      <c r="H769" s="1240"/>
      <c r="I769" s="1240"/>
      <c r="J769" s="1240"/>
      <c r="K769" s="1240"/>
      <c r="L769" s="1240"/>
      <c r="M769" s="1240"/>
      <c r="N769" s="1240"/>
      <c r="O769" s="1240"/>
      <c r="P769" s="1247">
        <f t="shared" si="87"/>
        <v>743</v>
      </c>
      <c r="Q769" s="1253" t="e">
        <f t="shared" ca="1" si="86"/>
        <v>#N/A</v>
      </c>
      <c r="R769" s="1247" t="str">
        <f>IFERROR(VLOOKUP(P769,RPCRepaymentDates[],1,FALSE),"")</f>
        <v/>
      </c>
      <c r="S769" s="1259">
        <f t="shared" si="82"/>
        <v>0</v>
      </c>
      <c r="T769" s="1247" t="str">
        <f>IFERROR(VLOOKUP(P769,RPCChargeCycleDates[],1,FALSE),"")</f>
        <v/>
      </c>
      <c r="U769" s="1248" t="str">
        <f>IFERROR(_xlfn.DAYS(T769,$Q$16)-SUM(U$26:U768),"")</f>
        <v/>
      </c>
      <c r="V769" s="1258">
        <f t="shared" ca="1" si="83"/>
        <v>0</v>
      </c>
      <c r="W769" s="1258">
        <f t="shared" ca="1" si="84"/>
        <v>0</v>
      </c>
      <c r="X769" s="1258" t="e">
        <f t="shared" ca="1" si="85"/>
        <v>#N/A</v>
      </c>
      <c r="Y769" s="1240"/>
      <c r="Z769" s="1240"/>
      <c r="AA769" s="1240"/>
      <c r="AB769" s="1240"/>
      <c r="AC769" s="1254" t="e">
        <f t="shared" si="88"/>
        <v>#NUM!</v>
      </c>
      <c r="AD769" s="1240"/>
      <c r="AE769" s="1240"/>
      <c r="AF769" s="1240"/>
      <c r="AG769" s="1240"/>
      <c r="AH769" s="1240"/>
      <c r="AI769" s="1240"/>
      <c r="AJ769" s="1240"/>
      <c r="AK769" s="1240"/>
      <c r="AL769" s="1240"/>
      <c r="AM769" s="1240"/>
      <c r="AN769" s="1240"/>
      <c r="AO769" s="1240"/>
      <c r="AP769" s="1240"/>
    </row>
    <row r="770" spans="1:42" ht="18.75" customHeight="1" x14ac:dyDescent="0.35">
      <c r="A770" s="1240"/>
      <c r="B770" s="1240"/>
      <c r="C770" s="1240"/>
      <c r="D770" s="1240"/>
      <c r="E770" s="1240"/>
      <c r="F770" s="1240"/>
      <c r="G770" s="1240"/>
      <c r="H770" s="1240"/>
      <c r="I770" s="1240"/>
      <c r="J770" s="1240"/>
      <c r="K770" s="1240"/>
      <c r="L770" s="1240"/>
      <c r="M770" s="1240"/>
      <c r="N770" s="1240"/>
      <c r="O770" s="1240"/>
      <c r="P770" s="1247">
        <f t="shared" si="87"/>
        <v>744</v>
      </c>
      <c r="Q770" s="1253" t="e">
        <f t="shared" ca="1" si="86"/>
        <v>#N/A</v>
      </c>
      <c r="R770" s="1247" t="str">
        <f>IFERROR(VLOOKUP(P770,RPCRepaymentDates[],1,FALSE),"")</f>
        <v/>
      </c>
      <c r="S770" s="1259">
        <f t="shared" si="82"/>
        <v>0</v>
      </c>
      <c r="T770" s="1247" t="str">
        <f>IFERROR(VLOOKUP(P770,RPCChargeCycleDates[],1,FALSE),"")</f>
        <v/>
      </c>
      <c r="U770" s="1248" t="str">
        <f>IFERROR(_xlfn.DAYS(T770,$Q$16)-SUM(U$26:U769),"")</f>
        <v/>
      </c>
      <c r="V770" s="1258">
        <f t="shared" ca="1" si="83"/>
        <v>0</v>
      </c>
      <c r="W770" s="1258">
        <f t="shared" ca="1" si="84"/>
        <v>0</v>
      </c>
      <c r="X770" s="1258" t="e">
        <f t="shared" ca="1" si="85"/>
        <v>#N/A</v>
      </c>
      <c r="Y770" s="1240"/>
      <c r="Z770" s="1240"/>
      <c r="AA770" s="1240"/>
      <c r="AB770" s="1240"/>
      <c r="AC770" s="1254" t="e">
        <f t="shared" si="88"/>
        <v>#NUM!</v>
      </c>
      <c r="AD770" s="1240"/>
      <c r="AE770" s="1240"/>
      <c r="AF770" s="1240"/>
      <c r="AG770" s="1240"/>
      <c r="AH770" s="1240"/>
      <c r="AI770" s="1240"/>
      <c r="AJ770" s="1240"/>
      <c r="AK770" s="1240"/>
      <c r="AL770" s="1240"/>
      <c r="AM770" s="1240"/>
      <c r="AN770" s="1240"/>
      <c r="AO770" s="1240"/>
      <c r="AP770" s="1240"/>
    </row>
    <row r="771" spans="1:42" ht="18.75" customHeight="1" x14ac:dyDescent="0.35">
      <c r="A771" s="1240"/>
      <c r="B771" s="1240"/>
      <c r="C771" s="1240"/>
      <c r="D771" s="1240"/>
      <c r="E771" s="1240"/>
      <c r="F771" s="1240"/>
      <c r="G771" s="1240"/>
      <c r="H771" s="1240"/>
      <c r="I771" s="1240"/>
      <c r="J771" s="1240"/>
      <c r="K771" s="1240"/>
      <c r="L771" s="1240"/>
      <c r="M771" s="1240"/>
      <c r="N771" s="1240"/>
      <c r="O771" s="1240"/>
      <c r="P771" s="1247">
        <f t="shared" si="87"/>
        <v>745</v>
      </c>
      <c r="Q771" s="1253" t="e">
        <f t="shared" ca="1" si="86"/>
        <v>#N/A</v>
      </c>
      <c r="R771" s="1247" t="str">
        <f>IFERROR(VLOOKUP(P771,RPCRepaymentDates[],1,FALSE),"")</f>
        <v/>
      </c>
      <c r="S771" s="1259">
        <f t="shared" si="82"/>
        <v>0</v>
      </c>
      <c r="T771" s="1247" t="str">
        <f>IFERROR(VLOOKUP(P771,RPCChargeCycleDates[],1,FALSE),"")</f>
        <v/>
      </c>
      <c r="U771" s="1248" t="str">
        <f>IFERROR(_xlfn.DAYS(T771,$Q$16)-SUM(U$26:U770),"")</f>
        <v/>
      </c>
      <c r="V771" s="1258">
        <f t="shared" ca="1" si="83"/>
        <v>0</v>
      </c>
      <c r="W771" s="1258">
        <f t="shared" ca="1" si="84"/>
        <v>0</v>
      </c>
      <c r="X771" s="1258" t="e">
        <f t="shared" ca="1" si="85"/>
        <v>#N/A</v>
      </c>
      <c r="Y771" s="1240"/>
      <c r="Z771" s="1240"/>
      <c r="AA771" s="1240"/>
      <c r="AB771" s="1240"/>
      <c r="AC771" s="1254" t="e">
        <f t="shared" si="88"/>
        <v>#NUM!</v>
      </c>
      <c r="AD771" s="1240"/>
      <c r="AE771" s="1240"/>
      <c r="AF771" s="1240"/>
      <c r="AG771" s="1240"/>
      <c r="AH771" s="1240"/>
      <c r="AI771" s="1240"/>
      <c r="AJ771" s="1240"/>
      <c r="AK771" s="1240"/>
      <c r="AL771" s="1240"/>
      <c r="AM771" s="1240"/>
      <c r="AN771" s="1240"/>
      <c r="AO771" s="1240"/>
      <c r="AP771" s="1240"/>
    </row>
    <row r="772" spans="1:42" ht="18.75" customHeight="1" x14ac:dyDescent="0.35">
      <c r="A772" s="1240"/>
      <c r="B772" s="1240"/>
      <c r="C772" s="1240"/>
      <c r="D772" s="1240"/>
      <c r="E772" s="1240"/>
      <c r="F772" s="1240"/>
      <c r="G772" s="1240"/>
      <c r="H772" s="1240"/>
      <c r="I772" s="1240"/>
      <c r="J772" s="1240"/>
      <c r="K772" s="1240"/>
      <c r="L772" s="1240"/>
      <c r="M772" s="1240"/>
      <c r="N772" s="1240"/>
      <c r="O772" s="1240"/>
      <c r="P772" s="1247">
        <f t="shared" si="87"/>
        <v>746</v>
      </c>
      <c r="Q772" s="1253" t="e">
        <f t="shared" ca="1" si="86"/>
        <v>#N/A</v>
      </c>
      <c r="R772" s="1247" t="str">
        <f>IFERROR(VLOOKUP(P772,RPCRepaymentDates[],1,FALSE),"")</f>
        <v/>
      </c>
      <c r="S772" s="1259">
        <f t="shared" si="82"/>
        <v>0</v>
      </c>
      <c r="T772" s="1247" t="str">
        <f>IFERROR(VLOOKUP(P772,RPCChargeCycleDates[],1,FALSE),"")</f>
        <v/>
      </c>
      <c r="U772" s="1248" t="str">
        <f>IFERROR(_xlfn.DAYS(T772,$Q$16)-SUM(U$26:U771),"")</f>
        <v/>
      </c>
      <c r="V772" s="1258">
        <f t="shared" ca="1" si="83"/>
        <v>0</v>
      </c>
      <c r="W772" s="1258">
        <f t="shared" ca="1" si="84"/>
        <v>0</v>
      </c>
      <c r="X772" s="1258" t="e">
        <f t="shared" ca="1" si="85"/>
        <v>#N/A</v>
      </c>
      <c r="Y772" s="1240"/>
      <c r="Z772" s="1240"/>
      <c r="AA772" s="1240"/>
      <c r="AB772" s="1240"/>
      <c r="AC772" s="1254" t="e">
        <f t="shared" si="88"/>
        <v>#NUM!</v>
      </c>
      <c r="AD772" s="1240"/>
      <c r="AE772" s="1240"/>
      <c r="AF772" s="1240"/>
      <c r="AG772" s="1240"/>
      <c r="AH772" s="1240"/>
      <c r="AI772" s="1240"/>
      <c r="AJ772" s="1240"/>
      <c r="AK772" s="1240"/>
      <c r="AL772" s="1240"/>
      <c r="AM772" s="1240"/>
      <c r="AN772" s="1240"/>
      <c r="AO772" s="1240"/>
      <c r="AP772" s="1240"/>
    </row>
    <row r="773" spans="1:42" ht="18.75" customHeight="1" x14ac:dyDescent="0.35">
      <c r="A773" s="1240"/>
      <c r="B773" s="1240"/>
      <c r="C773" s="1240"/>
      <c r="D773" s="1240"/>
      <c r="E773" s="1240"/>
      <c r="F773" s="1240"/>
      <c r="G773" s="1240"/>
      <c r="H773" s="1240"/>
      <c r="I773" s="1240"/>
      <c r="J773" s="1240"/>
      <c r="K773" s="1240"/>
      <c r="L773" s="1240"/>
      <c r="M773" s="1240"/>
      <c r="N773" s="1240"/>
      <c r="O773" s="1240"/>
      <c r="P773" s="1247">
        <f t="shared" si="87"/>
        <v>747</v>
      </c>
      <c r="Q773" s="1253" t="e">
        <f t="shared" ca="1" si="86"/>
        <v>#N/A</v>
      </c>
      <c r="R773" s="1247" t="str">
        <f>IFERROR(VLOOKUP(P773,RPCRepaymentDates[],1,FALSE),"")</f>
        <v/>
      </c>
      <c r="S773" s="1259">
        <f t="shared" si="82"/>
        <v>0</v>
      </c>
      <c r="T773" s="1247" t="str">
        <f>IFERROR(VLOOKUP(P773,RPCChargeCycleDates[],1,FALSE),"")</f>
        <v/>
      </c>
      <c r="U773" s="1248" t="str">
        <f>IFERROR(_xlfn.DAYS(T773,$Q$16)-SUM(U$26:U772),"")</f>
        <v/>
      </c>
      <c r="V773" s="1258">
        <f t="shared" ca="1" si="83"/>
        <v>0</v>
      </c>
      <c r="W773" s="1258">
        <f t="shared" ca="1" si="84"/>
        <v>0</v>
      </c>
      <c r="X773" s="1258" t="e">
        <f t="shared" ca="1" si="85"/>
        <v>#N/A</v>
      </c>
      <c r="Y773" s="1240"/>
      <c r="Z773" s="1240"/>
      <c r="AA773" s="1240"/>
      <c r="AB773" s="1240"/>
      <c r="AC773" s="1254" t="e">
        <f t="shared" si="88"/>
        <v>#NUM!</v>
      </c>
      <c r="AD773" s="1240"/>
      <c r="AE773" s="1240"/>
      <c r="AF773" s="1240"/>
      <c r="AG773" s="1240"/>
      <c r="AH773" s="1240"/>
      <c r="AI773" s="1240"/>
      <c r="AJ773" s="1240"/>
      <c r="AK773" s="1240"/>
      <c r="AL773" s="1240"/>
      <c r="AM773" s="1240"/>
      <c r="AN773" s="1240"/>
      <c r="AO773" s="1240"/>
      <c r="AP773" s="1240"/>
    </row>
    <row r="774" spans="1:42" ht="18.75" customHeight="1" x14ac:dyDescent="0.35">
      <c r="A774" s="1240"/>
      <c r="B774" s="1240"/>
      <c r="C774" s="1240"/>
      <c r="D774" s="1240"/>
      <c r="E774" s="1240"/>
      <c r="F774" s="1240"/>
      <c r="G774" s="1240"/>
      <c r="H774" s="1240"/>
      <c r="I774" s="1240"/>
      <c r="J774" s="1240"/>
      <c r="K774" s="1240"/>
      <c r="L774" s="1240"/>
      <c r="M774" s="1240"/>
      <c r="N774" s="1240"/>
      <c r="O774" s="1240"/>
      <c r="P774" s="1247">
        <f t="shared" si="87"/>
        <v>748</v>
      </c>
      <c r="Q774" s="1253" t="e">
        <f t="shared" ca="1" si="86"/>
        <v>#N/A</v>
      </c>
      <c r="R774" s="1247" t="str">
        <f>IFERROR(VLOOKUP(P774,RPCRepaymentDates[],1,FALSE),"")</f>
        <v/>
      </c>
      <c r="S774" s="1259">
        <f t="shared" si="82"/>
        <v>0</v>
      </c>
      <c r="T774" s="1247" t="str">
        <f>IFERROR(VLOOKUP(P774,RPCChargeCycleDates[],1,FALSE),"")</f>
        <v/>
      </c>
      <c r="U774" s="1248" t="str">
        <f>IFERROR(_xlfn.DAYS(T774,$Q$16)-SUM(U$26:U773),"")</f>
        <v/>
      </c>
      <c r="V774" s="1258">
        <f t="shared" ca="1" si="83"/>
        <v>0</v>
      </c>
      <c r="W774" s="1258">
        <f t="shared" ca="1" si="84"/>
        <v>0</v>
      </c>
      <c r="X774" s="1258" t="e">
        <f t="shared" ca="1" si="85"/>
        <v>#N/A</v>
      </c>
      <c r="Y774" s="1240"/>
      <c r="Z774" s="1240"/>
      <c r="AA774" s="1240"/>
      <c r="AB774" s="1240"/>
      <c r="AC774" s="1254" t="e">
        <f t="shared" si="88"/>
        <v>#NUM!</v>
      </c>
      <c r="AD774" s="1240"/>
      <c r="AE774" s="1240"/>
      <c r="AF774" s="1240"/>
      <c r="AG774" s="1240"/>
      <c r="AH774" s="1240"/>
      <c r="AI774" s="1240"/>
      <c r="AJ774" s="1240"/>
      <c r="AK774" s="1240"/>
      <c r="AL774" s="1240"/>
      <c r="AM774" s="1240"/>
      <c r="AN774" s="1240"/>
      <c r="AO774" s="1240"/>
      <c r="AP774" s="1240"/>
    </row>
    <row r="775" spans="1:42" ht="18.75" customHeight="1" x14ac:dyDescent="0.35">
      <c r="A775" s="1240"/>
      <c r="B775" s="1240"/>
      <c r="C775" s="1240"/>
      <c r="D775" s="1240"/>
      <c r="E775" s="1240"/>
      <c r="F775" s="1240"/>
      <c r="G775" s="1240"/>
      <c r="H775" s="1240"/>
      <c r="I775" s="1240"/>
      <c r="J775" s="1240"/>
      <c r="K775" s="1240"/>
      <c r="L775" s="1240"/>
      <c r="M775" s="1240"/>
      <c r="N775" s="1240"/>
      <c r="O775" s="1240"/>
      <c r="P775" s="1247">
        <f t="shared" si="87"/>
        <v>749</v>
      </c>
      <c r="Q775" s="1253" t="e">
        <f t="shared" ca="1" si="86"/>
        <v>#N/A</v>
      </c>
      <c r="R775" s="1247" t="str">
        <f>IFERROR(VLOOKUP(P775,RPCRepaymentDates[],1,FALSE),"")</f>
        <v/>
      </c>
      <c r="S775" s="1259">
        <f t="shared" si="82"/>
        <v>0</v>
      </c>
      <c r="T775" s="1247" t="str">
        <f>IFERROR(VLOOKUP(P775,RPCChargeCycleDates[],1,FALSE),"")</f>
        <v/>
      </c>
      <c r="U775" s="1248" t="str">
        <f>IFERROR(_xlfn.DAYS(T775,$Q$16)-SUM(U$26:U774),"")</f>
        <v/>
      </c>
      <c r="V775" s="1258">
        <f t="shared" ca="1" si="83"/>
        <v>0</v>
      </c>
      <c r="W775" s="1258">
        <f t="shared" ca="1" si="84"/>
        <v>0</v>
      </c>
      <c r="X775" s="1258" t="e">
        <f t="shared" ca="1" si="85"/>
        <v>#N/A</v>
      </c>
      <c r="Y775" s="1240"/>
      <c r="Z775" s="1240"/>
      <c r="AA775" s="1240"/>
      <c r="AB775" s="1240"/>
      <c r="AC775" s="1254" t="e">
        <f t="shared" si="88"/>
        <v>#NUM!</v>
      </c>
      <c r="AD775" s="1240"/>
      <c r="AE775" s="1240"/>
      <c r="AF775" s="1240"/>
      <c r="AG775" s="1240"/>
      <c r="AH775" s="1240"/>
      <c r="AI775" s="1240"/>
      <c r="AJ775" s="1240"/>
      <c r="AK775" s="1240"/>
      <c r="AL775" s="1240"/>
      <c r="AM775" s="1240"/>
      <c r="AN775" s="1240"/>
      <c r="AO775" s="1240"/>
      <c r="AP775" s="1240"/>
    </row>
    <row r="776" spans="1:42" ht="18.75" customHeight="1" x14ac:dyDescent="0.35">
      <c r="A776" s="1240"/>
      <c r="B776" s="1240"/>
      <c r="C776" s="1240"/>
      <c r="D776" s="1240"/>
      <c r="E776" s="1240"/>
      <c r="F776" s="1240"/>
      <c r="G776" s="1240"/>
      <c r="H776" s="1240"/>
      <c r="I776" s="1240"/>
      <c r="J776" s="1240"/>
      <c r="K776" s="1240"/>
      <c r="L776" s="1240"/>
      <c r="M776" s="1240"/>
      <c r="N776" s="1240"/>
      <c r="O776" s="1240"/>
      <c r="P776" s="1247">
        <f t="shared" si="87"/>
        <v>750</v>
      </c>
      <c r="Q776" s="1253" t="e">
        <f t="shared" ca="1" si="86"/>
        <v>#N/A</v>
      </c>
      <c r="R776" s="1247" t="str">
        <f>IFERROR(VLOOKUP(P776,RPCRepaymentDates[],1,FALSE),"")</f>
        <v/>
      </c>
      <c r="S776" s="1259">
        <f t="shared" si="82"/>
        <v>0</v>
      </c>
      <c r="T776" s="1247" t="str">
        <f>IFERROR(VLOOKUP(P776,RPCChargeCycleDates[],1,FALSE),"")</f>
        <v/>
      </c>
      <c r="U776" s="1248" t="str">
        <f>IFERROR(_xlfn.DAYS(T776,$Q$16)-SUM(U$26:U775),"")</f>
        <v/>
      </c>
      <c r="V776" s="1258">
        <f t="shared" ca="1" si="83"/>
        <v>0</v>
      </c>
      <c r="W776" s="1258">
        <f t="shared" ca="1" si="84"/>
        <v>0</v>
      </c>
      <c r="X776" s="1258" t="e">
        <f t="shared" ca="1" si="85"/>
        <v>#N/A</v>
      </c>
      <c r="Y776" s="1240"/>
      <c r="Z776" s="1240"/>
      <c r="AA776" s="1240"/>
      <c r="AB776" s="1240"/>
      <c r="AC776" s="1254" t="e">
        <f t="shared" si="88"/>
        <v>#NUM!</v>
      </c>
      <c r="AD776" s="1240"/>
      <c r="AE776" s="1240"/>
      <c r="AF776" s="1240"/>
      <c r="AG776" s="1240"/>
      <c r="AH776" s="1240"/>
      <c r="AI776" s="1240"/>
      <c r="AJ776" s="1240"/>
      <c r="AK776" s="1240"/>
      <c r="AL776" s="1240"/>
      <c r="AM776" s="1240"/>
      <c r="AN776" s="1240"/>
      <c r="AO776" s="1240"/>
      <c r="AP776" s="1240"/>
    </row>
    <row r="777" spans="1:42" ht="18.75" customHeight="1" x14ac:dyDescent="0.35">
      <c r="A777" s="1240"/>
      <c r="B777" s="1240"/>
      <c r="C777" s="1240"/>
      <c r="D777" s="1240"/>
      <c r="E777" s="1240"/>
      <c r="F777" s="1240"/>
      <c r="G777" s="1240"/>
      <c r="H777" s="1240"/>
      <c r="I777" s="1240"/>
      <c r="J777" s="1240"/>
      <c r="K777" s="1240"/>
      <c r="L777" s="1240"/>
      <c r="M777" s="1240"/>
      <c r="N777" s="1240"/>
      <c r="O777" s="1240"/>
      <c r="P777" s="1247">
        <f t="shared" si="87"/>
        <v>751</v>
      </c>
      <c r="Q777" s="1253" t="e">
        <f t="shared" ca="1" si="86"/>
        <v>#N/A</v>
      </c>
      <c r="R777" s="1247" t="str">
        <f>IFERROR(VLOOKUP(P777,RPCRepaymentDates[],1,FALSE),"")</f>
        <v/>
      </c>
      <c r="S777" s="1259">
        <f t="shared" si="82"/>
        <v>0</v>
      </c>
      <c r="T777" s="1247" t="str">
        <f>IFERROR(VLOOKUP(P777,RPCChargeCycleDates[],1,FALSE),"")</f>
        <v/>
      </c>
      <c r="U777" s="1248" t="str">
        <f>IFERROR(_xlfn.DAYS(T777,$Q$16)-SUM(U$26:U776),"")</f>
        <v/>
      </c>
      <c r="V777" s="1258">
        <f t="shared" ca="1" si="83"/>
        <v>0</v>
      </c>
      <c r="W777" s="1258">
        <f t="shared" ca="1" si="84"/>
        <v>0</v>
      </c>
      <c r="X777" s="1258" t="e">
        <f t="shared" ca="1" si="85"/>
        <v>#N/A</v>
      </c>
      <c r="Y777" s="1240"/>
      <c r="Z777" s="1240"/>
      <c r="AA777" s="1240"/>
      <c r="AB777" s="1240"/>
      <c r="AC777" s="1254" t="e">
        <f t="shared" si="88"/>
        <v>#NUM!</v>
      </c>
      <c r="AD777" s="1240"/>
      <c r="AE777" s="1240"/>
      <c r="AF777" s="1240"/>
      <c r="AG777" s="1240"/>
      <c r="AH777" s="1240"/>
      <c r="AI777" s="1240"/>
      <c r="AJ777" s="1240"/>
      <c r="AK777" s="1240"/>
      <c r="AL777" s="1240"/>
      <c r="AM777" s="1240"/>
      <c r="AN777" s="1240"/>
      <c r="AO777" s="1240"/>
      <c r="AP777" s="1240"/>
    </row>
    <row r="778" spans="1:42" ht="18.75" customHeight="1" x14ac:dyDescent="0.35">
      <c r="A778" s="1240"/>
      <c r="B778" s="1240"/>
      <c r="C778" s="1240"/>
      <c r="D778" s="1240"/>
      <c r="E778" s="1240"/>
      <c r="F778" s="1240"/>
      <c r="G778" s="1240"/>
      <c r="H778" s="1240"/>
      <c r="I778" s="1240"/>
      <c r="J778" s="1240"/>
      <c r="K778" s="1240"/>
      <c r="L778" s="1240"/>
      <c r="M778" s="1240"/>
      <c r="N778" s="1240"/>
      <c r="O778" s="1240"/>
      <c r="P778" s="1247">
        <f t="shared" si="87"/>
        <v>752</v>
      </c>
      <c r="Q778" s="1253" t="e">
        <f t="shared" ca="1" si="86"/>
        <v>#N/A</v>
      </c>
      <c r="R778" s="1247" t="str">
        <f>IFERROR(VLOOKUP(P778,RPCRepaymentDates[],1,FALSE),"")</f>
        <v/>
      </c>
      <c r="S778" s="1259">
        <f t="shared" si="82"/>
        <v>0</v>
      </c>
      <c r="T778" s="1247" t="str">
        <f>IFERROR(VLOOKUP(P778,RPCChargeCycleDates[],1,FALSE),"")</f>
        <v/>
      </c>
      <c r="U778" s="1248" t="str">
        <f>IFERROR(_xlfn.DAYS(T778,$Q$16)-SUM(U$26:U777),"")</f>
        <v/>
      </c>
      <c r="V778" s="1258">
        <f t="shared" ca="1" si="83"/>
        <v>0</v>
      </c>
      <c r="W778" s="1258">
        <f t="shared" ca="1" si="84"/>
        <v>0</v>
      </c>
      <c r="X778" s="1258" t="e">
        <f t="shared" ca="1" si="85"/>
        <v>#N/A</v>
      </c>
      <c r="Y778" s="1240"/>
      <c r="Z778" s="1240"/>
      <c r="AA778" s="1240"/>
      <c r="AB778" s="1240"/>
      <c r="AC778" s="1254" t="e">
        <f t="shared" si="88"/>
        <v>#NUM!</v>
      </c>
      <c r="AD778" s="1240"/>
      <c r="AE778" s="1240"/>
      <c r="AF778" s="1240"/>
      <c r="AG778" s="1240"/>
      <c r="AH778" s="1240"/>
      <c r="AI778" s="1240"/>
      <c r="AJ778" s="1240"/>
      <c r="AK778" s="1240"/>
      <c r="AL778" s="1240"/>
      <c r="AM778" s="1240"/>
      <c r="AN778" s="1240"/>
      <c r="AO778" s="1240"/>
      <c r="AP778" s="1240"/>
    </row>
    <row r="779" spans="1:42" ht="18.75" customHeight="1" x14ac:dyDescent="0.35">
      <c r="A779" s="1240"/>
      <c r="B779" s="1240"/>
      <c r="C779" s="1240"/>
      <c r="D779" s="1240"/>
      <c r="E779" s="1240"/>
      <c r="F779" s="1240"/>
      <c r="G779" s="1240"/>
      <c r="H779" s="1240"/>
      <c r="I779" s="1240"/>
      <c r="J779" s="1240"/>
      <c r="K779" s="1240"/>
      <c r="L779" s="1240"/>
      <c r="M779" s="1240"/>
      <c r="N779" s="1240"/>
      <c r="O779" s="1240"/>
      <c r="P779" s="1247">
        <f t="shared" si="87"/>
        <v>753</v>
      </c>
      <c r="Q779" s="1253" t="e">
        <f t="shared" ca="1" si="86"/>
        <v>#N/A</v>
      </c>
      <c r="R779" s="1247" t="str">
        <f>IFERROR(VLOOKUP(P779,RPCRepaymentDates[],1,FALSE),"")</f>
        <v/>
      </c>
      <c r="S779" s="1259">
        <f t="shared" si="82"/>
        <v>0</v>
      </c>
      <c r="T779" s="1247" t="str">
        <f>IFERROR(VLOOKUP(P779,RPCChargeCycleDates[],1,FALSE),"")</f>
        <v/>
      </c>
      <c r="U779" s="1248" t="str">
        <f>IFERROR(_xlfn.DAYS(T779,$Q$16)-SUM(U$26:U778),"")</f>
        <v/>
      </c>
      <c r="V779" s="1258">
        <f t="shared" ca="1" si="83"/>
        <v>0</v>
      </c>
      <c r="W779" s="1258">
        <f t="shared" ca="1" si="84"/>
        <v>0</v>
      </c>
      <c r="X779" s="1258" t="e">
        <f t="shared" ca="1" si="85"/>
        <v>#N/A</v>
      </c>
      <c r="Y779" s="1240"/>
      <c r="Z779" s="1240"/>
      <c r="AA779" s="1240"/>
      <c r="AB779" s="1240"/>
      <c r="AC779" s="1254" t="e">
        <f t="shared" si="88"/>
        <v>#NUM!</v>
      </c>
      <c r="AD779" s="1240"/>
      <c r="AE779" s="1240"/>
      <c r="AF779" s="1240"/>
      <c r="AG779" s="1240"/>
      <c r="AH779" s="1240"/>
      <c r="AI779" s="1240"/>
      <c r="AJ779" s="1240"/>
      <c r="AK779" s="1240"/>
      <c r="AL779" s="1240"/>
      <c r="AM779" s="1240"/>
      <c r="AN779" s="1240"/>
      <c r="AO779" s="1240"/>
      <c r="AP779" s="1240"/>
    </row>
    <row r="780" spans="1:42" ht="18.75" customHeight="1" x14ac:dyDescent="0.35">
      <c r="A780" s="1240"/>
      <c r="B780" s="1240"/>
      <c r="C780" s="1240"/>
      <c r="D780" s="1240"/>
      <c r="E780" s="1240"/>
      <c r="F780" s="1240"/>
      <c r="G780" s="1240"/>
      <c r="H780" s="1240"/>
      <c r="I780" s="1240"/>
      <c r="J780" s="1240"/>
      <c r="K780" s="1240"/>
      <c r="L780" s="1240"/>
      <c r="M780" s="1240"/>
      <c r="N780" s="1240"/>
      <c r="O780" s="1240"/>
      <c r="P780" s="1247">
        <f t="shared" si="87"/>
        <v>754</v>
      </c>
      <c r="Q780" s="1253" t="e">
        <f t="shared" ca="1" si="86"/>
        <v>#N/A</v>
      </c>
      <c r="R780" s="1247" t="str">
        <f>IFERROR(VLOOKUP(P780,RPCRepaymentDates[],1,FALSE),"")</f>
        <v/>
      </c>
      <c r="S780" s="1259">
        <f t="shared" si="82"/>
        <v>0</v>
      </c>
      <c r="T780" s="1247" t="str">
        <f>IFERROR(VLOOKUP(P780,RPCChargeCycleDates[],1,FALSE),"")</f>
        <v/>
      </c>
      <c r="U780" s="1248" t="str">
        <f>IFERROR(_xlfn.DAYS(T780,$Q$16)-SUM(U$26:U779),"")</f>
        <v/>
      </c>
      <c r="V780" s="1258">
        <f t="shared" ca="1" si="83"/>
        <v>0</v>
      </c>
      <c r="W780" s="1258">
        <f t="shared" ca="1" si="84"/>
        <v>0</v>
      </c>
      <c r="X780" s="1258" t="e">
        <f t="shared" ca="1" si="85"/>
        <v>#N/A</v>
      </c>
      <c r="Y780" s="1240"/>
      <c r="Z780" s="1240"/>
      <c r="AA780" s="1240"/>
      <c r="AB780" s="1240"/>
      <c r="AC780" s="1254" t="e">
        <f t="shared" si="88"/>
        <v>#NUM!</v>
      </c>
      <c r="AD780" s="1240"/>
      <c r="AE780" s="1240"/>
      <c r="AF780" s="1240"/>
      <c r="AG780" s="1240"/>
      <c r="AH780" s="1240"/>
      <c r="AI780" s="1240"/>
      <c r="AJ780" s="1240"/>
      <c r="AK780" s="1240"/>
      <c r="AL780" s="1240"/>
      <c r="AM780" s="1240"/>
      <c r="AN780" s="1240"/>
      <c r="AO780" s="1240"/>
      <c r="AP780" s="1240"/>
    </row>
    <row r="781" spans="1:42" ht="18.75" customHeight="1" x14ac:dyDescent="0.35">
      <c r="A781" s="1240"/>
      <c r="B781" s="1240"/>
      <c r="C781" s="1240"/>
      <c r="D781" s="1240"/>
      <c r="E781" s="1240"/>
      <c r="F781" s="1240"/>
      <c r="G781" s="1240"/>
      <c r="H781" s="1240"/>
      <c r="I781" s="1240"/>
      <c r="J781" s="1240"/>
      <c r="K781" s="1240"/>
      <c r="L781" s="1240"/>
      <c r="M781" s="1240"/>
      <c r="N781" s="1240"/>
      <c r="O781" s="1240"/>
      <c r="P781" s="1247">
        <f t="shared" si="87"/>
        <v>755</v>
      </c>
      <c r="Q781" s="1253" t="e">
        <f t="shared" ca="1" si="86"/>
        <v>#N/A</v>
      </c>
      <c r="R781" s="1247" t="str">
        <f>IFERROR(VLOOKUP(P781,RPCRepaymentDates[],1,FALSE),"")</f>
        <v/>
      </c>
      <c r="S781" s="1259">
        <f t="shared" si="82"/>
        <v>0</v>
      </c>
      <c r="T781" s="1247" t="str">
        <f>IFERROR(VLOOKUP(P781,RPCChargeCycleDates[],1,FALSE),"")</f>
        <v/>
      </c>
      <c r="U781" s="1248" t="str">
        <f>IFERROR(_xlfn.DAYS(T781,$Q$16)-SUM(U$26:U780),"")</f>
        <v/>
      </c>
      <c r="V781" s="1258">
        <f t="shared" ca="1" si="83"/>
        <v>0</v>
      </c>
      <c r="W781" s="1258">
        <f t="shared" ca="1" si="84"/>
        <v>0</v>
      </c>
      <c r="X781" s="1258" t="e">
        <f t="shared" ca="1" si="85"/>
        <v>#N/A</v>
      </c>
      <c r="Y781" s="1240"/>
      <c r="Z781" s="1240"/>
      <c r="AA781" s="1240"/>
      <c r="AB781" s="1240"/>
      <c r="AC781" s="1254" t="e">
        <f t="shared" si="88"/>
        <v>#NUM!</v>
      </c>
      <c r="AD781" s="1240"/>
      <c r="AE781" s="1240"/>
      <c r="AF781" s="1240"/>
      <c r="AG781" s="1240"/>
      <c r="AH781" s="1240"/>
      <c r="AI781" s="1240"/>
      <c r="AJ781" s="1240"/>
      <c r="AK781" s="1240"/>
      <c r="AL781" s="1240"/>
      <c r="AM781" s="1240"/>
      <c r="AN781" s="1240"/>
      <c r="AO781" s="1240"/>
      <c r="AP781" s="1240"/>
    </row>
    <row r="782" spans="1:42" ht="18.75" customHeight="1" x14ac:dyDescent="0.35">
      <c r="A782" s="1240"/>
      <c r="B782" s="1240"/>
      <c r="C782" s="1240"/>
      <c r="D782" s="1240"/>
      <c r="E782" s="1240"/>
      <c r="F782" s="1240"/>
      <c r="G782" s="1240"/>
      <c r="H782" s="1240"/>
      <c r="I782" s="1240"/>
      <c r="J782" s="1240"/>
      <c r="K782" s="1240"/>
      <c r="L782" s="1240"/>
      <c r="M782" s="1240"/>
      <c r="N782" s="1240"/>
      <c r="O782" s="1240"/>
      <c r="P782" s="1247">
        <f t="shared" si="87"/>
        <v>756</v>
      </c>
      <c r="Q782" s="1253" t="e">
        <f t="shared" ca="1" si="86"/>
        <v>#N/A</v>
      </c>
      <c r="R782" s="1247" t="str">
        <f>IFERROR(VLOOKUP(P782,RPCRepaymentDates[],1,FALSE),"")</f>
        <v/>
      </c>
      <c r="S782" s="1259">
        <f t="shared" si="82"/>
        <v>0</v>
      </c>
      <c r="T782" s="1247" t="str">
        <f>IFERROR(VLOOKUP(P782,RPCChargeCycleDates[],1,FALSE),"")</f>
        <v/>
      </c>
      <c r="U782" s="1248" t="str">
        <f>IFERROR(_xlfn.DAYS(T782,$Q$16)-SUM(U$26:U781),"")</f>
        <v/>
      </c>
      <c r="V782" s="1258">
        <f t="shared" ca="1" si="83"/>
        <v>0</v>
      </c>
      <c r="W782" s="1258">
        <f t="shared" ca="1" si="84"/>
        <v>0</v>
      </c>
      <c r="X782" s="1258" t="e">
        <f t="shared" ca="1" si="85"/>
        <v>#N/A</v>
      </c>
      <c r="Y782" s="1240"/>
      <c r="Z782" s="1240"/>
      <c r="AA782" s="1240"/>
      <c r="AB782" s="1240"/>
      <c r="AC782" s="1254" t="e">
        <f t="shared" si="88"/>
        <v>#NUM!</v>
      </c>
      <c r="AD782" s="1240"/>
      <c r="AE782" s="1240"/>
      <c r="AF782" s="1240"/>
      <c r="AG782" s="1240"/>
      <c r="AH782" s="1240"/>
      <c r="AI782" s="1240"/>
      <c r="AJ782" s="1240"/>
      <c r="AK782" s="1240"/>
      <c r="AL782" s="1240"/>
      <c r="AM782" s="1240"/>
      <c r="AN782" s="1240"/>
      <c r="AO782" s="1240"/>
      <c r="AP782" s="1240"/>
    </row>
    <row r="783" spans="1:42" ht="18.75" customHeight="1" x14ac:dyDescent="0.35">
      <c r="A783" s="1240"/>
      <c r="B783" s="1240"/>
      <c r="C783" s="1240"/>
      <c r="D783" s="1240"/>
      <c r="E783" s="1240"/>
      <c r="F783" s="1240"/>
      <c r="G783" s="1240"/>
      <c r="H783" s="1240"/>
      <c r="I783" s="1240"/>
      <c r="J783" s="1240"/>
      <c r="K783" s="1240"/>
      <c r="L783" s="1240"/>
      <c r="M783" s="1240"/>
      <c r="N783" s="1240"/>
      <c r="O783" s="1240"/>
      <c r="P783" s="1247">
        <f t="shared" si="87"/>
        <v>757</v>
      </c>
      <c r="Q783" s="1253" t="e">
        <f t="shared" ca="1" si="86"/>
        <v>#N/A</v>
      </c>
      <c r="R783" s="1247" t="str">
        <f>IFERROR(VLOOKUP(P783,RPCRepaymentDates[],1,FALSE),"")</f>
        <v/>
      </c>
      <c r="S783" s="1259">
        <f t="shared" si="82"/>
        <v>0</v>
      </c>
      <c r="T783" s="1247" t="str">
        <f>IFERROR(VLOOKUP(P783,RPCChargeCycleDates[],1,FALSE),"")</f>
        <v/>
      </c>
      <c r="U783" s="1248" t="str">
        <f>IFERROR(_xlfn.DAYS(T783,$Q$16)-SUM(U$26:U782),"")</f>
        <v/>
      </c>
      <c r="V783" s="1258">
        <f t="shared" ca="1" si="83"/>
        <v>0</v>
      </c>
      <c r="W783" s="1258">
        <f t="shared" ca="1" si="84"/>
        <v>0</v>
      </c>
      <c r="X783" s="1258" t="e">
        <f t="shared" ca="1" si="85"/>
        <v>#N/A</v>
      </c>
      <c r="Y783" s="1240"/>
      <c r="Z783" s="1240"/>
      <c r="AA783" s="1240"/>
      <c r="AB783" s="1240"/>
      <c r="AC783" s="1254" t="e">
        <f t="shared" si="88"/>
        <v>#NUM!</v>
      </c>
      <c r="AD783" s="1240"/>
      <c r="AE783" s="1240"/>
      <c r="AF783" s="1240"/>
      <c r="AG783" s="1240"/>
      <c r="AH783" s="1240"/>
      <c r="AI783" s="1240"/>
      <c r="AJ783" s="1240"/>
      <c r="AK783" s="1240"/>
      <c r="AL783" s="1240"/>
      <c r="AM783" s="1240"/>
      <c r="AN783" s="1240"/>
      <c r="AO783" s="1240"/>
      <c r="AP783" s="1240"/>
    </row>
    <row r="784" spans="1:42" ht="18.75" customHeight="1" x14ac:dyDescent="0.35">
      <c r="A784" s="1240"/>
      <c r="B784" s="1240"/>
      <c r="C784" s="1240"/>
      <c r="D784" s="1240"/>
      <c r="E784" s="1240"/>
      <c r="F784" s="1240"/>
      <c r="G784" s="1240"/>
      <c r="H784" s="1240"/>
      <c r="I784" s="1240"/>
      <c r="J784" s="1240"/>
      <c r="K784" s="1240"/>
      <c r="L784" s="1240"/>
      <c r="M784" s="1240"/>
      <c r="N784" s="1240"/>
      <c r="O784" s="1240"/>
      <c r="P784" s="1247">
        <f t="shared" si="87"/>
        <v>758</v>
      </c>
      <c r="Q784" s="1253" t="e">
        <f t="shared" ca="1" si="86"/>
        <v>#N/A</v>
      </c>
      <c r="R784" s="1247" t="str">
        <f>IFERROR(VLOOKUP(P784,RPCRepaymentDates[],1,FALSE),"")</f>
        <v/>
      </c>
      <c r="S784" s="1259">
        <f t="shared" si="82"/>
        <v>0</v>
      </c>
      <c r="T784" s="1247" t="str">
        <f>IFERROR(VLOOKUP(P784,RPCChargeCycleDates[],1,FALSE),"")</f>
        <v/>
      </c>
      <c r="U784" s="1248" t="str">
        <f>IFERROR(_xlfn.DAYS(T784,$Q$16)-SUM(U$26:U783),"")</f>
        <v/>
      </c>
      <c r="V784" s="1258">
        <f t="shared" ca="1" si="83"/>
        <v>0</v>
      </c>
      <c r="W784" s="1258">
        <f t="shared" ca="1" si="84"/>
        <v>0</v>
      </c>
      <c r="X784" s="1258" t="e">
        <f t="shared" ca="1" si="85"/>
        <v>#N/A</v>
      </c>
      <c r="Y784" s="1240"/>
      <c r="Z784" s="1240"/>
      <c r="AA784" s="1240"/>
      <c r="AB784" s="1240"/>
      <c r="AC784" s="1254" t="e">
        <f t="shared" si="88"/>
        <v>#NUM!</v>
      </c>
      <c r="AD784" s="1240"/>
      <c r="AE784" s="1240"/>
      <c r="AF784" s="1240"/>
      <c r="AG784" s="1240"/>
      <c r="AH784" s="1240"/>
      <c r="AI784" s="1240"/>
      <c r="AJ784" s="1240"/>
      <c r="AK784" s="1240"/>
      <c r="AL784" s="1240"/>
      <c r="AM784" s="1240"/>
      <c r="AN784" s="1240"/>
      <c r="AO784" s="1240"/>
      <c r="AP784" s="1240"/>
    </row>
    <row r="785" spans="1:42" ht="18.75" customHeight="1" x14ac:dyDescent="0.35">
      <c r="A785" s="1240"/>
      <c r="B785" s="1240"/>
      <c r="C785" s="1240"/>
      <c r="D785" s="1240"/>
      <c r="E785" s="1240"/>
      <c r="F785" s="1240"/>
      <c r="G785" s="1240"/>
      <c r="H785" s="1240"/>
      <c r="I785" s="1240"/>
      <c r="J785" s="1240"/>
      <c r="K785" s="1240"/>
      <c r="L785" s="1240"/>
      <c r="M785" s="1240"/>
      <c r="N785" s="1240"/>
      <c r="O785" s="1240"/>
      <c r="P785" s="1247">
        <f t="shared" si="87"/>
        <v>759</v>
      </c>
      <c r="Q785" s="1253" t="e">
        <f t="shared" ca="1" si="86"/>
        <v>#N/A</v>
      </c>
      <c r="R785" s="1247" t="str">
        <f>IFERROR(VLOOKUP(P785,RPCRepaymentDates[],1,FALSE),"")</f>
        <v/>
      </c>
      <c r="S785" s="1259">
        <f t="shared" si="82"/>
        <v>0</v>
      </c>
      <c r="T785" s="1247">
        <f>IFERROR(VLOOKUP(P785,RPCChargeCycleDates[],1,FALSE),"")</f>
        <v>759</v>
      </c>
      <c r="U785" s="1248">
        <f>IFERROR(_xlfn.DAYS(T785,$Q$16)-SUM(U$26:U784),"")</f>
        <v>31</v>
      </c>
      <c r="V785" s="1258">
        <f t="shared" ca="1" si="83"/>
        <v>0</v>
      </c>
      <c r="W785" s="1258">
        <f t="shared" ca="1" si="84"/>
        <v>0</v>
      </c>
      <c r="X785" s="1258" t="e">
        <f t="shared" ca="1" si="85"/>
        <v>#N/A</v>
      </c>
      <c r="Y785" s="1240"/>
      <c r="Z785" s="1240"/>
      <c r="AA785" s="1240"/>
      <c r="AB785" s="1240"/>
      <c r="AC785" s="1254" t="e">
        <f t="shared" si="88"/>
        <v>#NUM!</v>
      </c>
      <c r="AD785" s="1240"/>
      <c r="AE785" s="1240"/>
      <c r="AF785" s="1240"/>
      <c r="AG785" s="1240"/>
      <c r="AH785" s="1240"/>
      <c r="AI785" s="1240"/>
      <c r="AJ785" s="1240"/>
      <c r="AK785" s="1240"/>
      <c r="AL785" s="1240"/>
      <c r="AM785" s="1240"/>
      <c r="AN785" s="1240"/>
      <c r="AO785" s="1240"/>
      <c r="AP785" s="1240"/>
    </row>
    <row r="786" spans="1:42" ht="18.75" customHeight="1" x14ac:dyDescent="0.35">
      <c r="A786" s="1240"/>
      <c r="B786" s="1240"/>
      <c r="C786" s="1240"/>
      <c r="D786" s="1240"/>
      <c r="E786" s="1240"/>
      <c r="F786" s="1240"/>
      <c r="G786" s="1240"/>
      <c r="H786" s="1240"/>
      <c r="I786" s="1240"/>
      <c r="J786" s="1240"/>
      <c r="K786" s="1240"/>
      <c r="L786" s="1240"/>
      <c r="M786" s="1240"/>
      <c r="N786" s="1240"/>
      <c r="O786" s="1240"/>
      <c r="P786" s="1247">
        <f t="shared" si="87"/>
        <v>760</v>
      </c>
      <c r="Q786" s="1253" t="e">
        <f t="shared" ca="1" si="86"/>
        <v>#N/A</v>
      </c>
      <c r="R786" s="1247" t="str">
        <f>IFERROR(VLOOKUP(P786,RPCRepaymentDates[],1,FALSE),"")</f>
        <v/>
      </c>
      <c r="S786" s="1259">
        <f t="shared" si="82"/>
        <v>0</v>
      </c>
      <c r="T786" s="1247" t="str">
        <f>IFERROR(VLOOKUP(P786,RPCChargeCycleDates[],1,FALSE),"")</f>
        <v/>
      </c>
      <c r="U786" s="1248" t="str">
        <f>IFERROR(_xlfn.DAYS(T786,$Q$16)-SUM(U$26:U785),"")</f>
        <v/>
      </c>
      <c r="V786" s="1258">
        <f t="shared" ca="1" si="83"/>
        <v>0</v>
      </c>
      <c r="W786" s="1258">
        <f t="shared" ca="1" si="84"/>
        <v>0</v>
      </c>
      <c r="X786" s="1258" t="e">
        <f t="shared" ca="1" si="85"/>
        <v>#N/A</v>
      </c>
      <c r="Y786" s="1240"/>
      <c r="Z786" s="1240"/>
      <c r="AA786" s="1240"/>
      <c r="AB786" s="1240"/>
      <c r="AC786" s="1254" t="e">
        <f t="shared" si="88"/>
        <v>#NUM!</v>
      </c>
      <c r="AD786" s="1240"/>
      <c r="AE786" s="1240"/>
      <c r="AF786" s="1240"/>
      <c r="AG786" s="1240"/>
      <c r="AH786" s="1240"/>
      <c r="AI786" s="1240"/>
      <c r="AJ786" s="1240"/>
      <c r="AK786" s="1240"/>
      <c r="AL786" s="1240"/>
      <c r="AM786" s="1240"/>
      <c r="AN786" s="1240"/>
      <c r="AO786" s="1240"/>
      <c r="AP786" s="1240"/>
    </row>
    <row r="787" spans="1:42" ht="18.75" customHeight="1" x14ac:dyDescent="0.35">
      <c r="A787" s="1240"/>
      <c r="B787" s="1240"/>
      <c r="C787" s="1240"/>
      <c r="D787" s="1240"/>
      <c r="E787" s="1240"/>
      <c r="F787" s="1240"/>
      <c r="G787" s="1240"/>
      <c r="H787" s="1240"/>
      <c r="I787" s="1240"/>
      <c r="J787" s="1240"/>
      <c r="K787" s="1240"/>
      <c r="L787" s="1240"/>
      <c r="M787" s="1240"/>
      <c r="N787" s="1240"/>
      <c r="O787" s="1240"/>
      <c r="P787" s="1247">
        <f t="shared" si="87"/>
        <v>761</v>
      </c>
      <c r="Q787" s="1253" t="e">
        <f t="shared" ca="1" si="86"/>
        <v>#N/A</v>
      </c>
      <c r="R787" s="1247" t="str">
        <f>IFERROR(VLOOKUP(P787,RPCRepaymentDates[],1,FALSE),"")</f>
        <v/>
      </c>
      <c r="S787" s="1259">
        <f t="shared" si="82"/>
        <v>0</v>
      </c>
      <c r="T787" s="1247" t="str">
        <f>IFERROR(VLOOKUP(P787,RPCChargeCycleDates[],1,FALSE),"")</f>
        <v/>
      </c>
      <c r="U787" s="1248" t="str">
        <f>IFERROR(_xlfn.DAYS(T787,$Q$16)-SUM(U$26:U786),"")</f>
        <v/>
      </c>
      <c r="V787" s="1258">
        <f t="shared" ca="1" si="83"/>
        <v>0</v>
      </c>
      <c r="W787" s="1258">
        <f t="shared" ca="1" si="84"/>
        <v>0</v>
      </c>
      <c r="X787" s="1258" t="e">
        <f t="shared" ca="1" si="85"/>
        <v>#N/A</v>
      </c>
      <c r="Y787" s="1240"/>
      <c r="Z787" s="1240"/>
      <c r="AA787" s="1240"/>
      <c r="AB787" s="1240"/>
      <c r="AC787" s="1254" t="e">
        <f t="shared" si="88"/>
        <v>#NUM!</v>
      </c>
      <c r="AD787" s="1240"/>
      <c r="AE787" s="1240"/>
      <c r="AF787" s="1240"/>
      <c r="AG787" s="1240"/>
      <c r="AH787" s="1240"/>
      <c r="AI787" s="1240"/>
      <c r="AJ787" s="1240"/>
      <c r="AK787" s="1240"/>
      <c r="AL787" s="1240"/>
      <c r="AM787" s="1240"/>
      <c r="AN787" s="1240"/>
      <c r="AO787" s="1240"/>
      <c r="AP787" s="1240"/>
    </row>
    <row r="788" spans="1:42" ht="18.75" customHeight="1" x14ac:dyDescent="0.35">
      <c r="A788" s="1240"/>
      <c r="B788" s="1240"/>
      <c r="C788" s="1240"/>
      <c r="D788" s="1240"/>
      <c r="E788" s="1240"/>
      <c r="F788" s="1240"/>
      <c r="G788" s="1240"/>
      <c r="H788" s="1240"/>
      <c r="I788" s="1240"/>
      <c r="J788" s="1240"/>
      <c r="K788" s="1240"/>
      <c r="L788" s="1240"/>
      <c r="M788" s="1240"/>
      <c r="N788" s="1240"/>
      <c r="O788" s="1240"/>
      <c r="P788" s="1247">
        <f t="shared" si="87"/>
        <v>762</v>
      </c>
      <c r="Q788" s="1253" t="e">
        <f t="shared" ca="1" si="86"/>
        <v>#N/A</v>
      </c>
      <c r="R788" s="1247" t="str">
        <f>IFERROR(VLOOKUP(P788,RPCRepaymentDates[],1,FALSE),"")</f>
        <v/>
      </c>
      <c r="S788" s="1259">
        <f t="shared" si="82"/>
        <v>0</v>
      </c>
      <c r="T788" s="1247" t="str">
        <f>IFERROR(VLOOKUP(P788,RPCChargeCycleDates[],1,FALSE),"")</f>
        <v/>
      </c>
      <c r="U788" s="1248" t="str">
        <f>IFERROR(_xlfn.DAYS(T788,$Q$16)-SUM(U$26:U787),"")</f>
        <v/>
      </c>
      <c r="V788" s="1258">
        <f t="shared" ca="1" si="83"/>
        <v>0</v>
      </c>
      <c r="W788" s="1258">
        <f t="shared" ca="1" si="84"/>
        <v>0</v>
      </c>
      <c r="X788" s="1258" t="e">
        <f t="shared" ca="1" si="85"/>
        <v>#N/A</v>
      </c>
      <c r="Y788" s="1240"/>
      <c r="Z788" s="1240"/>
      <c r="AA788" s="1240"/>
      <c r="AB788" s="1240"/>
      <c r="AC788" s="1254" t="e">
        <f t="shared" si="88"/>
        <v>#NUM!</v>
      </c>
      <c r="AD788" s="1240"/>
      <c r="AE788" s="1240"/>
      <c r="AF788" s="1240"/>
      <c r="AG788" s="1240"/>
      <c r="AH788" s="1240"/>
      <c r="AI788" s="1240"/>
      <c r="AJ788" s="1240"/>
      <c r="AK788" s="1240"/>
      <c r="AL788" s="1240"/>
      <c r="AM788" s="1240"/>
      <c r="AN788" s="1240"/>
      <c r="AO788" s="1240"/>
      <c r="AP788" s="1240"/>
    </row>
    <row r="789" spans="1:42" ht="18.75" customHeight="1" x14ac:dyDescent="0.35">
      <c r="A789" s="1240"/>
      <c r="B789" s="1240"/>
      <c r="C789" s="1240"/>
      <c r="D789" s="1240"/>
      <c r="E789" s="1240"/>
      <c r="F789" s="1240"/>
      <c r="G789" s="1240"/>
      <c r="H789" s="1240"/>
      <c r="I789" s="1240"/>
      <c r="J789" s="1240"/>
      <c r="K789" s="1240"/>
      <c r="L789" s="1240"/>
      <c r="M789" s="1240"/>
      <c r="N789" s="1240"/>
      <c r="O789" s="1240"/>
      <c r="P789" s="1247">
        <f t="shared" si="87"/>
        <v>763</v>
      </c>
      <c r="Q789" s="1253" t="e">
        <f t="shared" ca="1" si="86"/>
        <v>#N/A</v>
      </c>
      <c r="R789" s="1247" t="str">
        <f>IFERROR(VLOOKUP(P789,RPCRepaymentDates[],1,FALSE),"")</f>
        <v/>
      </c>
      <c r="S789" s="1259">
        <f t="shared" si="82"/>
        <v>0</v>
      </c>
      <c r="T789" s="1247" t="str">
        <f>IFERROR(VLOOKUP(P789,RPCChargeCycleDates[],1,FALSE),"")</f>
        <v/>
      </c>
      <c r="U789" s="1248" t="str">
        <f>IFERROR(_xlfn.DAYS(T789,$Q$16)-SUM(U$26:U788),"")</f>
        <v/>
      </c>
      <c r="V789" s="1258">
        <f t="shared" ca="1" si="83"/>
        <v>0</v>
      </c>
      <c r="W789" s="1258">
        <f t="shared" ca="1" si="84"/>
        <v>0</v>
      </c>
      <c r="X789" s="1258" t="e">
        <f t="shared" ca="1" si="85"/>
        <v>#N/A</v>
      </c>
      <c r="Y789" s="1240"/>
      <c r="Z789" s="1240"/>
      <c r="AA789" s="1240"/>
      <c r="AB789" s="1240"/>
      <c r="AC789" s="1254" t="e">
        <f t="shared" si="88"/>
        <v>#NUM!</v>
      </c>
      <c r="AD789" s="1240"/>
      <c r="AE789" s="1240"/>
      <c r="AF789" s="1240"/>
      <c r="AG789" s="1240"/>
      <c r="AH789" s="1240"/>
      <c r="AI789" s="1240"/>
      <c r="AJ789" s="1240"/>
      <c r="AK789" s="1240"/>
      <c r="AL789" s="1240"/>
      <c r="AM789" s="1240"/>
      <c r="AN789" s="1240"/>
      <c r="AO789" s="1240"/>
      <c r="AP789" s="1240"/>
    </row>
    <row r="790" spans="1:42" ht="18.75" customHeight="1" x14ac:dyDescent="0.35">
      <c r="A790" s="1240"/>
      <c r="B790" s="1240"/>
      <c r="C790" s="1240"/>
      <c r="D790" s="1240"/>
      <c r="E790" s="1240"/>
      <c r="F790" s="1240"/>
      <c r="G790" s="1240"/>
      <c r="H790" s="1240"/>
      <c r="I790" s="1240"/>
      <c r="J790" s="1240"/>
      <c r="K790" s="1240"/>
      <c r="L790" s="1240"/>
      <c r="M790" s="1240"/>
      <c r="N790" s="1240"/>
      <c r="O790" s="1240"/>
      <c r="P790" s="1247">
        <f t="shared" si="87"/>
        <v>764</v>
      </c>
      <c r="Q790" s="1253" t="e">
        <f t="shared" ca="1" si="86"/>
        <v>#N/A</v>
      </c>
      <c r="R790" s="1247" t="str">
        <f>IFERROR(VLOOKUP(P790,RPCRepaymentDates[],1,FALSE),"")</f>
        <v/>
      </c>
      <c r="S790" s="1259">
        <f t="shared" si="82"/>
        <v>0</v>
      </c>
      <c r="T790" s="1247" t="str">
        <f>IFERROR(VLOOKUP(P790,RPCChargeCycleDates[],1,FALSE),"")</f>
        <v/>
      </c>
      <c r="U790" s="1248" t="str">
        <f>IFERROR(_xlfn.DAYS(T790,$Q$16)-SUM(U$26:U789),"")</f>
        <v/>
      </c>
      <c r="V790" s="1258">
        <f t="shared" ca="1" si="83"/>
        <v>0</v>
      </c>
      <c r="W790" s="1258">
        <f t="shared" ca="1" si="84"/>
        <v>0</v>
      </c>
      <c r="X790" s="1258" t="e">
        <f t="shared" ca="1" si="85"/>
        <v>#N/A</v>
      </c>
      <c r="Y790" s="1240"/>
      <c r="Z790" s="1240"/>
      <c r="AA790" s="1240"/>
      <c r="AB790" s="1240"/>
      <c r="AC790" s="1254" t="e">
        <f t="shared" si="88"/>
        <v>#NUM!</v>
      </c>
      <c r="AD790" s="1240"/>
      <c r="AE790" s="1240"/>
      <c r="AF790" s="1240"/>
      <c r="AG790" s="1240"/>
      <c r="AH790" s="1240"/>
      <c r="AI790" s="1240"/>
      <c r="AJ790" s="1240"/>
      <c r="AK790" s="1240"/>
      <c r="AL790" s="1240"/>
      <c r="AM790" s="1240"/>
      <c r="AN790" s="1240"/>
      <c r="AO790" s="1240"/>
      <c r="AP790" s="1240"/>
    </row>
    <row r="791" spans="1:42" ht="18.75" customHeight="1" x14ac:dyDescent="0.35">
      <c r="A791" s="1240"/>
      <c r="B791" s="1240"/>
      <c r="C791" s="1240"/>
      <c r="D791" s="1240"/>
      <c r="E791" s="1240"/>
      <c r="F791" s="1240"/>
      <c r="G791" s="1240"/>
      <c r="H791" s="1240"/>
      <c r="I791" s="1240"/>
      <c r="J791" s="1240"/>
      <c r="K791" s="1240"/>
      <c r="L791" s="1240"/>
      <c r="M791" s="1240"/>
      <c r="N791" s="1240"/>
      <c r="O791" s="1240"/>
      <c r="P791" s="1247">
        <f t="shared" si="87"/>
        <v>765</v>
      </c>
      <c r="Q791" s="1253" t="e">
        <f t="shared" ca="1" si="86"/>
        <v>#N/A</v>
      </c>
      <c r="R791" s="1247" t="str">
        <f>IFERROR(VLOOKUP(P791,RPCRepaymentDates[],1,FALSE),"")</f>
        <v/>
      </c>
      <c r="S791" s="1259">
        <f t="shared" si="82"/>
        <v>0</v>
      </c>
      <c r="T791" s="1247" t="str">
        <f>IFERROR(VLOOKUP(P791,RPCChargeCycleDates[],1,FALSE),"")</f>
        <v/>
      </c>
      <c r="U791" s="1248" t="str">
        <f>IFERROR(_xlfn.DAYS(T791,$Q$16)-SUM(U$26:U790),"")</f>
        <v/>
      </c>
      <c r="V791" s="1258">
        <f t="shared" ca="1" si="83"/>
        <v>0</v>
      </c>
      <c r="W791" s="1258">
        <f t="shared" ca="1" si="84"/>
        <v>0</v>
      </c>
      <c r="X791" s="1258" t="e">
        <f t="shared" ca="1" si="85"/>
        <v>#N/A</v>
      </c>
      <c r="Y791" s="1240"/>
      <c r="Z791" s="1240"/>
      <c r="AA791" s="1240"/>
      <c r="AB791" s="1240"/>
      <c r="AC791" s="1254" t="e">
        <f t="shared" si="88"/>
        <v>#NUM!</v>
      </c>
      <c r="AD791" s="1240"/>
      <c r="AE791" s="1240"/>
      <c r="AF791" s="1240"/>
      <c r="AG791" s="1240"/>
      <c r="AH791" s="1240"/>
      <c r="AI791" s="1240"/>
      <c r="AJ791" s="1240"/>
      <c r="AK791" s="1240"/>
      <c r="AL791" s="1240"/>
      <c r="AM791" s="1240"/>
      <c r="AN791" s="1240"/>
      <c r="AO791" s="1240"/>
      <c r="AP791" s="1240"/>
    </row>
    <row r="792" spans="1:42" ht="18.75" customHeight="1" x14ac:dyDescent="0.35">
      <c r="A792" s="1240"/>
      <c r="B792" s="1240"/>
      <c r="C792" s="1240"/>
      <c r="D792" s="1240"/>
      <c r="E792" s="1240"/>
      <c r="F792" s="1240"/>
      <c r="G792" s="1240"/>
      <c r="H792" s="1240"/>
      <c r="I792" s="1240"/>
      <c r="J792" s="1240"/>
      <c r="K792" s="1240"/>
      <c r="L792" s="1240"/>
      <c r="M792" s="1240"/>
      <c r="N792" s="1240"/>
      <c r="O792" s="1240"/>
      <c r="P792" s="1247">
        <f t="shared" si="87"/>
        <v>766</v>
      </c>
      <c r="Q792" s="1253" t="e">
        <f t="shared" ca="1" si="86"/>
        <v>#N/A</v>
      </c>
      <c r="R792" s="1247" t="str">
        <f>IFERROR(VLOOKUP(P792,RPCRepaymentDates[],1,FALSE),"")</f>
        <v/>
      </c>
      <c r="S792" s="1259">
        <f t="shared" si="82"/>
        <v>0</v>
      </c>
      <c r="T792" s="1247" t="str">
        <f>IFERROR(VLOOKUP(P792,RPCChargeCycleDates[],1,FALSE),"")</f>
        <v/>
      </c>
      <c r="U792" s="1248" t="str">
        <f>IFERROR(_xlfn.DAYS(T792,$Q$16)-SUM(U$26:U791),"")</f>
        <v/>
      </c>
      <c r="V792" s="1258">
        <f t="shared" ca="1" si="83"/>
        <v>0</v>
      </c>
      <c r="W792" s="1258">
        <f t="shared" ca="1" si="84"/>
        <v>0</v>
      </c>
      <c r="X792" s="1258" t="e">
        <f t="shared" ca="1" si="85"/>
        <v>#N/A</v>
      </c>
      <c r="Y792" s="1240"/>
      <c r="Z792" s="1240"/>
      <c r="AA792" s="1240"/>
      <c r="AB792" s="1240"/>
      <c r="AC792" s="1254" t="e">
        <f t="shared" si="88"/>
        <v>#NUM!</v>
      </c>
      <c r="AD792" s="1240"/>
      <c r="AE792" s="1240"/>
      <c r="AF792" s="1240"/>
      <c r="AG792" s="1240"/>
      <c r="AH792" s="1240"/>
      <c r="AI792" s="1240"/>
      <c r="AJ792" s="1240"/>
      <c r="AK792" s="1240"/>
      <c r="AL792" s="1240"/>
      <c r="AM792" s="1240"/>
      <c r="AN792" s="1240"/>
      <c r="AO792" s="1240"/>
      <c r="AP792" s="1240"/>
    </row>
    <row r="793" spans="1:42" ht="18.75" customHeight="1" x14ac:dyDescent="0.35">
      <c r="A793" s="1240"/>
      <c r="B793" s="1240"/>
      <c r="C793" s="1240"/>
      <c r="D793" s="1240"/>
      <c r="E793" s="1240"/>
      <c r="F793" s="1240"/>
      <c r="G793" s="1240"/>
      <c r="H793" s="1240"/>
      <c r="I793" s="1240"/>
      <c r="J793" s="1240"/>
      <c r="K793" s="1240"/>
      <c r="L793" s="1240"/>
      <c r="M793" s="1240"/>
      <c r="N793" s="1240"/>
      <c r="O793" s="1240"/>
      <c r="P793" s="1247">
        <f t="shared" si="87"/>
        <v>767</v>
      </c>
      <c r="Q793" s="1253" t="e">
        <f t="shared" ca="1" si="86"/>
        <v>#N/A</v>
      </c>
      <c r="R793" s="1247" t="str">
        <f>IFERROR(VLOOKUP(P793,RPCRepaymentDates[],1,FALSE),"")</f>
        <v/>
      </c>
      <c r="S793" s="1259">
        <f t="shared" si="82"/>
        <v>0</v>
      </c>
      <c r="T793" s="1247" t="str">
        <f>IFERROR(VLOOKUP(P793,RPCChargeCycleDates[],1,FALSE),"")</f>
        <v/>
      </c>
      <c r="U793" s="1248" t="str">
        <f>IFERROR(_xlfn.DAYS(T793,$Q$16)-SUM(U$26:U792),"")</f>
        <v/>
      </c>
      <c r="V793" s="1258">
        <f t="shared" ca="1" si="83"/>
        <v>0</v>
      </c>
      <c r="W793" s="1258">
        <f t="shared" ca="1" si="84"/>
        <v>0</v>
      </c>
      <c r="X793" s="1258" t="e">
        <f t="shared" ca="1" si="85"/>
        <v>#N/A</v>
      </c>
      <c r="Y793" s="1240"/>
      <c r="Z793" s="1240"/>
      <c r="AA793" s="1240"/>
      <c r="AB793" s="1240"/>
      <c r="AC793" s="1254" t="e">
        <f t="shared" si="88"/>
        <v>#NUM!</v>
      </c>
      <c r="AD793" s="1240"/>
      <c r="AE793" s="1240"/>
      <c r="AF793" s="1240"/>
      <c r="AG793" s="1240"/>
      <c r="AH793" s="1240"/>
      <c r="AI793" s="1240"/>
      <c r="AJ793" s="1240"/>
      <c r="AK793" s="1240"/>
      <c r="AL793" s="1240"/>
      <c r="AM793" s="1240"/>
      <c r="AN793" s="1240"/>
      <c r="AO793" s="1240"/>
      <c r="AP793" s="1240"/>
    </row>
    <row r="794" spans="1:42" ht="18.75" customHeight="1" x14ac:dyDescent="0.35">
      <c r="A794" s="1240"/>
      <c r="B794" s="1240"/>
      <c r="C794" s="1240"/>
      <c r="D794" s="1240"/>
      <c r="E794" s="1240"/>
      <c r="F794" s="1240"/>
      <c r="G794" s="1240"/>
      <c r="H794" s="1240"/>
      <c r="I794" s="1240"/>
      <c r="J794" s="1240"/>
      <c r="K794" s="1240"/>
      <c r="L794" s="1240"/>
      <c r="M794" s="1240"/>
      <c r="N794" s="1240"/>
      <c r="O794" s="1240"/>
      <c r="P794" s="1247">
        <f t="shared" si="87"/>
        <v>768</v>
      </c>
      <c r="Q794" s="1253" t="e">
        <f t="shared" ca="1" si="86"/>
        <v>#N/A</v>
      </c>
      <c r="R794" s="1247" t="str">
        <f>IFERROR(VLOOKUP(P794,RPCRepaymentDates[],1,FALSE),"")</f>
        <v/>
      </c>
      <c r="S794" s="1259">
        <f t="shared" ref="S794:S857" si="89">IF(P794=R794,IF(R794&lt;RPCNextPaymentTransferDate,0,IF(OR(R794&lt;RPCPauseStartDate,R794&gt;RPCPauseEndDate),RPCCurrentRepayment,RPCPauseRepayment)),0)</f>
        <v>0</v>
      </c>
      <c r="T794" s="1247" t="str">
        <f>IFERROR(VLOOKUP(P794,RPCChargeCycleDates[],1,FALSE),"")</f>
        <v/>
      </c>
      <c r="U794" s="1248" t="str">
        <f>IFERROR(_xlfn.DAYS(T794,$Q$16)-SUM(U$26:U793),"")</f>
        <v/>
      </c>
      <c r="V794" s="1258">
        <f t="shared" ref="V794:V857" ca="1" si="90">IFERROR((Q794-S794)*(1/RPCDaysInYear)*RPCInterestRate,0)</f>
        <v>0</v>
      </c>
      <c r="W794" s="1258">
        <f t="shared" ref="W794:W857" ca="1" si="91">IFERROR(IF(T794=P794,SUM(OFFSET(V794,-U794+1,0,U794,1)),0),0)</f>
        <v>0</v>
      </c>
      <c r="X794" s="1258" t="e">
        <f t="shared" ref="X794:X857" ca="1" si="92">Q794-S794+W794</f>
        <v>#N/A</v>
      </c>
      <c r="Y794" s="1240"/>
      <c r="Z794" s="1240"/>
      <c r="AA794" s="1240"/>
      <c r="AB794" s="1240"/>
      <c r="AC794" s="1254" t="e">
        <f t="shared" si="88"/>
        <v>#NUM!</v>
      </c>
      <c r="AD794" s="1240"/>
      <c r="AE794" s="1240"/>
      <c r="AF794" s="1240"/>
      <c r="AG794" s="1240"/>
      <c r="AH794" s="1240"/>
      <c r="AI794" s="1240"/>
      <c r="AJ794" s="1240"/>
      <c r="AK794" s="1240"/>
      <c r="AL794" s="1240"/>
      <c r="AM794" s="1240"/>
      <c r="AN794" s="1240"/>
      <c r="AO794" s="1240"/>
      <c r="AP794" s="1240"/>
    </row>
    <row r="795" spans="1:42" ht="18.75" customHeight="1" x14ac:dyDescent="0.35">
      <c r="A795" s="1240"/>
      <c r="B795" s="1240"/>
      <c r="C795" s="1240"/>
      <c r="D795" s="1240"/>
      <c r="E795" s="1240"/>
      <c r="F795" s="1240"/>
      <c r="G795" s="1240"/>
      <c r="H795" s="1240"/>
      <c r="I795" s="1240"/>
      <c r="J795" s="1240"/>
      <c r="K795" s="1240"/>
      <c r="L795" s="1240"/>
      <c r="M795" s="1240"/>
      <c r="N795" s="1240"/>
      <c r="O795" s="1240"/>
      <c r="P795" s="1247">
        <f t="shared" si="87"/>
        <v>769</v>
      </c>
      <c r="Q795" s="1253" t="e">
        <f t="shared" ref="Q795:Q858" ca="1" si="93">X794</f>
        <v>#N/A</v>
      </c>
      <c r="R795" s="1247" t="str">
        <f>IFERROR(VLOOKUP(P795,RPCRepaymentDates[],1,FALSE),"")</f>
        <v/>
      </c>
      <c r="S795" s="1259">
        <f t="shared" si="89"/>
        <v>0</v>
      </c>
      <c r="T795" s="1247" t="str">
        <f>IFERROR(VLOOKUP(P795,RPCChargeCycleDates[],1,FALSE),"")</f>
        <v/>
      </c>
      <c r="U795" s="1248" t="str">
        <f>IFERROR(_xlfn.DAYS(T795,$Q$16)-SUM(U$26:U794),"")</f>
        <v/>
      </c>
      <c r="V795" s="1258">
        <f t="shared" ca="1" si="90"/>
        <v>0</v>
      </c>
      <c r="W795" s="1258">
        <f t="shared" ca="1" si="91"/>
        <v>0</v>
      </c>
      <c r="X795" s="1258" t="e">
        <f t="shared" ca="1" si="92"/>
        <v>#N/A</v>
      </c>
      <c r="Y795" s="1240"/>
      <c r="Z795" s="1240"/>
      <c r="AA795" s="1240"/>
      <c r="AB795" s="1240"/>
      <c r="AC795" s="1254" t="e">
        <f t="shared" si="88"/>
        <v>#NUM!</v>
      </c>
      <c r="AD795" s="1240"/>
      <c r="AE795" s="1240"/>
      <c r="AF795" s="1240"/>
      <c r="AG795" s="1240"/>
      <c r="AH795" s="1240"/>
      <c r="AI795" s="1240"/>
      <c r="AJ795" s="1240"/>
      <c r="AK795" s="1240"/>
      <c r="AL795" s="1240"/>
      <c r="AM795" s="1240"/>
      <c r="AN795" s="1240"/>
      <c r="AO795" s="1240"/>
      <c r="AP795" s="1240"/>
    </row>
    <row r="796" spans="1:42" ht="18.75" customHeight="1" x14ac:dyDescent="0.35">
      <c r="A796" s="1240"/>
      <c r="B796" s="1240"/>
      <c r="C796" s="1240"/>
      <c r="D796" s="1240"/>
      <c r="E796" s="1240"/>
      <c r="F796" s="1240"/>
      <c r="G796" s="1240"/>
      <c r="H796" s="1240"/>
      <c r="I796" s="1240"/>
      <c r="J796" s="1240"/>
      <c r="K796" s="1240"/>
      <c r="L796" s="1240"/>
      <c r="M796" s="1240"/>
      <c r="N796" s="1240"/>
      <c r="O796" s="1240"/>
      <c r="P796" s="1247">
        <f t="shared" si="87"/>
        <v>770</v>
      </c>
      <c r="Q796" s="1253" t="e">
        <f t="shared" ca="1" si="93"/>
        <v>#N/A</v>
      </c>
      <c r="R796" s="1247" t="str">
        <f>IFERROR(VLOOKUP(P796,RPCRepaymentDates[],1,FALSE),"")</f>
        <v/>
      </c>
      <c r="S796" s="1259">
        <f t="shared" si="89"/>
        <v>0</v>
      </c>
      <c r="T796" s="1247" t="str">
        <f>IFERROR(VLOOKUP(P796,RPCChargeCycleDates[],1,FALSE),"")</f>
        <v/>
      </c>
      <c r="U796" s="1248" t="str">
        <f>IFERROR(_xlfn.DAYS(T796,$Q$16)-SUM(U$26:U795),"")</f>
        <v/>
      </c>
      <c r="V796" s="1258">
        <f t="shared" ca="1" si="90"/>
        <v>0</v>
      </c>
      <c r="W796" s="1258">
        <f t="shared" ca="1" si="91"/>
        <v>0</v>
      </c>
      <c r="X796" s="1258" t="e">
        <f t="shared" ca="1" si="92"/>
        <v>#N/A</v>
      </c>
      <c r="Y796" s="1240"/>
      <c r="Z796" s="1240"/>
      <c r="AA796" s="1240"/>
      <c r="AB796" s="1240"/>
      <c r="AC796" s="1254" t="e">
        <f t="shared" si="88"/>
        <v>#NUM!</v>
      </c>
      <c r="AD796" s="1240"/>
      <c r="AE796" s="1240"/>
      <c r="AF796" s="1240"/>
      <c r="AG796" s="1240"/>
      <c r="AH796" s="1240"/>
      <c r="AI796" s="1240"/>
      <c r="AJ796" s="1240"/>
      <c r="AK796" s="1240"/>
      <c r="AL796" s="1240"/>
      <c r="AM796" s="1240"/>
      <c r="AN796" s="1240"/>
      <c r="AO796" s="1240"/>
      <c r="AP796" s="1240"/>
    </row>
    <row r="797" spans="1:42" ht="18.75" customHeight="1" x14ac:dyDescent="0.35">
      <c r="A797" s="1240"/>
      <c r="B797" s="1240"/>
      <c r="C797" s="1240"/>
      <c r="D797" s="1240"/>
      <c r="E797" s="1240"/>
      <c r="F797" s="1240"/>
      <c r="G797" s="1240"/>
      <c r="H797" s="1240"/>
      <c r="I797" s="1240"/>
      <c r="J797" s="1240"/>
      <c r="K797" s="1240"/>
      <c r="L797" s="1240"/>
      <c r="M797" s="1240"/>
      <c r="N797" s="1240"/>
      <c r="O797" s="1240"/>
      <c r="P797" s="1247">
        <f t="shared" si="87"/>
        <v>771</v>
      </c>
      <c r="Q797" s="1253" t="e">
        <f t="shared" ca="1" si="93"/>
        <v>#N/A</v>
      </c>
      <c r="R797" s="1247" t="str">
        <f>IFERROR(VLOOKUP(P797,RPCRepaymentDates[],1,FALSE),"")</f>
        <v/>
      </c>
      <c r="S797" s="1259">
        <f t="shared" si="89"/>
        <v>0</v>
      </c>
      <c r="T797" s="1247" t="str">
        <f>IFERROR(VLOOKUP(P797,RPCChargeCycleDates[],1,FALSE),"")</f>
        <v/>
      </c>
      <c r="U797" s="1248" t="str">
        <f>IFERROR(_xlfn.DAYS(T797,$Q$16)-SUM(U$26:U796),"")</f>
        <v/>
      </c>
      <c r="V797" s="1258">
        <f t="shared" ca="1" si="90"/>
        <v>0</v>
      </c>
      <c r="W797" s="1258">
        <f t="shared" ca="1" si="91"/>
        <v>0</v>
      </c>
      <c r="X797" s="1258" t="e">
        <f t="shared" ca="1" si="92"/>
        <v>#N/A</v>
      </c>
      <c r="Y797" s="1240"/>
      <c r="Z797" s="1240"/>
      <c r="AA797" s="1240"/>
      <c r="AB797" s="1240"/>
      <c r="AC797" s="1254" t="e">
        <f t="shared" si="88"/>
        <v>#NUM!</v>
      </c>
      <c r="AD797" s="1240"/>
      <c r="AE797" s="1240"/>
      <c r="AF797" s="1240"/>
      <c r="AG797" s="1240"/>
      <c r="AH797" s="1240"/>
      <c r="AI797" s="1240"/>
      <c r="AJ797" s="1240"/>
      <c r="AK797" s="1240"/>
      <c r="AL797" s="1240"/>
      <c r="AM797" s="1240"/>
      <c r="AN797" s="1240"/>
      <c r="AO797" s="1240"/>
      <c r="AP797" s="1240"/>
    </row>
    <row r="798" spans="1:42" ht="18.75" customHeight="1" x14ac:dyDescent="0.35">
      <c r="A798" s="1240"/>
      <c r="B798" s="1240"/>
      <c r="C798" s="1240"/>
      <c r="D798" s="1240"/>
      <c r="E798" s="1240"/>
      <c r="F798" s="1240"/>
      <c r="G798" s="1240"/>
      <c r="H798" s="1240"/>
      <c r="I798" s="1240"/>
      <c r="J798" s="1240"/>
      <c r="K798" s="1240"/>
      <c r="L798" s="1240"/>
      <c r="M798" s="1240"/>
      <c r="N798" s="1240"/>
      <c r="O798" s="1240"/>
      <c r="P798" s="1247">
        <f t="shared" si="87"/>
        <v>772</v>
      </c>
      <c r="Q798" s="1253" t="e">
        <f t="shared" ca="1" si="93"/>
        <v>#N/A</v>
      </c>
      <c r="R798" s="1247" t="str">
        <f>IFERROR(VLOOKUP(P798,RPCRepaymentDates[],1,FALSE),"")</f>
        <v/>
      </c>
      <c r="S798" s="1259">
        <f t="shared" si="89"/>
        <v>0</v>
      </c>
      <c r="T798" s="1247" t="str">
        <f>IFERROR(VLOOKUP(P798,RPCChargeCycleDates[],1,FALSE),"")</f>
        <v/>
      </c>
      <c r="U798" s="1248" t="str">
        <f>IFERROR(_xlfn.DAYS(T798,$Q$16)-SUM(U$26:U797),"")</f>
        <v/>
      </c>
      <c r="V798" s="1258">
        <f t="shared" ca="1" si="90"/>
        <v>0</v>
      </c>
      <c r="W798" s="1258">
        <f t="shared" ca="1" si="91"/>
        <v>0</v>
      </c>
      <c r="X798" s="1258" t="e">
        <f t="shared" ca="1" si="92"/>
        <v>#N/A</v>
      </c>
      <c r="Y798" s="1240"/>
      <c r="Z798" s="1240"/>
      <c r="AA798" s="1240"/>
      <c r="AB798" s="1240"/>
      <c r="AC798" s="1254" t="e">
        <f t="shared" si="88"/>
        <v>#NUM!</v>
      </c>
      <c r="AD798" s="1240"/>
      <c r="AE798" s="1240"/>
      <c r="AF798" s="1240"/>
      <c r="AG798" s="1240"/>
      <c r="AH798" s="1240"/>
      <c r="AI798" s="1240"/>
      <c r="AJ798" s="1240"/>
      <c r="AK798" s="1240"/>
      <c r="AL798" s="1240"/>
      <c r="AM798" s="1240"/>
      <c r="AN798" s="1240"/>
      <c r="AO798" s="1240"/>
      <c r="AP798" s="1240"/>
    </row>
    <row r="799" spans="1:42" ht="18.75" customHeight="1" x14ac:dyDescent="0.35">
      <c r="A799" s="1240"/>
      <c r="B799" s="1240"/>
      <c r="C799" s="1240"/>
      <c r="D799" s="1240"/>
      <c r="E799" s="1240"/>
      <c r="F799" s="1240"/>
      <c r="G799" s="1240"/>
      <c r="H799" s="1240"/>
      <c r="I799" s="1240"/>
      <c r="J799" s="1240"/>
      <c r="K799" s="1240"/>
      <c r="L799" s="1240"/>
      <c r="M799" s="1240"/>
      <c r="N799" s="1240"/>
      <c r="O799" s="1240"/>
      <c r="P799" s="1247">
        <f t="shared" si="87"/>
        <v>773</v>
      </c>
      <c r="Q799" s="1253" t="e">
        <f t="shared" ca="1" si="93"/>
        <v>#N/A</v>
      </c>
      <c r="R799" s="1247" t="str">
        <f>IFERROR(VLOOKUP(P799,RPCRepaymentDates[],1,FALSE),"")</f>
        <v/>
      </c>
      <c r="S799" s="1259">
        <f t="shared" si="89"/>
        <v>0</v>
      </c>
      <c r="T799" s="1247" t="str">
        <f>IFERROR(VLOOKUP(P799,RPCChargeCycleDates[],1,FALSE),"")</f>
        <v/>
      </c>
      <c r="U799" s="1248" t="str">
        <f>IFERROR(_xlfn.DAYS(T799,$Q$16)-SUM(U$26:U798),"")</f>
        <v/>
      </c>
      <c r="V799" s="1258">
        <f t="shared" ca="1" si="90"/>
        <v>0</v>
      </c>
      <c r="W799" s="1258">
        <f t="shared" ca="1" si="91"/>
        <v>0</v>
      </c>
      <c r="X799" s="1258" t="e">
        <f t="shared" ca="1" si="92"/>
        <v>#N/A</v>
      </c>
      <c r="Y799" s="1240"/>
      <c r="Z799" s="1240"/>
      <c r="AA799" s="1240"/>
      <c r="AB799" s="1240"/>
      <c r="AC799" s="1254" t="e">
        <f t="shared" si="88"/>
        <v>#NUM!</v>
      </c>
      <c r="AD799" s="1240"/>
      <c r="AE799" s="1240"/>
      <c r="AF799" s="1240"/>
      <c r="AG799" s="1240"/>
      <c r="AH799" s="1240"/>
      <c r="AI799" s="1240"/>
      <c r="AJ799" s="1240"/>
      <c r="AK799" s="1240"/>
      <c r="AL799" s="1240"/>
      <c r="AM799" s="1240"/>
      <c r="AN799" s="1240"/>
      <c r="AO799" s="1240"/>
      <c r="AP799" s="1240"/>
    </row>
    <row r="800" spans="1:42" ht="18.75" customHeight="1" x14ac:dyDescent="0.35">
      <c r="A800" s="1240"/>
      <c r="B800" s="1240"/>
      <c r="C800" s="1240"/>
      <c r="D800" s="1240"/>
      <c r="E800" s="1240"/>
      <c r="F800" s="1240"/>
      <c r="G800" s="1240"/>
      <c r="H800" s="1240"/>
      <c r="I800" s="1240"/>
      <c r="J800" s="1240"/>
      <c r="K800" s="1240"/>
      <c r="L800" s="1240"/>
      <c r="M800" s="1240"/>
      <c r="N800" s="1240"/>
      <c r="O800" s="1240"/>
      <c r="P800" s="1247">
        <f t="shared" si="87"/>
        <v>774</v>
      </c>
      <c r="Q800" s="1253" t="e">
        <f t="shared" ca="1" si="93"/>
        <v>#N/A</v>
      </c>
      <c r="R800" s="1247" t="str">
        <f>IFERROR(VLOOKUP(P800,RPCRepaymentDates[],1,FALSE),"")</f>
        <v/>
      </c>
      <c r="S800" s="1259">
        <f t="shared" si="89"/>
        <v>0</v>
      </c>
      <c r="T800" s="1247" t="str">
        <f>IFERROR(VLOOKUP(P800,RPCChargeCycleDates[],1,FALSE),"")</f>
        <v/>
      </c>
      <c r="U800" s="1248" t="str">
        <f>IFERROR(_xlfn.DAYS(T800,$Q$16)-SUM(U$26:U799),"")</f>
        <v/>
      </c>
      <c r="V800" s="1258">
        <f t="shared" ca="1" si="90"/>
        <v>0</v>
      </c>
      <c r="W800" s="1258">
        <f t="shared" ca="1" si="91"/>
        <v>0</v>
      </c>
      <c r="X800" s="1258" t="e">
        <f t="shared" ca="1" si="92"/>
        <v>#N/A</v>
      </c>
      <c r="Y800" s="1240"/>
      <c r="Z800" s="1240"/>
      <c r="AA800" s="1240"/>
      <c r="AB800" s="1240"/>
      <c r="AC800" s="1254" t="e">
        <f t="shared" si="88"/>
        <v>#NUM!</v>
      </c>
      <c r="AD800" s="1240"/>
      <c r="AE800" s="1240"/>
      <c r="AF800" s="1240"/>
      <c r="AG800" s="1240"/>
      <c r="AH800" s="1240"/>
      <c r="AI800" s="1240"/>
      <c r="AJ800" s="1240"/>
      <c r="AK800" s="1240"/>
      <c r="AL800" s="1240"/>
      <c r="AM800" s="1240"/>
      <c r="AN800" s="1240"/>
      <c r="AO800" s="1240"/>
      <c r="AP800" s="1240"/>
    </row>
    <row r="801" spans="1:42" ht="18.75" customHeight="1" x14ac:dyDescent="0.35">
      <c r="A801" s="1240"/>
      <c r="B801" s="1240"/>
      <c r="C801" s="1240"/>
      <c r="D801" s="1240"/>
      <c r="E801" s="1240"/>
      <c r="F801" s="1240"/>
      <c r="G801" s="1240"/>
      <c r="H801" s="1240"/>
      <c r="I801" s="1240"/>
      <c r="J801" s="1240"/>
      <c r="K801" s="1240"/>
      <c r="L801" s="1240"/>
      <c r="M801" s="1240"/>
      <c r="N801" s="1240"/>
      <c r="O801" s="1240"/>
      <c r="P801" s="1247">
        <f t="shared" si="87"/>
        <v>775</v>
      </c>
      <c r="Q801" s="1253" t="e">
        <f t="shared" ca="1" si="93"/>
        <v>#N/A</v>
      </c>
      <c r="R801" s="1247" t="str">
        <f>IFERROR(VLOOKUP(P801,RPCRepaymentDates[],1,FALSE),"")</f>
        <v/>
      </c>
      <c r="S801" s="1259">
        <f t="shared" si="89"/>
        <v>0</v>
      </c>
      <c r="T801" s="1247" t="str">
        <f>IFERROR(VLOOKUP(P801,RPCChargeCycleDates[],1,FALSE),"")</f>
        <v/>
      </c>
      <c r="U801" s="1248" t="str">
        <f>IFERROR(_xlfn.DAYS(T801,$Q$16)-SUM(U$26:U800),"")</f>
        <v/>
      </c>
      <c r="V801" s="1258">
        <f t="shared" ca="1" si="90"/>
        <v>0</v>
      </c>
      <c r="W801" s="1258">
        <f t="shared" ca="1" si="91"/>
        <v>0</v>
      </c>
      <c r="X801" s="1258" t="e">
        <f t="shared" ca="1" si="92"/>
        <v>#N/A</v>
      </c>
      <c r="Y801" s="1240"/>
      <c r="Z801" s="1240"/>
      <c r="AA801" s="1240"/>
      <c r="AB801" s="1240"/>
      <c r="AC801" s="1254" t="e">
        <f t="shared" si="88"/>
        <v>#NUM!</v>
      </c>
      <c r="AD801" s="1240"/>
      <c r="AE801" s="1240"/>
      <c r="AF801" s="1240"/>
      <c r="AG801" s="1240"/>
      <c r="AH801" s="1240"/>
      <c r="AI801" s="1240"/>
      <c r="AJ801" s="1240"/>
      <c r="AK801" s="1240"/>
      <c r="AL801" s="1240"/>
      <c r="AM801" s="1240"/>
      <c r="AN801" s="1240"/>
      <c r="AO801" s="1240"/>
      <c r="AP801" s="1240"/>
    </row>
    <row r="802" spans="1:42" ht="18.75" customHeight="1" x14ac:dyDescent="0.35">
      <c r="A802" s="1240"/>
      <c r="B802" s="1240"/>
      <c r="C802" s="1240"/>
      <c r="D802" s="1240"/>
      <c r="E802" s="1240"/>
      <c r="F802" s="1240"/>
      <c r="G802" s="1240"/>
      <c r="H802" s="1240"/>
      <c r="I802" s="1240"/>
      <c r="J802" s="1240"/>
      <c r="K802" s="1240"/>
      <c r="L802" s="1240"/>
      <c r="M802" s="1240"/>
      <c r="N802" s="1240"/>
      <c r="O802" s="1240"/>
      <c r="P802" s="1247">
        <f t="shared" si="87"/>
        <v>776</v>
      </c>
      <c r="Q802" s="1253" t="e">
        <f t="shared" ca="1" si="93"/>
        <v>#N/A</v>
      </c>
      <c r="R802" s="1247" t="str">
        <f>IFERROR(VLOOKUP(P802,RPCRepaymentDates[],1,FALSE),"")</f>
        <v/>
      </c>
      <c r="S802" s="1259">
        <f t="shared" si="89"/>
        <v>0</v>
      </c>
      <c r="T802" s="1247" t="str">
        <f>IFERROR(VLOOKUP(P802,RPCChargeCycleDates[],1,FALSE),"")</f>
        <v/>
      </c>
      <c r="U802" s="1248" t="str">
        <f>IFERROR(_xlfn.DAYS(T802,$Q$16)-SUM(U$26:U801),"")</f>
        <v/>
      </c>
      <c r="V802" s="1258">
        <f t="shared" ca="1" si="90"/>
        <v>0</v>
      </c>
      <c r="W802" s="1258">
        <f t="shared" ca="1" si="91"/>
        <v>0</v>
      </c>
      <c r="X802" s="1258" t="e">
        <f t="shared" ca="1" si="92"/>
        <v>#N/A</v>
      </c>
      <c r="Y802" s="1240"/>
      <c r="Z802" s="1240"/>
      <c r="AA802" s="1240"/>
      <c r="AB802" s="1240"/>
      <c r="AC802" s="1254" t="e">
        <f t="shared" si="88"/>
        <v>#NUM!</v>
      </c>
      <c r="AD802" s="1240"/>
      <c r="AE802" s="1240"/>
      <c r="AF802" s="1240"/>
      <c r="AG802" s="1240"/>
      <c r="AH802" s="1240"/>
      <c r="AI802" s="1240"/>
      <c r="AJ802" s="1240"/>
      <c r="AK802" s="1240"/>
      <c r="AL802" s="1240"/>
      <c r="AM802" s="1240"/>
      <c r="AN802" s="1240"/>
      <c r="AO802" s="1240"/>
      <c r="AP802" s="1240"/>
    </row>
    <row r="803" spans="1:42" ht="18.75" customHeight="1" x14ac:dyDescent="0.35">
      <c r="A803" s="1240"/>
      <c r="B803" s="1240"/>
      <c r="C803" s="1240"/>
      <c r="D803" s="1240"/>
      <c r="E803" s="1240"/>
      <c r="F803" s="1240"/>
      <c r="G803" s="1240"/>
      <c r="H803" s="1240"/>
      <c r="I803" s="1240"/>
      <c r="J803" s="1240"/>
      <c r="K803" s="1240"/>
      <c r="L803" s="1240"/>
      <c r="M803" s="1240"/>
      <c r="N803" s="1240"/>
      <c r="O803" s="1240"/>
      <c r="P803" s="1247">
        <f t="shared" si="87"/>
        <v>777</v>
      </c>
      <c r="Q803" s="1253" t="e">
        <f t="shared" ca="1" si="93"/>
        <v>#N/A</v>
      </c>
      <c r="R803" s="1247" t="str">
        <f>IFERROR(VLOOKUP(P803,RPCRepaymentDates[],1,FALSE),"")</f>
        <v/>
      </c>
      <c r="S803" s="1259">
        <f t="shared" si="89"/>
        <v>0</v>
      </c>
      <c r="T803" s="1247" t="str">
        <f>IFERROR(VLOOKUP(P803,RPCChargeCycleDates[],1,FALSE),"")</f>
        <v/>
      </c>
      <c r="U803" s="1248" t="str">
        <f>IFERROR(_xlfn.DAYS(T803,$Q$16)-SUM(U$26:U802),"")</f>
        <v/>
      </c>
      <c r="V803" s="1258">
        <f t="shared" ca="1" si="90"/>
        <v>0</v>
      </c>
      <c r="W803" s="1258">
        <f t="shared" ca="1" si="91"/>
        <v>0</v>
      </c>
      <c r="X803" s="1258" t="e">
        <f t="shared" ca="1" si="92"/>
        <v>#N/A</v>
      </c>
      <c r="Y803" s="1240"/>
      <c r="Z803" s="1240"/>
      <c r="AA803" s="1240"/>
      <c r="AB803" s="1240"/>
      <c r="AC803" s="1254" t="e">
        <f t="shared" si="88"/>
        <v>#NUM!</v>
      </c>
      <c r="AD803" s="1240"/>
      <c r="AE803" s="1240"/>
      <c r="AF803" s="1240"/>
      <c r="AG803" s="1240"/>
      <c r="AH803" s="1240"/>
      <c r="AI803" s="1240"/>
      <c r="AJ803" s="1240"/>
      <c r="AK803" s="1240"/>
      <c r="AL803" s="1240"/>
      <c r="AM803" s="1240"/>
      <c r="AN803" s="1240"/>
      <c r="AO803" s="1240"/>
      <c r="AP803" s="1240"/>
    </row>
    <row r="804" spans="1:42" ht="18.75" customHeight="1" x14ac:dyDescent="0.35">
      <c r="A804" s="1240"/>
      <c r="B804" s="1240"/>
      <c r="C804" s="1240"/>
      <c r="D804" s="1240"/>
      <c r="E804" s="1240"/>
      <c r="F804" s="1240"/>
      <c r="G804" s="1240"/>
      <c r="H804" s="1240"/>
      <c r="I804" s="1240"/>
      <c r="J804" s="1240"/>
      <c r="K804" s="1240"/>
      <c r="L804" s="1240"/>
      <c r="M804" s="1240"/>
      <c r="N804" s="1240"/>
      <c r="O804" s="1240"/>
      <c r="P804" s="1247">
        <f t="shared" si="87"/>
        <v>778</v>
      </c>
      <c r="Q804" s="1253" t="e">
        <f t="shared" ca="1" si="93"/>
        <v>#N/A</v>
      </c>
      <c r="R804" s="1247" t="str">
        <f>IFERROR(VLOOKUP(P804,RPCRepaymentDates[],1,FALSE),"")</f>
        <v/>
      </c>
      <c r="S804" s="1259">
        <f t="shared" si="89"/>
        <v>0</v>
      </c>
      <c r="T804" s="1247" t="str">
        <f>IFERROR(VLOOKUP(P804,RPCChargeCycleDates[],1,FALSE),"")</f>
        <v/>
      </c>
      <c r="U804" s="1248" t="str">
        <f>IFERROR(_xlfn.DAYS(T804,$Q$16)-SUM(U$26:U803),"")</f>
        <v/>
      </c>
      <c r="V804" s="1258">
        <f t="shared" ca="1" si="90"/>
        <v>0</v>
      </c>
      <c r="W804" s="1258">
        <f t="shared" ca="1" si="91"/>
        <v>0</v>
      </c>
      <c r="X804" s="1258" t="e">
        <f t="shared" ca="1" si="92"/>
        <v>#N/A</v>
      </c>
      <c r="Y804" s="1240"/>
      <c r="Z804" s="1240"/>
      <c r="AA804" s="1240"/>
      <c r="AB804" s="1240"/>
      <c r="AC804" s="1254" t="e">
        <f t="shared" si="88"/>
        <v>#NUM!</v>
      </c>
      <c r="AD804" s="1240"/>
      <c r="AE804" s="1240"/>
      <c r="AF804" s="1240"/>
      <c r="AG804" s="1240"/>
      <c r="AH804" s="1240"/>
      <c r="AI804" s="1240"/>
      <c r="AJ804" s="1240"/>
      <c r="AK804" s="1240"/>
      <c r="AL804" s="1240"/>
      <c r="AM804" s="1240"/>
      <c r="AN804" s="1240"/>
      <c r="AO804" s="1240"/>
      <c r="AP804" s="1240"/>
    </row>
    <row r="805" spans="1:42" ht="18.75" customHeight="1" x14ac:dyDescent="0.35">
      <c r="A805" s="1240"/>
      <c r="B805" s="1240"/>
      <c r="C805" s="1240"/>
      <c r="D805" s="1240"/>
      <c r="E805" s="1240"/>
      <c r="F805" s="1240"/>
      <c r="G805" s="1240"/>
      <c r="H805" s="1240"/>
      <c r="I805" s="1240"/>
      <c r="J805" s="1240"/>
      <c r="K805" s="1240"/>
      <c r="L805" s="1240"/>
      <c r="M805" s="1240"/>
      <c r="N805" s="1240"/>
      <c r="O805" s="1240"/>
      <c r="P805" s="1247">
        <f t="shared" si="87"/>
        <v>779</v>
      </c>
      <c r="Q805" s="1253" t="e">
        <f t="shared" ca="1" si="93"/>
        <v>#N/A</v>
      </c>
      <c r="R805" s="1247" t="str">
        <f>IFERROR(VLOOKUP(P805,RPCRepaymentDates[],1,FALSE),"")</f>
        <v/>
      </c>
      <c r="S805" s="1259">
        <f t="shared" si="89"/>
        <v>0</v>
      </c>
      <c r="T805" s="1247" t="str">
        <f>IFERROR(VLOOKUP(P805,RPCChargeCycleDates[],1,FALSE),"")</f>
        <v/>
      </c>
      <c r="U805" s="1248" t="str">
        <f>IFERROR(_xlfn.DAYS(T805,$Q$16)-SUM(U$26:U804),"")</f>
        <v/>
      </c>
      <c r="V805" s="1258">
        <f t="shared" ca="1" si="90"/>
        <v>0</v>
      </c>
      <c r="W805" s="1258">
        <f t="shared" ca="1" si="91"/>
        <v>0</v>
      </c>
      <c r="X805" s="1258" t="e">
        <f t="shared" ca="1" si="92"/>
        <v>#N/A</v>
      </c>
      <c r="Y805" s="1240"/>
      <c r="Z805" s="1240"/>
      <c r="AA805" s="1240"/>
      <c r="AB805" s="1240"/>
      <c r="AC805" s="1254" t="e">
        <f t="shared" si="88"/>
        <v>#NUM!</v>
      </c>
      <c r="AD805" s="1240"/>
      <c r="AE805" s="1240"/>
      <c r="AF805" s="1240"/>
      <c r="AG805" s="1240"/>
      <c r="AH805" s="1240"/>
      <c r="AI805" s="1240"/>
      <c r="AJ805" s="1240"/>
      <c r="AK805" s="1240"/>
      <c r="AL805" s="1240"/>
      <c r="AM805" s="1240"/>
      <c r="AN805" s="1240"/>
      <c r="AO805" s="1240"/>
      <c r="AP805" s="1240"/>
    </row>
    <row r="806" spans="1:42" ht="18.75" customHeight="1" x14ac:dyDescent="0.35">
      <c r="A806" s="1240"/>
      <c r="B806" s="1240"/>
      <c r="C806" s="1240"/>
      <c r="D806" s="1240"/>
      <c r="E806" s="1240"/>
      <c r="F806" s="1240"/>
      <c r="G806" s="1240"/>
      <c r="H806" s="1240"/>
      <c r="I806" s="1240"/>
      <c r="J806" s="1240"/>
      <c r="K806" s="1240"/>
      <c r="L806" s="1240"/>
      <c r="M806" s="1240"/>
      <c r="N806" s="1240"/>
      <c r="O806" s="1240"/>
      <c r="P806" s="1247">
        <f t="shared" si="87"/>
        <v>780</v>
      </c>
      <c r="Q806" s="1253" t="e">
        <f t="shared" ca="1" si="93"/>
        <v>#N/A</v>
      </c>
      <c r="R806" s="1247" t="str">
        <f>IFERROR(VLOOKUP(P806,RPCRepaymentDates[],1,FALSE),"")</f>
        <v/>
      </c>
      <c r="S806" s="1259">
        <f t="shared" si="89"/>
        <v>0</v>
      </c>
      <c r="T806" s="1247" t="str">
        <f>IFERROR(VLOOKUP(P806,RPCChargeCycleDates[],1,FALSE),"")</f>
        <v/>
      </c>
      <c r="U806" s="1248" t="str">
        <f>IFERROR(_xlfn.DAYS(T806,$Q$16)-SUM(U$26:U805),"")</f>
        <v/>
      </c>
      <c r="V806" s="1258">
        <f t="shared" ca="1" si="90"/>
        <v>0</v>
      </c>
      <c r="W806" s="1258">
        <f t="shared" ca="1" si="91"/>
        <v>0</v>
      </c>
      <c r="X806" s="1258" t="e">
        <f t="shared" ca="1" si="92"/>
        <v>#N/A</v>
      </c>
      <c r="Y806" s="1240"/>
      <c r="Z806" s="1240"/>
      <c r="AA806" s="1240"/>
      <c r="AB806" s="1240"/>
      <c r="AC806" s="1254" t="e">
        <f t="shared" si="88"/>
        <v>#NUM!</v>
      </c>
      <c r="AD806" s="1240"/>
      <c r="AE806" s="1240"/>
      <c r="AF806" s="1240"/>
      <c r="AG806" s="1240"/>
      <c r="AH806" s="1240"/>
      <c r="AI806" s="1240"/>
      <c r="AJ806" s="1240"/>
      <c r="AK806" s="1240"/>
      <c r="AL806" s="1240"/>
      <c r="AM806" s="1240"/>
      <c r="AN806" s="1240"/>
      <c r="AO806" s="1240"/>
      <c r="AP806" s="1240"/>
    </row>
    <row r="807" spans="1:42" ht="18.75" customHeight="1" x14ac:dyDescent="0.35">
      <c r="A807" s="1240"/>
      <c r="B807" s="1240"/>
      <c r="C807" s="1240"/>
      <c r="D807" s="1240"/>
      <c r="E807" s="1240"/>
      <c r="F807" s="1240"/>
      <c r="G807" s="1240"/>
      <c r="H807" s="1240"/>
      <c r="I807" s="1240"/>
      <c r="J807" s="1240"/>
      <c r="K807" s="1240"/>
      <c r="L807" s="1240"/>
      <c r="M807" s="1240"/>
      <c r="N807" s="1240"/>
      <c r="O807" s="1240"/>
      <c r="P807" s="1247">
        <f t="shared" si="87"/>
        <v>781</v>
      </c>
      <c r="Q807" s="1253" t="e">
        <f t="shared" ca="1" si="93"/>
        <v>#N/A</v>
      </c>
      <c r="R807" s="1247" t="str">
        <f>IFERROR(VLOOKUP(P807,RPCRepaymentDates[],1,FALSE),"")</f>
        <v/>
      </c>
      <c r="S807" s="1259">
        <f t="shared" si="89"/>
        <v>0</v>
      </c>
      <c r="T807" s="1247" t="str">
        <f>IFERROR(VLOOKUP(P807,RPCChargeCycleDates[],1,FALSE),"")</f>
        <v/>
      </c>
      <c r="U807" s="1248" t="str">
        <f>IFERROR(_xlfn.DAYS(T807,$Q$16)-SUM(U$26:U806),"")</f>
        <v/>
      </c>
      <c r="V807" s="1258">
        <f t="shared" ca="1" si="90"/>
        <v>0</v>
      </c>
      <c r="W807" s="1258">
        <f t="shared" ca="1" si="91"/>
        <v>0</v>
      </c>
      <c r="X807" s="1258" t="e">
        <f t="shared" ca="1" si="92"/>
        <v>#N/A</v>
      </c>
      <c r="Y807" s="1240"/>
      <c r="Z807" s="1240"/>
      <c r="AA807" s="1240"/>
      <c r="AB807" s="1240"/>
      <c r="AC807" s="1254" t="e">
        <f t="shared" si="88"/>
        <v>#NUM!</v>
      </c>
      <c r="AD807" s="1240"/>
      <c r="AE807" s="1240"/>
      <c r="AF807" s="1240"/>
      <c r="AG807" s="1240"/>
      <c r="AH807" s="1240"/>
      <c r="AI807" s="1240"/>
      <c r="AJ807" s="1240"/>
      <c r="AK807" s="1240"/>
      <c r="AL807" s="1240"/>
      <c r="AM807" s="1240"/>
      <c r="AN807" s="1240"/>
      <c r="AO807" s="1240"/>
      <c r="AP807" s="1240"/>
    </row>
    <row r="808" spans="1:42" ht="18.75" customHeight="1" x14ac:dyDescent="0.35">
      <c r="A808" s="1240"/>
      <c r="B808" s="1240"/>
      <c r="C808" s="1240"/>
      <c r="D808" s="1240"/>
      <c r="E808" s="1240"/>
      <c r="F808" s="1240"/>
      <c r="G808" s="1240"/>
      <c r="H808" s="1240"/>
      <c r="I808" s="1240"/>
      <c r="J808" s="1240"/>
      <c r="K808" s="1240"/>
      <c r="L808" s="1240"/>
      <c r="M808" s="1240"/>
      <c r="N808" s="1240"/>
      <c r="O808" s="1240"/>
      <c r="P808" s="1247">
        <f t="shared" si="87"/>
        <v>782</v>
      </c>
      <c r="Q808" s="1253" t="e">
        <f t="shared" ca="1" si="93"/>
        <v>#N/A</v>
      </c>
      <c r="R808" s="1247" t="str">
        <f>IFERROR(VLOOKUP(P808,RPCRepaymentDates[],1,FALSE),"")</f>
        <v/>
      </c>
      <c r="S808" s="1259">
        <f t="shared" si="89"/>
        <v>0</v>
      </c>
      <c r="T808" s="1247" t="str">
        <f>IFERROR(VLOOKUP(P808,RPCChargeCycleDates[],1,FALSE),"")</f>
        <v/>
      </c>
      <c r="U808" s="1248" t="str">
        <f>IFERROR(_xlfn.DAYS(T808,$Q$16)-SUM(U$26:U807),"")</f>
        <v/>
      </c>
      <c r="V808" s="1258">
        <f t="shared" ca="1" si="90"/>
        <v>0</v>
      </c>
      <c r="W808" s="1258">
        <f t="shared" ca="1" si="91"/>
        <v>0</v>
      </c>
      <c r="X808" s="1258" t="e">
        <f t="shared" ca="1" si="92"/>
        <v>#N/A</v>
      </c>
      <c r="Y808" s="1240"/>
      <c r="Z808" s="1240"/>
      <c r="AA808" s="1240"/>
      <c r="AB808" s="1240"/>
      <c r="AC808" s="1254" t="e">
        <f t="shared" si="88"/>
        <v>#NUM!</v>
      </c>
      <c r="AD808" s="1240"/>
      <c r="AE808" s="1240"/>
      <c r="AF808" s="1240"/>
      <c r="AG808" s="1240"/>
      <c r="AH808" s="1240"/>
      <c r="AI808" s="1240"/>
      <c r="AJ808" s="1240"/>
      <c r="AK808" s="1240"/>
      <c r="AL808" s="1240"/>
      <c r="AM808" s="1240"/>
      <c r="AN808" s="1240"/>
      <c r="AO808" s="1240"/>
      <c r="AP808" s="1240"/>
    </row>
    <row r="809" spans="1:42" ht="18.75" customHeight="1" x14ac:dyDescent="0.35">
      <c r="A809" s="1240"/>
      <c r="B809" s="1240"/>
      <c r="C809" s="1240"/>
      <c r="D809" s="1240"/>
      <c r="E809" s="1240"/>
      <c r="F809" s="1240"/>
      <c r="G809" s="1240"/>
      <c r="H809" s="1240"/>
      <c r="I809" s="1240"/>
      <c r="J809" s="1240"/>
      <c r="K809" s="1240"/>
      <c r="L809" s="1240"/>
      <c r="M809" s="1240"/>
      <c r="N809" s="1240"/>
      <c r="O809" s="1240"/>
      <c r="P809" s="1247">
        <f t="shared" si="87"/>
        <v>783</v>
      </c>
      <c r="Q809" s="1253" t="e">
        <f t="shared" ca="1" si="93"/>
        <v>#N/A</v>
      </c>
      <c r="R809" s="1247" t="str">
        <f>IFERROR(VLOOKUP(P809,RPCRepaymentDates[],1,FALSE),"")</f>
        <v/>
      </c>
      <c r="S809" s="1259">
        <f t="shared" si="89"/>
        <v>0</v>
      </c>
      <c r="T809" s="1247" t="str">
        <f>IFERROR(VLOOKUP(P809,RPCChargeCycleDates[],1,FALSE),"")</f>
        <v/>
      </c>
      <c r="U809" s="1248" t="str">
        <f>IFERROR(_xlfn.DAYS(T809,$Q$16)-SUM(U$26:U808),"")</f>
        <v/>
      </c>
      <c r="V809" s="1258">
        <f t="shared" ca="1" si="90"/>
        <v>0</v>
      </c>
      <c r="W809" s="1258">
        <f t="shared" ca="1" si="91"/>
        <v>0</v>
      </c>
      <c r="X809" s="1258" t="e">
        <f t="shared" ca="1" si="92"/>
        <v>#N/A</v>
      </c>
      <c r="Y809" s="1240"/>
      <c r="Z809" s="1240"/>
      <c r="AA809" s="1240"/>
      <c r="AB809" s="1240"/>
      <c r="AC809" s="1254" t="e">
        <f t="shared" si="88"/>
        <v>#NUM!</v>
      </c>
      <c r="AD809" s="1240"/>
      <c r="AE809" s="1240"/>
      <c r="AF809" s="1240"/>
      <c r="AG809" s="1240"/>
      <c r="AH809" s="1240"/>
      <c r="AI809" s="1240"/>
      <c r="AJ809" s="1240"/>
      <c r="AK809" s="1240"/>
      <c r="AL809" s="1240"/>
      <c r="AM809" s="1240"/>
      <c r="AN809" s="1240"/>
      <c r="AO809" s="1240"/>
      <c r="AP809" s="1240"/>
    </row>
    <row r="810" spans="1:42" ht="18.75" customHeight="1" x14ac:dyDescent="0.35">
      <c r="A810" s="1240"/>
      <c r="B810" s="1240"/>
      <c r="C810" s="1240"/>
      <c r="D810" s="1240"/>
      <c r="E810" s="1240"/>
      <c r="F810" s="1240"/>
      <c r="G810" s="1240"/>
      <c r="H810" s="1240"/>
      <c r="I810" s="1240"/>
      <c r="J810" s="1240"/>
      <c r="K810" s="1240"/>
      <c r="L810" s="1240"/>
      <c r="M810" s="1240"/>
      <c r="N810" s="1240"/>
      <c r="O810" s="1240"/>
      <c r="P810" s="1247">
        <f t="shared" ref="P810:P873" si="94">P809+1</f>
        <v>784</v>
      </c>
      <c r="Q810" s="1253" t="e">
        <f t="shared" ca="1" si="93"/>
        <v>#N/A</v>
      </c>
      <c r="R810" s="1247" t="str">
        <f>IFERROR(VLOOKUP(P810,RPCRepaymentDates[],1,FALSE),"")</f>
        <v/>
      </c>
      <c r="S810" s="1259">
        <f t="shared" si="89"/>
        <v>0</v>
      </c>
      <c r="T810" s="1247" t="str">
        <f>IFERROR(VLOOKUP(P810,RPCChargeCycleDates[],1,FALSE),"")</f>
        <v/>
      </c>
      <c r="U810" s="1248" t="str">
        <f>IFERROR(_xlfn.DAYS(T810,$Q$16)-SUM(U$26:U809),"")</f>
        <v/>
      </c>
      <c r="V810" s="1258">
        <f t="shared" ca="1" si="90"/>
        <v>0</v>
      </c>
      <c r="W810" s="1258">
        <f t="shared" ca="1" si="91"/>
        <v>0</v>
      </c>
      <c r="X810" s="1258" t="e">
        <f t="shared" ca="1" si="92"/>
        <v>#N/A</v>
      </c>
      <c r="Y810" s="1240"/>
      <c r="Z810" s="1240"/>
      <c r="AA810" s="1240"/>
      <c r="AB810" s="1240"/>
      <c r="AC810" s="1254" t="e">
        <f t="shared" si="88"/>
        <v>#NUM!</v>
      </c>
      <c r="AD810" s="1240"/>
      <c r="AE810" s="1240"/>
      <c r="AF810" s="1240"/>
      <c r="AG810" s="1240"/>
      <c r="AH810" s="1240"/>
      <c r="AI810" s="1240"/>
      <c r="AJ810" s="1240"/>
      <c r="AK810" s="1240"/>
      <c r="AL810" s="1240"/>
      <c r="AM810" s="1240"/>
      <c r="AN810" s="1240"/>
      <c r="AO810" s="1240"/>
      <c r="AP810" s="1240"/>
    </row>
    <row r="811" spans="1:42" ht="18.75" customHeight="1" x14ac:dyDescent="0.35">
      <c r="A811" s="1240"/>
      <c r="B811" s="1240"/>
      <c r="C811" s="1240"/>
      <c r="D811" s="1240"/>
      <c r="E811" s="1240"/>
      <c r="F811" s="1240"/>
      <c r="G811" s="1240"/>
      <c r="H811" s="1240"/>
      <c r="I811" s="1240"/>
      <c r="J811" s="1240"/>
      <c r="K811" s="1240"/>
      <c r="L811" s="1240"/>
      <c r="M811" s="1240"/>
      <c r="N811" s="1240"/>
      <c r="O811" s="1240"/>
      <c r="P811" s="1247">
        <f t="shared" si="94"/>
        <v>785</v>
      </c>
      <c r="Q811" s="1253" t="e">
        <f t="shared" ca="1" si="93"/>
        <v>#N/A</v>
      </c>
      <c r="R811" s="1247" t="str">
        <f>IFERROR(VLOOKUP(P811,RPCRepaymentDates[],1,FALSE),"")</f>
        <v/>
      </c>
      <c r="S811" s="1259">
        <f t="shared" si="89"/>
        <v>0</v>
      </c>
      <c r="T811" s="1247" t="str">
        <f>IFERROR(VLOOKUP(P811,RPCChargeCycleDates[],1,FALSE),"")</f>
        <v/>
      </c>
      <c r="U811" s="1248" t="str">
        <f>IFERROR(_xlfn.DAYS(T811,$Q$16)-SUM(U$26:U810),"")</f>
        <v/>
      </c>
      <c r="V811" s="1258">
        <f t="shared" ca="1" si="90"/>
        <v>0</v>
      </c>
      <c r="W811" s="1258">
        <f t="shared" ca="1" si="91"/>
        <v>0</v>
      </c>
      <c r="X811" s="1258" t="e">
        <f t="shared" ca="1" si="92"/>
        <v>#N/A</v>
      </c>
      <c r="Y811" s="1240"/>
      <c r="Z811" s="1240"/>
      <c r="AA811" s="1240"/>
      <c r="AB811" s="1240"/>
      <c r="AC811" s="1254" t="e">
        <f t="shared" si="88"/>
        <v>#NUM!</v>
      </c>
      <c r="AD811" s="1240"/>
      <c r="AE811" s="1240"/>
      <c r="AF811" s="1240"/>
      <c r="AG811" s="1240"/>
      <c r="AH811" s="1240"/>
      <c r="AI811" s="1240"/>
      <c r="AJ811" s="1240"/>
      <c r="AK811" s="1240"/>
      <c r="AL811" s="1240"/>
      <c r="AM811" s="1240"/>
      <c r="AN811" s="1240"/>
      <c r="AO811" s="1240"/>
      <c r="AP811" s="1240"/>
    </row>
    <row r="812" spans="1:42" ht="18.75" customHeight="1" x14ac:dyDescent="0.35">
      <c r="A812" s="1240"/>
      <c r="B812" s="1240"/>
      <c r="C812" s="1240"/>
      <c r="D812" s="1240"/>
      <c r="E812" s="1240"/>
      <c r="F812" s="1240"/>
      <c r="G812" s="1240"/>
      <c r="H812" s="1240"/>
      <c r="I812" s="1240"/>
      <c r="J812" s="1240"/>
      <c r="K812" s="1240"/>
      <c r="L812" s="1240"/>
      <c r="M812" s="1240"/>
      <c r="N812" s="1240"/>
      <c r="O812" s="1240"/>
      <c r="P812" s="1247">
        <f t="shared" si="94"/>
        <v>786</v>
      </c>
      <c r="Q812" s="1253" t="e">
        <f t="shared" ca="1" si="93"/>
        <v>#N/A</v>
      </c>
      <c r="R812" s="1247" t="str">
        <f>IFERROR(VLOOKUP(P812,RPCRepaymentDates[],1,FALSE),"")</f>
        <v/>
      </c>
      <c r="S812" s="1259">
        <f t="shared" si="89"/>
        <v>0</v>
      </c>
      <c r="T812" s="1247" t="str">
        <f>IFERROR(VLOOKUP(P812,RPCChargeCycleDates[],1,FALSE),"")</f>
        <v/>
      </c>
      <c r="U812" s="1248" t="str">
        <f>IFERROR(_xlfn.DAYS(T812,$Q$16)-SUM(U$26:U811),"")</f>
        <v/>
      </c>
      <c r="V812" s="1258">
        <f t="shared" ca="1" si="90"/>
        <v>0</v>
      </c>
      <c r="W812" s="1258">
        <f t="shared" ca="1" si="91"/>
        <v>0</v>
      </c>
      <c r="X812" s="1258" t="e">
        <f t="shared" ca="1" si="92"/>
        <v>#N/A</v>
      </c>
      <c r="Y812" s="1240"/>
      <c r="Z812" s="1240"/>
      <c r="AA812" s="1240"/>
      <c r="AB812" s="1240"/>
      <c r="AC812" s="1254" t="e">
        <f t="shared" si="88"/>
        <v>#NUM!</v>
      </c>
      <c r="AD812" s="1240"/>
      <c r="AE812" s="1240"/>
      <c r="AF812" s="1240"/>
      <c r="AG812" s="1240"/>
      <c r="AH812" s="1240"/>
      <c r="AI812" s="1240"/>
      <c r="AJ812" s="1240"/>
      <c r="AK812" s="1240"/>
      <c r="AL812" s="1240"/>
      <c r="AM812" s="1240"/>
      <c r="AN812" s="1240"/>
      <c r="AO812" s="1240"/>
      <c r="AP812" s="1240"/>
    </row>
    <row r="813" spans="1:42" ht="18.75" customHeight="1" x14ac:dyDescent="0.35">
      <c r="A813" s="1240"/>
      <c r="B813" s="1240"/>
      <c r="C813" s="1240"/>
      <c r="D813" s="1240"/>
      <c r="E813" s="1240"/>
      <c r="F813" s="1240"/>
      <c r="G813" s="1240"/>
      <c r="H813" s="1240"/>
      <c r="I813" s="1240"/>
      <c r="J813" s="1240"/>
      <c r="K813" s="1240"/>
      <c r="L813" s="1240"/>
      <c r="M813" s="1240"/>
      <c r="N813" s="1240"/>
      <c r="O813" s="1240"/>
      <c r="P813" s="1247">
        <f t="shared" si="94"/>
        <v>787</v>
      </c>
      <c r="Q813" s="1253" t="e">
        <f t="shared" ca="1" si="93"/>
        <v>#N/A</v>
      </c>
      <c r="R813" s="1247" t="str">
        <f>IFERROR(VLOOKUP(P813,RPCRepaymentDates[],1,FALSE),"")</f>
        <v/>
      </c>
      <c r="S813" s="1259">
        <f t="shared" si="89"/>
        <v>0</v>
      </c>
      <c r="T813" s="1247" t="str">
        <f>IFERROR(VLOOKUP(P813,RPCChargeCycleDates[],1,FALSE),"")</f>
        <v/>
      </c>
      <c r="U813" s="1248" t="str">
        <f>IFERROR(_xlfn.DAYS(T813,$Q$16)-SUM(U$26:U812),"")</f>
        <v/>
      </c>
      <c r="V813" s="1258">
        <f t="shared" ca="1" si="90"/>
        <v>0</v>
      </c>
      <c r="W813" s="1258">
        <f t="shared" ca="1" si="91"/>
        <v>0</v>
      </c>
      <c r="X813" s="1258" t="e">
        <f t="shared" ca="1" si="92"/>
        <v>#N/A</v>
      </c>
      <c r="Y813" s="1240"/>
      <c r="Z813" s="1240"/>
      <c r="AA813" s="1240"/>
      <c r="AB813" s="1240"/>
      <c r="AC813" s="1254" t="e">
        <f t="shared" si="88"/>
        <v>#NUM!</v>
      </c>
      <c r="AD813" s="1240"/>
      <c r="AE813" s="1240"/>
      <c r="AF813" s="1240"/>
      <c r="AG813" s="1240"/>
      <c r="AH813" s="1240"/>
      <c r="AI813" s="1240"/>
      <c r="AJ813" s="1240"/>
      <c r="AK813" s="1240"/>
      <c r="AL813" s="1240"/>
      <c r="AM813" s="1240"/>
      <c r="AN813" s="1240"/>
      <c r="AO813" s="1240"/>
      <c r="AP813" s="1240"/>
    </row>
    <row r="814" spans="1:42" ht="18.75" customHeight="1" x14ac:dyDescent="0.35">
      <c r="A814" s="1240"/>
      <c r="B814" s="1240"/>
      <c r="C814" s="1240"/>
      <c r="D814" s="1240"/>
      <c r="E814" s="1240"/>
      <c r="F814" s="1240"/>
      <c r="G814" s="1240"/>
      <c r="H814" s="1240"/>
      <c r="I814" s="1240"/>
      <c r="J814" s="1240"/>
      <c r="K814" s="1240"/>
      <c r="L814" s="1240"/>
      <c r="M814" s="1240"/>
      <c r="N814" s="1240"/>
      <c r="O814" s="1240"/>
      <c r="P814" s="1247">
        <f t="shared" si="94"/>
        <v>788</v>
      </c>
      <c r="Q814" s="1253" t="e">
        <f t="shared" ca="1" si="93"/>
        <v>#N/A</v>
      </c>
      <c r="R814" s="1247" t="str">
        <f>IFERROR(VLOOKUP(P814,RPCRepaymentDates[],1,FALSE),"")</f>
        <v/>
      </c>
      <c r="S814" s="1259">
        <f t="shared" si="89"/>
        <v>0</v>
      </c>
      <c r="T814" s="1247" t="str">
        <f>IFERROR(VLOOKUP(P814,RPCChargeCycleDates[],1,FALSE),"")</f>
        <v/>
      </c>
      <c r="U814" s="1248" t="str">
        <f>IFERROR(_xlfn.DAYS(T814,$Q$16)-SUM(U$26:U813),"")</f>
        <v/>
      </c>
      <c r="V814" s="1258">
        <f t="shared" ca="1" si="90"/>
        <v>0</v>
      </c>
      <c r="W814" s="1258">
        <f t="shared" ca="1" si="91"/>
        <v>0</v>
      </c>
      <c r="X814" s="1258" t="e">
        <f t="shared" ca="1" si="92"/>
        <v>#N/A</v>
      </c>
      <c r="Y814" s="1240"/>
      <c r="Z814" s="1240"/>
      <c r="AA814" s="1240"/>
      <c r="AB814" s="1240"/>
      <c r="AC814" s="1254" t="e">
        <f t="shared" si="88"/>
        <v>#NUM!</v>
      </c>
      <c r="AD814" s="1240"/>
      <c r="AE814" s="1240"/>
      <c r="AF814" s="1240"/>
      <c r="AG814" s="1240"/>
      <c r="AH814" s="1240"/>
      <c r="AI814" s="1240"/>
      <c r="AJ814" s="1240"/>
      <c r="AK814" s="1240"/>
      <c r="AL814" s="1240"/>
      <c r="AM814" s="1240"/>
      <c r="AN814" s="1240"/>
      <c r="AO814" s="1240"/>
      <c r="AP814" s="1240"/>
    </row>
    <row r="815" spans="1:42" ht="18.75" customHeight="1" x14ac:dyDescent="0.35">
      <c r="A815" s="1240"/>
      <c r="B815" s="1240"/>
      <c r="C815" s="1240"/>
      <c r="D815" s="1240"/>
      <c r="E815" s="1240"/>
      <c r="F815" s="1240"/>
      <c r="G815" s="1240"/>
      <c r="H815" s="1240"/>
      <c r="I815" s="1240"/>
      <c r="J815" s="1240"/>
      <c r="K815" s="1240"/>
      <c r="L815" s="1240"/>
      <c r="M815" s="1240"/>
      <c r="N815" s="1240"/>
      <c r="O815" s="1240"/>
      <c r="P815" s="1247">
        <f t="shared" si="94"/>
        <v>789</v>
      </c>
      <c r="Q815" s="1253" t="e">
        <f t="shared" ca="1" si="93"/>
        <v>#N/A</v>
      </c>
      <c r="R815" s="1247" t="str">
        <f>IFERROR(VLOOKUP(P815,RPCRepaymentDates[],1,FALSE),"")</f>
        <v/>
      </c>
      <c r="S815" s="1259">
        <f t="shared" si="89"/>
        <v>0</v>
      </c>
      <c r="T815" s="1247" t="str">
        <f>IFERROR(VLOOKUP(P815,RPCChargeCycleDates[],1,FALSE),"")</f>
        <v/>
      </c>
      <c r="U815" s="1248" t="str">
        <f>IFERROR(_xlfn.DAYS(T815,$Q$16)-SUM(U$26:U814),"")</f>
        <v/>
      </c>
      <c r="V815" s="1258">
        <f t="shared" ca="1" si="90"/>
        <v>0</v>
      </c>
      <c r="W815" s="1258">
        <f t="shared" ca="1" si="91"/>
        <v>0</v>
      </c>
      <c r="X815" s="1258" t="e">
        <f t="shared" ca="1" si="92"/>
        <v>#N/A</v>
      </c>
      <c r="Y815" s="1240"/>
      <c r="Z815" s="1240"/>
      <c r="AA815" s="1240"/>
      <c r="AB815" s="1240"/>
      <c r="AC815" s="1254" t="e">
        <f t="shared" si="88"/>
        <v>#NUM!</v>
      </c>
      <c r="AD815" s="1240"/>
      <c r="AE815" s="1240"/>
      <c r="AF815" s="1240"/>
      <c r="AG815" s="1240"/>
      <c r="AH815" s="1240"/>
      <c r="AI815" s="1240"/>
      <c r="AJ815" s="1240"/>
      <c r="AK815" s="1240"/>
      <c r="AL815" s="1240"/>
      <c r="AM815" s="1240"/>
      <c r="AN815" s="1240"/>
      <c r="AO815" s="1240"/>
      <c r="AP815" s="1240"/>
    </row>
    <row r="816" spans="1:42" ht="18.75" customHeight="1" x14ac:dyDescent="0.35">
      <c r="A816" s="1240"/>
      <c r="B816" s="1240"/>
      <c r="C816" s="1240"/>
      <c r="D816" s="1240"/>
      <c r="E816" s="1240"/>
      <c r="F816" s="1240"/>
      <c r="G816" s="1240"/>
      <c r="H816" s="1240"/>
      <c r="I816" s="1240"/>
      <c r="J816" s="1240"/>
      <c r="K816" s="1240"/>
      <c r="L816" s="1240"/>
      <c r="M816" s="1240"/>
      <c r="N816" s="1240"/>
      <c r="O816" s="1240"/>
      <c r="P816" s="1247">
        <f t="shared" si="94"/>
        <v>790</v>
      </c>
      <c r="Q816" s="1253" t="e">
        <f t="shared" ca="1" si="93"/>
        <v>#N/A</v>
      </c>
      <c r="R816" s="1247" t="str">
        <f>IFERROR(VLOOKUP(P816,RPCRepaymentDates[],1,FALSE),"")</f>
        <v/>
      </c>
      <c r="S816" s="1259">
        <f t="shared" si="89"/>
        <v>0</v>
      </c>
      <c r="T816" s="1247">
        <f>IFERROR(VLOOKUP(P816,RPCChargeCycleDates[],1,FALSE),"")</f>
        <v>790</v>
      </c>
      <c r="U816" s="1248">
        <f>IFERROR(_xlfn.DAYS(T816,$Q$16)-SUM(U$26:U815),"")</f>
        <v>31</v>
      </c>
      <c r="V816" s="1258">
        <f t="shared" ca="1" si="90"/>
        <v>0</v>
      </c>
      <c r="W816" s="1258">
        <f t="shared" ca="1" si="91"/>
        <v>0</v>
      </c>
      <c r="X816" s="1258" t="e">
        <f t="shared" ca="1" si="92"/>
        <v>#N/A</v>
      </c>
      <c r="Y816" s="1240"/>
      <c r="Z816" s="1240"/>
      <c r="AA816" s="1240"/>
      <c r="AB816" s="1240"/>
      <c r="AC816" s="1254" t="e">
        <f t="shared" si="88"/>
        <v>#NUM!</v>
      </c>
      <c r="AD816" s="1240"/>
      <c r="AE816" s="1240"/>
      <c r="AF816" s="1240"/>
      <c r="AG816" s="1240"/>
      <c r="AH816" s="1240"/>
      <c r="AI816" s="1240"/>
      <c r="AJ816" s="1240"/>
      <c r="AK816" s="1240"/>
      <c r="AL816" s="1240"/>
      <c r="AM816" s="1240"/>
      <c r="AN816" s="1240"/>
      <c r="AO816" s="1240"/>
      <c r="AP816" s="1240"/>
    </row>
    <row r="817" spans="1:42" ht="18.75" customHeight="1" x14ac:dyDescent="0.35">
      <c r="A817" s="1240"/>
      <c r="B817" s="1240"/>
      <c r="C817" s="1240"/>
      <c r="D817" s="1240"/>
      <c r="E817" s="1240"/>
      <c r="F817" s="1240"/>
      <c r="G817" s="1240"/>
      <c r="H817" s="1240"/>
      <c r="I817" s="1240"/>
      <c r="J817" s="1240"/>
      <c r="K817" s="1240"/>
      <c r="L817" s="1240"/>
      <c r="M817" s="1240"/>
      <c r="N817" s="1240"/>
      <c r="O817" s="1240"/>
      <c r="P817" s="1247">
        <f t="shared" si="94"/>
        <v>791</v>
      </c>
      <c r="Q817" s="1253" t="e">
        <f t="shared" ca="1" si="93"/>
        <v>#N/A</v>
      </c>
      <c r="R817" s="1247" t="str">
        <f>IFERROR(VLOOKUP(P817,RPCRepaymentDates[],1,FALSE),"")</f>
        <v/>
      </c>
      <c r="S817" s="1259">
        <f t="shared" si="89"/>
        <v>0</v>
      </c>
      <c r="T817" s="1247" t="str">
        <f>IFERROR(VLOOKUP(P817,RPCChargeCycleDates[],1,FALSE),"")</f>
        <v/>
      </c>
      <c r="U817" s="1248" t="str">
        <f>IFERROR(_xlfn.DAYS(T817,$Q$16)-SUM(U$26:U816),"")</f>
        <v/>
      </c>
      <c r="V817" s="1258">
        <f t="shared" ca="1" si="90"/>
        <v>0</v>
      </c>
      <c r="W817" s="1258">
        <f t="shared" ca="1" si="91"/>
        <v>0</v>
      </c>
      <c r="X817" s="1258" t="e">
        <f t="shared" ca="1" si="92"/>
        <v>#N/A</v>
      </c>
      <c r="Y817" s="1240"/>
      <c r="Z817" s="1240"/>
      <c r="AA817" s="1240"/>
      <c r="AB817" s="1240"/>
      <c r="AC817" s="1254" t="e">
        <f t="shared" si="88"/>
        <v>#NUM!</v>
      </c>
      <c r="AD817" s="1240"/>
      <c r="AE817" s="1240"/>
      <c r="AF817" s="1240"/>
      <c r="AG817" s="1240"/>
      <c r="AH817" s="1240"/>
      <c r="AI817" s="1240"/>
      <c r="AJ817" s="1240"/>
      <c r="AK817" s="1240"/>
      <c r="AL817" s="1240"/>
      <c r="AM817" s="1240"/>
      <c r="AN817" s="1240"/>
      <c r="AO817" s="1240"/>
      <c r="AP817" s="1240"/>
    </row>
    <row r="818" spans="1:42" ht="18.75" customHeight="1" x14ac:dyDescent="0.35">
      <c r="A818" s="1240"/>
      <c r="B818" s="1240"/>
      <c r="C818" s="1240"/>
      <c r="D818" s="1240"/>
      <c r="E818" s="1240"/>
      <c r="F818" s="1240"/>
      <c r="G818" s="1240"/>
      <c r="H818" s="1240"/>
      <c r="I818" s="1240"/>
      <c r="J818" s="1240"/>
      <c r="K818" s="1240"/>
      <c r="L818" s="1240"/>
      <c r="M818" s="1240"/>
      <c r="N818" s="1240"/>
      <c r="O818" s="1240"/>
      <c r="P818" s="1247">
        <f t="shared" si="94"/>
        <v>792</v>
      </c>
      <c r="Q818" s="1253" t="e">
        <f t="shared" ca="1" si="93"/>
        <v>#N/A</v>
      </c>
      <c r="R818" s="1247" t="str">
        <f>IFERROR(VLOOKUP(P818,RPCRepaymentDates[],1,FALSE),"")</f>
        <v/>
      </c>
      <c r="S818" s="1259">
        <f t="shared" si="89"/>
        <v>0</v>
      </c>
      <c r="T818" s="1247" t="str">
        <f>IFERROR(VLOOKUP(P818,RPCChargeCycleDates[],1,FALSE),"")</f>
        <v/>
      </c>
      <c r="U818" s="1248" t="str">
        <f>IFERROR(_xlfn.DAYS(T818,$Q$16)-SUM(U$26:U817),"")</f>
        <v/>
      </c>
      <c r="V818" s="1258">
        <f t="shared" ca="1" si="90"/>
        <v>0</v>
      </c>
      <c r="W818" s="1258">
        <f t="shared" ca="1" si="91"/>
        <v>0</v>
      </c>
      <c r="X818" s="1258" t="e">
        <f t="shared" ca="1" si="92"/>
        <v>#N/A</v>
      </c>
      <c r="Y818" s="1240"/>
      <c r="Z818" s="1240"/>
      <c r="AA818" s="1240"/>
      <c r="AB818" s="1240"/>
      <c r="AC818" s="1254" t="e">
        <f t="shared" si="88"/>
        <v>#NUM!</v>
      </c>
      <c r="AD818" s="1240"/>
      <c r="AE818" s="1240"/>
      <c r="AF818" s="1240"/>
      <c r="AG818" s="1240"/>
      <c r="AH818" s="1240"/>
      <c r="AI818" s="1240"/>
      <c r="AJ818" s="1240"/>
      <c r="AK818" s="1240"/>
      <c r="AL818" s="1240"/>
      <c r="AM818" s="1240"/>
      <c r="AN818" s="1240"/>
      <c r="AO818" s="1240"/>
      <c r="AP818" s="1240"/>
    </row>
    <row r="819" spans="1:42" ht="18.75" customHeight="1" x14ac:dyDescent="0.35">
      <c r="A819" s="1240"/>
      <c r="B819" s="1240"/>
      <c r="C819" s="1240"/>
      <c r="D819" s="1240"/>
      <c r="E819" s="1240"/>
      <c r="F819" s="1240"/>
      <c r="G819" s="1240"/>
      <c r="H819" s="1240"/>
      <c r="I819" s="1240"/>
      <c r="J819" s="1240"/>
      <c r="K819" s="1240"/>
      <c r="L819" s="1240"/>
      <c r="M819" s="1240"/>
      <c r="N819" s="1240"/>
      <c r="O819" s="1240"/>
      <c r="P819" s="1247">
        <f t="shared" si="94"/>
        <v>793</v>
      </c>
      <c r="Q819" s="1253" t="e">
        <f t="shared" ca="1" si="93"/>
        <v>#N/A</v>
      </c>
      <c r="R819" s="1247" t="str">
        <f>IFERROR(VLOOKUP(P819,RPCRepaymentDates[],1,FALSE),"")</f>
        <v/>
      </c>
      <c r="S819" s="1259">
        <f t="shared" si="89"/>
        <v>0</v>
      </c>
      <c r="T819" s="1247" t="str">
        <f>IFERROR(VLOOKUP(P819,RPCChargeCycleDates[],1,FALSE),"")</f>
        <v/>
      </c>
      <c r="U819" s="1248" t="str">
        <f>IFERROR(_xlfn.DAYS(T819,$Q$16)-SUM(U$26:U818),"")</f>
        <v/>
      </c>
      <c r="V819" s="1258">
        <f t="shared" ca="1" si="90"/>
        <v>0</v>
      </c>
      <c r="W819" s="1258">
        <f t="shared" ca="1" si="91"/>
        <v>0</v>
      </c>
      <c r="X819" s="1258" t="e">
        <f t="shared" ca="1" si="92"/>
        <v>#N/A</v>
      </c>
      <c r="Y819" s="1240"/>
      <c r="Z819" s="1240"/>
      <c r="AA819" s="1240"/>
      <c r="AB819" s="1240"/>
      <c r="AC819" s="1254" t="e">
        <f t="shared" si="88"/>
        <v>#NUM!</v>
      </c>
      <c r="AD819" s="1240"/>
      <c r="AE819" s="1240"/>
      <c r="AF819" s="1240"/>
      <c r="AG819" s="1240"/>
      <c r="AH819" s="1240"/>
      <c r="AI819" s="1240"/>
      <c r="AJ819" s="1240"/>
      <c r="AK819" s="1240"/>
      <c r="AL819" s="1240"/>
      <c r="AM819" s="1240"/>
      <c r="AN819" s="1240"/>
      <c r="AO819" s="1240"/>
      <c r="AP819" s="1240"/>
    </row>
    <row r="820" spans="1:42" ht="18.75" customHeight="1" x14ac:dyDescent="0.35">
      <c r="A820" s="1240"/>
      <c r="B820" s="1240"/>
      <c r="C820" s="1240"/>
      <c r="D820" s="1240"/>
      <c r="E820" s="1240"/>
      <c r="F820" s="1240"/>
      <c r="G820" s="1240"/>
      <c r="H820" s="1240"/>
      <c r="I820" s="1240"/>
      <c r="J820" s="1240"/>
      <c r="K820" s="1240"/>
      <c r="L820" s="1240"/>
      <c r="M820" s="1240"/>
      <c r="N820" s="1240"/>
      <c r="O820" s="1240"/>
      <c r="P820" s="1247">
        <f t="shared" si="94"/>
        <v>794</v>
      </c>
      <c r="Q820" s="1253" t="e">
        <f t="shared" ca="1" si="93"/>
        <v>#N/A</v>
      </c>
      <c r="R820" s="1247" t="str">
        <f>IFERROR(VLOOKUP(P820,RPCRepaymentDates[],1,FALSE),"")</f>
        <v/>
      </c>
      <c r="S820" s="1259">
        <f t="shared" si="89"/>
        <v>0</v>
      </c>
      <c r="T820" s="1247" t="str">
        <f>IFERROR(VLOOKUP(P820,RPCChargeCycleDates[],1,FALSE),"")</f>
        <v/>
      </c>
      <c r="U820" s="1248" t="str">
        <f>IFERROR(_xlfn.DAYS(T820,$Q$16)-SUM(U$26:U819),"")</f>
        <v/>
      </c>
      <c r="V820" s="1258">
        <f t="shared" ca="1" si="90"/>
        <v>0</v>
      </c>
      <c r="W820" s="1258">
        <f t="shared" ca="1" si="91"/>
        <v>0</v>
      </c>
      <c r="X820" s="1258" t="e">
        <f t="shared" ca="1" si="92"/>
        <v>#N/A</v>
      </c>
      <c r="Y820" s="1240"/>
      <c r="Z820" s="1240"/>
      <c r="AA820" s="1240"/>
      <c r="AB820" s="1240"/>
      <c r="AC820" s="1254" t="e">
        <f t="shared" si="88"/>
        <v>#NUM!</v>
      </c>
      <c r="AD820" s="1240"/>
      <c r="AE820" s="1240"/>
      <c r="AF820" s="1240"/>
      <c r="AG820" s="1240"/>
      <c r="AH820" s="1240"/>
      <c r="AI820" s="1240"/>
      <c r="AJ820" s="1240"/>
      <c r="AK820" s="1240"/>
      <c r="AL820" s="1240"/>
      <c r="AM820" s="1240"/>
      <c r="AN820" s="1240"/>
      <c r="AO820" s="1240"/>
      <c r="AP820" s="1240"/>
    </row>
    <row r="821" spans="1:42" ht="18.75" customHeight="1" x14ac:dyDescent="0.35">
      <c r="A821" s="1240"/>
      <c r="B821" s="1240"/>
      <c r="C821" s="1240"/>
      <c r="D821" s="1240"/>
      <c r="E821" s="1240"/>
      <c r="F821" s="1240"/>
      <c r="G821" s="1240"/>
      <c r="H821" s="1240"/>
      <c r="I821" s="1240"/>
      <c r="J821" s="1240"/>
      <c r="K821" s="1240"/>
      <c r="L821" s="1240"/>
      <c r="M821" s="1240"/>
      <c r="N821" s="1240"/>
      <c r="O821" s="1240"/>
      <c r="P821" s="1247">
        <f t="shared" si="94"/>
        <v>795</v>
      </c>
      <c r="Q821" s="1253" t="e">
        <f t="shared" ca="1" si="93"/>
        <v>#N/A</v>
      </c>
      <c r="R821" s="1247" t="str">
        <f>IFERROR(VLOOKUP(P821,RPCRepaymentDates[],1,FALSE),"")</f>
        <v/>
      </c>
      <c r="S821" s="1259">
        <f t="shared" si="89"/>
        <v>0</v>
      </c>
      <c r="T821" s="1247" t="str">
        <f>IFERROR(VLOOKUP(P821,RPCChargeCycleDates[],1,FALSE),"")</f>
        <v/>
      </c>
      <c r="U821" s="1248" t="str">
        <f>IFERROR(_xlfn.DAYS(T821,$Q$16)-SUM(U$26:U820),"")</f>
        <v/>
      </c>
      <c r="V821" s="1258">
        <f t="shared" ca="1" si="90"/>
        <v>0</v>
      </c>
      <c r="W821" s="1258">
        <f t="shared" ca="1" si="91"/>
        <v>0</v>
      </c>
      <c r="X821" s="1258" t="e">
        <f t="shared" ca="1" si="92"/>
        <v>#N/A</v>
      </c>
      <c r="Y821" s="1240"/>
      <c r="Z821" s="1240"/>
      <c r="AA821" s="1240"/>
      <c r="AB821" s="1240"/>
      <c r="AC821" s="1254" t="e">
        <f t="shared" si="88"/>
        <v>#NUM!</v>
      </c>
      <c r="AD821" s="1240"/>
      <c r="AE821" s="1240"/>
      <c r="AF821" s="1240"/>
      <c r="AG821" s="1240"/>
      <c r="AH821" s="1240"/>
      <c r="AI821" s="1240"/>
      <c r="AJ821" s="1240"/>
      <c r="AK821" s="1240"/>
      <c r="AL821" s="1240"/>
      <c r="AM821" s="1240"/>
      <c r="AN821" s="1240"/>
      <c r="AO821" s="1240"/>
      <c r="AP821" s="1240"/>
    </row>
    <row r="822" spans="1:42" ht="18.75" customHeight="1" x14ac:dyDescent="0.35">
      <c r="A822" s="1240"/>
      <c r="B822" s="1240"/>
      <c r="C822" s="1240"/>
      <c r="D822" s="1240"/>
      <c r="E822" s="1240"/>
      <c r="F822" s="1240"/>
      <c r="G822" s="1240"/>
      <c r="H822" s="1240"/>
      <c r="I822" s="1240"/>
      <c r="J822" s="1240"/>
      <c r="K822" s="1240"/>
      <c r="L822" s="1240"/>
      <c r="M822" s="1240"/>
      <c r="N822" s="1240"/>
      <c r="O822" s="1240"/>
      <c r="P822" s="1247">
        <f t="shared" si="94"/>
        <v>796</v>
      </c>
      <c r="Q822" s="1253" t="e">
        <f t="shared" ca="1" si="93"/>
        <v>#N/A</v>
      </c>
      <c r="R822" s="1247" t="str">
        <f>IFERROR(VLOOKUP(P822,RPCRepaymentDates[],1,FALSE),"")</f>
        <v/>
      </c>
      <c r="S822" s="1259">
        <f t="shared" si="89"/>
        <v>0</v>
      </c>
      <c r="T822" s="1247" t="str">
        <f>IFERROR(VLOOKUP(P822,RPCChargeCycleDates[],1,FALSE),"")</f>
        <v/>
      </c>
      <c r="U822" s="1248" t="str">
        <f>IFERROR(_xlfn.DAYS(T822,$Q$16)-SUM(U$26:U821),"")</f>
        <v/>
      </c>
      <c r="V822" s="1258">
        <f t="shared" ca="1" si="90"/>
        <v>0</v>
      </c>
      <c r="W822" s="1258">
        <f t="shared" ca="1" si="91"/>
        <v>0</v>
      </c>
      <c r="X822" s="1258" t="e">
        <f t="shared" ca="1" si="92"/>
        <v>#N/A</v>
      </c>
      <c r="Y822" s="1240"/>
      <c r="Z822" s="1240"/>
      <c r="AA822" s="1240"/>
      <c r="AB822" s="1240"/>
      <c r="AC822" s="1254" t="e">
        <f t="shared" si="88"/>
        <v>#NUM!</v>
      </c>
      <c r="AD822" s="1240"/>
      <c r="AE822" s="1240"/>
      <c r="AF822" s="1240"/>
      <c r="AG822" s="1240"/>
      <c r="AH822" s="1240"/>
      <c r="AI822" s="1240"/>
      <c r="AJ822" s="1240"/>
      <c r="AK822" s="1240"/>
      <c r="AL822" s="1240"/>
      <c r="AM822" s="1240"/>
      <c r="AN822" s="1240"/>
      <c r="AO822" s="1240"/>
      <c r="AP822" s="1240"/>
    </row>
    <row r="823" spans="1:42" ht="18.75" customHeight="1" x14ac:dyDescent="0.35">
      <c r="A823" s="1240"/>
      <c r="B823" s="1240"/>
      <c r="C823" s="1240"/>
      <c r="D823" s="1240"/>
      <c r="E823" s="1240"/>
      <c r="F823" s="1240"/>
      <c r="G823" s="1240"/>
      <c r="H823" s="1240"/>
      <c r="I823" s="1240"/>
      <c r="J823" s="1240"/>
      <c r="K823" s="1240"/>
      <c r="L823" s="1240"/>
      <c r="M823" s="1240"/>
      <c r="N823" s="1240"/>
      <c r="O823" s="1240"/>
      <c r="P823" s="1247">
        <f t="shared" si="94"/>
        <v>797</v>
      </c>
      <c r="Q823" s="1253" t="e">
        <f t="shared" ca="1" si="93"/>
        <v>#N/A</v>
      </c>
      <c r="R823" s="1247" t="str">
        <f>IFERROR(VLOOKUP(P823,RPCRepaymentDates[],1,FALSE),"")</f>
        <v/>
      </c>
      <c r="S823" s="1259">
        <f t="shared" si="89"/>
        <v>0</v>
      </c>
      <c r="T823" s="1247" t="str">
        <f>IFERROR(VLOOKUP(P823,RPCChargeCycleDates[],1,FALSE),"")</f>
        <v/>
      </c>
      <c r="U823" s="1248" t="str">
        <f>IFERROR(_xlfn.DAYS(T823,$Q$16)-SUM(U$26:U822),"")</f>
        <v/>
      </c>
      <c r="V823" s="1258">
        <f t="shared" ca="1" si="90"/>
        <v>0</v>
      </c>
      <c r="W823" s="1258">
        <f t="shared" ca="1" si="91"/>
        <v>0</v>
      </c>
      <c r="X823" s="1258" t="e">
        <f t="shared" ca="1" si="92"/>
        <v>#N/A</v>
      </c>
      <c r="Y823" s="1240"/>
      <c r="Z823" s="1240"/>
      <c r="AA823" s="1240"/>
      <c r="AB823" s="1240"/>
      <c r="AC823" s="1254" t="e">
        <f t="shared" si="88"/>
        <v>#NUM!</v>
      </c>
      <c r="AD823" s="1240"/>
      <c r="AE823" s="1240"/>
      <c r="AF823" s="1240"/>
      <c r="AG823" s="1240"/>
      <c r="AH823" s="1240"/>
      <c r="AI823" s="1240"/>
      <c r="AJ823" s="1240"/>
      <c r="AK823" s="1240"/>
      <c r="AL823" s="1240"/>
      <c r="AM823" s="1240"/>
      <c r="AN823" s="1240"/>
      <c r="AO823" s="1240"/>
      <c r="AP823" s="1240"/>
    </row>
    <row r="824" spans="1:42" ht="18.75" customHeight="1" x14ac:dyDescent="0.35">
      <c r="A824" s="1240"/>
      <c r="B824" s="1240"/>
      <c r="C824" s="1240"/>
      <c r="D824" s="1240"/>
      <c r="E824" s="1240"/>
      <c r="F824" s="1240"/>
      <c r="G824" s="1240"/>
      <c r="H824" s="1240"/>
      <c r="I824" s="1240"/>
      <c r="J824" s="1240"/>
      <c r="K824" s="1240"/>
      <c r="L824" s="1240"/>
      <c r="M824" s="1240"/>
      <c r="N824" s="1240"/>
      <c r="O824" s="1240"/>
      <c r="P824" s="1247">
        <f t="shared" si="94"/>
        <v>798</v>
      </c>
      <c r="Q824" s="1253" t="e">
        <f t="shared" ca="1" si="93"/>
        <v>#N/A</v>
      </c>
      <c r="R824" s="1247" t="str">
        <f>IFERROR(VLOOKUP(P824,RPCRepaymentDates[],1,FALSE),"")</f>
        <v/>
      </c>
      <c r="S824" s="1259">
        <f t="shared" si="89"/>
        <v>0</v>
      </c>
      <c r="T824" s="1247" t="str">
        <f>IFERROR(VLOOKUP(P824,RPCChargeCycleDates[],1,FALSE),"")</f>
        <v/>
      </c>
      <c r="U824" s="1248" t="str">
        <f>IFERROR(_xlfn.DAYS(T824,$Q$16)-SUM(U$26:U823),"")</f>
        <v/>
      </c>
      <c r="V824" s="1258">
        <f t="shared" ca="1" si="90"/>
        <v>0</v>
      </c>
      <c r="W824" s="1258">
        <f t="shared" ca="1" si="91"/>
        <v>0</v>
      </c>
      <c r="X824" s="1258" t="e">
        <f t="shared" ca="1" si="92"/>
        <v>#N/A</v>
      </c>
      <c r="Y824" s="1240"/>
      <c r="Z824" s="1240"/>
      <c r="AA824" s="1240"/>
      <c r="AB824" s="1240"/>
      <c r="AC824" s="1254" t="e">
        <f t="shared" si="88"/>
        <v>#NUM!</v>
      </c>
      <c r="AD824" s="1240"/>
      <c r="AE824" s="1240"/>
      <c r="AF824" s="1240"/>
      <c r="AG824" s="1240"/>
      <c r="AH824" s="1240"/>
      <c r="AI824" s="1240"/>
      <c r="AJ824" s="1240"/>
      <c r="AK824" s="1240"/>
      <c r="AL824" s="1240"/>
      <c r="AM824" s="1240"/>
      <c r="AN824" s="1240"/>
      <c r="AO824" s="1240"/>
      <c r="AP824" s="1240"/>
    </row>
    <row r="825" spans="1:42" ht="18.75" customHeight="1" x14ac:dyDescent="0.35">
      <c r="A825" s="1240"/>
      <c r="B825" s="1240"/>
      <c r="C825" s="1240"/>
      <c r="D825" s="1240"/>
      <c r="E825" s="1240"/>
      <c r="F825" s="1240"/>
      <c r="G825" s="1240"/>
      <c r="H825" s="1240"/>
      <c r="I825" s="1240"/>
      <c r="J825" s="1240"/>
      <c r="K825" s="1240"/>
      <c r="L825" s="1240"/>
      <c r="M825" s="1240"/>
      <c r="N825" s="1240"/>
      <c r="O825" s="1240"/>
      <c r="P825" s="1247">
        <f t="shared" si="94"/>
        <v>799</v>
      </c>
      <c r="Q825" s="1253" t="e">
        <f t="shared" ca="1" si="93"/>
        <v>#N/A</v>
      </c>
      <c r="R825" s="1247" t="str">
        <f>IFERROR(VLOOKUP(P825,RPCRepaymentDates[],1,FALSE),"")</f>
        <v/>
      </c>
      <c r="S825" s="1259">
        <f t="shared" si="89"/>
        <v>0</v>
      </c>
      <c r="T825" s="1247" t="str">
        <f>IFERROR(VLOOKUP(P825,RPCChargeCycleDates[],1,FALSE),"")</f>
        <v/>
      </c>
      <c r="U825" s="1248" t="str">
        <f>IFERROR(_xlfn.DAYS(T825,$Q$16)-SUM(U$26:U824),"")</f>
        <v/>
      </c>
      <c r="V825" s="1258">
        <f t="shared" ca="1" si="90"/>
        <v>0</v>
      </c>
      <c r="W825" s="1258">
        <f t="shared" ca="1" si="91"/>
        <v>0</v>
      </c>
      <c r="X825" s="1258" t="e">
        <f t="shared" ca="1" si="92"/>
        <v>#N/A</v>
      </c>
      <c r="Y825" s="1240"/>
      <c r="Z825" s="1240"/>
      <c r="AA825" s="1240"/>
      <c r="AB825" s="1240"/>
      <c r="AC825" s="1254" t="e">
        <f t="shared" si="88"/>
        <v>#NUM!</v>
      </c>
      <c r="AD825" s="1240"/>
      <c r="AE825" s="1240"/>
      <c r="AF825" s="1240"/>
      <c r="AG825" s="1240"/>
      <c r="AH825" s="1240"/>
      <c r="AI825" s="1240"/>
      <c r="AJ825" s="1240"/>
      <c r="AK825" s="1240"/>
      <c r="AL825" s="1240"/>
      <c r="AM825" s="1240"/>
      <c r="AN825" s="1240"/>
      <c r="AO825" s="1240"/>
      <c r="AP825" s="1240"/>
    </row>
    <row r="826" spans="1:42" ht="18.75" customHeight="1" x14ac:dyDescent="0.35">
      <c r="A826" s="1240"/>
      <c r="B826" s="1240"/>
      <c r="C826" s="1240"/>
      <c r="D826" s="1240"/>
      <c r="E826" s="1240"/>
      <c r="F826" s="1240"/>
      <c r="G826" s="1240"/>
      <c r="H826" s="1240"/>
      <c r="I826" s="1240"/>
      <c r="J826" s="1240"/>
      <c r="K826" s="1240"/>
      <c r="L826" s="1240"/>
      <c r="M826" s="1240"/>
      <c r="N826" s="1240"/>
      <c r="O826" s="1240"/>
      <c r="P826" s="1247">
        <f t="shared" si="94"/>
        <v>800</v>
      </c>
      <c r="Q826" s="1253" t="e">
        <f t="shared" ca="1" si="93"/>
        <v>#N/A</v>
      </c>
      <c r="R826" s="1247" t="str">
        <f>IFERROR(VLOOKUP(P826,RPCRepaymentDates[],1,FALSE),"")</f>
        <v/>
      </c>
      <c r="S826" s="1259">
        <f t="shared" si="89"/>
        <v>0</v>
      </c>
      <c r="T826" s="1247" t="str">
        <f>IFERROR(VLOOKUP(P826,RPCChargeCycleDates[],1,FALSE),"")</f>
        <v/>
      </c>
      <c r="U826" s="1248" t="str">
        <f>IFERROR(_xlfn.DAYS(T826,$Q$16)-SUM(U$26:U825),"")</f>
        <v/>
      </c>
      <c r="V826" s="1258">
        <f t="shared" ca="1" si="90"/>
        <v>0</v>
      </c>
      <c r="W826" s="1258">
        <f t="shared" ca="1" si="91"/>
        <v>0</v>
      </c>
      <c r="X826" s="1258" t="e">
        <f t="shared" ca="1" si="92"/>
        <v>#N/A</v>
      </c>
      <c r="Y826" s="1240"/>
      <c r="Z826" s="1240"/>
      <c r="AA826" s="1240"/>
      <c r="AB826" s="1240"/>
      <c r="AC826" s="1240"/>
      <c r="AD826" s="1240"/>
      <c r="AE826" s="1240"/>
      <c r="AF826" s="1240"/>
      <c r="AG826" s="1240"/>
      <c r="AH826" s="1240"/>
      <c r="AI826" s="1240"/>
      <c r="AJ826" s="1240"/>
      <c r="AK826" s="1240"/>
      <c r="AL826" s="1240"/>
      <c r="AM826" s="1240"/>
      <c r="AN826" s="1240"/>
      <c r="AO826" s="1240"/>
      <c r="AP826" s="1240"/>
    </row>
    <row r="827" spans="1:42" ht="18.75" customHeight="1" x14ac:dyDescent="0.35">
      <c r="A827" s="1240"/>
      <c r="B827" s="1240"/>
      <c r="C827" s="1240"/>
      <c r="D827" s="1240"/>
      <c r="E827" s="1240"/>
      <c r="F827" s="1240"/>
      <c r="G827" s="1240"/>
      <c r="H827" s="1240"/>
      <c r="I827" s="1240"/>
      <c r="J827" s="1240"/>
      <c r="K827" s="1240"/>
      <c r="L827" s="1240"/>
      <c r="M827" s="1240"/>
      <c r="N827" s="1240"/>
      <c r="O827" s="1240"/>
      <c r="P827" s="1247">
        <f t="shared" si="94"/>
        <v>801</v>
      </c>
      <c r="Q827" s="1253" t="e">
        <f t="shared" ca="1" si="93"/>
        <v>#N/A</v>
      </c>
      <c r="R827" s="1247" t="str">
        <f>IFERROR(VLOOKUP(P827,RPCRepaymentDates[],1,FALSE),"")</f>
        <v/>
      </c>
      <c r="S827" s="1259">
        <f t="shared" si="89"/>
        <v>0</v>
      </c>
      <c r="T827" s="1247" t="str">
        <f>IFERROR(VLOOKUP(P827,RPCChargeCycleDates[],1,FALSE),"")</f>
        <v/>
      </c>
      <c r="U827" s="1248" t="str">
        <f>IFERROR(_xlfn.DAYS(T827,$Q$16)-SUM(U$26:U826),"")</f>
        <v/>
      </c>
      <c r="V827" s="1258">
        <f t="shared" ca="1" si="90"/>
        <v>0</v>
      </c>
      <c r="W827" s="1258">
        <f t="shared" ca="1" si="91"/>
        <v>0</v>
      </c>
      <c r="X827" s="1258" t="e">
        <f t="shared" ca="1" si="92"/>
        <v>#N/A</v>
      </c>
      <c r="Y827" s="1240"/>
      <c r="Z827" s="1240"/>
      <c r="AA827" s="1240"/>
      <c r="AB827" s="1240"/>
      <c r="AC827" s="1240"/>
      <c r="AD827" s="1240"/>
      <c r="AE827" s="1240"/>
      <c r="AF827" s="1240"/>
      <c r="AG827" s="1240"/>
      <c r="AH827" s="1240"/>
      <c r="AI827" s="1240"/>
      <c r="AJ827" s="1240"/>
      <c r="AK827" s="1240"/>
      <c r="AL827" s="1240"/>
      <c r="AM827" s="1240"/>
      <c r="AN827" s="1240"/>
      <c r="AO827" s="1240"/>
      <c r="AP827" s="1240"/>
    </row>
    <row r="828" spans="1:42" ht="18.75" customHeight="1" x14ac:dyDescent="0.35">
      <c r="A828" s="1240"/>
      <c r="B828" s="1240"/>
      <c r="C828" s="1240"/>
      <c r="D828" s="1240"/>
      <c r="E828" s="1240"/>
      <c r="F828" s="1240"/>
      <c r="G828" s="1240"/>
      <c r="H828" s="1240"/>
      <c r="I828" s="1240"/>
      <c r="J828" s="1240"/>
      <c r="K828" s="1240"/>
      <c r="L828" s="1240"/>
      <c r="M828" s="1240"/>
      <c r="N828" s="1240"/>
      <c r="O828" s="1240"/>
      <c r="P828" s="1247">
        <f t="shared" si="94"/>
        <v>802</v>
      </c>
      <c r="Q828" s="1253" t="e">
        <f t="shared" ca="1" si="93"/>
        <v>#N/A</v>
      </c>
      <c r="R828" s="1247" t="str">
        <f>IFERROR(VLOOKUP(P828,RPCRepaymentDates[],1,FALSE),"")</f>
        <v/>
      </c>
      <c r="S828" s="1259">
        <f t="shared" si="89"/>
        <v>0</v>
      </c>
      <c r="T828" s="1247" t="str">
        <f>IFERROR(VLOOKUP(P828,RPCChargeCycleDates[],1,FALSE),"")</f>
        <v/>
      </c>
      <c r="U828" s="1248" t="str">
        <f>IFERROR(_xlfn.DAYS(T828,$Q$16)-SUM(U$26:U827),"")</f>
        <v/>
      </c>
      <c r="V828" s="1258">
        <f t="shared" ca="1" si="90"/>
        <v>0</v>
      </c>
      <c r="W828" s="1258">
        <f t="shared" ca="1" si="91"/>
        <v>0</v>
      </c>
      <c r="X828" s="1258" t="e">
        <f t="shared" ca="1" si="92"/>
        <v>#N/A</v>
      </c>
      <c r="Y828" s="1240"/>
      <c r="Z828" s="1240"/>
      <c r="AA828" s="1240"/>
      <c r="AB828" s="1240"/>
      <c r="AC828" s="1240"/>
      <c r="AD828" s="1240"/>
      <c r="AE828" s="1240"/>
      <c r="AF828" s="1240"/>
      <c r="AG828" s="1240"/>
      <c r="AH828" s="1240"/>
      <c r="AI828" s="1240"/>
      <c r="AJ828" s="1240"/>
      <c r="AK828" s="1240"/>
      <c r="AL828" s="1240"/>
      <c r="AM828" s="1240"/>
      <c r="AN828" s="1240"/>
      <c r="AO828" s="1240"/>
      <c r="AP828" s="1240"/>
    </row>
    <row r="829" spans="1:42" ht="18.75" customHeight="1" x14ac:dyDescent="0.35">
      <c r="A829" s="1240"/>
      <c r="B829" s="1240"/>
      <c r="C829" s="1240"/>
      <c r="D829" s="1240"/>
      <c r="E829" s="1240"/>
      <c r="F829" s="1240"/>
      <c r="G829" s="1240"/>
      <c r="H829" s="1240"/>
      <c r="I829" s="1240"/>
      <c r="J829" s="1240"/>
      <c r="K829" s="1240"/>
      <c r="L829" s="1240"/>
      <c r="M829" s="1240"/>
      <c r="N829" s="1240"/>
      <c r="O829" s="1240"/>
      <c r="P829" s="1247">
        <f t="shared" si="94"/>
        <v>803</v>
      </c>
      <c r="Q829" s="1253" t="e">
        <f t="shared" ca="1" si="93"/>
        <v>#N/A</v>
      </c>
      <c r="R829" s="1247" t="str">
        <f>IFERROR(VLOOKUP(P829,RPCRepaymentDates[],1,FALSE),"")</f>
        <v/>
      </c>
      <c r="S829" s="1259">
        <f t="shared" si="89"/>
        <v>0</v>
      </c>
      <c r="T829" s="1247" t="str">
        <f>IFERROR(VLOOKUP(P829,RPCChargeCycleDates[],1,FALSE),"")</f>
        <v/>
      </c>
      <c r="U829" s="1248" t="str">
        <f>IFERROR(_xlfn.DAYS(T829,$Q$16)-SUM(U$26:U828),"")</f>
        <v/>
      </c>
      <c r="V829" s="1258">
        <f t="shared" ca="1" si="90"/>
        <v>0</v>
      </c>
      <c r="W829" s="1258">
        <f t="shared" ca="1" si="91"/>
        <v>0</v>
      </c>
      <c r="X829" s="1258" t="e">
        <f t="shared" ca="1" si="92"/>
        <v>#N/A</v>
      </c>
      <c r="Y829" s="1240"/>
      <c r="Z829" s="1240"/>
      <c r="AA829" s="1240"/>
      <c r="AB829" s="1240"/>
      <c r="AC829" s="1240"/>
      <c r="AD829" s="1240"/>
      <c r="AE829" s="1240"/>
      <c r="AF829" s="1240"/>
      <c r="AG829" s="1240"/>
      <c r="AH829" s="1240"/>
      <c r="AI829" s="1240"/>
      <c r="AJ829" s="1240"/>
      <c r="AK829" s="1240"/>
      <c r="AL829" s="1240"/>
      <c r="AM829" s="1240"/>
      <c r="AN829" s="1240"/>
      <c r="AO829" s="1240"/>
      <c r="AP829" s="1240"/>
    </row>
    <row r="830" spans="1:42" ht="18.75" customHeight="1" x14ac:dyDescent="0.35">
      <c r="A830" s="1240"/>
      <c r="B830" s="1240"/>
      <c r="C830" s="1240"/>
      <c r="D830" s="1240"/>
      <c r="E830" s="1240"/>
      <c r="F830" s="1240"/>
      <c r="G830" s="1240"/>
      <c r="H830" s="1240"/>
      <c r="I830" s="1240"/>
      <c r="J830" s="1240"/>
      <c r="K830" s="1240"/>
      <c r="L830" s="1240"/>
      <c r="M830" s="1240"/>
      <c r="N830" s="1240"/>
      <c r="O830" s="1240"/>
      <c r="P830" s="1247">
        <f t="shared" si="94"/>
        <v>804</v>
      </c>
      <c r="Q830" s="1253" t="e">
        <f t="shared" ca="1" si="93"/>
        <v>#N/A</v>
      </c>
      <c r="R830" s="1247" t="str">
        <f>IFERROR(VLOOKUP(P830,RPCRepaymentDates[],1,FALSE),"")</f>
        <v/>
      </c>
      <c r="S830" s="1259">
        <f t="shared" si="89"/>
        <v>0</v>
      </c>
      <c r="T830" s="1247" t="str">
        <f>IFERROR(VLOOKUP(P830,RPCChargeCycleDates[],1,FALSE),"")</f>
        <v/>
      </c>
      <c r="U830" s="1248" t="str">
        <f>IFERROR(_xlfn.DAYS(T830,$Q$16)-SUM(U$26:U829),"")</f>
        <v/>
      </c>
      <c r="V830" s="1258">
        <f t="shared" ca="1" si="90"/>
        <v>0</v>
      </c>
      <c r="W830" s="1258">
        <f t="shared" ca="1" si="91"/>
        <v>0</v>
      </c>
      <c r="X830" s="1258" t="e">
        <f t="shared" ca="1" si="92"/>
        <v>#N/A</v>
      </c>
      <c r="Y830" s="1240"/>
      <c r="Z830" s="1240"/>
      <c r="AA830" s="1240"/>
      <c r="AB830" s="1240"/>
      <c r="AC830" s="1240"/>
      <c r="AD830" s="1240"/>
      <c r="AE830" s="1240"/>
      <c r="AF830" s="1240"/>
      <c r="AG830" s="1240"/>
      <c r="AH830" s="1240"/>
      <c r="AI830" s="1240"/>
      <c r="AJ830" s="1240"/>
      <c r="AK830" s="1240"/>
      <c r="AL830" s="1240"/>
      <c r="AM830" s="1240"/>
      <c r="AN830" s="1240"/>
      <c r="AO830" s="1240"/>
      <c r="AP830" s="1240"/>
    </row>
    <row r="831" spans="1:42" ht="18.75" customHeight="1" x14ac:dyDescent="0.35">
      <c r="A831" s="1240"/>
      <c r="B831" s="1240"/>
      <c r="C831" s="1240"/>
      <c r="D831" s="1240"/>
      <c r="E831" s="1240"/>
      <c r="F831" s="1240"/>
      <c r="G831" s="1240"/>
      <c r="H831" s="1240"/>
      <c r="I831" s="1240"/>
      <c r="J831" s="1240"/>
      <c r="K831" s="1240"/>
      <c r="L831" s="1240"/>
      <c r="M831" s="1240"/>
      <c r="N831" s="1240"/>
      <c r="O831" s="1240"/>
      <c r="P831" s="1247">
        <f t="shared" si="94"/>
        <v>805</v>
      </c>
      <c r="Q831" s="1253" t="e">
        <f t="shared" ca="1" si="93"/>
        <v>#N/A</v>
      </c>
      <c r="R831" s="1247" t="str">
        <f>IFERROR(VLOOKUP(P831,RPCRepaymentDates[],1,FALSE),"")</f>
        <v/>
      </c>
      <c r="S831" s="1259">
        <f t="shared" si="89"/>
        <v>0</v>
      </c>
      <c r="T831" s="1247" t="str">
        <f>IFERROR(VLOOKUP(P831,RPCChargeCycleDates[],1,FALSE),"")</f>
        <v/>
      </c>
      <c r="U831" s="1248" t="str">
        <f>IFERROR(_xlfn.DAYS(T831,$Q$16)-SUM(U$26:U830),"")</f>
        <v/>
      </c>
      <c r="V831" s="1258">
        <f t="shared" ca="1" si="90"/>
        <v>0</v>
      </c>
      <c r="W831" s="1258">
        <f t="shared" ca="1" si="91"/>
        <v>0</v>
      </c>
      <c r="X831" s="1258" t="e">
        <f t="shared" ca="1" si="92"/>
        <v>#N/A</v>
      </c>
      <c r="Y831" s="1240"/>
      <c r="Z831" s="1240"/>
      <c r="AA831" s="1240"/>
      <c r="AB831" s="1240"/>
      <c r="AC831" s="1240"/>
      <c r="AD831" s="1240"/>
      <c r="AE831" s="1240"/>
      <c r="AF831" s="1240"/>
      <c r="AG831" s="1240"/>
      <c r="AH831" s="1240"/>
      <c r="AI831" s="1240"/>
      <c r="AJ831" s="1240"/>
      <c r="AK831" s="1240"/>
      <c r="AL831" s="1240"/>
      <c r="AM831" s="1240"/>
      <c r="AN831" s="1240"/>
      <c r="AO831" s="1240"/>
      <c r="AP831" s="1240"/>
    </row>
    <row r="832" spans="1:42" ht="18.75" customHeight="1" x14ac:dyDescent="0.35">
      <c r="A832" s="1240"/>
      <c r="B832" s="1240"/>
      <c r="C832" s="1240"/>
      <c r="D832" s="1240"/>
      <c r="E832" s="1240"/>
      <c r="F832" s="1240"/>
      <c r="G832" s="1240"/>
      <c r="H832" s="1240"/>
      <c r="I832" s="1240"/>
      <c r="J832" s="1240"/>
      <c r="K832" s="1240"/>
      <c r="L832" s="1240"/>
      <c r="M832" s="1240"/>
      <c r="N832" s="1240"/>
      <c r="O832" s="1240"/>
      <c r="P832" s="1247">
        <f t="shared" si="94"/>
        <v>806</v>
      </c>
      <c r="Q832" s="1253" t="e">
        <f t="shared" ca="1" si="93"/>
        <v>#N/A</v>
      </c>
      <c r="R832" s="1247" t="str">
        <f>IFERROR(VLOOKUP(P832,RPCRepaymentDates[],1,FALSE),"")</f>
        <v/>
      </c>
      <c r="S832" s="1259">
        <f t="shared" si="89"/>
        <v>0</v>
      </c>
      <c r="T832" s="1247" t="str">
        <f>IFERROR(VLOOKUP(P832,RPCChargeCycleDates[],1,FALSE),"")</f>
        <v/>
      </c>
      <c r="U832" s="1248" t="str">
        <f>IFERROR(_xlfn.DAYS(T832,$Q$16)-SUM(U$26:U831),"")</f>
        <v/>
      </c>
      <c r="V832" s="1258">
        <f t="shared" ca="1" si="90"/>
        <v>0</v>
      </c>
      <c r="W832" s="1258">
        <f t="shared" ca="1" si="91"/>
        <v>0</v>
      </c>
      <c r="X832" s="1258" t="e">
        <f t="shared" ca="1" si="92"/>
        <v>#N/A</v>
      </c>
      <c r="Y832" s="1240"/>
      <c r="Z832" s="1240"/>
      <c r="AA832" s="1240"/>
      <c r="AB832" s="1240"/>
      <c r="AC832" s="1240"/>
      <c r="AD832" s="1240"/>
      <c r="AE832" s="1240"/>
      <c r="AF832" s="1240"/>
      <c r="AG832" s="1240"/>
      <c r="AH832" s="1240"/>
      <c r="AI832" s="1240"/>
      <c r="AJ832" s="1240"/>
      <c r="AK832" s="1240"/>
      <c r="AL832" s="1240"/>
      <c r="AM832" s="1240"/>
      <c r="AN832" s="1240"/>
      <c r="AO832" s="1240"/>
      <c r="AP832" s="1240"/>
    </row>
    <row r="833" spans="1:42" ht="18.75" customHeight="1" x14ac:dyDescent="0.35">
      <c r="A833" s="1240"/>
      <c r="B833" s="1240"/>
      <c r="C833" s="1240"/>
      <c r="D833" s="1240"/>
      <c r="E833" s="1240"/>
      <c r="F833" s="1240"/>
      <c r="G833" s="1240"/>
      <c r="H833" s="1240"/>
      <c r="I833" s="1240"/>
      <c r="J833" s="1240"/>
      <c r="K833" s="1240"/>
      <c r="L833" s="1240"/>
      <c r="M833" s="1240"/>
      <c r="N833" s="1240"/>
      <c r="O833" s="1240"/>
      <c r="P833" s="1247">
        <f t="shared" si="94"/>
        <v>807</v>
      </c>
      <c r="Q833" s="1253" t="e">
        <f t="shared" ca="1" si="93"/>
        <v>#N/A</v>
      </c>
      <c r="R833" s="1247" t="str">
        <f>IFERROR(VLOOKUP(P833,RPCRepaymentDates[],1,FALSE),"")</f>
        <v/>
      </c>
      <c r="S833" s="1259">
        <f t="shared" si="89"/>
        <v>0</v>
      </c>
      <c r="T833" s="1247" t="str">
        <f>IFERROR(VLOOKUP(P833,RPCChargeCycleDates[],1,FALSE),"")</f>
        <v/>
      </c>
      <c r="U833" s="1248" t="str">
        <f>IFERROR(_xlfn.DAYS(T833,$Q$16)-SUM(U$26:U832),"")</f>
        <v/>
      </c>
      <c r="V833" s="1258">
        <f t="shared" ca="1" si="90"/>
        <v>0</v>
      </c>
      <c r="W833" s="1258">
        <f t="shared" ca="1" si="91"/>
        <v>0</v>
      </c>
      <c r="X833" s="1258" t="e">
        <f t="shared" ca="1" si="92"/>
        <v>#N/A</v>
      </c>
      <c r="Y833" s="1240"/>
      <c r="Z833" s="1240"/>
      <c r="AA833" s="1240"/>
      <c r="AB833" s="1240"/>
      <c r="AC833" s="1240"/>
      <c r="AD833" s="1240"/>
      <c r="AE833" s="1240"/>
      <c r="AF833" s="1240"/>
      <c r="AG833" s="1240"/>
      <c r="AH833" s="1240"/>
      <c r="AI833" s="1240"/>
      <c r="AJ833" s="1240"/>
      <c r="AK833" s="1240"/>
      <c r="AL833" s="1240"/>
      <c r="AM833" s="1240"/>
      <c r="AN833" s="1240"/>
      <c r="AO833" s="1240"/>
      <c r="AP833" s="1240"/>
    </row>
    <row r="834" spans="1:42" ht="18.75" customHeight="1" x14ac:dyDescent="0.35">
      <c r="A834" s="1240"/>
      <c r="B834" s="1240"/>
      <c r="C834" s="1240"/>
      <c r="D834" s="1240"/>
      <c r="E834" s="1240"/>
      <c r="F834" s="1240"/>
      <c r="G834" s="1240"/>
      <c r="H834" s="1240"/>
      <c r="I834" s="1240"/>
      <c r="J834" s="1240"/>
      <c r="K834" s="1240"/>
      <c r="L834" s="1240"/>
      <c r="M834" s="1240"/>
      <c r="N834" s="1240"/>
      <c r="O834" s="1240"/>
      <c r="P834" s="1247">
        <f t="shared" si="94"/>
        <v>808</v>
      </c>
      <c r="Q834" s="1253" t="e">
        <f t="shared" ca="1" si="93"/>
        <v>#N/A</v>
      </c>
      <c r="R834" s="1247" t="str">
        <f>IFERROR(VLOOKUP(P834,RPCRepaymentDates[],1,FALSE),"")</f>
        <v/>
      </c>
      <c r="S834" s="1259">
        <f t="shared" si="89"/>
        <v>0</v>
      </c>
      <c r="T834" s="1247" t="str">
        <f>IFERROR(VLOOKUP(P834,RPCChargeCycleDates[],1,FALSE),"")</f>
        <v/>
      </c>
      <c r="U834" s="1248" t="str">
        <f>IFERROR(_xlfn.DAYS(T834,$Q$16)-SUM(U$26:U833),"")</f>
        <v/>
      </c>
      <c r="V834" s="1258">
        <f t="shared" ca="1" si="90"/>
        <v>0</v>
      </c>
      <c r="W834" s="1258">
        <f t="shared" ca="1" si="91"/>
        <v>0</v>
      </c>
      <c r="X834" s="1258" t="e">
        <f t="shared" ca="1" si="92"/>
        <v>#N/A</v>
      </c>
      <c r="Y834" s="1240"/>
      <c r="Z834" s="1240"/>
      <c r="AA834" s="1240"/>
      <c r="AB834" s="1240"/>
      <c r="AC834" s="1240"/>
      <c r="AD834" s="1240"/>
      <c r="AE834" s="1240"/>
      <c r="AF834" s="1240"/>
      <c r="AG834" s="1240"/>
      <c r="AH834" s="1240"/>
      <c r="AI834" s="1240"/>
      <c r="AJ834" s="1240"/>
      <c r="AK834" s="1240"/>
      <c r="AL834" s="1240"/>
      <c r="AM834" s="1240"/>
      <c r="AN834" s="1240"/>
      <c r="AO834" s="1240"/>
      <c r="AP834" s="1240"/>
    </row>
    <row r="835" spans="1:42" ht="18.75" customHeight="1" x14ac:dyDescent="0.35">
      <c r="A835" s="1240"/>
      <c r="B835" s="1240"/>
      <c r="C835" s="1240"/>
      <c r="D835" s="1240"/>
      <c r="E835" s="1240"/>
      <c r="F835" s="1240"/>
      <c r="G835" s="1240"/>
      <c r="H835" s="1240"/>
      <c r="I835" s="1240"/>
      <c r="J835" s="1240"/>
      <c r="K835" s="1240"/>
      <c r="L835" s="1240"/>
      <c r="M835" s="1240"/>
      <c r="N835" s="1240"/>
      <c r="O835" s="1240"/>
      <c r="P835" s="1247">
        <f t="shared" si="94"/>
        <v>809</v>
      </c>
      <c r="Q835" s="1253" t="e">
        <f t="shared" ca="1" si="93"/>
        <v>#N/A</v>
      </c>
      <c r="R835" s="1247" t="str">
        <f>IFERROR(VLOOKUP(P835,RPCRepaymentDates[],1,FALSE),"")</f>
        <v/>
      </c>
      <c r="S835" s="1259">
        <f t="shared" si="89"/>
        <v>0</v>
      </c>
      <c r="T835" s="1247" t="str">
        <f>IFERROR(VLOOKUP(P835,RPCChargeCycleDates[],1,FALSE),"")</f>
        <v/>
      </c>
      <c r="U835" s="1248" t="str">
        <f>IFERROR(_xlfn.DAYS(T835,$Q$16)-SUM(U$26:U834),"")</f>
        <v/>
      </c>
      <c r="V835" s="1258">
        <f t="shared" ca="1" si="90"/>
        <v>0</v>
      </c>
      <c r="W835" s="1258">
        <f t="shared" ca="1" si="91"/>
        <v>0</v>
      </c>
      <c r="X835" s="1258" t="e">
        <f t="shared" ca="1" si="92"/>
        <v>#N/A</v>
      </c>
      <c r="Y835" s="1240"/>
      <c r="Z835" s="1240"/>
      <c r="AA835" s="1240"/>
      <c r="AB835" s="1240"/>
      <c r="AC835" s="1240"/>
      <c r="AD835" s="1240"/>
      <c r="AE835" s="1240"/>
      <c r="AF835" s="1240"/>
      <c r="AG835" s="1240"/>
      <c r="AH835" s="1240"/>
      <c r="AI835" s="1240"/>
      <c r="AJ835" s="1240"/>
      <c r="AK835" s="1240"/>
      <c r="AL835" s="1240"/>
      <c r="AM835" s="1240"/>
      <c r="AN835" s="1240"/>
      <c r="AO835" s="1240"/>
      <c r="AP835" s="1240"/>
    </row>
    <row r="836" spans="1:42" ht="18.75" customHeight="1" x14ac:dyDescent="0.35">
      <c r="A836" s="1240"/>
      <c r="B836" s="1240"/>
      <c r="C836" s="1240"/>
      <c r="D836" s="1240"/>
      <c r="E836" s="1240"/>
      <c r="F836" s="1240"/>
      <c r="G836" s="1240"/>
      <c r="H836" s="1240"/>
      <c r="I836" s="1240"/>
      <c r="J836" s="1240"/>
      <c r="K836" s="1240"/>
      <c r="L836" s="1240"/>
      <c r="M836" s="1240"/>
      <c r="N836" s="1240"/>
      <c r="O836" s="1240"/>
      <c r="P836" s="1247">
        <f t="shared" si="94"/>
        <v>810</v>
      </c>
      <c r="Q836" s="1253" t="e">
        <f t="shared" ca="1" si="93"/>
        <v>#N/A</v>
      </c>
      <c r="R836" s="1247" t="str">
        <f>IFERROR(VLOOKUP(P836,RPCRepaymentDates[],1,FALSE),"")</f>
        <v/>
      </c>
      <c r="S836" s="1259">
        <f t="shared" si="89"/>
        <v>0</v>
      </c>
      <c r="T836" s="1247" t="str">
        <f>IFERROR(VLOOKUP(P836,RPCChargeCycleDates[],1,FALSE),"")</f>
        <v/>
      </c>
      <c r="U836" s="1248" t="str">
        <f>IFERROR(_xlfn.DAYS(T836,$Q$16)-SUM(U$26:U835),"")</f>
        <v/>
      </c>
      <c r="V836" s="1258">
        <f t="shared" ca="1" si="90"/>
        <v>0</v>
      </c>
      <c r="W836" s="1258">
        <f t="shared" ca="1" si="91"/>
        <v>0</v>
      </c>
      <c r="X836" s="1258" t="e">
        <f t="shared" ca="1" si="92"/>
        <v>#N/A</v>
      </c>
      <c r="Y836" s="1240"/>
      <c r="Z836" s="1240"/>
      <c r="AA836" s="1240"/>
      <c r="AB836" s="1240"/>
      <c r="AC836" s="1240"/>
      <c r="AD836" s="1240"/>
      <c r="AE836" s="1240"/>
      <c r="AF836" s="1240"/>
      <c r="AG836" s="1240"/>
      <c r="AH836" s="1240"/>
      <c r="AI836" s="1240"/>
      <c r="AJ836" s="1240"/>
      <c r="AK836" s="1240"/>
      <c r="AL836" s="1240"/>
      <c r="AM836" s="1240"/>
      <c r="AN836" s="1240"/>
      <c r="AO836" s="1240"/>
      <c r="AP836" s="1240"/>
    </row>
    <row r="837" spans="1:42" ht="18.75" customHeight="1" x14ac:dyDescent="0.35">
      <c r="A837" s="1240"/>
      <c r="B837" s="1240"/>
      <c r="C837" s="1240"/>
      <c r="D837" s="1240"/>
      <c r="E837" s="1240"/>
      <c r="F837" s="1240"/>
      <c r="G837" s="1240"/>
      <c r="H837" s="1240"/>
      <c r="I837" s="1240"/>
      <c r="J837" s="1240"/>
      <c r="K837" s="1240"/>
      <c r="L837" s="1240"/>
      <c r="M837" s="1240"/>
      <c r="N837" s="1240"/>
      <c r="O837" s="1240"/>
      <c r="P837" s="1247">
        <f t="shared" si="94"/>
        <v>811</v>
      </c>
      <c r="Q837" s="1253" t="e">
        <f t="shared" ca="1" si="93"/>
        <v>#N/A</v>
      </c>
      <c r="R837" s="1247" t="str">
        <f>IFERROR(VLOOKUP(P837,RPCRepaymentDates[],1,FALSE),"")</f>
        <v/>
      </c>
      <c r="S837" s="1259">
        <f t="shared" si="89"/>
        <v>0</v>
      </c>
      <c r="T837" s="1247" t="str">
        <f>IFERROR(VLOOKUP(P837,RPCChargeCycleDates[],1,FALSE),"")</f>
        <v/>
      </c>
      <c r="U837" s="1248" t="str">
        <f>IFERROR(_xlfn.DAYS(T837,$Q$16)-SUM(U$26:U836),"")</f>
        <v/>
      </c>
      <c r="V837" s="1258">
        <f t="shared" ca="1" si="90"/>
        <v>0</v>
      </c>
      <c r="W837" s="1258">
        <f t="shared" ca="1" si="91"/>
        <v>0</v>
      </c>
      <c r="X837" s="1258" t="e">
        <f t="shared" ca="1" si="92"/>
        <v>#N/A</v>
      </c>
      <c r="Y837" s="1240"/>
      <c r="Z837" s="1240"/>
      <c r="AA837" s="1240"/>
      <c r="AB837" s="1240"/>
      <c r="AC837" s="1240"/>
      <c r="AD837" s="1240"/>
      <c r="AE837" s="1240"/>
      <c r="AF837" s="1240"/>
      <c r="AG837" s="1240"/>
      <c r="AH837" s="1240"/>
      <c r="AI837" s="1240"/>
      <c r="AJ837" s="1240"/>
      <c r="AK837" s="1240"/>
      <c r="AL837" s="1240"/>
      <c r="AM837" s="1240"/>
      <c r="AN837" s="1240"/>
      <c r="AO837" s="1240"/>
      <c r="AP837" s="1240"/>
    </row>
    <row r="838" spans="1:42" ht="18.75" customHeight="1" x14ac:dyDescent="0.35">
      <c r="A838" s="1240"/>
      <c r="B838" s="1240"/>
      <c r="C838" s="1240"/>
      <c r="D838" s="1240"/>
      <c r="E838" s="1240"/>
      <c r="F838" s="1240"/>
      <c r="G838" s="1240"/>
      <c r="H838" s="1240"/>
      <c r="I838" s="1240"/>
      <c r="J838" s="1240"/>
      <c r="K838" s="1240"/>
      <c r="L838" s="1240"/>
      <c r="M838" s="1240"/>
      <c r="N838" s="1240"/>
      <c r="O838" s="1240"/>
      <c r="P838" s="1247">
        <f t="shared" si="94"/>
        <v>812</v>
      </c>
      <c r="Q838" s="1253" t="e">
        <f t="shared" ca="1" si="93"/>
        <v>#N/A</v>
      </c>
      <c r="R838" s="1247" t="str">
        <f>IFERROR(VLOOKUP(P838,RPCRepaymentDates[],1,FALSE),"")</f>
        <v/>
      </c>
      <c r="S838" s="1259">
        <f t="shared" si="89"/>
        <v>0</v>
      </c>
      <c r="T838" s="1247" t="str">
        <f>IFERROR(VLOOKUP(P838,RPCChargeCycleDates[],1,FALSE),"")</f>
        <v/>
      </c>
      <c r="U838" s="1248" t="str">
        <f>IFERROR(_xlfn.DAYS(T838,$Q$16)-SUM(U$26:U837),"")</f>
        <v/>
      </c>
      <c r="V838" s="1258">
        <f t="shared" ca="1" si="90"/>
        <v>0</v>
      </c>
      <c r="W838" s="1258">
        <f t="shared" ca="1" si="91"/>
        <v>0</v>
      </c>
      <c r="X838" s="1258" t="e">
        <f t="shared" ca="1" si="92"/>
        <v>#N/A</v>
      </c>
      <c r="Y838" s="1240"/>
      <c r="Z838" s="1240"/>
      <c r="AA838" s="1240"/>
      <c r="AB838" s="1240"/>
      <c r="AC838" s="1240"/>
      <c r="AD838" s="1240"/>
      <c r="AE838" s="1240"/>
      <c r="AF838" s="1240"/>
      <c r="AG838" s="1240"/>
      <c r="AH838" s="1240"/>
      <c r="AI838" s="1240"/>
      <c r="AJ838" s="1240"/>
      <c r="AK838" s="1240"/>
      <c r="AL838" s="1240"/>
      <c r="AM838" s="1240"/>
      <c r="AN838" s="1240"/>
      <c r="AO838" s="1240"/>
      <c r="AP838" s="1240"/>
    </row>
    <row r="839" spans="1:42" ht="18.75" customHeight="1" x14ac:dyDescent="0.35">
      <c r="A839" s="1240"/>
      <c r="B839" s="1240"/>
      <c r="C839" s="1240"/>
      <c r="D839" s="1240"/>
      <c r="E839" s="1240"/>
      <c r="F839" s="1240"/>
      <c r="G839" s="1240"/>
      <c r="H839" s="1240"/>
      <c r="I839" s="1240"/>
      <c r="J839" s="1240"/>
      <c r="K839" s="1240"/>
      <c r="L839" s="1240"/>
      <c r="M839" s="1240"/>
      <c r="N839" s="1240"/>
      <c r="O839" s="1240"/>
      <c r="P839" s="1247">
        <f t="shared" si="94"/>
        <v>813</v>
      </c>
      <c r="Q839" s="1253" t="e">
        <f t="shared" ca="1" si="93"/>
        <v>#N/A</v>
      </c>
      <c r="R839" s="1247" t="str">
        <f>IFERROR(VLOOKUP(P839,RPCRepaymentDates[],1,FALSE),"")</f>
        <v/>
      </c>
      <c r="S839" s="1259">
        <f t="shared" si="89"/>
        <v>0</v>
      </c>
      <c r="T839" s="1247" t="str">
        <f>IFERROR(VLOOKUP(P839,RPCChargeCycleDates[],1,FALSE),"")</f>
        <v/>
      </c>
      <c r="U839" s="1248" t="str">
        <f>IFERROR(_xlfn.DAYS(T839,$Q$16)-SUM(U$26:U838),"")</f>
        <v/>
      </c>
      <c r="V839" s="1258">
        <f t="shared" ca="1" si="90"/>
        <v>0</v>
      </c>
      <c r="W839" s="1258">
        <f t="shared" ca="1" si="91"/>
        <v>0</v>
      </c>
      <c r="X839" s="1258" t="e">
        <f t="shared" ca="1" si="92"/>
        <v>#N/A</v>
      </c>
      <c r="Y839" s="1240"/>
      <c r="Z839" s="1240"/>
      <c r="AA839" s="1240"/>
      <c r="AB839" s="1240"/>
      <c r="AC839" s="1240"/>
      <c r="AD839" s="1240"/>
      <c r="AE839" s="1240"/>
      <c r="AF839" s="1240"/>
      <c r="AG839" s="1240"/>
      <c r="AH839" s="1240"/>
      <c r="AI839" s="1240"/>
      <c r="AJ839" s="1240"/>
      <c r="AK839" s="1240"/>
      <c r="AL839" s="1240"/>
      <c r="AM839" s="1240"/>
      <c r="AN839" s="1240"/>
      <c r="AO839" s="1240"/>
      <c r="AP839" s="1240"/>
    </row>
    <row r="840" spans="1:42" ht="18.75" customHeight="1" x14ac:dyDescent="0.35">
      <c r="A840" s="1240"/>
      <c r="B840" s="1240"/>
      <c r="C840" s="1240"/>
      <c r="D840" s="1240"/>
      <c r="E840" s="1240"/>
      <c r="F840" s="1240"/>
      <c r="G840" s="1240"/>
      <c r="H840" s="1240"/>
      <c r="I840" s="1240"/>
      <c r="J840" s="1240"/>
      <c r="K840" s="1240"/>
      <c r="L840" s="1240"/>
      <c r="M840" s="1240"/>
      <c r="N840" s="1240"/>
      <c r="O840" s="1240"/>
      <c r="P840" s="1247">
        <f t="shared" si="94"/>
        <v>814</v>
      </c>
      <c r="Q840" s="1253" t="e">
        <f t="shared" ca="1" si="93"/>
        <v>#N/A</v>
      </c>
      <c r="R840" s="1247" t="str">
        <f>IFERROR(VLOOKUP(P840,RPCRepaymentDates[],1,FALSE),"")</f>
        <v/>
      </c>
      <c r="S840" s="1259">
        <f t="shared" si="89"/>
        <v>0</v>
      </c>
      <c r="T840" s="1247" t="str">
        <f>IFERROR(VLOOKUP(P840,RPCChargeCycleDates[],1,FALSE),"")</f>
        <v/>
      </c>
      <c r="U840" s="1248" t="str">
        <f>IFERROR(_xlfn.DAYS(T840,$Q$16)-SUM(U$26:U839),"")</f>
        <v/>
      </c>
      <c r="V840" s="1258">
        <f t="shared" ca="1" si="90"/>
        <v>0</v>
      </c>
      <c r="W840" s="1258">
        <f t="shared" ca="1" si="91"/>
        <v>0</v>
      </c>
      <c r="X840" s="1258" t="e">
        <f t="shared" ca="1" si="92"/>
        <v>#N/A</v>
      </c>
      <c r="Y840" s="1240"/>
      <c r="Z840" s="1240"/>
      <c r="AA840" s="1240"/>
      <c r="AB840" s="1240"/>
      <c r="AC840" s="1240"/>
      <c r="AD840" s="1240"/>
      <c r="AE840" s="1240"/>
      <c r="AF840" s="1240"/>
      <c r="AG840" s="1240"/>
      <c r="AH840" s="1240"/>
      <c r="AI840" s="1240"/>
      <c r="AJ840" s="1240"/>
      <c r="AK840" s="1240"/>
      <c r="AL840" s="1240"/>
      <c r="AM840" s="1240"/>
      <c r="AN840" s="1240"/>
      <c r="AO840" s="1240"/>
      <c r="AP840" s="1240"/>
    </row>
    <row r="841" spans="1:42" ht="18.75" customHeight="1" x14ac:dyDescent="0.35">
      <c r="A841" s="1240"/>
      <c r="B841" s="1240"/>
      <c r="C841" s="1240"/>
      <c r="D841" s="1240"/>
      <c r="E841" s="1240"/>
      <c r="F841" s="1240"/>
      <c r="G841" s="1240"/>
      <c r="H841" s="1240"/>
      <c r="I841" s="1240"/>
      <c r="J841" s="1240"/>
      <c r="K841" s="1240"/>
      <c r="L841" s="1240"/>
      <c r="M841" s="1240"/>
      <c r="N841" s="1240"/>
      <c r="O841" s="1240"/>
      <c r="P841" s="1247">
        <f t="shared" si="94"/>
        <v>815</v>
      </c>
      <c r="Q841" s="1253" t="e">
        <f t="shared" ca="1" si="93"/>
        <v>#N/A</v>
      </c>
      <c r="R841" s="1247" t="str">
        <f>IFERROR(VLOOKUP(P841,RPCRepaymentDates[],1,FALSE),"")</f>
        <v/>
      </c>
      <c r="S841" s="1259">
        <f t="shared" si="89"/>
        <v>0</v>
      </c>
      <c r="T841" s="1247" t="str">
        <f>IFERROR(VLOOKUP(P841,RPCChargeCycleDates[],1,FALSE),"")</f>
        <v/>
      </c>
      <c r="U841" s="1248" t="str">
        <f>IFERROR(_xlfn.DAYS(T841,$Q$16)-SUM(U$26:U840),"")</f>
        <v/>
      </c>
      <c r="V841" s="1258">
        <f t="shared" ca="1" si="90"/>
        <v>0</v>
      </c>
      <c r="W841" s="1258">
        <f t="shared" ca="1" si="91"/>
        <v>0</v>
      </c>
      <c r="X841" s="1258" t="e">
        <f t="shared" ca="1" si="92"/>
        <v>#N/A</v>
      </c>
      <c r="Y841" s="1240"/>
      <c r="Z841" s="1240"/>
      <c r="AA841" s="1240"/>
      <c r="AB841" s="1240"/>
      <c r="AC841" s="1240"/>
      <c r="AD841" s="1240"/>
      <c r="AE841" s="1240"/>
      <c r="AF841" s="1240"/>
      <c r="AG841" s="1240"/>
      <c r="AH841" s="1240"/>
      <c r="AI841" s="1240"/>
      <c r="AJ841" s="1240"/>
      <c r="AK841" s="1240"/>
      <c r="AL841" s="1240"/>
      <c r="AM841" s="1240"/>
      <c r="AN841" s="1240"/>
      <c r="AO841" s="1240"/>
      <c r="AP841" s="1240"/>
    </row>
    <row r="842" spans="1:42" ht="18.75" customHeight="1" x14ac:dyDescent="0.35">
      <c r="A842" s="1240"/>
      <c r="B842" s="1240"/>
      <c r="C842" s="1240"/>
      <c r="D842" s="1240"/>
      <c r="E842" s="1240"/>
      <c r="F842" s="1240"/>
      <c r="G842" s="1240"/>
      <c r="H842" s="1240"/>
      <c r="I842" s="1240"/>
      <c r="J842" s="1240"/>
      <c r="K842" s="1240"/>
      <c r="L842" s="1240"/>
      <c r="M842" s="1240"/>
      <c r="N842" s="1240"/>
      <c r="O842" s="1240"/>
      <c r="P842" s="1247">
        <f t="shared" si="94"/>
        <v>816</v>
      </c>
      <c r="Q842" s="1253" t="e">
        <f t="shared" ca="1" si="93"/>
        <v>#N/A</v>
      </c>
      <c r="R842" s="1247" t="str">
        <f>IFERROR(VLOOKUP(P842,RPCRepaymentDates[],1,FALSE),"")</f>
        <v/>
      </c>
      <c r="S842" s="1259">
        <f t="shared" si="89"/>
        <v>0</v>
      </c>
      <c r="T842" s="1247" t="str">
        <f>IFERROR(VLOOKUP(P842,RPCChargeCycleDates[],1,FALSE),"")</f>
        <v/>
      </c>
      <c r="U842" s="1248" t="str">
        <f>IFERROR(_xlfn.DAYS(T842,$Q$16)-SUM(U$26:U841),"")</f>
        <v/>
      </c>
      <c r="V842" s="1258">
        <f t="shared" ca="1" si="90"/>
        <v>0</v>
      </c>
      <c r="W842" s="1258">
        <f t="shared" ca="1" si="91"/>
        <v>0</v>
      </c>
      <c r="X842" s="1258" t="e">
        <f t="shared" ca="1" si="92"/>
        <v>#N/A</v>
      </c>
      <c r="Y842" s="1240"/>
      <c r="Z842" s="1240"/>
      <c r="AA842" s="1240"/>
      <c r="AB842" s="1240"/>
      <c r="AC842" s="1240"/>
      <c r="AD842" s="1240"/>
      <c r="AE842" s="1240"/>
      <c r="AF842" s="1240"/>
      <c r="AG842" s="1240"/>
      <c r="AH842" s="1240"/>
      <c r="AI842" s="1240"/>
      <c r="AJ842" s="1240"/>
      <c r="AK842" s="1240"/>
      <c r="AL842" s="1240"/>
      <c r="AM842" s="1240"/>
      <c r="AN842" s="1240"/>
      <c r="AO842" s="1240"/>
      <c r="AP842" s="1240"/>
    </row>
    <row r="843" spans="1:42" ht="18.75" customHeight="1" x14ac:dyDescent="0.35">
      <c r="A843" s="1240"/>
      <c r="B843" s="1240"/>
      <c r="C843" s="1240"/>
      <c r="D843" s="1240"/>
      <c r="E843" s="1240"/>
      <c r="F843" s="1240"/>
      <c r="G843" s="1240"/>
      <c r="H843" s="1240"/>
      <c r="I843" s="1240"/>
      <c r="J843" s="1240"/>
      <c r="K843" s="1240"/>
      <c r="L843" s="1240"/>
      <c r="M843" s="1240"/>
      <c r="N843" s="1240"/>
      <c r="O843" s="1240"/>
      <c r="P843" s="1247">
        <f t="shared" si="94"/>
        <v>817</v>
      </c>
      <c r="Q843" s="1253" t="e">
        <f t="shared" ca="1" si="93"/>
        <v>#N/A</v>
      </c>
      <c r="R843" s="1247" t="str">
        <f>IFERROR(VLOOKUP(P843,RPCRepaymentDates[],1,FALSE),"")</f>
        <v/>
      </c>
      <c r="S843" s="1259">
        <f t="shared" si="89"/>
        <v>0</v>
      </c>
      <c r="T843" s="1247" t="str">
        <f>IFERROR(VLOOKUP(P843,RPCChargeCycleDates[],1,FALSE),"")</f>
        <v/>
      </c>
      <c r="U843" s="1248" t="str">
        <f>IFERROR(_xlfn.DAYS(T843,$Q$16)-SUM(U$26:U842),"")</f>
        <v/>
      </c>
      <c r="V843" s="1258">
        <f t="shared" ca="1" si="90"/>
        <v>0</v>
      </c>
      <c r="W843" s="1258">
        <f t="shared" ca="1" si="91"/>
        <v>0</v>
      </c>
      <c r="X843" s="1258" t="e">
        <f t="shared" ca="1" si="92"/>
        <v>#N/A</v>
      </c>
      <c r="Y843" s="1240"/>
      <c r="Z843" s="1240"/>
      <c r="AA843" s="1240"/>
      <c r="AB843" s="1240"/>
      <c r="AC843" s="1240"/>
      <c r="AD843" s="1240"/>
      <c r="AE843" s="1240"/>
      <c r="AF843" s="1240"/>
      <c r="AG843" s="1240"/>
      <c r="AH843" s="1240"/>
      <c r="AI843" s="1240"/>
      <c r="AJ843" s="1240"/>
      <c r="AK843" s="1240"/>
      <c r="AL843" s="1240"/>
      <c r="AM843" s="1240"/>
      <c r="AN843" s="1240"/>
      <c r="AO843" s="1240"/>
      <c r="AP843" s="1240"/>
    </row>
    <row r="844" spans="1:42" ht="18.75" customHeight="1" x14ac:dyDescent="0.35">
      <c r="A844" s="1240"/>
      <c r="B844" s="1240"/>
      <c r="C844" s="1240"/>
      <c r="D844" s="1240"/>
      <c r="E844" s="1240"/>
      <c r="F844" s="1240"/>
      <c r="G844" s="1240"/>
      <c r="H844" s="1240"/>
      <c r="I844" s="1240"/>
      <c r="J844" s="1240"/>
      <c r="K844" s="1240"/>
      <c r="L844" s="1240"/>
      <c r="M844" s="1240"/>
      <c r="N844" s="1240"/>
      <c r="O844" s="1240"/>
      <c r="P844" s="1247">
        <f t="shared" si="94"/>
        <v>818</v>
      </c>
      <c r="Q844" s="1253" t="e">
        <f t="shared" ca="1" si="93"/>
        <v>#N/A</v>
      </c>
      <c r="R844" s="1247" t="str">
        <f>IFERROR(VLOOKUP(P844,RPCRepaymentDates[],1,FALSE),"")</f>
        <v/>
      </c>
      <c r="S844" s="1259">
        <f t="shared" si="89"/>
        <v>0</v>
      </c>
      <c r="T844" s="1247">
        <f>IFERROR(VLOOKUP(P844,RPCChargeCycleDates[],1,FALSE),"")</f>
        <v>818</v>
      </c>
      <c r="U844" s="1248">
        <f>IFERROR(_xlfn.DAYS(T844,$Q$16)-SUM(U$26:U843),"")</f>
        <v>28</v>
      </c>
      <c r="V844" s="1258">
        <f t="shared" ca="1" si="90"/>
        <v>0</v>
      </c>
      <c r="W844" s="1258">
        <f t="shared" ca="1" si="91"/>
        <v>0</v>
      </c>
      <c r="X844" s="1258" t="e">
        <f t="shared" ca="1" si="92"/>
        <v>#N/A</v>
      </c>
      <c r="Y844" s="1240"/>
      <c r="Z844" s="1240"/>
      <c r="AA844" s="1240"/>
      <c r="AB844" s="1240"/>
      <c r="AC844" s="1240"/>
      <c r="AD844" s="1240"/>
      <c r="AE844" s="1240"/>
      <c r="AF844" s="1240"/>
      <c r="AG844" s="1240"/>
      <c r="AH844" s="1240"/>
      <c r="AI844" s="1240"/>
      <c r="AJ844" s="1240"/>
      <c r="AK844" s="1240"/>
      <c r="AL844" s="1240"/>
      <c r="AM844" s="1240"/>
      <c r="AN844" s="1240"/>
      <c r="AO844" s="1240"/>
      <c r="AP844" s="1240"/>
    </row>
    <row r="845" spans="1:42" ht="18.75" customHeight="1" x14ac:dyDescent="0.35">
      <c r="A845" s="1240"/>
      <c r="B845" s="1240"/>
      <c r="C845" s="1240"/>
      <c r="D845" s="1240"/>
      <c r="E845" s="1240"/>
      <c r="F845" s="1240"/>
      <c r="G845" s="1240"/>
      <c r="H845" s="1240"/>
      <c r="I845" s="1240"/>
      <c r="J845" s="1240"/>
      <c r="K845" s="1240"/>
      <c r="L845" s="1240"/>
      <c r="M845" s="1240"/>
      <c r="N845" s="1240"/>
      <c r="O845" s="1240"/>
      <c r="P845" s="1247">
        <f t="shared" si="94"/>
        <v>819</v>
      </c>
      <c r="Q845" s="1253" t="e">
        <f t="shared" ca="1" si="93"/>
        <v>#N/A</v>
      </c>
      <c r="R845" s="1247" t="str">
        <f>IFERROR(VLOOKUP(P845,RPCRepaymentDates[],1,FALSE),"")</f>
        <v/>
      </c>
      <c r="S845" s="1259">
        <f t="shared" si="89"/>
        <v>0</v>
      </c>
      <c r="T845" s="1247" t="str">
        <f>IFERROR(VLOOKUP(P845,RPCChargeCycleDates[],1,FALSE),"")</f>
        <v/>
      </c>
      <c r="U845" s="1248" t="str">
        <f>IFERROR(_xlfn.DAYS(T845,$Q$16)-SUM(U$26:U844),"")</f>
        <v/>
      </c>
      <c r="V845" s="1258">
        <f t="shared" ca="1" si="90"/>
        <v>0</v>
      </c>
      <c r="W845" s="1258">
        <f t="shared" ca="1" si="91"/>
        <v>0</v>
      </c>
      <c r="X845" s="1258" t="e">
        <f t="shared" ca="1" si="92"/>
        <v>#N/A</v>
      </c>
      <c r="Y845" s="1240"/>
      <c r="Z845" s="1240"/>
      <c r="AA845" s="1240"/>
      <c r="AB845" s="1240"/>
      <c r="AC845" s="1240"/>
      <c r="AD845" s="1240"/>
      <c r="AE845" s="1240"/>
      <c r="AF845" s="1240"/>
      <c r="AG845" s="1240"/>
      <c r="AH845" s="1240"/>
      <c r="AI845" s="1240"/>
      <c r="AJ845" s="1240"/>
      <c r="AK845" s="1240"/>
      <c r="AL845" s="1240"/>
      <c r="AM845" s="1240"/>
      <c r="AN845" s="1240"/>
      <c r="AO845" s="1240"/>
      <c r="AP845" s="1240"/>
    </row>
    <row r="846" spans="1:42" ht="18.75" customHeight="1" x14ac:dyDescent="0.35">
      <c r="A846" s="1240"/>
      <c r="B846" s="1240"/>
      <c r="C846" s="1240"/>
      <c r="D846" s="1240"/>
      <c r="E846" s="1240"/>
      <c r="F846" s="1240"/>
      <c r="G846" s="1240"/>
      <c r="H846" s="1240"/>
      <c r="I846" s="1240"/>
      <c r="J846" s="1240"/>
      <c r="K846" s="1240"/>
      <c r="L846" s="1240"/>
      <c r="M846" s="1240"/>
      <c r="N846" s="1240"/>
      <c r="O846" s="1240"/>
      <c r="P846" s="1247">
        <f t="shared" si="94"/>
        <v>820</v>
      </c>
      <c r="Q846" s="1253" t="e">
        <f t="shared" ca="1" si="93"/>
        <v>#N/A</v>
      </c>
      <c r="R846" s="1247" t="str">
        <f>IFERROR(VLOOKUP(P846,RPCRepaymentDates[],1,FALSE),"")</f>
        <v/>
      </c>
      <c r="S846" s="1259">
        <f t="shared" si="89"/>
        <v>0</v>
      </c>
      <c r="T846" s="1247" t="str">
        <f>IFERROR(VLOOKUP(P846,RPCChargeCycleDates[],1,FALSE),"")</f>
        <v/>
      </c>
      <c r="U846" s="1248" t="str">
        <f>IFERROR(_xlfn.DAYS(T846,$Q$16)-SUM(U$26:U845),"")</f>
        <v/>
      </c>
      <c r="V846" s="1258">
        <f t="shared" ca="1" si="90"/>
        <v>0</v>
      </c>
      <c r="W846" s="1258">
        <f t="shared" ca="1" si="91"/>
        <v>0</v>
      </c>
      <c r="X846" s="1258" t="e">
        <f t="shared" ca="1" si="92"/>
        <v>#N/A</v>
      </c>
      <c r="Y846" s="1240"/>
      <c r="Z846" s="1240"/>
      <c r="AA846" s="1240"/>
      <c r="AB846" s="1240"/>
      <c r="AC846" s="1240"/>
      <c r="AD846" s="1240"/>
      <c r="AE846" s="1240"/>
      <c r="AF846" s="1240"/>
      <c r="AG846" s="1240"/>
      <c r="AH846" s="1240"/>
      <c r="AI846" s="1240"/>
      <c r="AJ846" s="1240"/>
      <c r="AK846" s="1240"/>
      <c r="AL846" s="1240"/>
      <c r="AM846" s="1240"/>
      <c r="AN846" s="1240"/>
      <c r="AO846" s="1240"/>
      <c r="AP846" s="1240"/>
    </row>
    <row r="847" spans="1:42" ht="18.75" customHeight="1" x14ac:dyDescent="0.35">
      <c r="A847" s="1240"/>
      <c r="B847" s="1240"/>
      <c r="C847" s="1240"/>
      <c r="D847" s="1240"/>
      <c r="E847" s="1240"/>
      <c r="F847" s="1240"/>
      <c r="G847" s="1240"/>
      <c r="H847" s="1240"/>
      <c r="I847" s="1240"/>
      <c r="J847" s="1240"/>
      <c r="K847" s="1240"/>
      <c r="L847" s="1240"/>
      <c r="M847" s="1240"/>
      <c r="N847" s="1240"/>
      <c r="O847" s="1240"/>
      <c r="P847" s="1247">
        <f t="shared" si="94"/>
        <v>821</v>
      </c>
      <c r="Q847" s="1253" t="e">
        <f t="shared" ca="1" si="93"/>
        <v>#N/A</v>
      </c>
      <c r="R847" s="1247" t="str">
        <f>IFERROR(VLOOKUP(P847,RPCRepaymentDates[],1,FALSE),"")</f>
        <v/>
      </c>
      <c r="S847" s="1259">
        <f t="shared" si="89"/>
        <v>0</v>
      </c>
      <c r="T847" s="1247" t="str">
        <f>IFERROR(VLOOKUP(P847,RPCChargeCycleDates[],1,FALSE),"")</f>
        <v/>
      </c>
      <c r="U847" s="1248" t="str">
        <f>IFERROR(_xlfn.DAYS(T847,$Q$16)-SUM(U$26:U846),"")</f>
        <v/>
      </c>
      <c r="V847" s="1258">
        <f t="shared" ca="1" si="90"/>
        <v>0</v>
      </c>
      <c r="W847" s="1258">
        <f t="shared" ca="1" si="91"/>
        <v>0</v>
      </c>
      <c r="X847" s="1258" t="e">
        <f t="shared" ca="1" si="92"/>
        <v>#N/A</v>
      </c>
      <c r="Y847" s="1240"/>
      <c r="Z847" s="1240"/>
      <c r="AA847" s="1240"/>
      <c r="AB847" s="1240"/>
      <c r="AC847" s="1240"/>
      <c r="AD847" s="1240"/>
      <c r="AE847" s="1240"/>
      <c r="AF847" s="1240"/>
      <c r="AG847" s="1240"/>
      <c r="AH847" s="1240"/>
      <c r="AI847" s="1240"/>
      <c r="AJ847" s="1240"/>
      <c r="AK847" s="1240"/>
      <c r="AL847" s="1240"/>
      <c r="AM847" s="1240"/>
      <c r="AN847" s="1240"/>
      <c r="AO847" s="1240"/>
      <c r="AP847" s="1240"/>
    </row>
    <row r="848" spans="1:42" ht="18.75" customHeight="1" x14ac:dyDescent="0.35">
      <c r="A848" s="1240"/>
      <c r="B848" s="1240"/>
      <c r="C848" s="1240"/>
      <c r="D848" s="1240"/>
      <c r="E848" s="1240"/>
      <c r="F848" s="1240"/>
      <c r="G848" s="1240"/>
      <c r="H848" s="1240"/>
      <c r="I848" s="1240"/>
      <c r="J848" s="1240"/>
      <c r="K848" s="1240"/>
      <c r="L848" s="1240"/>
      <c r="M848" s="1240"/>
      <c r="N848" s="1240"/>
      <c r="O848" s="1240"/>
      <c r="P848" s="1247">
        <f t="shared" si="94"/>
        <v>822</v>
      </c>
      <c r="Q848" s="1253" t="e">
        <f t="shared" ca="1" si="93"/>
        <v>#N/A</v>
      </c>
      <c r="R848" s="1247" t="str">
        <f>IFERROR(VLOOKUP(P848,RPCRepaymentDates[],1,FALSE),"")</f>
        <v/>
      </c>
      <c r="S848" s="1259">
        <f t="shared" si="89"/>
        <v>0</v>
      </c>
      <c r="T848" s="1247" t="str">
        <f>IFERROR(VLOOKUP(P848,RPCChargeCycleDates[],1,FALSE),"")</f>
        <v/>
      </c>
      <c r="U848" s="1248" t="str">
        <f>IFERROR(_xlfn.DAYS(T848,$Q$16)-SUM(U$26:U847),"")</f>
        <v/>
      </c>
      <c r="V848" s="1258">
        <f t="shared" ca="1" si="90"/>
        <v>0</v>
      </c>
      <c r="W848" s="1258">
        <f t="shared" ca="1" si="91"/>
        <v>0</v>
      </c>
      <c r="X848" s="1258" t="e">
        <f t="shared" ca="1" si="92"/>
        <v>#N/A</v>
      </c>
      <c r="Y848" s="1240"/>
      <c r="Z848" s="1240"/>
      <c r="AA848" s="1240"/>
      <c r="AB848" s="1240"/>
      <c r="AC848" s="1240"/>
      <c r="AD848" s="1240"/>
      <c r="AE848" s="1240"/>
      <c r="AF848" s="1240"/>
      <c r="AG848" s="1240"/>
      <c r="AH848" s="1240"/>
      <c r="AI848" s="1240"/>
      <c r="AJ848" s="1240"/>
      <c r="AK848" s="1240"/>
      <c r="AL848" s="1240"/>
      <c r="AM848" s="1240"/>
      <c r="AN848" s="1240"/>
      <c r="AO848" s="1240"/>
      <c r="AP848" s="1240"/>
    </row>
    <row r="849" spans="1:42" ht="18.75" customHeight="1" x14ac:dyDescent="0.35">
      <c r="A849" s="1240"/>
      <c r="B849" s="1240"/>
      <c r="C849" s="1240"/>
      <c r="D849" s="1240"/>
      <c r="E849" s="1240"/>
      <c r="F849" s="1240"/>
      <c r="G849" s="1240"/>
      <c r="H849" s="1240"/>
      <c r="I849" s="1240"/>
      <c r="J849" s="1240"/>
      <c r="K849" s="1240"/>
      <c r="L849" s="1240"/>
      <c r="M849" s="1240"/>
      <c r="N849" s="1240"/>
      <c r="O849" s="1240"/>
      <c r="P849" s="1247">
        <f t="shared" si="94"/>
        <v>823</v>
      </c>
      <c r="Q849" s="1253" t="e">
        <f t="shared" ca="1" si="93"/>
        <v>#N/A</v>
      </c>
      <c r="R849" s="1247" t="str">
        <f>IFERROR(VLOOKUP(P849,RPCRepaymentDates[],1,FALSE),"")</f>
        <v/>
      </c>
      <c r="S849" s="1259">
        <f t="shared" si="89"/>
        <v>0</v>
      </c>
      <c r="T849" s="1247" t="str">
        <f>IFERROR(VLOOKUP(P849,RPCChargeCycleDates[],1,FALSE),"")</f>
        <v/>
      </c>
      <c r="U849" s="1248" t="str">
        <f>IFERROR(_xlfn.DAYS(T849,$Q$16)-SUM(U$26:U848),"")</f>
        <v/>
      </c>
      <c r="V849" s="1258">
        <f t="shared" ca="1" si="90"/>
        <v>0</v>
      </c>
      <c r="W849" s="1258">
        <f t="shared" ca="1" si="91"/>
        <v>0</v>
      </c>
      <c r="X849" s="1258" t="e">
        <f t="shared" ca="1" si="92"/>
        <v>#N/A</v>
      </c>
      <c r="Y849" s="1240"/>
      <c r="Z849" s="1240"/>
      <c r="AA849" s="1240"/>
      <c r="AB849" s="1240"/>
      <c r="AC849" s="1240"/>
      <c r="AD849" s="1240"/>
      <c r="AE849" s="1240"/>
      <c r="AF849" s="1240"/>
      <c r="AG849" s="1240"/>
      <c r="AH849" s="1240"/>
      <c r="AI849" s="1240"/>
      <c r="AJ849" s="1240"/>
      <c r="AK849" s="1240"/>
      <c r="AL849" s="1240"/>
      <c r="AM849" s="1240"/>
      <c r="AN849" s="1240"/>
      <c r="AO849" s="1240"/>
      <c r="AP849" s="1240"/>
    </row>
    <row r="850" spans="1:42" ht="18.75" customHeight="1" x14ac:dyDescent="0.35">
      <c r="A850" s="1240"/>
      <c r="B850" s="1240"/>
      <c r="C850" s="1240"/>
      <c r="D850" s="1240"/>
      <c r="E850" s="1240"/>
      <c r="F850" s="1240"/>
      <c r="G850" s="1240"/>
      <c r="H850" s="1240"/>
      <c r="I850" s="1240"/>
      <c r="J850" s="1240"/>
      <c r="K850" s="1240"/>
      <c r="L850" s="1240"/>
      <c r="M850" s="1240"/>
      <c r="N850" s="1240"/>
      <c r="O850" s="1240"/>
      <c r="P850" s="1247">
        <f t="shared" si="94"/>
        <v>824</v>
      </c>
      <c r="Q850" s="1253" t="e">
        <f t="shared" ca="1" si="93"/>
        <v>#N/A</v>
      </c>
      <c r="R850" s="1247" t="str">
        <f>IFERROR(VLOOKUP(P850,RPCRepaymentDates[],1,FALSE),"")</f>
        <v/>
      </c>
      <c r="S850" s="1259">
        <f t="shared" si="89"/>
        <v>0</v>
      </c>
      <c r="T850" s="1247" t="str">
        <f>IFERROR(VLOOKUP(P850,RPCChargeCycleDates[],1,FALSE),"")</f>
        <v/>
      </c>
      <c r="U850" s="1248" t="str">
        <f>IFERROR(_xlfn.DAYS(T850,$Q$16)-SUM(U$26:U849),"")</f>
        <v/>
      </c>
      <c r="V850" s="1258">
        <f t="shared" ca="1" si="90"/>
        <v>0</v>
      </c>
      <c r="W850" s="1258">
        <f t="shared" ca="1" si="91"/>
        <v>0</v>
      </c>
      <c r="X850" s="1258" t="e">
        <f t="shared" ca="1" si="92"/>
        <v>#N/A</v>
      </c>
      <c r="Y850" s="1240"/>
      <c r="Z850" s="1240"/>
      <c r="AA850" s="1240"/>
      <c r="AB850" s="1240"/>
      <c r="AC850" s="1240"/>
      <c r="AD850" s="1240"/>
      <c r="AE850" s="1240"/>
      <c r="AF850" s="1240"/>
      <c r="AG850" s="1240"/>
      <c r="AH850" s="1240"/>
      <c r="AI850" s="1240"/>
      <c r="AJ850" s="1240"/>
      <c r="AK850" s="1240"/>
      <c r="AL850" s="1240"/>
      <c r="AM850" s="1240"/>
      <c r="AN850" s="1240"/>
      <c r="AO850" s="1240"/>
      <c r="AP850" s="1240"/>
    </row>
    <row r="851" spans="1:42" ht="18.75" customHeight="1" x14ac:dyDescent="0.35">
      <c r="A851" s="1240"/>
      <c r="B851" s="1240"/>
      <c r="C851" s="1240"/>
      <c r="D851" s="1240"/>
      <c r="E851" s="1240"/>
      <c r="F851" s="1240"/>
      <c r="G851" s="1240"/>
      <c r="H851" s="1240"/>
      <c r="I851" s="1240"/>
      <c r="J851" s="1240"/>
      <c r="K851" s="1240"/>
      <c r="L851" s="1240"/>
      <c r="M851" s="1240"/>
      <c r="N851" s="1240"/>
      <c r="O851" s="1240"/>
      <c r="P851" s="1247">
        <f t="shared" si="94"/>
        <v>825</v>
      </c>
      <c r="Q851" s="1253" t="e">
        <f t="shared" ca="1" si="93"/>
        <v>#N/A</v>
      </c>
      <c r="R851" s="1247" t="str">
        <f>IFERROR(VLOOKUP(P851,RPCRepaymentDates[],1,FALSE),"")</f>
        <v/>
      </c>
      <c r="S851" s="1259">
        <f t="shared" si="89"/>
        <v>0</v>
      </c>
      <c r="T851" s="1247" t="str">
        <f>IFERROR(VLOOKUP(P851,RPCChargeCycleDates[],1,FALSE),"")</f>
        <v/>
      </c>
      <c r="U851" s="1248" t="str">
        <f>IFERROR(_xlfn.DAYS(T851,$Q$16)-SUM(U$26:U850),"")</f>
        <v/>
      </c>
      <c r="V851" s="1258">
        <f t="shared" ca="1" si="90"/>
        <v>0</v>
      </c>
      <c r="W851" s="1258">
        <f t="shared" ca="1" si="91"/>
        <v>0</v>
      </c>
      <c r="X851" s="1258" t="e">
        <f t="shared" ca="1" si="92"/>
        <v>#N/A</v>
      </c>
      <c r="Y851" s="1240"/>
      <c r="Z851" s="1240"/>
      <c r="AA851" s="1240"/>
      <c r="AB851" s="1240"/>
      <c r="AC851" s="1240"/>
      <c r="AD851" s="1240"/>
      <c r="AE851" s="1240"/>
      <c r="AF851" s="1240"/>
      <c r="AG851" s="1240"/>
      <c r="AH851" s="1240"/>
      <c r="AI851" s="1240"/>
      <c r="AJ851" s="1240"/>
      <c r="AK851" s="1240"/>
      <c r="AL851" s="1240"/>
      <c r="AM851" s="1240"/>
      <c r="AN851" s="1240"/>
      <c r="AO851" s="1240"/>
      <c r="AP851" s="1240"/>
    </row>
    <row r="852" spans="1:42" ht="18.75" customHeight="1" x14ac:dyDescent="0.35">
      <c r="A852" s="1240"/>
      <c r="B852" s="1240"/>
      <c r="C852" s="1240"/>
      <c r="D852" s="1240"/>
      <c r="E852" s="1240"/>
      <c r="F852" s="1240"/>
      <c r="G852" s="1240"/>
      <c r="H852" s="1240"/>
      <c r="I852" s="1240"/>
      <c r="J852" s="1240"/>
      <c r="K852" s="1240"/>
      <c r="L852" s="1240"/>
      <c r="M852" s="1240"/>
      <c r="N852" s="1240"/>
      <c r="O852" s="1240"/>
      <c r="P852" s="1247">
        <f t="shared" si="94"/>
        <v>826</v>
      </c>
      <c r="Q852" s="1253" t="e">
        <f t="shared" ca="1" si="93"/>
        <v>#N/A</v>
      </c>
      <c r="R852" s="1247" t="str">
        <f>IFERROR(VLOOKUP(P852,RPCRepaymentDates[],1,FALSE),"")</f>
        <v/>
      </c>
      <c r="S852" s="1259">
        <f t="shared" si="89"/>
        <v>0</v>
      </c>
      <c r="T852" s="1247" t="str">
        <f>IFERROR(VLOOKUP(P852,RPCChargeCycleDates[],1,FALSE),"")</f>
        <v/>
      </c>
      <c r="U852" s="1248" t="str">
        <f>IFERROR(_xlfn.DAYS(T852,$Q$16)-SUM(U$26:U851),"")</f>
        <v/>
      </c>
      <c r="V852" s="1258">
        <f t="shared" ca="1" si="90"/>
        <v>0</v>
      </c>
      <c r="W852" s="1258">
        <f t="shared" ca="1" si="91"/>
        <v>0</v>
      </c>
      <c r="X852" s="1258" t="e">
        <f t="shared" ca="1" si="92"/>
        <v>#N/A</v>
      </c>
      <c r="Y852" s="1240"/>
      <c r="Z852" s="1240"/>
      <c r="AA852" s="1240"/>
      <c r="AB852" s="1240"/>
      <c r="AC852" s="1240"/>
      <c r="AD852" s="1240"/>
      <c r="AE852" s="1240"/>
      <c r="AF852" s="1240"/>
      <c r="AG852" s="1240"/>
      <c r="AH852" s="1240"/>
      <c r="AI852" s="1240"/>
      <c r="AJ852" s="1240"/>
      <c r="AK852" s="1240"/>
      <c r="AL852" s="1240"/>
      <c r="AM852" s="1240"/>
      <c r="AN852" s="1240"/>
      <c r="AO852" s="1240"/>
      <c r="AP852" s="1240"/>
    </row>
    <row r="853" spans="1:42" ht="18.75" customHeight="1" x14ac:dyDescent="0.35">
      <c r="A853" s="1240"/>
      <c r="B853" s="1240"/>
      <c r="C853" s="1240"/>
      <c r="D853" s="1240"/>
      <c r="E853" s="1240"/>
      <c r="F853" s="1240"/>
      <c r="G853" s="1240"/>
      <c r="H853" s="1240"/>
      <c r="I853" s="1240"/>
      <c r="J853" s="1240"/>
      <c r="K853" s="1240"/>
      <c r="L853" s="1240"/>
      <c r="M853" s="1240"/>
      <c r="N853" s="1240"/>
      <c r="O853" s="1240"/>
      <c r="P853" s="1247">
        <f t="shared" si="94"/>
        <v>827</v>
      </c>
      <c r="Q853" s="1253" t="e">
        <f t="shared" ca="1" si="93"/>
        <v>#N/A</v>
      </c>
      <c r="R853" s="1247" t="str">
        <f>IFERROR(VLOOKUP(P853,RPCRepaymentDates[],1,FALSE),"")</f>
        <v/>
      </c>
      <c r="S853" s="1259">
        <f t="shared" si="89"/>
        <v>0</v>
      </c>
      <c r="T853" s="1247" t="str">
        <f>IFERROR(VLOOKUP(P853,RPCChargeCycleDates[],1,FALSE),"")</f>
        <v/>
      </c>
      <c r="U853" s="1248" t="str">
        <f>IFERROR(_xlfn.DAYS(T853,$Q$16)-SUM(U$26:U852),"")</f>
        <v/>
      </c>
      <c r="V853" s="1258">
        <f t="shared" ca="1" si="90"/>
        <v>0</v>
      </c>
      <c r="W853" s="1258">
        <f t="shared" ca="1" si="91"/>
        <v>0</v>
      </c>
      <c r="X853" s="1258" t="e">
        <f t="shared" ca="1" si="92"/>
        <v>#N/A</v>
      </c>
      <c r="Y853" s="1240"/>
      <c r="Z853" s="1240"/>
      <c r="AA853" s="1240"/>
      <c r="AB853" s="1240"/>
      <c r="AC853" s="1240"/>
      <c r="AD853" s="1240"/>
      <c r="AE853" s="1240"/>
      <c r="AF853" s="1240"/>
      <c r="AG853" s="1240"/>
      <c r="AH853" s="1240"/>
      <c r="AI853" s="1240"/>
      <c r="AJ853" s="1240"/>
      <c r="AK853" s="1240"/>
      <c r="AL853" s="1240"/>
      <c r="AM853" s="1240"/>
      <c r="AN853" s="1240"/>
      <c r="AO853" s="1240"/>
      <c r="AP853" s="1240"/>
    </row>
    <row r="854" spans="1:42" ht="18.75" customHeight="1" x14ac:dyDescent="0.35">
      <c r="A854" s="1240"/>
      <c r="B854" s="1240"/>
      <c r="C854" s="1240"/>
      <c r="D854" s="1240"/>
      <c r="E854" s="1240"/>
      <c r="F854" s="1240"/>
      <c r="G854" s="1240"/>
      <c r="H854" s="1240"/>
      <c r="I854" s="1240"/>
      <c r="J854" s="1240"/>
      <c r="K854" s="1240"/>
      <c r="L854" s="1240"/>
      <c r="M854" s="1240"/>
      <c r="N854" s="1240"/>
      <c r="O854" s="1240"/>
      <c r="P854" s="1247">
        <f t="shared" si="94"/>
        <v>828</v>
      </c>
      <c r="Q854" s="1253" t="e">
        <f t="shared" ca="1" si="93"/>
        <v>#N/A</v>
      </c>
      <c r="R854" s="1247" t="str">
        <f>IFERROR(VLOOKUP(P854,RPCRepaymentDates[],1,FALSE),"")</f>
        <v/>
      </c>
      <c r="S854" s="1259">
        <f t="shared" si="89"/>
        <v>0</v>
      </c>
      <c r="T854" s="1247" t="str">
        <f>IFERROR(VLOOKUP(P854,RPCChargeCycleDates[],1,FALSE),"")</f>
        <v/>
      </c>
      <c r="U854" s="1248" t="str">
        <f>IFERROR(_xlfn.DAYS(T854,$Q$16)-SUM(U$26:U853),"")</f>
        <v/>
      </c>
      <c r="V854" s="1258">
        <f t="shared" ca="1" si="90"/>
        <v>0</v>
      </c>
      <c r="W854" s="1258">
        <f t="shared" ca="1" si="91"/>
        <v>0</v>
      </c>
      <c r="X854" s="1258" t="e">
        <f t="shared" ca="1" si="92"/>
        <v>#N/A</v>
      </c>
      <c r="Y854" s="1240"/>
      <c r="Z854" s="1240"/>
      <c r="AA854" s="1240"/>
      <c r="AB854" s="1240"/>
      <c r="AC854" s="1240"/>
      <c r="AD854" s="1240"/>
      <c r="AE854" s="1240"/>
      <c r="AF854" s="1240"/>
      <c r="AG854" s="1240"/>
      <c r="AH854" s="1240"/>
      <c r="AI854" s="1240"/>
      <c r="AJ854" s="1240"/>
      <c r="AK854" s="1240"/>
      <c r="AL854" s="1240"/>
      <c r="AM854" s="1240"/>
      <c r="AN854" s="1240"/>
      <c r="AO854" s="1240"/>
      <c r="AP854" s="1240"/>
    </row>
    <row r="855" spans="1:42" ht="18.75" customHeight="1" x14ac:dyDescent="0.35">
      <c r="A855" s="1240"/>
      <c r="B855" s="1240"/>
      <c r="C855" s="1240"/>
      <c r="D855" s="1240"/>
      <c r="E855" s="1240"/>
      <c r="F855" s="1240"/>
      <c r="G855" s="1240"/>
      <c r="H855" s="1240"/>
      <c r="I855" s="1240"/>
      <c r="J855" s="1240"/>
      <c r="K855" s="1240"/>
      <c r="L855" s="1240"/>
      <c r="M855" s="1240"/>
      <c r="N855" s="1240"/>
      <c r="O855" s="1240"/>
      <c r="P855" s="1247">
        <f t="shared" si="94"/>
        <v>829</v>
      </c>
      <c r="Q855" s="1253" t="e">
        <f t="shared" ca="1" si="93"/>
        <v>#N/A</v>
      </c>
      <c r="R855" s="1247" t="str">
        <f>IFERROR(VLOOKUP(P855,RPCRepaymentDates[],1,FALSE),"")</f>
        <v/>
      </c>
      <c r="S855" s="1259">
        <f t="shared" si="89"/>
        <v>0</v>
      </c>
      <c r="T855" s="1247" t="str">
        <f>IFERROR(VLOOKUP(P855,RPCChargeCycleDates[],1,FALSE),"")</f>
        <v/>
      </c>
      <c r="U855" s="1248" t="str">
        <f>IFERROR(_xlfn.DAYS(T855,$Q$16)-SUM(U$26:U854),"")</f>
        <v/>
      </c>
      <c r="V855" s="1258">
        <f t="shared" ca="1" si="90"/>
        <v>0</v>
      </c>
      <c r="W855" s="1258">
        <f t="shared" ca="1" si="91"/>
        <v>0</v>
      </c>
      <c r="X855" s="1258" t="e">
        <f t="shared" ca="1" si="92"/>
        <v>#N/A</v>
      </c>
      <c r="Y855" s="1240"/>
      <c r="Z855" s="1240"/>
      <c r="AA855" s="1240"/>
      <c r="AB855" s="1240"/>
      <c r="AC855" s="1240"/>
      <c r="AD855" s="1240"/>
      <c r="AE855" s="1240"/>
      <c r="AF855" s="1240"/>
      <c r="AG855" s="1240"/>
      <c r="AH855" s="1240"/>
      <c r="AI855" s="1240"/>
      <c r="AJ855" s="1240"/>
      <c r="AK855" s="1240"/>
      <c r="AL855" s="1240"/>
      <c r="AM855" s="1240"/>
      <c r="AN855" s="1240"/>
      <c r="AO855" s="1240"/>
      <c r="AP855" s="1240"/>
    </row>
    <row r="856" spans="1:42" ht="18.75" customHeight="1" x14ac:dyDescent="0.35">
      <c r="A856" s="1240"/>
      <c r="B856" s="1240"/>
      <c r="C856" s="1240"/>
      <c r="D856" s="1240"/>
      <c r="E856" s="1240"/>
      <c r="F856" s="1240"/>
      <c r="G856" s="1240"/>
      <c r="H856" s="1240"/>
      <c r="I856" s="1240"/>
      <c r="J856" s="1240"/>
      <c r="K856" s="1240"/>
      <c r="L856" s="1240"/>
      <c r="M856" s="1240"/>
      <c r="N856" s="1240"/>
      <c r="O856" s="1240"/>
      <c r="P856" s="1247">
        <f t="shared" si="94"/>
        <v>830</v>
      </c>
      <c r="Q856" s="1253" t="e">
        <f t="shared" ca="1" si="93"/>
        <v>#N/A</v>
      </c>
      <c r="R856" s="1247" t="str">
        <f>IFERROR(VLOOKUP(P856,RPCRepaymentDates[],1,FALSE),"")</f>
        <v/>
      </c>
      <c r="S856" s="1259">
        <f t="shared" si="89"/>
        <v>0</v>
      </c>
      <c r="T856" s="1247" t="str">
        <f>IFERROR(VLOOKUP(P856,RPCChargeCycleDates[],1,FALSE),"")</f>
        <v/>
      </c>
      <c r="U856" s="1248" t="str">
        <f>IFERROR(_xlfn.DAYS(T856,$Q$16)-SUM(U$26:U855),"")</f>
        <v/>
      </c>
      <c r="V856" s="1258">
        <f t="shared" ca="1" si="90"/>
        <v>0</v>
      </c>
      <c r="W856" s="1258">
        <f t="shared" ca="1" si="91"/>
        <v>0</v>
      </c>
      <c r="X856" s="1258" t="e">
        <f t="shared" ca="1" si="92"/>
        <v>#N/A</v>
      </c>
      <c r="Y856" s="1240"/>
      <c r="Z856" s="1240"/>
      <c r="AA856" s="1240"/>
      <c r="AB856" s="1240"/>
      <c r="AC856" s="1240"/>
      <c r="AD856" s="1240"/>
      <c r="AE856" s="1240"/>
      <c r="AF856" s="1240"/>
      <c r="AG856" s="1240"/>
      <c r="AH856" s="1240"/>
      <c r="AI856" s="1240"/>
      <c r="AJ856" s="1240"/>
      <c r="AK856" s="1240"/>
      <c r="AL856" s="1240"/>
      <c r="AM856" s="1240"/>
      <c r="AN856" s="1240"/>
      <c r="AO856" s="1240"/>
      <c r="AP856" s="1240"/>
    </row>
    <row r="857" spans="1:42" ht="18.75" customHeight="1" x14ac:dyDescent="0.35">
      <c r="A857" s="1240"/>
      <c r="B857" s="1240"/>
      <c r="C857" s="1240"/>
      <c r="D857" s="1240"/>
      <c r="E857" s="1240"/>
      <c r="F857" s="1240"/>
      <c r="G857" s="1240"/>
      <c r="H857" s="1240"/>
      <c r="I857" s="1240"/>
      <c r="J857" s="1240"/>
      <c r="K857" s="1240"/>
      <c r="L857" s="1240"/>
      <c r="M857" s="1240"/>
      <c r="N857" s="1240"/>
      <c r="O857" s="1240"/>
      <c r="P857" s="1247">
        <f t="shared" si="94"/>
        <v>831</v>
      </c>
      <c r="Q857" s="1253" t="e">
        <f t="shared" ca="1" si="93"/>
        <v>#N/A</v>
      </c>
      <c r="R857" s="1247" t="str">
        <f>IFERROR(VLOOKUP(P857,RPCRepaymentDates[],1,FALSE),"")</f>
        <v/>
      </c>
      <c r="S857" s="1259">
        <f t="shared" si="89"/>
        <v>0</v>
      </c>
      <c r="T857" s="1247" t="str">
        <f>IFERROR(VLOOKUP(P857,RPCChargeCycleDates[],1,FALSE),"")</f>
        <v/>
      </c>
      <c r="U857" s="1248" t="str">
        <f>IFERROR(_xlfn.DAYS(T857,$Q$16)-SUM(U$26:U856),"")</f>
        <v/>
      </c>
      <c r="V857" s="1258">
        <f t="shared" ca="1" si="90"/>
        <v>0</v>
      </c>
      <c r="W857" s="1258">
        <f t="shared" ca="1" si="91"/>
        <v>0</v>
      </c>
      <c r="X857" s="1258" t="e">
        <f t="shared" ca="1" si="92"/>
        <v>#N/A</v>
      </c>
      <c r="Y857" s="1240"/>
      <c r="Z857" s="1240"/>
      <c r="AA857" s="1240"/>
      <c r="AB857" s="1240"/>
      <c r="AC857" s="1240"/>
      <c r="AD857" s="1240"/>
      <c r="AE857" s="1240"/>
      <c r="AF857" s="1240"/>
      <c r="AG857" s="1240"/>
      <c r="AH857" s="1240"/>
      <c r="AI857" s="1240"/>
      <c r="AJ857" s="1240"/>
      <c r="AK857" s="1240"/>
      <c r="AL857" s="1240"/>
      <c r="AM857" s="1240"/>
      <c r="AN857" s="1240"/>
      <c r="AO857" s="1240"/>
      <c r="AP857" s="1240"/>
    </row>
    <row r="858" spans="1:42" ht="18.75" customHeight="1" x14ac:dyDescent="0.35">
      <c r="A858" s="1240"/>
      <c r="B858" s="1240"/>
      <c r="C858" s="1240"/>
      <c r="D858" s="1240"/>
      <c r="E858" s="1240"/>
      <c r="F858" s="1240"/>
      <c r="G858" s="1240"/>
      <c r="H858" s="1240"/>
      <c r="I858" s="1240"/>
      <c r="J858" s="1240"/>
      <c r="K858" s="1240"/>
      <c r="L858" s="1240"/>
      <c r="M858" s="1240"/>
      <c r="N858" s="1240"/>
      <c r="O858" s="1240"/>
      <c r="P858" s="1247">
        <f t="shared" si="94"/>
        <v>832</v>
      </c>
      <c r="Q858" s="1253" t="e">
        <f t="shared" ca="1" si="93"/>
        <v>#N/A</v>
      </c>
      <c r="R858" s="1247" t="str">
        <f>IFERROR(VLOOKUP(P858,RPCRepaymentDates[],1,FALSE),"")</f>
        <v/>
      </c>
      <c r="S858" s="1259">
        <f t="shared" ref="S858:S921" si="95">IF(P858=R858,IF(R858&lt;RPCNextPaymentTransferDate,0,IF(OR(R858&lt;RPCPauseStartDate,R858&gt;RPCPauseEndDate),RPCCurrentRepayment,RPCPauseRepayment)),0)</f>
        <v>0</v>
      </c>
      <c r="T858" s="1247" t="str">
        <f>IFERROR(VLOOKUP(P858,RPCChargeCycleDates[],1,FALSE),"")</f>
        <v/>
      </c>
      <c r="U858" s="1248" t="str">
        <f>IFERROR(_xlfn.DAYS(T858,$Q$16)-SUM(U$26:U857),"")</f>
        <v/>
      </c>
      <c r="V858" s="1258">
        <f t="shared" ref="V858:V921" ca="1" si="96">IFERROR((Q858-S858)*(1/RPCDaysInYear)*RPCInterestRate,0)</f>
        <v>0</v>
      </c>
      <c r="W858" s="1258">
        <f t="shared" ref="W858:W921" ca="1" si="97">IFERROR(IF(T858=P858,SUM(OFFSET(V858,-U858+1,0,U858,1)),0),0)</f>
        <v>0</v>
      </c>
      <c r="X858" s="1258" t="e">
        <f t="shared" ref="X858:X921" ca="1" si="98">Q858-S858+W858</f>
        <v>#N/A</v>
      </c>
      <c r="Y858" s="1240"/>
      <c r="Z858" s="1240"/>
      <c r="AA858" s="1240"/>
      <c r="AB858" s="1240"/>
      <c r="AC858" s="1240"/>
      <c r="AD858" s="1240"/>
      <c r="AE858" s="1240"/>
      <c r="AF858" s="1240"/>
      <c r="AG858" s="1240"/>
      <c r="AH858" s="1240"/>
      <c r="AI858" s="1240"/>
      <c r="AJ858" s="1240"/>
      <c r="AK858" s="1240"/>
      <c r="AL858" s="1240"/>
      <c r="AM858" s="1240"/>
      <c r="AN858" s="1240"/>
      <c r="AO858" s="1240"/>
      <c r="AP858" s="1240"/>
    </row>
    <row r="859" spans="1:42" ht="18.75" customHeight="1" x14ac:dyDescent="0.35">
      <c r="A859" s="1240"/>
      <c r="B859" s="1240"/>
      <c r="C859" s="1240"/>
      <c r="D859" s="1240"/>
      <c r="E859" s="1240"/>
      <c r="F859" s="1240"/>
      <c r="G859" s="1240"/>
      <c r="H859" s="1240"/>
      <c r="I859" s="1240"/>
      <c r="J859" s="1240"/>
      <c r="K859" s="1240"/>
      <c r="L859" s="1240"/>
      <c r="M859" s="1240"/>
      <c r="N859" s="1240"/>
      <c r="O859" s="1240"/>
      <c r="P859" s="1247">
        <f t="shared" si="94"/>
        <v>833</v>
      </c>
      <c r="Q859" s="1253" t="e">
        <f t="shared" ref="Q859:Q922" ca="1" si="99">X858</f>
        <v>#N/A</v>
      </c>
      <c r="R859" s="1247" t="str">
        <f>IFERROR(VLOOKUP(P859,RPCRepaymentDates[],1,FALSE),"")</f>
        <v/>
      </c>
      <c r="S859" s="1259">
        <f t="shared" si="95"/>
        <v>0</v>
      </c>
      <c r="T859" s="1247" t="str">
        <f>IFERROR(VLOOKUP(P859,RPCChargeCycleDates[],1,FALSE),"")</f>
        <v/>
      </c>
      <c r="U859" s="1248" t="str">
        <f>IFERROR(_xlfn.DAYS(T859,$Q$16)-SUM(U$26:U858),"")</f>
        <v/>
      </c>
      <c r="V859" s="1258">
        <f t="shared" ca="1" si="96"/>
        <v>0</v>
      </c>
      <c r="W859" s="1258">
        <f t="shared" ca="1" si="97"/>
        <v>0</v>
      </c>
      <c r="X859" s="1258" t="e">
        <f t="shared" ca="1" si="98"/>
        <v>#N/A</v>
      </c>
      <c r="Y859" s="1240"/>
      <c r="Z859" s="1240"/>
      <c r="AA859" s="1240"/>
      <c r="AB859" s="1240"/>
      <c r="AC859" s="1240"/>
      <c r="AD859" s="1240"/>
      <c r="AE859" s="1240"/>
      <c r="AF859" s="1240"/>
      <c r="AG859" s="1240"/>
      <c r="AH859" s="1240"/>
      <c r="AI859" s="1240"/>
      <c r="AJ859" s="1240"/>
      <c r="AK859" s="1240"/>
      <c r="AL859" s="1240"/>
      <c r="AM859" s="1240"/>
      <c r="AN859" s="1240"/>
      <c r="AO859" s="1240"/>
      <c r="AP859" s="1240"/>
    </row>
    <row r="860" spans="1:42" ht="18.75" customHeight="1" x14ac:dyDescent="0.35">
      <c r="A860" s="1240"/>
      <c r="B860" s="1240"/>
      <c r="C860" s="1240"/>
      <c r="D860" s="1240"/>
      <c r="E860" s="1240"/>
      <c r="F860" s="1240"/>
      <c r="G860" s="1240"/>
      <c r="H860" s="1240"/>
      <c r="I860" s="1240"/>
      <c r="J860" s="1240"/>
      <c r="K860" s="1240"/>
      <c r="L860" s="1240"/>
      <c r="M860" s="1240"/>
      <c r="N860" s="1240"/>
      <c r="O860" s="1240"/>
      <c r="P860" s="1247">
        <f t="shared" si="94"/>
        <v>834</v>
      </c>
      <c r="Q860" s="1253" t="e">
        <f t="shared" ca="1" si="99"/>
        <v>#N/A</v>
      </c>
      <c r="R860" s="1247" t="str">
        <f>IFERROR(VLOOKUP(P860,RPCRepaymentDates[],1,FALSE),"")</f>
        <v/>
      </c>
      <c r="S860" s="1259">
        <f t="shared" si="95"/>
        <v>0</v>
      </c>
      <c r="T860" s="1247" t="str">
        <f>IFERROR(VLOOKUP(P860,RPCChargeCycleDates[],1,FALSE),"")</f>
        <v/>
      </c>
      <c r="U860" s="1248" t="str">
        <f>IFERROR(_xlfn.DAYS(T860,$Q$16)-SUM(U$26:U859),"")</f>
        <v/>
      </c>
      <c r="V860" s="1258">
        <f t="shared" ca="1" si="96"/>
        <v>0</v>
      </c>
      <c r="W860" s="1258">
        <f t="shared" ca="1" si="97"/>
        <v>0</v>
      </c>
      <c r="X860" s="1258" t="e">
        <f t="shared" ca="1" si="98"/>
        <v>#N/A</v>
      </c>
      <c r="Y860" s="1240"/>
      <c r="Z860" s="1240"/>
      <c r="AA860" s="1240"/>
      <c r="AB860" s="1240"/>
      <c r="AC860" s="1240"/>
      <c r="AD860" s="1240"/>
      <c r="AE860" s="1240"/>
      <c r="AF860" s="1240"/>
      <c r="AG860" s="1240"/>
      <c r="AH860" s="1240"/>
      <c r="AI860" s="1240"/>
      <c r="AJ860" s="1240"/>
      <c r="AK860" s="1240"/>
      <c r="AL860" s="1240"/>
      <c r="AM860" s="1240"/>
      <c r="AN860" s="1240"/>
      <c r="AO860" s="1240"/>
      <c r="AP860" s="1240"/>
    </row>
    <row r="861" spans="1:42" ht="18.75" customHeight="1" x14ac:dyDescent="0.35">
      <c r="A861" s="1240"/>
      <c r="B861" s="1240"/>
      <c r="C861" s="1240"/>
      <c r="D861" s="1240"/>
      <c r="E861" s="1240"/>
      <c r="F861" s="1240"/>
      <c r="G861" s="1240"/>
      <c r="H861" s="1240"/>
      <c r="I861" s="1240"/>
      <c r="J861" s="1240"/>
      <c r="K861" s="1240"/>
      <c r="L861" s="1240"/>
      <c r="M861" s="1240"/>
      <c r="N861" s="1240"/>
      <c r="O861" s="1240"/>
      <c r="P861" s="1247">
        <f t="shared" si="94"/>
        <v>835</v>
      </c>
      <c r="Q861" s="1253" t="e">
        <f t="shared" ca="1" si="99"/>
        <v>#N/A</v>
      </c>
      <c r="R861" s="1247" t="str">
        <f>IFERROR(VLOOKUP(P861,RPCRepaymentDates[],1,FALSE),"")</f>
        <v/>
      </c>
      <c r="S861" s="1259">
        <f t="shared" si="95"/>
        <v>0</v>
      </c>
      <c r="T861" s="1247" t="str">
        <f>IFERROR(VLOOKUP(P861,RPCChargeCycleDates[],1,FALSE),"")</f>
        <v/>
      </c>
      <c r="U861" s="1248" t="str">
        <f>IFERROR(_xlfn.DAYS(T861,$Q$16)-SUM(U$26:U860),"")</f>
        <v/>
      </c>
      <c r="V861" s="1258">
        <f t="shared" ca="1" si="96"/>
        <v>0</v>
      </c>
      <c r="W861" s="1258">
        <f t="shared" ca="1" si="97"/>
        <v>0</v>
      </c>
      <c r="X861" s="1258" t="e">
        <f t="shared" ca="1" si="98"/>
        <v>#N/A</v>
      </c>
      <c r="Y861" s="1240"/>
      <c r="Z861" s="1240"/>
      <c r="AA861" s="1240"/>
      <c r="AB861" s="1240"/>
      <c r="AC861" s="1240"/>
      <c r="AD861" s="1240"/>
      <c r="AE861" s="1240"/>
      <c r="AF861" s="1240"/>
      <c r="AG861" s="1240"/>
      <c r="AH861" s="1240"/>
      <c r="AI861" s="1240"/>
      <c r="AJ861" s="1240"/>
      <c r="AK861" s="1240"/>
      <c r="AL861" s="1240"/>
      <c r="AM861" s="1240"/>
      <c r="AN861" s="1240"/>
      <c r="AO861" s="1240"/>
      <c r="AP861" s="1240"/>
    </row>
    <row r="862" spans="1:42" ht="18.75" customHeight="1" x14ac:dyDescent="0.35">
      <c r="A862" s="1240"/>
      <c r="B862" s="1240"/>
      <c r="C862" s="1240"/>
      <c r="D862" s="1240"/>
      <c r="E862" s="1240"/>
      <c r="F862" s="1240"/>
      <c r="G862" s="1240"/>
      <c r="H862" s="1240"/>
      <c r="I862" s="1240"/>
      <c r="J862" s="1240"/>
      <c r="K862" s="1240"/>
      <c r="L862" s="1240"/>
      <c r="M862" s="1240"/>
      <c r="N862" s="1240"/>
      <c r="O862" s="1240"/>
      <c r="P862" s="1247">
        <f t="shared" si="94"/>
        <v>836</v>
      </c>
      <c r="Q862" s="1253" t="e">
        <f t="shared" ca="1" si="99"/>
        <v>#N/A</v>
      </c>
      <c r="R862" s="1247" t="str">
        <f>IFERROR(VLOOKUP(P862,RPCRepaymentDates[],1,FALSE),"")</f>
        <v/>
      </c>
      <c r="S862" s="1259">
        <f t="shared" si="95"/>
        <v>0</v>
      </c>
      <c r="T862" s="1247" t="str">
        <f>IFERROR(VLOOKUP(P862,RPCChargeCycleDates[],1,FALSE),"")</f>
        <v/>
      </c>
      <c r="U862" s="1248" t="str">
        <f>IFERROR(_xlfn.DAYS(T862,$Q$16)-SUM(U$26:U861),"")</f>
        <v/>
      </c>
      <c r="V862" s="1258">
        <f t="shared" ca="1" si="96"/>
        <v>0</v>
      </c>
      <c r="W862" s="1258">
        <f t="shared" ca="1" si="97"/>
        <v>0</v>
      </c>
      <c r="X862" s="1258" t="e">
        <f t="shared" ca="1" si="98"/>
        <v>#N/A</v>
      </c>
      <c r="Y862" s="1240"/>
      <c r="Z862" s="1240"/>
      <c r="AA862" s="1240"/>
      <c r="AB862" s="1240"/>
      <c r="AC862" s="1240"/>
      <c r="AD862" s="1240"/>
      <c r="AE862" s="1240"/>
      <c r="AF862" s="1240"/>
      <c r="AG862" s="1240"/>
      <c r="AH862" s="1240"/>
      <c r="AI862" s="1240"/>
      <c r="AJ862" s="1240"/>
      <c r="AK862" s="1240"/>
      <c r="AL862" s="1240"/>
      <c r="AM862" s="1240"/>
      <c r="AN862" s="1240"/>
      <c r="AO862" s="1240"/>
      <c r="AP862" s="1240"/>
    </row>
    <row r="863" spans="1:42" ht="18.75" customHeight="1" x14ac:dyDescent="0.35">
      <c r="A863" s="1240"/>
      <c r="B863" s="1240"/>
      <c r="C863" s="1240"/>
      <c r="D863" s="1240"/>
      <c r="E863" s="1240"/>
      <c r="F863" s="1240"/>
      <c r="G863" s="1240"/>
      <c r="H863" s="1240"/>
      <c r="I863" s="1240"/>
      <c r="J863" s="1240"/>
      <c r="K863" s="1240"/>
      <c r="L863" s="1240"/>
      <c r="M863" s="1240"/>
      <c r="N863" s="1240"/>
      <c r="O863" s="1240"/>
      <c r="P863" s="1247">
        <f t="shared" si="94"/>
        <v>837</v>
      </c>
      <c r="Q863" s="1253" t="e">
        <f t="shared" ca="1" si="99"/>
        <v>#N/A</v>
      </c>
      <c r="R863" s="1247" t="str">
        <f>IFERROR(VLOOKUP(P863,RPCRepaymentDates[],1,FALSE),"")</f>
        <v/>
      </c>
      <c r="S863" s="1259">
        <f t="shared" si="95"/>
        <v>0</v>
      </c>
      <c r="T863" s="1247" t="str">
        <f>IFERROR(VLOOKUP(P863,RPCChargeCycleDates[],1,FALSE),"")</f>
        <v/>
      </c>
      <c r="U863" s="1248" t="str">
        <f>IFERROR(_xlfn.DAYS(T863,$Q$16)-SUM(U$26:U862),"")</f>
        <v/>
      </c>
      <c r="V863" s="1258">
        <f t="shared" ca="1" si="96"/>
        <v>0</v>
      </c>
      <c r="W863" s="1258">
        <f t="shared" ca="1" si="97"/>
        <v>0</v>
      </c>
      <c r="X863" s="1258" t="e">
        <f t="shared" ca="1" si="98"/>
        <v>#N/A</v>
      </c>
      <c r="Y863" s="1240"/>
      <c r="Z863" s="1240"/>
      <c r="AA863" s="1240"/>
      <c r="AB863" s="1240"/>
      <c r="AC863" s="1240"/>
      <c r="AD863" s="1240"/>
      <c r="AE863" s="1240"/>
      <c r="AF863" s="1240"/>
      <c r="AG863" s="1240"/>
      <c r="AH863" s="1240"/>
      <c r="AI863" s="1240"/>
      <c r="AJ863" s="1240"/>
      <c r="AK863" s="1240"/>
      <c r="AL863" s="1240"/>
      <c r="AM863" s="1240"/>
      <c r="AN863" s="1240"/>
      <c r="AO863" s="1240"/>
      <c r="AP863" s="1240"/>
    </row>
    <row r="864" spans="1:42" ht="18.75" customHeight="1" x14ac:dyDescent="0.35">
      <c r="A864" s="1240"/>
      <c r="B864" s="1240"/>
      <c r="C864" s="1240"/>
      <c r="D864" s="1240"/>
      <c r="E864" s="1240"/>
      <c r="F864" s="1240"/>
      <c r="G864" s="1240"/>
      <c r="H864" s="1240"/>
      <c r="I864" s="1240"/>
      <c r="J864" s="1240"/>
      <c r="K864" s="1240"/>
      <c r="L864" s="1240"/>
      <c r="M864" s="1240"/>
      <c r="N864" s="1240"/>
      <c r="O864" s="1240"/>
      <c r="P864" s="1247">
        <f t="shared" si="94"/>
        <v>838</v>
      </c>
      <c r="Q864" s="1253" t="e">
        <f t="shared" ca="1" si="99"/>
        <v>#N/A</v>
      </c>
      <c r="R864" s="1247" t="str">
        <f>IFERROR(VLOOKUP(P864,RPCRepaymentDates[],1,FALSE),"")</f>
        <v/>
      </c>
      <c r="S864" s="1259">
        <f t="shared" si="95"/>
        <v>0</v>
      </c>
      <c r="T864" s="1247" t="str">
        <f>IFERROR(VLOOKUP(P864,RPCChargeCycleDates[],1,FALSE),"")</f>
        <v/>
      </c>
      <c r="U864" s="1248" t="str">
        <f>IFERROR(_xlfn.DAYS(T864,$Q$16)-SUM(U$26:U863),"")</f>
        <v/>
      </c>
      <c r="V864" s="1258">
        <f t="shared" ca="1" si="96"/>
        <v>0</v>
      </c>
      <c r="W864" s="1258">
        <f t="shared" ca="1" si="97"/>
        <v>0</v>
      </c>
      <c r="X864" s="1258" t="e">
        <f t="shared" ca="1" si="98"/>
        <v>#N/A</v>
      </c>
      <c r="Y864" s="1240"/>
      <c r="Z864" s="1240"/>
      <c r="AA864" s="1240"/>
      <c r="AB864" s="1240"/>
      <c r="AC864" s="1240"/>
      <c r="AD864" s="1240"/>
      <c r="AE864" s="1240"/>
      <c r="AF864" s="1240"/>
      <c r="AG864" s="1240"/>
      <c r="AH864" s="1240"/>
      <c r="AI864" s="1240"/>
      <c r="AJ864" s="1240"/>
      <c r="AK864" s="1240"/>
      <c r="AL864" s="1240"/>
      <c r="AM864" s="1240"/>
      <c r="AN864" s="1240"/>
      <c r="AO864" s="1240"/>
      <c r="AP864" s="1240"/>
    </row>
    <row r="865" spans="1:42" ht="18.75" customHeight="1" x14ac:dyDescent="0.35">
      <c r="A865" s="1240"/>
      <c r="B865" s="1240"/>
      <c r="C865" s="1240"/>
      <c r="D865" s="1240"/>
      <c r="E865" s="1240"/>
      <c r="F865" s="1240"/>
      <c r="G865" s="1240"/>
      <c r="H865" s="1240"/>
      <c r="I865" s="1240"/>
      <c r="J865" s="1240"/>
      <c r="K865" s="1240"/>
      <c r="L865" s="1240"/>
      <c r="M865" s="1240"/>
      <c r="N865" s="1240"/>
      <c r="O865" s="1240"/>
      <c r="P865" s="1247">
        <f t="shared" si="94"/>
        <v>839</v>
      </c>
      <c r="Q865" s="1253" t="e">
        <f t="shared" ca="1" si="99"/>
        <v>#N/A</v>
      </c>
      <c r="R865" s="1247" t="str">
        <f>IFERROR(VLOOKUP(P865,RPCRepaymentDates[],1,FALSE),"")</f>
        <v/>
      </c>
      <c r="S865" s="1259">
        <f t="shared" si="95"/>
        <v>0</v>
      </c>
      <c r="T865" s="1247" t="str">
        <f>IFERROR(VLOOKUP(P865,RPCChargeCycleDates[],1,FALSE),"")</f>
        <v/>
      </c>
      <c r="U865" s="1248" t="str">
        <f>IFERROR(_xlfn.DAYS(T865,$Q$16)-SUM(U$26:U864),"")</f>
        <v/>
      </c>
      <c r="V865" s="1258">
        <f t="shared" ca="1" si="96"/>
        <v>0</v>
      </c>
      <c r="W865" s="1258">
        <f t="shared" ca="1" si="97"/>
        <v>0</v>
      </c>
      <c r="X865" s="1258" t="e">
        <f t="shared" ca="1" si="98"/>
        <v>#N/A</v>
      </c>
      <c r="Y865" s="1240"/>
      <c r="Z865" s="1240"/>
      <c r="AA865" s="1240"/>
      <c r="AB865" s="1240"/>
      <c r="AC865" s="1240"/>
      <c r="AD865" s="1240"/>
      <c r="AE865" s="1240"/>
      <c r="AF865" s="1240"/>
      <c r="AG865" s="1240"/>
      <c r="AH865" s="1240"/>
      <c r="AI865" s="1240"/>
      <c r="AJ865" s="1240"/>
      <c r="AK865" s="1240"/>
      <c r="AL865" s="1240"/>
      <c r="AM865" s="1240"/>
      <c r="AN865" s="1240"/>
      <c r="AO865" s="1240"/>
      <c r="AP865" s="1240"/>
    </row>
    <row r="866" spans="1:42" ht="18.75" customHeight="1" x14ac:dyDescent="0.35">
      <c r="A866" s="1240"/>
      <c r="B866" s="1240"/>
      <c r="C866" s="1240"/>
      <c r="D866" s="1240"/>
      <c r="E866" s="1240"/>
      <c r="F866" s="1240"/>
      <c r="G866" s="1240"/>
      <c r="H866" s="1240"/>
      <c r="I866" s="1240"/>
      <c r="J866" s="1240"/>
      <c r="K866" s="1240"/>
      <c r="L866" s="1240"/>
      <c r="M866" s="1240"/>
      <c r="N866" s="1240"/>
      <c r="O866" s="1240"/>
      <c r="P866" s="1247">
        <f t="shared" si="94"/>
        <v>840</v>
      </c>
      <c r="Q866" s="1253" t="e">
        <f t="shared" ca="1" si="99"/>
        <v>#N/A</v>
      </c>
      <c r="R866" s="1247" t="str">
        <f>IFERROR(VLOOKUP(P866,RPCRepaymentDates[],1,FALSE),"")</f>
        <v/>
      </c>
      <c r="S866" s="1259">
        <f t="shared" si="95"/>
        <v>0</v>
      </c>
      <c r="T866" s="1247" t="str">
        <f>IFERROR(VLOOKUP(P866,RPCChargeCycleDates[],1,FALSE),"")</f>
        <v/>
      </c>
      <c r="U866" s="1248" t="str">
        <f>IFERROR(_xlfn.DAYS(T866,$Q$16)-SUM(U$26:U865),"")</f>
        <v/>
      </c>
      <c r="V866" s="1258">
        <f t="shared" ca="1" si="96"/>
        <v>0</v>
      </c>
      <c r="W866" s="1258">
        <f t="shared" ca="1" si="97"/>
        <v>0</v>
      </c>
      <c r="X866" s="1258" t="e">
        <f t="shared" ca="1" si="98"/>
        <v>#N/A</v>
      </c>
      <c r="Y866" s="1240"/>
      <c r="Z866" s="1240"/>
      <c r="AA866" s="1240"/>
      <c r="AB866" s="1240"/>
      <c r="AC866" s="1240"/>
      <c r="AD866" s="1240"/>
      <c r="AE866" s="1240"/>
      <c r="AF866" s="1240"/>
      <c r="AG866" s="1240"/>
      <c r="AH866" s="1240"/>
      <c r="AI866" s="1240"/>
      <c r="AJ866" s="1240"/>
      <c r="AK866" s="1240"/>
      <c r="AL866" s="1240"/>
      <c r="AM866" s="1240"/>
      <c r="AN866" s="1240"/>
      <c r="AO866" s="1240"/>
      <c r="AP866" s="1240"/>
    </row>
    <row r="867" spans="1:42" ht="18.75" customHeight="1" x14ac:dyDescent="0.35">
      <c r="A867" s="1240"/>
      <c r="B867" s="1240"/>
      <c r="C867" s="1240"/>
      <c r="D867" s="1240"/>
      <c r="E867" s="1240"/>
      <c r="F867" s="1240"/>
      <c r="G867" s="1240"/>
      <c r="H867" s="1240"/>
      <c r="I867" s="1240"/>
      <c r="J867" s="1240"/>
      <c r="K867" s="1240"/>
      <c r="L867" s="1240"/>
      <c r="M867" s="1240"/>
      <c r="N867" s="1240"/>
      <c r="O867" s="1240"/>
      <c r="P867" s="1247">
        <f t="shared" si="94"/>
        <v>841</v>
      </c>
      <c r="Q867" s="1253" t="e">
        <f t="shared" ca="1" si="99"/>
        <v>#N/A</v>
      </c>
      <c r="R867" s="1247" t="str">
        <f>IFERROR(VLOOKUP(P867,RPCRepaymentDates[],1,FALSE),"")</f>
        <v/>
      </c>
      <c r="S867" s="1259">
        <f t="shared" si="95"/>
        <v>0</v>
      </c>
      <c r="T867" s="1247" t="str">
        <f>IFERROR(VLOOKUP(P867,RPCChargeCycleDates[],1,FALSE),"")</f>
        <v/>
      </c>
      <c r="U867" s="1248" t="str">
        <f>IFERROR(_xlfn.DAYS(T867,$Q$16)-SUM(U$26:U866),"")</f>
        <v/>
      </c>
      <c r="V867" s="1258">
        <f t="shared" ca="1" si="96"/>
        <v>0</v>
      </c>
      <c r="W867" s="1258">
        <f t="shared" ca="1" si="97"/>
        <v>0</v>
      </c>
      <c r="X867" s="1258" t="e">
        <f t="shared" ca="1" si="98"/>
        <v>#N/A</v>
      </c>
      <c r="Y867" s="1240"/>
      <c r="Z867" s="1240"/>
      <c r="AA867" s="1240"/>
      <c r="AB867" s="1240"/>
      <c r="AC867" s="1240"/>
      <c r="AD867" s="1240"/>
      <c r="AE867" s="1240"/>
      <c r="AF867" s="1240"/>
      <c r="AG867" s="1240"/>
      <c r="AH867" s="1240"/>
      <c r="AI867" s="1240"/>
      <c r="AJ867" s="1240"/>
      <c r="AK867" s="1240"/>
      <c r="AL867" s="1240"/>
      <c r="AM867" s="1240"/>
      <c r="AN867" s="1240"/>
      <c r="AO867" s="1240"/>
      <c r="AP867" s="1240"/>
    </row>
    <row r="868" spans="1:42" ht="18.75" customHeight="1" x14ac:dyDescent="0.35">
      <c r="A868" s="1240"/>
      <c r="B868" s="1240"/>
      <c r="C868" s="1240"/>
      <c r="D868" s="1240"/>
      <c r="E868" s="1240"/>
      <c r="F868" s="1240"/>
      <c r="G868" s="1240"/>
      <c r="H868" s="1240"/>
      <c r="I868" s="1240"/>
      <c r="J868" s="1240"/>
      <c r="K868" s="1240"/>
      <c r="L868" s="1240"/>
      <c r="M868" s="1240"/>
      <c r="N868" s="1240"/>
      <c r="O868" s="1240"/>
      <c r="P868" s="1247">
        <f t="shared" si="94"/>
        <v>842</v>
      </c>
      <c r="Q868" s="1253" t="e">
        <f t="shared" ca="1" si="99"/>
        <v>#N/A</v>
      </c>
      <c r="R868" s="1247" t="str">
        <f>IFERROR(VLOOKUP(P868,RPCRepaymentDates[],1,FALSE),"")</f>
        <v/>
      </c>
      <c r="S868" s="1259">
        <f t="shared" si="95"/>
        <v>0</v>
      </c>
      <c r="T868" s="1247" t="str">
        <f>IFERROR(VLOOKUP(P868,RPCChargeCycleDates[],1,FALSE),"")</f>
        <v/>
      </c>
      <c r="U868" s="1248" t="str">
        <f>IFERROR(_xlfn.DAYS(T868,$Q$16)-SUM(U$26:U867),"")</f>
        <v/>
      </c>
      <c r="V868" s="1258">
        <f t="shared" ca="1" si="96"/>
        <v>0</v>
      </c>
      <c r="W868" s="1258">
        <f t="shared" ca="1" si="97"/>
        <v>0</v>
      </c>
      <c r="X868" s="1258" t="e">
        <f t="shared" ca="1" si="98"/>
        <v>#N/A</v>
      </c>
      <c r="Y868" s="1240"/>
      <c r="Z868" s="1240"/>
      <c r="AA868" s="1240"/>
      <c r="AB868" s="1240"/>
      <c r="AC868" s="1240"/>
      <c r="AD868" s="1240"/>
      <c r="AE868" s="1240"/>
      <c r="AF868" s="1240"/>
      <c r="AG868" s="1240"/>
      <c r="AH868" s="1240"/>
      <c r="AI868" s="1240"/>
      <c r="AJ868" s="1240"/>
      <c r="AK868" s="1240"/>
      <c r="AL868" s="1240"/>
      <c r="AM868" s="1240"/>
      <c r="AN868" s="1240"/>
      <c r="AO868" s="1240"/>
      <c r="AP868" s="1240"/>
    </row>
    <row r="869" spans="1:42" ht="18.75" customHeight="1" x14ac:dyDescent="0.35">
      <c r="A869" s="1240"/>
      <c r="B869" s="1240"/>
      <c r="C869" s="1240"/>
      <c r="D869" s="1240"/>
      <c r="E869" s="1240"/>
      <c r="F869" s="1240"/>
      <c r="G869" s="1240"/>
      <c r="H869" s="1240"/>
      <c r="I869" s="1240"/>
      <c r="J869" s="1240"/>
      <c r="K869" s="1240"/>
      <c r="L869" s="1240"/>
      <c r="M869" s="1240"/>
      <c r="N869" s="1240"/>
      <c r="O869" s="1240"/>
      <c r="P869" s="1247">
        <f t="shared" si="94"/>
        <v>843</v>
      </c>
      <c r="Q869" s="1253" t="e">
        <f t="shared" ca="1" si="99"/>
        <v>#N/A</v>
      </c>
      <c r="R869" s="1247" t="str">
        <f>IFERROR(VLOOKUP(P869,RPCRepaymentDates[],1,FALSE),"")</f>
        <v/>
      </c>
      <c r="S869" s="1259">
        <f t="shared" si="95"/>
        <v>0</v>
      </c>
      <c r="T869" s="1247" t="str">
        <f>IFERROR(VLOOKUP(P869,RPCChargeCycleDates[],1,FALSE),"")</f>
        <v/>
      </c>
      <c r="U869" s="1248" t="str">
        <f>IFERROR(_xlfn.DAYS(T869,$Q$16)-SUM(U$26:U868),"")</f>
        <v/>
      </c>
      <c r="V869" s="1258">
        <f t="shared" ca="1" si="96"/>
        <v>0</v>
      </c>
      <c r="W869" s="1258">
        <f t="shared" ca="1" si="97"/>
        <v>0</v>
      </c>
      <c r="X869" s="1258" t="e">
        <f t="shared" ca="1" si="98"/>
        <v>#N/A</v>
      </c>
      <c r="Y869" s="1240"/>
      <c r="Z869" s="1240"/>
      <c r="AA869" s="1240"/>
      <c r="AB869" s="1240"/>
      <c r="AC869" s="1240"/>
      <c r="AD869" s="1240"/>
      <c r="AE869" s="1240"/>
      <c r="AF869" s="1240"/>
      <c r="AG869" s="1240"/>
      <c r="AH869" s="1240"/>
      <c r="AI869" s="1240"/>
      <c r="AJ869" s="1240"/>
      <c r="AK869" s="1240"/>
      <c r="AL869" s="1240"/>
      <c r="AM869" s="1240"/>
      <c r="AN869" s="1240"/>
      <c r="AO869" s="1240"/>
      <c r="AP869" s="1240"/>
    </row>
    <row r="870" spans="1:42" ht="18.75" customHeight="1" x14ac:dyDescent="0.35">
      <c r="A870" s="1240"/>
      <c r="B870" s="1240"/>
      <c r="C870" s="1240"/>
      <c r="D870" s="1240"/>
      <c r="E870" s="1240"/>
      <c r="F870" s="1240"/>
      <c r="G870" s="1240"/>
      <c r="H870" s="1240"/>
      <c r="I870" s="1240"/>
      <c r="J870" s="1240"/>
      <c r="K870" s="1240"/>
      <c r="L870" s="1240"/>
      <c r="M870" s="1240"/>
      <c r="N870" s="1240"/>
      <c r="O870" s="1240"/>
      <c r="P870" s="1247">
        <f t="shared" si="94"/>
        <v>844</v>
      </c>
      <c r="Q870" s="1253" t="e">
        <f t="shared" ca="1" si="99"/>
        <v>#N/A</v>
      </c>
      <c r="R870" s="1247" t="str">
        <f>IFERROR(VLOOKUP(P870,RPCRepaymentDates[],1,FALSE),"")</f>
        <v/>
      </c>
      <c r="S870" s="1259">
        <f t="shared" si="95"/>
        <v>0</v>
      </c>
      <c r="T870" s="1247" t="str">
        <f>IFERROR(VLOOKUP(P870,RPCChargeCycleDates[],1,FALSE),"")</f>
        <v/>
      </c>
      <c r="U870" s="1248" t="str">
        <f>IFERROR(_xlfn.DAYS(T870,$Q$16)-SUM(U$26:U869),"")</f>
        <v/>
      </c>
      <c r="V870" s="1258">
        <f t="shared" ca="1" si="96"/>
        <v>0</v>
      </c>
      <c r="W870" s="1258">
        <f t="shared" ca="1" si="97"/>
        <v>0</v>
      </c>
      <c r="X870" s="1258" t="e">
        <f t="shared" ca="1" si="98"/>
        <v>#N/A</v>
      </c>
      <c r="Y870" s="1240"/>
      <c r="Z870" s="1240"/>
      <c r="AA870" s="1240"/>
      <c r="AB870" s="1240"/>
      <c r="AC870" s="1240"/>
      <c r="AD870" s="1240"/>
      <c r="AE870" s="1240"/>
      <c r="AF870" s="1240"/>
      <c r="AG870" s="1240"/>
      <c r="AH870" s="1240"/>
      <c r="AI870" s="1240"/>
      <c r="AJ870" s="1240"/>
      <c r="AK870" s="1240"/>
      <c r="AL870" s="1240"/>
      <c r="AM870" s="1240"/>
      <c r="AN870" s="1240"/>
      <c r="AO870" s="1240"/>
      <c r="AP870" s="1240"/>
    </row>
    <row r="871" spans="1:42" ht="18.75" customHeight="1" x14ac:dyDescent="0.35">
      <c r="A871" s="1240"/>
      <c r="B871" s="1240"/>
      <c r="C871" s="1240"/>
      <c r="D871" s="1240"/>
      <c r="E871" s="1240"/>
      <c r="F871" s="1240"/>
      <c r="G871" s="1240"/>
      <c r="H871" s="1240"/>
      <c r="I871" s="1240"/>
      <c r="J871" s="1240"/>
      <c r="K871" s="1240"/>
      <c r="L871" s="1240"/>
      <c r="M871" s="1240"/>
      <c r="N871" s="1240"/>
      <c r="O871" s="1240"/>
      <c r="P871" s="1247">
        <f t="shared" si="94"/>
        <v>845</v>
      </c>
      <c r="Q871" s="1253" t="e">
        <f t="shared" ca="1" si="99"/>
        <v>#N/A</v>
      </c>
      <c r="R871" s="1247" t="str">
        <f>IFERROR(VLOOKUP(P871,RPCRepaymentDates[],1,FALSE),"")</f>
        <v/>
      </c>
      <c r="S871" s="1259">
        <f t="shared" si="95"/>
        <v>0</v>
      </c>
      <c r="T871" s="1247" t="str">
        <f>IFERROR(VLOOKUP(P871,RPCChargeCycleDates[],1,FALSE),"")</f>
        <v/>
      </c>
      <c r="U871" s="1248" t="str">
        <f>IFERROR(_xlfn.DAYS(T871,$Q$16)-SUM(U$26:U870),"")</f>
        <v/>
      </c>
      <c r="V871" s="1258">
        <f t="shared" ca="1" si="96"/>
        <v>0</v>
      </c>
      <c r="W871" s="1258">
        <f t="shared" ca="1" si="97"/>
        <v>0</v>
      </c>
      <c r="X871" s="1258" t="e">
        <f t="shared" ca="1" si="98"/>
        <v>#N/A</v>
      </c>
      <c r="Y871" s="1240"/>
      <c r="Z871" s="1240"/>
      <c r="AA871" s="1240"/>
      <c r="AB871" s="1240"/>
      <c r="AC871" s="1240"/>
      <c r="AD871" s="1240"/>
      <c r="AE871" s="1240"/>
      <c r="AF871" s="1240"/>
      <c r="AG871" s="1240"/>
      <c r="AH871" s="1240"/>
      <c r="AI871" s="1240"/>
      <c r="AJ871" s="1240"/>
      <c r="AK871" s="1240"/>
      <c r="AL871" s="1240"/>
      <c r="AM871" s="1240"/>
      <c r="AN871" s="1240"/>
      <c r="AO871" s="1240"/>
      <c r="AP871" s="1240"/>
    </row>
    <row r="872" spans="1:42" ht="18.75" customHeight="1" x14ac:dyDescent="0.35">
      <c r="A872" s="1240"/>
      <c r="B872" s="1240"/>
      <c r="C872" s="1240"/>
      <c r="D872" s="1240"/>
      <c r="E872" s="1240"/>
      <c r="F872" s="1240"/>
      <c r="G872" s="1240"/>
      <c r="H872" s="1240"/>
      <c r="I872" s="1240"/>
      <c r="J872" s="1240"/>
      <c r="K872" s="1240"/>
      <c r="L872" s="1240"/>
      <c r="M872" s="1240"/>
      <c r="N872" s="1240"/>
      <c r="O872" s="1240"/>
      <c r="P872" s="1247">
        <f t="shared" si="94"/>
        <v>846</v>
      </c>
      <c r="Q872" s="1253" t="e">
        <f t="shared" ca="1" si="99"/>
        <v>#N/A</v>
      </c>
      <c r="R872" s="1247" t="str">
        <f>IFERROR(VLOOKUP(P872,RPCRepaymentDates[],1,FALSE),"")</f>
        <v/>
      </c>
      <c r="S872" s="1259">
        <f t="shared" si="95"/>
        <v>0</v>
      </c>
      <c r="T872" s="1247" t="str">
        <f>IFERROR(VLOOKUP(P872,RPCChargeCycleDates[],1,FALSE),"")</f>
        <v/>
      </c>
      <c r="U872" s="1248" t="str">
        <f>IFERROR(_xlfn.DAYS(T872,$Q$16)-SUM(U$26:U871),"")</f>
        <v/>
      </c>
      <c r="V872" s="1258">
        <f t="shared" ca="1" si="96"/>
        <v>0</v>
      </c>
      <c r="W872" s="1258">
        <f t="shared" ca="1" si="97"/>
        <v>0</v>
      </c>
      <c r="X872" s="1258" t="e">
        <f t="shared" ca="1" si="98"/>
        <v>#N/A</v>
      </c>
      <c r="Y872" s="1240"/>
      <c r="Z872" s="1240"/>
      <c r="AA872" s="1240"/>
      <c r="AB872" s="1240"/>
      <c r="AC872" s="1240"/>
      <c r="AD872" s="1240"/>
      <c r="AE872" s="1240"/>
      <c r="AF872" s="1240"/>
      <c r="AG872" s="1240"/>
      <c r="AH872" s="1240"/>
      <c r="AI872" s="1240"/>
      <c r="AJ872" s="1240"/>
      <c r="AK872" s="1240"/>
      <c r="AL872" s="1240"/>
      <c r="AM872" s="1240"/>
      <c r="AN872" s="1240"/>
      <c r="AO872" s="1240"/>
      <c r="AP872" s="1240"/>
    </row>
    <row r="873" spans="1:42" ht="18.75" customHeight="1" x14ac:dyDescent="0.35">
      <c r="A873" s="1240"/>
      <c r="B873" s="1240"/>
      <c r="C873" s="1240"/>
      <c r="D873" s="1240"/>
      <c r="E873" s="1240"/>
      <c r="F873" s="1240"/>
      <c r="G873" s="1240"/>
      <c r="H873" s="1240"/>
      <c r="I873" s="1240"/>
      <c r="J873" s="1240"/>
      <c r="K873" s="1240"/>
      <c r="L873" s="1240"/>
      <c r="M873" s="1240"/>
      <c r="N873" s="1240"/>
      <c r="O873" s="1240"/>
      <c r="P873" s="1247">
        <f t="shared" si="94"/>
        <v>847</v>
      </c>
      <c r="Q873" s="1253" t="e">
        <f t="shared" ca="1" si="99"/>
        <v>#N/A</v>
      </c>
      <c r="R873" s="1247" t="str">
        <f>IFERROR(VLOOKUP(P873,RPCRepaymentDates[],1,FALSE),"")</f>
        <v/>
      </c>
      <c r="S873" s="1259">
        <f t="shared" si="95"/>
        <v>0</v>
      </c>
      <c r="T873" s="1247" t="str">
        <f>IFERROR(VLOOKUP(P873,RPCChargeCycleDates[],1,FALSE),"")</f>
        <v/>
      </c>
      <c r="U873" s="1248" t="str">
        <f>IFERROR(_xlfn.DAYS(T873,$Q$16)-SUM(U$26:U872),"")</f>
        <v/>
      </c>
      <c r="V873" s="1258">
        <f t="shared" ca="1" si="96"/>
        <v>0</v>
      </c>
      <c r="W873" s="1258">
        <f t="shared" ca="1" si="97"/>
        <v>0</v>
      </c>
      <c r="X873" s="1258" t="e">
        <f t="shared" ca="1" si="98"/>
        <v>#N/A</v>
      </c>
      <c r="Y873" s="1240"/>
      <c r="Z873" s="1240"/>
      <c r="AA873" s="1240"/>
      <c r="AB873" s="1240"/>
      <c r="AC873" s="1240"/>
      <c r="AD873" s="1240"/>
      <c r="AE873" s="1240"/>
      <c r="AF873" s="1240"/>
      <c r="AG873" s="1240"/>
      <c r="AH873" s="1240"/>
      <c r="AI873" s="1240"/>
      <c r="AJ873" s="1240"/>
      <c r="AK873" s="1240"/>
      <c r="AL873" s="1240"/>
      <c r="AM873" s="1240"/>
      <c r="AN873" s="1240"/>
      <c r="AO873" s="1240"/>
      <c r="AP873" s="1240"/>
    </row>
    <row r="874" spans="1:42" ht="18.75" customHeight="1" x14ac:dyDescent="0.35">
      <c r="A874" s="1240"/>
      <c r="B874" s="1240"/>
      <c r="C874" s="1240"/>
      <c r="D874" s="1240"/>
      <c r="E874" s="1240"/>
      <c r="F874" s="1240"/>
      <c r="G874" s="1240"/>
      <c r="H874" s="1240"/>
      <c r="I874" s="1240"/>
      <c r="J874" s="1240"/>
      <c r="K874" s="1240"/>
      <c r="L874" s="1240"/>
      <c r="M874" s="1240"/>
      <c r="N874" s="1240"/>
      <c r="O874" s="1240"/>
      <c r="P874" s="1247">
        <f t="shared" ref="P874:P937" si="100">P873+1</f>
        <v>848</v>
      </c>
      <c r="Q874" s="1253" t="e">
        <f t="shared" ca="1" si="99"/>
        <v>#N/A</v>
      </c>
      <c r="R874" s="1247" t="str">
        <f>IFERROR(VLOOKUP(P874,RPCRepaymentDates[],1,FALSE),"")</f>
        <v/>
      </c>
      <c r="S874" s="1259">
        <f t="shared" si="95"/>
        <v>0</v>
      </c>
      <c r="T874" s="1247" t="str">
        <f>IFERROR(VLOOKUP(P874,RPCChargeCycleDates[],1,FALSE),"")</f>
        <v/>
      </c>
      <c r="U874" s="1248" t="str">
        <f>IFERROR(_xlfn.DAYS(T874,$Q$16)-SUM(U$26:U873),"")</f>
        <v/>
      </c>
      <c r="V874" s="1258">
        <f t="shared" ca="1" si="96"/>
        <v>0</v>
      </c>
      <c r="W874" s="1258">
        <f t="shared" ca="1" si="97"/>
        <v>0</v>
      </c>
      <c r="X874" s="1258" t="e">
        <f t="shared" ca="1" si="98"/>
        <v>#N/A</v>
      </c>
      <c r="Y874" s="1240"/>
      <c r="Z874" s="1240"/>
      <c r="AA874" s="1240"/>
      <c r="AB874" s="1240"/>
      <c r="AC874" s="1240"/>
      <c r="AD874" s="1240"/>
      <c r="AE874" s="1240"/>
      <c r="AF874" s="1240"/>
      <c r="AG874" s="1240"/>
      <c r="AH874" s="1240"/>
      <c r="AI874" s="1240"/>
      <c r="AJ874" s="1240"/>
      <c r="AK874" s="1240"/>
      <c r="AL874" s="1240"/>
      <c r="AM874" s="1240"/>
      <c r="AN874" s="1240"/>
      <c r="AO874" s="1240"/>
      <c r="AP874" s="1240"/>
    </row>
    <row r="875" spans="1:42" ht="18.75" customHeight="1" x14ac:dyDescent="0.35">
      <c r="A875" s="1240"/>
      <c r="B875" s="1240"/>
      <c r="C875" s="1240"/>
      <c r="D875" s="1240"/>
      <c r="E875" s="1240"/>
      <c r="F875" s="1240"/>
      <c r="G875" s="1240"/>
      <c r="H875" s="1240"/>
      <c r="I875" s="1240"/>
      <c r="J875" s="1240"/>
      <c r="K875" s="1240"/>
      <c r="L875" s="1240"/>
      <c r="M875" s="1240"/>
      <c r="N875" s="1240"/>
      <c r="O875" s="1240"/>
      <c r="P875" s="1247">
        <f t="shared" si="100"/>
        <v>849</v>
      </c>
      <c r="Q875" s="1253" t="e">
        <f t="shared" ca="1" si="99"/>
        <v>#N/A</v>
      </c>
      <c r="R875" s="1247" t="str">
        <f>IFERROR(VLOOKUP(P875,RPCRepaymentDates[],1,FALSE),"")</f>
        <v/>
      </c>
      <c r="S875" s="1259">
        <f t="shared" si="95"/>
        <v>0</v>
      </c>
      <c r="T875" s="1247">
        <f>IFERROR(VLOOKUP(P875,RPCChargeCycleDates[],1,FALSE),"")</f>
        <v>849</v>
      </c>
      <c r="U875" s="1248">
        <f>IFERROR(_xlfn.DAYS(T875,$Q$16)-SUM(U$26:U874),"")</f>
        <v>31</v>
      </c>
      <c r="V875" s="1258">
        <f t="shared" ca="1" si="96"/>
        <v>0</v>
      </c>
      <c r="W875" s="1258">
        <f t="shared" ca="1" si="97"/>
        <v>0</v>
      </c>
      <c r="X875" s="1258" t="e">
        <f t="shared" ca="1" si="98"/>
        <v>#N/A</v>
      </c>
      <c r="Y875" s="1240"/>
      <c r="Z875" s="1240"/>
      <c r="AA875" s="1240"/>
      <c r="AB875" s="1240"/>
      <c r="AC875" s="1240"/>
      <c r="AD875" s="1240"/>
      <c r="AE875" s="1240"/>
      <c r="AF875" s="1240"/>
      <c r="AG875" s="1240"/>
      <c r="AH875" s="1240"/>
      <c r="AI875" s="1240"/>
      <c r="AJ875" s="1240"/>
      <c r="AK875" s="1240"/>
      <c r="AL875" s="1240"/>
      <c r="AM875" s="1240"/>
      <c r="AN875" s="1240"/>
      <c r="AO875" s="1240"/>
      <c r="AP875" s="1240"/>
    </row>
    <row r="876" spans="1:42" ht="18.75" customHeight="1" x14ac:dyDescent="0.35">
      <c r="A876" s="1240"/>
      <c r="B876" s="1240"/>
      <c r="C876" s="1240"/>
      <c r="D876" s="1240"/>
      <c r="E876" s="1240"/>
      <c r="F876" s="1240"/>
      <c r="G876" s="1240"/>
      <c r="H876" s="1240"/>
      <c r="I876" s="1240"/>
      <c r="J876" s="1240"/>
      <c r="K876" s="1240"/>
      <c r="L876" s="1240"/>
      <c r="M876" s="1240"/>
      <c r="N876" s="1240"/>
      <c r="O876" s="1240"/>
      <c r="P876" s="1247">
        <f t="shared" si="100"/>
        <v>850</v>
      </c>
      <c r="Q876" s="1253" t="e">
        <f t="shared" ca="1" si="99"/>
        <v>#N/A</v>
      </c>
      <c r="R876" s="1247" t="str">
        <f>IFERROR(VLOOKUP(P876,RPCRepaymentDates[],1,FALSE),"")</f>
        <v/>
      </c>
      <c r="S876" s="1259">
        <f t="shared" si="95"/>
        <v>0</v>
      </c>
      <c r="T876" s="1247" t="str">
        <f>IFERROR(VLOOKUP(P876,RPCChargeCycleDates[],1,FALSE),"")</f>
        <v/>
      </c>
      <c r="U876" s="1248" t="str">
        <f>IFERROR(_xlfn.DAYS(T876,$Q$16)-SUM(U$26:U875),"")</f>
        <v/>
      </c>
      <c r="V876" s="1258">
        <f t="shared" ca="1" si="96"/>
        <v>0</v>
      </c>
      <c r="W876" s="1258">
        <f t="shared" ca="1" si="97"/>
        <v>0</v>
      </c>
      <c r="X876" s="1258" t="e">
        <f t="shared" ca="1" si="98"/>
        <v>#N/A</v>
      </c>
      <c r="Y876" s="1240"/>
      <c r="Z876" s="1240"/>
      <c r="AA876" s="1240"/>
      <c r="AB876" s="1240"/>
      <c r="AC876" s="1240"/>
      <c r="AD876" s="1240"/>
      <c r="AE876" s="1240"/>
      <c r="AF876" s="1240"/>
      <c r="AG876" s="1240"/>
      <c r="AH876" s="1240"/>
      <c r="AI876" s="1240"/>
      <c r="AJ876" s="1240"/>
      <c r="AK876" s="1240"/>
      <c r="AL876" s="1240"/>
      <c r="AM876" s="1240"/>
      <c r="AN876" s="1240"/>
      <c r="AO876" s="1240"/>
      <c r="AP876" s="1240"/>
    </row>
    <row r="877" spans="1:42" ht="18.75" customHeight="1" x14ac:dyDescent="0.35">
      <c r="A877" s="1240"/>
      <c r="B877" s="1240"/>
      <c r="C877" s="1240"/>
      <c r="D877" s="1240"/>
      <c r="E877" s="1240"/>
      <c r="F877" s="1240"/>
      <c r="G877" s="1240"/>
      <c r="H877" s="1240"/>
      <c r="I877" s="1240"/>
      <c r="J877" s="1240"/>
      <c r="K877" s="1240"/>
      <c r="L877" s="1240"/>
      <c r="M877" s="1240"/>
      <c r="N877" s="1240"/>
      <c r="O877" s="1240"/>
      <c r="P877" s="1247">
        <f t="shared" si="100"/>
        <v>851</v>
      </c>
      <c r="Q877" s="1253" t="e">
        <f t="shared" ca="1" si="99"/>
        <v>#N/A</v>
      </c>
      <c r="R877" s="1247" t="str">
        <f>IFERROR(VLOOKUP(P877,RPCRepaymentDates[],1,FALSE),"")</f>
        <v/>
      </c>
      <c r="S877" s="1259">
        <f t="shared" si="95"/>
        <v>0</v>
      </c>
      <c r="T877" s="1247" t="str">
        <f>IFERROR(VLOOKUP(P877,RPCChargeCycleDates[],1,FALSE),"")</f>
        <v/>
      </c>
      <c r="U877" s="1248" t="str">
        <f>IFERROR(_xlfn.DAYS(T877,$Q$16)-SUM(U$26:U876),"")</f>
        <v/>
      </c>
      <c r="V877" s="1258">
        <f t="shared" ca="1" si="96"/>
        <v>0</v>
      </c>
      <c r="W877" s="1258">
        <f t="shared" ca="1" si="97"/>
        <v>0</v>
      </c>
      <c r="X877" s="1258" t="e">
        <f t="shared" ca="1" si="98"/>
        <v>#N/A</v>
      </c>
      <c r="Y877" s="1240"/>
      <c r="Z877" s="1240"/>
      <c r="AA877" s="1240"/>
      <c r="AB877" s="1240"/>
      <c r="AC877" s="1240"/>
      <c r="AD877" s="1240"/>
      <c r="AE877" s="1240"/>
      <c r="AF877" s="1240"/>
      <c r="AG877" s="1240"/>
      <c r="AH877" s="1240"/>
      <c r="AI877" s="1240"/>
      <c r="AJ877" s="1240"/>
      <c r="AK877" s="1240"/>
      <c r="AL877" s="1240"/>
      <c r="AM877" s="1240"/>
      <c r="AN877" s="1240"/>
      <c r="AO877" s="1240"/>
      <c r="AP877" s="1240"/>
    </row>
    <row r="878" spans="1:42" ht="18.75" customHeight="1" x14ac:dyDescent="0.35">
      <c r="A878" s="1240"/>
      <c r="B878" s="1240"/>
      <c r="C878" s="1240"/>
      <c r="D878" s="1240"/>
      <c r="E878" s="1240"/>
      <c r="F878" s="1240"/>
      <c r="G878" s="1240"/>
      <c r="H878" s="1240"/>
      <c r="I878" s="1240"/>
      <c r="J878" s="1240"/>
      <c r="K878" s="1240"/>
      <c r="L878" s="1240"/>
      <c r="M878" s="1240"/>
      <c r="N878" s="1240"/>
      <c r="O878" s="1240"/>
      <c r="P878" s="1247">
        <f t="shared" si="100"/>
        <v>852</v>
      </c>
      <c r="Q878" s="1253" t="e">
        <f t="shared" ca="1" si="99"/>
        <v>#N/A</v>
      </c>
      <c r="R878" s="1247" t="str">
        <f>IFERROR(VLOOKUP(P878,RPCRepaymentDates[],1,FALSE),"")</f>
        <v/>
      </c>
      <c r="S878" s="1259">
        <f t="shared" si="95"/>
        <v>0</v>
      </c>
      <c r="T878" s="1247" t="str">
        <f>IFERROR(VLOOKUP(P878,RPCChargeCycleDates[],1,FALSE),"")</f>
        <v/>
      </c>
      <c r="U878" s="1248" t="str">
        <f>IFERROR(_xlfn.DAYS(T878,$Q$16)-SUM(U$26:U877),"")</f>
        <v/>
      </c>
      <c r="V878" s="1258">
        <f t="shared" ca="1" si="96"/>
        <v>0</v>
      </c>
      <c r="W878" s="1258">
        <f t="shared" ca="1" si="97"/>
        <v>0</v>
      </c>
      <c r="X878" s="1258" t="e">
        <f t="shared" ca="1" si="98"/>
        <v>#N/A</v>
      </c>
      <c r="Y878" s="1240"/>
      <c r="Z878" s="1240"/>
      <c r="AA878" s="1240"/>
      <c r="AB878" s="1240"/>
      <c r="AC878" s="1240"/>
      <c r="AD878" s="1240"/>
      <c r="AE878" s="1240"/>
      <c r="AF878" s="1240"/>
      <c r="AG878" s="1240"/>
      <c r="AH878" s="1240"/>
      <c r="AI878" s="1240"/>
      <c r="AJ878" s="1240"/>
      <c r="AK878" s="1240"/>
      <c r="AL878" s="1240"/>
      <c r="AM878" s="1240"/>
      <c r="AN878" s="1240"/>
      <c r="AO878" s="1240"/>
      <c r="AP878" s="1240"/>
    </row>
    <row r="879" spans="1:42" ht="18.75" customHeight="1" x14ac:dyDescent="0.35">
      <c r="A879" s="1240"/>
      <c r="B879" s="1240"/>
      <c r="C879" s="1240"/>
      <c r="D879" s="1240"/>
      <c r="E879" s="1240"/>
      <c r="F879" s="1240"/>
      <c r="G879" s="1240"/>
      <c r="H879" s="1240"/>
      <c r="I879" s="1240"/>
      <c r="J879" s="1240"/>
      <c r="K879" s="1240"/>
      <c r="L879" s="1240"/>
      <c r="M879" s="1240"/>
      <c r="N879" s="1240"/>
      <c r="O879" s="1240"/>
      <c r="P879" s="1247">
        <f t="shared" si="100"/>
        <v>853</v>
      </c>
      <c r="Q879" s="1253" t="e">
        <f t="shared" ca="1" si="99"/>
        <v>#N/A</v>
      </c>
      <c r="R879" s="1247" t="str">
        <f>IFERROR(VLOOKUP(P879,RPCRepaymentDates[],1,FALSE),"")</f>
        <v/>
      </c>
      <c r="S879" s="1259">
        <f t="shared" si="95"/>
        <v>0</v>
      </c>
      <c r="T879" s="1247" t="str">
        <f>IFERROR(VLOOKUP(P879,RPCChargeCycleDates[],1,FALSE),"")</f>
        <v/>
      </c>
      <c r="U879" s="1248" t="str">
        <f>IFERROR(_xlfn.DAYS(T879,$Q$16)-SUM(U$26:U878),"")</f>
        <v/>
      </c>
      <c r="V879" s="1258">
        <f t="shared" ca="1" si="96"/>
        <v>0</v>
      </c>
      <c r="W879" s="1258">
        <f t="shared" ca="1" si="97"/>
        <v>0</v>
      </c>
      <c r="X879" s="1258" t="e">
        <f t="shared" ca="1" si="98"/>
        <v>#N/A</v>
      </c>
      <c r="Y879" s="1240"/>
      <c r="Z879" s="1240"/>
      <c r="AA879" s="1240"/>
      <c r="AB879" s="1240"/>
      <c r="AC879" s="1240"/>
      <c r="AD879" s="1240"/>
      <c r="AE879" s="1240"/>
      <c r="AF879" s="1240"/>
      <c r="AG879" s="1240"/>
      <c r="AH879" s="1240"/>
      <c r="AI879" s="1240"/>
      <c r="AJ879" s="1240"/>
      <c r="AK879" s="1240"/>
      <c r="AL879" s="1240"/>
      <c r="AM879" s="1240"/>
      <c r="AN879" s="1240"/>
      <c r="AO879" s="1240"/>
      <c r="AP879" s="1240"/>
    </row>
    <row r="880" spans="1:42" ht="18.75" customHeight="1" x14ac:dyDescent="0.35">
      <c r="A880" s="1240"/>
      <c r="B880" s="1240"/>
      <c r="C880" s="1240"/>
      <c r="D880" s="1240"/>
      <c r="E880" s="1240"/>
      <c r="F880" s="1240"/>
      <c r="G880" s="1240"/>
      <c r="H880" s="1240"/>
      <c r="I880" s="1240"/>
      <c r="J880" s="1240"/>
      <c r="K880" s="1240"/>
      <c r="L880" s="1240"/>
      <c r="M880" s="1240"/>
      <c r="N880" s="1240"/>
      <c r="O880" s="1240"/>
      <c r="P880" s="1247">
        <f t="shared" si="100"/>
        <v>854</v>
      </c>
      <c r="Q880" s="1253" t="e">
        <f t="shared" ca="1" si="99"/>
        <v>#N/A</v>
      </c>
      <c r="R880" s="1247" t="str">
        <f>IFERROR(VLOOKUP(P880,RPCRepaymentDates[],1,FALSE),"")</f>
        <v/>
      </c>
      <c r="S880" s="1259">
        <f t="shared" si="95"/>
        <v>0</v>
      </c>
      <c r="T880" s="1247" t="str">
        <f>IFERROR(VLOOKUP(P880,RPCChargeCycleDates[],1,FALSE),"")</f>
        <v/>
      </c>
      <c r="U880" s="1248" t="str">
        <f>IFERROR(_xlfn.DAYS(T880,$Q$16)-SUM(U$26:U879),"")</f>
        <v/>
      </c>
      <c r="V880" s="1258">
        <f t="shared" ca="1" si="96"/>
        <v>0</v>
      </c>
      <c r="W880" s="1258">
        <f t="shared" ca="1" si="97"/>
        <v>0</v>
      </c>
      <c r="X880" s="1258" t="e">
        <f t="shared" ca="1" si="98"/>
        <v>#N/A</v>
      </c>
      <c r="Y880" s="1240"/>
      <c r="Z880" s="1240"/>
      <c r="AA880" s="1240"/>
      <c r="AB880" s="1240"/>
      <c r="AC880" s="1240"/>
      <c r="AD880" s="1240"/>
      <c r="AE880" s="1240"/>
      <c r="AF880" s="1240"/>
      <c r="AG880" s="1240"/>
      <c r="AH880" s="1240"/>
      <c r="AI880" s="1240"/>
      <c r="AJ880" s="1240"/>
      <c r="AK880" s="1240"/>
      <c r="AL880" s="1240"/>
      <c r="AM880" s="1240"/>
      <c r="AN880" s="1240"/>
      <c r="AO880" s="1240"/>
      <c r="AP880" s="1240"/>
    </row>
    <row r="881" spans="1:42" ht="18.75" customHeight="1" x14ac:dyDescent="0.35">
      <c r="A881" s="1240"/>
      <c r="B881" s="1240"/>
      <c r="C881" s="1240"/>
      <c r="D881" s="1240"/>
      <c r="E881" s="1240"/>
      <c r="F881" s="1240"/>
      <c r="G881" s="1240"/>
      <c r="H881" s="1240"/>
      <c r="I881" s="1240"/>
      <c r="J881" s="1240"/>
      <c r="K881" s="1240"/>
      <c r="L881" s="1240"/>
      <c r="M881" s="1240"/>
      <c r="N881" s="1240"/>
      <c r="O881" s="1240"/>
      <c r="P881" s="1247">
        <f t="shared" si="100"/>
        <v>855</v>
      </c>
      <c r="Q881" s="1253" t="e">
        <f t="shared" ca="1" si="99"/>
        <v>#N/A</v>
      </c>
      <c r="R881" s="1247" t="str">
        <f>IFERROR(VLOOKUP(P881,RPCRepaymentDates[],1,FALSE),"")</f>
        <v/>
      </c>
      <c r="S881" s="1259">
        <f t="shared" si="95"/>
        <v>0</v>
      </c>
      <c r="T881" s="1247" t="str">
        <f>IFERROR(VLOOKUP(P881,RPCChargeCycleDates[],1,FALSE),"")</f>
        <v/>
      </c>
      <c r="U881" s="1248" t="str">
        <f>IFERROR(_xlfn.DAYS(T881,$Q$16)-SUM(U$26:U880),"")</f>
        <v/>
      </c>
      <c r="V881" s="1258">
        <f t="shared" ca="1" si="96"/>
        <v>0</v>
      </c>
      <c r="W881" s="1258">
        <f t="shared" ca="1" si="97"/>
        <v>0</v>
      </c>
      <c r="X881" s="1258" t="e">
        <f t="shared" ca="1" si="98"/>
        <v>#N/A</v>
      </c>
      <c r="Y881" s="1240"/>
      <c r="Z881" s="1240"/>
      <c r="AA881" s="1240"/>
      <c r="AB881" s="1240"/>
      <c r="AC881" s="1240"/>
      <c r="AD881" s="1240"/>
      <c r="AE881" s="1240"/>
      <c r="AF881" s="1240"/>
      <c r="AG881" s="1240"/>
      <c r="AH881" s="1240"/>
      <c r="AI881" s="1240"/>
      <c r="AJ881" s="1240"/>
      <c r="AK881" s="1240"/>
      <c r="AL881" s="1240"/>
      <c r="AM881" s="1240"/>
      <c r="AN881" s="1240"/>
      <c r="AO881" s="1240"/>
      <c r="AP881" s="1240"/>
    </row>
    <row r="882" spans="1:42" ht="18.75" customHeight="1" x14ac:dyDescent="0.35">
      <c r="A882" s="1240"/>
      <c r="B882" s="1240"/>
      <c r="C882" s="1240"/>
      <c r="D882" s="1240"/>
      <c r="E882" s="1240"/>
      <c r="F882" s="1240"/>
      <c r="G882" s="1240"/>
      <c r="H882" s="1240"/>
      <c r="I882" s="1240"/>
      <c r="J882" s="1240"/>
      <c r="K882" s="1240"/>
      <c r="L882" s="1240"/>
      <c r="M882" s="1240"/>
      <c r="N882" s="1240"/>
      <c r="O882" s="1240"/>
      <c r="P882" s="1247">
        <f t="shared" si="100"/>
        <v>856</v>
      </c>
      <c r="Q882" s="1253" t="e">
        <f t="shared" ca="1" si="99"/>
        <v>#N/A</v>
      </c>
      <c r="R882" s="1247" t="str">
        <f>IFERROR(VLOOKUP(P882,RPCRepaymentDates[],1,FALSE),"")</f>
        <v/>
      </c>
      <c r="S882" s="1259">
        <f t="shared" si="95"/>
        <v>0</v>
      </c>
      <c r="T882" s="1247" t="str">
        <f>IFERROR(VLOOKUP(P882,RPCChargeCycleDates[],1,FALSE),"")</f>
        <v/>
      </c>
      <c r="U882" s="1248" t="str">
        <f>IFERROR(_xlfn.DAYS(T882,$Q$16)-SUM(U$26:U881),"")</f>
        <v/>
      </c>
      <c r="V882" s="1258">
        <f t="shared" ca="1" si="96"/>
        <v>0</v>
      </c>
      <c r="W882" s="1258">
        <f t="shared" ca="1" si="97"/>
        <v>0</v>
      </c>
      <c r="X882" s="1258" t="e">
        <f t="shared" ca="1" si="98"/>
        <v>#N/A</v>
      </c>
      <c r="Y882" s="1240"/>
      <c r="Z882" s="1240"/>
      <c r="AA882" s="1240"/>
      <c r="AB882" s="1240"/>
      <c r="AC882" s="1240"/>
      <c r="AD882" s="1240"/>
      <c r="AE882" s="1240"/>
      <c r="AF882" s="1240"/>
      <c r="AG882" s="1240"/>
      <c r="AH882" s="1240"/>
      <c r="AI882" s="1240"/>
      <c r="AJ882" s="1240"/>
      <c r="AK882" s="1240"/>
      <c r="AL882" s="1240"/>
      <c r="AM882" s="1240"/>
      <c r="AN882" s="1240"/>
      <c r="AO882" s="1240"/>
      <c r="AP882" s="1240"/>
    </row>
    <row r="883" spans="1:42" ht="18.75" customHeight="1" x14ac:dyDescent="0.35">
      <c r="A883" s="1240"/>
      <c r="B883" s="1240"/>
      <c r="C883" s="1240"/>
      <c r="D883" s="1240"/>
      <c r="E883" s="1240"/>
      <c r="F883" s="1240"/>
      <c r="G883" s="1240"/>
      <c r="H883" s="1240"/>
      <c r="I883" s="1240"/>
      <c r="J883" s="1240"/>
      <c r="K883" s="1240"/>
      <c r="L883" s="1240"/>
      <c r="M883" s="1240"/>
      <c r="N883" s="1240"/>
      <c r="O883" s="1240"/>
      <c r="P883" s="1247">
        <f t="shared" si="100"/>
        <v>857</v>
      </c>
      <c r="Q883" s="1253" t="e">
        <f t="shared" ca="1" si="99"/>
        <v>#N/A</v>
      </c>
      <c r="R883" s="1247" t="str">
        <f>IFERROR(VLOOKUP(P883,RPCRepaymentDates[],1,FALSE),"")</f>
        <v/>
      </c>
      <c r="S883" s="1259">
        <f t="shared" si="95"/>
        <v>0</v>
      </c>
      <c r="T883" s="1247" t="str">
        <f>IFERROR(VLOOKUP(P883,RPCChargeCycleDates[],1,FALSE),"")</f>
        <v/>
      </c>
      <c r="U883" s="1248" t="str">
        <f>IFERROR(_xlfn.DAYS(T883,$Q$16)-SUM(U$26:U882),"")</f>
        <v/>
      </c>
      <c r="V883" s="1258">
        <f t="shared" ca="1" si="96"/>
        <v>0</v>
      </c>
      <c r="W883" s="1258">
        <f t="shared" ca="1" si="97"/>
        <v>0</v>
      </c>
      <c r="X883" s="1258" t="e">
        <f t="shared" ca="1" si="98"/>
        <v>#N/A</v>
      </c>
      <c r="Y883" s="1240"/>
      <c r="Z883" s="1240"/>
      <c r="AA883" s="1240"/>
      <c r="AB883" s="1240"/>
      <c r="AC883" s="1240"/>
      <c r="AD883" s="1240"/>
      <c r="AE883" s="1240"/>
      <c r="AF883" s="1240"/>
      <c r="AG883" s="1240"/>
      <c r="AH883" s="1240"/>
      <c r="AI883" s="1240"/>
      <c r="AJ883" s="1240"/>
      <c r="AK883" s="1240"/>
      <c r="AL883" s="1240"/>
      <c r="AM883" s="1240"/>
      <c r="AN883" s="1240"/>
      <c r="AO883" s="1240"/>
      <c r="AP883" s="1240"/>
    </row>
    <row r="884" spans="1:42" ht="18.75" customHeight="1" x14ac:dyDescent="0.35">
      <c r="A884" s="1240"/>
      <c r="B884" s="1240"/>
      <c r="C884" s="1240"/>
      <c r="D884" s="1240"/>
      <c r="E884" s="1240"/>
      <c r="F884" s="1240"/>
      <c r="G884" s="1240"/>
      <c r="H884" s="1240"/>
      <c r="I884" s="1240"/>
      <c r="J884" s="1240"/>
      <c r="K884" s="1240"/>
      <c r="L884" s="1240"/>
      <c r="M884" s="1240"/>
      <c r="N884" s="1240"/>
      <c r="O884" s="1240"/>
      <c r="P884" s="1247">
        <f t="shared" si="100"/>
        <v>858</v>
      </c>
      <c r="Q884" s="1253" t="e">
        <f t="shared" ca="1" si="99"/>
        <v>#N/A</v>
      </c>
      <c r="R884" s="1247" t="str">
        <f>IFERROR(VLOOKUP(P884,RPCRepaymentDates[],1,FALSE),"")</f>
        <v/>
      </c>
      <c r="S884" s="1259">
        <f t="shared" si="95"/>
        <v>0</v>
      </c>
      <c r="T884" s="1247" t="str">
        <f>IFERROR(VLOOKUP(P884,RPCChargeCycleDates[],1,FALSE),"")</f>
        <v/>
      </c>
      <c r="U884" s="1248" t="str">
        <f>IFERROR(_xlfn.DAYS(T884,$Q$16)-SUM(U$26:U883),"")</f>
        <v/>
      </c>
      <c r="V884" s="1258">
        <f t="shared" ca="1" si="96"/>
        <v>0</v>
      </c>
      <c r="W884" s="1258">
        <f t="shared" ca="1" si="97"/>
        <v>0</v>
      </c>
      <c r="X884" s="1258" t="e">
        <f t="shared" ca="1" si="98"/>
        <v>#N/A</v>
      </c>
      <c r="Y884" s="1240"/>
      <c r="Z884" s="1240"/>
      <c r="AA884" s="1240"/>
      <c r="AB884" s="1240"/>
      <c r="AC884" s="1240"/>
      <c r="AD884" s="1240"/>
      <c r="AE884" s="1240"/>
      <c r="AF884" s="1240"/>
      <c r="AG884" s="1240"/>
      <c r="AH884" s="1240"/>
      <c r="AI884" s="1240"/>
      <c r="AJ884" s="1240"/>
      <c r="AK884" s="1240"/>
      <c r="AL884" s="1240"/>
      <c r="AM884" s="1240"/>
      <c r="AN884" s="1240"/>
      <c r="AO884" s="1240"/>
      <c r="AP884" s="1240"/>
    </row>
    <row r="885" spans="1:42" ht="18.75" customHeight="1" x14ac:dyDescent="0.35">
      <c r="A885" s="1240"/>
      <c r="B885" s="1240"/>
      <c r="C885" s="1240"/>
      <c r="D885" s="1240"/>
      <c r="E885" s="1240"/>
      <c r="F885" s="1240"/>
      <c r="G885" s="1240"/>
      <c r="H885" s="1240"/>
      <c r="I885" s="1240"/>
      <c r="J885" s="1240"/>
      <c r="K885" s="1240"/>
      <c r="L885" s="1240"/>
      <c r="M885" s="1240"/>
      <c r="N885" s="1240"/>
      <c r="O885" s="1240"/>
      <c r="P885" s="1247">
        <f t="shared" si="100"/>
        <v>859</v>
      </c>
      <c r="Q885" s="1253" t="e">
        <f t="shared" ca="1" si="99"/>
        <v>#N/A</v>
      </c>
      <c r="R885" s="1247" t="str">
        <f>IFERROR(VLOOKUP(P885,RPCRepaymentDates[],1,FALSE),"")</f>
        <v/>
      </c>
      <c r="S885" s="1259">
        <f t="shared" si="95"/>
        <v>0</v>
      </c>
      <c r="T885" s="1247" t="str">
        <f>IFERROR(VLOOKUP(P885,RPCChargeCycleDates[],1,FALSE),"")</f>
        <v/>
      </c>
      <c r="U885" s="1248" t="str">
        <f>IFERROR(_xlfn.DAYS(T885,$Q$16)-SUM(U$26:U884),"")</f>
        <v/>
      </c>
      <c r="V885" s="1258">
        <f t="shared" ca="1" si="96"/>
        <v>0</v>
      </c>
      <c r="W885" s="1258">
        <f t="shared" ca="1" si="97"/>
        <v>0</v>
      </c>
      <c r="X885" s="1258" t="e">
        <f t="shared" ca="1" si="98"/>
        <v>#N/A</v>
      </c>
      <c r="Y885" s="1240"/>
      <c r="Z885" s="1240"/>
      <c r="AA885" s="1240"/>
      <c r="AB885" s="1240"/>
      <c r="AC885" s="1240"/>
      <c r="AD885" s="1240"/>
      <c r="AE885" s="1240"/>
      <c r="AF885" s="1240"/>
      <c r="AG885" s="1240"/>
      <c r="AH885" s="1240"/>
      <c r="AI885" s="1240"/>
      <c r="AJ885" s="1240"/>
      <c r="AK885" s="1240"/>
      <c r="AL885" s="1240"/>
      <c r="AM885" s="1240"/>
      <c r="AN885" s="1240"/>
      <c r="AO885" s="1240"/>
      <c r="AP885" s="1240"/>
    </row>
    <row r="886" spans="1:42" ht="18.75" customHeight="1" x14ac:dyDescent="0.35">
      <c r="A886" s="1240"/>
      <c r="B886" s="1240"/>
      <c r="C886" s="1240"/>
      <c r="D886" s="1240"/>
      <c r="E886" s="1240"/>
      <c r="F886" s="1240"/>
      <c r="G886" s="1240"/>
      <c r="H886" s="1240"/>
      <c r="I886" s="1240"/>
      <c r="J886" s="1240"/>
      <c r="K886" s="1240"/>
      <c r="L886" s="1240"/>
      <c r="M886" s="1240"/>
      <c r="N886" s="1240"/>
      <c r="O886" s="1240"/>
      <c r="P886" s="1247">
        <f t="shared" si="100"/>
        <v>860</v>
      </c>
      <c r="Q886" s="1253" t="e">
        <f t="shared" ca="1" si="99"/>
        <v>#N/A</v>
      </c>
      <c r="R886" s="1247" t="str">
        <f>IFERROR(VLOOKUP(P886,RPCRepaymentDates[],1,FALSE),"")</f>
        <v/>
      </c>
      <c r="S886" s="1259">
        <f t="shared" si="95"/>
        <v>0</v>
      </c>
      <c r="T886" s="1247" t="str">
        <f>IFERROR(VLOOKUP(P886,RPCChargeCycleDates[],1,FALSE),"")</f>
        <v/>
      </c>
      <c r="U886" s="1248" t="str">
        <f>IFERROR(_xlfn.DAYS(T886,$Q$16)-SUM(U$26:U885),"")</f>
        <v/>
      </c>
      <c r="V886" s="1258">
        <f t="shared" ca="1" si="96"/>
        <v>0</v>
      </c>
      <c r="W886" s="1258">
        <f t="shared" ca="1" si="97"/>
        <v>0</v>
      </c>
      <c r="X886" s="1258" t="e">
        <f t="shared" ca="1" si="98"/>
        <v>#N/A</v>
      </c>
      <c r="Y886" s="1240"/>
      <c r="Z886" s="1240"/>
      <c r="AA886" s="1240"/>
      <c r="AB886" s="1240"/>
      <c r="AC886" s="1240"/>
      <c r="AD886" s="1240"/>
      <c r="AE886" s="1240"/>
      <c r="AF886" s="1240"/>
      <c r="AG886" s="1240"/>
      <c r="AH886" s="1240"/>
      <c r="AI886" s="1240"/>
      <c r="AJ886" s="1240"/>
      <c r="AK886" s="1240"/>
      <c r="AL886" s="1240"/>
      <c r="AM886" s="1240"/>
      <c r="AN886" s="1240"/>
      <c r="AO886" s="1240"/>
      <c r="AP886" s="1240"/>
    </row>
    <row r="887" spans="1:42" ht="18.75" customHeight="1" x14ac:dyDescent="0.35">
      <c r="A887" s="1240"/>
      <c r="B887" s="1240"/>
      <c r="C887" s="1240"/>
      <c r="D887" s="1240"/>
      <c r="E887" s="1240"/>
      <c r="F887" s="1240"/>
      <c r="G887" s="1240"/>
      <c r="H887" s="1240"/>
      <c r="I887" s="1240"/>
      <c r="J887" s="1240"/>
      <c r="K887" s="1240"/>
      <c r="L887" s="1240"/>
      <c r="M887" s="1240"/>
      <c r="N887" s="1240"/>
      <c r="O887" s="1240"/>
      <c r="P887" s="1247">
        <f t="shared" si="100"/>
        <v>861</v>
      </c>
      <c r="Q887" s="1253" t="e">
        <f t="shared" ca="1" si="99"/>
        <v>#N/A</v>
      </c>
      <c r="R887" s="1247" t="str">
        <f>IFERROR(VLOOKUP(P887,RPCRepaymentDates[],1,FALSE),"")</f>
        <v/>
      </c>
      <c r="S887" s="1259">
        <f t="shared" si="95"/>
        <v>0</v>
      </c>
      <c r="T887" s="1247" t="str">
        <f>IFERROR(VLOOKUP(P887,RPCChargeCycleDates[],1,FALSE),"")</f>
        <v/>
      </c>
      <c r="U887" s="1248" t="str">
        <f>IFERROR(_xlfn.DAYS(T887,$Q$16)-SUM(U$26:U886),"")</f>
        <v/>
      </c>
      <c r="V887" s="1258">
        <f t="shared" ca="1" si="96"/>
        <v>0</v>
      </c>
      <c r="W887" s="1258">
        <f t="shared" ca="1" si="97"/>
        <v>0</v>
      </c>
      <c r="X887" s="1258" t="e">
        <f t="shared" ca="1" si="98"/>
        <v>#N/A</v>
      </c>
      <c r="Y887" s="1240"/>
      <c r="Z887" s="1240"/>
      <c r="AA887" s="1240"/>
      <c r="AB887" s="1240"/>
      <c r="AC887" s="1240"/>
      <c r="AD887" s="1240"/>
      <c r="AE887" s="1240"/>
      <c r="AF887" s="1240"/>
      <c r="AG887" s="1240"/>
      <c r="AH887" s="1240"/>
      <c r="AI887" s="1240"/>
      <c r="AJ887" s="1240"/>
      <c r="AK887" s="1240"/>
      <c r="AL887" s="1240"/>
      <c r="AM887" s="1240"/>
      <c r="AN887" s="1240"/>
      <c r="AO887" s="1240"/>
      <c r="AP887" s="1240"/>
    </row>
    <row r="888" spans="1:42" ht="18.75" customHeight="1" x14ac:dyDescent="0.35">
      <c r="A888" s="1240"/>
      <c r="B888" s="1240"/>
      <c r="C888" s="1240"/>
      <c r="D888" s="1240"/>
      <c r="E888" s="1240"/>
      <c r="F888" s="1240"/>
      <c r="G888" s="1240"/>
      <c r="H888" s="1240"/>
      <c r="I888" s="1240"/>
      <c r="J888" s="1240"/>
      <c r="K888" s="1240"/>
      <c r="L888" s="1240"/>
      <c r="M888" s="1240"/>
      <c r="N888" s="1240"/>
      <c r="O888" s="1240"/>
      <c r="P888" s="1247">
        <f t="shared" si="100"/>
        <v>862</v>
      </c>
      <c r="Q888" s="1253" t="e">
        <f t="shared" ca="1" si="99"/>
        <v>#N/A</v>
      </c>
      <c r="R888" s="1247" t="str">
        <f>IFERROR(VLOOKUP(P888,RPCRepaymentDates[],1,FALSE),"")</f>
        <v/>
      </c>
      <c r="S888" s="1259">
        <f t="shared" si="95"/>
        <v>0</v>
      </c>
      <c r="T888" s="1247" t="str">
        <f>IFERROR(VLOOKUP(P888,RPCChargeCycleDates[],1,FALSE),"")</f>
        <v/>
      </c>
      <c r="U888" s="1248" t="str">
        <f>IFERROR(_xlfn.DAYS(T888,$Q$16)-SUM(U$26:U887),"")</f>
        <v/>
      </c>
      <c r="V888" s="1258">
        <f t="shared" ca="1" si="96"/>
        <v>0</v>
      </c>
      <c r="W888" s="1258">
        <f t="shared" ca="1" si="97"/>
        <v>0</v>
      </c>
      <c r="X888" s="1258" t="e">
        <f t="shared" ca="1" si="98"/>
        <v>#N/A</v>
      </c>
      <c r="Y888" s="1240"/>
      <c r="Z888" s="1240"/>
      <c r="AA888" s="1240"/>
      <c r="AB888" s="1240"/>
      <c r="AC888" s="1240"/>
      <c r="AD888" s="1240"/>
      <c r="AE888" s="1240"/>
      <c r="AF888" s="1240"/>
      <c r="AG888" s="1240"/>
      <c r="AH888" s="1240"/>
      <c r="AI888" s="1240"/>
      <c r="AJ888" s="1240"/>
      <c r="AK888" s="1240"/>
      <c r="AL888" s="1240"/>
      <c r="AM888" s="1240"/>
      <c r="AN888" s="1240"/>
      <c r="AO888" s="1240"/>
      <c r="AP888" s="1240"/>
    </row>
    <row r="889" spans="1:42" ht="18.75" customHeight="1" x14ac:dyDescent="0.35">
      <c r="A889" s="1240"/>
      <c r="B889" s="1240"/>
      <c r="C889" s="1240"/>
      <c r="D889" s="1240"/>
      <c r="E889" s="1240"/>
      <c r="F889" s="1240"/>
      <c r="G889" s="1240"/>
      <c r="H889" s="1240"/>
      <c r="I889" s="1240"/>
      <c r="J889" s="1240"/>
      <c r="K889" s="1240"/>
      <c r="L889" s="1240"/>
      <c r="M889" s="1240"/>
      <c r="N889" s="1240"/>
      <c r="O889" s="1240"/>
      <c r="P889" s="1247">
        <f t="shared" si="100"/>
        <v>863</v>
      </c>
      <c r="Q889" s="1253" t="e">
        <f t="shared" ca="1" si="99"/>
        <v>#N/A</v>
      </c>
      <c r="R889" s="1247" t="str">
        <f>IFERROR(VLOOKUP(P889,RPCRepaymentDates[],1,FALSE),"")</f>
        <v/>
      </c>
      <c r="S889" s="1259">
        <f t="shared" si="95"/>
        <v>0</v>
      </c>
      <c r="T889" s="1247" t="str">
        <f>IFERROR(VLOOKUP(P889,RPCChargeCycleDates[],1,FALSE),"")</f>
        <v/>
      </c>
      <c r="U889" s="1248" t="str">
        <f>IFERROR(_xlfn.DAYS(T889,$Q$16)-SUM(U$26:U888),"")</f>
        <v/>
      </c>
      <c r="V889" s="1258">
        <f t="shared" ca="1" si="96"/>
        <v>0</v>
      </c>
      <c r="W889" s="1258">
        <f t="shared" ca="1" si="97"/>
        <v>0</v>
      </c>
      <c r="X889" s="1258" t="e">
        <f t="shared" ca="1" si="98"/>
        <v>#N/A</v>
      </c>
      <c r="Y889" s="1240"/>
      <c r="Z889" s="1240"/>
      <c r="AA889" s="1240"/>
      <c r="AB889" s="1240"/>
      <c r="AC889" s="1240"/>
      <c r="AD889" s="1240"/>
      <c r="AE889" s="1240"/>
      <c r="AF889" s="1240"/>
      <c r="AG889" s="1240"/>
      <c r="AH889" s="1240"/>
      <c r="AI889" s="1240"/>
      <c r="AJ889" s="1240"/>
      <c r="AK889" s="1240"/>
      <c r="AL889" s="1240"/>
      <c r="AM889" s="1240"/>
      <c r="AN889" s="1240"/>
      <c r="AO889" s="1240"/>
      <c r="AP889" s="1240"/>
    </row>
    <row r="890" spans="1:42" ht="18.75" customHeight="1" x14ac:dyDescent="0.35">
      <c r="A890" s="1240"/>
      <c r="B890" s="1240"/>
      <c r="C890" s="1240"/>
      <c r="D890" s="1240"/>
      <c r="E890" s="1240"/>
      <c r="F890" s="1240"/>
      <c r="G890" s="1240"/>
      <c r="H890" s="1240"/>
      <c r="I890" s="1240"/>
      <c r="J890" s="1240"/>
      <c r="K890" s="1240"/>
      <c r="L890" s="1240"/>
      <c r="M890" s="1240"/>
      <c r="N890" s="1240"/>
      <c r="O890" s="1240"/>
      <c r="P890" s="1247">
        <f t="shared" si="100"/>
        <v>864</v>
      </c>
      <c r="Q890" s="1253" t="e">
        <f t="shared" ca="1" si="99"/>
        <v>#N/A</v>
      </c>
      <c r="R890" s="1247" t="str">
        <f>IFERROR(VLOOKUP(P890,RPCRepaymentDates[],1,FALSE),"")</f>
        <v/>
      </c>
      <c r="S890" s="1259">
        <f t="shared" si="95"/>
        <v>0</v>
      </c>
      <c r="T890" s="1247" t="str">
        <f>IFERROR(VLOOKUP(P890,RPCChargeCycleDates[],1,FALSE),"")</f>
        <v/>
      </c>
      <c r="U890" s="1248" t="str">
        <f>IFERROR(_xlfn.DAYS(T890,$Q$16)-SUM(U$26:U889),"")</f>
        <v/>
      </c>
      <c r="V890" s="1258">
        <f t="shared" ca="1" si="96"/>
        <v>0</v>
      </c>
      <c r="W890" s="1258">
        <f t="shared" ca="1" si="97"/>
        <v>0</v>
      </c>
      <c r="X890" s="1258" t="e">
        <f t="shared" ca="1" si="98"/>
        <v>#N/A</v>
      </c>
      <c r="Y890" s="1240"/>
      <c r="Z890" s="1240"/>
      <c r="AA890" s="1240"/>
      <c r="AB890" s="1240"/>
      <c r="AC890" s="1240"/>
      <c r="AD890" s="1240"/>
      <c r="AE890" s="1240"/>
      <c r="AF890" s="1240"/>
      <c r="AG890" s="1240"/>
      <c r="AH890" s="1240"/>
      <c r="AI890" s="1240"/>
      <c r="AJ890" s="1240"/>
      <c r="AK890" s="1240"/>
      <c r="AL890" s="1240"/>
      <c r="AM890" s="1240"/>
      <c r="AN890" s="1240"/>
      <c r="AO890" s="1240"/>
      <c r="AP890" s="1240"/>
    </row>
    <row r="891" spans="1:42" ht="18.75" customHeight="1" x14ac:dyDescent="0.35">
      <c r="A891" s="1240"/>
      <c r="B891" s="1240"/>
      <c r="C891" s="1240"/>
      <c r="D891" s="1240"/>
      <c r="E891" s="1240"/>
      <c r="F891" s="1240"/>
      <c r="G891" s="1240"/>
      <c r="H891" s="1240"/>
      <c r="I891" s="1240"/>
      <c r="J891" s="1240"/>
      <c r="K891" s="1240"/>
      <c r="L891" s="1240"/>
      <c r="M891" s="1240"/>
      <c r="N891" s="1240"/>
      <c r="O891" s="1240"/>
      <c r="P891" s="1247">
        <f t="shared" si="100"/>
        <v>865</v>
      </c>
      <c r="Q891" s="1253" t="e">
        <f t="shared" ca="1" si="99"/>
        <v>#N/A</v>
      </c>
      <c r="R891" s="1247" t="str">
        <f>IFERROR(VLOOKUP(P891,RPCRepaymentDates[],1,FALSE),"")</f>
        <v/>
      </c>
      <c r="S891" s="1259">
        <f t="shared" si="95"/>
        <v>0</v>
      </c>
      <c r="T891" s="1247" t="str">
        <f>IFERROR(VLOOKUP(P891,RPCChargeCycleDates[],1,FALSE),"")</f>
        <v/>
      </c>
      <c r="U891" s="1248" t="str">
        <f>IFERROR(_xlfn.DAYS(T891,$Q$16)-SUM(U$26:U890),"")</f>
        <v/>
      </c>
      <c r="V891" s="1258">
        <f t="shared" ca="1" si="96"/>
        <v>0</v>
      </c>
      <c r="W891" s="1258">
        <f t="shared" ca="1" si="97"/>
        <v>0</v>
      </c>
      <c r="X891" s="1258" t="e">
        <f t="shared" ca="1" si="98"/>
        <v>#N/A</v>
      </c>
      <c r="Y891" s="1240"/>
      <c r="Z891" s="1240"/>
      <c r="AA891" s="1240"/>
      <c r="AB891" s="1240"/>
      <c r="AC891" s="1240"/>
      <c r="AD891" s="1240"/>
      <c r="AE891" s="1240"/>
      <c r="AF891" s="1240"/>
      <c r="AG891" s="1240"/>
      <c r="AH891" s="1240"/>
      <c r="AI891" s="1240"/>
      <c r="AJ891" s="1240"/>
      <c r="AK891" s="1240"/>
      <c r="AL891" s="1240"/>
      <c r="AM891" s="1240"/>
      <c r="AN891" s="1240"/>
      <c r="AO891" s="1240"/>
      <c r="AP891" s="1240"/>
    </row>
    <row r="892" spans="1:42" ht="18.75" customHeight="1" x14ac:dyDescent="0.35">
      <c r="A892" s="1240"/>
      <c r="B892" s="1240"/>
      <c r="C892" s="1240"/>
      <c r="D892" s="1240"/>
      <c r="E892" s="1240"/>
      <c r="F892" s="1240"/>
      <c r="G892" s="1240"/>
      <c r="H892" s="1240"/>
      <c r="I892" s="1240"/>
      <c r="J892" s="1240"/>
      <c r="K892" s="1240"/>
      <c r="L892" s="1240"/>
      <c r="M892" s="1240"/>
      <c r="N892" s="1240"/>
      <c r="O892" s="1240"/>
      <c r="P892" s="1247">
        <f t="shared" si="100"/>
        <v>866</v>
      </c>
      <c r="Q892" s="1253" t="e">
        <f t="shared" ca="1" si="99"/>
        <v>#N/A</v>
      </c>
      <c r="R892" s="1247" t="str">
        <f>IFERROR(VLOOKUP(P892,RPCRepaymentDates[],1,FALSE),"")</f>
        <v/>
      </c>
      <c r="S892" s="1259">
        <f t="shared" si="95"/>
        <v>0</v>
      </c>
      <c r="T892" s="1247" t="str">
        <f>IFERROR(VLOOKUP(P892,RPCChargeCycleDates[],1,FALSE),"")</f>
        <v/>
      </c>
      <c r="U892" s="1248" t="str">
        <f>IFERROR(_xlfn.DAYS(T892,$Q$16)-SUM(U$26:U891),"")</f>
        <v/>
      </c>
      <c r="V892" s="1258">
        <f t="shared" ca="1" si="96"/>
        <v>0</v>
      </c>
      <c r="W892" s="1258">
        <f t="shared" ca="1" si="97"/>
        <v>0</v>
      </c>
      <c r="X892" s="1258" t="e">
        <f t="shared" ca="1" si="98"/>
        <v>#N/A</v>
      </c>
      <c r="Y892" s="1240"/>
      <c r="Z892" s="1240"/>
      <c r="AA892" s="1240"/>
      <c r="AB892" s="1240"/>
      <c r="AC892" s="1240"/>
      <c r="AD892" s="1240"/>
      <c r="AE892" s="1240"/>
      <c r="AF892" s="1240"/>
      <c r="AG892" s="1240"/>
      <c r="AH892" s="1240"/>
      <c r="AI892" s="1240"/>
      <c r="AJ892" s="1240"/>
      <c r="AK892" s="1240"/>
      <c r="AL892" s="1240"/>
      <c r="AM892" s="1240"/>
      <c r="AN892" s="1240"/>
      <c r="AO892" s="1240"/>
      <c r="AP892" s="1240"/>
    </row>
    <row r="893" spans="1:42" ht="18.75" customHeight="1" x14ac:dyDescent="0.35">
      <c r="A893" s="1240"/>
      <c r="B893" s="1240"/>
      <c r="C893" s="1240"/>
      <c r="D893" s="1240"/>
      <c r="E893" s="1240"/>
      <c r="F893" s="1240"/>
      <c r="G893" s="1240"/>
      <c r="H893" s="1240"/>
      <c r="I893" s="1240"/>
      <c r="J893" s="1240"/>
      <c r="K893" s="1240"/>
      <c r="L893" s="1240"/>
      <c r="M893" s="1240"/>
      <c r="N893" s="1240"/>
      <c r="O893" s="1240"/>
      <c r="P893" s="1247">
        <f t="shared" si="100"/>
        <v>867</v>
      </c>
      <c r="Q893" s="1253" t="e">
        <f t="shared" ca="1" si="99"/>
        <v>#N/A</v>
      </c>
      <c r="R893" s="1247" t="str">
        <f>IFERROR(VLOOKUP(P893,RPCRepaymentDates[],1,FALSE),"")</f>
        <v/>
      </c>
      <c r="S893" s="1259">
        <f t="shared" si="95"/>
        <v>0</v>
      </c>
      <c r="T893" s="1247" t="str">
        <f>IFERROR(VLOOKUP(P893,RPCChargeCycleDates[],1,FALSE),"")</f>
        <v/>
      </c>
      <c r="U893" s="1248" t="str">
        <f>IFERROR(_xlfn.DAYS(T893,$Q$16)-SUM(U$26:U892),"")</f>
        <v/>
      </c>
      <c r="V893" s="1258">
        <f t="shared" ca="1" si="96"/>
        <v>0</v>
      </c>
      <c r="W893" s="1258">
        <f t="shared" ca="1" si="97"/>
        <v>0</v>
      </c>
      <c r="X893" s="1258" t="e">
        <f t="shared" ca="1" si="98"/>
        <v>#N/A</v>
      </c>
      <c r="Y893" s="1240"/>
      <c r="Z893" s="1240"/>
      <c r="AA893" s="1240"/>
      <c r="AB893" s="1240"/>
      <c r="AC893" s="1240"/>
      <c r="AD893" s="1240"/>
      <c r="AE893" s="1240"/>
      <c r="AF893" s="1240"/>
      <c r="AG893" s="1240"/>
      <c r="AH893" s="1240"/>
      <c r="AI893" s="1240"/>
      <c r="AJ893" s="1240"/>
      <c r="AK893" s="1240"/>
      <c r="AL893" s="1240"/>
      <c r="AM893" s="1240"/>
      <c r="AN893" s="1240"/>
      <c r="AO893" s="1240"/>
      <c r="AP893" s="1240"/>
    </row>
    <row r="894" spans="1:42" ht="18.75" customHeight="1" x14ac:dyDescent="0.35">
      <c r="A894" s="1240"/>
      <c r="B894" s="1240"/>
      <c r="C894" s="1240"/>
      <c r="D894" s="1240"/>
      <c r="E894" s="1240"/>
      <c r="F894" s="1240"/>
      <c r="G894" s="1240"/>
      <c r="H894" s="1240"/>
      <c r="I894" s="1240"/>
      <c r="J894" s="1240"/>
      <c r="K894" s="1240"/>
      <c r="L894" s="1240"/>
      <c r="M894" s="1240"/>
      <c r="N894" s="1240"/>
      <c r="O894" s="1240"/>
      <c r="P894" s="1247">
        <f t="shared" si="100"/>
        <v>868</v>
      </c>
      <c r="Q894" s="1253" t="e">
        <f t="shared" ca="1" si="99"/>
        <v>#N/A</v>
      </c>
      <c r="R894" s="1247" t="str">
        <f>IFERROR(VLOOKUP(P894,RPCRepaymentDates[],1,FALSE),"")</f>
        <v/>
      </c>
      <c r="S894" s="1259">
        <f t="shared" si="95"/>
        <v>0</v>
      </c>
      <c r="T894" s="1247" t="str">
        <f>IFERROR(VLOOKUP(P894,RPCChargeCycleDates[],1,FALSE),"")</f>
        <v/>
      </c>
      <c r="U894" s="1248" t="str">
        <f>IFERROR(_xlfn.DAYS(T894,$Q$16)-SUM(U$26:U893),"")</f>
        <v/>
      </c>
      <c r="V894" s="1258">
        <f t="shared" ca="1" si="96"/>
        <v>0</v>
      </c>
      <c r="W894" s="1258">
        <f t="shared" ca="1" si="97"/>
        <v>0</v>
      </c>
      <c r="X894" s="1258" t="e">
        <f t="shared" ca="1" si="98"/>
        <v>#N/A</v>
      </c>
      <c r="Y894" s="1240"/>
      <c r="Z894" s="1240"/>
      <c r="AA894" s="1240"/>
      <c r="AB894" s="1240"/>
      <c r="AC894" s="1240"/>
      <c r="AD894" s="1240"/>
      <c r="AE894" s="1240"/>
      <c r="AF894" s="1240"/>
      <c r="AG894" s="1240"/>
      <c r="AH894" s="1240"/>
      <c r="AI894" s="1240"/>
      <c r="AJ894" s="1240"/>
      <c r="AK894" s="1240"/>
      <c r="AL894" s="1240"/>
      <c r="AM894" s="1240"/>
      <c r="AN894" s="1240"/>
      <c r="AO894" s="1240"/>
      <c r="AP894" s="1240"/>
    </row>
    <row r="895" spans="1:42" ht="18.75" customHeight="1" x14ac:dyDescent="0.35">
      <c r="A895" s="1240"/>
      <c r="B895" s="1240"/>
      <c r="C895" s="1240"/>
      <c r="D895" s="1240"/>
      <c r="E895" s="1240"/>
      <c r="F895" s="1240"/>
      <c r="G895" s="1240"/>
      <c r="H895" s="1240"/>
      <c r="I895" s="1240"/>
      <c r="J895" s="1240"/>
      <c r="K895" s="1240"/>
      <c r="L895" s="1240"/>
      <c r="M895" s="1240"/>
      <c r="N895" s="1240"/>
      <c r="O895" s="1240"/>
      <c r="P895" s="1247">
        <f t="shared" si="100"/>
        <v>869</v>
      </c>
      <c r="Q895" s="1253" t="e">
        <f t="shared" ca="1" si="99"/>
        <v>#N/A</v>
      </c>
      <c r="R895" s="1247" t="str">
        <f>IFERROR(VLOOKUP(P895,RPCRepaymentDates[],1,FALSE),"")</f>
        <v/>
      </c>
      <c r="S895" s="1259">
        <f t="shared" si="95"/>
        <v>0</v>
      </c>
      <c r="T895" s="1247" t="str">
        <f>IFERROR(VLOOKUP(P895,RPCChargeCycleDates[],1,FALSE),"")</f>
        <v/>
      </c>
      <c r="U895" s="1248" t="str">
        <f>IFERROR(_xlfn.DAYS(T895,$Q$16)-SUM(U$26:U894),"")</f>
        <v/>
      </c>
      <c r="V895" s="1258">
        <f t="shared" ca="1" si="96"/>
        <v>0</v>
      </c>
      <c r="W895" s="1258">
        <f t="shared" ca="1" si="97"/>
        <v>0</v>
      </c>
      <c r="X895" s="1258" t="e">
        <f t="shared" ca="1" si="98"/>
        <v>#N/A</v>
      </c>
      <c r="Y895" s="1240"/>
      <c r="Z895" s="1240"/>
      <c r="AA895" s="1240"/>
      <c r="AB895" s="1240"/>
      <c r="AC895" s="1240"/>
      <c r="AD895" s="1240"/>
      <c r="AE895" s="1240"/>
      <c r="AF895" s="1240"/>
      <c r="AG895" s="1240"/>
      <c r="AH895" s="1240"/>
      <c r="AI895" s="1240"/>
      <c r="AJ895" s="1240"/>
      <c r="AK895" s="1240"/>
      <c r="AL895" s="1240"/>
      <c r="AM895" s="1240"/>
      <c r="AN895" s="1240"/>
      <c r="AO895" s="1240"/>
      <c r="AP895" s="1240"/>
    </row>
    <row r="896" spans="1:42" ht="18.75" customHeight="1" x14ac:dyDescent="0.35">
      <c r="A896" s="1240"/>
      <c r="B896" s="1240"/>
      <c r="C896" s="1240"/>
      <c r="D896" s="1240"/>
      <c r="E896" s="1240"/>
      <c r="F896" s="1240"/>
      <c r="G896" s="1240"/>
      <c r="H896" s="1240"/>
      <c r="I896" s="1240"/>
      <c r="J896" s="1240"/>
      <c r="K896" s="1240"/>
      <c r="L896" s="1240"/>
      <c r="M896" s="1240"/>
      <c r="N896" s="1240"/>
      <c r="O896" s="1240"/>
      <c r="P896" s="1247">
        <f t="shared" si="100"/>
        <v>870</v>
      </c>
      <c r="Q896" s="1253" t="e">
        <f t="shared" ca="1" si="99"/>
        <v>#N/A</v>
      </c>
      <c r="R896" s="1247" t="str">
        <f>IFERROR(VLOOKUP(P896,RPCRepaymentDates[],1,FALSE),"")</f>
        <v/>
      </c>
      <c r="S896" s="1259">
        <f t="shared" si="95"/>
        <v>0</v>
      </c>
      <c r="T896" s="1247" t="str">
        <f>IFERROR(VLOOKUP(P896,RPCChargeCycleDates[],1,FALSE),"")</f>
        <v/>
      </c>
      <c r="U896" s="1248" t="str">
        <f>IFERROR(_xlfn.DAYS(T896,$Q$16)-SUM(U$26:U895),"")</f>
        <v/>
      </c>
      <c r="V896" s="1258">
        <f t="shared" ca="1" si="96"/>
        <v>0</v>
      </c>
      <c r="W896" s="1258">
        <f t="shared" ca="1" si="97"/>
        <v>0</v>
      </c>
      <c r="X896" s="1258" t="e">
        <f t="shared" ca="1" si="98"/>
        <v>#N/A</v>
      </c>
      <c r="Y896" s="1240"/>
      <c r="Z896" s="1240"/>
      <c r="AA896" s="1240"/>
      <c r="AB896" s="1240"/>
      <c r="AC896" s="1240"/>
      <c r="AD896" s="1240"/>
      <c r="AE896" s="1240"/>
      <c r="AF896" s="1240"/>
      <c r="AG896" s="1240"/>
      <c r="AH896" s="1240"/>
      <c r="AI896" s="1240"/>
      <c r="AJ896" s="1240"/>
      <c r="AK896" s="1240"/>
      <c r="AL896" s="1240"/>
      <c r="AM896" s="1240"/>
      <c r="AN896" s="1240"/>
      <c r="AO896" s="1240"/>
      <c r="AP896" s="1240"/>
    </row>
    <row r="897" spans="1:42" ht="18.75" customHeight="1" x14ac:dyDescent="0.35">
      <c r="A897" s="1240"/>
      <c r="B897" s="1240"/>
      <c r="C897" s="1240"/>
      <c r="D897" s="1240"/>
      <c r="E897" s="1240"/>
      <c r="F897" s="1240"/>
      <c r="G897" s="1240"/>
      <c r="H897" s="1240"/>
      <c r="I897" s="1240"/>
      <c r="J897" s="1240"/>
      <c r="K897" s="1240"/>
      <c r="L897" s="1240"/>
      <c r="M897" s="1240"/>
      <c r="N897" s="1240"/>
      <c r="O897" s="1240"/>
      <c r="P897" s="1247">
        <f t="shared" si="100"/>
        <v>871</v>
      </c>
      <c r="Q897" s="1253" t="e">
        <f t="shared" ca="1" si="99"/>
        <v>#N/A</v>
      </c>
      <c r="R897" s="1247" t="str">
        <f>IFERROR(VLOOKUP(P897,RPCRepaymentDates[],1,FALSE),"")</f>
        <v/>
      </c>
      <c r="S897" s="1259">
        <f t="shared" si="95"/>
        <v>0</v>
      </c>
      <c r="T897" s="1247" t="str">
        <f>IFERROR(VLOOKUP(P897,RPCChargeCycleDates[],1,FALSE),"")</f>
        <v/>
      </c>
      <c r="U897" s="1248" t="str">
        <f>IFERROR(_xlfn.DAYS(T897,$Q$16)-SUM(U$26:U896),"")</f>
        <v/>
      </c>
      <c r="V897" s="1258">
        <f t="shared" ca="1" si="96"/>
        <v>0</v>
      </c>
      <c r="W897" s="1258">
        <f t="shared" ca="1" si="97"/>
        <v>0</v>
      </c>
      <c r="X897" s="1258" t="e">
        <f t="shared" ca="1" si="98"/>
        <v>#N/A</v>
      </c>
      <c r="Y897" s="1240"/>
      <c r="Z897" s="1240"/>
      <c r="AA897" s="1240"/>
      <c r="AB897" s="1240"/>
      <c r="AC897" s="1240"/>
      <c r="AD897" s="1240"/>
      <c r="AE897" s="1240"/>
      <c r="AF897" s="1240"/>
      <c r="AG897" s="1240"/>
      <c r="AH897" s="1240"/>
      <c r="AI897" s="1240"/>
      <c r="AJ897" s="1240"/>
      <c r="AK897" s="1240"/>
      <c r="AL897" s="1240"/>
      <c r="AM897" s="1240"/>
      <c r="AN897" s="1240"/>
      <c r="AO897" s="1240"/>
      <c r="AP897" s="1240"/>
    </row>
    <row r="898" spans="1:42" ht="18.75" customHeight="1" x14ac:dyDescent="0.35">
      <c r="A898" s="1240"/>
      <c r="B898" s="1240"/>
      <c r="C898" s="1240"/>
      <c r="D898" s="1240"/>
      <c r="E898" s="1240"/>
      <c r="F898" s="1240"/>
      <c r="G898" s="1240"/>
      <c r="H898" s="1240"/>
      <c r="I898" s="1240"/>
      <c r="J898" s="1240"/>
      <c r="K898" s="1240"/>
      <c r="L898" s="1240"/>
      <c r="M898" s="1240"/>
      <c r="N898" s="1240"/>
      <c r="O898" s="1240"/>
      <c r="P898" s="1247">
        <f t="shared" si="100"/>
        <v>872</v>
      </c>
      <c r="Q898" s="1253" t="e">
        <f t="shared" ca="1" si="99"/>
        <v>#N/A</v>
      </c>
      <c r="R898" s="1247" t="str">
        <f>IFERROR(VLOOKUP(P898,RPCRepaymentDates[],1,FALSE),"")</f>
        <v/>
      </c>
      <c r="S898" s="1259">
        <f t="shared" si="95"/>
        <v>0</v>
      </c>
      <c r="T898" s="1247" t="str">
        <f>IFERROR(VLOOKUP(P898,RPCChargeCycleDates[],1,FALSE),"")</f>
        <v/>
      </c>
      <c r="U898" s="1248" t="str">
        <f>IFERROR(_xlfn.DAYS(T898,$Q$16)-SUM(U$26:U897),"")</f>
        <v/>
      </c>
      <c r="V898" s="1258">
        <f t="shared" ca="1" si="96"/>
        <v>0</v>
      </c>
      <c r="W898" s="1258">
        <f t="shared" ca="1" si="97"/>
        <v>0</v>
      </c>
      <c r="X898" s="1258" t="e">
        <f t="shared" ca="1" si="98"/>
        <v>#N/A</v>
      </c>
      <c r="Y898" s="1240"/>
      <c r="Z898" s="1240"/>
      <c r="AA898" s="1240"/>
      <c r="AB898" s="1240"/>
      <c r="AC898" s="1240"/>
      <c r="AD898" s="1240"/>
      <c r="AE898" s="1240"/>
      <c r="AF898" s="1240"/>
      <c r="AG898" s="1240"/>
      <c r="AH898" s="1240"/>
      <c r="AI898" s="1240"/>
      <c r="AJ898" s="1240"/>
      <c r="AK898" s="1240"/>
      <c r="AL898" s="1240"/>
      <c r="AM898" s="1240"/>
      <c r="AN898" s="1240"/>
      <c r="AO898" s="1240"/>
      <c r="AP898" s="1240"/>
    </row>
    <row r="899" spans="1:42" ht="18.75" customHeight="1" x14ac:dyDescent="0.35">
      <c r="A899" s="1240"/>
      <c r="B899" s="1240"/>
      <c r="C899" s="1240"/>
      <c r="D899" s="1240"/>
      <c r="E899" s="1240"/>
      <c r="F899" s="1240"/>
      <c r="G899" s="1240"/>
      <c r="H899" s="1240"/>
      <c r="I899" s="1240"/>
      <c r="J899" s="1240"/>
      <c r="K899" s="1240"/>
      <c r="L899" s="1240"/>
      <c r="M899" s="1240"/>
      <c r="N899" s="1240"/>
      <c r="O899" s="1240"/>
      <c r="P899" s="1247">
        <f t="shared" si="100"/>
        <v>873</v>
      </c>
      <c r="Q899" s="1253" t="e">
        <f t="shared" ca="1" si="99"/>
        <v>#N/A</v>
      </c>
      <c r="R899" s="1247" t="str">
        <f>IFERROR(VLOOKUP(P899,RPCRepaymentDates[],1,FALSE),"")</f>
        <v/>
      </c>
      <c r="S899" s="1259">
        <f t="shared" si="95"/>
        <v>0</v>
      </c>
      <c r="T899" s="1247" t="str">
        <f>IFERROR(VLOOKUP(P899,RPCChargeCycleDates[],1,FALSE),"")</f>
        <v/>
      </c>
      <c r="U899" s="1248" t="str">
        <f>IFERROR(_xlfn.DAYS(T899,$Q$16)-SUM(U$26:U898),"")</f>
        <v/>
      </c>
      <c r="V899" s="1258">
        <f t="shared" ca="1" si="96"/>
        <v>0</v>
      </c>
      <c r="W899" s="1258">
        <f t="shared" ca="1" si="97"/>
        <v>0</v>
      </c>
      <c r="X899" s="1258" t="e">
        <f t="shared" ca="1" si="98"/>
        <v>#N/A</v>
      </c>
      <c r="Y899" s="1240"/>
      <c r="Z899" s="1240"/>
      <c r="AA899" s="1240"/>
      <c r="AB899" s="1240"/>
      <c r="AC899" s="1240"/>
      <c r="AD899" s="1240"/>
      <c r="AE899" s="1240"/>
      <c r="AF899" s="1240"/>
      <c r="AG899" s="1240"/>
      <c r="AH899" s="1240"/>
      <c r="AI899" s="1240"/>
      <c r="AJ899" s="1240"/>
      <c r="AK899" s="1240"/>
      <c r="AL899" s="1240"/>
      <c r="AM899" s="1240"/>
      <c r="AN899" s="1240"/>
      <c r="AO899" s="1240"/>
      <c r="AP899" s="1240"/>
    </row>
    <row r="900" spans="1:42" ht="18.75" customHeight="1" x14ac:dyDescent="0.35">
      <c r="A900" s="1240"/>
      <c r="B900" s="1240"/>
      <c r="C900" s="1240"/>
      <c r="D900" s="1240"/>
      <c r="E900" s="1240"/>
      <c r="F900" s="1240"/>
      <c r="G900" s="1240"/>
      <c r="H900" s="1240"/>
      <c r="I900" s="1240"/>
      <c r="J900" s="1240"/>
      <c r="K900" s="1240"/>
      <c r="L900" s="1240"/>
      <c r="M900" s="1240"/>
      <c r="N900" s="1240"/>
      <c r="O900" s="1240"/>
      <c r="P900" s="1247">
        <f t="shared" si="100"/>
        <v>874</v>
      </c>
      <c r="Q900" s="1253" t="e">
        <f t="shared" ca="1" si="99"/>
        <v>#N/A</v>
      </c>
      <c r="R900" s="1247" t="str">
        <f>IFERROR(VLOOKUP(P900,RPCRepaymentDates[],1,FALSE),"")</f>
        <v/>
      </c>
      <c r="S900" s="1259">
        <f t="shared" si="95"/>
        <v>0</v>
      </c>
      <c r="T900" s="1247" t="str">
        <f>IFERROR(VLOOKUP(P900,RPCChargeCycleDates[],1,FALSE),"")</f>
        <v/>
      </c>
      <c r="U900" s="1248" t="str">
        <f>IFERROR(_xlfn.DAYS(T900,$Q$16)-SUM(U$26:U899),"")</f>
        <v/>
      </c>
      <c r="V900" s="1258">
        <f t="shared" ca="1" si="96"/>
        <v>0</v>
      </c>
      <c r="W900" s="1258">
        <f t="shared" ca="1" si="97"/>
        <v>0</v>
      </c>
      <c r="X900" s="1258" t="e">
        <f t="shared" ca="1" si="98"/>
        <v>#N/A</v>
      </c>
      <c r="Y900" s="1240"/>
      <c r="Z900" s="1240"/>
      <c r="AA900" s="1240"/>
      <c r="AB900" s="1240"/>
      <c r="AC900" s="1240"/>
      <c r="AD900" s="1240"/>
      <c r="AE900" s="1240"/>
      <c r="AF900" s="1240"/>
      <c r="AG900" s="1240"/>
      <c r="AH900" s="1240"/>
      <c r="AI900" s="1240"/>
      <c r="AJ900" s="1240"/>
      <c r="AK900" s="1240"/>
      <c r="AL900" s="1240"/>
      <c r="AM900" s="1240"/>
      <c r="AN900" s="1240"/>
      <c r="AO900" s="1240"/>
      <c r="AP900" s="1240"/>
    </row>
    <row r="901" spans="1:42" ht="18.75" customHeight="1" x14ac:dyDescent="0.35">
      <c r="A901" s="1240"/>
      <c r="B901" s="1240"/>
      <c r="C901" s="1240"/>
      <c r="D901" s="1240"/>
      <c r="E901" s="1240"/>
      <c r="F901" s="1240"/>
      <c r="G901" s="1240"/>
      <c r="H901" s="1240"/>
      <c r="I901" s="1240"/>
      <c r="J901" s="1240"/>
      <c r="K901" s="1240"/>
      <c r="L901" s="1240"/>
      <c r="M901" s="1240"/>
      <c r="N901" s="1240"/>
      <c r="O901" s="1240"/>
      <c r="P901" s="1247">
        <f t="shared" si="100"/>
        <v>875</v>
      </c>
      <c r="Q901" s="1253" t="e">
        <f t="shared" ca="1" si="99"/>
        <v>#N/A</v>
      </c>
      <c r="R901" s="1247" t="str">
        <f>IFERROR(VLOOKUP(P901,RPCRepaymentDates[],1,FALSE),"")</f>
        <v/>
      </c>
      <c r="S901" s="1259">
        <f t="shared" si="95"/>
        <v>0</v>
      </c>
      <c r="T901" s="1247" t="str">
        <f>IFERROR(VLOOKUP(P901,RPCChargeCycleDates[],1,FALSE),"")</f>
        <v/>
      </c>
      <c r="U901" s="1248" t="str">
        <f>IFERROR(_xlfn.DAYS(T901,$Q$16)-SUM(U$26:U900),"")</f>
        <v/>
      </c>
      <c r="V901" s="1258">
        <f t="shared" ca="1" si="96"/>
        <v>0</v>
      </c>
      <c r="W901" s="1258">
        <f t="shared" ca="1" si="97"/>
        <v>0</v>
      </c>
      <c r="X901" s="1258" t="e">
        <f t="shared" ca="1" si="98"/>
        <v>#N/A</v>
      </c>
      <c r="Y901" s="1240"/>
      <c r="Z901" s="1240"/>
      <c r="AA901" s="1240"/>
      <c r="AB901" s="1240"/>
      <c r="AC901" s="1240"/>
      <c r="AD901" s="1240"/>
      <c r="AE901" s="1240"/>
      <c r="AF901" s="1240"/>
      <c r="AG901" s="1240"/>
      <c r="AH901" s="1240"/>
      <c r="AI901" s="1240"/>
      <c r="AJ901" s="1240"/>
      <c r="AK901" s="1240"/>
      <c r="AL901" s="1240"/>
      <c r="AM901" s="1240"/>
      <c r="AN901" s="1240"/>
      <c r="AO901" s="1240"/>
      <c r="AP901" s="1240"/>
    </row>
    <row r="902" spans="1:42" ht="18.75" customHeight="1" x14ac:dyDescent="0.35">
      <c r="A902" s="1240"/>
      <c r="B902" s="1240"/>
      <c r="C902" s="1240"/>
      <c r="D902" s="1240"/>
      <c r="E902" s="1240"/>
      <c r="F902" s="1240"/>
      <c r="G902" s="1240"/>
      <c r="H902" s="1240"/>
      <c r="I902" s="1240"/>
      <c r="J902" s="1240"/>
      <c r="K902" s="1240"/>
      <c r="L902" s="1240"/>
      <c r="M902" s="1240"/>
      <c r="N902" s="1240"/>
      <c r="O902" s="1240"/>
      <c r="P902" s="1247">
        <f t="shared" si="100"/>
        <v>876</v>
      </c>
      <c r="Q902" s="1253" t="e">
        <f t="shared" ca="1" si="99"/>
        <v>#N/A</v>
      </c>
      <c r="R902" s="1247" t="str">
        <f>IFERROR(VLOOKUP(P902,RPCRepaymentDates[],1,FALSE),"")</f>
        <v/>
      </c>
      <c r="S902" s="1259">
        <f t="shared" si="95"/>
        <v>0</v>
      </c>
      <c r="T902" s="1247" t="str">
        <f>IFERROR(VLOOKUP(P902,RPCChargeCycleDates[],1,FALSE),"")</f>
        <v/>
      </c>
      <c r="U902" s="1248" t="str">
        <f>IFERROR(_xlfn.DAYS(T902,$Q$16)-SUM(U$26:U901),"")</f>
        <v/>
      </c>
      <c r="V902" s="1258">
        <f t="shared" ca="1" si="96"/>
        <v>0</v>
      </c>
      <c r="W902" s="1258">
        <f t="shared" ca="1" si="97"/>
        <v>0</v>
      </c>
      <c r="X902" s="1258" t="e">
        <f t="shared" ca="1" si="98"/>
        <v>#N/A</v>
      </c>
      <c r="Y902" s="1240"/>
      <c r="Z902" s="1240"/>
      <c r="AA902" s="1240"/>
      <c r="AB902" s="1240"/>
      <c r="AC902" s="1240"/>
      <c r="AD902" s="1240"/>
      <c r="AE902" s="1240"/>
      <c r="AF902" s="1240"/>
      <c r="AG902" s="1240"/>
      <c r="AH902" s="1240"/>
      <c r="AI902" s="1240"/>
      <c r="AJ902" s="1240"/>
      <c r="AK902" s="1240"/>
      <c r="AL902" s="1240"/>
      <c r="AM902" s="1240"/>
      <c r="AN902" s="1240"/>
      <c r="AO902" s="1240"/>
      <c r="AP902" s="1240"/>
    </row>
    <row r="903" spans="1:42" ht="18.75" customHeight="1" x14ac:dyDescent="0.35">
      <c r="A903" s="1240"/>
      <c r="B903" s="1240"/>
      <c r="C903" s="1240"/>
      <c r="D903" s="1240"/>
      <c r="E903" s="1240"/>
      <c r="F903" s="1240"/>
      <c r="G903" s="1240"/>
      <c r="H903" s="1240"/>
      <c r="I903" s="1240"/>
      <c r="J903" s="1240"/>
      <c r="K903" s="1240"/>
      <c r="L903" s="1240"/>
      <c r="M903" s="1240"/>
      <c r="N903" s="1240"/>
      <c r="O903" s="1240"/>
      <c r="P903" s="1247">
        <f t="shared" si="100"/>
        <v>877</v>
      </c>
      <c r="Q903" s="1253" t="e">
        <f t="shared" ca="1" si="99"/>
        <v>#N/A</v>
      </c>
      <c r="R903" s="1247" t="str">
        <f>IFERROR(VLOOKUP(P903,RPCRepaymentDates[],1,FALSE),"")</f>
        <v/>
      </c>
      <c r="S903" s="1259">
        <f t="shared" si="95"/>
        <v>0</v>
      </c>
      <c r="T903" s="1247" t="str">
        <f>IFERROR(VLOOKUP(P903,RPCChargeCycleDates[],1,FALSE),"")</f>
        <v/>
      </c>
      <c r="U903" s="1248" t="str">
        <f>IFERROR(_xlfn.DAYS(T903,$Q$16)-SUM(U$26:U902),"")</f>
        <v/>
      </c>
      <c r="V903" s="1258">
        <f t="shared" ca="1" si="96"/>
        <v>0</v>
      </c>
      <c r="W903" s="1258">
        <f t="shared" ca="1" si="97"/>
        <v>0</v>
      </c>
      <c r="X903" s="1258" t="e">
        <f t="shared" ca="1" si="98"/>
        <v>#N/A</v>
      </c>
      <c r="Y903" s="1240"/>
      <c r="Z903" s="1240"/>
      <c r="AA903" s="1240"/>
      <c r="AB903" s="1240"/>
      <c r="AC903" s="1240"/>
      <c r="AD903" s="1240"/>
      <c r="AE903" s="1240"/>
      <c r="AF903" s="1240"/>
      <c r="AG903" s="1240"/>
      <c r="AH903" s="1240"/>
      <c r="AI903" s="1240"/>
      <c r="AJ903" s="1240"/>
      <c r="AK903" s="1240"/>
      <c r="AL903" s="1240"/>
      <c r="AM903" s="1240"/>
      <c r="AN903" s="1240"/>
      <c r="AO903" s="1240"/>
      <c r="AP903" s="1240"/>
    </row>
    <row r="904" spans="1:42" ht="18.75" customHeight="1" x14ac:dyDescent="0.35">
      <c r="A904" s="1240"/>
      <c r="B904" s="1240"/>
      <c r="C904" s="1240"/>
      <c r="D904" s="1240"/>
      <c r="E904" s="1240"/>
      <c r="F904" s="1240"/>
      <c r="G904" s="1240"/>
      <c r="H904" s="1240"/>
      <c r="I904" s="1240"/>
      <c r="J904" s="1240"/>
      <c r="K904" s="1240"/>
      <c r="L904" s="1240"/>
      <c r="M904" s="1240"/>
      <c r="N904" s="1240"/>
      <c r="O904" s="1240"/>
      <c r="P904" s="1247">
        <f t="shared" si="100"/>
        <v>878</v>
      </c>
      <c r="Q904" s="1253" t="e">
        <f t="shared" ca="1" si="99"/>
        <v>#N/A</v>
      </c>
      <c r="R904" s="1247" t="str">
        <f>IFERROR(VLOOKUP(P904,RPCRepaymentDates[],1,FALSE),"")</f>
        <v/>
      </c>
      <c r="S904" s="1259">
        <f t="shared" si="95"/>
        <v>0</v>
      </c>
      <c r="T904" s="1247" t="str">
        <f>IFERROR(VLOOKUP(P904,RPCChargeCycleDates[],1,FALSE),"")</f>
        <v/>
      </c>
      <c r="U904" s="1248" t="str">
        <f>IFERROR(_xlfn.DAYS(T904,$Q$16)-SUM(U$26:U903),"")</f>
        <v/>
      </c>
      <c r="V904" s="1258">
        <f t="shared" ca="1" si="96"/>
        <v>0</v>
      </c>
      <c r="W904" s="1258">
        <f t="shared" ca="1" si="97"/>
        <v>0</v>
      </c>
      <c r="X904" s="1258" t="e">
        <f t="shared" ca="1" si="98"/>
        <v>#N/A</v>
      </c>
      <c r="Y904" s="1240"/>
      <c r="Z904" s="1240"/>
      <c r="AA904" s="1240"/>
      <c r="AB904" s="1240"/>
      <c r="AC904" s="1240"/>
      <c r="AD904" s="1240"/>
      <c r="AE904" s="1240"/>
      <c r="AF904" s="1240"/>
      <c r="AG904" s="1240"/>
      <c r="AH904" s="1240"/>
      <c r="AI904" s="1240"/>
      <c r="AJ904" s="1240"/>
      <c r="AK904" s="1240"/>
      <c r="AL904" s="1240"/>
      <c r="AM904" s="1240"/>
      <c r="AN904" s="1240"/>
      <c r="AO904" s="1240"/>
      <c r="AP904" s="1240"/>
    </row>
    <row r="905" spans="1:42" ht="18.75" customHeight="1" x14ac:dyDescent="0.35">
      <c r="A905" s="1240"/>
      <c r="B905" s="1240"/>
      <c r="C905" s="1240"/>
      <c r="D905" s="1240"/>
      <c r="E905" s="1240"/>
      <c r="F905" s="1240"/>
      <c r="G905" s="1240"/>
      <c r="H905" s="1240"/>
      <c r="I905" s="1240"/>
      <c r="J905" s="1240"/>
      <c r="K905" s="1240"/>
      <c r="L905" s="1240"/>
      <c r="M905" s="1240"/>
      <c r="N905" s="1240"/>
      <c r="O905" s="1240"/>
      <c r="P905" s="1247">
        <f t="shared" si="100"/>
        <v>879</v>
      </c>
      <c r="Q905" s="1253" t="e">
        <f t="shared" ca="1" si="99"/>
        <v>#N/A</v>
      </c>
      <c r="R905" s="1247" t="str">
        <f>IFERROR(VLOOKUP(P905,RPCRepaymentDates[],1,FALSE),"")</f>
        <v/>
      </c>
      <c r="S905" s="1259">
        <f t="shared" si="95"/>
        <v>0</v>
      </c>
      <c r="T905" s="1247">
        <f>IFERROR(VLOOKUP(P905,RPCChargeCycleDates[],1,FALSE),"")</f>
        <v>879</v>
      </c>
      <c r="U905" s="1248">
        <f>IFERROR(_xlfn.DAYS(T905,$Q$16)-SUM(U$26:U904),"")</f>
        <v>30</v>
      </c>
      <c r="V905" s="1258">
        <f t="shared" ca="1" si="96"/>
        <v>0</v>
      </c>
      <c r="W905" s="1258">
        <f t="shared" ca="1" si="97"/>
        <v>0</v>
      </c>
      <c r="X905" s="1258" t="e">
        <f t="shared" ca="1" si="98"/>
        <v>#N/A</v>
      </c>
      <c r="Y905" s="1240"/>
      <c r="Z905" s="1240"/>
      <c r="AA905" s="1240"/>
      <c r="AB905" s="1240"/>
      <c r="AC905" s="1240"/>
      <c r="AD905" s="1240"/>
      <c r="AE905" s="1240"/>
      <c r="AF905" s="1240"/>
      <c r="AG905" s="1240"/>
      <c r="AH905" s="1240"/>
      <c r="AI905" s="1240"/>
      <c r="AJ905" s="1240"/>
      <c r="AK905" s="1240"/>
      <c r="AL905" s="1240"/>
      <c r="AM905" s="1240"/>
      <c r="AN905" s="1240"/>
      <c r="AO905" s="1240"/>
      <c r="AP905" s="1240"/>
    </row>
    <row r="906" spans="1:42" ht="18.75" customHeight="1" x14ac:dyDescent="0.35">
      <c r="A906" s="1240"/>
      <c r="B906" s="1240"/>
      <c r="C906" s="1240"/>
      <c r="D906" s="1240"/>
      <c r="E906" s="1240"/>
      <c r="F906" s="1240"/>
      <c r="G906" s="1240"/>
      <c r="H906" s="1240"/>
      <c r="I906" s="1240"/>
      <c r="J906" s="1240"/>
      <c r="K906" s="1240"/>
      <c r="L906" s="1240"/>
      <c r="M906" s="1240"/>
      <c r="N906" s="1240"/>
      <c r="O906" s="1240"/>
      <c r="P906" s="1247">
        <f t="shared" si="100"/>
        <v>880</v>
      </c>
      <c r="Q906" s="1253" t="e">
        <f t="shared" ca="1" si="99"/>
        <v>#N/A</v>
      </c>
      <c r="R906" s="1247" t="str">
        <f>IFERROR(VLOOKUP(P906,RPCRepaymentDates[],1,FALSE),"")</f>
        <v/>
      </c>
      <c r="S906" s="1259">
        <f t="shared" si="95"/>
        <v>0</v>
      </c>
      <c r="T906" s="1247" t="str">
        <f>IFERROR(VLOOKUP(P906,RPCChargeCycleDates[],1,FALSE),"")</f>
        <v/>
      </c>
      <c r="U906" s="1248" t="str">
        <f>IFERROR(_xlfn.DAYS(T906,$Q$16)-SUM(U$26:U905),"")</f>
        <v/>
      </c>
      <c r="V906" s="1258">
        <f t="shared" ca="1" si="96"/>
        <v>0</v>
      </c>
      <c r="W906" s="1258">
        <f t="shared" ca="1" si="97"/>
        <v>0</v>
      </c>
      <c r="X906" s="1258" t="e">
        <f t="shared" ca="1" si="98"/>
        <v>#N/A</v>
      </c>
      <c r="Y906" s="1240"/>
      <c r="Z906" s="1240"/>
      <c r="AA906" s="1240"/>
      <c r="AB906" s="1240"/>
      <c r="AC906" s="1240"/>
      <c r="AD906" s="1240"/>
      <c r="AE906" s="1240"/>
      <c r="AF906" s="1240"/>
      <c r="AG906" s="1240"/>
      <c r="AH906" s="1240"/>
      <c r="AI906" s="1240"/>
      <c r="AJ906" s="1240"/>
      <c r="AK906" s="1240"/>
      <c r="AL906" s="1240"/>
      <c r="AM906" s="1240"/>
      <c r="AN906" s="1240"/>
      <c r="AO906" s="1240"/>
      <c r="AP906" s="1240"/>
    </row>
    <row r="907" spans="1:42" ht="18.75" customHeight="1" x14ac:dyDescent="0.35">
      <c r="A907" s="1240"/>
      <c r="B907" s="1240"/>
      <c r="C907" s="1240"/>
      <c r="D907" s="1240"/>
      <c r="E907" s="1240"/>
      <c r="F907" s="1240"/>
      <c r="G907" s="1240"/>
      <c r="H907" s="1240"/>
      <c r="I907" s="1240"/>
      <c r="J907" s="1240"/>
      <c r="K907" s="1240"/>
      <c r="L907" s="1240"/>
      <c r="M907" s="1240"/>
      <c r="N907" s="1240"/>
      <c r="O907" s="1240"/>
      <c r="P907" s="1247">
        <f t="shared" si="100"/>
        <v>881</v>
      </c>
      <c r="Q907" s="1253" t="e">
        <f t="shared" ca="1" si="99"/>
        <v>#N/A</v>
      </c>
      <c r="R907" s="1247" t="str">
        <f>IFERROR(VLOOKUP(P907,RPCRepaymentDates[],1,FALSE),"")</f>
        <v/>
      </c>
      <c r="S907" s="1259">
        <f t="shared" si="95"/>
        <v>0</v>
      </c>
      <c r="T907" s="1247" t="str">
        <f>IFERROR(VLOOKUP(P907,RPCChargeCycleDates[],1,FALSE),"")</f>
        <v/>
      </c>
      <c r="U907" s="1248" t="str">
        <f>IFERROR(_xlfn.DAYS(T907,$Q$16)-SUM(U$26:U906),"")</f>
        <v/>
      </c>
      <c r="V907" s="1258">
        <f t="shared" ca="1" si="96"/>
        <v>0</v>
      </c>
      <c r="W907" s="1258">
        <f t="shared" ca="1" si="97"/>
        <v>0</v>
      </c>
      <c r="X907" s="1258" t="e">
        <f t="shared" ca="1" si="98"/>
        <v>#N/A</v>
      </c>
      <c r="Y907" s="1240"/>
      <c r="Z907" s="1240"/>
      <c r="AA907" s="1240"/>
      <c r="AB907" s="1240"/>
      <c r="AC907" s="1240"/>
      <c r="AD907" s="1240"/>
      <c r="AE907" s="1240"/>
      <c r="AF907" s="1240"/>
      <c r="AG907" s="1240"/>
      <c r="AH907" s="1240"/>
      <c r="AI907" s="1240"/>
      <c r="AJ907" s="1240"/>
      <c r="AK907" s="1240"/>
      <c r="AL907" s="1240"/>
      <c r="AM907" s="1240"/>
      <c r="AN907" s="1240"/>
      <c r="AO907" s="1240"/>
      <c r="AP907" s="1240"/>
    </row>
    <row r="908" spans="1:42" ht="18.75" customHeight="1" x14ac:dyDescent="0.35">
      <c r="A908" s="1240"/>
      <c r="B908" s="1240"/>
      <c r="C908" s="1240"/>
      <c r="D908" s="1240"/>
      <c r="E908" s="1240"/>
      <c r="F908" s="1240"/>
      <c r="G908" s="1240"/>
      <c r="H908" s="1240"/>
      <c r="I908" s="1240"/>
      <c r="J908" s="1240"/>
      <c r="K908" s="1240"/>
      <c r="L908" s="1240"/>
      <c r="M908" s="1240"/>
      <c r="N908" s="1240"/>
      <c r="O908" s="1240"/>
      <c r="P908" s="1247">
        <f t="shared" si="100"/>
        <v>882</v>
      </c>
      <c r="Q908" s="1253" t="e">
        <f t="shared" ca="1" si="99"/>
        <v>#N/A</v>
      </c>
      <c r="R908" s="1247" t="str">
        <f>IFERROR(VLOOKUP(P908,RPCRepaymentDates[],1,FALSE),"")</f>
        <v/>
      </c>
      <c r="S908" s="1259">
        <f t="shared" si="95"/>
        <v>0</v>
      </c>
      <c r="T908" s="1247" t="str">
        <f>IFERROR(VLOOKUP(P908,RPCChargeCycleDates[],1,FALSE),"")</f>
        <v/>
      </c>
      <c r="U908" s="1248" t="str">
        <f>IFERROR(_xlfn.DAYS(T908,$Q$16)-SUM(U$26:U907),"")</f>
        <v/>
      </c>
      <c r="V908" s="1258">
        <f t="shared" ca="1" si="96"/>
        <v>0</v>
      </c>
      <c r="W908" s="1258">
        <f t="shared" ca="1" si="97"/>
        <v>0</v>
      </c>
      <c r="X908" s="1258" t="e">
        <f t="shared" ca="1" si="98"/>
        <v>#N/A</v>
      </c>
      <c r="Y908" s="1240"/>
      <c r="Z908" s="1240"/>
      <c r="AA908" s="1240"/>
      <c r="AB908" s="1240"/>
      <c r="AC908" s="1240"/>
      <c r="AD908" s="1240"/>
      <c r="AE908" s="1240"/>
      <c r="AF908" s="1240"/>
      <c r="AG908" s="1240"/>
      <c r="AH908" s="1240"/>
      <c r="AI908" s="1240"/>
      <c r="AJ908" s="1240"/>
      <c r="AK908" s="1240"/>
      <c r="AL908" s="1240"/>
      <c r="AM908" s="1240"/>
      <c r="AN908" s="1240"/>
      <c r="AO908" s="1240"/>
      <c r="AP908" s="1240"/>
    </row>
    <row r="909" spans="1:42" ht="18.75" customHeight="1" x14ac:dyDescent="0.35">
      <c r="A909" s="1240"/>
      <c r="B909" s="1240"/>
      <c r="C909" s="1240"/>
      <c r="D909" s="1240"/>
      <c r="E909" s="1240"/>
      <c r="F909" s="1240"/>
      <c r="G909" s="1240"/>
      <c r="H909" s="1240"/>
      <c r="I909" s="1240"/>
      <c r="J909" s="1240"/>
      <c r="K909" s="1240"/>
      <c r="L909" s="1240"/>
      <c r="M909" s="1240"/>
      <c r="N909" s="1240"/>
      <c r="O909" s="1240"/>
      <c r="P909" s="1247">
        <f t="shared" si="100"/>
        <v>883</v>
      </c>
      <c r="Q909" s="1253" t="e">
        <f t="shared" ca="1" si="99"/>
        <v>#N/A</v>
      </c>
      <c r="R909" s="1247" t="str">
        <f>IFERROR(VLOOKUP(P909,RPCRepaymentDates[],1,FALSE),"")</f>
        <v/>
      </c>
      <c r="S909" s="1259">
        <f t="shared" si="95"/>
        <v>0</v>
      </c>
      <c r="T909" s="1247" t="str">
        <f>IFERROR(VLOOKUP(P909,RPCChargeCycleDates[],1,FALSE),"")</f>
        <v/>
      </c>
      <c r="U909" s="1248" t="str">
        <f>IFERROR(_xlfn.DAYS(T909,$Q$16)-SUM(U$26:U908),"")</f>
        <v/>
      </c>
      <c r="V909" s="1258">
        <f t="shared" ca="1" si="96"/>
        <v>0</v>
      </c>
      <c r="W909" s="1258">
        <f t="shared" ca="1" si="97"/>
        <v>0</v>
      </c>
      <c r="X909" s="1258" t="e">
        <f t="shared" ca="1" si="98"/>
        <v>#N/A</v>
      </c>
      <c r="Y909" s="1240"/>
      <c r="Z909" s="1240"/>
      <c r="AA909" s="1240"/>
      <c r="AB909" s="1240"/>
      <c r="AC909" s="1240"/>
      <c r="AD909" s="1240"/>
      <c r="AE909" s="1240"/>
      <c r="AF909" s="1240"/>
      <c r="AG909" s="1240"/>
      <c r="AH909" s="1240"/>
      <c r="AI909" s="1240"/>
      <c r="AJ909" s="1240"/>
      <c r="AK909" s="1240"/>
      <c r="AL909" s="1240"/>
      <c r="AM909" s="1240"/>
      <c r="AN909" s="1240"/>
      <c r="AO909" s="1240"/>
      <c r="AP909" s="1240"/>
    </row>
    <row r="910" spans="1:42" ht="18.75" customHeight="1" x14ac:dyDescent="0.35">
      <c r="A910" s="1240"/>
      <c r="B910" s="1240"/>
      <c r="C910" s="1240"/>
      <c r="D910" s="1240"/>
      <c r="E910" s="1240"/>
      <c r="F910" s="1240"/>
      <c r="G910" s="1240"/>
      <c r="H910" s="1240"/>
      <c r="I910" s="1240"/>
      <c r="J910" s="1240"/>
      <c r="K910" s="1240"/>
      <c r="L910" s="1240"/>
      <c r="M910" s="1240"/>
      <c r="N910" s="1240"/>
      <c r="O910" s="1240"/>
      <c r="P910" s="1247">
        <f t="shared" si="100"/>
        <v>884</v>
      </c>
      <c r="Q910" s="1253" t="e">
        <f t="shared" ca="1" si="99"/>
        <v>#N/A</v>
      </c>
      <c r="R910" s="1247" t="str">
        <f>IFERROR(VLOOKUP(P910,RPCRepaymentDates[],1,FALSE),"")</f>
        <v/>
      </c>
      <c r="S910" s="1259">
        <f t="shared" si="95"/>
        <v>0</v>
      </c>
      <c r="T910" s="1247" t="str">
        <f>IFERROR(VLOOKUP(P910,RPCChargeCycleDates[],1,FALSE),"")</f>
        <v/>
      </c>
      <c r="U910" s="1248" t="str">
        <f>IFERROR(_xlfn.DAYS(T910,$Q$16)-SUM(U$26:U909),"")</f>
        <v/>
      </c>
      <c r="V910" s="1258">
        <f t="shared" ca="1" si="96"/>
        <v>0</v>
      </c>
      <c r="W910" s="1258">
        <f t="shared" ca="1" si="97"/>
        <v>0</v>
      </c>
      <c r="X910" s="1258" t="e">
        <f t="shared" ca="1" si="98"/>
        <v>#N/A</v>
      </c>
      <c r="Y910" s="1240"/>
      <c r="Z910" s="1240"/>
      <c r="AA910" s="1240"/>
      <c r="AB910" s="1240"/>
      <c r="AC910" s="1240"/>
      <c r="AD910" s="1240"/>
      <c r="AE910" s="1240"/>
      <c r="AF910" s="1240"/>
      <c r="AG910" s="1240"/>
      <c r="AH910" s="1240"/>
      <c r="AI910" s="1240"/>
      <c r="AJ910" s="1240"/>
      <c r="AK910" s="1240"/>
      <c r="AL910" s="1240"/>
      <c r="AM910" s="1240"/>
      <c r="AN910" s="1240"/>
      <c r="AO910" s="1240"/>
      <c r="AP910" s="1240"/>
    </row>
    <row r="911" spans="1:42" ht="18.75" customHeight="1" x14ac:dyDescent="0.35">
      <c r="A911" s="1240"/>
      <c r="B911" s="1240"/>
      <c r="C911" s="1240"/>
      <c r="D911" s="1240"/>
      <c r="E911" s="1240"/>
      <c r="F911" s="1240"/>
      <c r="G911" s="1240"/>
      <c r="H911" s="1240"/>
      <c r="I911" s="1240"/>
      <c r="J911" s="1240"/>
      <c r="K911" s="1240"/>
      <c r="L911" s="1240"/>
      <c r="M911" s="1240"/>
      <c r="N911" s="1240"/>
      <c r="O911" s="1240"/>
      <c r="P911" s="1247">
        <f t="shared" si="100"/>
        <v>885</v>
      </c>
      <c r="Q911" s="1253" t="e">
        <f t="shared" ca="1" si="99"/>
        <v>#N/A</v>
      </c>
      <c r="R911" s="1247" t="str">
        <f>IFERROR(VLOOKUP(P911,RPCRepaymentDates[],1,FALSE),"")</f>
        <v/>
      </c>
      <c r="S911" s="1259">
        <f t="shared" si="95"/>
        <v>0</v>
      </c>
      <c r="T911" s="1247" t="str">
        <f>IFERROR(VLOOKUP(P911,RPCChargeCycleDates[],1,FALSE),"")</f>
        <v/>
      </c>
      <c r="U911" s="1248" t="str">
        <f>IFERROR(_xlfn.DAYS(T911,$Q$16)-SUM(U$26:U910),"")</f>
        <v/>
      </c>
      <c r="V911" s="1258">
        <f t="shared" ca="1" si="96"/>
        <v>0</v>
      </c>
      <c r="W911" s="1258">
        <f t="shared" ca="1" si="97"/>
        <v>0</v>
      </c>
      <c r="X911" s="1258" t="e">
        <f t="shared" ca="1" si="98"/>
        <v>#N/A</v>
      </c>
      <c r="Y911" s="1240"/>
      <c r="Z911" s="1240"/>
      <c r="AA911" s="1240"/>
      <c r="AB911" s="1240"/>
      <c r="AC911" s="1240"/>
      <c r="AD911" s="1240"/>
      <c r="AE911" s="1240"/>
      <c r="AF911" s="1240"/>
      <c r="AG911" s="1240"/>
      <c r="AH911" s="1240"/>
      <c r="AI911" s="1240"/>
      <c r="AJ911" s="1240"/>
      <c r="AK911" s="1240"/>
      <c r="AL911" s="1240"/>
      <c r="AM911" s="1240"/>
      <c r="AN911" s="1240"/>
      <c r="AO911" s="1240"/>
      <c r="AP911" s="1240"/>
    </row>
    <row r="912" spans="1:42" ht="18.75" customHeight="1" x14ac:dyDescent="0.35">
      <c r="A912" s="1240"/>
      <c r="B912" s="1240"/>
      <c r="C912" s="1240"/>
      <c r="D912" s="1240"/>
      <c r="E912" s="1240"/>
      <c r="F912" s="1240"/>
      <c r="G912" s="1240"/>
      <c r="H912" s="1240"/>
      <c r="I912" s="1240"/>
      <c r="J912" s="1240"/>
      <c r="K912" s="1240"/>
      <c r="L912" s="1240"/>
      <c r="M912" s="1240"/>
      <c r="N912" s="1240"/>
      <c r="O912" s="1240"/>
      <c r="P912" s="1247">
        <f t="shared" si="100"/>
        <v>886</v>
      </c>
      <c r="Q912" s="1253" t="e">
        <f t="shared" ca="1" si="99"/>
        <v>#N/A</v>
      </c>
      <c r="R912" s="1247" t="str">
        <f>IFERROR(VLOOKUP(P912,RPCRepaymentDates[],1,FALSE),"")</f>
        <v/>
      </c>
      <c r="S912" s="1259">
        <f t="shared" si="95"/>
        <v>0</v>
      </c>
      <c r="T912" s="1247" t="str">
        <f>IFERROR(VLOOKUP(P912,RPCChargeCycleDates[],1,FALSE),"")</f>
        <v/>
      </c>
      <c r="U912" s="1248" t="str">
        <f>IFERROR(_xlfn.DAYS(T912,$Q$16)-SUM(U$26:U911),"")</f>
        <v/>
      </c>
      <c r="V912" s="1258">
        <f t="shared" ca="1" si="96"/>
        <v>0</v>
      </c>
      <c r="W912" s="1258">
        <f t="shared" ca="1" si="97"/>
        <v>0</v>
      </c>
      <c r="X912" s="1258" t="e">
        <f t="shared" ca="1" si="98"/>
        <v>#N/A</v>
      </c>
      <c r="Y912" s="1240"/>
      <c r="Z912" s="1240"/>
      <c r="AA912" s="1240"/>
      <c r="AB912" s="1240"/>
      <c r="AC912" s="1240"/>
      <c r="AD912" s="1240"/>
      <c r="AE912" s="1240"/>
      <c r="AF912" s="1240"/>
      <c r="AG912" s="1240"/>
      <c r="AH912" s="1240"/>
      <c r="AI912" s="1240"/>
      <c r="AJ912" s="1240"/>
      <c r="AK912" s="1240"/>
      <c r="AL912" s="1240"/>
      <c r="AM912" s="1240"/>
      <c r="AN912" s="1240"/>
      <c r="AO912" s="1240"/>
      <c r="AP912" s="1240"/>
    </row>
    <row r="913" spans="1:42" ht="18.75" customHeight="1" x14ac:dyDescent="0.35">
      <c r="A913" s="1240"/>
      <c r="B913" s="1240"/>
      <c r="C913" s="1240"/>
      <c r="D913" s="1240"/>
      <c r="E913" s="1240"/>
      <c r="F913" s="1240"/>
      <c r="G913" s="1240"/>
      <c r="H913" s="1240"/>
      <c r="I913" s="1240"/>
      <c r="J913" s="1240"/>
      <c r="K913" s="1240"/>
      <c r="L913" s="1240"/>
      <c r="M913" s="1240"/>
      <c r="N913" s="1240"/>
      <c r="O913" s="1240"/>
      <c r="P913" s="1247">
        <f t="shared" si="100"/>
        <v>887</v>
      </c>
      <c r="Q913" s="1253" t="e">
        <f t="shared" ca="1" si="99"/>
        <v>#N/A</v>
      </c>
      <c r="R913" s="1247" t="str">
        <f>IFERROR(VLOOKUP(P913,RPCRepaymentDates[],1,FALSE),"")</f>
        <v/>
      </c>
      <c r="S913" s="1259">
        <f t="shared" si="95"/>
        <v>0</v>
      </c>
      <c r="T913" s="1247" t="str">
        <f>IFERROR(VLOOKUP(P913,RPCChargeCycleDates[],1,FALSE),"")</f>
        <v/>
      </c>
      <c r="U913" s="1248" t="str">
        <f>IFERROR(_xlfn.DAYS(T913,$Q$16)-SUM(U$26:U912),"")</f>
        <v/>
      </c>
      <c r="V913" s="1258">
        <f t="shared" ca="1" si="96"/>
        <v>0</v>
      </c>
      <c r="W913" s="1258">
        <f t="shared" ca="1" si="97"/>
        <v>0</v>
      </c>
      <c r="X913" s="1258" t="e">
        <f t="shared" ca="1" si="98"/>
        <v>#N/A</v>
      </c>
      <c r="Y913" s="1240"/>
      <c r="Z913" s="1240"/>
      <c r="AA913" s="1240"/>
      <c r="AB913" s="1240"/>
      <c r="AC913" s="1240"/>
      <c r="AD913" s="1240"/>
      <c r="AE913" s="1240"/>
      <c r="AF913" s="1240"/>
      <c r="AG913" s="1240"/>
      <c r="AH913" s="1240"/>
      <c r="AI913" s="1240"/>
      <c r="AJ913" s="1240"/>
      <c r="AK913" s="1240"/>
      <c r="AL913" s="1240"/>
      <c r="AM913" s="1240"/>
      <c r="AN913" s="1240"/>
      <c r="AO913" s="1240"/>
      <c r="AP913" s="1240"/>
    </row>
    <row r="914" spans="1:42" ht="18.75" customHeight="1" x14ac:dyDescent="0.35">
      <c r="A914" s="1240"/>
      <c r="B914" s="1240"/>
      <c r="C914" s="1240"/>
      <c r="D914" s="1240"/>
      <c r="E914" s="1240"/>
      <c r="F914" s="1240"/>
      <c r="G914" s="1240"/>
      <c r="H914" s="1240"/>
      <c r="I914" s="1240"/>
      <c r="J914" s="1240"/>
      <c r="K914" s="1240"/>
      <c r="L914" s="1240"/>
      <c r="M914" s="1240"/>
      <c r="N914" s="1240"/>
      <c r="O914" s="1240"/>
      <c r="P914" s="1247">
        <f t="shared" si="100"/>
        <v>888</v>
      </c>
      <c r="Q914" s="1253" t="e">
        <f t="shared" ca="1" si="99"/>
        <v>#N/A</v>
      </c>
      <c r="R914" s="1247" t="str">
        <f>IFERROR(VLOOKUP(P914,RPCRepaymentDates[],1,FALSE),"")</f>
        <v/>
      </c>
      <c r="S914" s="1259">
        <f t="shared" si="95"/>
        <v>0</v>
      </c>
      <c r="T914" s="1247" t="str">
        <f>IFERROR(VLOOKUP(P914,RPCChargeCycleDates[],1,FALSE),"")</f>
        <v/>
      </c>
      <c r="U914" s="1248" t="str">
        <f>IFERROR(_xlfn.DAYS(T914,$Q$16)-SUM(U$26:U913),"")</f>
        <v/>
      </c>
      <c r="V914" s="1258">
        <f t="shared" ca="1" si="96"/>
        <v>0</v>
      </c>
      <c r="W914" s="1258">
        <f t="shared" ca="1" si="97"/>
        <v>0</v>
      </c>
      <c r="X914" s="1258" t="e">
        <f t="shared" ca="1" si="98"/>
        <v>#N/A</v>
      </c>
      <c r="Y914" s="1240"/>
      <c r="Z914" s="1240"/>
      <c r="AA914" s="1240"/>
      <c r="AB914" s="1240"/>
      <c r="AC914" s="1240"/>
      <c r="AD914" s="1240"/>
      <c r="AE914" s="1240"/>
      <c r="AF914" s="1240"/>
      <c r="AG914" s="1240"/>
      <c r="AH914" s="1240"/>
      <c r="AI914" s="1240"/>
      <c r="AJ914" s="1240"/>
      <c r="AK914" s="1240"/>
      <c r="AL914" s="1240"/>
      <c r="AM914" s="1240"/>
      <c r="AN914" s="1240"/>
      <c r="AO914" s="1240"/>
      <c r="AP914" s="1240"/>
    </row>
    <row r="915" spans="1:42" ht="18.75" customHeight="1" x14ac:dyDescent="0.35">
      <c r="A915" s="1240"/>
      <c r="B915" s="1240"/>
      <c r="C915" s="1240"/>
      <c r="D915" s="1240"/>
      <c r="E915" s="1240"/>
      <c r="F915" s="1240"/>
      <c r="G915" s="1240"/>
      <c r="H915" s="1240"/>
      <c r="I915" s="1240"/>
      <c r="J915" s="1240"/>
      <c r="K915" s="1240"/>
      <c r="L915" s="1240"/>
      <c r="M915" s="1240"/>
      <c r="N915" s="1240"/>
      <c r="O915" s="1240"/>
      <c r="P915" s="1247">
        <f t="shared" si="100"/>
        <v>889</v>
      </c>
      <c r="Q915" s="1253" t="e">
        <f t="shared" ca="1" si="99"/>
        <v>#N/A</v>
      </c>
      <c r="R915" s="1247" t="str">
        <f>IFERROR(VLOOKUP(P915,RPCRepaymentDates[],1,FALSE),"")</f>
        <v/>
      </c>
      <c r="S915" s="1259">
        <f t="shared" si="95"/>
        <v>0</v>
      </c>
      <c r="T915" s="1247" t="str">
        <f>IFERROR(VLOOKUP(P915,RPCChargeCycleDates[],1,FALSE),"")</f>
        <v/>
      </c>
      <c r="U915" s="1248" t="str">
        <f>IFERROR(_xlfn.DAYS(T915,$Q$16)-SUM(U$26:U914),"")</f>
        <v/>
      </c>
      <c r="V915" s="1258">
        <f t="shared" ca="1" si="96"/>
        <v>0</v>
      </c>
      <c r="W915" s="1258">
        <f t="shared" ca="1" si="97"/>
        <v>0</v>
      </c>
      <c r="X915" s="1258" t="e">
        <f t="shared" ca="1" si="98"/>
        <v>#N/A</v>
      </c>
      <c r="Y915" s="1240"/>
      <c r="Z915" s="1240"/>
      <c r="AA915" s="1240"/>
      <c r="AB915" s="1240"/>
      <c r="AC915" s="1240"/>
      <c r="AD915" s="1240"/>
      <c r="AE915" s="1240"/>
      <c r="AF915" s="1240"/>
      <c r="AG915" s="1240"/>
      <c r="AH915" s="1240"/>
      <c r="AI915" s="1240"/>
      <c r="AJ915" s="1240"/>
      <c r="AK915" s="1240"/>
      <c r="AL915" s="1240"/>
      <c r="AM915" s="1240"/>
      <c r="AN915" s="1240"/>
      <c r="AO915" s="1240"/>
      <c r="AP915" s="1240"/>
    </row>
    <row r="916" spans="1:42" ht="18.75" customHeight="1" x14ac:dyDescent="0.35">
      <c r="A916" s="1240"/>
      <c r="B916" s="1240"/>
      <c r="C916" s="1240"/>
      <c r="D916" s="1240"/>
      <c r="E916" s="1240"/>
      <c r="F916" s="1240"/>
      <c r="G916" s="1240"/>
      <c r="H916" s="1240"/>
      <c r="I916" s="1240"/>
      <c r="J916" s="1240"/>
      <c r="K916" s="1240"/>
      <c r="L916" s="1240"/>
      <c r="M916" s="1240"/>
      <c r="N916" s="1240"/>
      <c r="O916" s="1240"/>
      <c r="P916" s="1247">
        <f t="shared" si="100"/>
        <v>890</v>
      </c>
      <c r="Q916" s="1253" t="e">
        <f t="shared" ca="1" si="99"/>
        <v>#N/A</v>
      </c>
      <c r="R916" s="1247" t="str">
        <f>IFERROR(VLOOKUP(P916,RPCRepaymentDates[],1,FALSE),"")</f>
        <v/>
      </c>
      <c r="S916" s="1259">
        <f t="shared" si="95"/>
        <v>0</v>
      </c>
      <c r="T916" s="1247" t="str">
        <f>IFERROR(VLOOKUP(P916,RPCChargeCycleDates[],1,FALSE),"")</f>
        <v/>
      </c>
      <c r="U916" s="1248" t="str">
        <f>IFERROR(_xlfn.DAYS(T916,$Q$16)-SUM(U$26:U915),"")</f>
        <v/>
      </c>
      <c r="V916" s="1258">
        <f t="shared" ca="1" si="96"/>
        <v>0</v>
      </c>
      <c r="W916" s="1258">
        <f t="shared" ca="1" si="97"/>
        <v>0</v>
      </c>
      <c r="X916" s="1258" t="e">
        <f t="shared" ca="1" si="98"/>
        <v>#N/A</v>
      </c>
      <c r="Y916" s="1240"/>
      <c r="Z916" s="1240"/>
      <c r="AA916" s="1240"/>
      <c r="AB916" s="1240"/>
      <c r="AC916" s="1240"/>
      <c r="AD916" s="1240"/>
      <c r="AE916" s="1240"/>
      <c r="AF916" s="1240"/>
      <c r="AG916" s="1240"/>
      <c r="AH916" s="1240"/>
      <c r="AI916" s="1240"/>
      <c r="AJ916" s="1240"/>
      <c r="AK916" s="1240"/>
      <c r="AL916" s="1240"/>
      <c r="AM916" s="1240"/>
      <c r="AN916" s="1240"/>
      <c r="AO916" s="1240"/>
      <c r="AP916" s="1240"/>
    </row>
    <row r="917" spans="1:42" ht="18.75" customHeight="1" x14ac:dyDescent="0.35">
      <c r="A917" s="1240"/>
      <c r="B917" s="1240"/>
      <c r="C917" s="1240"/>
      <c r="D917" s="1240"/>
      <c r="E917" s="1240"/>
      <c r="F917" s="1240"/>
      <c r="G917" s="1240"/>
      <c r="H917" s="1240"/>
      <c r="I917" s="1240"/>
      <c r="J917" s="1240"/>
      <c r="K917" s="1240"/>
      <c r="L917" s="1240"/>
      <c r="M917" s="1240"/>
      <c r="N917" s="1240"/>
      <c r="O917" s="1240"/>
      <c r="P917" s="1247">
        <f t="shared" si="100"/>
        <v>891</v>
      </c>
      <c r="Q917" s="1253" t="e">
        <f t="shared" ca="1" si="99"/>
        <v>#N/A</v>
      </c>
      <c r="R917" s="1247" t="str">
        <f>IFERROR(VLOOKUP(P917,RPCRepaymentDates[],1,FALSE),"")</f>
        <v/>
      </c>
      <c r="S917" s="1259">
        <f t="shared" si="95"/>
        <v>0</v>
      </c>
      <c r="T917" s="1247" t="str">
        <f>IFERROR(VLOOKUP(P917,RPCChargeCycleDates[],1,FALSE),"")</f>
        <v/>
      </c>
      <c r="U917" s="1248" t="str">
        <f>IFERROR(_xlfn.DAYS(T917,$Q$16)-SUM(U$26:U916),"")</f>
        <v/>
      </c>
      <c r="V917" s="1258">
        <f t="shared" ca="1" si="96"/>
        <v>0</v>
      </c>
      <c r="W917" s="1258">
        <f t="shared" ca="1" si="97"/>
        <v>0</v>
      </c>
      <c r="X917" s="1258" t="e">
        <f t="shared" ca="1" si="98"/>
        <v>#N/A</v>
      </c>
      <c r="Y917" s="1240"/>
      <c r="Z917" s="1240"/>
      <c r="AA917" s="1240"/>
      <c r="AB917" s="1240"/>
      <c r="AC917" s="1240"/>
      <c r="AD917" s="1240"/>
      <c r="AE917" s="1240"/>
      <c r="AF917" s="1240"/>
      <c r="AG917" s="1240"/>
      <c r="AH917" s="1240"/>
      <c r="AI917" s="1240"/>
      <c r="AJ917" s="1240"/>
      <c r="AK917" s="1240"/>
      <c r="AL917" s="1240"/>
      <c r="AM917" s="1240"/>
      <c r="AN917" s="1240"/>
      <c r="AO917" s="1240"/>
      <c r="AP917" s="1240"/>
    </row>
    <row r="918" spans="1:42" ht="18.75" customHeight="1" x14ac:dyDescent="0.35">
      <c r="A918" s="1240"/>
      <c r="B918" s="1240"/>
      <c r="C918" s="1240"/>
      <c r="D918" s="1240"/>
      <c r="E918" s="1240"/>
      <c r="F918" s="1240"/>
      <c r="G918" s="1240"/>
      <c r="H918" s="1240"/>
      <c r="I918" s="1240"/>
      <c r="J918" s="1240"/>
      <c r="K918" s="1240"/>
      <c r="L918" s="1240"/>
      <c r="M918" s="1240"/>
      <c r="N918" s="1240"/>
      <c r="O918" s="1240"/>
      <c r="P918" s="1247">
        <f t="shared" si="100"/>
        <v>892</v>
      </c>
      <c r="Q918" s="1253" t="e">
        <f t="shared" ca="1" si="99"/>
        <v>#N/A</v>
      </c>
      <c r="R918" s="1247" t="str">
        <f>IFERROR(VLOOKUP(P918,RPCRepaymentDates[],1,FALSE),"")</f>
        <v/>
      </c>
      <c r="S918" s="1259">
        <f t="shared" si="95"/>
        <v>0</v>
      </c>
      <c r="T918" s="1247" t="str">
        <f>IFERROR(VLOOKUP(P918,RPCChargeCycleDates[],1,FALSE),"")</f>
        <v/>
      </c>
      <c r="U918" s="1248" t="str">
        <f>IFERROR(_xlfn.DAYS(T918,$Q$16)-SUM(U$26:U917),"")</f>
        <v/>
      </c>
      <c r="V918" s="1258">
        <f t="shared" ca="1" si="96"/>
        <v>0</v>
      </c>
      <c r="W918" s="1258">
        <f t="shared" ca="1" si="97"/>
        <v>0</v>
      </c>
      <c r="X918" s="1258" t="e">
        <f t="shared" ca="1" si="98"/>
        <v>#N/A</v>
      </c>
      <c r="Y918" s="1240"/>
      <c r="Z918" s="1240"/>
      <c r="AA918" s="1240"/>
      <c r="AB918" s="1240"/>
      <c r="AC918" s="1240"/>
      <c r="AD918" s="1240"/>
      <c r="AE918" s="1240"/>
      <c r="AF918" s="1240"/>
      <c r="AG918" s="1240"/>
      <c r="AH918" s="1240"/>
      <c r="AI918" s="1240"/>
      <c r="AJ918" s="1240"/>
      <c r="AK918" s="1240"/>
      <c r="AL918" s="1240"/>
      <c r="AM918" s="1240"/>
      <c r="AN918" s="1240"/>
      <c r="AO918" s="1240"/>
      <c r="AP918" s="1240"/>
    </row>
    <row r="919" spans="1:42" ht="18.75" customHeight="1" x14ac:dyDescent="0.35">
      <c r="A919" s="1240"/>
      <c r="B919" s="1240"/>
      <c r="C919" s="1240"/>
      <c r="D919" s="1240"/>
      <c r="E919" s="1240"/>
      <c r="F919" s="1240"/>
      <c r="G919" s="1240"/>
      <c r="H919" s="1240"/>
      <c r="I919" s="1240"/>
      <c r="J919" s="1240"/>
      <c r="K919" s="1240"/>
      <c r="L919" s="1240"/>
      <c r="M919" s="1240"/>
      <c r="N919" s="1240"/>
      <c r="O919" s="1240"/>
      <c r="P919" s="1247">
        <f t="shared" si="100"/>
        <v>893</v>
      </c>
      <c r="Q919" s="1253" t="e">
        <f t="shared" ca="1" si="99"/>
        <v>#N/A</v>
      </c>
      <c r="R919" s="1247" t="str">
        <f>IFERROR(VLOOKUP(P919,RPCRepaymentDates[],1,FALSE),"")</f>
        <v/>
      </c>
      <c r="S919" s="1259">
        <f t="shared" si="95"/>
        <v>0</v>
      </c>
      <c r="T919" s="1247" t="str">
        <f>IFERROR(VLOOKUP(P919,RPCChargeCycleDates[],1,FALSE),"")</f>
        <v/>
      </c>
      <c r="U919" s="1248" t="str">
        <f>IFERROR(_xlfn.DAYS(T919,$Q$16)-SUM(U$26:U918),"")</f>
        <v/>
      </c>
      <c r="V919" s="1258">
        <f t="shared" ca="1" si="96"/>
        <v>0</v>
      </c>
      <c r="W919" s="1258">
        <f t="shared" ca="1" si="97"/>
        <v>0</v>
      </c>
      <c r="X919" s="1258" t="e">
        <f t="shared" ca="1" si="98"/>
        <v>#N/A</v>
      </c>
      <c r="Y919" s="1240"/>
      <c r="Z919" s="1240"/>
      <c r="AA919" s="1240"/>
      <c r="AB919" s="1240"/>
      <c r="AC919" s="1240"/>
      <c r="AD919" s="1240"/>
      <c r="AE919" s="1240"/>
      <c r="AF919" s="1240"/>
      <c r="AG919" s="1240"/>
      <c r="AH919" s="1240"/>
      <c r="AI919" s="1240"/>
      <c r="AJ919" s="1240"/>
      <c r="AK919" s="1240"/>
      <c r="AL919" s="1240"/>
      <c r="AM919" s="1240"/>
      <c r="AN919" s="1240"/>
      <c r="AO919" s="1240"/>
      <c r="AP919" s="1240"/>
    </row>
    <row r="920" spans="1:42" ht="18.75" customHeight="1" x14ac:dyDescent="0.35">
      <c r="A920" s="1240"/>
      <c r="B920" s="1240"/>
      <c r="C920" s="1240"/>
      <c r="D920" s="1240"/>
      <c r="E920" s="1240"/>
      <c r="F920" s="1240"/>
      <c r="G920" s="1240"/>
      <c r="H920" s="1240"/>
      <c r="I920" s="1240"/>
      <c r="J920" s="1240"/>
      <c r="K920" s="1240"/>
      <c r="L920" s="1240"/>
      <c r="M920" s="1240"/>
      <c r="N920" s="1240"/>
      <c r="O920" s="1240"/>
      <c r="P920" s="1247">
        <f t="shared" si="100"/>
        <v>894</v>
      </c>
      <c r="Q920" s="1253" t="e">
        <f t="shared" ca="1" si="99"/>
        <v>#N/A</v>
      </c>
      <c r="R920" s="1247" t="str">
        <f>IFERROR(VLOOKUP(P920,RPCRepaymentDates[],1,FALSE),"")</f>
        <v/>
      </c>
      <c r="S920" s="1259">
        <f t="shared" si="95"/>
        <v>0</v>
      </c>
      <c r="T920" s="1247" t="str">
        <f>IFERROR(VLOOKUP(P920,RPCChargeCycleDates[],1,FALSE),"")</f>
        <v/>
      </c>
      <c r="U920" s="1248" t="str">
        <f>IFERROR(_xlfn.DAYS(T920,$Q$16)-SUM(U$26:U919),"")</f>
        <v/>
      </c>
      <c r="V920" s="1258">
        <f t="shared" ca="1" si="96"/>
        <v>0</v>
      </c>
      <c r="W920" s="1258">
        <f t="shared" ca="1" si="97"/>
        <v>0</v>
      </c>
      <c r="X920" s="1258" t="e">
        <f t="shared" ca="1" si="98"/>
        <v>#N/A</v>
      </c>
      <c r="Y920" s="1240"/>
      <c r="Z920" s="1240"/>
      <c r="AA920" s="1240"/>
      <c r="AB920" s="1240"/>
      <c r="AC920" s="1240"/>
      <c r="AD920" s="1240"/>
      <c r="AE920" s="1240"/>
      <c r="AF920" s="1240"/>
      <c r="AG920" s="1240"/>
      <c r="AH920" s="1240"/>
      <c r="AI920" s="1240"/>
      <c r="AJ920" s="1240"/>
      <c r="AK920" s="1240"/>
      <c r="AL920" s="1240"/>
      <c r="AM920" s="1240"/>
      <c r="AN920" s="1240"/>
      <c r="AO920" s="1240"/>
      <c r="AP920" s="1240"/>
    </row>
    <row r="921" spans="1:42" ht="18.75" customHeight="1" x14ac:dyDescent="0.35">
      <c r="A921" s="1240"/>
      <c r="B921" s="1240"/>
      <c r="C921" s="1240"/>
      <c r="D921" s="1240"/>
      <c r="E921" s="1240"/>
      <c r="F921" s="1240"/>
      <c r="G921" s="1240"/>
      <c r="H921" s="1240"/>
      <c r="I921" s="1240"/>
      <c r="J921" s="1240"/>
      <c r="K921" s="1240"/>
      <c r="L921" s="1240"/>
      <c r="M921" s="1240"/>
      <c r="N921" s="1240"/>
      <c r="O921" s="1240"/>
      <c r="P921" s="1247">
        <f t="shared" si="100"/>
        <v>895</v>
      </c>
      <c r="Q921" s="1253" t="e">
        <f t="shared" ca="1" si="99"/>
        <v>#N/A</v>
      </c>
      <c r="R921" s="1247" t="str">
        <f>IFERROR(VLOOKUP(P921,RPCRepaymentDates[],1,FALSE),"")</f>
        <v/>
      </c>
      <c r="S921" s="1259">
        <f t="shared" si="95"/>
        <v>0</v>
      </c>
      <c r="T921" s="1247" t="str">
        <f>IFERROR(VLOOKUP(P921,RPCChargeCycleDates[],1,FALSE),"")</f>
        <v/>
      </c>
      <c r="U921" s="1248" t="str">
        <f>IFERROR(_xlfn.DAYS(T921,$Q$16)-SUM(U$26:U920),"")</f>
        <v/>
      </c>
      <c r="V921" s="1258">
        <f t="shared" ca="1" si="96"/>
        <v>0</v>
      </c>
      <c r="W921" s="1258">
        <f t="shared" ca="1" si="97"/>
        <v>0</v>
      </c>
      <c r="X921" s="1258" t="e">
        <f t="shared" ca="1" si="98"/>
        <v>#N/A</v>
      </c>
      <c r="Y921" s="1240"/>
      <c r="Z921" s="1240"/>
      <c r="AA921" s="1240"/>
      <c r="AB921" s="1240"/>
      <c r="AC921" s="1240"/>
      <c r="AD921" s="1240"/>
      <c r="AE921" s="1240"/>
      <c r="AF921" s="1240"/>
      <c r="AG921" s="1240"/>
      <c r="AH921" s="1240"/>
      <c r="AI921" s="1240"/>
      <c r="AJ921" s="1240"/>
      <c r="AK921" s="1240"/>
      <c r="AL921" s="1240"/>
      <c r="AM921" s="1240"/>
      <c r="AN921" s="1240"/>
      <c r="AO921" s="1240"/>
      <c r="AP921" s="1240"/>
    </row>
    <row r="922" spans="1:42" ht="18.75" customHeight="1" x14ac:dyDescent="0.35">
      <c r="A922" s="1240"/>
      <c r="B922" s="1240"/>
      <c r="C922" s="1240"/>
      <c r="D922" s="1240"/>
      <c r="E922" s="1240"/>
      <c r="F922" s="1240"/>
      <c r="G922" s="1240"/>
      <c r="H922" s="1240"/>
      <c r="I922" s="1240"/>
      <c r="J922" s="1240"/>
      <c r="K922" s="1240"/>
      <c r="L922" s="1240"/>
      <c r="M922" s="1240"/>
      <c r="N922" s="1240"/>
      <c r="O922" s="1240"/>
      <c r="P922" s="1247">
        <f t="shared" si="100"/>
        <v>896</v>
      </c>
      <c r="Q922" s="1253" t="e">
        <f t="shared" ca="1" si="99"/>
        <v>#N/A</v>
      </c>
      <c r="R922" s="1247" t="str">
        <f>IFERROR(VLOOKUP(P922,RPCRepaymentDates[],1,FALSE),"")</f>
        <v/>
      </c>
      <c r="S922" s="1259">
        <f t="shared" ref="S922:S985" si="101">IF(P922=R922,IF(R922&lt;RPCNextPaymentTransferDate,0,IF(OR(R922&lt;RPCPauseStartDate,R922&gt;RPCPauseEndDate),RPCCurrentRepayment,RPCPauseRepayment)),0)</f>
        <v>0</v>
      </c>
      <c r="T922" s="1247" t="str">
        <f>IFERROR(VLOOKUP(P922,RPCChargeCycleDates[],1,FALSE),"")</f>
        <v/>
      </c>
      <c r="U922" s="1248" t="str">
        <f>IFERROR(_xlfn.DAYS(T922,$Q$16)-SUM(U$26:U921),"")</f>
        <v/>
      </c>
      <c r="V922" s="1258">
        <f t="shared" ref="V922:V985" ca="1" si="102">IFERROR((Q922-S922)*(1/RPCDaysInYear)*RPCInterestRate,0)</f>
        <v>0</v>
      </c>
      <c r="W922" s="1258">
        <f t="shared" ref="W922:W985" ca="1" si="103">IFERROR(IF(T922=P922,SUM(OFFSET(V922,-U922+1,0,U922,1)),0),0)</f>
        <v>0</v>
      </c>
      <c r="X922" s="1258" t="e">
        <f t="shared" ref="X922:X985" ca="1" si="104">Q922-S922+W922</f>
        <v>#N/A</v>
      </c>
      <c r="Y922" s="1240"/>
      <c r="Z922" s="1240"/>
      <c r="AA922" s="1240"/>
      <c r="AB922" s="1240"/>
      <c r="AC922" s="1240"/>
      <c r="AD922" s="1240"/>
      <c r="AE922" s="1240"/>
      <c r="AF922" s="1240"/>
      <c r="AG922" s="1240"/>
      <c r="AH922" s="1240"/>
      <c r="AI922" s="1240"/>
      <c r="AJ922" s="1240"/>
      <c r="AK922" s="1240"/>
      <c r="AL922" s="1240"/>
      <c r="AM922" s="1240"/>
      <c r="AN922" s="1240"/>
      <c r="AO922" s="1240"/>
      <c r="AP922" s="1240"/>
    </row>
    <row r="923" spans="1:42" ht="18.75" customHeight="1" x14ac:dyDescent="0.35">
      <c r="A923" s="1240"/>
      <c r="B923" s="1240"/>
      <c r="C923" s="1240"/>
      <c r="D923" s="1240"/>
      <c r="E923" s="1240"/>
      <c r="F923" s="1240"/>
      <c r="G923" s="1240"/>
      <c r="H923" s="1240"/>
      <c r="I923" s="1240"/>
      <c r="J923" s="1240"/>
      <c r="K923" s="1240"/>
      <c r="L923" s="1240"/>
      <c r="M923" s="1240"/>
      <c r="N923" s="1240"/>
      <c r="O923" s="1240"/>
      <c r="P923" s="1247">
        <f t="shared" si="100"/>
        <v>897</v>
      </c>
      <c r="Q923" s="1253" t="e">
        <f t="shared" ref="Q923:Q986" ca="1" si="105">X922</f>
        <v>#N/A</v>
      </c>
      <c r="R923" s="1247" t="str">
        <f>IFERROR(VLOOKUP(P923,RPCRepaymentDates[],1,FALSE),"")</f>
        <v/>
      </c>
      <c r="S923" s="1259">
        <f t="shared" si="101"/>
        <v>0</v>
      </c>
      <c r="T923" s="1247" t="str">
        <f>IFERROR(VLOOKUP(P923,RPCChargeCycleDates[],1,FALSE),"")</f>
        <v/>
      </c>
      <c r="U923" s="1248" t="str">
        <f>IFERROR(_xlfn.DAYS(T923,$Q$16)-SUM(U$26:U922),"")</f>
        <v/>
      </c>
      <c r="V923" s="1258">
        <f t="shared" ca="1" si="102"/>
        <v>0</v>
      </c>
      <c r="W923" s="1258">
        <f t="shared" ca="1" si="103"/>
        <v>0</v>
      </c>
      <c r="X923" s="1258" t="e">
        <f t="shared" ca="1" si="104"/>
        <v>#N/A</v>
      </c>
      <c r="Y923" s="1240"/>
      <c r="Z923" s="1240"/>
      <c r="AA923" s="1240"/>
      <c r="AB923" s="1240"/>
      <c r="AC923" s="1240"/>
      <c r="AD923" s="1240"/>
      <c r="AE923" s="1240"/>
      <c r="AF923" s="1240"/>
      <c r="AG923" s="1240"/>
      <c r="AH923" s="1240"/>
      <c r="AI923" s="1240"/>
      <c r="AJ923" s="1240"/>
      <c r="AK923" s="1240"/>
      <c r="AL923" s="1240"/>
      <c r="AM923" s="1240"/>
      <c r="AN923" s="1240"/>
      <c r="AO923" s="1240"/>
      <c r="AP923" s="1240"/>
    </row>
    <row r="924" spans="1:42" ht="18.75" customHeight="1" x14ac:dyDescent="0.35">
      <c r="A924" s="1240"/>
      <c r="B924" s="1240"/>
      <c r="C924" s="1240"/>
      <c r="D924" s="1240"/>
      <c r="E924" s="1240"/>
      <c r="F924" s="1240"/>
      <c r="G924" s="1240"/>
      <c r="H924" s="1240"/>
      <c r="I924" s="1240"/>
      <c r="J924" s="1240"/>
      <c r="K924" s="1240"/>
      <c r="L924" s="1240"/>
      <c r="M924" s="1240"/>
      <c r="N924" s="1240"/>
      <c r="O924" s="1240"/>
      <c r="P924" s="1247">
        <f t="shared" si="100"/>
        <v>898</v>
      </c>
      <c r="Q924" s="1253" t="e">
        <f t="shared" ca="1" si="105"/>
        <v>#N/A</v>
      </c>
      <c r="R924" s="1247" t="str">
        <f>IFERROR(VLOOKUP(P924,RPCRepaymentDates[],1,FALSE),"")</f>
        <v/>
      </c>
      <c r="S924" s="1259">
        <f t="shared" si="101"/>
        <v>0</v>
      </c>
      <c r="T924" s="1247" t="str">
        <f>IFERROR(VLOOKUP(P924,RPCChargeCycleDates[],1,FALSE),"")</f>
        <v/>
      </c>
      <c r="U924" s="1248" t="str">
        <f>IFERROR(_xlfn.DAYS(T924,$Q$16)-SUM(U$26:U923),"")</f>
        <v/>
      </c>
      <c r="V924" s="1258">
        <f t="shared" ca="1" si="102"/>
        <v>0</v>
      </c>
      <c r="W924" s="1258">
        <f t="shared" ca="1" si="103"/>
        <v>0</v>
      </c>
      <c r="X924" s="1258" t="e">
        <f t="shared" ca="1" si="104"/>
        <v>#N/A</v>
      </c>
      <c r="Y924" s="1240"/>
      <c r="Z924" s="1240"/>
      <c r="AA924" s="1240"/>
      <c r="AB924" s="1240"/>
      <c r="AC924" s="1240"/>
      <c r="AD924" s="1240"/>
      <c r="AE924" s="1240"/>
      <c r="AF924" s="1240"/>
      <c r="AG924" s="1240"/>
      <c r="AH924" s="1240"/>
      <c r="AI924" s="1240"/>
      <c r="AJ924" s="1240"/>
      <c r="AK924" s="1240"/>
      <c r="AL924" s="1240"/>
      <c r="AM924" s="1240"/>
      <c r="AN924" s="1240"/>
      <c r="AO924" s="1240"/>
      <c r="AP924" s="1240"/>
    </row>
    <row r="925" spans="1:42" ht="18.75" customHeight="1" x14ac:dyDescent="0.35">
      <c r="A925" s="1240"/>
      <c r="B925" s="1240"/>
      <c r="C925" s="1240"/>
      <c r="D925" s="1240"/>
      <c r="E925" s="1240"/>
      <c r="F925" s="1240"/>
      <c r="G925" s="1240"/>
      <c r="H925" s="1240"/>
      <c r="I925" s="1240"/>
      <c r="J925" s="1240"/>
      <c r="K925" s="1240"/>
      <c r="L925" s="1240"/>
      <c r="M925" s="1240"/>
      <c r="N925" s="1240"/>
      <c r="O925" s="1240"/>
      <c r="P925" s="1247">
        <f t="shared" si="100"/>
        <v>899</v>
      </c>
      <c r="Q925" s="1253" t="e">
        <f t="shared" ca="1" si="105"/>
        <v>#N/A</v>
      </c>
      <c r="R925" s="1247" t="str">
        <f>IFERROR(VLOOKUP(P925,RPCRepaymentDates[],1,FALSE),"")</f>
        <v/>
      </c>
      <c r="S925" s="1259">
        <f t="shared" si="101"/>
        <v>0</v>
      </c>
      <c r="T925" s="1247" t="str">
        <f>IFERROR(VLOOKUP(P925,RPCChargeCycleDates[],1,FALSE),"")</f>
        <v/>
      </c>
      <c r="U925" s="1248" t="str">
        <f>IFERROR(_xlfn.DAYS(T925,$Q$16)-SUM(U$26:U924),"")</f>
        <v/>
      </c>
      <c r="V925" s="1258">
        <f t="shared" ca="1" si="102"/>
        <v>0</v>
      </c>
      <c r="W925" s="1258">
        <f t="shared" ca="1" si="103"/>
        <v>0</v>
      </c>
      <c r="X925" s="1258" t="e">
        <f t="shared" ca="1" si="104"/>
        <v>#N/A</v>
      </c>
      <c r="Y925" s="1240"/>
      <c r="Z925" s="1240"/>
      <c r="AA925" s="1240"/>
      <c r="AB925" s="1240"/>
      <c r="AC925" s="1240"/>
      <c r="AD925" s="1240"/>
      <c r="AE925" s="1240"/>
      <c r="AF925" s="1240"/>
      <c r="AG925" s="1240"/>
      <c r="AH925" s="1240"/>
      <c r="AI925" s="1240"/>
      <c r="AJ925" s="1240"/>
      <c r="AK925" s="1240"/>
      <c r="AL925" s="1240"/>
      <c r="AM925" s="1240"/>
      <c r="AN925" s="1240"/>
      <c r="AO925" s="1240"/>
      <c r="AP925" s="1240"/>
    </row>
    <row r="926" spans="1:42" ht="18.75" customHeight="1" x14ac:dyDescent="0.35">
      <c r="A926" s="1240"/>
      <c r="B926" s="1240"/>
      <c r="C926" s="1240"/>
      <c r="D926" s="1240"/>
      <c r="E926" s="1240"/>
      <c r="F926" s="1240"/>
      <c r="G926" s="1240"/>
      <c r="H926" s="1240"/>
      <c r="I926" s="1240"/>
      <c r="J926" s="1240"/>
      <c r="K926" s="1240"/>
      <c r="L926" s="1240"/>
      <c r="M926" s="1240"/>
      <c r="N926" s="1240"/>
      <c r="O926" s="1240"/>
      <c r="P926" s="1247">
        <f t="shared" si="100"/>
        <v>900</v>
      </c>
      <c r="Q926" s="1253" t="e">
        <f t="shared" ca="1" si="105"/>
        <v>#N/A</v>
      </c>
      <c r="R926" s="1247" t="str">
        <f>IFERROR(VLOOKUP(P926,RPCRepaymentDates[],1,FALSE),"")</f>
        <v/>
      </c>
      <c r="S926" s="1259">
        <f t="shared" si="101"/>
        <v>0</v>
      </c>
      <c r="T926" s="1247" t="str">
        <f>IFERROR(VLOOKUP(P926,RPCChargeCycleDates[],1,FALSE),"")</f>
        <v/>
      </c>
      <c r="U926" s="1248" t="str">
        <f>IFERROR(_xlfn.DAYS(T926,$Q$16)-SUM(U$26:U925),"")</f>
        <v/>
      </c>
      <c r="V926" s="1258">
        <f t="shared" ca="1" si="102"/>
        <v>0</v>
      </c>
      <c r="W926" s="1258">
        <f t="shared" ca="1" si="103"/>
        <v>0</v>
      </c>
      <c r="X926" s="1258" t="e">
        <f t="shared" ca="1" si="104"/>
        <v>#N/A</v>
      </c>
      <c r="Y926" s="1240"/>
      <c r="Z926" s="1240"/>
      <c r="AA926" s="1240"/>
      <c r="AB926" s="1240"/>
      <c r="AC926" s="1240"/>
      <c r="AD926" s="1240"/>
      <c r="AE926" s="1240"/>
      <c r="AF926" s="1240"/>
      <c r="AG926" s="1240"/>
      <c r="AH926" s="1240"/>
      <c r="AI926" s="1240"/>
      <c r="AJ926" s="1240"/>
      <c r="AK926" s="1240"/>
      <c r="AL926" s="1240"/>
      <c r="AM926" s="1240"/>
      <c r="AN926" s="1240"/>
      <c r="AO926" s="1240"/>
      <c r="AP926" s="1240"/>
    </row>
    <row r="927" spans="1:42" ht="18.75" customHeight="1" x14ac:dyDescent="0.35">
      <c r="A927" s="1240"/>
      <c r="B927" s="1240"/>
      <c r="C927" s="1240"/>
      <c r="D927" s="1240"/>
      <c r="E927" s="1240"/>
      <c r="F927" s="1240"/>
      <c r="G927" s="1240"/>
      <c r="H927" s="1240"/>
      <c r="I927" s="1240"/>
      <c r="J927" s="1240"/>
      <c r="K927" s="1240"/>
      <c r="L927" s="1240"/>
      <c r="M927" s="1240"/>
      <c r="N927" s="1240"/>
      <c r="O927" s="1240"/>
      <c r="P927" s="1247">
        <f t="shared" si="100"/>
        <v>901</v>
      </c>
      <c r="Q927" s="1253" t="e">
        <f t="shared" ca="1" si="105"/>
        <v>#N/A</v>
      </c>
      <c r="R927" s="1247" t="str">
        <f>IFERROR(VLOOKUP(P927,RPCRepaymentDates[],1,FALSE),"")</f>
        <v/>
      </c>
      <c r="S927" s="1259">
        <f t="shared" si="101"/>
        <v>0</v>
      </c>
      <c r="T927" s="1247" t="str">
        <f>IFERROR(VLOOKUP(P927,RPCChargeCycleDates[],1,FALSE),"")</f>
        <v/>
      </c>
      <c r="U927" s="1248" t="str">
        <f>IFERROR(_xlfn.DAYS(T927,$Q$16)-SUM(U$26:U926),"")</f>
        <v/>
      </c>
      <c r="V927" s="1258">
        <f t="shared" ca="1" si="102"/>
        <v>0</v>
      </c>
      <c r="W927" s="1258">
        <f t="shared" ca="1" si="103"/>
        <v>0</v>
      </c>
      <c r="X927" s="1258" t="e">
        <f t="shared" ca="1" si="104"/>
        <v>#N/A</v>
      </c>
      <c r="Y927" s="1240"/>
      <c r="Z927" s="1240"/>
      <c r="AA927" s="1240"/>
      <c r="AB927" s="1240"/>
      <c r="AC927" s="1240"/>
      <c r="AD927" s="1240"/>
      <c r="AE927" s="1240"/>
      <c r="AF927" s="1240"/>
      <c r="AG927" s="1240"/>
      <c r="AH927" s="1240"/>
      <c r="AI927" s="1240"/>
      <c r="AJ927" s="1240"/>
      <c r="AK927" s="1240"/>
      <c r="AL927" s="1240"/>
      <c r="AM927" s="1240"/>
      <c r="AN927" s="1240"/>
      <c r="AO927" s="1240"/>
      <c r="AP927" s="1240"/>
    </row>
    <row r="928" spans="1:42" ht="18.75" customHeight="1" x14ac:dyDescent="0.35">
      <c r="A928" s="1240"/>
      <c r="B928" s="1240"/>
      <c r="C928" s="1240"/>
      <c r="D928" s="1240"/>
      <c r="E928" s="1240"/>
      <c r="F928" s="1240"/>
      <c r="G928" s="1240"/>
      <c r="H928" s="1240"/>
      <c r="I928" s="1240"/>
      <c r="J928" s="1240"/>
      <c r="K928" s="1240"/>
      <c r="L928" s="1240"/>
      <c r="M928" s="1240"/>
      <c r="N928" s="1240"/>
      <c r="O928" s="1240"/>
      <c r="P928" s="1247">
        <f t="shared" si="100"/>
        <v>902</v>
      </c>
      <c r="Q928" s="1253" t="e">
        <f t="shared" ca="1" si="105"/>
        <v>#N/A</v>
      </c>
      <c r="R928" s="1247" t="str">
        <f>IFERROR(VLOOKUP(P928,RPCRepaymentDates[],1,FALSE),"")</f>
        <v/>
      </c>
      <c r="S928" s="1259">
        <f t="shared" si="101"/>
        <v>0</v>
      </c>
      <c r="T928" s="1247" t="str">
        <f>IFERROR(VLOOKUP(P928,RPCChargeCycleDates[],1,FALSE),"")</f>
        <v/>
      </c>
      <c r="U928" s="1248" t="str">
        <f>IFERROR(_xlfn.DAYS(T928,$Q$16)-SUM(U$26:U927),"")</f>
        <v/>
      </c>
      <c r="V928" s="1258">
        <f t="shared" ca="1" si="102"/>
        <v>0</v>
      </c>
      <c r="W928" s="1258">
        <f t="shared" ca="1" si="103"/>
        <v>0</v>
      </c>
      <c r="X928" s="1258" t="e">
        <f t="shared" ca="1" si="104"/>
        <v>#N/A</v>
      </c>
      <c r="Y928" s="1240"/>
      <c r="Z928" s="1240"/>
      <c r="AA928" s="1240"/>
      <c r="AB928" s="1240"/>
      <c r="AC928" s="1240"/>
      <c r="AD928" s="1240"/>
      <c r="AE928" s="1240"/>
      <c r="AF928" s="1240"/>
      <c r="AG928" s="1240"/>
      <c r="AH928" s="1240"/>
      <c r="AI928" s="1240"/>
      <c r="AJ928" s="1240"/>
      <c r="AK928" s="1240"/>
      <c r="AL928" s="1240"/>
      <c r="AM928" s="1240"/>
      <c r="AN928" s="1240"/>
      <c r="AO928" s="1240"/>
      <c r="AP928" s="1240"/>
    </row>
    <row r="929" spans="1:42" ht="18.75" customHeight="1" x14ac:dyDescent="0.35">
      <c r="A929" s="1240"/>
      <c r="B929" s="1240"/>
      <c r="C929" s="1240"/>
      <c r="D929" s="1240"/>
      <c r="E929" s="1240"/>
      <c r="F929" s="1240"/>
      <c r="G929" s="1240"/>
      <c r="H929" s="1240"/>
      <c r="I929" s="1240"/>
      <c r="J929" s="1240"/>
      <c r="K929" s="1240"/>
      <c r="L929" s="1240"/>
      <c r="M929" s="1240"/>
      <c r="N929" s="1240"/>
      <c r="O929" s="1240"/>
      <c r="P929" s="1247">
        <f t="shared" si="100"/>
        <v>903</v>
      </c>
      <c r="Q929" s="1253" t="e">
        <f t="shared" ca="1" si="105"/>
        <v>#N/A</v>
      </c>
      <c r="R929" s="1247" t="str">
        <f>IFERROR(VLOOKUP(P929,RPCRepaymentDates[],1,FALSE),"")</f>
        <v/>
      </c>
      <c r="S929" s="1259">
        <f t="shared" si="101"/>
        <v>0</v>
      </c>
      <c r="T929" s="1247" t="str">
        <f>IFERROR(VLOOKUP(P929,RPCChargeCycleDates[],1,FALSE),"")</f>
        <v/>
      </c>
      <c r="U929" s="1248" t="str">
        <f>IFERROR(_xlfn.DAYS(T929,$Q$16)-SUM(U$26:U928),"")</f>
        <v/>
      </c>
      <c r="V929" s="1258">
        <f t="shared" ca="1" si="102"/>
        <v>0</v>
      </c>
      <c r="W929" s="1258">
        <f t="shared" ca="1" si="103"/>
        <v>0</v>
      </c>
      <c r="X929" s="1258" t="e">
        <f t="shared" ca="1" si="104"/>
        <v>#N/A</v>
      </c>
      <c r="Y929" s="1240"/>
      <c r="Z929" s="1240"/>
      <c r="AA929" s="1240"/>
      <c r="AB929" s="1240"/>
      <c r="AC929" s="1240"/>
      <c r="AD929" s="1240"/>
      <c r="AE929" s="1240"/>
      <c r="AF929" s="1240"/>
      <c r="AG929" s="1240"/>
      <c r="AH929" s="1240"/>
      <c r="AI929" s="1240"/>
      <c r="AJ929" s="1240"/>
      <c r="AK929" s="1240"/>
      <c r="AL929" s="1240"/>
      <c r="AM929" s="1240"/>
      <c r="AN929" s="1240"/>
      <c r="AO929" s="1240"/>
      <c r="AP929" s="1240"/>
    </row>
    <row r="930" spans="1:42" ht="18.75" customHeight="1" x14ac:dyDescent="0.35">
      <c r="A930" s="1240"/>
      <c r="B930" s="1240"/>
      <c r="C930" s="1240"/>
      <c r="D930" s="1240"/>
      <c r="E930" s="1240"/>
      <c r="F930" s="1240"/>
      <c r="G930" s="1240"/>
      <c r="H930" s="1240"/>
      <c r="I930" s="1240"/>
      <c r="J930" s="1240"/>
      <c r="K930" s="1240"/>
      <c r="L930" s="1240"/>
      <c r="M930" s="1240"/>
      <c r="N930" s="1240"/>
      <c r="O930" s="1240"/>
      <c r="P930" s="1247">
        <f t="shared" si="100"/>
        <v>904</v>
      </c>
      <c r="Q930" s="1253" t="e">
        <f t="shared" ca="1" si="105"/>
        <v>#N/A</v>
      </c>
      <c r="R930" s="1247" t="str">
        <f>IFERROR(VLOOKUP(P930,RPCRepaymentDates[],1,FALSE),"")</f>
        <v/>
      </c>
      <c r="S930" s="1259">
        <f t="shared" si="101"/>
        <v>0</v>
      </c>
      <c r="T930" s="1247" t="str">
        <f>IFERROR(VLOOKUP(P930,RPCChargeCycleDates[],1,FALSE),"")</f>
        <v/>
      </c>
      <c r="U930" s="1248" t="str">
        <f>IFERROR(_xlfn.DAYS(T930,$Q$16)-SUM(U$26:U929),"")</f>
        <v/>
      </c>
      <c r="V930" s="1258">
        <f t="shared" ca="1" si="102"/>
        <v>0</v>
      </c>
      <c r="W930" s="1258">
        <f t="shared" ca="1" si="103"/>
        <v>0</v>
      </c>
      <c r="X930" s="1258" t="e">
        <f t="shared" ca="1" si="104"/>
        <v>#N/A</v>
      </c>
      <c r="Y930" s="1240"/>
      <c r="Z930" s="1240"/>
      <c r="AA930" s="1240"/>
      <c r="AB930" s="1240"/>
      <c r="AC930" s="1240"/>
      <c r="AD930" s="1240"/>
      <c r="AE930" s="1240"/>
      <c r="AF930" s="1240"/>
      <c r="AG930" s="1240"/>
      <c r="AH930" s="1240"/>
      <c r="AI930" s="1240"/>
      <c r="AJ930" s="1240"/>
      <c r="AK930" s="1240"/>
      <c r="AL930" s="1240"/>
      <c r="AM930" s="1240"/>
      <c r="AN930" s="1240"/>
      <c r="AO930" s="1240"/>
      <c r="AP930" s="1240"/>
    </row>
    <row r="931" spans="1:42" ht="18.75" customHeight="1" x14ac:dyDescent="0.35">
      <c r="A931" s="1240"/>
      <c r="B931" s="1240"/>
      <c r="C931" s="1240"/>
      <c r="D931" s="1240"/>
      <c r="E931" s="1240"/>
      <c r="F931" s="1240"/>
      <c r="G931" s="1240"/>
      <c r="H931" s="1240"/>
      <c r="I931" s="1240"/>
      <c r="J931" s="1240"/>
      <c r="K931" s="1240"/>
      <c r="L931" s="1240"/>
      <c r="M931" s="1240"/>
      <c r="N931" s="1240"/>
      <c r="O931" s="1240"/>
      <c r="P931" s="1247">
        <f t="shared" si="100"/>
        <v>905</v>
      </c>
      <c r="Q931" s="1253" t="e">
        <f t="shared" ca="1" si="105"/>
        <v>#N/A</v>
      </c>
      <c r="R931" s="1247" t="str">
        <f>IFERROR(VLOOKUP(P931,RPCRepaymentDates[],1,FALSE),"")</f>
        <v/>
      </c>
      <c r="S931" s="1259">
        <f t="shared" si="101"/>
        <v>0</v>
      </c>
      <c r="T931" s="1247" t="str">
        <f>IFERROR(VLOOKUP(P931,RPCChargeCycleDates[],1,FALSE),"")</f>
        <v/>
      </c>
      <c r="U931" s="1248" t="str">
        <f>IFERROR(_xlfn.DAYS(T931,$Q$16)-SUM(U$26:U930),"")</f>
        <v/>
      </c>
      <c r="V931" s="1258">
        <f t="shared" ca="1" si="102"/>
        <v>0</v>
      </c>
      <c r="W931" s="1258">
        <f t="shared" ca="1" si="103"/>
        <v>0</v>
      </c>
      <c r="X931" s="1258" t="e">
        <f t="shared" ca="1" si="104"/>
        <v>#N/A</v>
      </c>
      <c r="Y931" s="1240"/>
      <c r="Z931" s="1240"/>
      <c r="AA931" s="1240"/>
      <c r="AB931" s="1240"/>
      <c r="AC931" s="1240"/>
      <c r="AD931" s="1240"/>
      <c r="AE931" s="1240"/>
      <c r="AF931" s="1240"/>
      <c r="AG931" s="1240"/>
      <c r="AH931" s="1240"/>
      <c r="AI931" s="1240"/>
      <c r="AJ931" s="1240"/>
      <c r="AK931" s="1240"/>
      <c r="AL931" s="1240"/>
      <c r="AM931" s="1240"/>
      <c r="AN931" s="1240"/>
      <c r="AO931" s="1240"/>
      <c r="AP931" s="1240"/>
    </row>
    <row r="932" spans="1:42" ht="18.75" customHeight="1" x14ac:dyDescent="0.35">
      <c r="A932" s="1240"/>
      <c r="B932" s="1240"/>
      <c r="C932" s="1240"/>
      <c r="D932" s="1240"/>
      <c r="E932" s="1240"/>
      <c r="F932" s="1240"/>
      <c r="G932" s="1240"/>
      <c r="H932" s="1240"/>
      <c r="I932" s="1240"/>
      <c r="J932" s="1240"/>
      <c r="K932" s="1240"/>
      <c r="L932" s="1240"/>
      <c r="M932" s="1240"/>
      <c r="N932" s="1240"/>
      <c r="O932" s="1240"/>
      <c r="P932" s="1247">
        <f t="shared" si="100"/>
        <v>906</v>
      </c>
      <c r="Q932" s="1253" t="e">
        <f t="shared" ca="1" si="105"/>
        <v>#N/A</v>
      </c>
      <c r="R932" s="1247" t="str">
        <f>IFERROR(VLOOKUP(P932,RPCRepaymentDates[],1,FALSE),"")</f>
        <v/>
      </c>
      <c r="S932" s="1259">
        <f t="shared" si="101"/>
        <v>0</v>
      </c>
      <c r="T932" s="1247" t="str">
        <f>IFERROR(VLOOKUP(P932,RPCChargeCycleDates[],1,FALSE),"")</f>
        <v/>
      </c>
      <c r="U932" s="1248" t="str">
        <f>IFERROR(_xlfn.DAYS(T932,$Q$16)-SUM(U$26:U931),"")</f>
        <v/>
      </c>
      <c r="V932" s="1258">
        <f t="shared" ca="1" si="102"/>
        <v>0</v>
      </c>
      <c r="W932" s="1258">
        <f t="shared" ca="1" si="103"/>
        <v>0</v>
      </c>
      <c r="X932" s="1258" t="e">
        <f t="shared" ca="1" si="104"/>
        <v>#N/A</v>
      </c>
      <c r="Y932" s="1240"/>
      <c r="Z932" s="1240"/>
      <c r="AA932" s="1240"/>
      <c r="AB932" s="1240"/>
      <c r="AC932" s="1240"/>
      <c r="AD932" s="1240"/>
      <c r="AE932" s="1240"/>
      <c r="AF932" s="1240"/>
      <c r="AG932" s="1240"/>
      <c r="AH932" s="1240"/>
      <c r="AI932" s="1240"/>
      <c r="AJ932" s="1240"/>
      <c r="AK932" s="1240"/>
      <c r="AL932" s="1240"/>
      <c r="AM932" s="1240"/>
      <c r="AN932" s="1240"/>
      <c r="AO932" s="1240"/>
      <c r="AP932" s="1240"/>
    </row>
    <row r="933" spans="1:42" ht="18.75" customHeight="1" x14ac:dyDescent="0.35">
      <c r="A933" s="1240"/>
      <c r="B933" s="1240"/>
      <c r="C933" s="1240"/>
      <c r="D933" s="1240"/>
      <c r="E933" s="1240"/>
      <c r="F933" s="1240"/>
      <c r="G933" s="1240"/>
      <c r="H933" s="1240"/>
      <c r="I933" s="1240"/>
      <c r="J933" s="1240"/>
      <c r="K933" s="1240"/>
      <c r="L933" s="1240"/>
      <c r="M933" s="1240"/>
      <c r="N933" s="1240"/>
      <c r="O933" s="1240"/>
      <c r="P933" s="1247">
        <f t="shared" si="100"/>
        <v>907</v>
      </c>
      <c r="Q933" s="1253" t="e">
        <f t="shared" ca="1" si="105"/>
        <v>#N/A</v>
      </c>
      <c r="R933" s="1247" t="str">
        <f>IFERROR(VLOOKUP(P933,RPCRepaymentDates[],1,FALSE),"")</f>
        <v/>
      </c>
      <c r="S933" s="1259">
        <f t="shared" si="101"/>
        <v>0</v>
      </c>
      <c r="T933" s="1247" t="str">
        <f>IFERROR(VLOOKUP(P933,RPCChargeCycleDates[],1,FALSE),"")</f>
        <v/>
      </c>
      <c r="U933" s="1248" t="str">
        <f>IFERROR(_xlfn.DAYS(T933,$Q$16)-SUM(U$26:U932),"")</f>
        <v/>
      </c>
      <c r="V933" s="1258">
        <f t="shared" ca="1" si="102"/>
        <v>0</v>
      </c>
      <c r="W933" s="1258">
        <f t="shared" ca="1" si="103"/>
        <v>0</v>
      </c>
      <c r="X933" s="1258" t="e">
        <f t="shared" ca="1" si="104"/>
        <v>#N/A</v>
      </c>
      <c r="Y933" s="1240"/>
      <c r="Z933" s="1240"/>
      <c r="AA933" s="1240"/>
      <c r="AB933" s="1240"/>
      <c r="AC933" s="1240"/>
      <c r="AD933" s="1240"/>
      <c r="AE933" s="1240"/>
      <c r="AF933" s="1240"/>
      <c r="AG933" s="1240"/>
      <c r="AH933" s="1240"/>
      <c r="AI933" s="1240"/>
      <c r="AJ933" s="1240"/>
      <c r="AK933" s="1240"/>
      <c r="AL933" s="1240"/>
      <c r="AM933" s="1240"/>
      <c r="AN933" s="1240"/>
      <c r="AO933" s="1240"/>
      <c r="AP933" s="1240"/>
    </row>
    <row r="934" spans="1:42" ht="18.75" customHeight="1" x14ac:dyDescent="0.35">
      <c r="A934" s="1240"/>
      <c r="B934" s="1240"/>
      <c r="C934" s="1240"/>
      <c r="D934" s="1240"/>
      <c r="E934" s="1240"/>
      <c r="F934" s="1240"/>
      <c r="G934" s="1240"/>
      <c r="H934" s="1240"/>
      <c r="I934" s="1240"/>
      <c r="J934" s="1240"/>
      <c r="K934" s="1240"/>
      <c r="L934" s="1240"/>
      <c r="M934" s="1240"/>
      <c r="N934" s="1240"/>
      <c r="O934" s="1240"/>
      <c r="P934" s="1247">
        <f t="shared" si="100"/>
        <v>908</v>
      </c>
      <c r="Q934" s="1253" t="e">
        <f t="shared" ca="1" si="105"/>
        <v>#N/A</v>
      </c>
      <c r="R934" s="1247" t="str">
        <f>IFERROR(VLOOKUP(P934,RPCRepaymentDates[],1,FALSE),"")</f>
        <v/>
      </c>
      <c r="S934" s="1259">
        <f t="shared" si="101"/>
        <v>0</v>
      </c>
      <c r="T934" s="1247" t="str">
        <f>IFERROR(VLOOKUP(P934,RPCChargeCycleDates[],1,FALSE),"")</f>
        <v/>
      </c>
      <c r="U934" s="1248" t="str">
        <f>IFERROR(_xlfn.DAYS(T934,$Q$16)-SUM(U$26:U933),"")</f>
        <v/>
      </c>
      <c r="V934" s="1258">
        <f t="shared" ca="1" si="102"/>
        <v>0</v>
      </c>
      <c r="W934" s="1258">
        <f t="shared" ca="1" si="103"/>
        <v>0</v>
      </c>
      <c r="X934" s="1258" t="e">
        <f t="shared" ca="1" si="104"/>
        <v>#N/A</v>
      </c>
      <c r="Y934" s="1240"/>
      <c r="Z934" s="1240"/>
      <c r="AA934" s="1240"/>
      <c r="AB934" s="1240"/>
      <c r="AC934" s="1240"/>
      <c r="AD934" s="1240"/>
      <c r="AE934" s="1240"/>
      <c r="AF934" s="1240"/>
      <c r="AG934" s="1240"/>
      <c r="AH934" s="1240"/>
      <c r="AI934" s="1240"/>
      <c r="AJ934" s="1240"/>
      <c r="AK934" s="1240"/>
      <c r="AL934" s="1240"/>
      <c r="AM934" s="1240"/>
      <c r="AN934" s="1240"/>
      <c r="AO934" s="1240"/>
      <c r="AP934" s="1240"/>
    </row>
    <row r="935" spans="1:42" ht="18.75" customHeight="1" x14ac:dyDescent="0.35">
      <c r="A935" s="1240"/>
      <c r="B935" s="1240"/>
      <c r="C935" s="1240"/>
      <c r="D935" s="1240"/>
      <c r="E935" s="1240"/>
      <c r="F935" s="1240"/>
      <c r="G935" s="1240"/>
      <c r="H935" s="1240"/>
      <c r="I935" s="1240"/>
      <c r="J935" s="1240"/>
      <c r="K935" s="1240"/>
      <c r="L935" s="1240"/>
      <c r="M935" s="1240"/>
      <c r="N935" s="1240"/>
      <c r="O935" s="1240"/>
      <c r="P935" s="1247">
        <f t="shared" si="100"/>
        <v>909</v>
      </c>
      <c r="Q935" s="1253" t="e">
        <f t="shared" ca="1" si="105"/>
        <v>#N/A</v>
      </c>
      <c r="R935" s="1247" t="str">
        <f>IFERROR(VLOOKUP(P935,RPCRepaymentDates[],1,FALSE),"")</f>
        <v/>
      </c>
      <c r="S935" s="1259">
        <f t="shared" si="101"/>
        <v>0</v>
      </c>
      <c r="T935" s="1247" t="str">
        <f>IFERROR(VLOOKUP(P935,RPCChargeCycleDates[],1,FALSE),"")</f>
        <v/>
      </c>
      <c r="U935" s="1248" t="str">
        <f>IFERROR(_xlfn.DAYS(T935,$Q$16)-SUM(U$26:U934),"")</f>
        <v/>
      </c>
      <c r="V935" s="1258">
        <f t="shared" ca="1" si="102"/>
        <v>0</v>
      </c>
      <c r="W935" s="1258">
        <f t="shared" ca="1" si="103"/>
        <v>0</v>
      </c>
      <c r="X935" s="1258" t="e">
        <f t="shared" ca="1" si="104"/>
        <v>#N/A</v>
      </c>
      <c r="Y935" s="1240"/>
      <c r="Z935" s="1240"/>
      <c r="AA935" s="1240"/>
      <c r="AB935" s="1240"/>
      <c r="AC935" s="1240"/>
      <c r="AD935" s="1240"/>
      <c r="AE935" s="1240"/>
      <c r="AF935" s="1240"/>
      <c r="AG935" s="1240"/>
      <c r="AH935" s="1240"/>
      <c r="AI935" s="1240"/>
      <c r="AJ935" s="1240"/>
      <c r="AK935" s="1240"/>
      <c r="AL935" s="1240"/>
      <c r="AM935" s="1240"/>
      <c r="AN935" s="1240"/>
      <c r="AO935" s="1240"/>
      <c r="AP935" s="1240"/>
    </row>
    <row r="936" spans="1:42" ht="18.75" customHeight="1" x14ac:dyDescent="0.35">
      <c r="A936" s="1240"/>
      <c r="B936" s="1240"/>
      <c r="C936" s="1240"/>
      <c r="D936" s="1240"/>
      <c r="E936" s="1240"/>
      <c r="F936" s="1240"/>
      <c r="G936" s="1240"/>
      <c r="H936" s="1240"/>
      <c r="I936" s="1240"/>
      <c r="J936" s="1240"/>
      <c r="K936" s="1240"/>
      <c r="L936" s="1240"/>
      <c r="M936" s="1240"/>
      <c r="N936" s="1240"/>
      <c r="O936" s="1240"/>
      <c r="P936" s="1247">
        <f t="shared" si="100"/>
        <v>910</v>
      </c>
      <c r="Q936" s="1253" t="e">
        <f t="shared" ca="1" si="105"/>
        <v>#N/A</v>
      </c>
      <c r="R936" s="1247" t="str">
        <f>IFERROR(VLOOKUP(P936,RPCRepaymentDates[],1,FALSE),"")</f>
        <v/>
      </c>
      <c r="S936" s="1259">
        <f t="shared" si="101"/>
        <v>0</v>
      </c>
      <c r="T936" s="1247">
        <f>IFERROR(VLOOKUP(P936,RPCChargeCycleDates[],1,FALSE),"")</f>
        <v>910</v>
      </c>
      <c r="U936" s="1248">
        <f>IFERROR(_xlfn.DAYS(T936,$Q$16)-SUM(U$26:U935),"")</f>
        <v>31</v>
      </c>
      <c r="V936" s="1258">
        <f t="shared" ca="1" si="102"/>
        <v>0</v>
      </c>
      <c r="W936" s="1258">
        <f t="shared" ca="1" si="103"/>
        <v>0</v>
      </c>
      <c r="X936" s="1258" t="e">
        <f t="shared" ca="1" si="104"/>
        <v>#N/A</v>
      </c>
      <c r="Y936" s="1240"/>
      <c r="Z936" s="1240"/>
      <c r="AA936" s="1240"/>
      <c r="AB936" s="1240"/>
      <c r="AC936" s="1240"/>
      <c r="AD936" s="1240"/>
      <c r="AE936" s="1240"/>
      <c r="AF936" s="1240"/>
      <c r="AG936" s="1240"/>
      <c r="AH936" s="1240"/>
      <c r="AI936" s="1240"/>
      <c r="AJ936" s="1240"/>
      <c r="AK936" s="1240"/>
      <c r="AL936" s="1240"/>
      <c r="AM936" s="1240"/>
      <c r="AN936" s="1240"/>
      <c r="AO936" s="1240"/>
      <c r="AP936" s="1240"/>
    </row>
    <row r="937" spans="1:42" ht="18.75" customHeight="1" x14ac:dyDescent="0.35">
      <c r="A937" s="1240"/>
      <c r="B937" s="1240"/>
      <c r="C937" s="1240"/>
      <c r="D937" s="1240"/>
      <c r="E937" s="1240"/>
      <c r="F937" s="1240"/>
      <c r="G937" s="1240"/>
      <c r="H937" s="1240"/>
      <c r="I937" s="1240"/>
      <c r="J937" s="1240"/>
      <c r="K937" s="1240"/>
      <c r="L937" s="1240"/>
      <c r="M937" s="1240"/>
      <c r="N937" s="1240"/>
      <c r="O937" s="1240"/>
      <c r="P937" s="1247">
        <f t="shared" si="100"/>
        <v>911</v>
      </c>
      <c r="Q937" s="1253" t="e">
        <f t="shared" ca="1" si="105"/>
        <v>#N/A</v>
      </c>
      <c r="R937" s="1247" t="str">
        <f>IFERROR(VLOOKUP(P937,RPCRepaymentDates[],1,FALSE),"")</f>
        <v/>
      </c>
      <c r="S937" s="1259">
        <f t="shared" si="101"/>
        <v>0</v>
      </c>
      <c r="T937" s="1247" t="str">
        <f>IFERROR(VLOOKUP(P937,RPCChargeCycleDates[],1,FALSE),"")</f>
        <v/>
      </c>
      <c r="U937" s="1248" t="str">
        <f>IFERROR(_xlfn.DAYS(T937,$Q$16)-SUM(U$26:U936),"")</f>
        <v/>
      </c>
      <c r="V937" s="1258">
        <f t="shared" ca="1" si="102"/>
        <v>0</v>
      </c>
      <c r="W937" s="1258">
        <f t="shared" ca="1" si="103"/>
        <v>0</v>
      </c>
      <c r="X937" s="1258" t="e">
        <f t="shared" ca="1" si="104"/>
        <v>#N/A</v>
      </c>
      <c r="Y937" s="1240"/>
      <c r="Z937" s="1240"/>
      <c r="AA937" s="1240"/>
      <c r="AB937" s="1240"/>
      <c r="AC937" s="1240"/>
      <c r="AD937" s="1240"/>
      <c r="AE937" s="1240"/>
      <c r="AF937" s="1240"/>
      <c r="AG937" s="1240"/>
      <c r="AH937" s="1240"/>
      <c r="AI937" s="1240"/>
      <c r="AJ937" s="1240"/>
      <c r="AK937" s="1240"/>
      <c r="AL937" s="1240"/>
      <c r="AM937" s="1240"/>
      <c r="AN937" s="1240"/>
      <c r="AO937" s="1240"/>
      <c r="AP937" s="1240"/>
    </row>
    <row r="938" spans="1:42" ht="18.75" customHeight="1" x14ac:dyDescent="0.35">
      <c r="A938" s="1240"/>
      <c r="B938" s="1240"/>
      <c r="C938" s="1240"/>
      <c r="D938" s="1240"/>
      <c r="E938" s="1240"/>
      <c r="F938" s="1240"/>
      <c r="G938" s="1240"/>
      <c r="H938" s="1240"/>
      <c r="I938" s="1240"/>
      <c r="J938" s="1240"/>
      <c r="K938" s="1240"/>
      <c r="L938" s="1240"/>
      <c r="M938" s="1240"/>
      <c r="N938" s="1240"/>
      <c r="O938" s="1240"/>
      <c r="P938" s="1247">
        <f t="shared" ref="P938:P1001" si="106">P937+1</f>
        <v>912</v>
      </c>
      <c r="Q938" s="1253" t="e">
        <f t="shared" ca="1" si="105"/>
        <v>#N/A</v>
      </c>
      <c r="R938" s="1247" t="str">
        <f>IFERROR(VLOOKUP(P938,RPCRepaymentDates[],1,FALSE),"")</f>
        <v/>
      </c>
      <c r="S938" s="1259">
        <f t="shared" si="101"/>
        <v>0</v>
      </c>
      <c r="T938" s="1247" t="str">
        <f>IFERROR(VLOOKUP(P938,RPCChargeCycleDates[],1,FALSE),"")</f>
        <v/>
      </c>
      <c r="U938" s="1248" t="str">
        <f>IFERROR(_xlfn.DAYS(T938,$Q$16)-SUM(U$26:U937),"")</f>
        <v/>
      </c>
      <c r="V938" s="1258">
        <f t="shared" ca="1" si="102"/>
        <v>0</v>
      </c>
      <c r="W938" s="1258">
        <f t="shared" ca="1" si="103"/>
        <v>0</v>
      </c>
      <c r="X938" s="1258" t="e">
        <f t="shared" ca="1" si="104"/>
        <v>#N/A</v>
      </c>
      <c r="Y938" s="1240"/>
      <c r="Z938" s="1240"/>
      <c r="AA938" s="1240"/>
      <c r="AB938" s="1240"/>
      <c r="AC938" s="1240"/>
      <c r="AD938" s="1240"/>
      <c r="AE938" s="1240"/>
      <c r="AF938" s="1240"/>
      <c r="AG938" s="1240"/>
      <c r="AH938" s="1240"/>
      <c r="AI938" s="1240"/>
      <c r="AJ938" s="1240"/>
      <c r="AK938" s="1240"/>
      <c r="AL938" s="1240"/>
      <c r="AM938" s="1240"/>
      <c r="AN938" s="1240"/>
      <c r="AO938" s="1240"/>
      <c r="AP938" s="1240"/>
    </row>
    <row r="939" spans="1:42" ht="18.75" customHeight="1" x14ac:dyDescent="0.35">
      <c r="A939" s="1240"/>
      <c r="B939" s="1240"/>
      <c r="C939" s="1240"/>
      <c r="D939" s="1240"/>
      <c r="E939" s="1240"/>
      <c r="F939" s="1240"/>
      <c r="G939" s="1240"/>
      <c r="H939" s="1240"/>
      <c r="I939" s="1240"/>
      <c r="J939" s="1240"/>
      <c r="K939" s="1240"/>
      <c r="L939" s="1240"/>
      <c r="M939" s="1240"/>
      <c r="N939" s="1240"/>
      <c r="O939" s="1240"/>
      <c r="P939" s="1247">
        <f t="shared" si="106"/>
        <v>913</v>
      </c>
      <c r="Q939" s="1253" t="e">
        <f t="shared" ca="1" si="105"/>
        <v>#N/A</v>
      </c>
      <c r="R939" s="1247" t="str">
        <f>IFERROR(VLOOKUP(P939,RPCRepaymentDates[],1,FALSE),"")</f>
        <v/>
      </c>
      <c r="S939" s="1259">
        <f t="shared" si="101"/>
        <v>0</v>
      </c>
      <c r="T939" s="1247" t="str">
        <f>IFERROR(VLOOKUP(P939,RPCChargeCycleDates[],1,FALSE),"")</f>
        <v/>
      </c>
      <c r="U939" s="1248" t="str">
        <f>IFERROR(_xlfn.DAYS(T939,$Q$16)-SUM(U$26:U938),"")</f>
        <v/>
      </c>
      <c r="V939" s="1258">
        <f t="shared" ca="1" si="102"/>
        <v>0</v>
      </c>
      <c r="W939" s="1258">
        <f t="shared" ca="1" si="103"/>
        <v>0</v>
      </c>
      <c r="X939" s="1258" t="e">
        <f t="shared" ca="1" si="104"/>
        <v>#N/A</v>
      </c>
      <c r="Y939" s="1240"/>
      <c r="Z939" s="1240"/>
      <c r="AA939" s="1240"/>
      <c r="AB939" s="1240"/>
      <c r="AC939" s="1240"/>
      <c r="AD939" s="1240"/>
      <c r="AE939" s="1240"/>
      <c r="AF939" s="1240"/>
      <c r="AG939" s="1240"/>
      <c r="AH939" s="1240"/>
      <c r="AI939" s="1240"/>
      <c r="AJ939" s="1240"/>
      <c r="AK939" s="1240"/>
      <c r="AL939" s="1240"/>
      <c r="AM939" s="1240"/>
      <c r="AN939" s="1240"/>
      <c r="AO939" s="1240"/>
      <c r="AP939" s="1240"/>
    </row>
    <row r="940" spans="1:42" ht="18.75" customHeight="1" x14ac:dyDescent="0.35">
      <c r="A940" s="1240"/>
      <c r="B940" s="1240"/>
      <c r="C940" s="1240"/>
      <c r="D940" s="1240"/>
      <c r="E940" s="1240"/>
      <c r="F940" s="1240"/>
      <c r="G940" s="1240"/>
      <c r="H940" s="1240"/>
      <c r="I940" s="1240"/>
      <c r="J940" s="1240"/>
      <c r="K940" s="1240"/>
      <c r="L940" s="1240"/>
      <c r="M940" s="1240"/>
      <c r="N940" s="1240"/>
      <c r="O940" s="1240"/>
      <c r="P940" s="1247">
        <f t="shared" si="106"/>
        <v>914</v>
      </c>
      <c r="Q940" s="1253" t="e">
        <f t="shared" ca="1" si="105"/>
        <v>#N/A</v>
      </c>
      <c r="R940" s="1247" t="str">
        <f>IFERROR(VLOOKUP(P940,RPCRepaymentDates[],1,FALSE),"")</f>
        <v/>
      </c>
      <c r="S940" s="1259">
        <f t="shared" si="101"/>
        <v>0</v>
      </c>
      <c r="T940" s="1247" t="str">
        <f>IFERROR(VLOOKUP(P940,RPCChargeCycleDates[],1,FALSE),"")</f>
        <v/>
      </c>
      <c r="U940" s="1248" t="str">
        <f>IFERROR(_xlfn.DAYS(T940,$Q$16)-SUM(U$26:U939),"")</f>
        <v/>
      </c>
      <c r="V940" s="1258">
        <f t="shared" ca="1" si="102"/>
        <v>0</v>
      </c>
      <c r="W940" s="1258">
        <f t="shared" ca="1" si="103"/>
        <v>0</v>
      </c>
      <c r="X940" s="1258" t="e">
        <f t="shared" ca="1" si="104"/>
        <v>#N/A</v>
      </c>
      <c r="Y940" s="1240"/>
      <c r="Z940" s="1240"/>
      <c r="AA940" s="1240"/>
      <c r="AB940" s="1240"/>
      <c r="AC940" s="1240"/>
      <c r="AD940" s="1240"/>
      <c r="AE940" s="1240"/>
      <c r="AF940" s="1240"/>
      <c r="AG940" s="1240"/>
      <c r="AH940" s="1240"/>
      <c r="AI940" s="1240"/>
      <c r="AJ940" s="1240"/>
      <c r="AK940" s="1240"/>
      <c r="AL940" s="1240"/>
      <c r="AM940" s="1240"/>
      <c r="AN940" s="1240"/>
      <c r="AO940" s="1240"/>
      <c r="AP940" s="1240"/>
    </row>
    <row r="941" spans="1:42" ht="18.75" customHeight="1" x14ac:dyDescent="0.35">
      <c r="A941" s="1240"/>
      <c r="B941" s="1240"/>
      <c r="C941" s="1240"/>
      <c r="D941" s="1240"/>
      <c r="E941" s="1240"/>
      <c r="F941" s="1240"/>
      <c r="G941" s="1240"/>
      <c r="H941" s="1240"/>
      <c r="I941" s="1240"/>
      <c r="J941" s="1240"/>
      <c r="K941" s="1240"/>
      <c r="L941" s="1240"/>
      <c r="M941" s="1240"/>
      <c r="N941" s="1240"/>
      <c r="O941" s="1240"/>
      <c r="P941" s="1247">
        <f t="shared" si="106"/>
        <v>915</v>
      </c>
      <c r="Q941" s="1253" t="e">
        <f t="shared" ca="1" si="105"/>
        <v>#N/A</v>
      </c>
      <c r="R941" s="1247" t="str">
        <f>IFERROR(VLOOKUP(P941,RPCRepaymentDates[],1,FALSE),"")</f>
        <v/>
      </c>
      <c r="S941" s="1259">
        <f t="shared" si="101"/>
        <v>0</v>
      </c>
      <c r="T941" s="1247" t="str">
        <f>IFERROR(VLOOKUP(P941,RPCChargeCycleDates[],1,FALSE),"")</f>
        <v/>
      </c>
      <c r="U941" s="1248" t="str">
        <f>IFERROR(_xlfn.DAYS(T941,$Q$16)-SUM(U$26:U940),"")</f>
        <v/>
      </c>
      <c r="V941" s="1258">
        <f t="shared" ca="1" si="102"/>
        <v>0</v>
      </c>
      <c r="W941" s="1258">
        <f t="shared" ca="1" si="103"/>
        <v>0</v>
      </c>
      <c r="X941" s="1258" t="e">
        <f t="shared" ca="1" si="104"/>
        <v>#N/A</v>
      </c>
      <c r="Y941" s="1240"/>
      <c r="Z941" s="1240"/>
      <c r="AA941" s="1240"/>
      <c r="AB941" s="1240"/>
      <c r="AC941" s="1240"/>
      <c r="AD941" s="1240"/>
      <c r="AE941" s="1240"/>
      <c r="AF941" s="1240"/>
      <c r="AG941" s="1240"/>
      <c r="AH941" s="1240"/>
      <c r="AI941" s="1240"/>
      <c r="AJ941" s="1240"/>
      <c r="AK941" s="1240"/>
      <c r="AL941" s="1240"/>
      <c r="AM941" s="1240"/>
      <c r="AN941" s="1240"/>
      <c r="AO941" s="1240"/>
      <c r="AP941" s="1240"/>
    </row>
    <row r="942" spans="1:42" ht="18.75" customHeight="1" x14ac:dyDescent="0.35">
      <c r="A942" s="1240"/>
      <c r="B942" s="1240"/>
      <c r="C942" s="1240"/>
      <c r="D942" s="1240"/>
      <c r="E942" s="1240"/>
      <c r="F942" s="1240"/>
      <c r="G942" s="1240"/>
      <c r="H942" s="1240"/>
      <c r="I942" s="1240"/>
      <c r="J942" s="1240"/>
      <c r="K942" s="1240"/>
      <c r="L942" s="1240"/>
      <c r="M942" s="1240"/>
      <c r="N942" s="1240"/>
      <c r="O942" s="1240"/>
      <c r="P942" s="1247">
        <f t="shared" si="106"/>
        <v>916</v>
      </c>
      <c r="Q942" s="1253" t="e">
        <f t="shared" ca="1" si="105"/>
        <v>#N/A</v>
      </c>
      <c r="R942" s="1247" t="str">
        <f>IFERROR(VLOOKUP(P942,RPCRepaymentDates[],1,FALSE),"")</f>
        <v/>
      </c>
      <c r="S942" s="1259">
        <f t="shared" si="101"/>
        <v>0</v>
      </c>
      <c r="T942" s="1247" t="str">
        <f>IFERROR(VLOOKUP(P942,RPCChargeCycleDates[],1,FALSE),"")</f>
        <v/>
      </c>
      <c r="U942" s="1248" t="str">
        <f>IFERROR(_xlfn.DAYS(T942,$Q$16)-SUM(U$26:U941),"")</f>
        <v/>
      </c>
      <c r="V942" s="1258">
        <f t="shared" ca="1" si="102"/>
        <v>0</v>
      </c>
      <c r="W942" s="1258">
        <f t="shared" ca="1" si="103"/>
        <v>0</v>
      </c>
      <c r="X942" s="1258" t="e">
        <f t="shared" ca="1" si="104"/>
        <v>#N/A</v>
      </c>
      <c r="Y942" s="1240"/>
      <c r="Z942" s="1240"/>
      <c r="AA942" s="1240"/>
      <c r="AB942" s="1240"/>
      <c r="AC942" s="1240"/>
      <c r="AD942" s="1240"/>
      <c r="AE942" s="1240"/>
      <c r="AF942" s="1240"/>
      <c r="AG942" s="1240"/>
      <c r="AH942" s="1240"/>
      <c r="AI942" s="1240"/>
      <c r="AJ942" s="1240"/>
      <c r="AK942" s="1240"/>
      <c r="AL942" s="1240"/>
      <c r="AM942" s="1240"/>
      <c r="AN942" s="1240"/>
      <c r="AO942" s="1240"/>
      <c r="AP942" s="1240"/>
    </row>
    <row r="943" spans="1:42" ht="18.75" customHeight="1" x14ac:dyDescent="0.35">
      <c r="A943" s="1240"/>
      <c r="B943" s="1240"/>
      <c r="C943" s="1240"/>
      <c r="D943" s="1240"/>
      <c r="E943" s="1240"/>
      <c r="F943" s="1240"/>
      <c r="G943" s="1240"/>
      <c r="H943" s="1240"/>
      <c r="I943" s="1240"/>
      <c r="J943" s="1240"/>
      <c r="K943" s="1240"/>
      <c r="L943" s="1240"/>
      <c r="M943" s="1240"/>
      <c r="N943" s="1240"/>
      <c r="O943" s="1240"/>
      <c r="P943" s="1247">
        <f t="shared" si="106"/>
        <v>917</v>
      </c>
      <c r="Q943" s="1253" t="e">
        <f t="shared" ca="1" si="105"/>
        <v>#N/A</v>
      </c>
      <c r="R943" s="1247" t="str">
        <f>IFERROR(VLOOKUP(P943,RPCRepaymentDates[],1,FALSE),"")</f>
        <v/>
      </c>
      <c r="S943" s="1259">
        <f t="shared" si="101"/>
        <v>0</v>
      </c>
      <c r="T943" s="1247" t="str">
        <f>IFERROR(VLOOKUP(P943,RPCChargeCycleDates[],1,FALSE),"")</f>
        <v/>
      </c>
      <c r="U943" s="1248" t="str">
        <f>IFERROR(_xlfn.DAYS(T943,$Q$16)-SUM(U$26:U942),"")</f>
        <v/>
      </c>
      <c r="V943" s="1258">
        <f t="shared" ca="1" si="102"/>
        <v>0</v>
      </c>
      <c r="W943" s="1258">
        <f t="shared" ca="1" si="103"/>
        <v>0</v>
      </c>
      <c r="X943" s="1258" t="e">
        <f t="shared" ca="1" si="104"/>
        <v>#N/A</v>
      </c>
      <c r="Y943" s="1240"/>
      <c r="Z943" s="1240"/>
      <c r="AA943" s="1240"/>
      <c r="AB943" s="1240"/>
      <c r="AC943" s="1240"/>
      <c r="AD943" s="1240"/>
      <c r="AE943" s="1240"/>
      <c r="AF943" s="1240"/>
      <c r="AG943" s="1240"/>
      <c r="AH943" s="1240"/>
      <c r="AI943" s="1240"/>
      <c r="AJ943" s="1240"/>
      <c r="AK943" s="1240"/>
      <c r="AL943" s="1240"/>
      <c r="AM943" s="1240"/>
      <c r="AN943" s="1240"/>
      <c r="AO943" s="1240"/>
      <c r="AP943" s="1240"/>
    </row>
    <row r="944" spans="1:42" ht="18.75" customHeight="1" x14ac:dyDescent="0.35">
      <c r="A944" s="1240"/>
      <c r="B944" s="1240"/>
      <c r="C944" s="1240"/>
      <c r="D944" s="1240"/>
      <c r="E944" s="1240"/>
      <c r="F944" s="1240"/>
      <c r="G944" s="1240"/>
      <c r="H944" s="1240"/>
      <c r="I944" s="1240"/>
      <c r="J944" s="1240"/>
      <c r="K944" s="1240"/>
      <c r="L944" s="1240"/>
      <c r="M944" s="1240"/>
      <c r="N944" s="1240"/>
      <c r="O944" s="1240"/>
      <c r="P944" s="1247">
        <f t="shared" si="106"/>
        <v>918</v>
      </c>
      <c r="Q944" s="1253" t="e">
        <f t="shared" ca="1" si="105"/>
        <v>#N/A</v>
      </c>
      <c r="R944" s="1247" t="str">
        <f>IFERROR(VLOOKUP(P944,RPCRepaymentDates[],1,FALSE),"")</f>
        <v/>
      </c>
      <c r="S944" s="1259">
        <f t="shared" si="101"/>
        <v>0</v>
      </c>
      <c r="T944" s="1247" t="str">
        <f>IFERROR(VLOOKUP(P944,RPCChargeCycleDates[],1,FALSE),"")</f>
        <v/>
      </c>
      <c r="U944" s="1248" t="str">
        <f>IFERROR(_xlfn.DAYS(T944,$Q$16)-SUM(U$26:U943),"")</f>
        <v/>
      </c>
      <c r="V944" s="1258">
        <f t="shared" ca="1" si="102"/>
        <v>0</v>
      </c>
      <c r="W944" s="1258">
        <f t="shared" ca="1" si="103"/>
        <v>0</v>
      </c>
      <c r="X944" s="1258" t="e">
        <f t="shared" ca="1" si="104"/>
        <v>#N/A</v>
      </c>
      <c r="Y944" s="1240"/>
      <c r="Z944" s="1240"/>
      <c r="AA944" s="1240"/>
      <c r="AB944" s="1240"/>
      <c r="AC944" s="1240"/>
      <c r="AD944" s="1240"/>
      <c r="AE944" s="1240"/>
      <c r="AF944" s="1240"/>
      <c r="AG944" s="1240"/>
      <c r="AH944" s="1240"/>
      <c r="AI944" s="1240"/>
      <c r="AJ944" s="1240"/>
      <c r="AK944" s="1240"/>
      <c r="AL944" s="1240"/>
      <c r="AM944" s="1240"/>
      <c r="AN944" s="1240"/>
      <c r="AO944" s="1240"/>
      <c r="AP944" s="1240"/>
    </row>
    <row r="945" spans="1:42" ht="18.75" customHeight="1" x14ac:dyDescent="0.35">
      <c r="A945" s="1240"/>
      <c r="B945" s="1240"/>
      <c r="C945" s="1240"/>
      <c r="D945" s="1240"/>
      <c r="E945" s="1240"/>
      <c r="F945" s="1240"/>
      <c r="G945" s="1240"/>
      <c r="H945" s="1240"/>
      <c r="I945" s="1240"/>
      <c r="J945" s="1240"/>
      <c r="K945" s="1240"/>
      <c r="L945" s="1240"/>
      <c r="M945" s="1240"/>
      <c r="N945" s="1240"/>
      <c r="O945" s="1240"/>
      <c r="P945" s="1247">
        <f t="shared" si="106"/>
        <v>919</v>
      </c>
      <c r="Q945" s="1253" t="e">
        <f t="shared" ca="1" si="105"/>
        <v>#N/A</v>
      </c>
      <c r="R945" s="1247" t="str">
        <f>IFERROR(VLOOKUP(P945,RPCRepaymentDates[],1,FALSE),"")</f>
        <v/>
      </c>
      <c r="S945" s="1259">
        <f t="shared" si="101"/>
        <v>0</v>
      </c>
      <c r="T945" s="1247" t="str">
        <f>IFERROR(VLOOKUP(P945,RPCChargeCycleDates[],1,FALSE),"")</f>
        <v/>
      </c>
      <c r="U945" s="1248" t="str">
        <f>IFERROR(_xlfn.DAYS(T945,$Q$16)-SUM(U$26:U944),"")</f>
        <v/>
      </c>
      <c r="V945" s="1258">
        <f t="shared" ca="1" si="102"/>
        <v>0</v>
      </c>
      <c r="W945" s="1258">
        <f t="shared" ca="1" si="103"/>
        <v>0</v>
      </c>
      <c r="X945" s="1258" t="e">
        <f t="shared" ca="1" si="104"/>
        <v>#N/A</v>
      </c>
      <c r="Y945" s="1240"/>
      <c r="Z945" s="1240"/>
      <c r="AA945" s="1240"/>
      <c r="AB945" s="1240"/>
      <c r="AC945" s="1240"/>
      <c r="AD945" s="1240"/>
      <c r="AE945" s="1240"/>
      <c r="AF945" s="1240"/>
      <c r="AG945" s="1240"/>
      <c r="AH945" s="1240"/>
      <c r="AI945" s="1240"/>
      <c r="AJ945" s="1240"/>
      <c r="AK945" s="1240"/>
      <c r="AL945" s="1240"/>
      <c r="AM945" s="1240"/>
      <c r="AN945" s="1240"/>
      <c r="AO945" s="1240"/>
      <c r="AP945" s="1240"/>
    </row>
    <row r="946" spans="1:42" ht="18.75" customHeight="1" x14ac:dyDescent="0.35">
      <c r="A946" s="1240"/>
      <c r="B946" s="1240"/>
      <c r="C946" s="1240"/>
      <c r="D946" s="1240"/>
      <c r="E946" s="1240"/>
      <c r="F946" s="1240"/>
      <c r="G946" s="1240"/>
      <c r="H946" s="1240"/>
      <c r="I946" s="1240"/>
      <c r="J946" s="1240"/>
      <c r="K946" s="1240"/>
      <c r="L946" s="1240"/>
      <c r="M946" s="1240"/>
      <c r="N946" s="1240"/>
      <c r="O946" s="1240"/>
      <c r="P946" s="1247">
        <f t="shared" si="106"/>
        <v>920</v>
      </c>
      <c r="Q946" s="1253" t="e">
        <f t="shared" ca="1" si="105"/>
        <v>#N/A</v>
      </c>
      <c r="R946" s="1247" t="str">
        <f>IFERROR(VLOOKUP(P946,RPCRepaymentDates[],1,FALSE),"")</f>
        <v/>
      </c>
      <c r="S946" s="1259">
        <f t="shared" si="101"/>
        <v>0</v>
      </c>
      <c r="T946" s="1247" t="str">
        <f>IFERROR(VLOOKUP(P946,RPCChargeCycleDates[],1,FALSE),"")</f>
        <v/>
      </c>
      <c r="U946" s="1248" t="str">
        <f>IFERROR(_xlfn.DAYS(T946,$Q$16)-SUM(U$26:U945),"")</f>
        <v/>
      </c>
      <c r="V946" s="1258">
        <f t="shared" ca="1" si="102"/>
        <v>0</v>
      </c>
      <c r="W946" s="1258">
        <f t="shared" ca="1" si="103"/>
        <v>0</v>
      </c>
      <c r="X946" s="1258" t="e">
        <f t="shared" ca="1" si="104"/>
        <v>#N/A</v>
      </c>
      <c r="Y946" s="1240"/>
      <c r="Z946" s="1240"/>
      <c r="AA946" s="1240"/>
      <c r="AB946" s="1240"/>
      <c r="AC946" s="1240"/>
      <c r="AD946" s="1240"/>
      <c r="AE946" s="1240"/>
      <c r="AF946" s="1240"/>
      <c r="AG946" s="1240"/>
      <c r="AH946" s="1240"/>
      <c r="AI946" s="1240"/>
      <c r="AJ946" s="1240"/>
      <c r="AK946" s="1240"/>
      <c r="AL946" s="1240"/>
      <c r="AM946" s="1240"/>
      <c r="AN946" s="1240"/>
      <c r="AO946" s="1240"/>
      <c r="AP946" s="1240"/>
    </row>
    <row r="947" spans="1:42" ht="18.75" customHeight="1" x14ac:dyDescent="0.35">
      <c r="A947" s="1240"/>
      <c r="B947" s="1240"/>
      <c r="C947" s="1240"/>
      <c r="D947" s="1240"/>
      <c r="E947" s="1240"/>
      <c r="F947" s="1240"/>
      <c r="G947" s="1240"/>
      <c r="H947" s="1240"/>
      <c r="I947" s="1240"/>
      <c r="J947" s="1240"/>
      <c r="K947" s="1240"/>
      <c r="L947" s="1240"/>
      <c r="M947" s="1240"/>
      <c r="N947" s="1240"/>
      <c r="O947" s="1240"/>
      <c r="P947" s="1247">
        <f t="shared" si="106"/>
        <v>921</v>
      </c>
      <c r="Q947" s="1253" t="e">
        <f t="shared" ca="1" si="105"/>
        <v>#N/A</v>
      </c>
      <c r="R947" s="1247" t="str">
        <f>IFERROR(VLOOKUP(P947,RPCRepaymentDates[],1,FALSE),"")</f>
        <v/>
      </c>
      <c r="S947" s="1259">
        <f t="shared" si="101"/>
        <v>0</v>
      </c>
      <c r="T947" s="1247" t="str">
        <f>IFERROR(VLOOKUP(P947,RPCChargeCycleDates[],1,FALSE),"")</f>
        <v/>
      </c>
      <c r="U947" s="1248" t="str">
        <f>IFERROR(_xlfn.DAYS(T947,$Q$16)-SUM(U$26:U946),"")</f>
        <v/>
      </c>
      <c r="V947" s="1258">
        <f t="shared" ca="1" si="102"/>
        <v>0</v>
      </c>
      <c r="W947" s="1258">
        <f t="shared" ca="1" si="103"/>
        <v>0</v>
      </c>
      <c r="X947" s="1258" t="e">
        <f t="shared" ca="1" si="104"/>
        <v>#N/A</v>
      </c>
      <c r="Y947" s="1240"/>
      <c r="Z947" s="1240"/>
      <c r="AA947" s="1240"/>
      <c r="AB947" s="1240"/>
      <c r="AC947" s="1240"/>
      <c r="AD947" s="1240"/>
      <c r="AE947" s="1240"/>
      <c r="AF947" s="1240"/>
      <c r="AG947" s="1240"/>
      <c r="AH947" s="1240"/>
      <c r="AI947" s="1240"/>
      <c r="AJ947" s="1240"/>
      <c r="AK947" s="1240"/>
      <c r="AL947" s="1240"/>
      <c r="AM947" s="1240"/>
      <c r="AN947" s="1240"/>
      <c r="AO947" s="1240"/>
      <c r="AP947" s="1240"/>
    </row>
    <row r="948" spans="1:42" ht="18.75" customHeight="1" x14ac:dyDescent="0.35">
      <c r="A948" s="1240"/>
      <c r="B948" s="1240"/>
      <c r="C948" s="1240"/>
      <c r="D948" s="1240"/>
      <c r="E948" s="1240"/>
      <c r="F948" s="1240"/>
      <c r="G948" s="1240"/>
      <c r="H948" s="1240"/>
      <c r="I948" s="1240"/>
      <c r="J948" s="1240"/>
      <c r="K948" s="1240"/>
      <c r="L948" s="1240"/>
      <c r="M948" s="1240"/>
      <c r="N948" s="1240"/>
      <c r="O948" s="1240"/>
      <c r="P948" s="1247">
        <f t="shared" si="106"/>
        <v>922</v>
      </c>
      <c r="Q948" s="1253" t="e">
        <f t="shared" ca="1" si="105"/>
        <v>#N/A</v>
      </c>
      <c r="R948" s="1247" t="str">
        <f>IFERROR(VLOOKUP(P948,RPCRepaymentDates[],1,FALSE),"")</f>
        <v/>
      </c>
      <c r="S948" s="1259">
        <f t="shared" si="101"/>
        <v>0</v>
      </c>
      <c r="T948" s="1247" t="str">
        <f>IFERROR(VLOOKUP(P948,RPCChargeCycleDates[],1,FALSE),"")</f>
        <v/>
      </c>
      <c r="U948" s="1248" t="str">
        <f>IFERROR(_xlfn.DAYS(T948,$Q$16)-SUM(U$26:U947),"")</f>
        <v/>
      </c>
      <c r="V948" s="1258">
        <f t="shared" ca="1" si="102"/>
        <v>0</v>
      </c>
      <c r="W948" s="1258">
        <f t="shared" ca="1" si="103"/>
        <v>0</v>
      </c>
      <c r="X948" s="1258" t="e">
        <f t="shared" ca="1" si="104"/>
        <v>#N/A</v>
      </c>
      <c r="Y948" s="1240"/>
      <c r="Z948" s="1240"/>
      <c r="AA948" s="1240"/>
      <c r="AB948" s="1240"/>
      <c r="AC948" s="1240"/>
      <c r="AD948" s="1240"/>
      <c r="AE948" s="1240"/>
      <c r="AF948" s="1240"/>
      <c r="AG948" s="1240"/>
      <c r="AH948" s="1240"/>
      <c r="AI948" s="1240"/>
      <c r="AJ948" s="1240"/>
      <c r="AK948" s="1240"/>
      <c r="AL948" s="1240"/>
      <c r="AM948" s="1240"/>
      <c r="AN948" s="1240"/>
      <c r="AO948" s="1240"/>
      <c r="AP948" s="1240"/>
    </row>
    <row r="949" spans="1:42" ht="18.75" customHeight="1" x14ac:dyDescent="0.35">
      <c r="A949" s="1240"/>
      <c r="B949" s="1240"/>
      <c r="C949" s="1240"/>
      <c r="D949" s="1240"/>
      <c r="E949" s="1240"/>
      <c r="F949" s="1240"/>
      <c r="G949" s="1240"/>
      <c r="H949" s="1240"/>
      <c r="I949" s="1240"/>
      <c r="J949" s="1240"/>
      <c r="K949" s="1240"/>
      <c r="L949" s="1240"/>
      <c r="M949" s="1240"/>
      <c r="N949" s="1240"/>
      <c r="O949" s="1240"/>
      <c r="P949" s="1247">
        <f t="shared" si="106"/>
        <v>923</v>
      </c>
      <c r="Q949" s="1253" t="e">
        <f t="shared" ca="1" si="105"/>
        <v>#N/A</v>
      </c>
      <c r="R949" s="1247" t="str">
        <f>IFERROR(VLOOKUP(P949,RPCRepaymentDates[],1,FALSE),"")</f>
        <v/>
      </c>
      <c r="S949" s="1259">
        <f t="shared" si="101"/>
        <v>0</v>
      </c>
      <c r="T949" s="1247" t="str">
        <f>IFERROR(VLOOKUP(P949,RPCChargeCycleDates[],1,FALSE),"")</f>
        <v/>
      </c>
      <c r="U949" s="1248" t="str">
        <f>IFERROR(_xlfn.DAYS(T949,$Q$16)-SUM(U$26:U948),"")</f>
        <v/>
      </c>
      <c r="V949" s="1258">
        <f t="shared" ca="1" si="102"/>
        <v>0</v>
      </c>
      <c r="W949" s="1258">
        <f t="shared" ca="1" si="103"/>
        <v>0</v>
      </c>
      <c r="X949" s="1258" t="e">
        <f t="shared" ca="1" si="104"/>
        <v>#N/A</v>
      </c>
      <c r="Y949" s="1240"/>
      <c r="Z949" s="1240"/>
      <c r="AA949" s="1240"/>
      <c r="AB949" s="1240"/>
      <c r="AC949" s="1240"/>
      <c r="AD949" s="1240"/>
      <c r="AE949" s="1240"/>
      <c r="AF949" s="1240"/>
      <c r="AG949" s="1240"/>
      <c r="AH949" s="1240"/>
      <c r="AI949" s="1240"/>
      <c r="AJ949" s="1240"/>
      <c r="AK949" s="1240"/>
      <c r="AL949" s="1240"/>
      <c r="AM949" s="1240"/>
      <c r="AN949" s="1240"/>
      <c r="AO949" s="1240"/>
      <c r="AP949" s="1240"/>
    </row>
    <row r="950" spans="1:42" ht="18.75" customHeight="1" x14ac:dyDescent="0.35">
      <c r="A950" s="1240"/>
      <c r="B950" s="1240"/>
      <c r="C950" s="1240"/>
      <c r="D950" s="1240"/>
      <c r="E950" s="1240"/>
      <c r="F950" s="1240"/>
      <c r="G950" s="1240"/>
      <c r="H950" s="1240"/>
      <c r="I950" s="1240"/>
      <c r="J950" s="1240"/>
      <c r="K950" s="1240"/>
      <c r="L950" s="1240"/>
      <c r="M950" s="1240"/>
      <c r="N950" s="1240"/>
      <c r="O950" s="1240"/>
      <c r="P950" s="1247">
        <f t="shared" si="106"/>
        <v>924</v>
      </c>
      <c r="Q950" s="1253" t="e">
        <f t="shared" ca="1" si="105"/>
        <v>#N/A</v>
      </c>
      <c r="R950" s="1247" t="str">
        <f>IFERROR(VLOOKUP(P950,RPCRepaymentDates[],1,FALSE),"")</f>
        <v/>
      </c>
      <c r="S950" s="1259">
        <f t="shared" si="101"/>
        <v>0</v>
      </c>
      <c r="T950" s="1247" t="str">
        <f>IFERROR(VLOOKUP(P950,RPCChargeCycleDates[],1,FALSE),"")</f>
        <v/>
      </c>
      <c r="U950" s="1248" t="str">
        <f>IFERROR(_xlfn.DAYS(T950,$Q$16)-SUM(U$26:U949),"")</f>
        <v/>
      </c>
      <c r="V950" s="1258">
        <f t="shared" ca="1" si="102"/>
        <v>0</v>
      </c>
      <c r="W950" s="1258">
        <f t="shared" ca="1" si="103"/>
        <v>0</v>
      </c>
      <c r="X950" s="1258" t="e">
        <f t="shared" ca="1" si="104"/>
        <v>#N/A</v>
      </c>
      <c r="Y950" s="1240"/>
      <c r="Z950" s="1240"/>
      <c r="AA950" s="1240"/>
      <c r="AB950" s="1240"/>
      <c r="AC950" s="1240"/>
      <c r="AD950" s="1240"/>
      <c r="AE950" s="1240"/>
      <c r="AF950" s="1240"/>
      <c r="AG950" s="1240"/>
      <c r="AH950" s="1240"/>
      <c r="AI950" s="1240"/>
      <c r="AJ950" s="1240"/>
      <c r="AK950" s="1240"/>
      <c r="AL950" s="1240"/>
      <c r="AM950" s="1240"/>
      <c r="AN950" s="1240"/>
      <c r="AO950" s="1240"/>
      <c r="AP950" s="1240"/>
    </row>
    <row r="951" spans="1:42" ht="18.75" customHeight="1" x14ac:dyDescent="0.35">
      <c r="A951" s="1240"/>
      <c r="B951" s="1240"/>
      <c r="C951" s="1240"/>
      <c r="D951" s="1240"/>
      <c r="E951" s="1240"/>
      <c r="F951" s="1240"/>
      <c r="G951" s="1240"/>
      <c r="H951" s="1240"/>
      <c r="I951" s="1240"/>
      <c r="J951" s="1240"/>
      <c r="K951" s="1240"/>
      <c r="L951" s="1240"/>
      <c r="M951" s="1240"/>
      <c r="N951" s="1240"/>
      <c r="O951" s="1240"/>
      <c r="P951" s="1247">
        <f t="shared" si="106"/>
        <v>925</v>
      </c>
      <c r="Q951" s="1253" t="e">
        <f t="shared" ca="1" si="105"/>
        <v>#N/A</v>
      </c>
      <c r="R951" s="1247" t="str">
        <f>IFERROR(VLOOKUP(P951,RPCRepaymentDates[],1,FALSE),"")</f>
        <v/>
      </c>
      <c r="S951" s="1259">
        <f t="shared" si="101"/>
        <v>0</v>
      </c>
      <c r="T951" s="1247" t="str">
        <f>IFERROR(VLOOKUP(P951,RPCChargeCycleDates[],1,FALSE),"")</f>
        <v/>
      </c>
      <c r="U951" s="1248" t="str">
        <f>IFERROR(_xlfn.DAYS(T951,$Q$16)-SUM(U$26:U950),"")</f>
        <v/>
      </c>
      <c r="V951" s="1258">
        <f t="shared" ca="1" si="102"/>
        <v>0</v>
      </c>
      <c r="W951" s="1258">
        <f t="shared" ca="1" si="103"/>
        <v>0</v>
      </c>
      <c r="X951" s="1258" t="e">
        <f t="shared" ca="1" si="104"/>
        <v>#N/A</v>
      </c>
      <c r="Y951" s="1240"/>
      <c r="Z951" s="1240"/>
      <c r="AA951" s="1240"/>
      <c r="AB951" s="1240"/>
      <c r="AC951" s="1240"/>
      <c r="AD951" s="1240"/>
      <c r="AE951" s="1240"/>
      <c r="AF951" s="1240"/>
      <c r="AG951" s="1240"/>
      <c r="AH951" s="1240"/>
      <c r="AI951" s="1240"/>
      <c r="AJ951" s="1240"/>
      <c r="AK951" s="1240"/>
      <c r="AL951" s="1240"/>
      <c r="AM951" s="1240"/>
      <c r="AN951" s="1240"/>
      <c r="AO951" s="1240"/>
      <c r="AP951" s="1240"/>
    </row>
    <row r="952" spans="1:42" ht="18.75" customHeight="1" x14ac:dyDescent="0.35">
      <c r="A952" s="1240"/>
      <c r="B952" s="1240"/>
      <c r="C952" s="1240"/>
      <c r="D952" s="1240"/>
      <c r="E952" s="1240"/>
      <c r="F952" s="1240"/>
      <c r="G952" s="1240"/>
      <c r="H952" s="1240"/>
      <c r="I952" s="1240"/>
      <c r="J952" s="1240"/>
      <c r="K952" s="1240"/>
      <c r="L952" s="1240"/>
      <c r="M952" s="1240"/>
      <c r="N952" s="1240"/>
      <c r="O952" s="1240"/>
      <c r="P952" s="1247">
        <f t="shared" si="106"/>
        <v>926</v>
      </c>
      <c r="Q952" s="1253" t="e">
        <f t="shared" ca="1" si="105"/>
        <v>#N/A</v>
      </c>
      <c r="R952" s="1247" t="str">
        <f>IFERROR(VLOOKUP(P952,RPCRepaymentDates[],1,FALSE),"")</f>
        <v/>
      </c>
      <c r="S952" s="1259">
        <f t="shared" si="101"/>
        <v>0</v>
      </c>
      <c r="T952" s="1247" t="str">
        <f>IFERROR(VLOOKUP(P952,RPCChargeCycleDates[],1,FALSE),"")</f>
        <v/>
      </c>
      <c r="U952" s="1248" t="str">
        <f>IFERROR(_xlfn.DAYS(T952,$Q$16)-SUM(U$26:U951),"")</f>
        <v/>
      </c>
      <c r="V952" s="1258">
        <f t="shared" ca="1" si="102"/>
        <v>0</v>
      </c>
      <c r="W952" s="1258">
        <f t="shared" ca="1" si="103"/>
        <v>0</v>
      </c>
      <c r="X952" s="1258" t="e">
        <f t="shared" ca="1" si="104"/>
        <v>#N/A</v>
      </c>
      <c r="Y952" s="1240"/>
      <c r="Z952" s="1240"/>
      <c r="AA952" s="1240"/>
      <c r="AB952" s="1240"/>
      <c r="AC952" s="1240"/>
      <c r="AD952" s="1240"/>
      <c r="AE952" s="1240"/>
      <c r="AF952" s="1240"/>
      <c r="AG952" s="1240"/>
      <c r="AH952" s="1240"/>
      <c r="AI952" s="1240"/>
      <c r="AJ952" s="1240"/>
      <c r="AK952" s="1240"/>
      <c r="AL952" s="1240"/>
      <c r="AM952" s="1240"/>
      <c r="AN952" s="1240"/>
      <c r="AO952" s="1240"/>
      <c r="AP952" s="1240"/>
    </row>
    <row r="953" spans="1:42" ht="18.75" customHeight="1" x14ac:dyDescent="0.35">
      <c r="A953" s="1240"/>
      <c r="B953" s="1240"/>
      <c r="C953" s="1240"/>
      <c r="D953" s="1240"/>
      <c r="E953" s="1240"/>
      <c r="F953" s="1240"/>
      <c r="G953" s="1240"/>
      <c r="H953" s="1240"/>
      <c r="I953" s="1240"/>
      <c r="J953" s="1240"/>
      <c r="K953" s="1240"/>
      <c r="L953" s="1240"/>
      <c r="M953" s="1240"/>
      <c r="N953" s="1240"/>
      <c r="O953" s="1240"/>
      <c r="P953" s="1247">
        <f t="shared" si="106"/>
        <v>927</v>
      </c>
      <c r="Q953" s="1253" t="e">
        <f t="shared" ca="1" si="105"/>
        <v>#N/A</v>
      </c>
      <c r="R953" s="1247" t="str">
        <f>IFERROR(VLOOKUP(P953,RPCRepaymentDates[],1,FALSE),"")</f>
        <v/>
      </c>
      <c r="S953" s="1259">
        <f t="shared" si="101"/>
        <v>0</v>
      </c>
      <c r="T953" s="1247" t="str">
        <f>IFERROR(VLOOKUP(P953,RPCChargeCycleDates[],1,FALSE),"")</f>
        <v/>
      </c>
      <c r="U953" s="1248" t="str">
        <f>IFERROR(_xlfn.DAYS(T953,$Q$16)-SUM(U$26:U952),"")</f>
        <v/>
      </c>
      <c r="V953" s="1258">
        <f t="shared" ca="1" si="102"/>
        <v>0</v>
      </c>
      <c r="W953" s="1258">
        <f t="shared" ca="1" si="103"/>
        <v>0</v>
      </c>
      <c r="X953" s="1258" t="e">
        <f t="shared" ca="1" si="104"/>
        <v>#N/A</v>
      </c>
      <c r="Y953" s="1240"/>
      <c r="Z953" s="1240"/>
      <c r="AA953" s="1240"/>
      <c r="AB953" s="1240"/>
      <c r="AC953" s="1240"/>
      <c r="AD953" s="1240"/>
      <c r="AE953" s="1240"/>
      <c r="AF953" s="1240"/>
      <c r="AG953" s="1240"/>
      <c r="AH953" s="1240"/>
      <c r="AI953" s="1240"/>
      <c r="AJ953" s="1240"/>
      <c r="AK953" s="1240"/>
      <c r="AL953" s="1240"/>
      <c r="AM953" s="1240"/>
      <c r="AN953" s="1240"/>
      <c r="AO953" s="1240"/>
      <c r="AP953" s="1240"/>
    </row>
    <row r="954" spans="1:42" ht="18.75" customHeight="1" x14ac:dyDescent="0.35">
      <c r="A954" s="1240"/>
      <c r="B954" s="1240"/>
      <c r="C954" s="1240"/>
      <c r="D954" s="1240"/>
      <c r="E954" s="1240"/>
      <c r="F954" s="1240"/>
      <c r="G954" s="1240"/>
      <c r="H954" s="1240"/>
      <c r="I954" s="1240"/>
      <c r="J954" s="1240"/>
      <c r="K954" s="1240"/>
      <c r="L954" s="1240"/>
      <c r="M954" s="1240"/>
      <c r="N954" s="1240"/>
      <c r="O954" s="1240"/>
      <c r="P954" s="1247">
        <f t="shared" si="106"/>
        <v>928</v>
      </c>
      <c r="Q954" s="1253" t="e">
        <f t="shared" ca="1" si="105"/>
        <v>#N/A</v>
      </c>
      <c r="R954" s="1247" t="str">
        <f>IFERROR(VLOOKUP(P954,RPCRepaymentDates[],1,FALSE),"")</f>
        <v/>
      </c>
      <c r="S954" s="1259">
        <f t="shared" si="101"/>
        <v>0</v>
      </c>
      <c r="T954" s="1247" t="str">
        <f>IFERROR(VLOOKUP(P954,RPCChargeCycleDates[],1,FALSE),"")</f>
        <v/>
      </c>
      <c r="U954" s="1248" t="str">
        <f>IFERROR(_xlfn.DAYS(T954,$Q$16)-SUM(U$26:U953),"")</f>
        <v/>
      </c>
      <c r="V954" s="1258">
        <f t="shared" ca="1" si="102"/>
        <v>0</v>
      </c>
      <c r="W954" s="1258">
        <f t="shared" ca="1" si="103"/>
        <v>0</v>
      </c>
      <c r="X954" s="1258" t="e">
        <f t="shared" ca="1" si="104"/>
        <v>#N/A</v>
      </c>
      <c r="Y954" s="1240"/>
      <c r="Z954" s="1240"/>
      <c r="AA954" s="1240"/>
      <c r="AB954" s="1240"/>
      <c r="AC954" s="1240"/>
      <c r="AD954" s="1240"/>
      <c r="AE954" s="1240"/>
      <c r="AF954" s="1240"/>
      <c r="AG954" s="1240"/>
      <c r="AH954" s="1240"/>
      <c r="AI954" s="1240"/>
      <c r="AJ954" s="1240"/>
      <c r="AK954" s="1240"/>
      <c r="AL954" s="1240"/>
      <c r="AM954" s="1240"/>
      <c r="AN954" s="1240"/>
      <c r="AO954" s="1240"/>
      <c r="AP954" s="1240"/>
    </row>
    <row r="955" spans="1:42" ht="18.75" customHeight="1" x14ac:dyDescent="0.35">
      <c r="A955" s="1240"/>
      <c r="B955" s="1240"/>
      <c r="C955" s="1240"/>
      <c r="D955" s="1240"/>
      <c r="E955" s="1240"/>
      <c r="F955" s="1240"/>
      <c r="G955" s="1240"/>
      <c r="H955" s="1240"/>
      <c r="I955" s="1240"/>
      <c r="J955" s="1240"/>
      <c r="K955" s="1240"/>
      <c r="L955" s="1240"/>
      <c r="M955" s="1240"/>
      <c r="N955" s="1240"/>
      <c r="O955" s="1240"/>
      <c r="P955" s="1247">
        <f t="shared" si="106"/>
        <v>929</v>
      </c>
      <c r="Q955" s="1253" t="e">
        <f t="shared" ca="1" si="105"/>
        <v>#N/A</v>
      </c>
      <c r="R955" s="1247" t="str">
        <f>IFERROR(VLOOKUP(P955,RPCRepaymentDates[],1,FALSE),"")</f>
        <v/>
      </c>
      <c r="S955" s="1259">
        <f t="shared" si="101"/>
        <v>0</v>
      </c>
      <c r="T955" s="1247" t="str">
        <f>IFERROR(VLOOKUP(P955,RPCChargeCycleDates[],1,FALSE),"")</f>
        <v/>
      </c>
      <c r="U955" s="1248" t="str">
        <f>IFERROR(_xlfn.DAYS(T955,$Q$16)-SUM(U$26:U954),"")</f>
        <v/>
      </c>
      <c r="V955" s="1258">
        <f t="shared" ca="1" si="102"/>
        <v>0</v>
      </c>
      <c r="W955" s="1258">
        <f t="shared" ca="1" si="103"/>
        <v>0</v>
      </c>
      <c r="X955" s="1258" t="e">
        <f t="shared" ca="1" si="104"/>
        <v>#N/A</v>
      </c>
      <c r="Y955" s="1240"/>
      <c r="Z955" s="1240"/>
      <c r="AA955" s="1240"/>
      <c r="AB955" s="1240"/>
      <c r="AC955" s="1240"/>
      <c r="AD955" s="1240"/>
      <c r="AE955" s="1240"/>
      <c r="AF955" s="1240"/>
      <c r="AG955" s="1240"/>
      <c r="AH955" s="1240"/>
      <c r="AI955" s="1240"/>
      <c r="AJ955" s="1240"/>
      <c r="AK955" s="1240"/>
      <c r="AL955" s="1240"/>
      <c r="AM955" s="1240"/>
      <c r="AN955" s="1240"/>
      <c r="AO955" s="1240"/>
      <c r="AP955" s="1240"/>
    </row>
    <row r="956" spans="1:42" ht="18.75" customHeight="1" x14ac:dyDescent="0.35">
      <c r="A956" s="1240"/>
      <c r="B956" s="1240"/>
      <c r="C956" s="1240"/>
      <c r="D956" s="1240"/>
      <c r="E956" s="1240"/>
      <c r="F956" s="1240"/>
      <c r="G956" s="1240"/>
      <c r="H956" s="1240"/>
      <c r="I956" s="1240"/>
      <c r="J956" s="1240"/>
      <c r="K956" s="1240"/>
      <c r="L956" s="1240"/>
      <c r="M956" s="1240"/>
      <c r="N956" s="1240"/>
      <c r="O956" s="1240"/>
      <c r="P956" s="1247">
        <f t="shared" si="106"/>
        <v>930</v>
      </c>
      <c r="Q956" s="1253" t="e">
        <f t="shared" ca="1" si="105"/>
        <v>#N/A</v>
      </c>
      <c r="R956" s="1247" t="str">
        <f>IFERROR(VLOOKUP(P956,RPCRepaymentDates[],1,FALSE),"")</f>
        <v/>
      </c>
      <c r="S956" s="1259">
        <f t="shared" si="101"/>
        <v>0</v>
      </c>
      <c r="T956" s="1247" t="str">
        <f>IFERROR(VLOOKUP(P956,RPCChargeCycleDates[],1,FALSE),"")</f>
        <v/>
      </c>
      <c r="U956" s="1248" t="str">
        <f>IFERROR(_xlfn.DAYS(T956,$Q$16)-SUM(U$26:U955),"")</f>
        <v/>
      </c>
      <c r="V956" s="1258">
        <f t="shared" ca="1" si="102"/>
        <v>0</v>
      </c>
      <c r="W956" s="1258">
        <f t="shared" ca="1" si="103"/>
        <v>0</v>
      </c>
      <c r="X956" s="1258" t="e">
        <f t="shared" ca="1" si="104"/>
        <v>#N/A</v>
      </c>
      <c r="Y956" s="1240"/>
      <c r="Z956" s="1240"/>
      <c r="AA956" s="1240"/>
      <c r="AB956" s="1240"/>
      <c r="AC956" s="1240"/>
      <c r="AD956" s="1240"/>
      <c r="AE956" s="1240"/>
      <c r="AF956" s="1240"/>
      <c r="AG956" s="1240"/>
      <c r="AH956" s="1240"/>
      <c r="AI956" s="1240"/>
      <c r="AJ956" s="1240"/>
      <c r="AK956" s="1240"/>
      <c r="AL956" s="1240"/>
      <c r="AM956" s="1240"/>
      <c r="AN956" s="1240"/>
      <c r="AO956" s="1240"/>
      <c r="AP956" s="1240"/>
    </row>
    <row r="957" spans="1:42" ht="18.75" customHeight="1" x14ac:dyDescent="0.35">
      <c r="A957" s="1240"/>
      <c r="B957" s="1240"/>
      <c r="C957" s="1240"/>
      <c r="D957" s="1240"/>
      <c r="E957" s="1240"/>
      <c r="F957" s="1240"/>
      <c r="G957" s="1240"/>
      <c r="H957" s="1240"/>
      <c r="I957" s="1240"/>
      <c r="J957" s="1240"/>
      <c r="K957" s="1240"/>
      <c r="L957" s="1240"/>
      <c r="M957" s="1240"/>
      <c r="N957" s="1240"/>
      <c r="O957" s="1240"/>
      <c r="P957" s="1247">
        <f t="shared" si="106"/>
        <v>931</v>
      </c>
      <c r="Q957" s="1253" t="e">
        <f t="shared" ca="1" si="105"/>
        <v>#N/A</v>
      </c>
      <c r="R957" s="1247" t="str">
        <f>IFERROR(VLOOKUP(P957,RPCRepaymentDates[],1,FALSE),"")</f>
        <v/>
      </c>
      <c r="S957" s="1259">
        <f t="shared" si="101"/>
        <v>0</v>
      </c>
      <c r="T957" s="1247" t="str">
        <f>IFERROR(VLOOKUP(P957,RPCChargeCycleDates[],1,FALSE),"")</f>
        <v/>
      </c>
      <c r="U957" s="1248" t="str">
        <f>IFERROR(_xlfn.DAYS(T957,$Q$16)-SUM(U$26:U956),"")</f>
        <v/>
      </c>
      <c r="V957" s="1258">
        <f t="shared" ca="1" si="102"/>
        <v>0</v>
      </c>
      <c r="W957" s="1258">
        <f t="shared" ca="1" si="103"/>
        <v>0</v>
      </c>
      <c r="X957" s="1258" t="e">
        <f t="shared" ca="1" si="104"/>
        <v>#N/A</v>
      </c>
      <c r="Y957" s="1240"/>
      <c r="Z957" s="1240"/>
      <c r="AA957" s="1240"/>
      <c r="AB957" s="1240"/>
      <c r="AC957" s="1240"/>
      <c r="AD957" s="1240"/>
      <c r="AE957" s="1240"/>
      <c r="AF957" s="1240"/>
      <c r="AG957" s="1240"/>
      <c r="AH957" s="1240"/>
      <c r="AI957" s="1240"/>
      <c r="AJ957" s="1240"/>
      <c r="AK957" s="1240"/>
      <c r="AL957" s="1240"/>
      <c r="AM957" s="1240"/>
      <c r="AN957" s="1240"/>
      <c r="AO957" s="1240"/>
      <c r="AP957" s="1240"/>
    </row>
    <row r="958" spans="1:42" ht="18.75" customHeight="1" x14ac:dyDescent="0.35">
      <c r="A958" s="1240"/>
      <c r="B958" s="1240"/>
      <c r="C958" s="1240"/>
      <c r="D958" s="1240"/>
      <c r="E958" s="1240"/>
      <c r="F958" s="1240"/>
      <c r="G958" s="1240"/>
      <c r="H958" s="1240"/>
      <c r="I958" s="1240"/>
      <c r="J958" s="1240"/>
      <c r="K958" s="1240"/>
      <c r="L958" s="1240"/>
      <c r="M958" s="1240"/>
      <c r="N958" s="1240"/>
      <c r="O958" s="1240"/>
      <c r="P958" s="1247">
        <f t="shared" si="106"/>
        <v>932</v>
      </c>
      <c r="Q958" s="1253" t="e">
        <f t="shared" ca="1" si="105"/>
        <v>#N/A</v>
      </c>
      <c r="R958" s="1247" t="str">
        <f>IFERROR(VLOOKUP(P958,RPCRepaymentDates[],1,FALSE),"")</f>
        <v/>
      </c>
      <c r="S958" s="1259">
        <f t="shared" si="101"/>
        <v>0</v>
      </c>
      <c r="T958" s="1247" t="str">
        <f>IFERROR(VLOOKUP(P958,RPCChargeCycleDates[],1,FALSE),"")</f>
        <v/>
      </c>
      <c r="U958" s="1248" t="str">
        <f>IFERROR(_xlfn.DAYS(T958,$Q$16)-SUM(U$26:U957),"")</f>
        <v/>
      </c>
      <c r="V958" s="1258">
        <f t="shared" ca="1" si="102"/>
        <v>0</v>
      </c>
      <c r="W958" s="1258">
        <f t="shared" ca="1" si="103"/>
        <v>0</v>
      </c>
      <c r="X958" s="1258" t="e">
        <f t="shared" ca="1" si="104"/>
        <v>#N/A</v>
      </c>
      <c r="Y958" s="1240"/>
      <c r="Z958" s="1240"/>
      <c r="AA958" s="1240"/>
      <c r="AB958" s="1240"/>
      <c r="AC958" s="1240"/>
      <c r="AD958" s="1240"/>
      <c r="AE958" s="1240"/>
      <c r="AF958" s="1240"/>
      <c r="AG958" s="1240"/>
      <c r="AH958" s="1240"/>
      <c r="AI958" s="1240"/>
      <c r="AJ958" s="1240"/>
      <c r="AK958" s="1240"/>
      <c r="AL958" s="1240"/>
      <c r="AM958" s="1240"/>
      <c r="AN958" s="1240"/>
      <c r="AO958" s="1240"/>
      <c r="AP958" s="1240"/>
    </row>
    <row r="959" spans="1:42" ht="18.75" customHeight="1" x14ac:dyDescent="0.35">
      <c r="A959" s="1240"/>
      <c r="B959" s="1240"/>
      <c r="C959" s="1240"/>
      <c r="D959" s="1240"/>
      <c r="E959" s="1240"/>
      <c r="F959" s="1240"/>
      <c r="G959" s="1240"/>
      <c r="H959" s="1240"/>
      <c r="I959" s="1240"/>
      <c r="J959" s="1240"/>
      <c r="K959" s="1240"/>
      <c r="L959" s="1240"/>
      <c r="M959" s="1240"/>
      <c r="N959" s="1240"/>
      <c r="O959" s="1240"/>
      <c r="P959" s="1247">
        <f t="shared" si="106"/>
        <v>933</v>
      </c>
      <c r="Q959" s="1253" t="e">
        <f t="shared" ca="1" si="105"/>
        <v>#N/A</v>
      </c>
      <c r="R959" s="1247" t="str">
        <f>IFERROR(VLOOKUP(P959,RPCRepaymentDates[],1,FALSE),"")</f>
        <v/>
      </c>
      <c r="S959" s="1259">
        <f t="shared" si="101"/>
        <v>0</v>
      </c>
      <c r="T959" s="1247" t="str">
        <f>IFERROR(VLOOKUP(P959,RPCChargeCycleDates[],1,FALSE),"")</f>
        <v/>
      </c>
      <c r="U959" s="1248" t="str">
        <f>IFERROR(_xlfn.DAYS(T959,$Q$16)-SUM(U$26:U958),"")</f>
        <v/>
      </c>
      <c r="V959" s="1258">
        <f t="shared" ca="1" si="102"/>
        <v>0</v>
      </c>
      <c r="W959" s="1258">
        <f t="shared" ca="1" si="103"/>
        <v>0</v>
      </c>
      <c r="X959" s="1258" t="e">
        <f t="shared" ca="1" si="104"/>
        <v>#N/A</v>
      </c>
      <c r="Y959" s="1240"/>
      <c r="Z959" s="1240"/>
      <c r="AA959" s="1240"/>
      <c r="AB959" s="1240"/>
      <c r="AC959" s="1240"/>
      <c r="AD959" s="1240"/>
      <c r="AE959" s="1240"/>
      <c r="AF959" s="1240"/>
      <c r="AG959" s="1240"/>
      <c r="AH959" s="1240"/>
      <c r="AI959" s="1240"/>
      <c r="AJ959" s="1240"/>
      <c r="AK959" s="1240"/>
      <c r="AL959" s="1240"/>
      <c r="AM959" s="1240"/>
      <c r="AN959" s="1240"/>
      <c r="AO959" s="1240"/>
      <c r="AP959" s="1240"/>
    </row>
    <row r="960" spans="1:42" ht="18.75" customHeight="1" x14ac:dyDescent="0.35">
      <c r="A960" s="1240"/>
      <c r="B960" s="1240"/>
      <c r="C960" s="1240"/>
      <c r="D960" s="1240"/>
      <c r="E960" s="1240"/>
      <c r="F960" s="1240"/>
      <c r="G960" s="1240"/>
      <c r="H960" s="1240"/>
      <c r="I960" s="1240"/>
      <c r="J960" s="1240"/>
      <c r="K960" s="1240"/>
      <c r="L960" s="1240"/>
      <c r="M960" s="1240"/>
      <c r="N960" s="1240"/>
      <c r="O960" s="1240"/>
      <c r="P960" s="1247">
        <f t="shared" si="106"/>
        <v>934</v>
      </c>
      <c r="Q960" s="1253" t="e">
        <f t="shared" ca="1" si="105"/>
        <v>#N/A</v>
      </c>
      <c r="R960" s="1247" t="str">
        <f>IFERROR(VLOOKUP(P960,RPCRepaymentDates[],1,FALSE),"")</f>
        <v/>
      </c>
      <c r="S960" s="1259">
        <f t="shared" si="101"/>
        <v>0</v>
      </c>
      <c r="T960" s="1247" t="str">
        <f>IFERROR(VLOOKUP(P960,RPCChargeCycleDates[],1,FALSE),"")</f>
        <v/>
      </c>
      <c r="U960" s="1248" t="str">
        <f>IFERROR(_xlfn.DAYS(T960,$Q$16)-SUM(U$26:U959),"")</f>
        <v/>
      </c>
      <c r="V960" s="1258">
        <f t="shared" ca="1" si="102"/>
        <v>0</v>
      </c>
      <c r="W960" s="1258">
        <f t="shared" ca="1" si="103"/>
        <v>0</v>
      </c>
      <c r="X960" s="1258" t="e">
        <f t="shared" ca="1" si="104"/>
        <v>#N/A</v>
      </c>
      <c r="Y960" s="1240"/>
      <c r="Z960" s="1240"/>
      <c r="AA960" s="1240"/>
      <c r="AB960" s="1240"/>
      <c r="AC960" s="1240"/>
      <c r="AD960" s="1240"/>
      <c r="AE960" s="1240"/>
      <c r="AF960" s="1240"/>
      <c r="AG960" s="1240"/>
      <c r="AH960" s="1240"/>
      <c r="AI960" s="1240"/>
      <c r="AJ960" s="1240"/>
      <c r="AK960" s="1240"/>
      <c r="AL960" s="1240"/>
      <c r="AM960" s="1240"/>
      <c r="AN960" s="1240"/>
      <c r="AO960" s="1240"/>
      <c r="AP960" s="1240"/>
    </row>
    <row r="961" spans="1:42" ht="18.75" customHeight="1" x14ac:dyDescent="0.35">
      <c r="A961" s="1240"/>
      <c r="B961" s="1240"/>
      <c r="C961" s="1240"/>
      <c r="D961" s="1240"/>
      <c r="E961" s="1240"/>
      <c r="F961" s="1240"/>
      <c r="G961" s="1240"/>
      <c r="H961" s="1240"/>
      <c r="I961" s="1240"/>
      <c r="J961" s="1240"/>
      <c r="K961" s="1240"/>
      <c r="L961" s="1240"/>
      <c r="M961" s="1240"/>
      <c r="N961" s="1240"/>
      <c r="O961" s="1240"/>
      <c r="P961" s="1247">
        <f t="shared" si="106"/>
        <v>935</v>
      </c>
      <c r="Q961" s="1253" t="e">
        <f t="shared" ca="1" si="105"/>
        <v>#N/A</v>
      </c>
      <c r="R961" s="1247" t="str">
        <f>IFERROR(VLOOKUP(P961,RPCRepaymentDates[],1,FALSE),"")</f>
        <v/>
      </c>
      <c r="S961" s="1259">
        <f t="shared" si="101"/>
        <v>0</v>
      </c>
      <c r="T961" s="1247" t="str">
        <f>IFERROR(VLOOKUP(P961,RPCChargeCycleDates[],1,FALSE),"")</f>
        <v/>
      </c>
      <c r="U961" s="1248" t="str">
        <f>IFERROR(_xlfn.DAYS(T961,$Q$16)-SUM(U$26:U960),"")</f>
        <v/>
      </c>
      <c r="V961" s="1258">
        <f t="shared" ca="1" si="102"/>
        <v>0</v>
      </c>
      <c r="W961" s="1258">
        <f t="shared" ca="1" si="103"/>
        <v>0</v>
      </c>
      <c r="X961" s="1258" t="e">
        <f t="shared" ca="1" si="104"/>
        <v>#N/A</v>
      </c>
      <c r="Y961" s="1240"/>
      <c r="Z961" s="1240"/>
      <c r="AA961" s="1240"/>
      <c r="AB961" s="1240"/>
      <c r="AC961" s="1240"/>
      <c r="AD961" s="1240"/>
      <c r="AE961" s="1240"/>
      <c r="AF961" s="1240"/>
      <c r="AG961" s="1240"/>
      <c r="AH961" s="1240"/>
      <c r="AI961" s="1240"/>
      <c r="AJ961" s="1240"/>
      <c r="AK961" s="1240"/>
      <c r="AL961" s="1240"/>
      <c r="AM961" s="1240"/>
      <c r="AN961" s="1240"/>
      <c r="AO961" s="1240"/>
      <c r="AP961" s="1240"/>
    </row>
    <row r="962" spans="1:42" ht="18.75" customHeight="1" x14ac:dyDescent="0.35">
      <c r="A962" s="1240"/>
      <c r="B962" s="1240"/>
      <c r="C962" s="1240"/>
      <c r="D962" s="1240"/>
      <c r="E962" s="1240"/>
      <c r="F962" s="1240"/>
      <c r="G962" s="1240"/>
      <c r="H962" s="1240"/>
      <c r="I962" s="1240"/>
      <c r="J962" s="1240"/>
      <c r="K962" s="1240"/>
      <c r="L962" s="1240"/>
      <c r="M962" s="1240"/>
      <c r="N962" s="1240"/>
      <c r="O962" s="1240"/>
      <c r="P962" s="1247">
        <f t="shared" si="106"/>
        <v>936</v>
      </c>
      <c r="Q962" s="1253" t="e">
        <f t="shared" ca="1" si="105"/>
        <v>#N/A</v>
      </c>
      <c r="R962" s="1247" t="str">
        <f>IFERROR(VLOOKUP(P962,RPCRepaymentDates[],1,FALSE),"")</f>
        <v/>
      </c>
      <c r="S962" s="1259">
        <f t="shared" si="101"/>
        <v>0</v>
      </c>
      <c r="T962" s="1247" t="str">
        <f>IFERROR(VLOOKUP(P962,RPCChargeCycleDates[],1,FALSE),"")</f>
        <v/>
      </c>
      <c r="U962" s="1248" t="str">
        <f>IFERROR(_xlfn.DAYS(T962,$Q$16)-SUM(U$26:U961),"")</f>
        <v/>
      </c>
      <c r="V962" s="1258">
        <f t="shared" ca="1" si="102"/>
        <v>0</v>
      </c>
      <c r="W962" s="1258">
        <f t="shared" ca="1" si="103"/>
        <v>0</v>
      </c>
      <c r="X962" s="1258" t="e">
        <f t="shared" ca="1" si="104"/>
        <v>#N/A</v>
      </c>
      <c r="Y962" s="1240"/>
      <c r="Z962" s="1240"/>
      <c r="AA962" s="1240"/>
      <c r="AB962" s="1240"/>
      <c r="AC962" s="1240"/>
      <c r="AD962" s="1240"/>
      <c r="AE962" s="1240"/>
      <c r="AF962" s="1240"/>
      <c r="AG962" s="1240"/>
      <c r="AH962" s="1240"/>
      <c r="AI962" s="1240"/>
      <c r="AJ962" s="1240"/>
      <c r="AK962" s="1240"/>
      <c r="AL962" s="1240"/>
      <c r="AM962" s="1240"/>
      <c r="AN962" s="1240"/>
      <c r="AO962" s="1240"/>
      <c r="AP962" s="1240"/>
    </row>
    <row r="963" spans="1:42" ht="18.75" customHeight="1" x14ac:dyDescent="0.35">
      <c r="A963" s="1240"/>
      <c r="B963" s="1240"/>
      <c r="C963" s="1240"/>
      <c r="D963" s="1240"/>
      <c r="E963" s="1240"/>
      <c r="F963" s="1240"/>
      <c r="G963" s="1240"/>
      <c r="H963" s="1240"/>
      <c r="I963" s="1240"/>
      <c r="J963" s="1240"/>
      <c r="K963" s="1240"/>
      <c r="L963" s="1240"/>
      <c r="M963" s="1240"/>
      <c r="N963" s="1240"/>
      <c r="O963" s="1240"/>
      <c r="P963" s="1247">
        <f t="shared" si="106"/>
        <v>937</v>
      </c>
      <c r="Q963" s="1253" t="e">
        <f t="shared" ca="1" si="105"/>
        <v>#N/A</v>
      </c>
      <c r="R963" s="1247" t="str">
        <f>IFERROR(VLOOKUP(P963,RPCRepaymentDates[],1,FALSE),"")</f>
        <v/>
      </c>
      <c r="S963" s="1259">
        <f t="shared" si="101"/>
        <v>0</v>
      </c>
      <c r="T963" s="1247" t="str">
        <f>IFERROR(VLOOKUP(P963,RPCChargeCycleDates[],1,FALSE),"")</f>
        <v/>
      </c>
      <c r="U963" s="1248" t="str">
        <f>IFERROR(_xlfn.DAYS(T963,$Q$16)-SUM(U$26:U962),"")</f>
        <v/>
      </c>
      <c r="V963" s="1258">
        <f t="shared" ca="1" si="102"/>
        <v>0</v>
      </c>
      <c r="W963" s="1258">
        <f t="shared" ca="1" si="103"/>
        <v>0</v>
      </c>
      <c r="X963" s="1258" t="e">
        <f t="shared" ca="1" si="104"/>
        <v>#N/A</v>
      </c>
      <c r="Y963" s="1240"/>
      <c r="Z963" s="1240"/>
      <c r="AA963" s="1240"/>
      <c r="AB963" s="1240"/>
      <c r="AC963" s="1240"/>
      <c r="AD963" s="1240"/>
      <c r="AE963" s="1240"/>
      <c r="AF963" s="1240"/>
      <c r="AG963" s="1240"/>
      <c r="AH963" s="1240"/>
      <c r="AI963" s="1240"/>
      <c r="AJ963" s="1240"/>
      <c r="AK963" s="1240"/>
      <c r="AL963" s="1240"/>
      <c r="AM963" s="1240"/>
      <c r="AN963" s="1240"/>
      <c r="AO963" s="1240"/>
      <c r="AP963" s="1240"/>
    </row>
    <row r="964" spans="1:42" ht="18.75" customHeight="1" x14ac:dyDescent="0.35">
      <c r="A964" s="1240"/>
      <c r="B964" s="1240"/>
      <c r="C964" s="1240"/>
      <c r="D964" s="1240"/>
      <c r="E964" s="1240"/>
      <c r="F964" s="1240"/>
      <c r="G964" s="1240"/>
      <c r="H964" s="1240"/>
      <c r="I964" s="1240"/>
      <c r="J964" s="1240"/>
      <c r="K964" s="1240"/>
      <c r="L964" s="1240"/>
      <c r="M964" s="1240"/>
      <c r="N964" s="1240"/>
      <c r="O964" s="1240"/>
      <c r="P964" s="1247">
        <f t="shared" si="106"/>
        <v>938</v>
      </c>
      <c r="Q964" s="1253" t="e">
        <f t="shared" ca="1" si="105"/>
        <v>#N/A</v>
      </c>
      <c r="R964" s="1247" t="str">
        <f>IFERROR(VLOOKUP(P964,RPCRepaymentDates[],1,FALSE),"")</f>
        <v/>
      </c>
      <c r="S964" s="1259">
        <f t="shared" si="101"/>
        <v>0</v>
      </c>
      <c r="T964" s="1247" t="str">
        <f>IFERROR(VLOOKUP(P964,RPCChargeCycleDates[],1,FALSE),"")</f>
        <v/>
      </c>
      <c r="U964" s="1248" t="str">
        <f>IFERROR(_xlfn.DAYS(T964,$Q$16)-SUM(U$26:U963),"")</f>
        <v/>
      </c>
      <c r="V964" s="1258">
        <f t="shared" ca="1" si="102"/>
        <v>0</v>
      </c>
      <c r="W964" s="1258">
        <f t="shared" ca="1" si="103"/>
        <v>0</v>
      </c>
      <c r="X964" s="1258" t="e">
        <f t="shared" ca="1" si="104"/>
        <v>#N/A</v>
      </c>
      <c r="Y964" s="1240"/>
      <c r="Z964" s="1240"/>
      <c r="AA964" s="1240"/>
      <c r="AB964" s="1240"/>
      <c r="AC964" s="1240"/>
      <c r="AD964" s="1240"/>
      <c r="AE964" s="1240"/>
      <c r="AF964" s="1240"/>
      <c r="AG964" s="1240"/>
      <c r="AH964" s="1240"/>
      <c r="AI964" s="1240"/>
      <c r="AJ964" s="1240"/>
      <c r="AK964" s="1240"/>
      <c r="AL964" s="1240"/>
      <c r="AM964" s="1240"/>
      <c r="AN964" s="1240"/>
      <c r="AO964" s="1240"/>
      <c r="AP964" s="1240"/>
    </row>
    <row r="965" spans="1:42" ht="18.75" customHeight="1" x14ac:dyDescent="0.35">
      <c r="A965" s="1240"/>
      <c r="B965" s="1240"/>
      <c r="C965" s="1240"/>
      <c r="D965" s="1240"/>
      <c r="E965" s="1240"/>
      <c r="F965" s="1240"/>
      <c r="G965" s="1240"/>
      <c r="H965" s="1240"/>
      <c r="I965" s="1240"/>
      <c r="J965" s="1240"/>
      <c r="K965" s="1240"/>
      <c r="L965" s="1240"/>
      <c r="M965" s="1240"/>
      <c r="N965" s="1240"/>
      <c r="O965" s="1240"/>
      <c r="P965" s="1247">
        <f t="shared" si="106"/>
        <v>939</v>
      </c>
      <c r="Q965" s="1253" t="e">
        <f t="shared" ca="1" si="105"/>
        <v>#N/A</v>
      </c>
      <c r="R965" s="1247" t="str">
        <f>IFERROR(VLOOKUP(P965,RPCRepaymentDates[],1,FALSE),"")</f>
        <v/>
      </c>
      <c r="S965" s="1259">
        <f t="shared" si="101"/>
        <v>0</v>
      </c>
      <c r="T965" s="1247" t="str">
        <f>IFERROR(VLOOKUP(P965,RPCChargeCycleDates[],1,FALSE),"")</f>
        <v/>
      </c>
      <c r="U965" s="1248" t="str">
        <f>IFERROR(_xlfn.DAYS(T965,$Q$16)-SUM(U$26:U964),"")</f>
        <v/>
      </c>
      <c r="V965" s="1258">
        <f t="shared" ca="1" si="102"/>
        <v>0</v>
      </c>
      <c r="W965" s="1258">
        <f t="shared" ca="1" si="103"/>
        <v>0</v>
      </c>
      <c r="X965" s="1258" t="e">
        <f t="shared" ca="1" si="104"/>
        <v>#N/A</v>
      </c>
      <c r="Y965" s="1240"/>
      <c r="Z965" s="1240"/>
      <c r="AA965" s="1240"/>
      <c r="AB965" s="1240"/>
      <c r="AC965" s="1240"/>
      <c r="AD965" s="1240"/>
      <c r="AE965" s="1240"/>
      <c r="AF965" s="1240"/>
      <c r="AG965" s="1240"/>
      <c r="AH965" s="1240"/>
      <c r="AI965" s="1240"/>
      <c r="AJ965" s="1240"/>
      <c r="AK965" s="1240"/>
      <c r="AL965" s="1240"/>
      <c r="AM965" s="1240"/>
      <c r="AN965" s="1240"/>
      <c r="AO965" s="1240"/>
      <c r="AP965" s="1240"/>
    </row>
    <row r="966" spans="1:42" ht="18.75" customHeight="1" x14ac:dyDescent="0.35">
      <c r="A966" s="1240"/>
      <c r="B966" s="1240"/>
      <c r="C966" s="1240"/>
      <c r="D966" s="1240"/>
      <c r="E966" s="1240"/>
      <c r="F966" s="1240"/>
      <c r="G966" s="1240"/>
      <c r="H966" s="1240"/>
      <c r="I966" s="1240"/>
      <c r="J966" s="1240"/>
      <c r="K966" s="1240"/>
      <c r="L966" s="1240"/>
      <c r="M966" s="1240"/>
      <c r="N966" s="1240"/>
      <c r="O966" s="1240"/>
      <c r="P966" s="1247">
        <f t="shared" si="106"/>
        <v>940</v>
      </c>
      <c r="Q966" s="1253" t="e">
        <f t="shared" ca="1" si="105"/>
        <v>#N/A</v>
      </c>
      <c r="R966" s="1247" t="str">
        <f>IFERROR(VLOOKUP(P966,RPCRepaymentDates[],1,FALSE),"")</f>
        <v/>
      </c>
      <c r="S966" s="1259">
        <f t="shared" si="101"/>
        <v>0</v>
      </c>
      <c r="T966" s="1247">
        <f>IFERROR(VLOOKUP(P966,RPCChargeCycleDates[],1,FALSE),"")</f>
        <v>940</v>
      </c>
      <c r="U966" s="1248">
        <f>IFERROR(_xlfn.DAYS(T966,$Q$16)-SUM(U$26:U965),"")</f>
        <v>30</v>
      </c>
      <c r="V966" s="1258">
        <f t="shared" ca="1" si="102"/>
        <v>0</v>
      </c>
      <c r="W966" s="1258">
        <f t="shared" ca="1" si="103"/>
        <v>0</v>
      </c>
      <c r="X966" s="1258" t="e">
        <f t="shared" ca="1" si="104"/>
        <v>#N/A</v>
      </c>
      <c r="Y966" s="1240"/>
      <c r="Z966" s="1240"/>
      <c r="AA966" s="1240"/>
      <c r="AB966" s="1240"/>
      <c r="AC966" s="1240"/>
      <c r="AD966" s="1240"/>
      <c r="AE966" s="1240"/>
      <c r="AF966" s="1240"/>
      <c r="AG966" s="1240"/>
      <c r="AH966" s="1240"/>
      <c r="AI966" s="1240"/>
      <c r="AJ966" s="1240"/>
      <c r="AK966" s="1240"/>
      <c r="AL966" s="1240"/>
      <c r="AM966" s="1240"/>
      <c r="AN966" s="1240"/>
      <c r="AO966" s="1240"/>
      <c r="AP966" s="1240"/>
    </row>
    <row r="967" spans="1:42" ht="18.75" customHeight="1" x14ac:dyDescent="0.35">
      <c r="A967" s="1240"/>
      <c r="B967" s="1240"/>
      <c r="C967" s="1240"/>
      <c r="D967" s="1240"/>
      <c r="E967" s="1240"/>
      <c r="F967" s="1240"/>
      <c r="G967" s="1240"/>
      <c r="H967" s="1240"/>
      <c r="I967" s="1240"/>
      <c r="J967" s="1240"/>
      <c r="K967" s="1240"/>
      <c r="L967" s="1240"/>
      <c r="M967" s="1240"/>
      <c r="N967" s="1240"/>
      <c r="O967" s="1240"/>
      <c r="P967" s="1247">
        <f t="shared" si="106"/>
        <v>941</v>
      </c>
      <c r="Q967" s="1253" t="e">
        <f t="shared" ca="1" si="105"/>
        <v>#N/A</v>
      </c>
      <c r="R967" s="1247" t="str">
        <f>IFERROR(VLOOKUP(P967,RPCRepaymentDates[],1,FALSE),"")</f>
        <v/>
      </c>
      <c r="S967" s="1259">
        <f t="shared" si="101"/>
        <v>0</v>
      </c>
      <c r="T967" s="1247" t="str">
        <f>IFERROR(VLOOKUP(P967,RPCChargeCycleDates[],1,FALSE),"")</f>
        <v/>
      </c>
      <c r="U967" s="1248" t="str">
        <f>IFERROR(_xlfn.DAYS(T967,$Q$16)-SUM(U$26:U966),"")</f>
        <v/>
      </c>
      <c r="V967" s="1258">
        <f t="shared" ca="1" si="102"/>
        <v>0</v>
      </c>
      <c r="W967" s="1258">
        <f t="shared" ca="1" si="103"/>
        <v>0</v>
      </c>
      <c r="X967" s="1258" t="e">
        <f t="shared" ca="1" si="104"/>
        <v>#N/A</v>
      </c>
      <c r="Y967" s="1240"/>
      <c r="Z967" s="1240"/>
      <c r="AA967" s="1240"/>
      <c r="AB967" s="1240"/>
      <c r="AC967" s="1240"/>
      <c r="AD967" s="1240"/>
      <c r="AE967" s="1240"/>
      <c r="AF967" s="1240"/>
      <c r="AG967" s="1240"/>
      <c r="AH967" s="1240"/>
      <c r="AI967" s="1240"/>
      <c r="AJ967" s="1240"/>
      <c r="AK967" s="1240"/>
      <c r="AL967" s="1240"/>
      <c r="AM967" s="1240"/>
      <c r="AN967" s="1240"/>
      <c r="AO967" s="1240"/>
      <c r="AP967" s="1240"/>
    </row>
    <row r="968" spans="1:42" ht="18.75" customHeight="1" x14ac:dyDescent="0.35">
      <c r="A968" s="1240"/>
      <c r="B968" s="1240"/>
      <c r="C968" s="1240"/>
      <c r="D968" s="1240"/>
      <c r="E968" s="1240"/>
      <c r="F968" s="1240"/>
      <c r="G968" s="1240"/>
      <c r="H968" s="1240"/>
      <c r="I968" s="1240"/>
      <c r="J968" s="1240"/>
      <c r="K968" s="1240"/>
      <c r="L968" s="1240"/>
      <c r="M968" s="1240"/>
      <c r="N968" s="1240"/>
      <c r="O968" s="1240"/>
      <c r="P968" s="1247">
        <f t="shared" si="106"/>
        <v>942</v>
      </c>
      <c r="Q968" s="1253" t="e">
        <f t="shared" ca="1" si="105"/>
        <v>#N/A</v>
      </c>
      <c r="R968" s="1247" t="str">
        <f>IFERROR(VLOOKUP(P968,RPCRepaymentDates[],1,FALSE),"")</f>
        <v/>
      </c>
      <c r="S968" s="1259">
        <f t="shared" si="101"/>
        <v>0</v>
      </c>
      <c r="T968" s="1247" t="str">
        <f>IFERROR(VLOOKUP(P968,RPCChargeCycleDates[],1,FALSE),"")</f>
        <v/>
      </c>
      <c r="U968" s="1248" t="str">
        <f>IFERROR(_xlfn.DAYS(T968,$Q$16)-SUM(U$26:U967),"")</f>
        <v/>
      </c>
      <c r="V968" s="1258">
        <f t="shared" ca="1" si="102"/>
        <v>0</v>
      </c>
      <c r="W968" s="1258">
        <f t="shared" ca="1" si="103"/>
        <v>0</v>
      </c>
      <c r="X968" s="1258" t="e">
        <f t="shared" ca="1" si="104"/>
        <v>#N/A</v>
      </c>
      <c r="Y968" s="1240"/>
      <c r="Z968" s="1240"/>
      <c r="AA968" s="1240"/>
      <c r="AB968" s="1240"/>
      <c r="AC968" s="1240"/>
      <c r="AD968" s="1240"/>
      <c r="AE968" s="1240"/>
      <c r="AF968" s="1240"/>
      <c r="AG968" s="1240"/>
      <c r="AH968" s="1240"/>
      <c r="AI968" s="1240"/>
      <c r="AJ968" s="1240"/>
      <c r="AK968" s="1240"/>
      <c r="AL968" s="1240"/>
      <c r="AM968" s="1240"/>
      <c r="AN968" s="1240"/>
      <c r="AO968" s="1240"/>
      <c r="AP968" s="1240"/>
    </row>
    <row r="969" spans="1:42" ht="18.75" customHeight="1" x14ac:dyDescent="0.35">
      <c r="A969" s="1240"/>
      <c r="B969" s="1240"/>
      <c r="C969" s="1240"/>
      <c r="D969" s="1240"/>
      <c r="E969" s="1240"/>
      <c r="F969" s="1240"/>
      <c r="G969" s="1240"/>
      <c r="H969" s="1240"/>
      <c r="I969" s="1240"/>
      <c r="J969" s="1240"/>
      <c r="K969" s="1240"/>
      <c r="L969" s="1240"/>
      <c r="M969" s="1240"/>
      <c r="N969" s="1240"/>
      <c r="O969" s="1240"/>
      <c r="P969" s="1247">
        <f t="shared" si="106"/>
        <v>943</v>
      </c>
      <c r="Q969" s="1253" t="e">
        <f t="shared" ca="1" si="105"/>
        <v>#N/A</v>
      </c>
      <c r="R969" s="1247" t="str">
        <f>IFERROR(VLOOKUP(P969,RPCRepaymentDates[],1,FALSE),"")</f>
        <v/>
      </c>
      <c r="S969" s="1259">
        <f t="shared" si="101"/>
        <v>0</v>
      </c>
      <c r="T969" s="1247" t="str">
        <f>IFERROR(VLOOKUP(P969,RPCChargeCycleDates[],1,FALSE),"")</f>
        <v/>
      </c>
      <c r="U969" s="1248" t="str">
        <f>IFERROR(_xlfn.DAYS(T969,$Q$16)-SUM(U$26:U968),"")</f>
        <v/>
      </c>
      <c r="V969" s="1258">
        <f t="shared" ca="1" si="102"/>
        <v>0</v>
      </c>
      <c r="W969" s="1258">
        <f t="shared" ca="1" si="103"/>
        <v>0</v>
      </c>
      <c r="X969" s="1258" t="e">
        <f t="shared" ca="1" si="104"/>
        <v>#N/A</v>
      </c>
      <c r="Y969" s="1240"/>
      <c r="Z969" s="1240"/>
      <c r="AA969" s="1240"/>
      <c r="AB969" s="1240"/>
      <c r="AC969" s="1240"/>
      <c r="AD969" s="1240"/>
      <c r="AE969" s="1240"/>
      <c r="AF969" s="1240"/>
      <c r="AG969" s="1240"/>
      <c r="AH969" s="1240"/>
      <c r="AI969" s="1240"/>
      <c r="AJ969" s="1240"/>
      <c r="AK969" s="1240"/>
      <c r="AL969" s="1240"/>
      <c r="AM969" s="1240"/>
      <c r="AN969" s="1240"/>
      <c r="AO969" s="1240"/>
      <c r="AP969" s="1240"/>
    </row>
    <row r="970" spans="1:42" ht="18.75" customHeight="1" x14ac:dyDescent="0.35">
      <c r="A970" s="1240"/>
      <c r="B970" s="1240"/>
      <c r="C970" s="1240"/>
      <c r="D970" s="1240"/>
      <c r="E970" s="1240"/>
      <c r="F970" s="1240"/>
      <c r="G970" s="1240"/>
      <c r="H970" s="1240"/>
      <c r="I970" s="1240"/>
      <c r="J970" s="1240"/>
      <c r="K970" s="1240"/>
      <c r="L970" s="1240"/>
      <c r="M970" s="1240"/>
      <c r="N970" s="1240"/>
      <c r="O970" s="1240"/>
      <c r="P970" s="1247">
        <f t="shared" si="106"/>
        <v>944</v>
      </c>
      <c r="Q970" s="1253" t="e">
        <f t="shared" ca="1" si="105"/>
        <v>#N/A</v>
      </c>
      <c r="R970" s="1247" t="str">
        <f>IFERROR(VLOOKUP(P970,RPCRepaymentDates[],1,FALSE),"")</f>
        <v/>
      </c>
      <c r="S970" s="1259">
        <f t="shared" si="101"/>
        <v>0</v>
      </c>
      <c r="T970" s="1247" t="str">
        <f>IFERROR(VLOOKUP(P970,RPCChargeCycleDates[],1,FALSE),"")</f>
        <v/>
      </c>
      <c r="U970" s="1248" t="str">
        <f>IFERROR(_xlfn.DAYS(T970,$Q$16)-SUM(U$26:U969),"")</f>
        <v/>
      </c>
      <c r="V970" s="1258">
        <f t="shared" ca="1" si="102"/>
        <v>0</v>
      </c>
      <c r="W970" s="1258">
        <f t="shared" ca="1" si="103"/>
        <v>0</v>
      </c>
      <c r="X970" s="1258" t="e">
        <f t="shared" ca="1" si="104"/>
        <v>#N/A</v>
      </c>
      <c r="Y970" s="1240"/>
      <c r="Z970" s="1240"/>
      <c r="AA970" s="1240"/>
      <c r="AB970" s="1240"/>
      <c r="AC970" s="1240"/>
      <c r="AD970" s="1240"/>
      <c r="AE970" s="1240"/>
      <c r="AF970" s="1240"/>
      <c r="AG970" s="1240"/>
      <c r="AH970" s="1240"/>
      <c r="AI970" s="1240"/>
      <c r="AJ970" s="1240"/>
      <c r="AK970" s="1240"/>
      <c r="AL970" s="1240"/>
      <c r="AM970" s="1240"/>
      <c r="AN970" s="1240"/>
      <c r="AO970" s="1240"/>
      <c r="AP970" s="1240"/>
    </row>
    <row r="971" spans="1:42" ht="18.75" customHeight="1" x14ac:dyDescent="0.35">
      <c r="A971" s="1240"/>
      <c r="B971" s="1240"/>
      <c r="C971" s="1240"/>
      <c r="D971" s="1240"/>
      <c r="E971" s="1240"/>
      <c r="F971" s="1240"/>
      <c r="G971" s="1240"/>
      <c r="H971" s="1240"/>
      <c r="I971" s="1240"/>
      <c r="J971" s="1240"/>
      <c r="K971" s="1240"/>
      <c r="L971" s="1240"/>
      <c r="M971" s="1240"/>
      <c r="N971" s="1240"/>
      <c r="O971" s="1240"/>
      <c r="P971" s="1247">
        <f t="shared" si="106"/>
        <v>945</v>
      </c>
      <c r="Q971" s="1253" t="e">
        <f t="shared" ca="1" si="105"/>
        <v>#N/A</v>
      </c>
      <c r="R971" s="1247" t="str">
        <f>IFERROR(VLOOKUP(P971,RPCRepaymentDates[],1,FALSE),"")</f>
        <v/>
      </c>
      <c r="S971" s="1259">
        <f t="shared" si="101"/>
        <v>0</v>
      </c>
      <c r="T971" s="1247" t="str">
        <f>IFERROR(VLOOKUP(P971,RPCChargeCycleDates[],1,FALSE),"")</f>
        <v/>
      </c>
      <c r="U971" s="1248" t="str">
        <f>IFERROR(_xlfn.DAYS(T971,$Q$16)-SUM(U$26:U970),"")</f>
        <v/>
      </c>
      <c r="V971" s="1258">
        <f t="shared" ca="1" si="102"/>
        <v>0</v>
      </c>
      <c r="W971" s="1258">
        <f t="shared" ca="1" si="103"/>
        <v>0</v>
      </c>
      <c r="X971" s="1258" t="e">
        <f t="shared" ca="1" si="104"/>
        <v>#N/A</v>
      </c>
      <c r="Y971" s="1240"/>
      <c r="Z971" s="1240"/>
      <c r="AA971" s="1240"/>
      <c r="AB971" s="1240"/>
      <c r="AC971" s="1240"/>
      <c r="AD971" s="1240"/>
      <c r="AE971" s="1240"/>
      <c r="AF971" s="1240"/>
      <c r="AG971" s="1240"/>
      <c r="AH971" s="1240"/>
      <c r="AI971" s="1240"/>
      <c r="AJ971" s="1240"/>
      <c r="AK971" s="1240"/>
      <c r="AL971" s="1240"/>
      <c r="AM971" s="1240"/>
      <c r="AN971" s="1240"/>
      <c r="AO971" s="1240"/>
      <c r="AP971" s="1240"/>
    </row>
    <row r="972" spans="1:42" ht="18.75" customHeight="1" x14ac:dyDescent="0.35">
      <c r="A972" s="1240"/>
      <c r="B972" s="1240"/>
      <c r="C972" s="1240"/>
      <c r="D972" s="1240"/>
      <c r="E972" s="1240"/>
      <c r="F972" s="1240"/>
      <c r="G972" s="1240"/>
      <c r="H972" s="1240"/>
      <c r="I972" s="1240"/>
      <c r="J972" s="1240"/>
      <c r="K972" s="1240"/>
      <c r="L972" s="1240"/>
      <c r="M972" s="1240"/>
      <c r="N972" s="1240"/>
      <c r="O972" s="1240"/>
      <c r="P972" s="1247">
        <f t="shared" si="106"/>
        <v>946</v>
      </c>
      <c r="Q972" s="1253" t="e">
        <f t="shared" ca="1" si="105"/>
        <v>#N/A</v>
      </c>
      <c r="R972" s="1247" t="str">
        <f>IFERROR(VLOOKUP(P972,RPCRepaymentDates[],1,FALSE),"")</f>
        <v/>
      </c>
      <c r="S972" s="1259">
        <f t="shared" si="101"/>
        <v>0</v>
      </c>
      <c r="T972" s="1247" t="str">
        <f>IFERROR(VLOOKUP(P972,RPCChargeCycleDates[],1,FALSE),"")</f>
        <v/>
      </c>
      <c r="U972" s="1248" t="str">
        <f>IFERROR(_xlfn.DAYS(T972,$Q$16)-SUM(U$26:U971),"")</f>
        <v/>
      </c>
      <c r="V972" s="1258">
        <f t="shared" ca="1" si="102"/>
        <v>0</v>
      </c>
      <c r="W972" s="1258">
        <f t="shared" ca="1" si="103"/>
        <v>0</v>
      </c>
      <c r="X972" s="1258" t="e">
        <f t="shared" ca="1" si="104"/>
        <v>#N/A</v>
      </c>
      <c r="Y972" s="1240"/>
      <c r="Z972" s="1240"/>
      <c r="AA972" s="1240"/>
      <c r="AB972" s="1240"/>
      <c r="AC972" s="1240"/>
      <c r="AD972" s="1240"/>
      <c r="AE972" s="1240"/>
      <c r="AF972" s="1240"/>
      <c r="AG972" s="1240"/>
      <c r="AH972" s="1240"/>
      <c r="AI972" s="1240"/>
      <c r="AJ972" s="1240"/>
      <c r="AK972" s="1240"/>
      <c r="AL972" s="1240"/>
      <c r="AM972" s="1240"/>
      <c r="AN972" s="1240"/>
      <c r="AO972" s="1240"/>
      <c r="AP972" s="1240"/>
    </row>
    <row r="973" spans="1:42" ht="18.75" customHeight="1" x14ac:dyDescent="0.35">
      <c r="A973" s="1240"/>
      <c r="B973" s="1240"/>
      <c r="C973" s="1240"/>
      <c r="D973" s="1240"/>
      <c r="E973" s="1240"/>
      <c r="F973" s="1240"/>
      <c r="G973" s="1240"/>
      <c r="H973" s="1240"/>
      <c r="I973" s="1240"/>
      <c r="J973" s="1240"/>
      <c r="K973" s="1240"/>
      <c r="L973" s="1240"/>
      <c r="M973" s="1240"/>
      <c r="N973" s="1240"/>
      <c r="O973" s="1240"/>
      <c r="P973" s="1247">
        <f t="shared" si="106"/>
        <v>947</v>
      </c>
      <c r="Q973" s="1253" t="e">
        <f t="shared" ca="1" si="105"/>
        <v>#N/A</v>
      </c>
      <c r="R973" s="1247" t="str">
        <f>IFERROR(VLOOKUP(P973,RPCRepaymentDates[],1,FALSE),"")</f>
        <v/>
      </c>
      <c r="S973" s="1259">
        <f t="shared" si="101"/>
        <v>0</v>
      </c>
      <c r="T973" s="1247" t="str">
        <f>IFERROR(VLOOKUP(P973,RPCChargeCycleDates[],1,FALSE),"")</f>
        <v/>
      </c>
      <c r="U973" s="1248" t="str">
        <f>IFERROR(_xlfn.DAYS(T973,$Q$16)-SUM(U$26:U972),"")</f>
        <v/>
      </c>
      <c r="V973" s="1258">
        <f t="shared" ca="1" si="102"/>
        <v>0</v>
      </c>
      <c r="W973" s="1258">
        <f t="shared" ca="1" si="103"/>
        <v>0</v>
      </c>
      <c r="X973" s="1258" t="e">
        <f t="shared" ca="1" si="104"/>
        <v>#N/A</v>
      </c>
      <c r="Y973" s="1240"/>
      <c r="Z973" s="1240"/>
      <c r="AA973" s="1240"/>
      <c r="AB973" s="1240"/>
      <c r="AC973" s="1240"/>
      <c r="AD973" s="1240"/>
      <c r="AE973" s="1240"/>
      <c r="AF973" s="1240"/>
      <c r="AG973" s="1240"/>
      <c r="AH973" s="1240"/>
      <c r="AI973" s="1240"/>
      <c r="AJ973" s="1240"/>
      <c r="AK973" s="1240"/>
      <c r="AL973" s="1240"/>
      <c r="AM973" s="1240"/>
      <c r="AN973" s="1240"/>
      <c r="AO973" s="1240"/>
      <c r="AP973" s="1240"/>
    </row>
    <row r="974" spans="1:42" ht="18.75" customHeight="1" x14ac:dyDescent="0.35">
      <c r="A974" s="1240"/>
      <c r="B974" s="1240"/>
      <c r="C974" s="1240"/>
      <c r="D974" s="1240"/>
      <c r="E974" s="1240"/>
      <c r="F974" s="1240"/>
      <c r="G974" s="1240"/>
      <c r="H974" s="1240"/>
      <c r="I974" s="1240"/>
      <c r="J974" s="1240"/>
      <c r="K974" s="1240"/>
      <c r="L974" s="1240"/>
      <c r="M974" s="1240"/>
      <c r="N974" s="1240"/>
      <c r="O974" s="1240"/>
      <c r="P974" s="1247">
        <f t="shared" si="106"/>
        <v>948</v>
      </c>
      <c r="Q974" s="1253" t="e">
        <f t="shared" ca="1" si="105"/>
        <v>#N/A</v>
      </c>
      <c r="R974" s="1247" t="str">
        <f>IFERROR(VLOOKUP(P974,RPCRepaymentDates[],1,FALSE),"")</f>
        <v/>
      </c>
      <c r="S974" s="1259">
        <f t="shared" si="101"/>
        <v>0</v>
      </c>
      <c r="T974" s="1247" t="str">
        <f>IFERROR(VLOOKUP(P974,RPCChargeCycleDates[],1,FALSE),"")</f>
        <v/>
      </c>
      <c r="U974" s="1248" t="str">
        <f>IFERROR(_xlfn.DAYS(T974,$Q$16)-SUM(U$26:U973),"")</f>
        <v/>
      </c>
      <c r="V974" s="1258">
        <f t="shared" ca="1" si="102"/>
        <v>0</v>
      </c>
      <c r="W974" s="1258">
        <f t="shared" ca="1" si="103"/>
        <v>0</v>
      </c>
      <c r="X974" s="1258" t="e">
        <f t="shared" ca="1" si="104"/>
        <v>#N/A</v>
      </c>
      <c r="Y974" s="1240"/>
      <c r="Z974" s="1240"/>
      <c r="AA974" s="1240"/>
      <c r="AB974" s="1240"/>
      <c r="AC974" s="1240"/>
      <c r="AD974" s="1240"/>
      <c r="AE974" s="1240"/>
      <c r="AF974" s="1240"/>
      <c r="AG974" s="1240"/>
      <c r="AH974" s="1240"/>
      <c r="AI974" s="1240"/>
      <c r="AJ974" s="1240"/>
      <c r="AK974" s="1240"/>
      <c r="AL974" s="1240"/>
      <c r="AM974" s="1240"/>
      <c r="AN974" s="1240"/>
      <c r="AO974" s="1240"/>
      <c r="AP974" s="1240"/>
    </row>
    <row r="975" spans="1:42" ht="18.75" customHeight="1" x14ac:dyDescent="0.35">
      <c r="A975" s="1240"/>
      <c r="B975" s="1240"/>
      <c r="C975" s="1240"/>
      <c r="D975" s="1240"/>
      <c r="E975" s="1240"/>
      <c r="F975" s="1240"/>
      <c r="G975" s="1240"/>
      <c r="H975" s="1240"/>
      <c r="I975" s="1240"/>
      <c r="J975" s="1240"/>
      <c r="K975" s="1240"/>
      <c r="L975" s="1240"/>
      <c r="M975" s="1240"/>
      <c r="N975" s="1240"/>
      <c r="O975" s="1240"/>
      <c r="P975" s="1247">
        <f t="shared" si="106"/>
        <v>949</v>
      </c>
      <c r="Q975" s="1253" t="e">
        <f t="shared" ca="1" si="105"/>
        <v>#N/A</v>
      </c>
      <c r="R975" s="1247" t="str">
        <f>IFERROR(VLOOKUP(P975,RPCRepaymentDates[],1,FALSE),"")</f>
        <v/>
      </c>
      <c r="S975" s="1259">
        <f t="shared" si="101"/>
        <v>0</v>
      </c>
      <c r="T975" s="1247" t="str">
        <f>IFERROR(VLOOKUP(P975,RPCChargeCycleDates[],1,FALSE),"")</f>
        <v/>
      </c>
      <c r="U975" s="1248" t="str">
        <f>IFERROR(_xlfn.DAYS(T975,$Q$16)-SUM(U$26:U974),"")</f>
        <v/>
      </c>
      <c r="V975" s="1258">
        <f t="shared" ca="1" si="102"/>
        <v>0</v>
      </c>
      <c r="W975" s="1258">
        <f t="shared" ca="1" si="103"/>
        <v>0</v>
      </c>
      <c r="X975" s="1258" t="e">
        <f t="shared" ca="1" si="104"/>
        <v>#N/A</v>
      </c>
      <c r="Y975" s="1240"/>
      <c r="Z975" s="1240"/>
      <c r="AA975" s="1240"/>
      <c r="AB975" s="1240"/>
      <c r="AC975" s="1240"/>
      <c r="AD975" s="1240"/>
      <c r="AE975" s="1240"/>
      <c r="AF975" s="1240"/>
      <c r="AG975" s="1240"/>
      <c r="AH975" s="1240"/>
      <c r="AI975" s="1240"/>
      <c r="AJ975" s="1240"/>
      <c r="AK975" s="1240"/>
      <c r="AL975" s="1240"/>
      <c r="AM975" s="1240"/>
      <c r="AN975" s="1240"/>
      <c r="AO975" s="1240"/>
      <c r="AP975" s="1240"/>
    </row>
    <row r="976" spans="1:42" ht="18.75" customHeight="1" x14ac:dyDescent="0.35">
      <c r="A976" s="1240"/>
      <c r="B976" s="1240"/>
      <c r="C976" s="1240"/>
      <c r="D976" s="1240"/>
      <c r="E976" s="1240"/>
      <c r="F976" s="1240"/>
      <c r="G976" s="1240"/>
      <c r="H976" s="1240"/>
      <c r="I976" s="1240"/>
      <c r="J976" s="1240"/>
      <c r="K976" s="1240"/>
      <c r="L976" s="1240"/>
      <c r="M976" s="1240"/>
      <c r="N976" s="1240"/>
      <c r="O976" s="1240"/>
      <c r="P976" s="1247">
        <f t="shared" si="106"/>
        <v>950</v>
      </c>
      <c r="Q976" s="1253" t="e">
        <f t="shared" ca="1" si="105"/>
        <v>#N/A</v>
      </c>
      <c r="R976" s="1247" t="str">
        <f>IFERROR(VLOOKUP(P976,RPCRepaymentDates[],1,FALSE),"")</f>
        <v/>
      </c>
      <c r="S976" s="1259">
        <f t="shared" si="101"/>
        <v>0</v>
      </c>
      <c r="T976" s="1247" t="str">
        <f>IFERROR(VLOOKUP(P976,RPCChargeCycleDates[],1,FALSE),"")</f>
        <v/>
      </c>
      <c r="U976" s="1248" t="str">
        <f>IFERROR(_xlfn.DAYS(T976,$Q$16)-SUM(U$26:U975),"")</f>
        <v/>
      </c>
      <c r="V976" s="1258">
        <f t="shared" ca="1" si="102"/>
        <v>0</v>
      </c>
      <c r="W976" s="1258">
        <f t="shared" ca="1" si="103"/>
        <v>0</v>
      </c>
      <c r="X976" s="1258" t="e">
        <f t="shared" ca="1" si="104"/>
        <v>#N/A</v>
      </c>
      <c r="Y976" s="1240"/>
      <c r="Z976" s="1240"/>
      <c r="AA976" s="1240"/>
      <c r="AB976" s="1240"/>
      <c r="AC976" s="1240"/>
      <c r="AD976" s="1240"/>
      <c r="AE976" s="1240"/>
      <c r="AF976" s="1240"/>
      <c r="AG976" s="1240"/>
      <c r="AH976" s="1240"/>
      <c r="AI976" s="1240"/>
      <c r="AJ976" s="1240"/>
      <c r="AK976" s="1240"/>
      <c r="AL976" s="1240"/>
      <c r="AM976" s="1240"/>
      <c r="AN976" s="1240"/>
      <c r="AO976" s="1240"/>
      <c r="AP976" s="1240"/>
    </row>
    <row r="977" spans="1:42" ht="18.75" customHeight="1" x14ac:dyDescent="0.35">
      <c r="A977" s="1240"/>
      <c r="B977" s="1240"/>
      <c r="C977" s="1240"/>
      <c r="D977" s="1240"/>
      <c r="E977" s="1240"/>
      <c r="F977" s="1240"/>
      <c r="G977" s="1240"/>
      <c r="H977" s="1240"/>
      <c r="I977" s="1240"/>
      <c r="J977" s="1240"/>
      <c r="K977" s="1240"/>
      <c r="L977" s="1240"/>
      <c r="M977" s="1240"/>
      <c r="N977" s="1240"/>
      <c r="O977" s="1240"/>
      <c r="P977" s="1247">
        <f t="shared" si="106"/>
        <v>951</v>
      </c>
      <c r="Q977" s="1253" t="e">
        <f t="shared" ca="1" si="105"/>
        <v>#N/A</v>
      </c>
      <c r="R977" s="1247" t="str">
        <f>IFERROR(VLOOKUP(P977,RPCRepaymentDates[],1,FALSE),"")</f>
        <v/>
      </c>
      <c r="S977" s="1259">
        <f t="shared" si="101"/>
        <v>0</v>
      </c>
      <c r="T977" s="1247" t="str">
        <f>IFERROR(VLOOKUP(P977,RPCChargeCycleDates[],1,FALSE),"")</f>
        <v/>
      </c>
      <c r="U977" s="1248" t="str">
        <f>IFERROR(_xlfn.DAYS(T977,$Q$16)-SUM(U$26:U976),"")</f>
        <v/>
      </c>
      <c r="V977" s="1258">
        <f t="shared" ca="1" si="102"/>
        <v>0</v>
      </c>
      <c r="W977" s="1258">
        <f t="shared" ca="1" si="103"/>
        <v>0</v>
      </c>
      <c r="X977" s="1258" t="e">
        <f t="shared" ca="1" si="104"/>
        <v>#N/A</v>
      </c>
      <c r="Y977" s="1240"/>
      <c r="Z977" s="1240"/>
      <c r="AA977" s="1240"/>
      <c r="AB977" s="1240"/>
      <c r="AC977" s="1240"/>
      <c r="AD977" s="1240"/>
      <c r="AE977" s="1240"/>
      <c r="AF977" s="1240"/>
      <c r="AG977" s="1240"/>
      <c r="AH977" s="1240"/>
      <c r="AI977" s="1240"/>
      <c r="AJ977" s="1240"/>
      <c r="AK977" s="1240"/>
      <c r="AL977" s="1240"/>
      <c r="AM977" s="1240"/>
      <c r="AN977" s="1240"/>
      <c r="AO977" s="1240"/>
      <c r="AP977" s="1240"/>
    </row>
    <row r="978" spans="1:42" ht="18.75" customHeight="1" x14ac:dyDescent="0.35">
      <c r="A978" s="1240"/>
      <c r="B978" s="1240"/>
      <c r="C978" s="1240"/>
      <c r="D978" s="1240"/>
      <c r="E978" s="1240"/>
      <c r="F978" s="1240"/>
      <c r="G978" s="1240"/>
      <c r="H978" s="1240"/>
      <c r="I978" s="1240"/>
      <c r="J978" s="1240"/>
      <c r="K978" s="1240"/>
      <c r="L978" s="1240"/>
      <c r="M978" s="1240"/>
      <c r="N978" s="1240"/>
      <c r="O978" s="1240"/>
      <c r="P978" s="1247">
        <f t="shared" si="106"/>
        <v>952</v>
      </c>
      <c r="Q978" s="1253" t="e">
        <f t="shared" ca="1" si="105"/>
        <v>#N/A</v>
      </c>
      <c r="R978" s="1247" t="str">
        <f>IFERROR(VLOOKUP(P978,RPCRepaymentDates[],1,FALSE),"")</f>
        <v/>
      </c>
      <c r="S978" s="1259">
        <f t="shared" si="101"/>
        <v>0</v>
      </c>
      <c r="T978" s="1247" t="str">
        <f>IFERROR(VLOOKUP(P978,RPCChargeCycleDates[],1,FALSE),"")</f>
        <v/>
      </c>
      <c r="U978" s="1248" t="str">
        <f>IFERROR(_xlfn.DAYS(T978,$Q$16)-SUM(U$26:U977),"")</f>
        <v/>
      </c>
      <c r="V978" s="1258">
        <f t="shared" ca="1" si="102"/>
        <v>0</v>
      </c>
      <c r="W978" s="1258">
        <f t="shared" ca="1" si="103"/>
        <v>0</v>
      </c>
      <c r="X978" s="1258" t="e">
        <f t="shared" ca="1" si="104"/>
        <v>#N/A</v>
      </c>
      <c r="Y978" s="1240"/>
      <c r="Z978" s="1240"/>
      <c r="AA978" s="1240"/>
      <c r="AB978" s="1240"/>
      <c r="AC978" s="1240"/>
      <c r="AD978" s="1240"/>
      <c r="AE978" s="1240"/>
      <c r="AF978" s="1240"/>
      <c r="AG978" s="1240"/>
      <c r="AH978" s="1240"/>
      <c r="AI978" s="1240"/>
      <c r="AJ978" s="1240"/>
      <c r="AK978" s="1240"/>
      <c r="AL978" s="1240"/>
      <c r="AM978" s="1240"/>
      <c r="AN978" s="1240"/>
      <c r="AO978" s="1240"/>
      <c r="AP978" s="1240"/>
    </row>
    <row r="979" spans="1:42" ht="18.75" customHeight="1" x14ac:dyDescent="0.35">
      <c r="A979" s="1240"/>
      <c r="B979" s="1240"/>
      <c r="C979" s="1240"/>
      <c r="D979" s="1240"/>
      <c r="E979" s="1240"/>
      <c r="F979" s="1240"/>
      <c r="G979" s="1240"/>
      <c r="H979" s="1240"/>
      <c r="I979" s="1240"/>
      <c r="J979" s="1240"/>
      <c r="K979" s="1240"/>
      <c r="L979" s="1240"/>
      <c r="M979" s="1240"/>
      <c r="N979" s="1240"/>
      <c r="O979" s="1240"/>
      <c r="P979" s="1247">
        <f t="shared" si="106"/>
        <v>953</v>
      </c>
      <c r="Q979" s="1253" t="e">
        <f t="shared" ca="1" si="105"/>
        <v>#N/A</v>
      </c>
      <c r="R979" s="1247" t="str">
        <f>IFERROR(VLOOKUP(P979,RPCRepaymentDates[],1,FALSE),"")</f>
        <v/>
      </c>
      <c r="S979" s="1259">
        <f t="shared" si="101"/>
        <v>0</v>
      </c>
      <c r="T979" s="1247" t="str">
        <f>IFERROR(VLOOKUP(P979,RPCChargeCycleDates[],1,FALSE),"")</f>
        <v/>
      </c>
      <c r="U979" s="1248" t="str">
        <f>IFERROR(_xlfn.DAYS(T979,$Q$16)-SUM(U$26:U978),"")</f>
        <v/>
      </c>
      <c r="V979" s="1258">
        <f t="shared" ca="1" si="102"/>
        <v>0</v>
      </c>
      <c r="W979" s="1258">
        <f t="shared" ca="1" si="103"/>
        <v>0</v>
      </c>
      <c r="X979" s="1258" t="e">
        <f t="shared" ca="1" si="104"/>
        <v>#N/A</v>
      </c>
      <c r="Y979" s="1240"/>
      <c r="Z979" s="1240"/>
      <c r="AA979" s="1240"/>
      <c r="AB979" s="1240"/>
      <c r="AC979" s="1240"/>
      <c r="AD979" s="1240"/>
      <c r="AE979" s="1240"/>
      <c r="AF979" s="1240"/>
      <c r="AG979" s="1240"/>
      <c r="AH979" s="1240"/>
      <c r="AI979" s="1240"/>
      <c r="AJ979" s="1240"/>
      <c r="AK979" s="1240"/>
      <c r="AL979" s="1240"/>
      <c r="AM979" s="1240"/>
      <c r="AN979" s="1240"/>
      <c r="AO979" s="1240"/>
      <c r="AP979" s="1240"/>
    </row>
    <row r="980" spans="1:42" ht="18.75" customHeight="1" x14ac:dyDescent="0.35">
      <c r="A980" s="1240"/>
      <c r="B980" s="1240"/>
      <c r="C980" s="1240"/>
      <c r="D980" s="1240"/>
      <c r="E980" s="1240"/>
      <c r="F980" s="1240"/>
      <c r="G980" s="1240"/>
      <c r="H980" s="1240"/>
      <c r="I980" s="1240"/>
      <c r="J980" s="1240"/>
      <c r="K980" s="1240"/>
      <c r="L980" s="1240"/>
      <c r="M980" s="1240"/>
      <c r="N980" s="1240"/>
      <c r="O980" s="1240"/>
      <c r="P980" s="1247">
        <f t="shared" si="106"/>
        <v>954</v>
      </c>
      <c r="Q980" s="1253" t="e">
        <f t="shared" ca="1" si="105"/>
        <v>#N/A</v>
      </c>
      <c r="R980" s="1247" t="str">
        <f>IFERROR(VLOOKUP(P980,RPCRepaymentDates[],1,FALSE),"")</f>
        <v/>
      </c>
      <c r="S980" s="1259">
        <f t="shared" si="101"/>
        <v>0</v>
      </c>
      <c r="T980" s="1247" t="str">
        <f>IFERROR(VLOOKUP(P980,RPCChargeCycleDates[],1,FALSE),"")</f>
        <v/>
      </c>
      <c r="U980" s="1248" t="str">
        <f>IFERROR(_xlfn.DAYS(T980,$Q$16)-SUM(U$26:U979),"")</f>
        <v/>
      </c>
      <c r="V980" s="1258">
        <f t="shared" ca="1" si="102"/>
        <v>0</v>
      </c>
      <c r="W980" s="1258">
        <f t="shared" ca="1" si="103"/>
        <v>0</v>
      </c>
      <c r="X980" s="1258" t="e">
        <f t="shared" ca="1" si="104"/>
        <v>#N/A</v>
      </c>
      <c r="Y980" s="1240"/>
      <c r="Z980" s="1240"/>
      <c r="AA980" s="1240"/>
      <c r="AB980" s="1240"/>
      <c r="AC980" s="1240"/>
      <c r="AD980" s="1240"/>
      <c r="AE980" s="1240"/>
      <c r="AF980" s="1240"/>
      <c r="AG980" s="1240"/>
      <c r="AH980" s="1240"/>
      <c r="AI980" s="1240"/>
      <c r="AJ980" s="1240"/>
      <c r="AK980" s="1240"/>
      <c r="AL980" s="1240"/>
      <c r="AM980" s="1240"/>
      <c r="AN980" s="1240"/>
      <c r="AO980" s="1240"/>
      <c r="AP980" s="1240"/>
    </row>
    <row r="981" spans="1:42" ht="18.75" customHeight="1" x14ac:dyDescent="0.35">
      <c r="A981" s="1240"/>
      <c r="B981" s="1240"/>
      <c r="C981" s="1240"/>
      <c r="D981" s="1240"/>
      <c r="E981" s="1240"/>
      <c r="F981" s="1240"/>
      <c r="G981" s="1240"/>
      <c r="H981" s="1240"/>
      <c r="I981" s="1240"/>
      <c r="J981" s="1240"/>
      <c r="K981" s="1240"/>
      <c r="L981" s="1240"/>
      <c r="M981" s="1240"/>
      <c r="N981" s="1240"/>
      <c r="O981" s="1240"/>
      <c r="P981" s="1247">
        <f t="shared" si="106"/>
        <v>955</v>
      </c>
      <c r="Q981" s="1253" t="e">
        <f t="shared" ca="1" si="105"/>
        <v>#N/A</v>
      </c>
      <c r="R981" s="1247" t="str">
        <f>IFERROR(VLOOKUP(P981,RPCRepaymentDates[],1,FALSE),"")</f>
        <v/>
      </c>
      <c r="S981" s="1259">
        <f t="shared" si="101"/>
        <v>0</v>
      </c>
      <c r="T981" s="1247" t="str">
        <f>IFERROR(VLOOKUP(P981,RPCChargeCycleDates[],1,FALSE),"")</f>
        <v/>
      </c>
      <c r="U981" s="1248" t="str">
        <f>IFERROR(_xlfn.DAYS(T981,$Q$16)-SUM(U$26:U980),"")</f>
        <v/>
      </c>
      <c r="V981" s="1258">
        <f t="shared" ca="1" si="102"/>
        <v>0</v>
      </c>
      <c r="W981" s="1258">
        <f t="shared" ca="1" si="103"/>
        <v>0</v>
      </c>
      <c r="X981" s="1258" t="e">
        <f t="shared" ca="1" si="104"/>
        <v>#N/A</v>
      </c>
      <c r="Y981" s="1240"/>
      <c r="Z981" s="1240"/>
      <c r="AA981" s="1240"/>
      <c r="AB981" s="1240"/>
      <c r="AC981" s="1240"/>
      <c r="AD981" s="1240"/>
      <c r="AE981" s="1240"/>
      <c r="AF981" s="1240"/>
      <c r="AG981" s="1240"/>
      <c r="AH981" s="1240"/>
      <c r="AI981" s="1240"/>
      <c r="AJ981" s="1240"/>
      <c r="AK981" s="1240"/>
      <c r="AL981" s="1240"/>
      <c r="AM981" s="1240"/>
      <c r="AN981" s="1240"/>
      <c r="AO981" s="1240"/>
      <c r="AP981" s="1240"/>
    </row>
    <row r="982" spans="1:42" ht="18.75" customHeight="1" x14ac:dyDescent="0.35">
      <c r="A982" s="1240"/>
      <c r="B982" s="1240"/>
      <c r="C982" s="1240"/>
      <c r="D982" s="1240"/>
      <c r="E982" s="1240"/>
      <c r="F982" s="1240"/>
      <c r="G982" s="1240"/>
      <c r="H982" s="1240"/>
      <c r="I982" s="1240"/>
      <c r="J982" s="1240"/>
      <c r="K982" s="1240"/>
      <c r="L982" s="1240"/>
      <c r="M982" s="1240"/>
      <c r="N982" s="1240"/>
      <c r="O982" s="1240"/>
      <c r="P982" s="1247">
        <f t="shared" si="106"/>
        <v>956</v>
      </c>
      <c r="Q982" s="1253" t="e">
        <f t="shared" ca="1" si="105"/>
        <v>#N/A</v>
      </c>
      <c r="R982" s="1247" t="str">
        <f>IFERROR(VLOOKUP(P982,RPCRepaymentDates[],1,FALSE),"")</f>
        <v/>
      </c>
      <c r="S982" s="1259">
        <f t="shared" si="101"/>
        <v>0</v>
      </c>
      <c r="T982" s="1247" t="str">
        <f>IFERROR(VLOOKUP(P982,RPCChargeCycleDates[],1,FALSE),"")</f>
        <v/>
      </c>
      <c r="U982" s="1248" t="str">
        <f>IFERROR(_xlfn.DAYS(T982,$Q$16)-SUM(U$26:U981),"")</f>
        <v/>
      </c>
      <c r="V982" s="1258">
        <f t="shared" ca="1" si="102"/>
        <v>0</v>
      </c>
      <c r="W982" s="1258">
        <f t="shared" ca="1" si="103"/>
        <v>0</v>
      </c>
      <c r="X982" s="1258" t="e">
        <f t="shared" ca="1" si="104"/>
        <v>#N/A</v>
      </c>
      <c r="Y982" s="1240"/>
      <c r="Z982" s="1240"/>
      <c r="AA982" s="1240"/>
      <c r="AB982" s="1240"/>
      <c r="AC982" s="1240"/>
      <c r="AD982" s="1240"/>
      <c r="AE982" s="1240"/>
      <c r="AF982" s="1240"/>
      <c r="AG982" s="1240"/>
      <c r="AH982" s="1240"/>
      <c r="AI982" s="1240"/>
      <c r="AJ982" s="1240"/>
      <c r="AK982" s="1240"/>
      <c r="AL982" s="1240"/>
      <c r="AM982" s="1240"/>
      <c r="AN982" s="1240"/>
      <c r="AO982" s="1240"/>
      <c r="AP982" s="1240"/>
    </row>
    <row r="983" spans="1:42" ht="18.75" customHeight="1" x14ac:dyDescent="0.35">
      <c r="A983" s="1240"/>
      <c r="B983" s="1240"/>
      <c r="C983" s="1240"/>
      <c r="D983" s="1240"/>
      <c r="E983" s="1240"/>
      <c r="F983" s="1240"/>
      <c r="G983" s="1240"/>
      <c r="H983" s="1240"/>
      <c r="I983" s="1240"/>
      <c r="J983" s="1240"/>
      <c r="K983" s="1240"/>
      <c r="L983" s="1240"/>
      <c r="M983" s="1240"/>
      <c r="N983" s="1240"/>
      <c r="O983" s="1240"/>
      <c r="P983" s="1247">
        <f t="shared" si="106"/>
        <v>957</v>
      </c>
      <c r="Q983" s="1253" t="e">
        <f t="shared" ca="1" si="105"/>
        <v>#N/A</v>
      </c>
      <c r="R983" s="1247" t="str">
        <f>IFERROR(VLOOKUP(P983,RPCRepaymentDates[],1,FALSE),"")</f>
        <v/>
      </c>
      <c r="S983" s="1259">
        <f t="shared" si="101"/>
        <v>0</v>
      </c>
      <c r="T983" s="1247" t="str">
        <f>IFERROR(VLOOKUP(P983,RPCChargeCycleDates[],1,FALSE),"")</f>
        <v/>
      </c>
      <c r="U983" s="1248" t="str">
        <f>IFERROR(_xlfn.DAYS(T983,$Q$16)-SUM(U$26:U982),"")</f>
        <v/>
      </c>
      <c r="V983" s="1258">
        <f t="shared" ca="1" si="102"/>
        <v>0</v>
      </c>
      <c r="W983" s="1258">
        <f t="shared" ca="1" si="103"/>
        <v>0</v>
      </c>
      <c r="X983" s="1258" t="e">
        <f t="shared" ca="1" si="104"/>
        <v>#N/A</v>
      </c>
      <c r="Y983" s="1240"/>
      <c r="Z983" s="1240"/>
      <c r="AA983" s="1240"/>
      <c r="AB983" s="1240"/>
      <c r="AC983" s="1240"/>
      <c r="AD983" s="1240"/>
      <c r="AE983" s="1240"/>
      <c r="AF983" s="1240"/>
      <c r="AG983" s="1240"/>
      <c r="AH983" s="1240"/>
      <c r="AI983" s="1240"/>
      <c r="AJ983" s="1240"/>
      <c r="AK983" s="1240"/>
      <c r="AL983" s="1240"/>
      <c r="AM983" s="1240"/>
      <c r="AN983" s="1240"/>
      <c r="AO983" s="1240"/>
      <c r="AP983" s="1240"/>
    </row>
    <row r="984" spans="1:42" ht="18.75" customHeight="1" x14ac:dyDescent="0.35">
      <c r="A984" s="1240"/>
      <c r="B984" s="1240"/>
      <c r="C984" s="1240"/>
      <c r="D984" s="1240"/>
      <c r="E984" s="1240"/>
      <c r="F984" s="1240"/>
      <c r="G984" s="1240"/>
      <c r="H984" s="1240"/>
      <c r="I984" s="1240"/>
      <c r="J984" s="1240"/>
      <c r="K984" s="1240"/>
      <c r="L984" s="1240"/>
      <c r="M984" s="1240"/>
      <c r="N984" s="1240"/>
      <c r="O984" s="1240"/>
      <c r="P984" s="1247">
        <f t="shared" si="106"/>
        <v>958</v>
      </c>
      <c r="Q984" s="1253" t="e">
        <f t="shared" ca="1" si="105"/>
        <v>#N/A</v>
      </c>
      <c r="R984" s="1247" t="str">
        <f>IFERROR(VLOOKUP(P984,RPCRepaymentDates[],1,FALSE),"")</f>
        <v/>
      </c>
      <c r="S984" s="1259">
        <f t="shared" si="101"/>
        <v>0</v>
      </c>
      <c r="T984" s="1247" t="str">
        <f>IFERROR(VLOOKUP(P984,RPCChargeCycleDates[],1,FALSE),"")</f>
        <v/>
      </c>
      <c r="U984" s="1248" t="str">
        <f>IFERROR(_xlfn.DAYS(T984,$Q$16)-SUM(U$26:U983),"")</f>
        <v/>
      </c>
      <c r="V984" s="1258">
        <f t="shared" ca="1" si="102"/>
        <v>0</v>
      </c>
      <c r="W984" s="1258">
        <f t="shared" ca="1" si="103"/>
        <v>0</v>
      </c>
      <c r="X984" s="1258" t="e">
        <f t="shared" ca="1" si="104"/>
        <v>#N/A</v>
      </c>
      <c r="Y984" s="1240"/>
      <c r="Z984" s="1240"/>
      <c r="AA984" s="1240"/>
      <c r="AB984" s="1240"/>
      <c r="AC984" s="1240"/>
      <c r="AD984" s="1240"/>
      <c r="AE984" s="1240"/>
      <c r="AF984" s="1240"/>
      <c r="AG984" s="1240"/>
      <c r="AH984" s="1240"/>
      <c r="AI984" s="1240"/>
      <c r="AJ984" s="1240"/>
      <c r="AK984" s="1240"/>
      <c r="AL984" s="1240"/>
      <c r="AM984" s="1240"/>
      <c r="AN984" s="1240"/>
      <c r="AO984" s="1240"/>
      <c r="AP984" s="1240"/>
    </row>
    <row r="985" spans="1:42" ht="18.75" customHeight="1" x14ac:dyDescent="0.35">
      <c r="A985" s="1240"/>
      <c r="B985" s="1240"/>
      <c r="C985" s="1240"/>
      <c r="D985" s="1240"/>
      <c r="E985" s="1240"/>
      <c r="F985" s="1240"/>
      <c r="G985" s="1240"/>
      <c r="H985" s="1240"/>
      <c r="I985" s="1240"/>
      <c r="J985" s="1240"/>
      <c r="K985" s="1240"/>
      <c r="L985" s="1240"/>
      <c r="M985" s="1240"/>
      <c r="N985" s="1240"/>
      <c r="O985" s="1240"/>
      <c r="P985" s="1247">
        <f t="shared" si="106"/>
        <v>959</v>
      </c>
      <c r="Q985" s="1253" t="e">
        <f t="shared" ca="1" si="105"/>
        <v>#N/A</v>
      </c>
      <c r="R985" s="1247" t="str">
        <f>IFERROR(VLOOKUP(P985,RPCRepaymentDates[],1,FALSE),"")</f>
        <v/>
      </c>
      <c r="S985" s="1259">
        <f t="shared" si="101"/>
        <v>0</v>
      </c>
      <c r="T985" s="1247" t="str">
        <f>IFERROR(VLOOKUP(P985,RPCChargeCycleDates[],1,FALSE),"")</f>
        <v/>
      </c>
      <c r="U985" s="1248" t="str">
        <f>IFERROR(_xlfn.DAYS(T985,$Q$16)-SUM(U$26:U984),"")</f>
        <v/>
      </c>
      <c r="V985" s="1258">
        <f t="shared" ca="1" si="102"/>
        <v>0</v>
      </c>
      <c r="W985" s="1258">
        <f t="shared" ca="1" si="103"/>
        <v>0</v>
      </c>
      <c r="X985" s="1258" t="e">
        <f t="shared" ca="1" si="104"/>
        <v>#N/A</v>
      </c>
      <c r="Y985" s="1240"/>
      <c r="Z985" s="1240"/>
      <c r="AA985" s="1240"/>
      <c r="AB985" s="1240"/>
      <c r="AC985" s="1240"/>
      <c r="AD985" s="1240"/>
      <c r="AE985" s="1240"/>
      <c r="AF985" s="1240"/>
      <c r="AG985" s="1240"/>
      <c r="AH985" s="1240"/>
      <c r="AI985" s="1240"/>
      <c r="AJ985" s="1240"/>
      <c r="AK985" s="1240"/>
      <c r="AL985" s="1240"/>
      <c r="AM985" s="1240"/>
      <c r="AN985" s="1240"/>
      <c r="AO985" s="1240"/>
      <c r="AP985" s="1240"/>
    </row>
    <row r="986" spans="1:42" ht="18.75" customHeight="1" x14ac:dyDescent="0.35">
      <c r="A986" s="1240"/>
      <c r="B986" s="1240"/>
      <c r="C986" s="1240"/>
      <c r="D986" s="1240"/>
      <c r="E986" s="1240"/>
      <c r="F986" s="1240"/>
      <c r="G986" s="1240"/>
      <c r="H986" s="1240"/>
      <c r="I986" s="1240"/>
      <c r="J986" s="1240"/>
      <c r="K986" s="1240"/>
      <c r="L986" s="1240"/>
      <c r="M986" s="1240"/>
      <c r="N986" s="1240"/>
      <c r="O986" s="1240"/>
      <c r="P986" s="1247">
        <f t="shared" si="106"/>
        <v>960</v>
      </c>
      <c r="Q986" s="1253" t="e">
        <f t="shared" ca="1" si="105"/>
        <v>#N/A</v>
      </c>
      <c r="R986" s="1247" t="str">
        <f>IFERROR(VLOOKUP(P986,RPCRepaymentDates[],1,FALSE),"")</f>
        <v/>
      </c>
      <c r="S986" s="1259">
        <f t="shared" ref="S986:S1025" si="107">IF(P986=R986,IF(R986&lt;RPCNextPaymentTransferDate,0,IF(OR(R986&lt;RPCPauseStartDate,R986&gt;RPCPauseEndDate),RPCCurrentRepayment,RPCPauseRepayment)),0)</f>
        <v>0</v>
      </c>
      <c r="T986" s="1247" t="str">
        <f>IFERROR(VLOOKUP(P986,RPCChargeCycleDates[],1,FALSE),"")</f>
        <v/>
      </c>
      <c r="U986" s="1248" t="str">
        <f>IFERROR(_xlfn.DAYS(T986,$Q$16)-SUM(U$26:U985),"")</f>
        <v/>
      </c>
      <c r="V986" s="1258">
        <f t="shared" ref="V986:V1025" ca="1" si="108">IFERROR((Q986-S986)*(1/RPCDaysInYear)*RPCInterestRate,0)</f>
        <v>0</v>
      </c>
      <c r="W986" s="1258">
        <f t="shared" ref="W986:W1025" ca="1" si="109">IFERROR(IF(T986=P986,SUM(OFFSET(V986,-U986+1,0,U986,1)),0),0)</f>
        <v>0</v>
      </c>
      <c r="X986" s="1258" t="e">
        <f t="shared" ref="X986:X1025" ca="1" si="110">Q986-S986+W986</f>
        <v>#N/A</v>
      </c>
      <c r="Y986" s="1240"/>
      <c r="Z986" s="1240"/>
      <c r="AA986" s="1240"/>
      <c r="AB986" s="1240"/>
      <c r="AC986" s="1240"/>
      <c r="AD986" s="1240"/>
      <c r="AE986" s="1240"/>
      <c r="AF986" s="1240"/>
      <c r="AG986" s="1240"/>
      <c r="AH986" s="1240"/>
      <c r="AI986" s="1240"/>
      <c r="AJ986" s="1240"/>
      <c r="AK986" s="1240"/>
      <c r="AL986" s="1240"/>
      <c r="AM986" s="1240"/>
      <c r="AN986" s="1240"/>
      <c r="AO986" s="1240"/>
      <c r="AP986" s="1240"/>
    </row>
    <row r="987" spans="1:42" ht="18.75" customHeight="1" x14ac:dyDescent="0.35">
      <c r="A987" s="1240"/>
      <c r="B987" s="1240"/>
      <c r="C987" s="1240"/>
      <c r="D987" s="1240"/>
      <c r="E987" s="1240"/>
      <c r="F987" s="1240"/>
      <c r="G987" s="1240"/>
      <c r="H987" s="1240"/>
      <c r="I987" s="1240"/>
      <c r="J987" s="1240"/>
      <c r="K987" s="1240"/>
      <c r="L987" s="1240"/>
      <c r="M987" s="1240"/>
      <c r="N987" s="1240"/>
      <c r="O987" s="1240"/>
      <c r="P987" s="1247">
        <f t="shared" si="106"/>
        <v>961</v>
      </c>
      <c r="Q987" s="1253" t="e">
        <f t="shared" ref="Q987:Q1025" ca="1" si="111">X986</f>
        <v>#N/A</v>
      </c>
      <c r="R987" s="1247" t="str">
        <f>IFERROR(VLOOKUP(P987,RPCRepaymentDates[],1,FALSE),"")</f>
        <v/>
      </c>
      <c r="S987" s="1259">
        <f t="shared" si="107"/>
        <v>0</v>
      </c>
      <c r="T987" s="1247" t="str">
        <f>IFERROR(VLOOKUP(P987,RPCChargeCycleDates[],1,FALSE),"")</f>
        <v/>
      </c>
      <c r="U987" s="1248" t="str">
        <f>IFERROR(_xlfn.DAYS(T987,$Q$16)-SUM(U$26:U986),"")</f>
        <v/>
      </c>
      <c r="V987" s="1258">
        <f t="shared" ca="1" si="108"/>
        <v>0</v>
      </c>
      <c r="W987" s="1258">
        <f t="shared" ca="1" si="109"/>
        <v>0</v>
      </c>
      <c r="X987" s="1258" t="e">
        <f t="shared" ca="1" si="110"/>
        <v>#N/A</v>
      </c>
      <c r="Y987" s="1240"/>
      <c r="Z987" s="1240"/>
      <c r="AA987" s="1240"/>
      <c r="AB987" s="1240"/>
      <c r="AC987" s="1240"/>
      <c r="AD987" s="1240"/>
      <c r="AE987" s="1240"/>
      <c r="AF987" s="1240"/>
      <c r="AG987" s="1240"/>
      <c r="AH987" s="1240"/>
      <c r="AI987" s="1240"/>
      <c r="AJ987" s="1240"/>
      <c r="AK987" s="1240"/>
      <c r="AL987" s="1240"/>
      <c r="AM987" s="1240"/>
      <c r="AN987" s="1240"/>
      <c r="AO987" s="1240"/>
      <c r="AP987" s="1240"/>
    </row>
    <row r="988" spans="1:42" ht="18.75" customHeight="1" x14ac:dyDescent="0.35">
      <c r="A988" s="1240"/>
      <c r="B988" s="1240"/>
      <c r="C988" s="1240"/>
      <c r="D988" s="1240"/>
      <c r="E988" s="1240"/>
      <c r="F988" s="1240"/>
      <c r="G988" s="1240"/>
      <c r="H988" s="1240"/>
      <c r="I988" s="1240"/>
      <c r="J988" s="1240"/>
      <c r="K988" s="1240"/>
      <c r="L988" s="1240"/>
      <c r="M988" s="1240"/>
      <c r="N988" s="1240"/>
      <c r="O988" s="1240"/>
      <c r="P988" s="1247">
        <f t="shared" si="106"/>
        <v>962</v>
      </c>
      <c r="Q988" s="1253" t="e">
        <f t="shared" ca="1" si="111"/>
        <v>#N/A</v>
      </c>
      <c r="R988" s="1247" t="str">
        <f>IFERROR(VLOOKUP(P988,RPCRepaymentDates[],1,FALSE),"")</f>
        <v/>
      </c>
      <c r="S988" s="1259">
        <f t="shared" si="107"/>
        <v>0</v>
      </c>
      <c r="T988" s="1247" t="str">
        <f>IFERROR(VLOOKUP(P988,RPCChargeCycleDates[],1,FALSE),"")</f>
        <v/>
      </c>
      <c r="U988" s="1248" t="str">
        <f>IFERROR(_xlfn.DAYS(T988,$Q$16)-SUM(U$26:U987),"")</f>
        <v/>
      </c>
      <c r="V988" s="1258">
        <f t="shared" ca="1" si="108"/>
        <v>0</v>
      </c>
      <c r="W988" s="1258">
        <f t="shared" ca="1" si="109"/>
        <v>0</v>
      </c>
      <c r="X988" s="1258" t="e">
        <f t="shared" ca="1" si="110"/>
        <v>#N/A</v>
      </c>
      <c r="Y988" s="1240"/>
      <c r="Z988" s="1240"/>
      <c r="AA988" s="1240"/>
      <c r="AB988" s="1240"/>
      <c r="AC988" s="1240"/>
      <c r="AD988" s="1240"/>
      <c r="AE988" s="1240"/>
      <c r="AF988" s="1240"/>
      <c r="AG988" s="1240"/>
      <c r="AH988" s="1240"/>
      <c r="AI988" s="1240"/>
      <c r="AJ988" s="1240"/>
      <c r="AK988" s="1240"/>
      <c r="AL988" s="1240"/>
      <c r="AM988" s="1240"/>
      <c r="AN988" s="1240"/>
      <c r="AO988" s="1240"/>
      <c r="AP988" s="1240"/>
    </row>
    <row r="989" spans="1:42" ht="18.75" customHeight="1" x14ac:dyDescent="0.35">
      <c r="A989" s="1240"/>
      <c r="B989" s="1240"/>
      <c r="C989" s="1240"/>
      <c r="D989" s="1240"/>
      <c r="E989" s="1240"/>
      <c r="F989" s="1240"/>
      <c r="G989" s="1240"/>
      <c r="H989" s="1240"/>
      <c r="I989" s="1240"/>
      <c r="J989" s="1240"/>
      <c r="K989" s="1240"/>
      <c r="L989" s="1240"/>
      <c r="M989" s="1240"/>
      <c r="N989" s="1240"/>
      <c r="O989" s="1240"/>
      <c r="P989" s="1247">
        <f t="shared" si="106"/>
        <v>963</v>
      </c>
      <c r="Q989" s="1253" t="e">
        <f t="shared" ca="1" si="111"/>
        <v>#N/A</v>
      </c>
      <c r="R989" s="1247" t="str">
        <f>IFERROR(VLOOKUP(P989,RPCRepaymentDates[],1,FALSE),"")</f>
        <v/>
      </c>
      <c r="S989" s="1259">
        <f t="shared" si="107"/>
        <v>0</v>
      </c>
      <c r="T989" s="1247" t="str">
        <f>IFERROR(VLOOKUP(P989,RPCChargeCycleDates[],1,FALSE),"")</f>
        <v/>
      </c>
      <c r="U989" s="1248" t="str">
        <f>IFERROR(_xlfn.DAYS(T989,$Q$16)-SUM(U$26:U988),"")</f>
        <v/>
      </c>
      <c r="V989" s="1258">
        <f t="shared" ca="1" si="108"/>
        <v>0</v>
      </c>
      <c r="W989" s="1258">
        <f t="shared" ca="1" si="109"/>
        <v>0</v>
      </c>
      <c r="X989" s="1258" t="e">
        <f t="shared" ca="1" si="110"/>
        <v>#N/A</v>
      </c>
      <c r="Y989" s="1240"/>
      <c r="Z989" s="1240"/>
      <c r="AA989" s="1240"/>
      <c r="AB989" s="1240"/>
      <c r="AC989" s="1240"/>
      <c r="AD989" s="1240"/>
      <c r="AE989" s="1240"/>
      <c r="AF989" s="1240"/>
      <c r="AG989" s="1240"/>
      <c r="AH989" s="1240"/>
      <c r="AI989" s="1240"/>
      <c r="AJ989" s="1240"/>
      <c r="AK989" s="1240"/>
      <c r="AL989" s="1240"/>
      <c r="AM989" s="1240"/>
      <c r="AN989" s="1240"/>
      <c r="AO989" s="1240"/>
      <c r="AP989" s="1240"/>
    </row>
    <row r="990" spans="1:42" ht="18.75" customHeight="1" x14ac:dyDescent="0.35">
      <c r="A990" s="1240"/>
      <c r="B990" s="1240"/>
      <c r="C990" s="1240"/>
      <c r="D990" s="1240"/>
      <c r="E990" s="1240"/>
      <c r="F990" s="1240"/>
      <c r="G990" s="1240"/>
      <c r="H990" s="1240"/>
      <c r="I990" s="1240"/>
      <c r="J990" s="1240"/>
      <c r="K990" s="1240"/>
      <c r="L990" s="1240"/>
      <c r="M990" s="1240"/>
      <c r="N990" s="1240"/>
      <c r="O990" s="1240"/>
      <c r="P990" s="1247">
        <f t="shared" si="106"/>
        <v>964</v>
      </c>
      <c r="Q990" s="1253" t="e">
        <f t="shared" ca="1" si="111"/>
        <v>#N/A</v>
      </c>
      <c r="R990" s="1247" t="str">
        <f>IFERROR(VLOOKUP(P990,RPCRepaymentDates[],1,FALSE),"")</f>
        <v/>
      </c>
      <c r="S990" s="1259">
        <f t="shared" si="107"/>
        <v>0</v>
      </c>
      <c r="T990" s="1247" t="str">
        <f>IFERROR(VLOOKUP(P990,RPCChargeCycleDates[],1,FALSE),"")</f>
        <v/>
      </c>
      <c r="U990" s="1248" t="str">
        <f>IFERROR(_xlfn.DAYS(T990,$Q$16)-SUM(U$26:U989),"")</f>
        <v/>
      </c>
      <c r="V990" s="1258">
        <f t="shared" ca="1" si="108"/>
        <v>0</v>
      </c>
      <c r="W990" s="1258">
        <f t="shared" ca="1" si="109"/>
        <v>0</v>
      </c>
      <c r="X990" s="1258" t="e">
        <f t="shared" ca="1" si="110"/>
        <v>#N/A</v>
      </c>
      <c r="Y990" s="1240"/>
      <c r="Z990" s="1240"/>
      <c r="AA990" s="1240"/>
      <c r="AB990" s="1240"/>
      <c r="AC990" s="1240"/>
      <c r="AD990" s="1240"/>
      <c r="AE990" s="1240"/>
      <c r="AF990" s="1240"/>
      <c r="AG990" s="1240"/>
      <c r="AH990" s="1240"/>
      <c r="AI990" s="1240"/>
      <c r="AJ990" s="1240"/>
      <c r="AK990" s="1240"/>
      <c r="AL990" s="1240"/>
      <c r="AM990" s="1240"/>
      <c r="AN990" s="1240"/>
      <c r="AO990" s="1240"/>
      <c r="AP990" s="1240"/>
    </row>
    <row r="991" spans="1:42" ht="18.75" customHeight="1" x14ac:dyDescent="0.35">
      <c r="A991" s="1240"/>
      <c r="B991" s="1240"/>
      <c r="C991" s="1240"/>
      <c r="D991" s="1240"/>
      <c r="E991" s="1240"/>
      <c r="F991" s="1240"/>
      <c r="G991" s="1240"/>
      <c r="H991" s="1240"/>
      <c r="I991" s="1240"/>
      <c r="J991" s="1240"/>
      <c r="K991" s="1240"/>
      <c r="L991" s="1240"/>
      <c r="M991" s="1240"/>
      <c r="N991" s="1240"/>
      <c r="O991" s="1240"/>
      <c r="P991" s="1247">
        <f t="shared" si="106"/>
        <v>965</v>
      </c>
      <c r="Q991" s="1253" t="e">
        <f t="shared" ca="1" si="111"/>
        <v>#N/A</v>
      </c>
      <c r="R991" s="1247" t="str">
        <f>IFERROR(VLOOKUP(P991,RPCRepaymentDates[],1,FALSE),"")</f>
        <v/>
      </c>
      <c r="S991" s="1259">
        <f t="shared" si="107"/>
        <v>0</v>
      </c>
      <c r="T991" s="1247" t="str">
        <f>IFERROR(VLOOKUP(P991,RPCChargeCycleDates[],1,FALSE),"")</f>
        <v/>
      </c>
      <c r="U991" s="1248" t="str">
        <f>IFERROR(_xlfn.DAYS(T991,$Q$16)-SUM(U$26:U990),"")</f>
        <v/>
      </c>
      <c r="V991" s="1258">
        <f t="shared" ca="1" si="108"/>
        <v>0</v>
      </c>
      <c r="W991" s="1258">
        <f t="shared" ca="1" si="109"/>
        <v>0</v>
      </c>
      <c r="X991" s="1258" t="e">
        <f t="shared" ca="1" si="110"/>
        <v>#N/A</v>
      </c>
      <c r="Y991" s="1240"/>
      <c r="Z991" s="1240"/>
      <c r="AA991" s="1240"/>
      <c r="AB991" s="1240"/>
      <c r="AC991" s="1240"/>
      <c r="AD991" s="1240"/>
      <c r="AE991" s="1240"/>
      <c r="AF991" s="1240"/>
      <c r="AG991" s="1240"/>
      <c r="AH991" s="1240"/>
      <c r="AI991" s="1240"/>
      <c r="AJ991" s="1240"/>
      <c r="AK991" s="1240"/>
      <c r="AL991" s="1240"/>
      <c r="AM991" s="1240"/>
      <c r="AN991" s="1240"/>
      <c r="AO991" s="1240"/>
      <c r="AP991" s="1240"/>
    </row>
    <row r="992" spans="1:42" ht="18.75" customHeight="1" x14ac:dyDescent="0.35">
      <c r="A992" s="1240"/>
      <c r="B992" s="1240"/>
      <c r="C992" s="1240"/>
      <c r="D992" s="1240"/>
      <c r="E992" s="1240"/>
      <c r="F992" s="1240"/>
      <c r="G992" s="1240"/>
      <c r="H992" s="1240"/>
      <c r="I992" s="1240"/>
      <c r="J992" s="1240"/>
      <c r="K992" s="1240"/>
      <c r="L992" s="1240"/>
      <c r="M992" s="1240"/>
      <c r="N992" s="1240"/>
      <c r="O992" s="1240"/>
      <c r="P992" s="1247">
        <f t="shared" si="106"/>
        <v>966</v>
      </c>
      <c r="Q992" s="1253" t="e">
        <f t="shared" ca="1" si="111"/>
        <v>#N/A</v>
      </c>
      <c r="R992" s="1247" t="str">
        <f>IFERROR(VLOOKUP(P992,RPCRepaymentDates[],1,FALSE),"")</f>
        <v/>
      </c>
      <c r="S992" s="1259">
        <f t="shared" si="107"/>
        <v>0</v>
      </c>
      <c r="T992" s="1247" t="str">
        <f>IFERROR(VLOOKUP(P992,RPCChargeCycleDates[],1,FALSE),"")</f>
        <v/>
      </c>
      <c r="U992" s="1248" t="str">
        <f>IFERROR(_xlfn.DAYS(T992,$Q$16)-SUM(U$26:U991),"")</f>
        <v/>
      </c>
      <c r="V992" s="1258">
        <f t="shared" ca="1" si="108"/>
        <v>0</v>
      </c>
      <c r="W992" s="1258">
        <f t="shared" ca="1" si="109"/>
        <v>0</v>
      </c>
      <c r="X992" s="1258" t="e">
        <f t="shared" ca="1" si="110"/>
        <v>#N/A</v>
      </c>
      <c r="Y992" s="1240"/>
      <c r="Z992" s="1240"/>
      <c r="AA992" s="1240"/>
      <c r="AB992" s="1240"/>
      <c r="AC992" s="1240"/>
      <c r="AD992" s="1240"/>
      <c r="AE992" s="1240"/>
      <c r="AF992" s="1240"/>
      <c r="AG992" s="1240"/>
      <c r="AH992" s="1240"/>
      <c r="AI992" s="1240"/>
      <c r="AJ992" s="1240"/>
      <c r="AK992" s="1240"/>
      <c r="AL992" s="1240"/>
      <c r="AM992" s="1240"/>
      <c r="AN992" s="1240"/>
      <c r="AO992" s="1240"/>
      <c r="AP992" s="1240"/>
    </row>
    <row r="993" spans="1:42" ht="18.75" customHeight="1" x14ac:dyDescent="0.35">
      <c r="A993" s="1240"/>
      <c r="B993" s="1240"/>
      <c r="C993" s="1240"/>
      <c r="D993" s="1240"/>
      <c r="E993" s="1240"/>
      <c r="F993" s="1240"/>
      <c r="G993" s="1240"/>
      <c r="H993" s="1240"/>
      <c r="I993" s="1240"/>
      <c r="J993" s="1240"/>
      <c r="K993" s="1240"/>
      <c r="L993" s="1240"/>
      <c r="M993" s="1240"/>
      <c r="N993" s="1240"/>
      <c r="O993" s="1240"/>
      <c r="P993" s="1247">
        <f t="shared" si="106"/>
        <v>967</v>
      </c>
      <c r="Q993" s="1253" t="e">
        <f t="shared" ca="1" si="111"/>
        <v>#N/A</v>
      </c>
      <c r="R993" s="1247" t="str">
        <f>IFERROR(VLOOKUP(P993,RPCRepaymentDates[],1,FALSE),"")</f>
        <v/>
      </c>
      <c r="S993" s="1259">
        <f t="shared" si="107"/>
        <v>0</v>
      </c>
      <c r="T993" s="1247" t="str">
        <f>IFERROR(VLOOKUP(P993,RPCChargeCycleDates[],1,FALSE),"")</f>
        <v/>
      </c>
      <c r="U993" s="1248" t="str">
        <f>IFERROR(_xlfn.DAYS(T993,$Q$16)-SUM(U$26:U992),"")</f>
        <v/>
      </c>
      <c r="V993" s="1258">
        <f t="shared" ca="1" si="108"/>
        <v>0</v>
      </c>
      <c r="W993" s="1258">
        <f t="shared" ca="1" si="109"/>
        <v>0</v>
      </c>
      <c r="X993" s="1258" t="e">
        <f t="shared" ca="1" si="110"/>
        <v>#N/A</v>
      </c>
      <c r="Y993" s="1240"/>
      <c r="Z993" s="1240"/>
      <c r="AA993" s="1240"/>
      <c r="AB993" s="1240"/>
      <c r="AC993" s="1240"/>
      <c r="AD993" s="1240"/>
      <c r="AE993" s="1240"/>
      <c r="AF993" s="1240"/>
      <c r="AG993" s="1240"/>
      <c r="AH993" s="1240"/>
      <c r="AI993" s="1240"/>
      <c r="AJ993" s="1240"/>
      <c r="AK993" s="1240"/>
      <c r="AL993" s="1240"/>
      <c r="AM993" s="1240"/>
      <c r="AN993" s="1240"/>
      <c r="AO993" s="1240"/>
      <c r="AP993" s="1240"/>
    </row>
    <row r="994" spans="1:42" ht="18.75" customHeight="1" x14ac:dyDescent="0.35">
      <c r="A994" s="1240"/>
      <c r="B994" s="1240"/>
      <c r="C994" s="1240"/>
      <c r="D994" s="1240"/>
      <c r="E994" s="1240"/>
      <c r="F994" s="1240"/>
      <c r="G994" s="1240"/>
      <c r="H994" s="1240"/>
      <c r="I994" s="1240"/>
      <c r="J994" s="1240"/>
      <c r="K994" s="1240"/>
      <c r="L994" s="1240"/>
      <c r="M994" s="1240"/>
      <c r="N994" s="1240"/>
      <c r="O994" s="1240"/>
      <c r="P994" s="1247">
        <f t="shared" si="106"/>
        <v>968</v>
      </c>
      <c r="Q994" s="1253" t="e">
        <f t="shared" ca="1" si="111"/>
        <v>#N/A</v>
      </c>
      <c r="R994" s="1247" t="str">
        <f>IFERROR(VLOOKUP(P994,RPCRepaymentDates[],1,FALSE),"")</f>
        <v/>
      </c>
      <c r="S994" s="1259">
        <f t="shared" si="107"/>
        <v>0</v>
      </c>
      <c r="T994" s="1247" t="str">
        <f>IFERROR(VLOOKUP(P994,RPCChargeCycleDates[],1,FALSE),"")</f>
        <v/>
      </c>
      <c r="U994" s="1248" t="str">
        <f>IFERROR(_xlfn.DAYS(T994,$Q$16)-SUM(U$26:U993),"")</f>
        <v/>
      </c>
      <c r="V994" s="1258">
        <f t="shared" ca="1" si="108"/>
        <v>0</v>
      </c>
      <c r="W994" s="1258">
        <f t="shared" ca="1" si="109"/>
        <v>0</v>
      </c>
      <c r="X994" s="1258" t="e">
        <f t="shared" ca="1" si="110"/>
        <v>#N/A</v>
      </c>
      <c r="Y994" s="1240"/>
      <c r="Z994" s="1240"/>
      <c r="AA994" s="1240"/>
      <c r="AB994" s="1240"/>
      <c r="AC994" s="1240"/>
      <c r="AD994" s="1240"/>
      <c r="AE994" s="1240"/>
      <c r="AF994" s="1240"/>
      <c r="AG994" s="1240"/>
      <c r="AH994" s="1240"/>
      <c r="AI994" s="1240"/>
      <c r="AJ994" s="1240"/>
      <c r="AK994" s="1240"/>
      <c r="AL994" s="1240"/>
      <c r="AM994" s="1240"/>
      <c r="AN994" s="1240"/>
      <c r="AO994" s="1240"/>
      <c r="AP994" s="1240"/>
    </row>
    <row r="995" spans="1:42" ht="18.75" customHeight="1" x14ac:dyDescent="0.35">
      <c r="A995" s="1240"/>
      <c r="B995" s="1240"/>
      <c r="C995" s="1240"/>
      <c r="D995" s="1240"/>
      <c r="E995" s="1240"/>
      <c r="F995" s="1240"/>
      <c r="G995" s="1240"/>
      <c r="H995" s="1240"/>
      <c r="I995" s="1240"/>
      <c r="J995" s="1240"/>
      <c r="K995" s="1240"/>
      <c r="L995" s="1240"/>
      <c r="M995" s="1240"/>
      <c r="N995" s="1240"/>
      <c r="O995" s="1240"/>
      <c r="P995" s="1247">
        <f t="shared" si="106"/>
        <v>969</v>
      </c>
      <c r="Q995" s="1253" t="e">
        <f t="shared" ca="1" si="111"/>
        <v>#N/A</v>
      </c>
      <c r="R995" s="1247" t="str">
        <f>IFERROR(VLOOKUP(P995,RPCRepaymentDates[],1,FALSE),"")</f>
        <v/>
      </c>
      <c r="S995" s="1259">
        <f t="shared" si="107"/>
        <v>0</v>
      </c>
      <c r="T995" s="1247" t="str">
        <f>IFERROR(VLOOKUP(P995,RPCChargeCycleDates[],1,FALSE),"")</f>
        <v/>
      </c>
      <c r="U995" s="1248" t="str">
        <f>IFERROR(_xlfn.DAYS(T995,$Q$16)-SUM(U$26:U994),"")</f>
        <v/>
      </c>
      <c r="V995" s="1258">
        <f t="shared" ca="1" si="108"/>
        <v>0</v>
      </c>
      <c r="W995" s="1258">
        <f t="shared" ca="1" si="109"/>
        <v>0</v>
      </c>
      <c r="X995" s="1258" t="e">
        <f t="shared" ca="1" si="110"/>
        <v>#N/A</v>
      </c>
      <c r="Y995" s="1240"/>
      <c r="Z995" s="1240"/>
      <c r="AA995" s="1240"/>
      <c r="AB995" s="1240"/>
      <c r="AC995" s="1240"/>
      <c r="AD995" s="1240"/>
      <c r="AE995" s="1240"/>
      <c r="AF995" s="1240"/>
      <c r="AG995" s="1240"/>
      <c r="AH995" s="1240"/>
      <c r="AI995" s="1240"/>
      <c r="AJ995" s="1240"/>
      <c r="AK995" s="1240"/>
      <c r="AL995" s="1240"/>
      <c r="AM995" s="1240"/>
      <c r="AN995" s="1240"/>
      <c r="AO995" s="1240"/>
      <c r="AP995" s="1240"/>
    </row>
    <row r="996" spans="1:42" ht="18.75" customHeight="1" x14ac:dyDescent="0.35">
      <c r="A996" s="1240"/>
      <c r="B996" s="1240"/>
      <c r="C996" s="1240"/>
      <c r="D996" s="1240"/>
      <c r="E996" s="1240"/>
      <c r="F996" s="1240"/>
      <c r="G996" s="1240"/>
      <c r="H996" s="1240"/>
      <c r="I996" s="1240"/>
      <c r="J996" s="1240"/>
      <c r="K996" s="1240"/>
      <c r="L996" s="1240"/>
      <c r="M996" s="1240"/>
      <c r="N996" s="1240"/>
      <c r="O996" s="1240"/>
      <c r="P996" s="1247">
        <f t="shared" si="106"/>
        <v>970</v>
      </c>
      <c r="Q996" s="1253" t="e">
        <f t="shared" ca="1" si="111"/>
        <v>#N/A</v>
      </c>
      <c r="R996" s="1247" t="str">
        <f>IFERROR(VLOOKUP(P996,RPCRepaymentDates[],1,FALSE),"")</f>
        <v/>
      </c>
      <c r="S996" s="1259">
        <f t="shared" si="107"/>
        <v>0</v>
      </c>
      <c r="T996" s="1247" t="str">
        <f>IFERROR(VLOOKUP(P996,RPCChargeCycleDates[],1,FALSE),"")</f>
        <v/>
      </c>
      <c r="U996" s="1248" t="str">
        <f>IFERROR(_xlfn.DAYS(T996,$Q$16)-SUM(U$26:U995),"")</f>
        <v/>
      </c>
      <c r="V996" s="1258">
        <f t="shared" ca="1" si="108"/>
        <v>0</v>
      </c>
      <c r="W996" s="1258">
        <f t="shared" ca="1" si="109"/>
        <v>0</v>
      </c>
      <c r="X996" s="1258" t="e">
        <f t="shared" ca="1" si="110"/>
        <v>#N/A</v>
      </c>
      <c r="Y996" s="1240"/>
      <c r="Z996" s="1240"/>
      <c r="AA996" s="1240"/>
      <c r="AB996" s="1240"/>
      <c r="AC996" s="1240"/>
      <c r="AD996" s="1240"/>
      <c r="AE996" s="1240"/>
      <c r="AF996" s="1240"/>
      <c r="AG996" s="1240"/>
      <c r="AH996" s="1240"/>
      <c r="AI996" s="1240"/>
      <c r="AJ996" s="1240"/>
      <c r="AK996" s="1240"/>
      <c r="AL996" s="1240"/>
      <c r="AM996" s="1240"/>
      <c r="AN996" s="1240"/>
      <c r="AO996" s="1240"/>
      <c r="AP996" s="1240"/>
    </row>
    <row r="997" spans="1:42" ht="18.75" customHeight="1" x14ac:dyDescent="0.35">
      <c r="A997" s="1240"/>
      <c r="B997" s="1240"/>
      <c r="C997" s="1240"/>
      <c r="D997" s="1240"/>
      <c r="E997" s="1240"/>
      <c r="F997" s="1240"/>
      <c r="G997" s="1240"/>
      <c r="H997" s="1240"/>
      <c r="I997" s="1240"/>
      <c r="J997" s="1240"/>
      <c r="K997" s="1240"/>
      <c r="L997" s="1240"/>
      <c r="M997" s="1240"/>
      <c r="N997" s="1240"/>
      <c r="O997" s="1240"/>
      <c r="P997" s="1247">
        <f t="shared" si="106"/>
        <v>971</v>
      </c>
      <c r="Q997" s="1253" t="e">
        <f t="shared" ca="1" si="111"/>
        <v>#N/A</v>
      </c>
      <c r="R997" s="1247" t="str">
        <f>IFERROR(VLOOKUP(P997,RPCRepaymentDates[],1,FALSE),"")</f>
        <v/>
      </c>
      <c r="S997" s="1259">
        <f t="shared" si="107"/>
        <v>0</v>
      </c>
      <c r="T997" s="1247">
        <f>IFERROR(VLOOKUP(P997,RPCChargeCycleDates[],1,FALSE),"")</f>
        <v>971</v>
      </c>
      <c r="U997" s="1248">
        <f>IFERROR(_xlfn.DAYS(T997,$Q$16)-SUM(U$26:U996),"")</f>
        <v>31</v>
      </c>
      <c r="V997" s="1258">
        <f t="shared" ca="1" si="108"/>
        <v>0</v>
      </c>
      <c r="W997" s="1258">
        <f t="shared" ca="1" si="109"/>
        <v>0</v>
      </c>
      <c r="X997" s="1258" t="e">
        <f t="shared" ca="1" si="110"/>
        <v>#N/A</v>
      </c>
      <c r="Y997" s="1240"/>
      <c r="Z997" s="1240"/>
      <c r="AA997" s="1240"/>
      <c r="AB997" s="1240"/>
      <c r="AC997" s="1240"/>
      <c r="AD997" s="1240"/>
      <c r="AE997" s="1240"/>
      <c r="AF997" s="1240"/>
      <c r="AG997" s="1240"/>
      <c r="AH997" s="1240"/>
      <c r="AI997" s="1240"/>
      <c r="AJ997" s="1240"/>
      <c r="AK997" s="1240"/>
      <c r="AL997" s="1240"/>
      <c r="AM997" s="1240"/>
      <c r="AN997" s="1240"/>
      <c r="AO997" s="1240"/>
      <c r="AP997" s="1240"/>
    </row>
    <row r="998" spans="1:42" ht="18.75" customHeight="1" x14ac:dyDescent="0.35">
      <c r="A998" s="1240"/>
      <c r="B998" s="1240"/>
      <c r="C998" s="1240"/>
      <c r="D998" s="1240"/>
      <c r="E998" s="1240"/>
      <c r="F998" s="1240"/>
      <c r="G998" s="1240"/>
      <c r="H998" s="1240"/>
      <c r="I998" s="1240"/>
      <c r="J998" s="1240"/>
      <c r="K998" s="1240"/>
      <c r="L998" s="1240"/>
      <c r="M998" s="1240"/>
      <c r="N998" s="1240"/>
      <c r="O998" s="1240"/>
      <c r="P998" s="1247">
        <f t="shared" si="106"/>
        <v>972</v>
      </c>
      <c r="Q998" s="1253" t="e">
        <f t="shared" ca="1" si="111"/>
        <v>#N/A</v>
      </c>
      <c r="R998" s="1247" t="str">
        <f>IFERROR(VLOOKUP(P998,RPCRepaymentDates[],1,FALSE),"")</f>
        <v/>
      </c>
      <c r="S998" s="1259">
        <f t="shared" si="107"/>
        <v>0</v>
      </c>
      <c r="T998" s="1247" t="str">
        <f>IFERROR(VLOOKUP(P998,RPCChargeCycleDates[],1,FALSE),"")</f>
        <v/>
      </c>
      <c r="U998" s="1248" t="str">
        <f>IFERROR(_xlfn.DAYS(T998,$Q$16)-SUM(U$26:U997),"")</f>
        <v/>
      </c>
      <c r="V998" s="1258">
        <f t="shared" ca="1" si="108"/>
        <v>0</v>
      </c>
      <c r="W998" s="1258">
        <f t="shared" ca="1" si="109"/>
        <v>0</v>
      </c>
      <c r="X998" s="1258" t="e">
        <f t="shared" ca="1" si="110"/>
        <v>#N/A</v>
      </c>
      <c r="Y998" s="1240"/>
      <c r="Z998" s="1240"/>
      <c r="AA998" s="1240"/>
      <c r="AB998" s="1240"/>
      <c r="AC998" s="1240"/>
      <c r="AD998" s="1240"/>
      <c r="AE998" s="1240"/>
      <c r="AF998" s="1240"/>
      <c r="AG998" s="1240"/>
      <c r="AH998" s="1240"/>
      <c r="AI998" s="1240"/>
      <c r="AJ998" s="1240"/>
      <c r="AK998" s="1240"/>
      <c r="AL998" s="1240"/>
      <c r="AM998" s="1240"/>
      <c r="AN998" s="1240"/>
      <c r="AO998" s="1240"/>
      <c r="AP998" s="1240"/>
    </row>
    <row r="999" spans="1:42" ht="18.75" customHeight="1" x14ac:dyDescent="0.35">
      <c r="A999" s="1240"/>
      <c r="B999" s="1240"/>
      <c r="C999" s="1240"/>
      <c r="D999" s="1240"/>
      <c r="E999" s="1240"/>
      <c r="F999" s="1240"/>
      <c r="G999" s="1240"/>
      <c r="H999" s="1240"/>
      <c r="I999" s="1240"/>
      <c r="J999" s="1240"/>
      <c r="K999" s="1240"/>
      <c r="L999" s="1240"/>
      <c r="M999" s="1240"/>
      <c r="N999" s="1240"/>
      <c r="O999" s="1240"/>
      <c r="P999" s="1247">
        <f t="shared" si="106"/>
        <v>973</v>
      </c>
      <c r="Q999" s="1253" t="e">
        <f t="shared" ca="1" si="111"/>
        <v>#N/A</v>
      </c>
      <c r="R999" s="1247" t="str">
        <f>IFERROR(VLOOKUP(P999,RPCRepaymentDates[],1,FALSE),"")</f>
        <v/>
      </c>
      <c r="S999" s="1259">
        <f t="shared" si="107"/>
        <v>0</v>
      </c>
      <c r="T999" s="1247" t="str">
        <f>IFERROR(VLOOKUP(P999,RPCChargeCycleDates[],1,FALSE),"")</f>
        <v/>
      </c>
      <c r="U999" s="1248" t="str">
        <f>IFERROR(_xlfn.DAYS(T999,$Q$16)-SUM(U$26:U998),"")</f>
        <v/>
      </c>
      <c r="V999" s="1258">
        <f t="shared" ca="1" si="108"/>
        <v>0</v>
      </c>
      <c r="W999" s="1258">
        <f t="shared" ca="1" si="109"/>
        <v>0</v>
      </c>
      <c r="X999" s="1258" t="e">
        <f t="shared" ca="1" si="110"/>
        <v>#N/A</v>
      </c>
      <c r="Y999" s="1240"/>
      <c r="Z999" s="1240"/>
      <c r="AA999" s="1240"/>
      <c r="AB999" s="1240"/>
      <c r="AC999" s="1240"/>
      <c r="AD999" s="1240"/>
      <c r="AE999" s="1240"/>
      <c r="AF999" s="1240"/>
      <c r="AG999" s="1240"/>
      <c r="AH999" s="1240"/>
      <c r="AI999" s="1240"/>
      <c r="AJ999" s="1240"/>
      <c r="AK999" s="1240"/>
      <c r="AL999" s="1240"/>
      <c r="AM999" s="1240"/>
      <c r="AN999" s="1240"/>
      <c r="AO999" s="1240"/>
      <c r="AP999" s="1240"/>
    </row>
    <row r="1000" spans="1:42" ht="18.75" customHeight="1" x14ac:dyDescent="0.35">
      <c r="A1000" s="1240"/>
      <c r="B1000" s="1240"/>
      <c r="C1000" s="1240"/>
      <c r="D1000" s="1240"/>
      <c r="E1000" s="1240"/>
      <c r="F1000" s="1240"/>
      <c r="G1000" s="1240"/>
      <c r="H1000" s="1240"/>
      <c r="I1000" s="1240"/>
      <c r="J1000" s="1240"/>
      <c r="K1000" s="1240"/>
      <c r="L1000" s="1240"/>
      <c r="M1000" s="1240"/>
      <c r="N1000" s="1240"/>
      <c r="O1000" s="1240"/>
      <c r="P1000" s="1247">
        <f t="shared" si="106"/>
        <v>974</v>
      </c>
      <c r="Q1000" s="1253" t="e">
        <f t="shared" ca="1" si="111"/>
        <v>#N/A</v>
      </c>
      <c r="R1000" s="1247" t="str">
        <f>IFERROR(VLOOKUP(P1000,RPCRepaymentDates[],1,FALSE),"")</f>
        <v/>
      </c>
      <c r="S1000" s="1259">
        <f t="shared" si="107"/>
        <v>0</v>
      </c>
      <c r="T1000" s="1247" t="str">
        <f>IFERROR(VLOOKUP(P1000,RPCChargeCycleDates[],1,FALSE),"")</f>
        <v/>
      </c>
      <c r="U1000" s="1248" t="str">
        <f>IFERROR(_xlfn.DAYS(T1000,$Q$16)-SUM(U$26:U999),"")</f>
        <v/>
      </c>
      <c r="V1000" s="1258">
        <f t="shared" ca="1" si="108"/>
        <v>0</v>
      </c>
      <c r="W1000" s="1258">
        <f t="shared" ca="1" si="109"/>
        <v>0</v>
      </c>
      <c r="X1000" s="1258" t="e">
        <f t="shared" ca="1" si="110"/>
        <v>#N/A</v>
      </c>
      <c r="Y1000" s="1240"/>
      <c r="Z1000" s="1240"/>
      <c r="AA1000" s="1240"/>
      <c r="AB1000" s="1240"/>
      <c r="AC1000" s="1240"/>
      <c r="AD1000" s="1240"/>
      <c r="AE1000" s="1240"/>
      <c r="AF1000" s="1240"/>
      <c r="AG1000" s="1240"/>
      <c r="AH1000" s="1240"/>
      <c r="AI1000" s="1240"/>
      <c r="AJ1000" s="1240"/>
      <c r="AK1000" s="1240"/>
      <c r="AL1000" s="1240"/>
      <c r="AM1000" s="1240"/>
      <c r="AN1000" s="1240"/>
      <c r="AO1000" s="1240"/>
      <c r="AP1000" s="1240"/>
    </row>
    <row r="1001" spans="1:42" ht="18.75" customHeight="1" x14ac:dyDescent="0.35">
      <c r="A1001" s="1240"/>
      <c r="B1001" s="1240"/>
      <c r="C1001" s="1240"/>
      <c r="D1001" s="1240"/>
      <c r="E1001" s="1240"/>
      <c r="F1001" s="1240"/>
      <c r="G1001" s="1240"/>
      <c r="H1001" s="1240"/>
      <c r="I1001" s="1240"/>
      <c r="J1001" s="1240"/>
      <c r="K1001" s="1240"/>
      <c r="L1001" s="1240"/>
      <c r="M1001" s="1240"/>
      <c r="N1001" s="1240"/>
      <c r="O1001" s="1240"/>
      <c r="P1001" s="1247">
        <f t="shared" si="106"/>
        <v>975</v>
      </c>
      <c r="Q1001" s="1253" t="e">
        <f t="shared" ca="1" si="111"/>
        <v>#N/A</v>
      </c>
      <c r="R1001" s="1247" t="str">
        <f>IFERROR(VLOOKUP(P1001,RPCRepaymentDates[],1,FALSE),"")</f>
        <v/>
      </c>
      <c r="S1001" s="1259">
        <f t="shared" si="107"/>
        <v>0</v>
      </c>
      <c r="T1001" s="1247" t="str">
        <f>IFERROR(VLOOKUP(P1001,RPCChargeCycleDates[],1,FALSE),"")</f>
        <v/>
      </c>
      <c r="U1001" s="1248" t="str">
        <f>IFERROR(_xlfn.DAYS(T1001,$Q$16)-SUM(U$26:U1000),"")</f>
        <v/>
      </c>
      <c r="V1001" s="1258">
        <f t="shared" ca="1" si="108"/>
        <v>0</v>
      </c>
      <c r="W1001" s="1258">
        <f t="shared" ca="1" si="109"/>
        <v>0</v>
      </c>
      <c r="X1001" s="1258" t="e">
        <f t="shared" ca="1" si="110"/>
        <v>#N/A</v>
      </c>
      <c r="Y1001" s="1240"/>
      <c r="Z1001" s="1240"/>
      <c r="AA1001" s="1240"/>
      <c r="AB1001" s="1240"/>
      <c r="AC1001" s="1240"/>
      <c r="AD1001" s="1240"/>
      <c r="AE1001" s="1240"/>
      <c r="AF1001" s="1240"/>
      <c r="AG1001" s="1240"/>
      <c r="AH1001" s="1240"/>
      <c r="AI1001" s="1240"/>
      <c r="AJ1001" s="1240"/>
      <c r="AK1001" s="1240"/>
      <c r="AL1001" s="1240"/>
      <c r="AM1001" s="1240"/>
      <c r="AN1001" s="1240"/>
      <c r="AO1001" s="1240"/>
      <c r="AP1001" s="1240"/>
    </row>
    <row r="1002" spans="1:42" ht="18.75" customHeight="1" x14ac:dyDescent="0.35">
      <c r="A1002" s="1240"/>
      <c r="B1002" s="1240"/>
      <c r="C1002" s="1240"/>
      <c r="D1002" s="1240"/>
      <c r="E1002" s="1240"/>
      <c r="F1002" s="1240"/>
      <c r="G1002" s="1240"/>
      <c r="H1002" s="1240"/>
      <c r="I1002" s="1240"/>
      <c r="J1002" s="1240"/>
      <c r="K1002" s="1240"/>
      <c r="L1002" s="1240"/>
      <c r="M1002" s="1240"/>
      <c r="N1002" s="1240"/>
      <c r="O1002" s="1240"/>
      <c r="P1002" s="1247">
        <f t="shared" ref="P1002" si="112">P1001+1</f>
        <v>976</v>
      </c>
      <c r="Q1002" s="1253" t="e">
        <f t="shared" ca="1" si="111"/>
        <v>#N/A</v>
      </c>
      <c r="R1002" s="1247" t="str">
        <f>IFERROR(VLOOKUP(P1002,RPCRepaymentDates[],1,FALSE),"")</f>
        <v/>
      </c>
      <c r="S1002" s="1259">
        <f t="shared" si="107"/>
        <v>0</v>
      </c>
      <c r="T1002" s="1247" t="str">
        <f>IFERROR(VLOOKUP(P1002,RPCChargeCycleDates[],1,FALSE),"")</f>
        <v/>
      </c>
      <c r="U1002" s="1248" t="str">
        <f>IFERROR(_xlfn.DAYS(T1002,$Q$16)-SUM(U$26:U1001),"")</f>
        <v/>
      </c>
      <c r="V1002" s="1258">
        <f t="shared" ca="1" si="108"/>
        <v>0</v>
      </c>
      <c r="W1002" s="1258">
        <f t="shared" ca="1" si="109"/>
        <v>0</v>
      </c>
      <c r="X1002" s="1258" t="e">
        <f t="shared" ca="1" si="110"/>
        <v>#N/A</v>
      </c>
      <c r="Y1002" s="1240"/>
      <c r="Z1002" s="1240"/>
      <c r="AA1002" s="1240"/>
      <c r="AB1002" s="1240"/>
      <c r="AC1002" s="1240"/>
      <c r="AD1002" s="1240"/>
      <c r="AE1002" s="1240"/>
      <c r="AF1002" s="1240"/>
      <c r="AG1002" s="1240"/>
      <c r="AH1002" s="1240"/>
      <c r="AI1002" s="1240"/>
      <c r="AJ1002" s="1240"/>
      <c r="AK1002" s="1240"/>
      <c r="AL1002" s="1240"/>
      <c r="AM1002" s="1240"/>
      <c r="AN1002" s="1240"/>
      <c r="AO1002" s="1240"/>
      <c r="AP1002" s="1240"/>
    </row>
    <row r="1003" spans="1:42" ht="18.75" customHeight="1" x14ac:dyDescent="0.35">
      <c r="A1003" s="1240"/>
      <c r="B1003" s="1240"/>
      <c r="C1003" s="1240"/>
      <c r="D1003" s="1240"/>
      <c r="E1003" s="1240"/>
      <c r="F1003" s="1240"/>
      <c r="G1003" s="1240"/>
      <c r="H1003" s="1240"/>
      <c r="I1003" s="1240"/>
      <c r="J1003" s="1240"/>
      <c r="K1003" s="1240"/>
      <c r="L1003" s="1240"/>
      <c r="M1003" s="1240"/>
      <c r="N1003" s="1240"/>
      <c r="O1003" s="1240"/>
      <c r="P1003" s="1247">
        <f>P1002+1</f>
        <v>977</v>
      </c>
      <c r="Q1003" s="1253" t="e">
        <f t="shared" ca="1" si="111"/>
        <v>#N/A</v>
      </c>
      <c r="R1003" s="1247" t="str">
        <f>IFERROR(VLOOKUP(P1003,RPCRepaymentDates[],1,FALSE),"")</f>
        <v/>
      </c>
      <c r="S1003" s="1259">
        <f t="shared" si="107"/>
        <v>0</v>
      </c>
      <c r="T1003" s="1247" t="str">
        <f>IFERROR(VLOOKUP(P1003,RPCChargeCycleDates[],1,FALSE),"")</f>
        <v/>
      </c>
      <c r="U1003" s="1248" t="str">
        <f>IFERROR(_xlfn.DAYS(T1003,$Q$16)-SUM(U$26:U1002),"")</f>
        <v/>
      </c>
      <c r="V1003" s="1258">
        <f t="shared" ca="1" si="108"/>
        <v>0</v>
      </c>
      <c r="W1003" s="1258">
        <f t="shared" ca="1" si="109"/>
        <v>0</v>
      </c>
      <c r="X1003" s="1258" t="e">
        <f t="shared" ca="1" si="110"/>
        <v>#N/A</v>
      </c>
      <c r="Y1003" s="1240"/>
      <c r="Z1003" s="1240"/>
      <c r="AA1003" s="1240"/>
      <c r="AB1003" s="1240"/>
      <c r="AC1003" s="1240"/>
      <c r="AD1003" s="1240"/>
      <c r="AE1003" s="1240"/>
      <c r="AF1003" s="1240"/>
      <c r="AG1003" s="1240"/>
      <c r="AH1003" s="1240"/>
      <c r="AI1003" s="1240"/>
      <c r="AJ1003" s="1240"/>
      <c r="AK1003" s="1240"/>
      <c r="AL1003" s="1240"/>
      <c r="AM1003" s="1240"/>
      <c r="AN1003" s="1240"/>
      <c r="AO1003" s="1240"/>
      <c r="AP1003" s="1240"/>
    </row>
    <row r="1004" spans="1:42" ht="18.75" customHeight="1" x14ac:dyDescent="0.35">
      <c r="A1004" s="1240"/>
      <c r="B1004" s="1240"/>
      <c r="C1004" s="1240"/>
      <c r="D1004" s="1240"/>
      <c r="E1004" s="1240"/>
      <c r="F1004" s="1240"/>
      <c r="G1004" s="1240"/>
      <c r="H1004" s="1240"/>
      <c r="I1004" s="1240"/>
      <c r="J1004" s="1240"/>
      <c r="K1004" s="1240"/>
      <c r="L1004" s="1240"/>
      <c r="M1004" s="1240"/>
      <c r="N1004" s="1240"/>
      <c r="O1004" s="1240"/>
      <c r="P1004" s="1247">
        <f t="shared" ref="P1004:P1025" si="113">P1003+1</f>
        <v>978</v>
      </c>
      <c r="Q1004" s="1253" t="e">
        <f t="shared" ca="1" si="111"/>
        <v>#N/A</v>
      </c>
      <c r="R1004" s="1247" t="str">
        <f>IFERROR(VLOOKUP(P1004,RPCRepaymentDates[],1,FALSE),"")</f>
        <v/>
      </c>
      <c r="S1004" s="1259">
        <f t="shared" si="107"/>
        <v>0</v>
      </c>
      <c r="T1004" s="1247" t="str">
        <f>IFERROR(VLOOKUP(P1004,RPCChargeCycleDates[],1,FALSE),"")</f>
        <v/>
      </c>
      <c r="U1004" s="1248" t="str">
        <f>IFERROR(_xlfn.DAYS(T1004,$Q$16)-SUM(U$26:U1003),"")</f>
        <v/>
      </c>
      <c r="V1004" s="1258">
        <f t="shared" ca="1" si="108"/>
        <v>0</v>
      </c>
      <c r="W1004" s="1258">
        <f t="shared" ca="1" si="109"/>
        <v>0</v>
      </c>
      <c r="X1004" s="1258" t="e">
        <f t="shared" ca="1" si="110"/>
        <v>#N/A</v>
      </c>
      <c r="Y1004" s="1240"/>
      <c r="Z1004" s="1240"/>
      <c r="AA1004" s="1240"/>
      <c r="AB1004" s="1240"/>
      <c r="AC1004" s="1240"/>
      <c r="AD1004" s="1240"/>
      <c r="AE1004" s="1240"/>
      <c r="AF1004" s="1240"/>
      <c r="AG1004" s="1240"/>
      <c r="AH1004" s="1240"/>
      <c r="AI1004" s="1240"/>
      <c r="AJ1004" s="1240"/>
      <c r="AK1004" s="1240"/>
      <c r="AL1004" s="1240"/>
      <c r="AM1004" s="1240"/>
      <c r="AN1004" s="1240"/>
      <c r="AO1004" s="1240"/>
      <c r="AP1004" s="1240"/>
    </row>
    <row r="1005" spans="1:42" ht="18.75" customHeight="1" x14ac:dyDescent="0.35">
      <c r="A1005" s="1240"/>
      <c r="B1005" s="1240"/>
      <c r="C1005" s="1240"/>
      <c r="D1005" s="1240"/>
      <c r="E1005" s="1240"/>
      <c r="F1005" s="1240"/>
      <c r="G1005" s="1240"/>
      <c r="H1005" s="1240"/>
      <c r="I1005" s="1240"/>
      <c r="J1005" s="1240"/>
      <c r="K1005" s="1240"/>
      <c r="L1005" s="1240"/>
      <c r="M1005" s="1240"/>
      <c r="N1005" s="1240"/>
      <c r="O1005" s="1240"/>
      <c r="P1005" s="1247">
        <f t="shared" si="113"/>
        <v>979</v>
      </c>
      <c r="Q1005" s="1253" t="e">
        <f t="shared" ca="1" si="111"/>
        <v>#N/A</v>
      </c>
      <c r="R1005" s="1247" t="str">
        <f>IFERROR(VLOOKUP(P1005,RPCRepaymentDates[],1,FALSE),"")</f>
        <v/>
      </c>
      <c r="S1005" s="1259">
        <f t="shared" si="107"/>
        <v>0</v>
      </c>
      <c r="T1005" s="1247" t="str">
        <f>IFERROR(VLOOKUP(P1005,RPCChargeCycleDates[],1,FALSE),"")</f>
        <v/>
      </c>
      <c r="U1005" s="1248" t="str">
        <f>IFERROR(_xlfn.DAYS(T1005,$Q$16)-SUM(U$26:U1004),"")</f>
        <v/>
      </c>
      <c r="V1005" s="1258">
        <f t="shared" ca="1" si="108"/>
        <v>0</v>
      </c>
      <c r="W1005" s="1258">
        <f t="shared" ca="1" si="109"/>
        <v>0</v>
      </c>
      <c r="X1005" s="1258" t="e">
        <f t="shared" ca="1" si="110"/>
        <v>#N/A</v>
      </c>
      <c r="Y1005" s="1240"/>
      <c r="Z1005" s="1240"/>
      <c r="AA1005" s="1240"/>
      <c r="AB1005" s="1240"/>
      <c r="AC1005" s="1240"/>
      <c r="AD1005" s="1240"/>
      <c r="AE1005" s="1240"/>
      <c r="AF1005" s="1240"/>
      <c r="AG1005" s="1240"/>
      <c r="AH1005" s="1240"/>
      <c r="AI1005" s="1240"/>
      <c r="AJ1005" s="1240"/>
      <c r="AK1005" s="1240"/>
      <c r="AL1005" s="1240"/>
      <c r="AM1005" s="1240"/>
      <c r="AN1005" s="1240"/>
      <c r="AO1005" s="1240"/>
      <c r="AP1005" s="1240"/>
    </row>
    <row r="1006" spans="1:42" ht="18.75" customHeight="1" x14ac:dyDescent="0.35">
      <c r="A1006" s="1240"/>
      <c r="B1006" s="1240"/>
      <c r="C1006" s="1240"/>
      <c r="D1006" s="1240"/>
      <c r="E1006" s="1240"/>
      <c r="F1006" s="1240"/>
      <c r="G1006" s="1240"/>
      <c r="H1006" s="1240"/>
      <c r="I1006" s="1240"/>
      <c r="J1006" s="1240"/>
      <c r="K1006" s="1240"/>
      <c r="L1006" s="1240"/>
      <c r="M1006" s="1240"/>
      <c r="N1006" s="1240"/>
      <c r="O1006" s="1240"/>
      <c r="P1006" s="1247">
        <f t="shared" si="113"/>
        <v>980</v>
      </c>
      <c r="Q1006" s="1253" t="e">
        <f t="shared" ca="1" si="111"/>
        <v>#N/A</v>
      </c>
      <c r="R1006" s="1247" t="str">
        <f>IFERROR(VLOOKUP(P1006,RPCRepaymentDates[],1,FALSE),"")</f>
        <v/>
      </c>
      <c r="S1006" s="1259">
        <f t="shared" si="107"/>
        <v>0</v>
      </c>
      <c r="T1006" s="1247" t="str">
        <f>IFERROR(VLOOKUP(P1006,RPCChargeCycleDates[],1,FALSE),"")</f>
        <v/>
      </c>
      <c r="U1006" s="1248" t="str">
        <f>IFERROR(_xlfn.DAYS(T1006,$Q$16)-SUM(U$26:U1005),"")</f>
        <v/>
      </c>
      <c r="V1006" s="1258">
        <f t="shared" ca="1" si="108"/>
        <v>0</v>
      </c>
      <c r="W1006" s="1258">
        <f t="shared" ca="1" si="109"/>
        <v>0</v>
      </c>
      <c r="X1006" s="1258" t="e">
        <f t="shared" ca="1" si="110"/>
        <v>#N/A</v>
      </c>
      <c r="Y1006" s="1240"/>
      <c r="Z1006" s="1240"/>
      <c r="AA1006" s="1240"/>
      <c r="AB1006" s="1240"/>
      <c r="AC1006" s="1240"/>
      <c r="AD1006" s="1240"/>
      <c r="AE1006" s="1240"/>
      <c r="AF1006" s="1240"/>
      <c r="AG1006" s="1240"/>
      <c r="AH1006" s="1240"/>
      <c r="AI1006" s="1240"/>
      <c r="AJ1006" s="1240"/>
      <c r="AK1006" s="1240"/>
      <c r="AL1006" s="1240"/>
      <c r="AM1006" s="1240"/>
      <c r="AN1006" s="1240"/>
      <c r="AO1006" s="1240"/>
      <c r="AP1006" s="1240"/>
    </row>
    <row r="1007" spans="1:42" ht="18.75" customHeight="1" x14ac:dyDescent="0.35">
      <c r="A1007" s="1240"/>
      <c r="B1007" s="1240"/>
      <c r="C1007" s="1240"/>
      <c r="D1007" s="1240"/>
      <c r="E1007" s="1240"/>
      <c r="F1007" s="1240"/>
      <c r="G1007" s="1240"/>
      <c r="H1007" s="1240"/>
      <c r="I1007" s="1240"/>
      <c r="J1007" s="1240"/>
      <c r="K1007" s="1240"/>
      <c r="L1007" s="1240"/>
      <c r="M1007" s="1240"/>
      <c r="N1007" s="1240"/>
      <c r="O1007" s="1240"/>
      <c r="P1007" s="1247">
        <f t="shared" si="113"/>
        <v>981</v>
      </c>
      <c r="Q1007" s="1253" t="e">
        <f t="shared" ca="1" si="111"/>
        <v>#N/A</v>
      </c>
      <c r="R1007" s="1247" t="str">
        <f>IFERROR(VLOOKUP(P1007,RPCRepaymentDates[],1,FALSE),"")</f>
        <v/>
      </c>
      <c r="S1007" s="1259">
        <f t="shared" si="107"/>
        <v>0</v>
      </c>
      <c r="T1007" s="1247" t="str">
        <f>IFERROR(VLOOKUP(P1007,RPCChargeCycleDates[],1,FALSE),"")</f>
        <v/>
      </c>
      <c r="U1007" s="1248" t="str">
        <f>IFERROR(_xlfn.DAYS(T1007,$Q$16)-SUM(U$26:U1006),"")</f>
        <v/>
      </c>
      <c r="V1007" s="1258">
        <f t="shared" ca="1" si="108"/>
        <v>0</v>
      </c>
      <c r="W1007" s="1258">
        <f t="shared" ca="1" si="109"/>
        <v>0</v>
      </c>
      <c r="X1007" s="1258" t="e">
        <f t="shared" ca="1" si="110"/>
        <v>#N/A</v>
      </c>
      <c r="Y1007" s="1240"/>
      <c r="Z1007" s="1240"/>
      <c r="AA1007" s="1240"/>
      <c r="AB1007" s="1240"/>
      <c r="AC1007" s="1240"/>
      <c r="AD1007" s="1240"/>
      <c r="AE1007" s="1240"/>
      <c r="AF1007" s="1240"/>
      <c r="AG1007" s="1240"/>
      <c r="AH1007" s="1240"/>
      <c r="AI1007" s="1240"/>
      <c r="AJ1007" s="1240"/>
      <c r="AK1007" s="1240"/>
      <c r="AL1007" s="1240"/>
      <c r="AM1007" s="1240"/>
      <c r="AN1007" s="1240"/>
      <c r="AO1007" s="1240"/>
      <c r="AP1007" s="1240"/>
    </row>
    <row r="1008" spans="1:42" ht="18.75" customHeight="1" x14ac:dyDescent="0.35">
      <c r="A1008" s="1240"/>
      <c r="B1008" s="1240"/>
      <c r="C1008" s="1240"/>
      <c r="D1008" s="1240"/>
      <c r="E1008" s="1240"/>
      <c r="F1008" s="1240"/>
      <c r="G1008" s="1240"/>
      <c r="H1008" s="1240"/>
      <c r="I1008" s="1240"/>
      <c r="J1008" s="1240"/>
      <c r="K1008" s="1240"/>
      <c r="L1008" s="1240"/>
      <c r="M1008" s="1240"/>
      <c r="N1008" s="1240"/>
      <c r="O1008" s="1240"/>
      <c r="P1008" s="1247">
        <f t="shared" si="113"/>
        <v>982</v>
      </c>
      <c r="Q1008" s="1253" t="e">
        <f t="shared" ca="1" si="111"/>
        <v>#N/A</v>
      </c>
      <c r="R1008" s="1247" t="str">
        <f>IFERROR(VLOOKUP(P1008,RPCRepaymentDates[],1,FALSE),"")</f>
        <v/>
      </c>
      <c r="S1008" s="1259">
        <f t="shared" si="107"/>
        <v>0</v>
      </c>
      <c r="T1008" s="1247" t="str">
        <f>IFERROR(VLOOKUP(P1008,RPCChargeCycleDates[],1,FALSE),"")</f>
        <v/>
      </c>
      <c r="U1008" s="1248" t="str">
        <f>IFERROR(_xlfn.DAYS(T1008,$Q$16)-SUM(U$26:U1007),"")</f>
        <v/>
      </c>
      <c r="V1008" s="1258">
        <f t="shared" ca="1" si="108"/>
        <v>0</v>
      </c>
      <c r="W1008" s="1258">
        <f t="shared" ca="1" si="109"/>
        <v>0</v>
      </c>
      <c r="X1008" s="1258" t="e">
        <f t="shared" ca="1" si="110"/>
        <v>#N/A</v>
      </c>
      <c r="Y1008" s="1240"/>
      <c r="Z1008" s="1240"/>
      <c r="AA1008" s="1240"/>
      <c r="AB1008" s="1240"/>
      <c r="AC1008" s="1240"/>
      <c r="AD1008" s="1240"/>
      <c r="AE1008" s="1240"/>
      <c r="AF1008" s="1240"/>
      <c r="AG1008" s="1240"/>
      <c r="AH1008" s="1240"/>
      <c r="AI1008" s="1240"/>
      <c r="AJ1008" s="1240"/>
      <c r="AK1008" s="1240"/>
      <c r="AL1008" s="1240"/>
      <c r="AM1008" s="1240"/>
      <c r="AN1008" s="1240"/>
      <c r="AO1008" s="1240"/>
      <c r="AP1008" s="1240"/>
    </row>
    <row r="1009" spans="1:42" ht="18.75" customHeight="1" x14ac:dyDescent="0.35">
      <c r="A1009" s="1240"/>
      <c r="B1009" s="1240"/>
      <c r="C1009" s="1240"/>
      <c r="D1009" s="1240"/>
      <c r="E1009" s="1240"/>
      <c r="F1009" s="1240"/>
      <c r="G1009" s="1240"/>
      <c r="H1009" s="1240"/>
      <c r="I1009" s="1240"/>
      <c r="J1009" s="1240"/>
      <c r="K1009" s="1240"/>
      <c r="L1009" s="1240"/>
      <c r="M1009" s="1240"/>
      <c r="N1009" s="1240"/>
      <c r="O1009" s="1240"/>
      <c r="P1009" s="1247">
        <f t="shared" si="113"/>
        <v>983</v>
      </c>
      <c r="Q1009" s="1253" t="e">
        <f t="shared" ca="1" si="111"/>
        <v>#N/A</v>
      </c>
      <c r="R1009" s="1247" t="str">
        <f>IFERROR(VLOOKUP(P1009,RPCRepaymentDates[],1,FALSE),"")</f>
        <v/>
      </c>
      <c r="S1009" s="1259">
        <f t="shared" si="107"/>
        <v>0</v>
      </c>
      <c r="T1009" s="1247" t="str">
        <f>IFERROR(VLOOKUP(P1009,RPCChargeCycleDates[],1,FALSE),"")</f>
        <v/>
      </c>
      <c r="U1009" s="1248" t="str">
        <f>IFERROR(_xlfn.DAYS(T1009,$Q$16)-SUM(U$26:U1008),"")</f>
        <v/>
      </c>
      <c r="V1009" s="1258">
        <f t="shared" ca="1" si="108"/>
        <v>0</v>
      </c>
      <c r="W1009" s="1258">
        <f t="shared" ca="1" si="109"/>
        <v>0</v>
      </c>
      <c r="X1009" s="1258" t="e">
        <f t="shared" ca="1" si="110"/>
        <v>#N/A</v>
      </c>
      <c r="Y1009" s="1240"/>
      <c r="Z1009" s="1240"/>
      <c r="AA1009" s="1240"/>
      <c r="AB1009" s="1240"/>
      <c r="AC1009" s="1240"/>
      <c r="AD1009" s="1240"/>
      <c r="AE1009" s="1240"/>
      <c r="AF1009" s="1240"/>
      <c r="AG1009" s="1240"/>
      <c r="AH1009" s="1240"/>
      <c r="AI1009" s="1240"/>
      <c r="AJ1009" s="1240"/>
      <c r="AK1009" s="1240"/>
      <c r="AL1009" s="1240"/>
      <c r="AM1009" s="1240"/>
      <c r="AN1009" s="1240"/>
      <c r="AO1009" s="1240"/>
      <c r="AP1009" s="1240"/>
    </row>
    <row r="1010" spans="1:42" ht="18.75" customHeight="1" x14ac:dyDescent="0.35">
      <c r="A1010" s="1240"/>
      <c r="B1010" s="1240"/>
      <c r="C1010" s="1240"/>
      <c r="D1010" s="1240"/>
      <c r="E1010" s="1240"/>
      <c r="F1010" s="1240"/>
      <c r="G1010" s="1240"/>
      <c r="H1010" s="1240"/>
      <c r="I1010" s="1240"/>
      <c r="J1010" s="1240"/>
      <c r="K1010" s="1240"/>
      <c r="L1010" s="1240"/>
      <c r="M1010" s="1240"/>
      <c r="N1010" s="1240"/>
      <c r="O1010" s="1240"/>
      <c r="P1010" s="1247">
        <f t="shared" si="113"/>
        <v>984</v>
      </c>
      <c r="Q1010" s="1253" t="e">
        <f t="shared" ca="1" si="111"/>
        <v>#N/A</v>
      </c>
      <c r="R1010" s="1247" t="str">
        <f>IFERROR(VLOOKUP(P1010,RPCRepaymentDates[],1,FALSE),"")</f>
        <v/>
      </c>
      <c r="S1010" s="1259">
        <f t="shared" si="107"/>
        <v>0</v>
      </c>
      <c r="T1010" s="1247" t="str">
        <f>IFERROR(VLOOKUP(P1010,RPCChargeCycleDates[],1,FALSE),"")</f>
        <v/>
      </c>
      <c r="U1010" s="1248" t="str">
        <f>IFERROR(_xlfn.DAYS(T1010,$Q$16)-SUM(U$26:U1009),"")</f>
        <v/>
      </c>
      <c r="V1010" s="1258">
        <f t="shared" ca="1" si="108"/>
        <v>0</v>
      </c>
      <c r="W1010" s="1258">
        <f t="shared" ca="1" si="109"/>
        <v>0</v>
      </c>
      <c r="X1010" s="1258" t="e">
        <f t="shared" ca="1" si="110"/>
        <v>#N/A</v>
      </c>
      <c r="Y1010" s="1240"/>
      <c r="Z1010" s="1240"/>
      <c r="AA1010" s="1240"/>
      <c r="AB1010" s="1240"/>
      <c r="AC1010" s="1240"/>
      <c r="AD1010" s="1240"/>
      <c r="AE1010" s="1240"/>
      <c r="AF1010" s="1240"/>
      <c r="AG1010" s="1240"/>
      <c r="AH1010" s="1240"/>
      <c r="AI1010" s="1240"/>
      <c r="AJ1010" s="1240"/>
      <c r="AK1010" s="1240"/>
      <c r="AL1010" s="1240"/>
      <c r="AM1010" s="1240"/>
      <c r="AN1010" s="1240"/>
      <c r="AO1010" s="1240"/>
      <c r="AP1010" s="1240"/>
    </row>
    <row r="1011" spans="1:42" ht="18.75" customHeight="1" x14ac:dyDescent="0.35">
      <c r="A1011" s="1240"/>
      <c r="B1011" s="1240"/>
      <c r="C1011" s="1240"/>
      <c r="D1011" s="1240"/>
      <c r="E1011" s="1240"/>
      <c r="F1011" s="1240"/>
      <c r="G1011" s="1240"/>
      <c r="H1011" s="1240"/>
      <c r="I1011" s="1240"/>
      <c r="J1011" s="1240"/>
      <c r="K1011" s="1240"/>
      <c r="L1011" s="1240"/>
      <c r="M1011" s="1240"/>
      <c r="N1011" s="1240"/>
      <c r="O1011" s="1240"/>
      <c r="P1011" s="1247">
        <f t="shared" si="113"/>
        <v>985</v>
      </c>
      <c r="Q1011" s="1253" t="e">
        <f t="shared" ca="1" si="111"/>
        <v>#N/A</v>
      </c>
      <c r="R1011" s="1247" t="str">
        <f>IFERROR(VLOOKUP(P1011,RPCRepaymentDates[],1,FALSE),"")</f>
        <v/>
      </c>
      <c r="S1011" s="1259">
        <f t="shared" si="107"/>
        <v>0</v>
      </c>
      <c r="T1011" s="1247" t="str">
        <f>IFERROR(VLOOKUP(P1011,RPCChargeCycleDates[],1,FALSE),"")</f>
        <v/>
      </c>
      <c r="U1011" s="1248" t="str">
        <f>IFERROR(_xlfn.DAYS(T1011,$Q$16)-SUM(U$26:U1010),"")</f>
        <v/>
      </c>
      <c r="V1011" s="1258">
        <f t="shared" ca="1" si="108"/>
        <v>0</v>
      </c>
      <c r="W1011" s="1258">
        <f t="shared" ca="1" si="109"/>
        <v>0</v>
      </c>
      <c r="X1011" s="1258" t="e">
        <f t="shared" ca="1" si="110"/>
        <v>#N/A</v>
      </c>
      <c r="Y1011" s="1240"/>
      <c r="Z1011" s="1240"/>
      <c r="AA1011" s="1240"/>
      <c r="AB1011" s="1240"/>
      <c r="AC1011" s="1240"/>
      <c r="AD1011" s="1240"/>
      <c r="AE1011" s="1240"/>
      <c r="AF1011" s="1240"/>
      <c r="AG1011" s="1240"/>
      <c r="AH1011" s="1240"/>
      <c r="AI1011" s="1240"/>
      <c r="AJ1011" s="1240"/>
      <c r="AK1011" s="1240"/>
      <c r="AL1011" s="1240"/>
      <c r="AM1011" s="1240"/>
      <c r="AN1011" s="1240"/>
      <c r="AO1011" s="1240"/>
      <c r="AP1011" s="1240"/>
    </row>
    <row r="1012" spans="1:42" ht="18.75" customHeight="1" x14ac:dyDescent="0.35">
      <c r="A1012" s="1240"/>
      <c r="B1012" s="1240"/>
      <c r="C1012" s="1240"/>
      <c r="D1012" s="1240"/>
      <c r="E1012" s="1240"/>
      <c r="F1012" s="1240"/>
      <c r="G1012" s="1240"/>
      <c r="H1012" s="1240"/>
      <c r="I1012" s="1240"/>
      <c r="J1012" s="1240"/>
      <c r="K1012" s="1240"/>
      <c r="L1012" s="1240"/>
      <c r="M1012" s="1240"/>
      <c r="N1012" s="1240"/>
      <c r="O1012" s="1240"/>
      <c r="P1012" s="1247">
        <f t="shared" si="113"/>
        <v>986</v>
      </c>
      <c r="Q1012" s="1253" t="e">
        <f t="shared" ca="1" si="111"/>
        <v>#N/A</v>
      </c>
      <c r="R1012" s="1247" t="str">
        <f>IFERROR(VLOOKUP(P1012,RPCRepaymentDates[],1,FALSE),"")</f>
        <v/>
      </c>
      <c r="S1012" s="1259">
        <f t="shared" si="107"/>
        <v>0</v>
      </c>
      <c r="T1012" s="1247" t="str">
        <f>IFERROR(VLOOKUP(P1012,RPCChargeCycleDates[],1,FALSE),"")</f>
        <v/>
      </c>
      <c r="U1012" s="1248" t="str">
        <f>IFERROR(_xlfn.DAYS(T1012,$Q$16)-SUM(U$26:U1011),"")</f>
        <v/>
      </c>
      <c r="V1012" s="1258">
        <f t="shared" ca="1" si="108"/>
        <v>0</v>
      </c>
      <c r="W1012" s="1258">
        <f t="shared" ca="1" si="109"/>
        <v>0</v>
      </c>
      <c r="X1012" s="1258" t="e">
        <f t="shared" ca="1" si="110"/>
        <v>#N/A</v>
      </c>
      <c r="Y1012" s="1240"/>
      <c r="Z1012" s="1240"/>
      <c r="AA1012" s="1240"/>
      <c r="AB1012" s="1240"/>
      <c r="AC1012" s="1240"/>
      <c r="AD1012" s="1240"/>
      <c r="AE1012" s="1240"/>
      <c r="AF1012" s="1240"/>
      <c r="AG1012" s="1240"/>
      <c r="AH1012" s="1240"/>
      <c r="AI1012" s="1240"/>
      <c r="AJ1012" s="1240"/>
      <c r="AK1012" s="1240"/>
      <c r="AL1012" s="1240"/>
      <c r="AM1012" s="1240"/>
      <c r="AN1012" s="1240"/>
      <c r="AO1012" s="1240"/>
      <c r="AP1012" s="1240"/>
    </row>
    <row r="1013" spans="1:42" ht="18.75" customHeight="1" x14ac:dyDescent="0.35">
      <c r="A1013" s="1240"/>
      <c r="B1013" s="1240"/>
      <c r="C1013" s="1240"/>
      <c r="D1013" s="1240"/>
      <c r="E1013" s="1240"/>
      <c r="F1013" s="1240"/>
      <c r="G1013" s="1240"/>
      <c r="H1013" s="1240"/>
      <c r="I1013" s="1240"/>
      <c r="J1013" s="1240"/>
      <c r="K1013" s="1240"/>
      <c r="L1013" s="1240"/>
      <c r="M1013" s="1240"/>
      <c r="N1013" s="1240"/>
      <c r="O1013" s="1240"/>
      <c r="P1013" s="1247">
        <f t="shared" si="113"/>
        <v>987</v>
      </c>
      <c r="Q1013" s="1253" t="e">
        <f t="shared" ca="1" si="111"/>
        <v>#N/A</v>
      </c>
      <c r="R1013" s="1247" t="str">
        <f>IFERROR(VLOOKUP(P1013,RPCRepaymentDates[],1,FALSE),"")</f>
        <v/>
      </c>
      <c r="S1013" s="1259">
        <f t="shared" si="107"/>
        <v>0</v>
      </c>
      <c r="T1013" s="1247" t="str">
        <f>IFERROR(VLOOKUP(P1013,RPCChargeCycleDates[],1,FALSE),"")</f>
        <v/>
      </c>
      <c r="U1013" s="1248" t="str">
        <f>IFERROR(_xlfn.DAYS(T1013,$Q$16)-SUM(U$26:U1012),"")</f>
        <v/>
      </c>
      <c r="V1013" s="1258">
        <f t="shared" ca="1" si="108"/>
        <v>0</v>
      </c>
      <c r="W1013" s="1258">
        <f t="shared" ca="1" si="109"/>
        <v>0</v>
      </c>
      <c r="X1013" s="1258" t="e">
        <f t="shared" ca="1" si="110"/>
        <v>#N/A</v>
      </c>
      <c r="Y1013" s="1240"/>
      <c r="Z1013" s="1240"/>
      <c r="AA1013" s="1240"/>
      <c r="AB1013" s="1240"/>
      <c r="AC1013" s="1240"/>
      <c r="AD1013" s="1240"/>
      <c r="AE1013" s="1240"/>
      <c r="AF1013" s="1240"/>
      <c r="AG1013" s="1240"/>
      <c r="AH1013" s="1240"/>
      <c r="AI1013" s="1240"/>
      <c r="AJ1013" s="1240"/>
      <c r="AK1013" s="1240"/>
      <c r="AL1013" s="1240"/>
      <c r="AM1013" s="1240"/>
      <c r="AN1013" s="1240"/>
      <c r="AO1013" s="1240"/>
      <c r="AP1013" s="1240"/>
    </row>
    <row r="1014" spans="1:42" ht="18.75" customHeight="1" x14ac:dyDescent="0.35">
      <c r="A1014" s="1240"/>
      <c r="B1014" s="1240"/>
      <c r="C1014" s="1240"/>
      <c r="D1014" s="1240"/>
      <c r="E1014" s="1240"/>
      <c r="F1014" s="1240"/>
      <c r="G1014" s="1240"/>
      <c r="H1014" s="1240"/>
      <c r="I1014" s="1240"/>
      <c r="J1014" s="1240"/>
      <c r="K1014" s="1240"/>
      <c r="L1014" s="1240"/>
      <c r="M1014" s="1240"/>
      <c r="N1014" s="1240"/>
      <c r="O1014" s="1240"/>
      <c r="P1014" s="1247">
        <f t="shared" si="113"/>
        <v>988</v>
      </c>
      <c r="Q1014" s="1253" t="e">
        <f t="shared" ca="1" si="111"/>
        <v>#N/A</v>
      </c>
      <c r="R1014" s="1247" t="str">
        <f>IFERROR(VLOOKUP(P1014,RPCRepaymentDates[],1,FALSE),"")</f>
        <v/>
      </c>
      <c r="S1014" s="1259">
        <f t="shared" si="107"/>
        <v>0</v>
      </c>
      <c r="T1014" s="1247" t="str">
        <f>IFERROR(VLOOKUP(P1014,RPCChargeCycleDates[],1,FALSE),"")</f>
        <v/>
      </c>
      <c r="U1014" s="1248" t="str">
        <f>IFERROR(_xlfn.DAYS(T1014,$Q$16)-SUM(U$26:U1013),"")</f>
        <v/>
      </c>
      <c r="V1014" s="1258">
        <f t="shared" ca="1" si="108"/>
        <v>0</v>
      </c>
      <c r="W1014" s="1258">
        <f t="shared" ca="1" si="109"/>
        <v>0</v>
      </c>
      <c r="X1014" s="1258" t="e">
        <f t="shared" ca="1" si="110"/>
        <v>#N/A</v>
      </c>
      <c r="Y1014" s="1240"/>
      <c r="Z1014" s="1240"/>
      <c r="AA1014" s="1240"/>
      <c r="AB1014" s="1240"/>
      <c r="AC1014" s="1240"/>
      <c r="AD1014" s="1240"/>
      <c r="AE1014" s="1240"/>
      <c r="AF1014" s="1240"/>
      <c r="AG1014" s="1240"/>
      <c r="AH1014" s="1240"/>
      <c r="AI1014" s="1240"/>
      <c r="AJ1014" s="1240"/>
      <c r="AK1014" s="1240"/>
      <c r="AL1014" s="1240"/>
      <c r="AM1014" s="1240"/>
      <c r="AN1014" s="1240"/>
      <c r="AO1014" s="1240"/>
      <c r="AP1014" s="1240"/>
    </row>
    <row r="1015" spans="1:42" ht="18.75" customHeight="1" x14ac:dyDescent="0.35">
      <c r="A1015" s="1240"/>
      <c r="B1015" s="1240"/>
      <c r="C1015" s="1240"/>
      <c r="D1015" s="1240"/>
      <c r="E1015" s="1240"/>
      <c r="F1015" s="1240"/>
      <c r="G1015" s="1240"/>
      <c r="H1015" s="1240"/>
      <c r="I1015" s="1240"/>
      <c r="J1015" s="1240"/>
      <c r="K1015" s="1240"/>
      <c r="L1015" s="1240"/>
      <c r="M1015" s="1240"/>
      <c r="N1015" s="1240"/>
      <c r="O1015" s="1240"/>
      <c r="P1015" s="1247">
        <f t="shared" si="113"/>
        <v>989</v>
      </c>
      <c r="Q1015" s="1253" t="e">
        <f t="shared" ca="1" si="111"/>
        <v>#N/A</v>
      </c>
      <c r="R1015" s="1247" t="str">
        <f>IFERROR(VLOOKUP(P1015,RPCRepaymentDates[],1,FALSE),"")</f>
        <v/>
      </c>
      <c r="S1015" s="1259">
        <f t="shared" si="107"/>
        <v>0</v>
      </c>
      <c r="T1015" s="1247" t="str">
        <f>IFERROR(VLOOKUP(P1015,RPCChargeCycleDates[],1,FALSE),"")</f>
        <v/>
      </c>
      <c r="U1015" s="1248" t="str">
        <f>IFERROR(_xlfn.DAYS(T1015,$Q$16)-SUM(U$26:U1014),"")</f>
        <v/>
      </c>
      <c r="V1015" s="1258">
        <f t="shared" ca="1" si="108"/>
        <v>0</v>
      </c>
      <c r="W1015" s="1258">
        <f t="shared" ca="1" si="109"/>
        <v>0</v>
      </c>
      <c r="X1015" s="1258" t="e">
        <f t="shared" ca="1" si="110"/>
        <v>#N/A</v>
      </c>
      <c r="Y1015" s="1240"/>
      <c r="Z1015" s="1240"/>
      <c r="AA1015" s="1240"/>
      <c r="AB1015" s="1240"/>
      <c r="AC1015" s="1240"/>
      <c r="AD1015" s="1240"/>
      <c r="AE1015" s="1240"/>
      <c r="AF1015" s="1240"/>
      <c r="AG1015" s="1240"/>
      <c r="AH1015" s="1240"/>
      <c r="AI1015" s="1240"/>
      <c r="AJ1015" s="1240"/>
      <c r="AK1015" s="1240"/>
      <c r="AL1015" s="1240"/>
      <c r="AM1015" s="1240"/>
      <c r="AN1015" s="1240"/>
      <c r="AO1015" s="1240"/>
      <c r="AP1015" s="1240"/>
    </row>
    <row r="1016" spans="1:42" ht="18.75" customHeight="1" x14ac:dyDescent="0.35">
      <c r="A1016" s="1240"/>
      <c r="B1016" s="1240"/>
      <c r="C1016" s="1240"/>
      <c r="D1016" s="1240"/>
      <c r="E1016" s="1240"/>
      <c r="F1016" s="1240"/>
      <c r="G1016" s="1240"/>
      <c r="H1016" s="1240"/>
      <c r="I1016" s="1240"/>
      <c r="J1016" s="1240"/>
      <c r="K1016" s="1240"/>
      <c r="L1016" s="1240"/>
      <c r="M1016" s="1240"/>
      <c r="N1016" s="1240"/>
      <c r="O1016" s="1240"/>
      <c r="P1016" s="1247">
        <f t="shared" si="113"/>
        <v>990</v>
      </c>
      <c r="Q1016" s="1253" t="e">
        <f t="shared" ca="1" si="111"/>
        <v>#N/A</v>
      </c>
      <c r="R1016" s="1247" t="str">
        <f>IFERROR(VLOOKUP(P1016,RPCRepaymentDates[],1,FALSE),"")</f>
        <v/>
      </c>
      <c r="S1016" s="1259">
        <f t="shared" si="107"/>
        <v>0</v>
      </c>
      <c r="T1016" s="1247" t="str">
        <f>IFERROR(VLOOKUP(P1016,RPCChargeCycleDates[],1,FALSE),"")</f>
        <v/>
      </c>
      <c r="U1016" s="1248" t="str">
        <f>IFERROR(_xlfn.DAYS(T1016,$Q$16)-SUM(U$26:U1015),"")</f>
        <v/>
      </c>
      <c r="V1016" s="1258">
        <f t="shared" ca="1" si="108"/>
        <v>0</v>
      </c>
      <c r="W1016" s="1258">
        <f t="shared" ca="1" si="109"/>
        <v>0</v>
      </c>
      <c r="X1016" s="1258" t="e">
        <f t="shared" ca="1" si="110"/>
        <v>#N/A</v>
      </c>
      <c r="Y1016" s="1240"/>
      <c r="Z1016" s="1240"/>
      <c r="AA1016" s="1240"/>
      <c r="AB1016" s="1240"/>
      <c r="AC1016" s="1240"/>
      <c r="AD1016" s="1240"/>
      <c r="AE1016" s="1240"/>
      <c r="AF1016" s="1240"/>
      <c r="AG1016" s="1240"/>
      <c r="AH1016" s="1240"/>
      <c r="AI1016" s="1240"/>
      <c r="AJ1016" s="1240"/>
      <c r="AK1016" s="1240"/>
      <c r="AL1016" s="1240"/>
      <c r="AM1016" s="1240"/>
      <c r="AN1016" s="1240"/>
      <c r="AO1016" s="1240"/>
      <c r="AP1016" s="1240"/>
    </row>
    <row r="1017" spans="1:42" ht="18.75" customHeight="1" x14ac:dyDescent="0.35">
      <c r="A1017" s="1240"/>
      <c r="B1017" s="1240"/>
      <c r="C1017" s="1240"/>
      <c r="D1017" s="1240"/>
      <c r="E1017" s="1240"/>
      <c r="F1017" s="1240"/>
      <c r="G1017" s="1240"/>
      <c r="H1017" s="1240"/>
      <c r="I1017" s="1240"/>
      <c r="J1017" s="1240"/>
      <c r="K1017" s="1240"/>
      <c r="L1017" s="1240"/>
      <c r="M1017" s="1240"/>
      <c r="N1017" s="1240"/>
      <c r="O1017" s="1240"/>
      <c r="P1017" s="1247">
        <f t="shared" si="113"/>
        <v>991</v>
      </c>
      <c r="Q1017" s="1253" t="e">
        <f t="shared" ca="1" si="111"/>
        <v>#N/A</v>
      </c>
      <c r="R1017" s="1247" t="str">
        <f>IFERROR(VLOOKUP(P1017,RPCRepaymentDates[],1,FALSE),"")</f>
        <v/>
      </c>
      <c r="S1017" s="1259">
        <f t="shared" si="107"/>
        <v>0</v>
      </c>
      <c r="T1017" s="1247" t="str">
        <f>IFERROR(VLOOKUP(P1017,RPCChargeCycleDates[],1,FALSE),"")</f>
        <v/>
      </c>
      <c r="U1017" s="1248" t="str">
        <f>IFERROR(_xlfn.DAYS(T1017,$Q$16)-SUM(U$26:U1016),"")</f>
        <v/>
      </c>
      <c r="V1017" s="1258">
        <f t="shared" ca="1" si="108"/>
        <v>0</v>
      </c>
      <c r="W1017" s="1258">
        <f t="shared" ca="1" si="109"/>
        <v>0</v>
      </c>
      <c r="X1017" s="1258" t="e">
        <f t="shared" ca="1" si="110"/>
        <v>#N/A</v>
      </c>
      <c r="Y1017" s="1240"/>
      <c r="Z1017" s="1240"/>
      <c r="AA1017" s="1240"/>
      <c r="AB1017" s="1240"/>
      <c r="AC1017" s="1240"/>
      <c r="AD1017" s="1240"/>
      <c r="AE1017" s="1240"/>
      <c r="AF1017" s="1240"/>
      <c r="AG1017" s="1240"/>
      <c r="AH1017" s="1240"/>
      <c r="AI1017" s="1240"/>
      <c r="AJ1017" s="1240"/>
      <c r="AK1017" s="1240"/>
      <c r="AL1017" s="1240"/>
      <c r="AM1017" s="1240"/>
      <c r="AN1017" s="1240"/>
      <c r="AO1017" s="1240"/>
      <c r="AP1017" s="1240"/>
    </row>
    <row r="1018" spans="1:42" ht="18.75" customHeight="1" x14ac:dyDescent="0.35">
      <c r="A1018" s="1240"/>
      <c r="B1018" s="1240"/>
      <c r="C1018" s="1240"/>
      <c r="D1018" s="1240"/>
      <c r="E1018" s="1240"/>
      <c r="F1018" s="1240"/>
      <c r="G1018" s="1240"/>
      <c r="H1018" s="1240"/>
      <c r="I1018" s="1240"/>
      <c r="J1018" s="1240"/>
      <c r="K1018" s="1240"/>
      <c r="L1018" s="1240"/>
      <c r="M1018" s="1240"/>
      <c r="N1018" s="1240"/>
      <c r="O1018" s="1240"/>
      <c r="P1018" s="1247">
        <f t="shared" si="113"/>
        <v>992</v>
      </c>
      <c r="Q1018" s="1253" t="e">
        <f t="shared" ca="1" si="111"/>
        <v>#N/A</v>
      </c>
      <c r="R1018" s="1247" t="str">
        <f>IFERROR(VLOOKUP(P1018,RPCRepaymentDates[],1,FALSE),"")</f>
        <v/>
      </c>
      <c r="S1018" s="1259">
        <f t="shared" si="107"/>
        <v>0</v>
      </c>
      <c r="T1018" s="1247" t="str">
        <f>IFERROR(VLOOKUP(P1018,RPCChargeCycleDates[],1,FALSE),"")</f>
        <v/>
      </c>
      <c r="U1018" s="1248" t="str">
        <f>IFERROR(_xlfn.DAYS(T1018,$Q$16)-SUM(U$26:U1017),"")</f>
        <v/>
      </c>
      <c r="V1018" s="1258">
        <f t="shared" ca="1" si="108"/>
        <v>0</v>
      </c>
      <c r="W1018" s="1258">
        <f t="shared" ca="1" si="109"/>
        <v>0</v>
      </c>
      <c r="X1018" s="1258" t="e">
        <f t="shared" ca="1" si="110"/>
        <v>#N/A</v>
      </c>
      <c r="Y1018" s="1240"/>
      <c r="Z1018" s="1240"/>
      <c r="AA1018" s="1240"/>
      <c r="AB1018" s="1240"/>
      <c r="AC1018" s="1240"/>
      <c r="AD1018" s="1240"/>
      <c r="AE1018" s="1240"/>
      <c r="AF1018" s="1240"/>
      <c r="AG1018" s="1240"/>
      <c r="AH1018" s="1240"/>
      <c r="AI1018" s="1240"/>
      <c r="AJ1018" s="1240"/>
      <c r="AK1018" s="1240"/>
      <c r="AL1018" s="1240"/>
      <c r="AM1018" s="1240"/>
      <c r="AN1018" s="1240"/>
      <c r="AO1018" s="1240"/>
      <c r="AP1018" s="1240"/>
    </row>
    <row r="1019" spans="1:42" ht="18.75" customHeight="1" x14ac:dyDescent="0.35">
      <c r="A1019" s="1240"/>
      <c r="B1019" s="1240"/>
      <c r="C1019" s="1240"/>
      <c r="D1019" s="1240"/>
      <c r="E1019" s="1240"/>
      <c r="F1019" s="1240"/>
      <c r="G1019" s="1240"/>
      <c r="H1019" s="1240"/>
      <c r="I1019" s="1240"/>
      <c r="J1019" s="1240"/>
      <c r="K1019" s="1240"/>
      <c r="L1019" s="1240"/>
      <c r="M1019" s="1240"/>
      <c r="N1019" s="1240"/>
      <c r="O1019" s="1240"/>
      <c r="P1019" s="1247">
        <f t="shared" si="113"/>
        <v>993</v>
      </c>
      <c r="Q1019" s="1253" t="e">
        <f t="shared" ca="1" si="111"/>
        <v>#N/A</v>
      </c>
      <c r="R1019" s="1247" t="str">
        <f>IFERROR(VLOOKUP(P1019,RPCRepaymentDates[],1,FALSE),"")</f>
        <v/>
      </c>
      <c r="S1019" s="1259">
        <f t="shared" si="107"/>
        <v>0</v>
      </c>
      <c r="T1019" s="1247" t="str">
        <f>IFERROR(VLOOKUP(P1019,RPCChargeCycleDates[],1,FALSE),"")</f>
        <v/>
      </c>
      <c r="U1019" s="1248" t="str">
        <f>IFERROR(_xlfn.DAYS(T1019,$Q$16)-SUM(U$26:U1018),"")</f>
        <v/>
      </c>
      <c r="V1019" s="1258">
        <f t="shared" ca="1" si="108"/>
        <v>0</v>
      </c>
      <c r="W1019" s="1258">
        <f t="shared" ca="1" si="109"/>
        <v>0</v>
      </c>
      <c r="X1019" s="1258" t="e">
        <f t="shared" ca="1" si="110"/>
        <v>#N/A</v>
      </c>
      <c r="Y1019" s="1240"/>
      <c r="Z1019" s="1240"/>
      <c r="AA1019" s="1240"/>
      <c r="AB1019" s="1240"/>
      <c r="AC1019" s="1240"/>
      <c r="AD1019" s="1240"/>
      <c r="AE1019" s="1240"/>
      <c r="AF1019" s="1240"/>
      <c r="AG1019" s="1240"/>
      <c r="AH1019" s="1240"/>
      <c r="AI1019" s="1240"/>
      <c r="AJ1019" s="1240"/>
      <c r="AK1019" s="1240"/>
      <c r="AL1019" s="1240"/>
      <c r="AM1019" s="1240"/>
      <c r="AN1019" s="1240"/>
      <c r="AO1019" s="1240"/>
      <c r="AP1019" s="1240"/>
    </row>
    <row r="1020" spans="1:42" ht="18.75" customHeight="1" x14ac:dyDescent="0.35">
      <c r="A1020" s="1240"/>
      <c r="B1020" s="1240"/>
      <c r="C1020" s="1240"/>
      <c r="D1020" s="1240"/>
      <c r="E1020" s="1240"/>
      <c r="F1020" s="1240"/>
      <c r="G1020" s="1240"/>
      <c r="H1020" s="1240"/>
      <c r="I1020" s="1240"/>
      <c r="J1020" s="1240"/>
      <c r="K1020" s="1240"/>
      <c r="L1020" s="1240"/>
      <c r="M1020" s="1240"/>
      <c r="N1020" s="1240"/>
      <c r="O1020" s="1240"/>
      <c r="P1020" s="1247">
        <f t="shared" si="113"/>
        <v>994</v>
      </c>
      <c r="Q1020" s="1253" t="e">
        <f t="shared" ca="1" si="111"/>
        <v>#N/A</v>
      </c>
      <c r="R1020" s="1247" t="str">
        <f>IFERROR(VLOOKUP(P1020,RPCRepaymentDates[],1,FALSE),"")</f>
        <v/>
      </c>
      <c r="S1020" s="1259">
        <f t="shared" si="107"/>
        <v>0</v>
      </c>
      <c r="T1020" s="1247" t="str">
        <f>IFERROR(VLOOKUP(P1020,RPCChargeCycleDates[],1,FALSE),"")</f>
        <v/>
      </c>
      <c r="U1020" s="1248" t="str">
        <f>IFERROR(_xlfn.DAYS(T1020,$Q$16)-SUM(U$26:U1019),"")</f>
        <v/>
      </c>
      <c r="V1020" s="1258">
        <f t="shared" ca="1" si="108"/>
        <v>0</v>
      </c>
      <c r="W1020" s="1258">
        <f t="shared" ca="1" si="109"/>
        <v>0</v>
      </c>
      <c r="X1020" s="1258" t="e">
        <f t="shared" ca="1" si="110"/>
        <v>#N/A</v>
      </c>
      <c r="Y1020" s="1240"/>
      <c r="Z1020" s="1240"/>
      <c r="AA1020" s="1240"/>
      <c r="AB1020" s="1240"/>
      <c r="AC1020" s="1240"/>
      <c r="AD1020" s="1240"/>
      <c r="AE1020" s="1240"/>
      <c r="AF1020" s="1240"/>
      <c r="AG1020" s="1240"/>
      <c r="AH1020" s="1240"/>
      <c r="AI1020" s="1240"/>
      <c r="AJ1020" s="1240"/>
      <c r="AK1020" s="1240"/>
      <c r="AL1020" s="1240"/>
      <c r="AM1020" s="1240"/>
      <c r="AN1020" s="1240"/>
      <c r="AO1020" s="1240"/>
      <c r="AP1020" s="1240"/>
    </row>
    <row r="1021" spans="1:42" ht="18.75" customHeight="1" x14ac:dyDescent="0.35">
      <c r="A1021" s="1240"/>
      <c r="B1021" s="1240"/>
      <c r="C1021" s="1240"/>
      <c r="D1021" s="1240"/>
      <c r="E1021" s="1240"/>
      <c r="F1021" s="1240"/>
      <c r="G1021" s="1240"/>
      <c r="H1021" s="1240"/>
      <c r="I1021" s="1240"/>
      <c r="J1021" s="1240"/>
      <c r="K1021" s="1240"/>
      <c r="L1021" s="1240"/>
      <c r="M1021" s="1240"/>
      <c r="N1021" s="1240"/>
      <c r="O1021" s="1240"/>
      <c r="P1021" s="1247">
        <f t="shared" si="113"/>
        <v>995</v>
      </c>
      <c r="Q1021" s="1253" t="e">
        <f t="shared" ca="1" si="111"/>
        <v>#N/A</v>
      </c>
      <c r="R1021" s="1247" t="str">
        <f>IFERROR(VLOOKUP(P1021,RPCRepaymentDates[],1,FALSE),"")</f>
        <v/>
      </c>
      <c r="S1021" s="1259">
        <f t="shared" si="107"/>
        <v>0</v>
      </c>
      <c r="T1021" s="1247" t="str">
        <f>IFERROR(VLOOKUP(P1021,RPCChargeCycleDates[],1,FALSE),"")</f>
        <v/>
      </c>
      <c r="U1021" s="1248" t="str">
        <f>IFERROR(_xlfn.DAYS(T1021,$Q$16)-SUM(U$26:U1020),"")</f>
        <v/>
      </c>
      <c r="V1021" s="1258">
        <f t="shared" ca="1" si="108"/>
        <v>0</v>
      </c>
      <c r="W1021" s="1258">
        <f t="shared" ca="1" si="109"/>
        <v>0</v>
      </c>
      <c r="X1021" s="1258" t="e">
        <f t="shared" ca="1" si="110"/>
        <v>#N/A</v>
      </c>
      <c r="Y1021" s="1240"/>
      <c r="Z1021" s="1240"/>
      <c r="AA1021" s="1240"/>
      <c r="AB1021" s="1240"/>
      <c r="AC1021" s="1240"/>
      <c r="AD1021" s="1240"/>
      <c r="AE1021" s="1240"/>
      <c r="AF1021" s="1240"/>
      <c r="AG1021" s="1240"/>
      <c r="AH1021" s="1240"/>
      <c r="AI1021" s="1240"/>
      <c r="AJ1021" s="1240"/>
      <c r="AK1021" s="1240"/>
      <c r="AL1021" s="1240"/>
      <c r="AM1021" s="1240"/>
      <c r="AN1021" s="1240"/>
      <c r="AO1021" s="1240"/>
      <c r="AP1021" s="1240"/>
    </row>
    <row r="1022" spans="1:42" ht="18.75" customHeight="1" x14ac:dyDescent="0.35">
      <c r="A1022" s="1240"/>
      <c r="B1022" s="1240"/>
      <c r="C1022" s="1240"/>
      <c r="D1022" s="1240"/>
      <c r="E1022" s="1240"/>
      <c r="F1022" s="1240"/>
      <c r="G1022" s="1240"/>
      <c r="H1022" s="1240"/>
      <c r="I1022" s="1240"/>
      <c r="J1022" s="1240"/>
      <c r="K1022" s="1240"/>
      <c r="L1022" s="1240"/>
      <c r="M1022" s="1240"/>
      <c r="N1022" s="1240"/>
      <c r="O1022" s="1240"/>
      <c r="P1022" s="1247">
        <f t="shared" si="113"/>
        <v>996</v>
      </c>
      <c r="Q1022" s="1253" t="e">
        <f t="shared" ca="1" si="111"/>
        <v>#N/A</v>
      </c>
      <c r="R1022" s="1247" t="str">
        <f>IFERROR(VLOOKUP(P1022,RPCRepaymentDates[],1,FALSE),"")</f>
        <v/>
      </c>
      <c r="S1022" s="1259">
        <f t="shared" si="107"/>
        <v>0</v>
      </c>
      <c r="T1022" s="1247" t="str">
        <f>IFERROR(VLOOKUP(P1022,RPCChargeCycleDates[],1,FALSE),"")</f>
        <v/>
      </c>
      <c r="U1022" s="1248" t="str">
        <f>IFERROR(_xlfn.DAYS(T1022,$Q$16)-SUM(U$26:U1021),"")</f>
        <v/>
      </c>
      <c r="V1022" s="1258">
        <f t="shared" ca="1" si="108"/>
        <v>0</v>
      </c>
      <c r="W1022" s="1258">
        <f t="shared" ca="1" si="109"/>
        <v>0</v>
      </c>
      <c r="X1022" s="1258" t="e">
        <f t="shared" ca="1" si="110"/>
        <v>#N/A</v>
      </c>
      <c r="Y1022" s="1240"/>
      <c r="Z1022" s="1240"/>
      <c r="AA1022" s="1240"/>
      <c r="AB1022" s="1240"/>
      <c r="AC1022" s="1240"/>
      <c r="AD1022" s="1240"/>
      <c r="AE1022" s="1240"/>
      <c r="AF1022" s="1240"/>
      <c r="AG1022" s="1240"/>
      <c r="AH1022" s="1240"/>
      <c r="AI1022" s="1240"/>
      <c r="AJ1022" s="1240"/>
      <c r="AK1022" s="1240"/>
      <c r="AL1022" s="1240"/>
      <c r="AM1022" s="1240"/>
      <c r="AN1022" s="1240"/>
      <c r="AO1022" s="1240"/>
      <c r="AP1022" s="1240"/>
    </row>
    <row r="1023" spans="1:42" ht="18.75" customHeight="1" x14ac:dyDescent="0.35">
      <c r="A1023" s="1240"/>
      <c r="B1023" s="1240"/>
      <c r="C1023" s="1240"/>
      <c r="D1023" s="1240"/>
      <c r="E1023" s="1240"/>
      <c r="F1023" s="1240"/>
      <c r="G1023" s="1240"/>
      <c r="H1023" s="1240"/>
      <c r="I1023" s="1240"/>
      <c r="J1023" s="1240"/>
      <c r="K1023" s="1240"/>
      <c r="L1023" s="1240"/>
      <c r="M1023" s="1240"/>
      <c r="N1023" s="1240"/>
      <c r="O1023" s="1240"/>
      <c r="P1023" s="1247">
        <f t="shared" si="113"/>
        <v>997</v>
      </c>
      <c r="Q1023" s="1253" t="e">
        <f t="shared" ca="1" si="111"/>
        <v>#N/A</v>
      </c>
      <c r="R1023" s="1247" t="str">
        <f>IFERROR(VLOOKUP(P1023,RPCRepaymentDates[],1,FALSE),"")</f>
        <v/>
      </c>
      <c r="S1023" s="1259">
        <f t="shared" si="107"/>
        <v>0</v>
      </c>
      <c r="T1023" s="1247" t="str">
        <f>IFERROR(VLOOKUP(P1023,RPCChargeCycleDates[],1,FALSE),"")</f>
        <v/>
      </c>
      <c r="U1023" s="1248" t="str">
        <f>IFERROR(_xlfn.DAYS(T1023,$Q$16)-SUM(U$26:U1022),"")</f>
        <v/>
      </c>
      <c r="V1023" s="1258">
        <f t="shared" ca="1" si="108"/>
        <v>0</v>
      </c>
      <c r="W1023" s="1258">
        <f t="shared" ca="1" si="109"/>
        <v>0</v>
      </c>
      <c r="X1023" s="1258" t="e">
        <f t="shared" ca="1" si="110"/>
        <v>#N/A</v>
      </c>
      <c r="Y1023" s="1240"/>
      <c r="Z1023" s="1240"/>
      <c r="AA1023" s="1240"/>
      <c r="AB1023" s="1240"/>
      <c r="AC1023" s="1240"/>
      <c r="AD1023" s="1240"/>
      <c r="AE1023" s="1240"/>
      <c r="AF1023" s="1240"/>
      <c r="AG1023" s="1240"/>
      <c r="AH1023" s="1240"/>
      <c r="AI1023" s="1240"/>
      <c r="AJ1023" s="1240"/>
      <c r="AK1023" s="1240"/>
      <c r="AL1023" s="1240"/>
      <c r="AM1023" s="1240"/>
      <c r="AN1023" s="1240"/>
      <c r="AO1023" s="1240"/>
      <c r="AP1023" s="1240"/>
    </row>
    <row r="1024" spans="1:42" ht="18.75" customHeight="1" x14ac:dyDescent="0.35">
      <c r="A1024" s="1240"/>
      <c r="B1024" s="1240"/>
      <c r="C1024" s="1240"/>
      <c r="D1024" s="1240"/>
      <c r="E1024" s="1240"/>
      <c r="F1024" s="1240"/>
      <c r="G1024" s="1240"/>
      <c r="H1024" s="1240"/>
      <c r="I1024" s="1240"/>
      <c r="J1024" s="1240"/>
      <c r="K1024" s="1240"/>
      <c r="L1024" s="1240"/>
      <c r="M1024" s="1240"/>
      <c r="N1024" s="1240"/>
      <c r="O1024" s="1240"/>
      <c r="P1024" s="1247">
        <f t="shared" si="113"/>
        <v>998</v>
      </c>
      <c r="Q1024" s="1253" t="e">
        <f t="shared" ca="1" si="111"/>
        <v>#N/A</v>
      </c>
      <c r="R1024" s="1247" t="str">
        <f>IFERROR(VLOOKUP(P1024,RPCRepaymentDates[],1,FALSE),"")</f>
        <v/>
      </c>
      <c r="S1024" s="1259">
        <f t="shared" si="107"/>
        <v>0</v>
      </c>
      <c r="T1024" s="1247" t="str">
        <f>IFERROR(VLOOKUP(P1024,RPCChargeCycleDates[],1,FALSE),"")</f>
        <v/>
      </c>
      <c r="U1024" s="1248" t="str">
        <f>IFERROR(_xlfn.DAYS(T1024,$Q$16)-SUM(U$26:U1023),"")</f>
        <v/>
      </c>
      <c r="V1024" s="1258">
        <f t="shared" ca="1" si="108"/>
        <v>0</v>
      </c>
      <c r="W1024" s="1258">
        <f t="shared" ca="1" si="109"/>
        <v>0</v>
      </c>
      <c r="X1024" s="1258" t="e">
        <f t="shared" ca="1" si="110"/>
        <v>#N/A</v>
      </c>
      <c r="Y1024" s="1240"/>
      <c r="Z1024" s="1240"/>
      <c r="AA1024" s="1240"/>
      <c r="AB1024" s="1240"/>
      <c r="AC1024" s="1240"/>
      <c r="AD1024" s="1240"/>
      <c r="AE1024" s="1240"/>
      <c r="AF1024" s="1240"/>
      <c r="AG1024" s="1240"/>
      <c r="AH1024" s="1240"/>
      <c r="AI1024" s="1240"/>
      <c r="AJ1024" s="1240"/>
      <c r="AK1024" s="1240"/>
      <c r="AL1024" s="1240"/>
      <c r="AM1024" s="1240"/>
      <c r="AN1024" s="1240"/>
      <c r="AO1024" s="1240"/>
      <c r="AP1024" s="1240"/>
    </row>
    <row r="1025" spans="1:42" ht="18.75" customHeight="1" x14ac:dyDescent="0.35">
      <c r="A1025" s="1240"/>
      <c r="B1025" s="1240"/>
      <c r="C1025" s="1240"/>
      <c r="D1025" s="1240"/>
      <c r="E1025" s="1240"/>
      <c r="F1025" s="1240"/>
      <c r="G1025" s="1240"/>
      <c r="H1025" s="1240"/>
      <c r="I1025" s="1240"/>
      <c r="J1025" s="1240"/>
      <c r="K1025" s="1240"/>
      <c r="L1025" s="1240"/>
      <c r="M1025" s="1240"/>
      <c r="N1025" s="1240"/>
      <c r="O1025" s="1240"/>
      <c r="P1025" s="1247">
        <f t="shared" si="113"/>
        <v>999</v>
      </c>
      <c r="Q1025" s="1253" t="e">
        <f t="shared" ca="1" si="111"/>
        <v>#N/A</v>
      </c>
      <c r="R1025" s="1247" t="str">
        <f>IFERROR(VLOOKUP(P1025,RPCRepaymentDates[],1,FALSE),"")</f>
        <v/>
      </c>
      <c r="S1025" s="1259">
        <f t="shared" si="107"/>
        <v>0</v>
      </c>
      <c r="T1025" s="1247" t="str">
        <f>IFERROR(VLOOKUP(P1025,RPCChargeCycleDates[],1,FALSE),"")</f>
        <v/>
      </c>
      <c r="U1025" s="1248" t="str">
        <f>IFERROR(_xlfn.DAYS(T1025,$Q$16)-SUM(U$26:U1024),"")</f>
        <v/>
      </c>
      <c r="V1025" s="1258">
        <f t="shared" ca="1" si="108"/>
        <v>0</v>
      </c>
      <c r="W1025" s="1258">
        <f t="shared" ca="1" si="109"/>
        <v>0</v>
      </c>
      <c r="X1025" s="1258" t="e">
        <f t="shared" ca="1" si="110"/>
        <v>#N/A</v>
      </c>
      <c r="Y1025" s="1240"/>
      <c r="Z1025" s="1240"/>
      <c r="AA1025" s="1240"/>
      <c r="AB1025" s="1240"/>
      <c r="AC1025" s="1240"/>
      <c r="AD1025" s="1240"/>
      <c r="AE1025" s="1240"/>
      <c r="AF1025" s="1240"/>
      <c r="AG1025" s="1240"/>
      <c r="AH1025" s="1240"/>
      <c r="AI1025" s="1240"/>
      <c r="AJ1025" s="1240"/>
      <c r="AK1025" s="1240"/>
      <c r="AL1025" s="1240"/>
      <c r="AM1025" s="1240"/>
      <c r="AN1025" s="1240"/>
      <c r="AO1025" s="1240"/>
      <c r="AP1025" s="1240"/>
    </row>
  </sheetData>
  <sheetProtection algorithmName="SHA-512" hashValue="EV1jLwfLO7dZd6r0rYh6zFGi4yfqeXLRLMaNbsOarGe/U2kVd5I6VEmMKBDC08am8Xs6KC3KUhLybpgb659rRQ==" saltValue="vU9LFlYoSSRHd0IvzFUBqQ==" spinCount="100000" sheet="1" objects="1" scenarios="1" selectLockedCells="1"/>
  <mergeCells count="1">
    <mergeCell ref="J20:L23"/>
  </mergeCells>
  <conditionalFormatting sqref="C12:C16 C20:C23 C25 C27:C29 G12 G20:G21 G23 C32">
    <cfRule type="containsBlanks" dxfId="13" priority="3">
      <formula>LEN(TRIM(C12))=0</formula>
    </cfRule>
  </conditionalFormatting>
  <conditionalFormatting sqref="G22">
    <cfRule type="expression" dxfId="12" priority="1">
      <formula>AND($C$16&lt;&gt;"Monthly",NOT(ISBLANK($C$16)),ISBLANK($G$22))</formula>
    </cfRule>
  </conditionalFormatting>
  <conditionalFormatting sqref="I20:M23">
    <cfRule type="expression" dxfId="11" priority="2942">
      <formula>$J$20=""</formula>
    </cfRule>
  </conditionalFormatting>
  <conditionalFormatting sqref="G15">
    <cfRule type="expression" dxfId="10" priority="2943">
      <formula>AND(ISBLANK($G$15),$G$23="Interest only")</formula>
    </cfRule>
  </conditionalFormatting>
  <dataValidations count="15">
    <dataValidation type="decimal" allowBlank="1" showInputMessage="1" showErrorMessage="1" errorTitle="Invalid pause repayment amount" error="The amount must be between $0 and the current repayment amount." sqref="C25" xr:uid="{4420EE8F-FB8D-4903-8746-C21549EC4A83}">
      <formula1>0</formula1>
      <formula2>C15-0.01</formula2>
    </dataValidation>
    <dataValidation type="date" operator="lessThanOrEqual" allowBlank="1" showInputMessage="1" showErrorMessage="1" errorTitle="Invalid date" error="The balance enquiry date cannot be in the future." sqref="C20" xr:uid="{68429E70-62A3-4BEA-B866-63165A8AFE3A}">
      <formula1>TODAY()</formula1>
    </dataValidation>
    <dataValidation type="list" allowBlank="1" showInputMessage="1" showErrorMessage="1" errorTitle="Invalid repayment type" error="Please select a valid repayment type." sqref="G23" xr:uid="{81457031-6642-46B2-BEF3-0A28CC373362}">
      <formula1>INDIRECT("RPCRepaymentTypeTable[RepaymentType]")</formula1>
    </dataValidation>
    <dataValidation type="list" allowBlank="1" showInputMessage="1" showErrorMessage="1" errorTitle="Invalid day of payment" error="Please select a valid day of payment." sqref="G22" xr:uid="{5F0B91FF-7600-424D-A67E-9B2690E289B7}">
      <formula1>INDIRECT("RPCPaymentDayTable[PaymentDay]")</formula1>
    </dataValidation>
    <dataValidation type="list" allowBlank="1" showInputMessage="1" showErrorMessage="1" errorTitle="Invalid pause period" error="Please select a valid pause period." sqref="G20" xr:uid="{6D8D9F98-CCE0-4F64-AE32-2EF197D2FCD4}">
      <formula1>INDIRECT("RPCPausePeriodTable[PausePeriod]")</formula1>
    </dataValidation>
    <dataValidation type="list" allowBlank="1" showInputMessage="1" showErrorMessage="1" errorTitle="Invalid pause start option" error="Please select a valid pause start option." sqref="C23" xr:uid="{8F6EC273-F331-4C8F-B0FE-0FAB6161D515}">
      <formula1>"This charge cycle,Next charge cycle"</formula1>
    </dataValidation>
    <dataValidation type="list" allowBlank="1" showInputMessage="1" showErrorMessage="1" errorTitle="Invalid repayment frequency" error="Please select a valid repayment frequency." sqref="C16" xr:uid="{5F6B01BF-C06D-4582-AD68-BC04E025855A}">
      <formula1>INDIRECT("RPCRepaymentFrequencyData[RepaymentFrequency]")</formula1>
    </dataValidation>
    <dataValidation type="list" allowBlank="1" showInputMessage="1" showErrorMessage="1" errorTitle="Charge cycle error" error="Charge cycle day must be between the 1st and the 28th." sqref="G21" xr:uid="{E06B4629-D3A6-4240-9240-A42D8B295FA5}">
      <formula1>INDIRECT("RPCChargeCycleData[ChargeCycle]")</formula1>
    </dataValidation>
    <dataValidation type="date" operator="greaterThanOrEqual" allowBlank="1" showInputMessage="1" showErrorMessage="1" errorTitle="Next payment transfer date error" error="The 'Next payment transfer date' must be a future date." sqref="C22" xr:uid="{5321870F-7D18-4850-BD42-6739E07EF06A}">
      <formula1>TODAY()</formula1>
    </dataValidation>
    <dataValidation type="whole" operator="greaterThanOrEqual" allowBlank="1" showInputMessage="1" showErrorMessage="1" errorTitle="Remaing term validation error" error="Please enter a valid remaining term. Must be a whole number greater than zero." sqref="G12" xr:uid="{41A176F1-76B0-47AC-B654-78EBCDA1D39E}">
      <formula1>0</formula1>
    </dataValidation>
    <dataValidation type="decimal" allowBlank="1" showInputMessage="1" showErrorMessage="1" errorTitle="Invalid interest rate " error="Please enter a valid interest rate." sqref="C14" xr:uid="{DA74B8BF-F270-4630-A197-2EB89D13E3DC}">
      <formula1>0</formula1>
      <formula2>1</formula2>
    </dataValidation>
    <dataValidation type="decimal" operator="greaterThan" allowBlank="1" showInputMessage="1" showErrorMessage="1" errorTitle="Invalid balance amount" error="Please enter an amount greater than zero." sqref="C21" xr:uid="{3D8C3915-8C86-4100-AEB1-70D81D1D703C}">
      <formula1>0</formula1>
    </dataValidation>
    <dataValidation type="decimal" operator="greaterThanOrEqual" allowBlank="1" showInputMessage="1" showErrorMessage="1" errorTitle="Invalid amount" error="Please enter a valid amount greater than or equal to zero" sqref="C32 C28:C29 C27" xr:uid="{AB05E670-B17A-41D1-A614-C5A28FBF873D}">
      <formula1>0</formula1>
    </dataValidation>
    <dataValidation type="decimal" operator="greaterThanOrEqual" allowBlank="1" showInputMessage="1" showErrorMessage="1" errorTitle="Invalid current repayment amount" error="The current repayment amount must be greater than or equal to the Pause repayment amount." sqref="C15" xr:uid="{A852F8C2-FC6A-45EC-B56C-8EC341A09F2A}">
      <formula1>C25+0.01</formula1>
    </dataValidation>
    <dataValidation type="date" operator="greaterThan" allowBlank="1" showInputMessage="1" showErrorMessage="1" errorTitle="Invalid date" error="Please enter a valid date greater than today." sqref="G14:G15" xr:uid="{CB99403B-858E-4C61-B683-0B8B235FB5D6}">
      <formula1>TODAY()</formula1>
    </dataValidation>
  </dataValidations>
  <pageMargins left="0.25" right="0.25" top="0.75" bottom="0.75" header="0.3" footer="0.3"/>
  <pageSetup paperSize="9" scale="53" orientation="portrait" r:id="rId1"/>
  <drawing r:id="rId2"/>
  <tableParts count="7">
    <tablePart r:id="rId3"/>
    <tablePart r:id="rId4"/>
    <tablePart r:id="rId5"/>
    <tablePart r:id="rId6"/>
    <tablePart r:id="rId7"/>
    <tablePart r:id="rId8"/>
    <tablePart r:id="rId9"/>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3B3DC-5814-47FB-802F-3D5F1F63D59D}">
  <sheetPr codeName="shCalculatorSTSLRepayment">
    <pageSetUpPr fitToPage="1"/>
  </sheetPr>
  <dimension ref="A1:P73"/>
  <sheetViews>
    <sheetView showGridLines="0" showRowColHeaders="0" zoomScaleNormal="100" workbookViewId="0">
      <selection activeCell="D9" sqref="D9:E9"/>
    </sheetView>
  </sheetViews>
  <sheetFormatPr defaultColWidth="2.81640625" defaultRowHeight="16" customHeight="1" x14ac:dyDescent="0.25"/>
  <cols>
    <col min="1" max="1" width="2.81640625" customWidth="1"/>
    <col min="2" max="2" width="7" customWidth="1"/>
    <col min="3" max="3" width="15" customWidth="1"/>
    <col min="4" max="4" width="11.453125" bestFit="1" customWidth="1"/>
    <col min="5" max="5" width="15" customWidth="1"/>
    <col min="6" max="6" width="5.81640625" customWidth="1"/>
    <col min="7" max="7" width="7" customWidth="1"/>
    <col min="8" max="8" width="15" customWidth="1"/>
    <col min="9" max="9" width="11.453125" bestFit="1" customWidth="1"/>
    <col min="10" max="10" width="15" customWidth="1"/>
    <col min="11" max="11" width="5.81640625" customWidth="1"/>
    <col min="12" max="12" width="7" customWidth="1"/>
    <col min="13" max="13" width="15" customWidth="1"/>
    <col min="14" max="14" width="11.453125" bestFit="1" customWidth="1"/>
    <col min="15" max="15" width="15" customWidth="1"/>
    <col min="16" max="16" width="2.81640625" customWidth="1"/>
  </cols>
  <sheetData>
    <row r="1" spans="1:16" ht="15" customHeight="1" x14ac:dyDescent="0.25">
      <c r="A1" s="8"/>
      <c r="B1" s="8"/>
      <c r="C1" s="8"/>
      <c r="D1" s="47"/>
      <c r="E1" s="47"/>
      <c r="F1" s="47"/>
      <c r="G1" s="47"/>
      <c r="H1" s="47"/>
      <c r="I1" s="47"/>
      <c r="J1" s="47"/>
      <c r="K1" s="47"/>
      <c r="L1" s="48"/>
      <c r="M1" s="48"/>
      <c r="N1" s="48"/>
      <c r="P1" s="47"/>
    </row>
    <row r="2" spans="1:16" ht="15" customHeight="1" x14ac:dyDescent="0.25">
      <c r="A2" s="8"/>
      <c r="B2" s="8"/>
      <c r="C2" s="8"/>
      <c r="D2" s="47"/>
      <c r="E2" s="47"/>
      <c r="F2" s="47"/>
      <c r="G2" s="47"/>
      <c r="H2" s="47"/>
      <c r="I2" s="47"/>
      <c r="J2" s="47"/>
      <c r="K2" s="47"/>
      <c r="L2" s="48"/>
      <c r="M2" s="48"/>
      <c r="N2" s="48"/>
      <c r="P2" s="47"/>
    </row>
    <row r="3" spans="1:16" ht="15" customHeight="1" x14ac:dyDescent="0.25">
      <c r="A3" s="8"/>
      <c r="B3" s="8"/>
      <c r="C3" s="8"/>
      <c r="D3" s="47"/>
      <c r="E3" s="47"/>
      <c r="F3" s="47"/>
      <c r="G3" s="47"/>
      <c r="H3" s="47"/>
      <c r="I3" s="47"/>
      <c r="J3" s="47"/>
      <c r="K3" s="47"/>
      <c r="L3" s="48"/>
      <c r="M3" s="48"/>
      <c r="N3" s="48"/>
      <c r="P3" s="47"/>
    </row>
    <row r="4" spans="1:16" ht="15" customHeight="1" x14ac:dyDescent="0.25">
      <c r="A4" s="8"/>
      <c r="B4" s="8"/>
      <c r="C4" s="8"/>
      <c r="D4" s="47"/>
      <c r="E4" s="47"/>
      <c r="F4" s="47"/>
      <c r="G4" s="47"/>
      <c r="H4" s="47"/>
      <c r="I4" s="47"/>
      <c r="J4" s="47"/>
      <c r="K4" s="47"/>
      <c r="L4" s="48"/>
      <c r="M4" s="48"/>
      <c r="N4" s="48"/>
      <c r="P4" s="47"/>
    </row>
    <row r="5" spans="1:16" ht="22.5" customHeight="1" x14ac:dyDescent="0.25">
      <c r="A5" s="751"/>
      <c r="B5" s="753" t="s">
        <v>1491</v>
      </c>
      <c r="C5" s="751"/>
      <c r="D5" s="751"/>
      <c r="E5" s="752"/>
      <c r="F5" s="751"/>
      <c r="G5" s="752"/>
      <c r="H5" s="752"/>
      <c r="I5" s="752"/>
      <c r="J5" s="752"/>
      <c r="K5" s="752"/>
      <c r="L5" s="752"/>
      <c r="M5" s="752"/>
      <c r="N5" s="752"/>
      <c r="O5" s="752"/>
      <c r="P5" s="752"/>
    </row>
    <row r="6" spans="1:16" ht="7.5" customHeight="1" x14ac:dyDescent="0.25">
      <c r="A6" s="39"/>
      <c r="B6" s="39"/>
      <c r="C6" s="39"/>
      <c r="D6" s="39"/>
      <c r="E6" s="39"/>
      <c r="F6" s="39"/>
      <c r="G6" s="39"/>
      <c r="H6" s="39"/>
      <c r="I6" s="39"/>
      <c r="J6" s="106"/>
      <c r="K6" s="106"/>
      <c r="L6" s="106"/>
      <c r="M6" s="106"/>
      <c r="N6" s="38"/>
      <c r="P6" s="106"/>
    </row>
    <row r="7" spans="1:16" ht="15" customHeight="1" x14ac:dyDescent="0.25">
      <c r="A7" s="8"/>
      <c r="B7" s="958" t="s">
        <v>1464</v>
      </c>
      <c r="C7" s="8"/>
      <c r="D7" s="961">
        <f>SDSTSLIndexationRate</f>
        <v>0.03</v>
      </c>
      <c r="E7" s="8"/>
      <c r="F7" s="8"/>
      <c r="G7" s="8"/>
      <c r="H7" s="8"/>
      <c r="I7" s="8"/>
      <c r="J7" s="8"/>
      <c r="K7" s="8"/>
      <c r="L7" s="8"/>
      <c r="M7" s="8"/>
      <c r="N7" s="8"/>
      <c r="P7" s="8"/>
    </row>
    <row r="8" spans="1:16" ht="7.5" customHeight="1" x14ac:dyDescent="0.25">
      <c r="A8" s="8"/>
      <c r="B8" s="8"/>
      <c r="C8" s="8"/>
      <c r="D8" s="8"/>
      <c r="E8" s="8"/>
      <c r="F8" s="8"/>
      <c r="G8" s="8"/>
      <c r="H8" s="8"/>
      <c r="I8" s="8"/>
      <c r="J8" s="8"/>
      <c r="K8" s="8"/>
      <c r="L8" s="8"/>
      <c r="M8" s="8"/>
      <c r="N8" s="8"/>
      <c r="P8" s="8"/>
    </row>
    <row r="9" spans="1:16" ht="15" customHeight="1" x14ac:dyDescent="0.25">
      <c r="A9" s="8"/>
      <c r="B9" s="958" t="s">
        <v>252</v>
      </c>
      <c r="C9" s="8"/>
      <c r="D9" s="1780">
        <f>SCAApp1Name</f>
        <v>0</v>
      </c>
      <c r="E9" s="1781"/>
      <c r="F9" s="8"/>
      <c r="G9" s="958" t="s">
        <v>252</v>
      </c>
      <c r="H9" s="8"/>
      <c r="I9" s="1780">
        <f>SCAApp2Name</f>
        <v>0</v>
      </c>
      <c r="J9" s="1781"/>
      <c r="K9" s="8"/>
      <c r="L9" s="958" t="s">
        <v>252</v>
      </c>
      <c r="M9" s="8"/>
      <c r="N9" s="1780">
        <f>SCAApp3Name</f>
        <v>0</v>
      </c>
      <c r="O9" s="1781"/>
      <c r="P9" s="8"/>
    </row>
    <row r="10" spans="1:16" ht="15" customHeight="1" x14ac:dyDescent="0.25">
      <c r="A10" s="8"/>
      <c r="B10" s="958" t="s">
        <v>1457</v>
      </c>
      <c r="C10" s="8"/>
      <c r="D10" s="1786">
        <f>IFERROR(SUMIFS(Serviceability!$S$264:$S$281,Serviceability!$C$264:$C$281,"Study and training support loan",Serviceability!$BC$264:$BC$281,1),0)</f>
        <v>0</v>
      </c>
      <c r="E10" s="1787"/>
      <c r="F10" s="8"/>
      <c r="G10" s="958" t="s">
        <v>1457</v>
      </c>
      <c r="H10" s="8"/>
      <c r="I10" s="1786">
        <f>IFERROR(SUMIFS(Serviceability!$S$264:$S$281,Serviceability!$C$264:$C$281,"Study and training support loan",Serviceability!$BC$264:$BC$281,2),0)</f>
        <v>0</v>
      </c>
      <c r="J10" s="1787"/>
      <c r="K10" s="8"/>
      <c r="L10" s="958" t="s">
        <v>1457</v>
      </c>
      <c r="M10" s="8"/>
      <c r="N10" s="1786">
        <f>IFERROR(SUMIFS(Serviceability!$S$264:$S$281,Serviceability!$C$264:$C$281,"Study and training support loan",Serviceability!$BC$264:$BC$281,3),0)</f>
        <v>0</v>
      </c>
      <c r="O10" s="1787"/>
      <c r="P10" s="8"/>
    </row>
    <row r="11" spans="1:16" ht="15" customHeight="1" x14ac:dyDescent="0.25">
      <c r="A11" s="8"/>
      <c r="B11" s="958" t="s">
        <v>1463</v>
      </c>
      <c r="C11" s="8"/>
      <c r="D11" s="1786">
        <f>ICApp1IncomeSTSLRT</f>
        <v>300000</v>
      </c>
      <c r="E11" s="1787"/>
      <c r="F11" s="8"/>
      <c r="G11" s="958" t="s">
        <v>1463</v>
      </c>
      <c r="H11" s="8"/>
      <c r="I11" s="1786">
        <f>ICApp2IncomeSTSLRT</f>
        <v>0</v>
      </c>
      <c r="J11" s="1787"/>
      <c r="K11" s="8"/>
      <c r="L11" s="958" t="s">
        <v>1463</v>
      </c>
      <c r="M11" s="8"/>
      <c r="N11" s="1786">
        <f>ICApp3IncomeSTSLRT</f>
        <v>0</v>
      </c>
      <c r="O11" s="1787"/>
      <c r="P11" s="8"/>
    </row>
    <row r="12" spans="1:16" ht="15" customHeight="1" x14ac:dyDescent="0.25">
      <c r="A12" s="8"/>
      <c r="B12" s="958" t="s">
        <v>1458</v>
      </c>
      <c r="C12" s="8"/>
      <c r="D12" s="1784">
        <f>VLOOKUP(D11,STSLRepaymentRateTable[],3,TRUE)</f>
        <v>0.1</v>
      </c>
      <c r="E12" s="1785"/>
      <c r="F12" s="8"/>
      <c r="G12" s="958" t="s">
        <v>1458</v>
      </c>
      <c r="H12" s="8"/>
      <c r="I12" s="1784">
        <f>VLOOKUP(I11,STSLRepaymentRateTable[],3,TRUE)</f>
        <v>0</v>
      </c>
      <c r="J12" s="1785"/>
      <c r="K12" s="8"/>
      <c r="L12" s="958" t="s">
        <v>1458</v>
      </c>
      <c r="M12" s="8"/>
      <c r="N12" s="1784">
        <f>VLOOKUP(N11,STSLRepaymentRateTable[],3,TRUE)</f>
        <v>0</v>
      </c>
      <c r="O12" s="1785"/>
      <c r="P12" s="8"/>
    </row>
    <row r="13" spans="1:16" ht="15" customHeight="1" x14ac:dyDescent="0.25">
      <c r="A13" s="8"/>
      <c r="B13" s="958" t="s">
        <v>1369</v>
      </c>
      <c r="C13" s="8"/>
      <c r="D13" s="1778" t="str">
        <f>IF(D10&gt;0,IF(E40&gt;0,"25+",MATCH(0,E16:E40,-1)),"")</f>
        <v/>
      </c>
      <c r="E13" s="1779"/>
      <c r="F13" s="8"/>
      <c r="G13" s="958" t="s">
        <v>1369</v>
      </c>
      <c r="H13" s="8"/>
      <c r="I13" s="1778" t="str">
        <f>IF(I10&gt;0,IF(J40&gt;0,"25+",MATCH(0,J16:J40,-1)),"")</f>
        <v/>
      </c>
      <c r="J13" s="1779"/>
      <c r="K13" s="8"/>
      <c r="L13" s="958" t="s">
        <v>1369</v>
      </c>
      <c r="M13" s="8"/>
      <c r="N13" s="1778" t="str">
        <f>IF(N10&gt;0,IF(O40&gt;0,"25+",MATCH(0,O16:O40,-1)),"")</f>
        <v/>
      </c>
      <c r="O13" s="1779"/>
      <c r="P13" s="8"/>
    </row>
    <row r="14" spans="1:16" ht="7.5" customHeight="1" x14ac:dyDescent="0.25">
      <c r="A14" s="8"/>
      <c r="B14" s="8"/>
      <c r="C14" s="8"/>
      <c r="D14" s="8"/>
      <c r="E14" s="8"/>
      <c r="F14" s="8"/>
      <c r="G14" s="8"/>
      <c r="H14" s="8"/>
      <c r="I14" s="8"/>
      <c r="J14" s="8"/>
      <c r="K14" s="8"/>
      <c r="L14" s="8"/>
      <c r="M14" s="8"/>
      <c r="N14" s="8"/>
      <c r="O14" s="8"/>
      <c r="P14" s="8"/>
    </row>
    <row r="15" spans="1:16" ht="15" customHeight="1" x14ac:dyDescent="0.25">
      <c r="A15" s="8"/>
      <c r="B15" s="959" t="s">
        <v>1459</v>
      </c>
      <c r="C15" s="959" t="s">
        <v>1460</v>
      </c>
      <c r="D15" s="959" t="s">
        <v>1461</v>
      </c>
      <c r="E15" s="959" t="s">
        <v>1462</v>
      </c>
      <c r="F15" s="8"/>
      <c r="G15" s="959" t="s">
        <v>1459</v>
      </c>
      <c r="H15" s="959" t="s">
        <v>1460</v>
      </c>
      <c r="I15" s="959" t="s">
        <v>1461</v>
      </c>
      <c r="J15" s="959" t="s">
        <v>1462</v>
      </c>
      <c r="K15" s="8"/>
      <c r="L15" s="959" t="s">
        <v>1459</v>
      </c>
      <c r="M15" s="959" t="s">
        <v>1460</v>
      </c>
      <c r="N15" s="959" t="s">
        <v>1461</v>
      </c>
      <c r="O15" s="959" t="s">
        <v>1462</v>
      </c>
      <c r="P15" s="8"/>
    </row>
    <row r="16" spans="1:16" ht="15" customHeight="1" x14ac:dyDescent="0.25">
      <c r="A16" s="8"/>
      <c r="B16" s="960">
        <v>1</v>
      </c>
      <c r="C16" s="1299">
        <f>D10</f>
        <v>0</v>
      </c>
      <c r="D16" s="1299">
        <f>MIN(D$11*D$12,C16)</f>
        <v>0</v>
      </c>
      <c r="E16" s="1299">
        <f t="shared" ref="E16:E17" si="0">MAX(0,(C16-D16)*(1+$D$7))</f>
        <v>0</v>
      </c>
      <c r="F16" s="8"/>
      <c r="G16" s="960">
        <v>1</v>
      </c>
      <c r="H16" s="1299">
        <f>I10</f>
        <v>0</v>
      </c>
      <c r="I16" s="1299">
        <f>MIN(I$11*I$12,H16)</f>
        <v>0</v>
      </c>
      <c r="J16" s="1299">
        <f t="shared" ref="J16:J17" si="1">MAX(0,(H16-I16)*(1+$D$7))</f>
        <v>0</v>
      </c>
      <c r="K16" s="8"/>
      <c r="L16" s="1298">
        <v>1</v>
      </c>
      <c r="M16" s="1299">
        <f>N10</f>
        <v>0</v>
      </c>
      <c r="N16" s="1299">
        <f>MIN(N$11*N$12,M16)</f>
        <v>0</v>
      </c>
      <c r="O16" s="1299">
        <f t="shared" ref="O16:O17" si="2">MAX(0,(M16-N16)*(1+$D$7))</f>
        <v>0</v>
      </c>
      <c r="P16" s="8"/>
    </row>
    <row r="17" spans="1:16" ht="15" customHeight="1" x14ac:dyDescent="0.25">
      <c r="A17" s="8"/>
      <c r="B17" s="960">
        <v>2</v>
      </c>
      <c r="C17" s="1299">
        <f>E16</f>
        <v>0</v>
      </c>
      <c r="D17" s="1299">
        <f t="shared" ref="D17:D40" si="3">MIN(D$11*D$12,C17)</f>
        <v>0</v>
      </c>
      <c r="E17" s="1299">
        <f t="shared" si="0"/>
        <v>0</v>
      </c>
      <c r="F17" s="8"/>
      <c r="G17" s="960">
        <v>2</v>
      </c>
      <c r="H17" s="1299">
        <f>J16</f>
        <v>0</v>
      </c>
      <c r="I17" s="1299">
        <f t="shared" ref="I17:I40" si="4">MIN(I$11*I$12,H17)</f>
        <v>0</v>
      </c>
      <c r="J17" s="1299">
        <f t="shared" si="1"/>
        <v>0</v>
      </c>
      <c r="K17" s="8"/>
      <c r="L17" s="1298">
        <v>2</v>
      </c>
      <c r="M17" s="1299">
        <f>O16</f>
        <v>0</v>
      </c>
      <c r="N17" s="1299">
        <f t="shared" ref="N17:N40" si="5">MIN(N$11*N$12,M17)</f>
        <v>0</v>
      </c>
      <c r="O17" s="1299">
        <f t="shared" si="2"/>
        <v>0</v>
      </c>
      <c r="P17" s="8"/>
    </row>
    <row r="18" spans="1:16" ht="15" customHeight="1" x14ac:dyDescent="0.25">
      <c r="A18" s="8"/>
      <c r="B18" s="960">
        <v>3</v>
      </c>
      <c r="C18" s="1299">
        <f t="shared" ref="C18:C40" si="6">E17</f>
        <v>0</v>
      </c>
      <c r="D18" s="1299">
        <f t="shared" si="3"/>
        <v>0</v>
      </c>
      <c r="E18" s="1299">
        <f>MAX(0,(C18-D18)*(1+$D$7))</f>
        <v>0</v>
      </c>
      <c r="F18" s="8"/>
      <c r="G18" s="960">
        <v>3</v>
      </c>
      <c r="H18" s="1299">
        <f t="shared" ref="H18:H40" si="7">J17</f>
        <v>0</v>
      </c>
      <c r="I18" s="1299">
        <f t="shared" si="4"/>
        <v>0</v>
      </c>
      <c r="J18" s="1299">
        <f>MAX(0,(H18-I18)*(1+$D$7))</f>
        <v>0</v>
      </c>
      <c r="K18" s="8"/>
      <c r="L18" s="1298">
        <v>3</v>
      </c>
      <c r="M18" s="1299">
        <f t="shared" ref="M18:M40" si="8">O17</f>
        <v>0</v>
      </c>
      <c r="N18" s="1299">
        <f t="shared" si="5"/>
        <v>0</v>
      </c>
      <c r="O18" s="1299">
        <f>MAX(0,(M18-N18)*(1+$D$7))</f>
        <v>0</v>
      </c>
      <c r="P18" s="8"/>
    </row>
    <row r="19" spans="1:16" ht="15" customHeight="1" x14ac:dyDescent="0.25">
      <c r="A19" s="8"/>
      <c r="B19" s="960">
        <v>4</v>
      </c>
      <c r="C19" s="1299">
        <f t="shared" si="6"/>
        <v>0</v>
      </c>
      <c r="D19" s="1299">
        <f t="shared" si="3"/>
        <v>0</v>
      </c>
      <c r="E19" s="1299">
        <f t="shared" ref="E19:E40" si="9">MAX(0,(C19-D19)*(1+$D$7))</f>
        <v>0</v>
      </c>
      <c r="F19" s="8"/>
      <c r="G19" s="960">
        <v>4</v>
      </c>
      <c r="H19" s="1299">
        <f t="shared" si="7"/>
        <v>0</v>
      </c>
      <c r="I19" s="1299">
        <f t="shared" si="4"/>
        <v>0</v>
      </c>
      <c r="J19" s="1299">
        <f t="shared" ref="J19:J40" si="10">MAX(0,(H19-I19)*(1+$D$7))</f>
        <v>0</v>
      </c>
      <c r="K19" s="8"/>
      <c r="L19" s="1298">
        <v>4</v>
      </c>
      <c r="M19" s="1299">
        <f t="shared" si="8"/>
        <v>0</v>
      </c>
      <c r="N19" s="1299">
        <f t="shared" si="5"/>
        <v>0</v>
      </c>
      <c r="O19" s="1299">
        <f t="shared" ref="O19:O40" si="11">MAX(0,(M19-N19)*(1+$D$7))</f>
        <v>0</v>
      </c>
      <c r="P19" s="8"/>
    </row>
    <row r="20" spans="1:16" ht="15" customHeight="1" x14ac:dyDescent="0.25">
      <c r="A20" s="8"/>
      <c r="B20" s="960">
        <v>5</v>
      </c>
      <c r="C20" s="1299">
        <f t="shared" si="6"/>
        <v>0</v>
      </c>
      <c r="D20" s="1299">
        <f t="shared" si="3"/>
        <v>0</v>
      </c>
      <c r="E20" s="1299">
        <f t="shared" si="9"/>
        <v>0</v>
      </c>
      <c r="F20" s="8"/>
      <c r="G20" s="960">
        <v>5</v>
      </c>
      <c r="H20" s="1299">
        <f t="shared" si="7"/>
        <v>0</v>
      </c>
      <c r="I20" s="1299">
        <f t="shared" si="4"/>
        <v>0</v>
      </c>
      <c r="J20" s="1299">
        <f t="shared" si="10"/>
        <v>0</v>
      </c>
      <c r="K20" s="8"/>
      <c r="L20" s="1298">
        <v>5</v>
      </c>
      <c r="M20" s="1299">
        <f t="shared" si="8"/>
        <v>0</v>
      </c>
      <c r="N20" s="1299">
        <f t="shared" si="5"/>
        <v>0</v>
      </c>
      <c r="O20" s="1299">
        <f t="shared" si="11"/>
        <v>0</v>
      </c>
      <c r="P20" s="8"/>
    </row>
    <row r="21" spans="1:16" ht="15" customHeight="1" x14ac:dyDescent="0.25">
      <c r="A21" s="8"/>
      <c r="B21" s="960">
        <v>6</v>
      </c>
      <c r="C21" s="1299">
        <f t="shared" si="6"/>
        <v>0</v>
      </c>
      <c r="D21" s="1299">
        <f t="shared" si="3"/>
        <v>0</v>
      </c>
      <c r="E21" s="1299">
        <f t="shared" si="9"/>
        <v>0</v>
      </c>
      <c r="F21" s="8"/>
      <c r="G21" s="960">
        <v>6</v>
      </c>
      <c r="H21" s="1299">
        <f t="shared" si="7"/>
        <v>0</v>
      </c>
      <c r="I21" s="1299">
        <f t="shared" si="4"/>
        <v>0</v>
      </c>
      <c r="J21" s="1299">
        <f t="shared" si="10"/>
        <v>0</v>
      </c>
      <c r="K21" s="8"/>
      <c r="L21" s="1298">
        <v>6</v>
      </c>
      <c r="M21" s="1299">
        <f t="shared" si="8"/>
        <v>0</v>
      </c>
      <c r="N21" s="1299">
        <f t="shared" si="5"/>
        <v>0</v>
      </c>
      <c r="O21" s="1299">
        <f t="shared" si="11"/>
        <v>0</v>
      </c>
      <c r="P21" s="8"/>
    </row>
    <row r="22" spans="1:16" ht="15" customHeight="1" x14ac:dyDescent="0.25">
      <c r="A22" s="8"/>
      <c r="B22" s="960">
        <v>7</v>
      </c>
      <c r="C22" s="1299">
        <f t="shared" si="6"/>
        <v>0</v>
      </c>
      <c r="D22" s="1299">
        <f t="shared" si="3"/>
        <v>0</v>
      </c>
      <c r="E22" s="1299">
        <f t="shared" si="9"/>
        <v>0</v>
      </c>
      <c r="F22" s="8"/>
      <c r="G22" s="960">
        <v>7</v>
      </c>
      <c r="H22" s="1299">
        <f t="shared" si="7"/>
        <v>0</v>
      </c>
      <c r="I22" s="1299">
        <f t="shared" si="4"/>
        <v>0</v>
      </c>
      <c r="J22" s="1299">
        <f t="shared" si="10"/>
        <v>0</v>
      </c>
      <c r="K22" s="8"/>
      <c r="L22" s="1298">
        <v>7</v>
      </c>
      <c r="M22" s="1299">
        <f t="shared" si="8"/>
        <v>0</v>
      </c>
      <c r="N22" s="1299">
        <f t="shared" si="5"/>
        <v>0</v>
      </c>
      <c r="O22" s="1299">
        <f t="shared" si="11"/>
        <v>0</v>
      </c>
      <c r="P22" s="8"/>
    </row>
    <row r="23" spans="1:16" ht="15" customHeight="1" x14ac:dyDescent="0.25">
      <c r="A23" s="8"/>
      <c r="B23" s="960">
        <v>8</v>
      </c>
      <c r="C23" s="1299">
        <f t="shared" si="6"/>
        <v>0</v>
      </c>
      <c r="D23" s="1299">
        <f t="shared" si="3"/>
        <v>0</v>
      </c>
      <c r="E23" s="1299">
        <f t="shared" si="9"/>
        <v>0</v>
      </c>
      <c r="F23" s="8"/>
      <c r="G23" s="960">
        <v>8</v>
      </c>
      <c r="H23" s="1299">
        <f t="shared" si="7"/>
        <v>0</v>
      </c>
      <c r="I23" s="1299">
        <f t="shared" si="4"/>
        <v>0</v>
      </c>
      <c r="J23" s="1299">
        <f t="shared" si="10"/>
        <v>0</v>
      </c>
      <c r="K23" s="8"/>
      <c r="L23" s="1298">
        <v>8</v>
      </c>
      <c r="M23" s="1299">
        <f t="shared" si="8"/>
        <v>0</v>
      </c>
      <c r="N23" s="1299">
        <f t="shared" si="5"/>
        <v>0</v>
      </c>
      <c r="O23" s="1299">
        <f t="shared" si="11"/>
        <v>0</v>
      </c>
      <c r="P23" s="8"/>
    </row>
    <row r="24" spans="1:16" ht="15" customHeight="1" x14ac:dyDescent="0.25">
      <c r="A24" s="8"/>
      <c r="B24" s="960">
        <v>9</v>
      </c>
      <c r="C24" s="1299">
        <f t="shared" si="6"/>
        <v>0</v>
      </c>
      <c r="D24" s="1299">
        <f t="shared" si="3"/>
        <v>0</v>
      </c>
      <c r="E24" s="1299">
        <f t="shared" si="9"/>
        <v>0</v>
      </c>
      <c r="F24" s="8"/>
      <c r="G24" s="960">
        <v>9</v>
      </c>
      <c r="H24" s="1299">
        <f t="shared" si="7"/>
        <v>0</v>
      </c>
      <c r="I24" s="1299">
        <f t="shared" si="4"/>
        <v>0</v>
      </c>
      <c r="J24" s="1299">
        <f t="shared" si="10"/>
        <v>0</v>
      </c>
      <c r="K24" s="8"/>
      <c r="L24" s="1298">
        <v>9</v>
      </c>
      <c r="M24" s="1299">
        <f t="shared" si="8"/>
        <v>0</v>
      </c>
      <c r="N24" s="1299">
        <f t="shared" si="5"/>
        <v>0</v>
      </c>
      <c r="O24" s="1299">
        <f t="shared" si="11"/>
        <v>0</v>
      </c>
      <c r="P24" s="8"/>
    </row>
    <row r="25" spans="1:16" ht="15" customHeight="1" x14ac:dyDescent="0.25">
      <c r="A25" s="8"/>
      <c r="B25" s="960">
        <v>10</v>
      </c>
      <c r="C25" s="1299">
        <f t="shared" si="6"/>
        <v>0</v>
      </c>
      <c r="D25" s="1299">
        <f t="shared" si="3"/>
        <v>0</v>
      </c>
      <c r="E25" s="1299">
        <f t="shared" si="9"/>
        <v>0</v>
      </c>
      <c r="F25" s="8"/>
      <c r="G25" s="960">
        <v>10</v>
      </c>
      <c r="H25" s="1299">
        <f t="shared" si="7"/>
        <v>0</v>
      </c>
      <c r="I25" s="1299">
        <f t="shared" si="4"/>
        <v>0</v>
      </c>
      <c r="J25" s="1299">
        <f t="shared" si="10"/>
        <v>0</v>
      </c>
      <c r="K25" s="8"/>
      <c r="L25" s="1298">
        <v>10</v>
      </c>
      <c r="M25" s="1299">
        <f t="shared" si="8"/>
        <v>0</v>
      </c>
      <c r="N25" s="1299">
        <f t="shared" si="5"/>
        <v>0</v>
      </c>
      <c r="O25" s="1299">
        <f t="shared" si="11"/>
        <v>0</v>
      </c>
      <c r="P25" s="8"/>
    </row>
    <row r="26" spans="1:16" ht="15" customHeight="1" x14ac:dyDescent="0.25">
      <c r="A26" s="8"/>
      <c r="B26" s="960">
        <v>11</v>
      </c>
      <c r="C26" s="1299">
        <f t="shared" si="6"/>
        <v>0</v>
      </c>
      <c r="D26" s="1299">
        <f t="shared" si="3"/>
        <v>0</v>
      </c>
      <c r="E26" s="1299">
        <f t="shared" si="9"/>
        <v>0</v>
      </c>
      <c r="F26" s="8"/>
      <c r="G26" s="960">
        <v>11</v>
      </c>
      <c r="H26" s="1299">
        <f t="shared" si="7"/>
        <v>0</v>
      </c>
      <c r="I26" s="1299">
        <f t="shared" si="4"/>
        <v>0</v>
      </c>
      <c r="J26" s="1299">
        <f t="shared" si="10"/>
        <v>0</v>
      </c>
      <c r="K26" s="8"/>
      <c r="L26" s="1298">
        <v>11</v>
      </c>
      <c r="M26" s="1299">
        <f t="shared" si="8"/>
        <v>0</v>
      </c>
      <c r="N26" s="1299">
        <f t="shared" si="5"/>
        <v>0</v>
      </c>
      <c r="O26" s="1299">
        <f t="shared" si="11"/>
        <v>0</v>
      </c>
      <c r="P26" s="8"/>
    </row>
    <row r="27" spans="1:16" ht="15" customHeight="1" x14ac:dyDescent="0.25">
      <c r="A27" s="8"/>
      <c r="B27" s="960">
        <v>12</v>
      </c>
      <c r="C27" s="1299">
        <f t="shared" si="6"/>
        <v>0</v>
      </c>
      <c r="D27" s="1299">
        <f t="shared" si="3"/>
        <v>0</v>
      </c>
      <c r="E27" s="1299">
        <f t="shared" si="9"/>
        <v>0</v>
      </c>
      <c r="F27" s="8"/>
      <c r="G27" s="960">
        <v>12</v>
      </c>
      <c r="H27" s="1299">
        <f t="shared" si="7"/>
        <v>0</v>
      </c>
      <c r="I27" s="1299">
        <f t="shared" si="4"/>
        <v>0</v>
      </c>
      <c r="J27" s="1299">
        <f t="shared" si="10"/>
        <v>0</v>
      </c>
      <c r="K27" s="8"/>
      <c r="L27" s="1298">
        <v>12</v>
      </c>
      <c r="M27" s="1299">
        <f t="shared" si="8"/>
        <v>0</v>
      </c>
      <c r="N27" s="1299">
        <f t="shared" si="5"/>
        <v>0</v>
      </c>
      <c r="O27" s="1299">
        <f t="shared" si="11"/>
        <v>0</v>
      </c>
      <c r="P27" s="8"/>
    </row>
    <row r="28" spans="1:16" ht="15" customHeight="1" x14ac:dyDescent="0.25">
      <c r="A28" s="8"/>
      <c r="B28" s="960">
        <v>13</v>
      </c>
      <c r="C28" s="1299">
        <f t="shared" si="6"/>
        <v>0</v>
      </c>
      <c r="D28" s="1299">
        <f t="shared" si="3"/>
        <v>0</v>
      </c>
      <c r="E28" s="1299">
        <f t="shared" si="9"/>
        <v>0</v>
      </c>
      <c r="F28" s="8"/>
      <c r="G28" s="960">
        <v>13</v>
      </c>
      <c r="H28" s="1299">
        <f t="shared" si="7"/>
        <v>0</v>
      </c>
      <c r="I28" s="1299">
        <f t="shared" si="4"/>
        <v>0</v>
      </c>
      <c r="J28" s="1299">
        <f t="shared" si="10"/>
        <v>0</v>
      </c>
      <c r="K28" s="8"/>
      <c r="L28" s="1298">
        <v>13</v>
      </c>
      <c r="M28" s="1299">
        <f t="shared" si="8"/>
        <v>0</v>
      </c>
      <c r="N28" s="1299">
        <f t="shared" si="5"/>
        <v>0</v>
      </c>
      <c r="O28" s="1299">
        <f t="shared" si="11"/>
        <v>0</v>
      </c>
      <c r="P28" s="8"/>
    </row>
    <row r="29" spans="1:16" ht="15" customHeight="1" x14ac:dyDescent="0.25">
      <c r="A29" s="8"/>
      <c r="B29" s="960">
        <v>14</v>
      </c>
      <c r="C29" s="1299">
        <f t="shared" si="6"/>
        <v>0</v>
      </c>
      <c r="D29" s="1299">
        <f t="shared" si="3"/>
        <v>0</v>
      </c>
      <c r="E29" s="1299">
        <f t="shared" si="9"/>
        <v>0</v>
      </c>
      <c r="F29" s="8"/>
      <c r="G29" s="960">
        <v>14</v>
      </c>
      <c r="H29" s="1299">
        <f t="shared" si="7"/>
        <v>0</v>
      </c>
      <c r="I29" s="1299">
        <f t="shared" si="4"/>
        <v>0</v>
      </c>
      <c r="J29" s="1299">
        <f t="shared" si="10"/>
        <v>0</v>
      </c>
      <c r="K29" s="8"/>
      <c r="L29" s="1298">
        <v>14</v>
      </c>
      <c r="M29" s="1299">
        <f t="shared" si="8"/>
        <v>0</v>
      </c>
      <c r="N29" s="1299">
        <f t="shared" si="5"/>
        <v>0</v>
      </c>
      <c r="O29" s="1299">
        <f t="shared" si="11"/>
        <v>0</v>
      </c>
      <c r="P29" s="8"/>
    </row>
    <row r="30" spans="1:16" ht="15" customHeight="1" x14ac:dyDescent="0.25">
      <c r="A30" s="8"/>
      <c r="B30" s="960">
        <v>15</v>
      </c>
      <c r="C30" s="1299">
        <f t="shared" si="6"/>
        <v>0</v>
      </c>
      <c r="D30" s="1299">
        <f t="shared" si="3"/>
        <v>0</v>
      </c>
      <c r="E30" s="1299">
        <f t="shared" si="9"/>
        <v>0</v>
      </c>
      <c r="F30" s="8"/>
      <c r="G30" s="960">
        <v>15</v>
      </c>
      <c r="H30" s="1299">
        <f t="shared" si="7"/>
        <v>0</v>
      </c>
      <c r="I30" s="1299">
        <f t="shared" si="4"/>
        <v>0</v>
      </c>
      <c r="J30" s="1299">
        <f t="shared" si="10"/>
        <v>0</v>
      </c>
      <c r="K30" s="8"/>
      <c r="L30" s="1298">
        <v>15</v>
      </c>
      <c r="M30" s="1299">
        <f t="shared" si="8"/>
        <v>0</v>
      </c>
      <c r="N30" s="1299">
        <f t="shared" si="5"/>
        <v>0</v>
      </c>
      <c r="O30" s="1299">
        <f t="shared" si="11"/>
        <v>0</v>
      </c>
      <c r="P30" s="8"/>
    </row>
    <row r="31" spans="1:16" ht="15" customHeight="1" x14ac:dyDescent="0.25">
      <c r="A31" s="8"/>
      <c r="B31" s="960">
        <v>16</v>
      </c>
      <c r="C31" s="1299">
        <f t="shared" si="6"/>
        <v>0</v>
      </c>
      <c r="D31" s="1299">
        <f t="shared" si="3"/>
        <v>0</v>
      </c>
      <c r="E31" s="1299">
        <f t="shared" si="9"/>
        <v>0</v>
      </c>
      <c r="F31" s="8"/>
      <c r="G31" s="960">
        <v>16</v>
      </c>
      <c r="H31" s="1299">
        <f t="shared" si="7"/>
        <v>0</v>
      </c>
      <c r="I31" s="1299">
        <f t="shared" si="4"/>
        <v>0</v>
      </c>
      <c r="J31" s="1299">
        <f t="shared" si="10"/>
        <v>0</v>
      </c>
      <c r="K31" s="8"/>
      <c r="L31" s="1298">
        <v>16</v>
      </c>
      <c r="M31" s="1299">
        <f t="shared" si="8"/>
        <v>0</v>
      </c>
      <c r="N31" s="1299">
        <f t="shared" si="5"/>
        <v>0</v>
      </c>
      <c r="O31" s="1299">
        <f t="shared" si="11"/>
        <v>0</v>
      </c>
      <c r="P31" s="8"/>
    </row>
    <row r="32" spans="1:16" ht="15" customHeight="1" x14ac:dyDescent="0.25">
      <c r="A32" s="8"/>
      <c r="B32" s="960">
        <v>17</v>
      </c>
      <c r="C32" s="1299">
        <f t="shared" si="6"/>
        <v>0</v>
      </c>
      <c r="D32" s="1299">
        <f t="shared" si="3"/>
        <v>0</v>
      </c>
      <c r="E32" s="1299">
        <f t="shared" si="9"/>
        <v>0</v>
      </c>
      <c r="F32" s="8"/>
      <c r="G32" s="960">
        <v>17</v>
      </c>
      <c r="H32" s="1299">
        <f t="shared" si="7"/>
        <v>0</v>
      </c>
      <c r="I32" s="1299">
        <f t="shared" si="4"/>
        <v>0</v>
      </c>
      <c r="J32" s="1299">
        <f t="shared" si="10"/>
        <v>0</v>
      </c>
      <c r="K32" s="8"/>
      <c r="L32" s="1298">
        <v>17</v>
      </c>
      <c r="M32" s="1299">
        <f t="shared" si="8"/>
        <v>0</v>
      </c>
      <c r="N32" s="1299">
        <f t="shared" si="5"/>
        <v>0</v>
      </c>
      <c r="O32" s="1299">
        <f t="shared" si="11"/>
        <v>0</v>
      </c>
      <c r="P32" s="8"/>
    </row>
    <row r="33" spans="1:16" ht="15" customHeight="1" x14ac:dyDescent="0.25">
      <c r="A33" s="8"/>
      <c r="B33" s="960">
        <v>18</v>
      </c>
      <c r="C33" s="1299">
        <f t="shared" si="6"/>
        <v>0</v>
      </c>
      <c r="D33" s="1299">
        <f t="shared" si="3"/>
        <v>0</v>
      </c>
      <c r="E33" s="1299">
        <f t="shared" si="9"/>
        <v>0</v>
      </c>
      <c r="F33" s="8"/>
      <c r="G33" s="960">
        <v>18</v>
      </c>
      <c r="H33" s="1299">
        <f t="shared" si="7"/>
        <v>0</v>
      </c>
      <c r="I33" s="1299">
        <f t="shared" si="4"/>
        <v>0</v>
      </c>
      <c r="J33" s="1299">
        <f t="shared" si="10"/>
        <v>0</v>
      </c>
      <c r="K33" s="8"/>
      <c r="L33" s="1298">
        <v>18</v>
      </c>
      <c r="M33" s="1299">
        <f t="shared" si="8"/>
        <v>0</v>
      </c>
      <c r="N33" s="1299">
        <f t="shared" si="5"/>
        <v>0</v>
      </c>
      <c r="O33" s="1299">
        <f t="shared" si="11"/>
        <v>0</v>
      </c>
      <c r="P33" s="8"/>
    </row>
    <row r="34" spans="1:16" ht="15" customHeight="1" x14ac:dyDescent="0.25">
      <c r="A34" s="8"/>
      <c r="B34" s="960">
        <v>19</v>
      </c>
      <c r="C34" s="1299">
        <f t="shared" si="6"/>
        <v>0</v>
      </c>
      <c r="D34" s="1299">
        <f t="shared" si="3"/>
        <v>0</v>
      </c>
      <c r="E34" s="1299">
        <f t="shared" si="9"/>
        <v>0</v>
      </c>
      <c r="F34" s="8"/>
      <c r="G34" s="960">
        <v>19</v>
      </c>
      <c r="H34" s="1299">
        <f t="shared" si="7"/>
        <v>0</v>
      </c>
      <c r="I34" s="1299">
        <f t="shared" si="4"/>
        <v>0</v>
      </c>
      <c r="J34" s="1299">
        <f t="shared" si="10"/>
        <v>0</v>
      </c>
      <c r="K34" s="8"/>
      <c r="L34" s="1298">
        <v>19</v>
      </c>
      <c r="M34" s="1299">
        <f t="shared" si="8"/>
        <v>0</v>
      </c>
      <c r="N34" s="1299">
        <f t="shared" si="5"/>
        <v>0</v>
      </c>
      <c r="O34" s="1299">
        <f t="shared" si="11"/>
        <v>0</v>
      </c>
      <c r="P34" s="8"/>
    </row>
    <row r="35" spans="1:16" ht="15" customHeight="1" x14ac:dyDescent="0.25">
      <c r="A35" s="8"/>
      <c r="B35" s="960">
        <v>20</v>
      </c>
      <c r="C35" s="1299">
        <f t="shared" si="6"/>
        <v>0</v>
      </c>
      <c r="D35" s="1299">
        <f t="shared" si="3"/>
        <v>0</v>
      </c>
      <c r="E35" s="1299">
        <f t="shared" si="9"/>
        <v>0</v>
      </c>
      <c r="F35" s="8"/>
      <c r="G35" s="960">
        <v>20</v>
      </c>
      <c r="H35" s="1299">
        <f t="shared" si="7"/>
        <v>0</v>
      </c>
      <c r="I35" s="1299">
        <f t="shared" si="4"/>
        <v>0</v>
      </c>
      <c r="J35" s="1299">
        <f t="shared" si="10"/>
        <v>0</v>
      </c>
      <c r="K35" s="8"/>
      <c r="L35" s="1298">
        <v>20</v>
      </c>
      <c r="M35" s="1299">
        <f t="shared" si="8"/>
        <v>0</v>
      </c>
      <c r="N35" s="1299">
        <f t="shared" si="5"/>
        <v>0</v>
      </c>
      <c r="O35" s="1299">
        <f t="shared" si="11"/>
        <v>0</v>
      </c>
      <c r="P35" s="8"/>
    </row>
    <row r="36" spans="1:16" ht="15" customHeight="1" x14ac:dyDescent="0.25">
      <c r="A36" s="8"/>
      <c r="B36" s="960">
        <v>21</v>
      </c>
      <c r="C36" s="1299">
        <f t="shared" si="6"/>
        <v>0</v>
      </c>
      <c r="D36" s="1299">
        <f t="shared" si="3"/>
        <v>0</v>
      </c>
      <c r="E36" s="1299">
        <f t="shared" si="9"/>
        <v>0</v>
      </c>
      <c r="F36" s="8"/>
      <c r="G36" s="960">
        <v>21</v>
      </c>
      <c r="H36" s="1299">
        <f t="shared" si="7"/>
        <v>0</v>
      </c>
      <c r="I36" s="1299">
        <f t="shared" si="4"/>
        <v>0</v>
      </c>
      <c r="J36" s="1299">
        <f t="shared" si="10"/>
        <v>0</v>
      </c>
      <c r="K36" s="8"/>
      <c r="L36" s="1298">
        <v>21</v>
      </c>
      <c r="M36" s="1299">
        <f t="shared" si="8"/>
        <v>0</v>
      </c>
      <c r="N36" s="1299">
        <f t="shared" si="5"/>
        <v>0</v>
      </c>
      <c r="O36" s="1299">
        <f t="shared" si="11"/>
        <v>0</v>
      </c>
      <c r="P36" s="8"/>
    </row>
    <row r="37" spans="1:16" ht="15" customHeight="1" x14ac:dyDescent="0.25">
      <c r="A37" s="8"/>
      <c r="B37" s="960">
        <v>22</v>
      </c>
      <c r="C37" s="1299">
        <f t="shared" si="6"/>
        <v>0</v>
      </c>
      <c r="D37" s="1299">
        <f t="shared" si="3"/>
        <v>0</v>
      </c>
      <c r="E37" s="1299">
        <f t="shared" si="9"/>
        <v>0</v>
      </c>
      <c r="F37" s="8"/>
      <c r="G37" s="960">
        <v>22</v>
      </c>
      <c r="H37" s="1299">
        <f t="shared" si="7"/>
        <v>0</v>
      </c>
      <c r="I37" s="1299">
        <f t="shared" si="4"/>
        <v>0</v>
      </c>
      <c r="J37" s="1299">
        <f t="shared" si="10"/>
        <v>0</v>
      </c>
      <c r="K37" s="8"/>
      <c r="L37" s="1298">
        <v>22</v>
      </c>
      <c r="M37" s="1299">
        <f t="shared" si="8"/>
        <v>0</v>
      </c>
      <c r="N37" s="1299">
        <f t="shared" si="5"/>
        <v>0</v>
      </c>
      <c r="O37" s="1299">
        <f t="shared" si="11"/>
        <v>0</v>
      </c>
      <c r="P37" s="8"/>
    </row>
    <row r="38" spans="1:16" ht="15" customHeight="1" x14ac:dyDescent="0.25">
      <c r="A38" s="8"/>
      <c r="B38" s="960">
        <v>23</v>
      </c>
      <c r="C38" s="1299">
        <f t="shared" si="6"/>
        <v>0</v>
      </c>
      <c r="D38" s="1299">
        <f t="shared" si="3"/>
        <v>0</v>
      </c>
      <c r="E38" s="1299">
        <f t="shared" si="9"/>
        <v>0</v>
      </c>
      <c r="F38" s="8"/>
      <c r="G38" s="960">
        <v>23</v>
      </c>
      <c r="H38" s="1299">
        <f t="shared" si="7"/>
        <v>0</v>
      </c>
      <c r="I38" s="1299">
        <f t="shared" si="4"/>
        <v>0</v>
      </c>
      <c r="J38" s="1299">
        <f t="shared" si="10"/>
        <v>0</v>
      </c>
      <c r="K38" s="8"/>
      <c r="L38" s="1298">
        <v>23</v>
      </c>
      <c r="M38" s="1299">
        <f t="shared" si="8"/>
        <v>0</v>
      </c>
      <c r="N38" s="1299">
        <f t="shared" si="5"/>
        <v>0</v>
      </c>
      <c r="O38" s="1299">
        <f t="shared" si="11"/>
        <v>0</v>
      </c>
      <c r="P38" s="8"/>
    </row>
    <row r="39" spans="1:16" ht="15" customHeight="1" x14ac:dyDescent="0.25">
      <c r="A39" s="8"/>
      <c r="B39" s="960">
        <v>24</v>
      </c>
      <c r="C39" s="1299">
        <f t="shared" si="6"/>
        <v>0</v>
      </c>
      <c r="D39" s="1299">
        <f t="shared" si="3"/>
        <v>0</v>
      </c>
      <c r="E39" s="1299">
        <f t="shared" si="9"/>
        <v>0</v>
      </c>
      <c r="F39" s="8"/>
      <c r="G39" s="960">
        <v>24</v>
      </c>
      <c r="H39" s="1299">
        <f t="shared" si="7"/>
        <v>0</v>
      </c>
      <c r="I39" s="1299">
        <f t="shared" si="4"/>
        <v>0</v>
      </c>
      <c r="J39" s="1299">
        <f t="shared" si="10"/>
        <v>0</v>
      </c>
      <c r="K39" s="8"/>
      <c r="L39" s="1298">
        <v>24</v>
      </c>
      <c r="M39" s="1299">
        <f t="shared" si="8"/>
        <v>0</v>
      </c>
      <c r="N39" s="1299">
        <f t="shared" si="5"/>
        <v>0</v>
      </c>
      <c r="O39" s="1299">
        <f t="shared" si="11"/>
        <v>0</v>
      </c>
      <c r="P39" s="8"/>
    </row>
    <row r="40" spans="1:16" ht="15" customHeight="1" x14ac:dyDescent="0.25">
      <c r="A40" s="8"/>
      <c r="B40" s="960">
        <v>25</v>
      </c>
      <c r="C40" s="1299">
        <f t="shared" si="6"/>
        <v>0</v>
      </c>
      <c r="D40" s="1299">
        <f t="shared" si="3"/>
        <v>0</v>
      </c>
      <c r="E40" s="1299">
        <f t="shared" si="9"/>
        <v>0</v>
      </c>
      <c r="F40" s="8"/>
      <c r="G40" s="960">
        <v>25</v>
      </c>
      <c r="H40" s="1299">
        <f t="shared" si="7"/>
        <v>0</v>
      </c>
      <c r="I40" s="1299">
        <f t="shared" si="4"/>
        <v>0</v>
      </c>
      <c r="J40" s="1299">
        <f t="shared" si="10"/>
        <v>0</v>
      </c>
      <c r="K40" s="8"/>
      <c r="L40" s="1298">
        <v>25</v>
      </c>
      <c r="M40" s="1299">
        <f t="shared" si="8"/>
        <v>0</v>
      </c>
      <c r="N40" s="1299">
        <f t="shared" si="5"/>
        <v>0</v>
      </c>
      <c r="O40" s="1299">
        <f t="shared" si="11"/>
        <v>0</v>
      </c>
      <c r="P40" s="8"/>
    </row>
    <row r="41" spans="1:16" ht="16" customHeight="1" x14ac:dyDescent="0.25">
      <c r="A41" s="8"/>
      <c r="B41" s="8"/>
      <c r="C41" s="8"/>
      <c r="D41" s="8"/>
      <c r="E41" s="8"/>
      <c r="F41" s="8"/>
      <c r="G41" s="8"/>
      <c r="H41" s="8"/>
      <c r="I41" s="8"/>
      <c r="J41" s="8"/>
      <c r="K41" s="8"/>
      <c r="L41" s="8"/>
      <c r="M41" s="8"/>
      <c r="N41" s="8"/>
      <c r="P41" s="8"/>
    </row>
    <row r="42" spans="1:16" ht="16" customHeight="1" x14ac:dyDescent="0.25">
      <c r="A42" s="8"/>
      <c r="B42" s="958" t="s">
        <v>252</v>
      </c>
      <c r="C42" s="8"/>
      <c r="D42" s="1780">
        <f>SCAApp4Name</f>
        <v>0</v>
      </c>
      <c r="E42" s="1781"/>
      <c r="F42" s="8"/>
      <c r="G42" s="958" t="s">
        <v>252</v>
      </c>
      <c r="H42" s="8"/>
      <c r="I42" s="1780">
        <f>SCAApp5Name</f>
        <v>0</v>
      </c>
      <c r="J42" s="1781"/>
      <c r="K42" s="8"/>
      <c r="L42" s="958" t="s">
        <v>252</v>
      </c>
      <c r="M42" s="8"/>
      <c r="N42" s="1780">
        <f>SCAApp6Name</f>
        <v>0</v>
      </c>
      <c r="O42" s="1781"/>
      <c r="P42" s="8"/>
    </row>
    <row r="43" spans="1:16" ht="16" customHeight="1" x14ac:dyDescent="0.25">
      <c r="A43" s="8"/>
      <c r="B43" s="958" t="s">
        <v>1457</v>
      </c>
      <c r="C43" s="8"/>
      <c r="D43" s="1782">
        <f>IFERROR(SUMIFS(Serviceability!$S$264:$S$281,Serviceability!$C$264:$C$281,"Study and training support loan",Serviceability!$BC$264:$BC$281,4),0)</f>
        <v>0</v>
      </c>
      <c r="E43" s="1783"/>
      <c r="F43" s="8"/>
      <c r="G43" s="958" t="s">
        <v>1457</v>
      </c>
      <c r="H43" s="8"/>
      <c r="I43" s="1782">
        <f>IFERROR(SUMIFS(Serviceability!$S$264:$S$281,Serviceability!$C$264:$C$281,"Study and training support loan",Serviceability!$BC$264:$BC$281,5),0)</f>
        <v>0</v>
      </c>
      <c r="J43" s="1783"/>
      <c r="K43" s="8"/>
      <c r="L43" s="958" t="s">
        <v>1457</v>
      </c>
      <c r="M43" s="8"/>
      <c r="N43" s="1782">
        <f>IFERROR(SUMIFS(Serviceability!$S$264:$S$281,Serviceability!$C$264:$C$281,"Study and training support loan",Serviceability!$BC$264:$BC$281,6),0)</f>
        <v>0</v>
      </c>
      <c r="O43" s="1783"/>
      <c r="P43" s="8"/>
    </row>
    <row r="44" spans="1:16" ht="16" customHeight="1" x14ac:dyDescent="0.25">
      <c r="A44" s="8"/>
      <c r="B44" s="958" t="s">
        <v>1463</v>
      </c>
      <c r="C44" s="8"/>
      <c r="D44" s="1782">
        <f>ICApp4IncomeSTSLRT</f>
        <v>0</v>
      </c>
      <c r="E44" s="1783"/>
      <c r="F44" s="8"/>
      <c r="G44" s="958" t="s">
        <v>1463</v>
      </c>
      <c r="H44" s="8"/>
      <c r="I44" s="1782">
        <f>ICApp5IncomeSTSLRT</f>
        <v>0</v>
      </c>
      <c r="J44" s="1783"/>
      <c r="K44" s="8"/>
      <c r="L44" s="958" t="s">
        <v>1463</v>
      </c>
      <c r="M44" s="8"/>
      <c r="N44" s="1782">
        <f>ICApp6IncomeSTSLRT</f>
        <v>0</v>
      </c>
      <c r="O44" s="1783"/>
      <c r="P44" s="8"/>
    </row>
    <row r="45" spans="1:16" ht="16" customHeight="1" x14ac:dyDescent="0.25">
      <c r="A45" s="8"/>
      <c r="B45" s="958" t="s">
        <v>1458</v>
      </c>
      <c r="C45" s="8"/>
      <c r="D45" s="1784">
        <f>VLOOKUP(D44,STSLRepaymentRateTable[],3,TRUE)</f>
        <v>0</v>
      </c>
      <c r="E45" s="1785"/>
      <c r="F45" s="8"/>
      <c r="G45" s="958" t="s">
        <v>1458</v>
      </c>
      <c r="H45" s="8"/>
      <c r="I45" s="1784">
        <f>VLOOKUP(I44,STSLRepaymentRateTable[],3,TRUE)</f>
        <v>0</v>
      </c>
      <c r="J45" s="1785"/>
      <c r="K45" s="8"/>
      <c r="L45" s="958" t="s">
        <v>1458</v>
      </c>
      <c r="M45" s="8"/>
      <c r="N45" s="1784">
        <f>VLOOKUP(N44,STSLRepaymentRateTable[],3,TRUE)</f>
        <v>0</v>
      </c>
      <c r="O45" s="1785"/>
      <c r="P45" s="8"/>
    </row>
    <row r="46" spans="1:16" ht="16" customHeight="1" x14ac:dyDescent="0.25">
      <c r="A46" s="8"/>
      <c r="B46" s="958" t="s">
        <v>1369</v>
      </c>
      <c r="C46" s="8"/>
      <c r="D46" s="1778" t="str">
        <f>IF(D43&gt;0,IF(E73&gt;0,"25+",MATCH(0,E49:E73,-1)),"")</f>
        <v/>
      </c>
      <c r="E46" s="1779"/>
      <c r="F46" s="8"/>
      <c r="G46" s="958" t="s">
        <v>1369</v>
      </c>
      <c r="H46" s="8"/>
      <c r="I46" s="1778" t="str">
        <f>IF(I43&gt;0,IF(J73&gt;0,"25+",MATCH(0,J49:J73,-1)),"")</f>
        <v/>
      </c>
      <c r="J46" s="1779"/>
      <c r="K46" s="8"/>
      <c r="L46" s="958" t="s">
        <v>1369</v>
      </c>
      <c r="M46" s="8"/>
      <c r="N46" s="1778" t="str">
        <f>IF(N43&gt;0,IF(O73&gt;0,"25+",MATCH(0,O49:O73,-1)),"")</f>
        <v/>
      </c>
      <c r="O46" s="1779"/>
      <c r="P46" s="8"/>
    </row>
    <row r="47" spans="1:16" ht="16" customHeight="1" x14ac:dyDescent="0.25">
      <c r="A47" s="8"/>
      <c r="B47" s="8"/>
      <c r="C47" s="8"/>
      <c r="D47" s="8"/>
      <c r="E47" s="8"/>
      <c r="F47" s="8"/>
      <c r="G47" s="8"/>
      <c r="H47" s="8"/>
      <c r="I47" s="8"/>
      <c r="J47" s="8"/>
      <c r="K47" s="8"/>
      <c r="L47" s="8"/>
      <c r="M47" s="8"/>
      <c r="N47" s="8"/>
      <c r="O47" s="8"/>
      <c r="P47" s="8"/>
    </row>
    <row r="48" spans="1:16" ht="16" customHeight="1" x14ac:dyDescent="0.25">
      <c r="A48" s="8"/>
      <c r="B48" s="959" t="s">
        <v>1459</v>
      </c>
      <c r="C48" s="959" t="s">
        <v>1460</v>
      </c>
      <c r="D48" s="959" t="s">
        <v>1461</v>
      </c>
      <c r="E48" s="959" t="s">
        <v>1462</v>
      </c>
      <c r="F48" s="8"/>
      <c r="G48" s="959" t="s">
        <v>1459</v>
      </c>
      <c r="H48" s="959" t="s">
        <v>1460</v>
      </c>
      <c r="I48" s="959" t="s">
        <v>1461</v>
      </c>
      <c r="J48" s="959" t="s">
        <v>1462</v>
      </c>
      <c r="K48" s="8"/>
      <c r="L48" s="959" t="s">
        <v>1459</v>
      </c>
      <c r="M48" s="959" t="s">
        <v>1460</v>
      </c>
      <c r="N48" s="959" t="s">
        <v>1461</v>
      </c>
      <c r="O48" s="959" t="s">
        <v>1462</v>
      </c>
      <c r="P48" s="8"/>
    </row>
    <row r="49" spans="1:16" ht="16" customHeight="1" x14ac:dyDescent="0.25">
      <c r="A49" s="8"/>
      <c r="B49" s="960">
        <v>1</v>
      </c>
      <c r="C49" s="1299">
        <f>D43</f>
        <v>0</v>
      </c>
      <c r="D49" s="1299">
        <f>MIN(D$11*D$12,C49)</f>
        <v>0</v>
      </c>
      <c r="E49" s="1299">
        <f t="shared" ref="E49:E50" si="12">MAX(0,(C49-D49)*(1+$D$7))</f>
        <v>0</v>
      </c>
      <c r="F49" s="8"/>
      <c r="G49" s="960">
        <v>1</v>
      </c>
      <c r="H49" s="1299">
        <f>I43</f>
        <v>0</v>
      </c>
      <c r="I49" s="1299">
        <f>MIN(I$11*I$12,H49)</f>
        <v>0</v>
      </c>
      <c r="J49" s="1299">
        <f t="shared" ref="J49:J50" si="13">MAX(0,(H49-I49)*(1+$D$7))</f>
        <v>0</v>
      </c>
      <c r="K49" s="8"/>
      <c r="L49" s="960">
        <v>1</v>
      </c>
      <c r="M49" s="1299">
        <f>N43</f>
        <v>0</v>
      </c>
      <c r="N49" s="1299">
        <f>MIN(N$11*N$12,M49)</f>
        <v>0</v>
      </c>
      <c r="O49" s="1299">
        <f t="shared" ref="O49:O50" si="14">MAX(0,(M49-N49)*(1+$D$7))</f>
        <v>0</v>
      </c>
      <c r="P49" s="8"/>
    </row>
    <row r="50" spans="1:16" ht="16" customHeight="1" x14ac:dyDescent="0.25">
      <c r="A50" s="8"/>
      <c r="B50" s="960">
        <v>2</v>
      </c>
      <c r="C50" s="1299">
        <f>E49</f>
        <v>0</v>
      </c>
      <c r="D50" s="1299">
        <f t="shared" ref="D50:D73" si="15">MIN(D$11*D$12,C50)</f>
        <v>0</v>
      </c>
      <c r="E50" s="1299">
        <f t="shared" si="12"/>
        <v>0</v>
      </c>
      <c r="F50" s="8"/>
      <c r="G50" s="960">
        <v>2</v>
      </c>
      <c r="H50" s="1299">
        <f>J49</f>
        <v>0</v>
      </c>
      <c r="I50" s="1299">
        <f t="shared" ref="I50:I73" si="16">MIN(I$11*I$12,H50)</f>
        <v>0</v>
      </c>
      <c r="J50" s="1299">
        <f t="shared" si="13"/>
        <v>0</v>
      </c>
      <c r="K50" s="8"/>
      <c r="L50" s="960">
        <v>2</v>
      </c>
      <c r="M50" s="1299">
        <f>O49</f>
        <v>0</v>
      </c>
      <c r="N50" s="1299">
        <f t="shared" ref="N50:N73" si="17">MIN(N$11*N$12,M50)</f>
        <v>0</v>
      </c>
      <c r="O50" s="1299">
        <f t="shared" si="14"/>
        <v>0</v>
      </c>
      <c r="P50" s="8"/>
    </row>
    <row r="51" spans="1:16" ht="16" customHeight="1" x14ac:dyDescent="0.25">
      <c r="A51" s="8"/>
      <c r="B51" s="960">
        <v>3</v>
      </c>
      <c r="C51" s="1299">
        <f t="shared" ref="C51:C73" si="18">E50</f>
        <v>0</v>
      </c>
      <c r="D51" s="1299">
        <f t="shared" si="15"/>
        <v>0</v>
      </c>
      <c r="E51" s="1299">
        <f>MAX(0,(C51-D51)*(1+$D$7))</f>
        <v>0</v>
      </c>
      <c r="F51" s="8"/>
      <c r="G51" s="960">
        <v>3</v>
      </c>
      <c r="H51" s="1299">
        <f t="shared" ref="H51:H73" si="19">J50</f>
        <v>0</v>
      </c>
      <c r="I51" s="1299">
        <f t="shared" si="16"/>
        <v>0</v>
      </c>
      <c r="J51" s="1299">
        <f>MAX(0,(H51-I51)*(1+$D$7))</f>
        <v>0</v>
      </c>
      <c r="K51" s="8"/>
      <c r="L51" s="960">
        <v>3</v>
      </c>
      <c r="M51" s="1299">
        <f t="shared" ref="M51:M73" si="20">O50</f>
        <v>0</v>
      </c>
      <c r="N51" s="1299">
        <f t="shared" si="17"/>
        <v>0</v>
      </c>
      <c r="O51" s="1299">
        <f>MAX(0,(M51-N51)*(1+$D$7))</f>
        <v>0</v>
      </c>
      <c r="P51" s="8"/>
    </row>
    <row r="52" spans="1:16" ht="16" customHeight="1" x14ac:dyDescent="0.25">
      <c r="A52" s="8"/>
      <c r="B52" s="960">
        <v>4</v>
      </c>
      <c r="C52" s="1299">
        <f t="shared" si="18"/>
        <v>0</v>
      </c>
      <c r="D52" s="1299">
        <f t="shared" si="15"/>
        <v>0</v>
      </c>
      <c r="E52" s="1299">
        <f t="shared" ref="E52:E73" si="21">MAX(0,(C52-D52)*(1+$D$7))</f>
        <v>0</v>
      </c>
      <c r="F52" s="8"/>
      <c r="G52" s="960">
        <v>4</v>
      </c>
      <c r="H52" s="1299">
        <f t="shared" si="19"/>
        <v>0</v>
      </c>
      <c r="I52" s="1299">
        <f t="shared" si="16"/>
        <v>0</v>
      </c>
      <c r="J52" s="1299">
        <f t="shared" ref="J52:J73" si="22">MAX(0,(H52-I52)*(1+$D$7))</f>
        <v>0</v>
      </c>
      <c r="K52" s="8"/>
      <c r="L52" s="960">
        <v>4</v>
      </c>
      <c r="M52" s="1299">
        <f t="shared" si="20"/>
        <v>0</v>
      </c>
      <c r="N52" s="1299">
        <f t="shared" si="17"/>
        <v>0</v>
      </c>
      <c r="O52" s="1299">
        <f t="shared" ref="O52:O73" si="23">MAX(0,(M52-N52)*(1+$D$7))</f>
        <v>0</v>
      </c>
      <c r="P52" s="8"/>
    </row>
    <row r="53" spans="1:16" ht="16" customHeight="1" x14ac:dyDescent="0.25">
      <c r="A53" s="8"/>
      <c r="B53" s="960">
        <v>5</v>
      </c>
      <c r="C53" s="1299">
        <f t="shared" si="18"/>
        <v>0</v>
      </c>
      <c r="D53" s="1299">
        <f t="shared" si="15"/>
        <v>0</v>
      </c>
      <c r="E53" s="1299">
        <f t="shared" si="21"/>
        <v>0</v>
      </c>
      <c r="F53" s="8"/>
      <c r="G53" s="960">
        <v>5</v>
      </c>
      <c r="H53" s="1299">
        <f t="shared" si="19"/>
        <v>0</v>
      </c>
      <c r="I53" s="1299">
        <f t="shared" si="16"/>
        <v>0</v>
      </c>
      <c r="J53" s="1299">
        <f t="shared" si="22"/>
        <v>0</v>
      </c>
      <c r="K53" s="8"/>
      <c r="L53" s="960">
        <v>5</v>
      </c>
      <c r="M53" s="1299">
        <f t="shared" si="20"/>
        <v>0</v>
      </c>
      <c r="N53" s="1299">
        <f t="shared" si="17"/>
        <v>0</v>
      </c>
      <c r="O53" s="1299">
        <f t="shared" si="23"/>
        <v>0</v>
      </c>
      <c r="P53" s="8"/>
    </row>
    <row r="54" spans="1:16" ht="16" customHeight="1" x14ac:dyDescent="0.25">
      <c r="A54" s="8"/>
      <c r="B54" s="960">
        <v>6</v>
      </c>
      <c r="C54" s="1299">
        <f t="shared" si="18"/>
        <v>0</v>
      </c>
      <c r="D54" s="1299">
        <f t="shared" si="15"/>
        <v>0</v>
      </c>
      <c r="E54" s="1299">
        <f t="shared" si="21"/>
        <v>0</v>
      </c>
      <c r="F54" s="8"/>
      <c r="G54" s="960">
        <v>6</v>
      </c>
      <c r="H54" s="1299">
        <f t="shared" si="19"/>
        <v>0</v>
      </c>
      <c r="I54" s="1299">
        <f t="shared" si="16"/>
        <v>0</v>
      </c>
      <c r="J54" s="1299">
        <f t="shared" si="22"/>
        <v>0</v>
      </c>
      <c r="K54" s="8"/>
      <c r="L54" s="960">
        <v>6</v>
      </c>
      <c r="M54" s="1299">
        <f t="shared" si="20"/>
        <v>0</v>
      </c>
      <c r="N54" s="1299">
        <f t="shared" si="17"/>
        <v>0</v>
      </c>
      <c r="O54" s="1299">
        <f t="shared" si="23"/>
        <v>0</v>
      </c>
      <c r="P54" s="8"/>
    </row>
    <row r="55" spans="1:16" ht="16" customHeight="1" x14ac:dyDescent="0.25">
      <c r="A55" s="8"/>
      <c r="B55" s="960">
        <v>7</v>
      </c>
      <c r="C55" s="1299">
        <f t="shared" si="18"/>
        <v>0</v>
      </c>
      <c r="D55" s="1299">
        <f t="shared" si="15"/>
        <v>0</v>
      </c>
      <c r="E55" s="1299">
        <f t="shared" si="21"/>
        <v>0</v>
      </c>
      <c r="F55" s="8"/>
      <c r="G55" s="960">
        <v>7</v>
      </c>
      <c r="H55" s="1299">
        <f t="shared" si="19"/>
        <v>0</v>
      </c>
      <c r="I55" s="1299">
        <f t="shared" si="16"/>
        <v>0</v>
      </c>
      <c r="J55" s="1299">
        <f t="shared" si="22"/>
        <v>0</v>
      </c>
      <c r="K55" s="8"/>
      <c r="L55" s="960">
        <v>7</v>
      </c>
      <c r="M55" s="1299">
        <f t="shared" si="20"/>
        <v>0</v>
      </c>
      <c r="N55" s="1299">
        <f t="shared" si="17"/>
        <v>0</v>
      </c>
      <c r="O55" s="1299">
        <f t="shared" si="23"/>
        <v>0</v>
      </c>
      <c r="P55" s="8"/>
    </row>
    <row r="56" spans="1:16" ht="16" customHeight="1" x14ac:dyDescent="0.25">
      <c r="A56" s="8"/>
      <c r="B56" s="960">
        <v>8</v>
      </c>
      <c r="C56" s="1299">
        <f t="shared" si="18"/>
        <v>0</v>
      </c>
      <c r="D56" s="1299">
        <f t="shared" si="15"/>
        <v>0</v>
      </c>
      <c r="E56" s="1299">
        <f t="shared" si="21"/>
        <v>0</v>
      </c>
      <c r="F56" s="8"/>
      <c r="G56" s="960">
        <v>8</v>
      </c>
      <c r="H56" s="1299">
        <f t="shared" si="19"/>
        <v>0</v>
      </c>
      <c r="I56" s="1299">
        <f t="shared" si="16"/>
        <v>0</v>
      </c>
      <c r="J56" s="1299">
        <f t="shared" si="22"/>
        <v>0</v>
      </c>
      <c r="K56" s="8"/>
      <c r="L56" s="960">
        <v>8</v>
      </c>
      <c r="M56" s="1299">
        <f t="shared" si="20"/>
        <v>0</v>
      </c>
      <c r="N56" s="1299">
        <f t="shared" si="17"/>
        <v>0</v>
      </c>
      <c r="O56" s="1299">
        <f t="shared" si="23"/>
        <v>0</v>
      </c>
      <c r="P56" s="8"/>
    </row>
    <row r="57" spans="1:16" ht="16" customHeight="1" x14ac:dyDescent="0.25">
      <c r="A57" s="8"/>
      <c r="B57" s="960">
        <v>9</v>
      </c>
      <c r="C57" s="1299">
        <f t="shared" si="18"/>
        <v>0</v>
      </c>
      <c r="D57" s="1299">
        <f t="shared" si="15"/>
        <v>0</v>
      </c>
      <c r="E57" s="1299">
        <f t="shared" si="21"/>
        <v>0</v>
      </c>
      <c r="F57" s="8"/>
      <c r="G57" s="960">
        <v>9</v>
      </c>
      <c r="H57" s="1299">
        <f t="shared" si="19"/>
        <v>0</v>
      </c>
      <c r="I57" s="1299">
        <f t="shared" si="16"/>
        <v>0</v>
      </c>
      <c r="J57" s="1299">
        <f t="shared" si="22"/>
        <v>0</v>
      </c>
      <c r="K57" s="8"/>
      <c r="L57" s="960">
        <v>9</v>
      </c>
      <c r="M57" s="1299">
        <f t="shared" si="20"/>
        <v>0</v>
      </c>
      <c r="N57" s="1299">
        <f t="shared" si="17"/>
        <v>0</v>
      </c>
      <c r="O57" s="1299">
        <f t="shared" si="23"/>
        <v>0</v>
      </c>
      <c r="P57" s="8"/>
    </row>
    <row r="58" spans="1:16" ht="16" customHeight="1" x14ac:dyDescent="0.25">
      <c r="A58" s="8"/>
      <c r="B58" s="960">
        <v>10</v>
      </c>
      <c r="C58" s="1299">
        <f t="shared" si="18"/>
        <v>0</v>
      </c>
      <c r="D58" s="1299">
        <f t="shared" si="15"/>
        <v>0</v>
      </c>
      <c r="E58" s="1299">
        <f t="shared" si="21"/>
        <v>0</v>
      </c>
      <c r="F58" s="8"/>
      <c r="G58" s="960">
        <v>10</v>
      </c>
      <c r="H58" s="1299">
        <f t="shared" si="19"/>
        <v>0</v>
      </c>
      <c r="I58" s="1299">
        <f t="shared" si="16"/>
        <v>0</v>
      </c>
      <c r="J58" s="1299">
        <f t="shared" si="22"/>
        <v>0</v>
      </c>
      <c r="K58" s="8"/>
      <c r="L58" s="960">
        <v>10</v>
      </c>
      <c r="M58" s="1299">
        <f t="shared" si="20"/>
        <v>0</v>
      </c>
      <c r="N58" s="1299">
        <f t="shared" si="17"/>
        <v>0</v>
      </c>
      <c r="O58" s="1299">
        <f t="shared" si="23"/>
        <v>0</v>
      </c>
      <c r="P58" s="8"/>
    </row>
    <row r="59" spans="1:16" ht="16" customHeight="1" x14ac:dyDescent="0.25">
      <c r="A59" s="8"/>
      <c r="B59" s="960">
        <v>11</v>
      </c>
      <c r="C59" s="1299">
        <f t="shared" si="18"/>
        <v>0</v>
      </c>
      <c r="D59" s="1299">
        <f t="shared" si="15"/>
        <v>0</v>
      </c>
      <c r="E59" s="1299">
        <f t="shared" si="21"/>
        <v>0</v>
      </c>
      <c r="F59" s="8"/>
      <c r="G59" s="960">
        <v>11</v>
      </c>
      <c r="H59" s="1299">
        <f t="shared" si="19"/>
        <v>0</v>
      </c>
      <c r="I59" s="1299">
        <f t="shared" si="16"/>
        <v>0</v>
      </c>
      <c r="J59" s="1299">
        <f t="shared" si="22"/>
        <v>0</v>
      </c>
      <c r="K59" s="8"/>
      <c r="L59" s="960">
        <v>11</v>
      </c>
      <c r="M59" s="1299">
        <f t="shared" si="20"/>
        <v>0</v>
      </c>
      <c r="N59" s="1299">
        <f t="shared" si="17"/>
        <v>0</v>
      </c>
      <c r="O59" s="1299">
        <f t="shared" si="23"/>
        <v>0</v>
      </c>
      <c r="P59" s="8"/>
    </row>
    <row r="60" spans="1:16" ht="16" customHeight="1" x14ac:dyDescent="0.25">
      <c r="A60" s="8"/>
      <c r="B60" s="960">
        <v>12</v>
      </c>
      <c r="C60" s="1299">
        <f t="shared" si="18"/>
        <v>0</v>
      </c>
      <c r="D60" s="1299">
        <f t="shared" si="15"/>
        <v>0</v>
      </c>
      <c r="E60" s="1299">
        <f t="shared" si="21"/>
        <v>0</v>
      </c>
      <c r="F60" s="8"/>
      <c r="G60" s="960">
        <v>12</v>
      </c>
      <c r="H60" s="1299">
        <f t="shared" si="19"/>
        <v>0</v>
      </c>
      <c r="I60" s="1299">
        <f t="shared" si="16"/>
        <v>0</v>
      </c>
      <c r="J60" s="1299">
        <f t="shared" si="22"/>
        <v>0</v>
      </c>
      <c r="K60" s="8"/>
      <c r="L60" s="960">
        <v>12</v>
      </c>
      <c r="M60" s="1299">
        <f t="shared" si="20"/>
        <v>0</v>
      </c>
      <c r="N60" s="1299">
        <f t="shared" si="17"/>
        <v>0</v>
      </c>
      <c r="O60" s="1299">
        <f t="shared" si="23"/>
        <v>0</v>
      </c>
      <c r="P60" s="8"/>
    </row>
    <row r="61" spans="1:16" ht="16" customHeight="1" x14ac:dyDescent="0.25">
      <c r="A61" s="8"/>
      <c r="B61" s="960">
        <v>13</v>
      </c>
      <c r="C61" s="1299">
        <f t="shared" si="18"/>
        <v>0</v>
      </c>
      <c r="D61" s="1299">
        <f t="shared" si="15"/>
        <v>0</v>
      </c>
      <c r="E61" s="1299">
        <f t="shared" si="21"/>
        <v>0</v>
      </c>
      <c r="F61" s="8"/>
      <c r="G61" s="960">
        <v>13</v>
      </c>
      <c r="H61" s="1299">
        <f t="shared" si="19"/>
        <v>0</v>
      </c>
      <c r="I61" s="1299">
        <f t="shared" si="16"/>
        <v>0</v>
      </c>
      <c r="J61" s="1299">
        <f t="shared" si="22"/>
        <v>0</v>
      </c>
      <c r="K61" s="8"/>
      <c r="L61" s="960">
        <v>13</v>
      </c>
      <c r="M61" s="1299">
        <f t="shared" si="20"/>
        <v>0</v>
      </c>
      <c r="N61" s="1299">
        <f t="shared" si="17"/>
        <v>0</v>
      </c>
      <c r="O61" s="1299">
        <f t="shared" si="23"/>
        <v>0</v>
      </c>
      <c r="P61" s="8"/>
    </row>
    <row r="62" spans="1:16" ht="16" customHeight="1" x14ac:dyDescent="0.25">
      <c r="A62" s="8"/>
      <c r="B62" s="960">
        <v>14</v>
      </c>
      <c r="C62" s="1299">
        <f t="shared" si="18"/>
        <v>0</v>
      </c>
      <c r="D62" s="1299">
        <f t="shared" si="15"/>
        <v>0</v>
      </c>
      <c r="E62" s="1299">
        <f t="shared" si="21"/>
        <v>0</v>
      </c>
      <c r="F62" s="8"/>
      <c r="G62" s="960">
        <v>14</v>
      </c>
      <c r="H62" s="1299">
        <f t="shared" si="19"/>
        <v>0</v>
      </c>
      <c r="I62" s="1299">
        <f t="shared" si="16"/>
        <v>0</v>
      </c>
      <c r="J62" s="1299">
        <f t="shared" si="22"/>
        <v>0</v>
      </c>
      <c r="K62" s="8"/>
      <c r="L62" s="960">
        <v>14</v>
      </c>
      <c r="M62" s="1299">
        <f t="shared" si="20"/>
        <v>0</v>
      </c>
      <c r="N62" s="1299">
        <f t="shared" si="17"/>
        <v>0</v>
      </c>
      <c r="O62" s="1299">
        <f t="shared" si="23"/>
        <v>0</v>
      </c>
      <c r="P62" s="8"/>
    </row>
    <row r="63" spans="1:16" ht="16" customHeight="1" x14ac:dyDescent="0.25">
      <c r="A63" s="8"/>
      <c r="B63" s="960">
        <v>15</v>
      </c>
      <c r="C63" s="1299">
        <f t="shared" si="18"/>
        <v>0</v>
      </c>
      <c r="D63" s="1299">
        <f t="shared" si="15"/>
        <v>0</v>
      </c>
      <c r="E63" s="1299">
        <f t="shared" si="21"/>
        <v>0</v>
      </c>
      <c r="F63" s="8"/>
      <c r="G63" s="960">
        <v>15</v>
      </c>
      <c r="H63" s="1299">
        <f t="shared" si="19"/>
        <v>0</v>
      </c>
      <c r="I63" s="1299">
        <f t="shared" si="16"/>
        <v>0</v>
      </c>
      <c r="J63" s="1299">
        <f t="shared" si="22"/>
        <v>0</v>
      </c>
      <c r="K63" s="8"/>
      <c r="L63" s="960">
        <v>15</v>
      </c>
      <c r="M63" s="1299">
        <f t="shared" si="20"/>
        <v>0</v>
      </c>
      <c r="N63" s="1299">
        <f t="shared" si="17"/>
        <v>0</v>
      </c>
      <c r="O63" s="1299">
        <f t="shared" si="23"/>
        <v>0</v>
      </c>
      <c r="P63" s="8"/>
    </row>
    <row r="64" spans="1:16" ht="16" customHeight="1" x14ac:dyDescent="0.25">
      <c r="A64" s="8"/>
      <c r="B64" s="960">
        <v>16</v>
      </c>
      <c r="C64" s="1299">
        <f t="shared" si="18"/>
        <v>0</v>
      </c>
      <c r="D64" s="1299">
        <f t="shared" si="15"/>
        <v>0</v>
      </c>
      <c r="E64" s="1299">
        <f t="shared" si="21"/>
        <v>0</v>
      </c>
      <c r="F64" s="8"/>
      <c r="G64" s="960">
        <v>16</v>
      </c>
      <c r="H64" s="1299">
        <f t="shared" si="19"/>
        <v>0</v>
      </c>
      <c r="I64" s="1299">
        <f t="shared" si="16"/>
        <v>0</v>
      </c>
      <c r="J64" s="1299">
        <f t="shared" si="22"/>
        <v>0</v>
      </c>
      <c r="K64" s="8"/>
      <c r="L64" s="960">
        <v>16</v>
      </c>
      <c r="M64" s="1299">
        <f t="shared" si="20"/>
        <v>0</v>
      </c>
      <c r="N64" s="1299">
        <f t="shared" si="17"/>
        <v>0</v>
      </c>
      <c r="O64" s="1299">
        <f t="shared" si="23"/>
        <v>0</v>
      </c>
      <c r="P64" s="8"/>
    </row>
    <row r="65" spans="1:16" ht="16" customHeight="1" x14ac:dyDescent="0.25">
      <c r="A65" s="8"/>
      <c r="B65" s="960">
        <v>17</v>
      </c>
      <c r="C65" s="1299">
        <f t="shared" si="18"/>
        <v>0</v>
      </c>
      <c r="D65" s="1299">
        <f t="shared" si="15"/>
        <v>0</v>
      </c>
      <c r="E65" s="1299">
        <f t="shared" si="21"/>
        <v>0</v>
      </c>
      <c r="F65" s="8"/>
      <c r="G65" s="960">
        <v>17</v>
      </c>
      <c r="H65" s="1299">
        <f t="shared" si="19"/>
        <v>0</v>
      </c>
      <c r="I65" s="1299">
        <f t="shared" si="16"/>
        <v>0</v>
      </c>
      <c r="J65" s="1299">
        <f t="shared" si="22"/>
        <v>0</v>
      </c>
      <c r="K65" s="8"/>
      <c r="L65" s="960">
        <v>17</v>
      </c>
      <c r="M65" s="1299">
        <f t="shared" si="20"/>
        <v>0</v>
      </c>
      <c r="N65" s="1299">
        <f t="shared" si="17"/>
        <v>0</v>
      </c>
      <c r="O65" s="1299">
        <f t="shared" si="23"/>
        <v>0</v>
      </c>
      <c r="P65" s="8"/>
    </row>
    <row r="66" spans="1:16" ht="16" customHeight="1" x14ac:dyDescent="0.25">
      <c r="A66" s="8"/>
      <c r="B66" s="960">
        <v>18</v>
      </c>
      <c r="C66" s="1299">
        <f t="shared" si="18"/>
        <v>0</v>
      </c>
      <c r="D66" s="1299">
        <f t="shared" si="15"/>
        <v>0</v>
      </c>
      <c r="E66" s="1299">
        <f t="shared" si="21"/>
        <v>0</v>
      </c>
      <c r="F66" s="8"/>
      <c r="G66" s="960">
        <v>18</v>
      </c>
      <c r="H66" s="1299">
        <f t="shared" si="19"/>
        <v>0</v>
      </c>
      <c r="I66" s="1299">
        <f t="shared" si="16"/>
        <v>0</v>
      </c>
      <c r="J66" s="1299">
        <f t="shared" si="22"/>
        <v>0</v>
      </c>
      <c r="K66" s="8"/>
      <c r="L66" s="960">
        <v>18</v>
      </c>
      <c r="M66" s="1299">
        <f t="shared" si="20"/>
        <v>0</v>
      </c>
      <c r="N66" s="1299">
        <f t="shared" si="17"/>
        <v>0</v>
      </c>
      <c r="O66" s="1299">
        <f t="shared" si="23"/>
        <v>0</v>
      </c>
      <c r="P66" s="8"/>
    </row>
    <row r="67" spans="1:16" ht="16" customHeight="1" x14ac:dyDescent="0.25">
      <c r="A67" s="8"/>
      <c r="B67" s="960">
        <v>19</v>
      </c>
      <c r="C67" s="1299">
        <f t="shared" si="18"/>
        <v>0</v>
      </c>
      <c r="D67" s="1299">
        <f t="shared" si="15"/>
        <v>0</v>
      </c>
      <c r="E67" s="1299">
        <f t="shared" si="21"/>
        <v>0</v>
      </c>
      <c r="F67" s="8"/>
      <c r="G67" s="960">
        <v>19</v>
      </c>
      <c r="H67" s="1299">
        <f t="shared" si="19"/>
        <v>0</v>
      </c>
      <c r="I67" s="1299">
        <f t="shared" si="16"/>
        <v>0</v>
      </c>
      <c r="J67" s="1299">
        <f t="shared" si="22"/>
        <v>0</v>
      </c>
      <c r="K67" s="8"/>
      <c r="L67" s="960">
        <v>19</v>
      </c>
      <c r="M67" s="1299">
        <f t="shared" si="20"/>
        <v>0</v>
      </c>
      <c r="N67" s="1299">
        <f t="shared" si="17"/>
        <v>0</v>
      </c>
      <c r="O67" s="1299">
        <f t="shared" si="23"/>
        <v>0</v>
      </c>
      <c r="P67" s="8"/>
    </row>
    <row r="68" spans="1:16" ht="16" customHeight="1" x14ac:dyDescent="0.25">
      <c r="A68" s="8"/>
      <c r="B68" s="960">
        <v>20</v>
      </c>
      <c r="C68" s="1299">
        <f t="shared" si="18"/>
        <v>0</v>
      </c>
      <c r="D68" s="1299">
        <f t="shared" si="15"/>
        <v>0</v>
      </c>
      <c r="E68" s="1299">
        <f t="shared" si="21"/>
        <v>0</v>
      </c>
      <c r="F68" s="8"/>
      <c r="G68" s="960">
        <v>20</v>
      </c>
      <c r="H68" s="1299">
        <f t="shared" si="19"/>
        <v>0</v>
      </c>
      <c r="I68" s="1299">
        <f t="shared" si="16"/>
        <v>0</v>
      </c>
      <c r="J68" s="1299">
        <f t="shared" si="22"/>
        <v>0</v>
      </c>
      <c r="K68" s="8"/>
      <c r="L68" s="960">
        <v>20</v>
      </c>
      <c r="M68" s="1299">
        <f t="shared" si="20"/>
        <v>0</v>
      </c>
      <c r="N68" s="1299">
        <f t="shared" si="17"/>
        <v>0</v>
      </c>
      <c r="O68" s="1299">
        <f t="shared" si="23"/>
        <v>0</v>
      </c>
      <c r="P68" s="8"/>
    </row>
    <row r="69" spans="1:16" ht="16" customHeight="1" x14ac:dyDescent="0.25">
      <c r="A69" s="8"/>
      <c r="B69" s="960">
        <v>21</v>
      </c>
      <c r="C69" s="1299">
        <f t="shared" si="18"/>
        <v>0</v>
      </c>
      <c r="D69" s="1299">
        <f t="shared" si="15"/>
        <v>0</v>
      </c>
      <c r="E69" s="1299">
        <f t="shared" si="21"/>
        <v>0</v>
      </c>
      <c r="F69" s="8"/>
      <c r="G69" s="960">
        <v>21</v>
      </c>
      <c r="H69" s="1299">
        <f t="shared" si="19"/>
        <v>0</v>
      </c>
      <c r="I69" s="1299">
        <f t="shared" si="16"/>
        <v>0</v>
      </c>
      <c r="J69" s="1299">
        <f t="shared" si="22"/>
        <v>0</v>
      </c>
      <c r="K69" s="8"/>
      <c r="L69" s="960">
        <v>21</v>
      </c>
      <c r="M69" s="1299">
        <f t="shared" si="20"/>
        <v>0</v>
      </c>
      <c r="N69" s="1299">
        <f t="shared" si="17"/>
        <v>0</v>
      </c>
      <c r="O69" s="1299">
        <f t="shared" si="23"/>
        <v>0</v>
      </c>
      <c r="P69" s="8"/>
    </row>
    <row r="70" spans="1:16" ht="16" customHeight="1" x14ac:dyDescent="0.25">
      <c r="A70" s="8"/>
      <c r="B70" s="960">
        <v>22</v>
      </c>
      <c r="C70" s="1299">
        <f t="shared" si="18"/>
        <v>0</v>
      </c>
      <c r="D70" s="1299">
        <f t="shared" si="15"/>
        <v>0</v>
      </c>
      <c r="E70" s="1299">
        <f t="shared" si="21"/>
        <v>0</v>
      </c>
      <c r="F70" s="8"/>
      <c r="G70" s="960">
        <v>22</v>
      </c>
      <c r="H70" s="1299">
        <f t="shared" si="19"/>
        <v>0</v>
      </c>
      <c r="I70" s="1299">
        <f t="shared" si="16"/>
        <v>0</v>
      </c>
      <c r="J70" s="1299">
        <f t="shared" si="22"/>
        <v>0</v>
      </c>
      <c r="K70" s="8"/>
      <c r="L70" s="960">
        <v>22</v>
      </c>
      <c r="M70" s="1299">
        <f t="shared" si="20"/>
        <v>0</v>
      </c>
      <c r="N70" s="1299">
        <f t="shared" si="17"/>
        <v>0</v>
      </c>
      <c r="O70" s="1299">
        <f t="shared" si="23"/>
        <v>0</v>
      </c>
      <c r="P70" s="8"/>
    </row>
    <row r="71" spans="1:16" ht="16" customHeight="1" x14ac:dyDescent="0.25">
      <c r="A71" s="8"/>
      <c r="B71" s="960">
        <v>23</v>
      </c>
      <c r="C71" s="1299">
        <f t="shared" si="18"/>
        <v>0</v>
      </c>
      <c r="D71" s="1299">
        <f t="shared" si="15"/>
        <v>0</v>
      </c>
      <c r="E71" s="1299">
        <f t="shared" si="21"/>
        <v>0</v>
      </c>
      <c r="F71" s="8"/>
      <c r="G71" s="960">
        <v>23</v>
      </c>
      <c r="H71" s="1299">
        <f t="shared" si="19"/>
        <v>0</v>
      </c>
      <c r="I71" s="1299">
        <f t="shared" si="16"/>
        <v>0</v>
      </c>
      <c r="J71" s="1299">
        <f t="shared" si="22"/>
        <v>0</v>
      </c>
      <c r="K71" s="8"/>
      <c r="L71" s="960">
        <v>23</v>
      </c>
      <c r="M71" s="1299">
        <f t="shared" si="20"/>
        <v>0</v>
      </c>
      <c r="N71" s="1299">
        <f t="shared" si="17"/>
        <v>0</v>
      </c>
      <c r="O71" s="1299">
        <f t="shared" si="23"/>
        <v>0</v>
      </c>
      <c r="P71" s="8"/>
    </row>
    <row r="72" spans="1:16" ht="16" customHeight="1" x14ac:dyDescent="0.25">
      <c r="A72" s="8"/>
      <c r="B72" s="960">
        <v>24</v>
      </c>
      <c r="C72" s="1299">
        <f t="shared" si="18"/>
        <v>0</v>
      </c>
      <c r="D72" s="1299">
        <f t="shared" si="15"/>
        <v>0</v>
      </c>
      <c r="E72" s="1299">
        <f t="shared" si="21"/>
        <v>0</v>
      </c>
      <c r="F72" s="8"/>
      <c r="G72" s="960">
        <v>24</v>
      </c>
      <c r="H72" s="1299">
        <f t="shared" si="19"/>
        <v>0</v>
      </c>
      <c r="I72" s="1299">
        <f t="shared" si="16"/>
        <v>0</v>
      </c>
      <c r="J72" s="1299">
        <f t="shared" si="22"/>
        <v>0</v>
      </c>
      <c r="K72" s="8"/>
      <c r="L72" s="960">
        <v>24</v>
      </c>
      <c r="M72" s="1299">
        <f t="shared" si="20"/>
        <v>0</v>
      </c>
      <c r="N72" s="1299">
        <f t="shared" si="17"/>
        <v>0</v>
      </c>
      <c r="O72" s="1299">
        <f t="shared" si="23"/>
        <v>0</v>
      </c>
      <c r="P72" s="8"/>
    </row>
    <row r="73" spans="1:16" ht="16" customHeight="1" x14ac:dyDescent="0.25">
      <c r="A73" s="8"/>
      <c r="B73" s="960">
        <v>25</v>
      </c>
      <c r="C73" s="1299">
        <f t="shared" si="18"/>
        <v>0</v>
      </c>
      <c r="D73" s="1299">
        <f t="shared" si="15"/>
        <v>0</v>
      </c>
      <c r="E73" s="1299">
        <f t="shared" si="21"/>
        <v>0</v>
      </c>
      <c r="F73" s="8"/>
      <c r="G73" s="960">
        <v>25</v>
      </c>
      <c r="H73" s="1299">
        <f t="shared" si="19"/>
        <v>0</v>
      </c>
      <c r="I73" s="1299">
        <f t="shared" si="16"/>
        <v>0</v>
      </c>
      <c r="J73" s="1299">
        <f t="shared" si="22"/>
        <v>0</v>
      </c>
      <c r="K73" s="8"/>
      <c r="L73" s="960">
        <v>25</v>
      </c>
      <c r="M73" s="1299">
        <f t="shared" si="20"/>
        <v>0</v>
      </c>
      <c r="N73" s="1299">
        <f t="shared" si="17"/>
        <v>0</v>
      </c>
      <c r="O73" s="1299">
        <f t="shared" si="23"/>
        <v>0</v>
      </c>
      <c r="P73" s="8"/>
    </row>
  </sheetData>
  <sheetProtection algorithmName="SHA-512" hashValue="bQUn8cKOq8CxdNkCr/vuu/6g4vzpgR0UrVyZAC1NNi24u3FYUFkueDrPEDryfW8o26y8dMjSdA92SAHUXqLWcg==" saltValue="/lKJ2WC7wuG+hMoNf1Fqng==" spinCount="100000" sheet="1" objects="1" scenarios="1" selectLockedCells="1"/>
  <dataConsolidate link="1"/>
  <mergeCells count="30">
    <mergeCell ref="I13:J13"/>
    <mergeCell ref="D13:E13"/>
    <mergeCell ref="D12:E12"/>
    <mergeCell ref="D11:E11"/>
    <mergeCell ref="D10:E10"/>
    <mergeCell ref="D9:E9"/>
    <mergeCell ref="I9:J9"/>
    <mergeCell ref="I10:J10"/>
    <mergeCell ref="I11:J11"/>
    <mergeCell ref="I12:J12"/>
    <mergeCell ref="N9:O9"/>
    <mergeCell ref="N10:O10"/>
    <mergeCell ref="N11:O11"/>
    <mergeCell ref="N12:O12"/>
    <mergeCell ref="N13:O13"/>
    <mergeCell ref="N46:O46"/>
    <mergeCell ref="D42:E42"/>
    <mergeCell ref="I42:J42"/>
    <mergeCell ref="N42:O42"/>
    <mergeCell ref="D43:E43"/>
    <mergeCell ref="I43:J43"/>
    <mergeCell ref="N43:O43"/>
    <mergeCell ref="D46:E46"/>
    <mergeCell ref="I45:J45"/>
    <mergeCell ref="I46:J46"/>
    <mergeCell ref="D44:E44"/>
    <mergeCell ref="I44:J44"/>
    <mergeCell ref="N44:O44"/>
    <mergeCell ref="D45:E45"/>
    <mergeCell ref="N45:O45"/>
  </mergeCells>
  <conditionalFormatting sqref="G9:J40">
    <cfRule type="expression" dxfId="4" priority="5">
      <formula>NOT(ShowApplicant2)</formula>
    </cfRule>
  </conditionalFormatting>
  <conditionalFormatting sqref="L9:O40">
    <cfRule type="expression" dxfId="3" priority="4">
      <formula>NOT(ShowApplicant3)</formula>
    </cfRule>
  </conditionalFormatting>
  <conditionalFormatting sqref="B42:E73">
    <cfRule type="expression" dxfId="2" priority="3">
      <formula>NOT(ShowApplicant4)</formula>
    </cfRule>
  </conditionalFormatting>
  <conditionalFormatting sqref="G42:J73">
    <cfRule type="expression" dxfId="1" priority="2">
      <formula>NOT(ShowApplicant5)</formula>
    </cfRule>
  </conditionalFormatting>
  <conditionalFormatting sqref="L42:O73">
    <cfRule type="expression" dxfId="0" priority="1">
      <formula>NOT(ShowApplicant6)</formula>
    </cfRule>
  </conditionalFormatting>
  <pageMargins left="0.25" right="0.25" top="0.75" bottom="0.75" header="0.3" footer="0.3"/>
  <pageSetup paperSize="9" scale="62"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7E6CB-943A-499A-BD58-C8F4CD2CC61B}">
  <sheetPr codeName="shNavigation"/>
  <dimension ref="A1:E21"/>
  <sheetViews>
    <sheetView showGridLines="0" showRowColHeaders="0" zoomScaleNormal="100" workbookViewId="0">
      <selection activeCell="G14" sqref="G14"/>
    </sheetView>
  </sheetViews>
  <sheetFormatPr defaultRowHeight="12.75" customHeight="1" x14ac:dyDescent="0.25"/>
  <cols>
    <col min="1" max="1" width="4.26953125" customWidth="1"/>
    <col min="2" max="2" width="10.7265625" customWidth="1"/>
    <col min="3" max="3" width="10.26953125" customWidth="1"/>
    <col min="4" max="4" width="45" customWidth="1"/>
    <col min="5" max="5" width="4" customWidth="1"/>
  </cols>
  <sheetData>
    <row r="1" spans="1:5" ht="15" customHeight="1" x14ac:dyDescent="0.25">
      <c r="A1" s="4"/>
      <c r="B1" s="4"/>
      <c r="C1" s="4"/>
      <c r="D1" s="4"/>
      <c r="E1" s="4"/>
    </row>
    <row r="2" spans="1:5" ht="15" customHeight="1" x14ac:dyDescent="0.25">
      <c r="A2" s="4"/>
      <c r="B2" s="4"/>
      <c r="C2" s="4"/>
      <c r="D2" s="4"/>
      <c r="E2" s="4"/>
    </row>
    <row r="3" spans="1:5" ht="15" customHeight="1" x14ac:dyDescent="0.25">
      <c r="A3" s="4"/>
      <c r="B3" s="4"/>
      <c r="C3" s="4"/>
      <c r="D3" s="4"/>
      <c r="E3" s="4"/>
    </row>
    <row r="4" spans="1:5" ht="12.5" x14ac:dyDescent="0.25"/>
    <row r="5" spans="1:5" ht="12.5" x14ac:dyDescent="0.25"/>
    <row r="6" spans="1:5" ht="30" customHeight="1" x14ac:dyDescent="0.25">
      <c r="A6" s="404"/>
      <c r="B6" s="855" t="str">
        <f>IF(SDVersionChannel="TP","","Home Lending Toolkit")</f>
        <v/>
      </c>
      <c r="C6" s="746"/>
      <c r="D6" s="746"/>
      <c r="E6" s="404"/>
    </row>
    <row r="7" spans="1:5" ht="7.5" customHeight="1" x14ac:dyDescent="0.25"/>
    <row r="8" spans="1:5" ht="43.5" customHeight="1" x14ac:dyDescent="0.25">
      <c r="C8" s="747" t="s">
        <v>1313</v>
      </c>
    </row>
    <row r="9" spans="1:5" ht="43.5" customHeight="1" x14ac:dyDescent="0.25">
      <c r="C9" s="747" t="s">
        <v>1440</v>
      </c>
    </row>
    <row r="10" spans="1:5" ht="43.5" customHeight="1" x14ac:dyDescent="0.25">
      <c r="C10" s="747" t="s">
        <v>1054</v>
      </c>
    </row>
    <row r="11" spans="1:5" ht="43.5" customHeight="1" x14ac:dyDescent="0.25">
      <c r="C11" s="747" t="s">
        <v>1314</v>
      </c>
    </row>
    <row r="12" spans="1:5" ht="43.5" customHeight="1" x14ac:dyDescent="0.25">
      <c r="C12" s="747" t="s">
        <v>1315</v>
      </c>
    </row>
    <row r="13" spans="1:5" ht="43.5" customHeight="1" x14ac:dyDescent="0.25">
      <c r="C13" s="747" t="s">
        <v>2382</v>
      </c>
    </row>
    <row r="14" spans="1:5" ht="43.5" customHeight="1" x14ac:dyDescent="0.25">
      <c r="C14" s="747" t="s">
        <v>793</v>
      </c>
    </row>
    <row r="15" spans="1:5" ht="43.5" hidden="1" customHeight="1" x14ac:dyDescent="0.25">
      <c r="C15" s="747" t="s">
        <v>1128</v>
      </c>
    </row>
    <row r="16" spans="1:5" ht="43.5" customHeight="1" x14ac:dyDescent="0.25">
      <c r="C16" s="747" t="s">
        <v>1256</v>
      </c>
    </row>
    <row r="17" spans="2:3" ht="43.5" customHeight="1" x14ac:dyDescent="0.25">
      <c r="C17" s="747" t="s">
        <v>1316</v>
      </c>
    </row>
    <row r="18" spans="2:3" ht="43.5" hidden="1" customHeight="1" x14ac:dyDescent="0.25">
      <c r="C18" s="747" t="s">
        <v>2245</v>
      </c>
    </row>
    <row r="19" spans="2:3" ht="43.5" customHeight="1" x14ac:dyDescent="0.25">
      <c r="C19" s="747" t="s">
        <v>1449</v>
      </c>
    </row>
    <row r="20" spans="2:3" ht="12.5" x14ac:dyDescent="0.25"/>
    <row r="21" spans="2:3" ht="12.5" x14ac:dyDescent="0.25">
      <c r="B21" s="748" t="str">
        <f>VersionNumberText</f>
        <v>Version 9.4</v>
      </c>
    </row>
  </sheetData>
  <sheetProtection algorithmName="SHA-512" hashValue="93pFaahxGbumCknndTrcXVAhCtCW40d1UX+l7y9rEcKvtiNU/UfeQj+xIVEVHSypvLCIW9j+9nNt6Z1oqAO51Q==" saltValue="DEDa4dVt29bgZc/PPgcAXA==" spinCount="100000" sheet="1" objects="1" scenarios="1" selectLockedCells="1"/>
  <pageMargins left="0.25" right="0.25" top="0.75" bottom="0.75" header="0.3" footer="0.3"/>
  <pageSetup paperSize="9" fitToWidth="0"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9d0e3df-eb37-4af2-a90b-4aa7601f064c">
      <Terms xmlns="http://schemas.microsoft.com/office/infopath/2007/PartnerControls"/>
    </lcf76f155ced4ddcb4097134ff3c332f>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7ACBFCDA9C66BC40B848C3D9100B92FC" ma:contentTypeVersion="12" ma:contentTypeDescription="Create a new document." ma:contentTypeScope="" ma:versionID="c7422e562379bee619ddaddd9febacad">
  <xsd:schema xmlns:xsd="http://www.w3.org/2001/XMLSchema" xmlns:xs="http://www.w3.org/2001/XMLSchema" xmlns:p="http://schemas.microsoft.com/office/2006/metadata/properties" xmlns:ns2="59d0e3df-eb37-4af2-a90b-4aa7601f064c" xmlns:ns3="338f296a-e1bc-457f-baa8-2151ae771ca1" targetNamespace="http://schemas.microsoft.com/office/2006/metadata/properties" ma:root="true" ma:fieldsID="462119a3b7ec570c15de696467951d75" ns2:_="" ns3:_="">
    <xsd:import namespace="59d0e3df-eb37-4af2-a90b-4aa7601f064c"/>
    <xsd:import namespace="338f296a-e1bc-457f-baa8-2151ae771ca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2:MediaServiceOCR" minOccurs="0"/>
                <xsd:element ref="ns2:MediaServiceGenerationTime" minOccurs="0"/>
                <xsd:element ref="ns2:MediaServiceEventHashCode"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d0e3df-eb37-4af2-a90b-4aa7601f064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5435a2f3-0f2d-4ee1-a185-89896a8add32"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DateTaken" ma:index="19"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8f296a-e1bc-457f-baa8-2151ae771ca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2A4F6ED-89CE-4744-B483-DA8FD884D6C0}">
  <ds:schemaRefs>
    <ds:schemaRef ds:uri="59d0e3df-eb37-4af2-a90b-4aa7601f064c"/>
    <ds:schemaRef ds:uri="http://schemas.microsoft.com/office/2006/metadata/properties"/>
    <ds:schemaRef ds:uri="http://purl.org/dc/elements/1.1/"/>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338f296a-e1bc-457f-baa8-2151ae771ca1"/>
    <ds:schemaRef ds:uri="http://www.w3.org/XML/1998/namespace"/>
    <ds:schemaRef ds:uri="http://purl.org/dc/dcmitype/"/>
  </ds:schemaRefs>
</ds:datastoreItem>
</file>

<file path=customXml/itemProps2.xml><?xml version="1.0" encoding="utf-8"?>
<ds:datastoreItem xmlns:ds="http://schemas.openxmlformats.org/officeDocument/2006/customXml" ds:itemID="{C2CB45D4-B0B8-411D-A9A4-F65A1B85A6CE}">
  <ds:schemaRefs>
    <ds:schemaRef ds:uri="http://schemas.microsoft.com/DataMashup"/>
  </ds:schemaRefs>
</ds:datastoreItem>
</file>

<file path=customXml/itemProps3.xml><?xml version="1.0" encoding="utf-8"?>
<ds:datastoreItem xmlns:ds="http://schemas.openxmlformats.org/officeDocument/2006/customXml" ds:itemID="{3953826C-49C5-4F68-9364-BDF75E2709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d0e3df-eb37-4af2-a90b-4aa7601f064c"/>
    <ds:schemaRef ds:uri="338f296a-e1bc-457f-baa8-2151ae771ca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265043B-4514-4CE1-8536-5E105F970F3C}">
  <ds:schemaRefs>
    <ds:schemaRef ds:uri="http://schemas.microsoft.com/sharepoint/v3/contenttype/forms"/>
  </ds:schemaRefs>
</ds:datastoreItem>
</file>

<file path=docMetadata/LabelInfo.xml><?xml version="1.0" encoding="utf-8"?>
<clbl:labelList xmlns:clbl="http://schemas.microsoft.com/office/2020/mipLabelMetadata">
  <clbl:label id="{6555cfae-cb2a-4680-b088-01ee30167f3b}" enabled="1" method="Standard" siteId="{57c64fd4-66ca-49f5-ab38-2e67ef58e72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Serviceability</vt:lpstr>
      <vt:lpstr>Employer Income</vt:lpstr>
      <vt:lpstr>Self-employed Applicant</vt:lpstr>
      <vt:lpstr>Self-employed Setup Assistant</vt:lpstr>
      <vt:lpstr>Self-employed Business</vt:lpstr>
      <vt:lpstr>Self-employed Business Diagram</vt:lpstr>
      <vt:lpstr>Self-employed Liabilities</vt:lpstr>
      <vt:lpstr>Self-employed Rental Income</vt:lpstr>
      <vt:lpstr>Other Income</vt:lpstr>
      <vt:lpstr>Rental Income</vt:lpstr>
      <vt:lpstr>RITD</vt:lpstr>
      <vt:lpstr>Customer Declared Expenses</vt:lpstr>
      <vt:lpstr>Remaining Term Calculator</vt:lpstr>
      <vt:lpstr>Bridging Loan Calculator</vt:lpstr>
      <vt:lpstr>Family Guarantee Calculator</vt:lpstr>
      <vt:lpstr>Shared Equity Guarantee Calc</vt:lpstr>
      <vt:lpstr>Second Mortgage Calculator</vt:lpstr>
      <vt:lpstr>Foreign Currency Checklist</vt:lpstr>
      <vt:lpstr>Simple LVR Calculator</vt:lpstr>
      <vt:lpstr>Repayment Pause Calculator</vt:lpstr>
      <vt:lpstr>STSL Calculator</vt:lpstr>
      <vt:lpstr>Navigation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Home Lending Toolkit</dc:title>
  <dc:creator>Mat Whittingstall</dc:creator>
  <cp:lastModifiedBy>Craig OMeara</cp:lastModifiedBy>
  <cp:lastPrinted>2024-07-29T23:51:55Z</cp:lastPrinted>
  <dcterms:created xsi:type="dcterms:W3CDTF">2019-08-29T05:45:03Z</dcterms:created>
  <dcterms:modified xsi:type="dcterms:W3CDTF">2025-02-25T23:42:08Z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0x0101007ACBFCDA9C66BC40B848C3D9100B92FC</vt:lpwstr>
  </property>
  <property fmtid="{D5CDD505-2E9C-101B-9397-08002B2CF9AE}" pid="3" name="MSIP_Label_6555cfae-cb2a-4680-b088-01ee30167f3b_Enabled">
    <vt:lpwstr>true</vt:lpwstr>
  </property>
  <property fmtid="{D5CDD505-2E9C-101B-9397-08002B2CF9AE}" pid="4" name="MSIP_Label_6555cfae-cb2a-4680-b088-01ee30167f3b_SetDate">
    <vt:lpwstr>2021-02-17T23:09:33Z</vt:lpwstr>
  </property>
  <property fmtid="{D5CDD505-2E9C-101B-9397-08002B2CF9AE}" pid="5" name="MSIP_Label_6555cfae-cb2a-4680-b088-01ee30167f3b_Method">
    <vt:lpwstr>Standard</vt:lpwstr>
  </property>
  <property fmtid="{D5CDD505-2E9C-101B-9397-08002B2CF9AE}" pid="6" name="MSIP_Label_6555cfae-cb2a-4680-b088-01ee30167f3b_Name">
    <vt:lpwstr>General Business</vt:lpwstr>
  </property>
  <property fmtid="{D5CDD505-2E9C-101B-9397-08002B2CF9AE}" pid="7" name="MSIP_Label_6555cfae-cb2a-4680-b088-01ee30167f3b_SiteId">
    <vt:lpwstr>57c64fd4-66ca-49f5-ab38-2e67ef58e724</vt:lpwstr>
  </property>
  <property fmtid="{D5CDD505-2E9C-101B-9397-08002B2CF9AE}" pid="8" name="MSIP_Label_6555cfae-cb2a-4680-b088-01ee30167f3b_ActionId">
    <vt:lpwstr>9105e835-3bdd-420f-88b8-63abd5d18a4b</vt:lpwstr>
  </property>
  <property fmtid="{D5CDD505-2E9C-101B-9397-08002B2CF9AE}" pid="9" name="MSIP_Label_6555cfae-cb2a-4680-b088-01ee30167f3b_ContentBits">
    <vt:lpwstr>0</vt:lpwstr>
  </property>
  <property fmtid="{D5CDD505-2E9C-101B-9397-08002B2CF9AE}" pid="10" name="MediaServiceImageTags">
    <vt:lpwstr/>
  </property>
</Properties>
</file>